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0"/>
  <workbookPr codeName="ThisWorkbook"/>
  <mc:AlternateContent xmlns:mc="http://schemas.openxmlformats.org/markup-compatibility/2006">
    <mc:Choice Requires="x15">
      <x15ac:absPath xmlns:x15ac="http://schemas.microsoft.com/office/spreadsheetml/2010/11/ac" url="D:\Desktop Data\ARR FY 2024-25\ARR FY 2024-25 Final\"/>
    </mc:Choice>
  </mc:AlternateContent>
  <xr:revisionPtr revIDLastSave="0" documentId="13_ncr:1_{B1E3995B-6D50-4D20-BA55-7BD371D15E1F}" xr6:coauthVersionLast="47" xr6:coauthVersionMax="47" xr10:uidLastSave="{00000000-0000-0000-0000-000000000000}"/>
  <bookViews>
    <workbookView xWindow="-120" yWindow="-120" windowWidth="20730" windowHeight="11160" tabRatio="923" firstSheet="3" activeTab="3" xr2:uid="{00000000-000D-0000-FFFF-FFFF00000000}"/>
  </bookViews>
  <sheets>
    <sheet name="00000000" sheetId="160" state="veryHidden" r:id="rId1"/>
    <sheet name="Contents" sheetId="663" r:id="rId2"/>
    <sheet name="Table of contents" sheetId="662" r:id="rId3"/>
    <sheet name="T-1" sheetId="399" r:id="rId4"/>
    <sheet name="T-2_21-22" sheetId="400" r:id="rId5"/>
    <sheet name="T-2" sheetId="401" r:id="rId6"/>
    <sheet name="T-3_22-23" sheetId="402" r:id="rId7"/>
    <sheet name="T-3" sheetId="403" r:id="rId8"/>
    <sheet name="T-4" sheetId="404" r:id="rId9"/>
    <sheet name="T-5" sheetId="405" r:id="rId10"/>
    <sheet name="T-6_22-23" sheetId="406" r:id="rId11"/>
    <sheet name="T-6" sheetId="407" r:id="rId12"/>
    <sheet name="T-7_Current_Year" sheetId="408" r:id="rId13"/>
    <sheet name="T-7_Ensuing_Year" sheetId="409" r:id="rId14"/>
    <sheet name="T-8" sheetId="411" r:id="rId15"/>
    <sheet name="T-9" sheetId="664" r:id="rId16"/>
    <sheet name="average Tariff" sheetId="171" state="hidden" r:id="rId17"/>
    <sheet name="F-1(a)" sheetId="7" r:id="rId18"/>
    <sheet name="F-1(b)" sheetId="633" r:id="rId19"/>
    <sheet name="F-2" sheetId="8" r:id="rId20"/>
    <sheet name="IDC" sheetId="562" state="hidden" r:id="rId21"/>
    <sheet name="Interest New" sheetId="627" r:id="rId22"/>
    <sheet name="Capex Plan 2122" sheetId="555" state="hidden" r:id="rId23"/>
    <sheet name="Capex Plan 2223" sheetId="556" state="hidden" r:id="rId24"/>
    <sheet name="Capex plan 24" sheetId="654" state="hidden" r:id="rId25"/>
    <sheet name="Capex plan 23-24" sheetId="660" state="hidden" r:id="rId26"/>
    <sheet name="Capex plan 24-25" sheetId="656" state="hidden" r:id="rId27"/>
    <sheet name="Capex plan 25-26" sheetId="657" state="hidden" r:id="rId28"/>
    <sheet name="Capex plan 26-27" sheetId="658" state="hidden" r:id="rId29"/>
    <sheet name="Capex plan 27-28" sheetId="659" state="hidden" r:id="rId30"/>
    <sheet name="Govt. Funded Capex 2122 2223" sheetId="557" r:id="rId31"/>
    <sheet name="Capex" sheetId="561" state="hidden" r:id="rId32"/>
    <sheet name="Non-Tariff" sheetId="566" r:id="rId33"/>
    <sheet name="CAPITALISATION SUMMARY" sheetId="571" r:id="rId34"/>
    <sheet name="Own_Capex" sheetId="596" state="hidden" r:id="rId35"/>
    <sheet name="F-3" sheetId="9" r:id="rId36"/>
    <sheet name="F-4" sheetId="10" r:id="rId37"/>
    <sheet name="F-5" sheetId="393" r:id="rId38"/>
    <sheet name="F-6 New" sheetId="628" r:id="rId39"/>
    <sheet name="F-7" sheetId="21" r:id="rId40"/>
    <sheet name="F-8" sheetId="22" r:id="rId41"/>
    <sheet name="F-9 (A) &amp; (B)" sheetId="634" r:id="rId42"/>
    <sheet name="F-10 New" sheetId="635" r:id="rId43"/>
    <sheet name="F-11 New" sheetId="636" r:id="rId44"/>
    <sheet name="Employee cost CAPITALISATION" sheetId="573" state="hidden" r:id="rId45"/>
    <sheet name="F-12 New" sheetId="637" r:id="rId46"/>
    <sheet name="Employ Cost FY22-23-24- Final" sheetId="661" r:id="rId47"/>
    <sheet name="F-13 New" sheetId="638" r:id="rId48"/>
    <sheet name="A &amp; G - Expns" sheetId="570" r:id="rId49"/>
    <sheet name="F-14" sheetId="83" r:id="rId50"/>
    <sheet name="F-15" sheetId="526" r:id="rId51"/>
    <sheet name="F-16" sheetId="339" r:id="rId52"/>
    <sheet name="F-17" sheetId="87" r:id="rId53"/>
    <sheet name="F-18" sheetId="90" r:id="rId54"/>
    <sheet name="Depreciation New" sheetId="645" r:id="rId55"/>
    <sheet name="F-19 New" sheetId="639" r:id="rId56"/>
    <sheet name="F-20" sheetId="96" r:id="rId57"/>
    <sheet name="F-21" sheetId="97" r:id="rId58"/>
    <sheet name="F-22" sheetId="98" r:id="rId59"/>
    <sheet name="F-23 New " sheetId="149" r:id="rId60"/>
    <sheet name="Tariff Highlights 05-06" sheetId="182" state="hidden" r:id="rId61"/>
    <sheet name="F-24" sheetId="395" r:id="rId62"/>
    <sheet name="F-25" sheetId="648" state="hidden" r:id="rId63"/>
    <sheet name="F-25 NA" sheetId="436" state="hidden" r:id="rId64"/>
    <sheet name="F-26 NA" sheetId="437" state="hidden" r:id="rId65"/>
    <sheet name="F-26" sheetId="655" r:id="rId66"/>
    <sheet name="F-27 2022-23" sheetId="528" r:id="rId67"/>
    <sheet name="F-27 2023-24" sheetId="529" r:id="rId68"/>
    <sheet name="F-28" sheetId="643" r:id="rId69"/>
    <sheet name="F-29" sheetId="644" r:id="rId70"/>
    <sheet name="Allocation Totality new" sheetId="629" r:id="rId71"/>
    <sheet name="Corss -Sub -TPNODL" sheetId="552" r:id="rId72"/>
    <sheet name="TPNODL-Wheeling " sheetId="553" r:id="rId73"/>
    <sheet name="P-1" sheetId="665" r:id="rId74"/>
    <sheet name="P-2" sheetId="666" r:id="rId75"/>
    <sheet name="P-3" sheetId="667" r:id="rId76"/>
    <sheet name="P-4" sheetId="668" r:id="rId77"/>
    <sheet name="P-5" sheetId="669" r:id="rId78"/>
    <sheet name="P-6" sheetId="670" r:id="rId79"/>
    <sheet name="P-7" sheetId="671" r:id="rId80"/>
    <sheet name="P8 22-23" sheetId="672" r:id="rId81"/>
    <sheet name="P8 23-24" sheetId="673" r:id="rId82"/>
    <sheet name="P9 22-23" sheetId="674" r:id="rId83"/>
    <sheet name="P9 23-24" sheetId="675" r:id="rId84"/>
    <sheet name="P-10" sheetId="676" r:id="rId85"/>
    <sheet name="P11 22-23" sheetId="677" r:id="rId86"/>
    <sheet name="P11 23-24" sheetId="678" r:id="rId87"/>
    <sheet name="P-12" sheetId="679" r:id="rId88"/>
    <sheet name="P-13" sheetId="686" r:id="rId89"/>
    <sheet name="P-14" sheetId="681" r:id="rId90"/>
    <sheet name="P-15" sheetId="682" r:id="rId91"/>
    <sheet name="P-16" sheetId="683" r:id="rId92"/>
    <sheet name="P-17_22-23" sheetId="684" r:id="rId93"/>
    <sheet name="P-17_23-24" sheetId="685" r:id="rId94"/>
    <sheet name="Tariff 23-24" sheetId="599"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_xlfn.BAHTTEXT" hidden="1">#NAME?</definedName>
    <definedName name="_xlnm._FilterDatabase" localSheetId="22" hidden="1">'Capex Plan 2122'!$A$1:$L$47</definedName>
    <definedName name="_xlnm._FilterDatabase" localSheetId="23" hidden="1">'Capex Plan 2223'!$A$6:$S$54</definedName>
    <definedName name="_xlnm._FilterDatabase" localSheetId="25" hidden="1">'Capex plan 23-24'!$A$1:$J$63</definedName>
    <definedName name="_xlnm._FilterDatabase" localSheetId="26" hidden="1">'Capex plan 24-25'!$A$1:$L$52</definedName>
    <definedName name="_xlnm._FilterDatabase" localSheetId="27" hidden="1">'Capex plan 25-26'!$A$1:$J$45</definedName>
    <definedName name="_xlnm._FilterDatabase" localSheetId="28" hidden="1">'Capex plan 26-27'!$A$1:$J$45</definedName>
    <definedName name="_xlnm._FilterDatabase" localSheetId="29" hidden="1">'Capex plan 27-28'!$A$1:$J$47</definedName>
    <definedName name="_xlnm._FilterDatabase" localSheetId="46" hidden="1">'Employ Cost FY22-23-24- Final'!$A$2:$L$91</definedName>
    <definedName name="_xlnm._FilterDatabase" localSheetId="49" hidden="1">'F-14'!#REF!</definedName>
    <definedName name="_xlnm._FilterDatabase" localSheetId="32" hidden="1">'Non-Tariff'!$A$5:$G$20</definedName>
    <definedName name="_xlnm._FilterDatabase" localSheetId="85" hidden="1">'P11 22-23'!$A$7:$G$1160</definedName>
    <definedName name="_xlnm._FilterDatabase" localSheetId="86" hidden="1">'P11 23-24'!$A$7:$G$833</definedName>
    <definedName name="_xlnm._FilterDatabase" localSheetId="80" hidden="1">'P8 22-23'!$F$2:$F$741</definedName>
    <definedName name="_xlnm._FilterDatabase" localSheetId="81" hidden="1">'P8 23-24'!$B$2:$B$793</definedName>
    <definedName name="_xlnm._FilterDatabase" localSheetId="83" hidden="1">'P9 23-24'!$A$5:$BK$792</definedName>
    <definedName name="a" localSheetId="70">'[1]A&amp;G Expenses'!#REF!</definedName>
    <definedName name="a" localSheetId="25">'[1]A&amp;G Expenses'!#REF!</definedName>
    <definedName name="a" localSheetId="54">'[1]A&amp;G Expenses'!#REF!</definedName>
    <definedName name="a" localSheetId="46">'[1]A&amp;G Expenses'!#REF!</definedName>
    <definedName name="a" localSheetId="18">'[2]A&amp;G Expenses'!#REF!</definedName>
    <definedName name="a" localSheetId="42">'[2]A&amp;G Expenses'!#REF!</definedName>
    <definedName name="a" localSheetId="43">'[2]A&amp;G Expenses'!#REF!</definedName>
    <definedName name="a" localSheetId="45">'[2]A&amp;G Expenses'!#REF!</definedName>
    <definedName name="a" localSheetId="47">'[2]A&amp;G Expenses'!#REF!</definedName>
    <definedName name="a" localSheetId="55">'[2]A&amp;G Expenses'!#REF!</definedName>
    <definedName name="a" localSheetId="66">'[1]A&amp;G Expenses'!#REF!</definedName>
    <definedName name="a" localSheetId="67">'[1]A&amp;G Expenses'!#REF!</definedName>
    <definedName name="a" localSheetId="68">'[2]A&amp;G Expenses'!#REF!</definedName>
    <definedName name="a" localSheetId="69">'[2]A&amp;G Expenses'!#REF!</definedName>
    <definedName name="a" localSheetId="38">'[1]A&amp;G Expenses'!#REF!</definedName>
    <definedName name="a" localSheetId="41">'[2]A&amp;G Expenses'!#REF!</definedName>
    <definedName name="a" localSheetId="21">'[1]A&amp;G Expenses'!#REF!</definedName>
    <definedName name="a" localSheetId="73">'[1]A&amp;G Expenses'!#REF!</definedName>
    <definedName name="a" localSheetId="84">'[1]A&amp;G Expenses'!#REF!</definedName>
    <definedName name="a" localSheetId="87">'[1]A&amp;G Expenses'!#REF!</definedName>
    <definedName name="a" localSheetId="88">'[1]A&amp;G Expenses'!#REF!</definedName>
    <definedName name="a" localSheetId="89">'[1]A&amp;G Expenses'!#REF!</definedName>
    <definedName name="a" localSheetId="90">'[1]A&amp;G Expenses'!#REF!</definedName>
    <definedName name="a" localSheetId="91">'[1]A&amp;G Expenses'!#REF!</definedName>
    <definedName name="a" localSheetId="92">'[1]A&amp;G Expenses'!#REF!</definedName>
    <definedName name="a" localSheetId="93">'[1]A&amp;G Expenses'!#REF!</definedName>
    <definedName name="a" localSheetId="74">'[1]A&amp;G Expenses'!#REF!</definedName>
    <definedName name="a" localSheetId="75">'[1]A&amp;G Expenses'!#REF!</definedName>
    <definedName name="a" localSheetId="76">'[1]A&amp;G Expenses'!#REF!</definedName>
    <definedName name="a" localSheetId="77">'[1]A&amp;G Expenses'!#REF!</definedName>
    <definedName name="a" localSheetId="78">'[1]A&amp;G Expenses'!#REF!</definedName>
    <definedName name="a" localSheetId="79">'[1]A&amp;G Expenses'!#REF!</definedName>
    <definedName name="a" localSheetId="94">'[2]A&amp;G Expenses'!#REF!</definedName>
    <definedName name="a">'[1]A&amp;G Expenses'!#REF!</definedName>
    <definedName name="Admn_and_General_Expenses" localSheetId="70">'[3]A&amp;G Expenses'!#REF!</definedName>
    <definedName name="Admn_and_General_Expenses" localSheetId="25">'[4]A&amp;G Expenses'!#REF!</definedName>
    <definedName name="Admn_and_General_Expenses" localSheetId="54">'[3]A&amp;G Expenses'!#REF!</definedName>
    <definedName name="Admn_and_General_Expenses" localSheetId="46">'[3]A&amp;G Expenses'!#REF!</definedName>
    <definedName name="Admn_and_General_Expenses" localSheetId="18">'[5]A&amp;G Expenses'!#REF!</definedName>
    <definedName name="Admn_and_General_Expenses" localSheetId="42">'[5]A&amp;G Expenses'!#REF!</definedName>
    <definedName name="Admn_and_General_Expenses" localSheetId="43">'[5]A&amp;G Expenses'!#REF!</definedName>
    <definedName name="Admn_and_General_Expenses" localSheetId="45">'[5]A&amp;G Expenses'!#REF!</definedName>
    <definedName name="Admn_and_General_Expenses" localSheetId="47">'[5]A&amp;G Expenses'!#REF!</definedName>
    <definedName name="Admn_and_General_Expenses" localSheetId="55">'[5]A&amp;G Expenses'!#REF!</definedName>
    <definedName name="Admn_and_General_Expenses" localSheetId="66">'[3]A&amp;G Expenses'!#REF!</definedName>
    <definedName name="Admn_and_General_Expenses" localSheetId="67">'[3]A&amp;G Expenses'!#REF!</definedName>
    <definedName name="Admn_and_General_Expenses" localSheetId="68">'[5]A&amp;G Expenses'!#REF!</definedName>
    <definedName name="Admn_and_General_Expenses" localSheetId="69">'[5]A&amp;G Expenses'!#REF!</definedName>
    <definedName name="Admn_and_General_Expenses" localSheetId="38">'[3]A&amp;G Expenses'!#REF!</definedName>
    <definedName name="Admn_and_General_Expenses" localSheetId="41">'[5]A&amp;G Expenses'!#REF!</definedName>
    <definedName name="Admn_and_General_Expenses" localSheetId="21">'[3]A&amp;G Expenses'!#REF!</definedName>
    <definedName name="Admn_and_General_Expenses" localSheetId="73">'[3]A&amp;G Expenses'!#REF!</definedName>
    <definedName name="Admn_and_General_Expenses" localSheetId="84">'[3]A&amp;G Expenses'!#REF!</definedName>
    <definedName name="Admn_and_General_Expenses" localSheetId="87">'[3]A&amp;G Expenses'!#REF!</definedName>
    <definedName name="Admn_and_General_Expenses" localSheetId="88">'[3]A&amp;G Expenses'!#REF!</definedName>
    <definedName name="Admn_and_General_Expenses" localSheetId="89">'[3]A&amp;G Expenses'!#REF!</definedName>
    <definedName name="Admn_and_General_Expenses" localSheetId="90">'[3]A&amp;G Expenses'!#REF!</definedName>
    <definedName name="Admn_and_General_Expenses" localSheetId="91">'[3]A&amp;G Expenses'!#REF!</definedName>
    <definedName name="Admn_and_General_Expenses" localSheetId="92">'[3]A&amp;G Expenses'!#REF!</definedName>
    <definedName name="Admn_and_General_Expenses" localSheetId="93">'[3]A&amp;G Expenses'!#REF!</definedName>
    <definedName name="Admn_and_General_Expenses" localSheetId="74">'[3]A&amp;G Expenses'!#REF!</definedName>
    <definedName name="Admn_and_General_Expenses" localSheetId="75">'[3]A&amp;G Expenses'!#REF!</definedName>
    <definedName name="Admn_and_General_Expenses" localSheetId="76">'[3]A&amp;G Expenses'!#REF!</definedName>
    <definedName name="Admn_and_General_Expenses" localSheetId="77">'[3]A&amp;G Expenses'!#REF!</definedName>
    <definedName name="Admn_and_General_Expenses" localSheetId="78">'[3]A&amp;G Expenses'!#REF!</definedName>
    <definedName name="Admn_and_General_Expenses" localSheetId="79">'[3]A&amp;G Expenses'!#REF!</definedName>
    <definedName name="Admn_and_General_Expenses" localSheetId="94">'[4]A&amp;G Expenses'!#REF!</definedName>
    <definedName name="Admn_and_General_Expenses">'[3]A&amp;G Expenses'!#REF!</definedName>
    <definedName name="Allocation_of_expenses" localSheetId="70">'[3]Allocation LT HT EHT'!#REF!</definedName>
    <definedName name="Allocation_of_expenses" localSheetId="25">'[4]Allocation LT HT EHT'!#REF!</definedName>
    <definedName name="Allocation_of_expenses" localSheetId="54">'[3]Allocation LT HT EHT'!#REF!</definedName>
    <definedName name="Allocation_of_expenses" localSheetId="18">'[5]Allocation LT HT EHT'!#REF!</definedName>
    <definedName name="Allocation_of_expenses" localSheetId="42">'[5]Allocation LT HT EHT'!#REF!</definedName>
    <definedName name="Allocation_of_expenses" localSheetId="43">'[5]Allocation LT HT EHT'!#REF!</definedName>
    <definedName name="Allocation_of_expenses" localSheetId="45">'[5]Allocation LT HT EHT'!#REF!</definedName>
    <definedName name="Allocation_of_expenses" localSheetId="47">'[5]Allocation LT HT EHT'!#REF!</definedName>
    <definedName name="Allocation_of_expenses" localSheetId="55">'[5]Allocation LT HT EHT'!#REF!</definedName>
    <definedName name="Allocation_of_expenses" localSheetId="66">'[3]Allocation LT HT EHT'!#REF!</definedName>
    <definedName name="Allocation_of_expenses" localSheetId="67">'[3]Allocation LT HT EHT'!#REF!</definedName>
    <definedName name="Allocation_of_expenses" localSheetId="68">'[5]Allocation LT HT EHT'!#REF!</definedName>
    <definedName name="Allocation_of_expenses" localSheetId="69">'[5]Allocation LT HT EHT'!#REF!</definedName>
    <definedName name="Allocation_of_expenses" localSheetId="38">'[3]Allocation LT HT EHT'!#REF!</definedName>
    <definedName name="Allocation_of_expenses" localSheetId="41">'[5]Allocation LT HT EHT'!#REF!</definedName>
    <definedName name="Allocation_of_expenses" localSheetId="21">'[3]Allocation LT HT EHT'!#REF!</definedName>
    <definedName name="Allocation_of_expenses" localSheetId="73">'[3]Allocation LT HT EHT'!#REF!</definedName>
    <definedName name="Allocation_of_expenses" localSheetId="84">'[3]Allocation LT HT EHT'!#REF!</definedName>
    <definedName name="Allocation_of_expenses" localSheetId="87">'[3]Allocation LT HT EHT'!#REF!</definedName>
    <definedName name="Allocation_of_expenses" localSheetId="88">'[3]Allocation LT HT EHT'!#REF!</definedName>
    <definedName name="Allocation_of_expenses" localSheetId="89">'[3]Allocation LT HT EHT'!#REF!</definedName>
    <definedName name="Allocation_of_expenses" localSheetId="90">'[3]Allocation LT HT EHT'!#REF!</definedName>
    <definedName name="Allocation_of_expenses" localSheetId="91">'[3]Allocation LT HT EHT'!#REF!</definedName>
    <definedName name="Allocation_of_expenses" localSheetId="92">'[3]Allocation LT HT EHT'!#REF!</definedName>
    <definedName name="Allocation_of_expenses" localSheetId="93">'[3]Allocation LT HT EHT'!#REF!</definedName>
    <definedName name="Allocation_of_expenses" localSheetId="74">'[3]Allocation LT HT EHT'!#REF!</definedName>
    <definedName name="Allocation_of_expenses" localSheetId="75">'[3]Allocation LT HT EHT'!#REF!</definedName>
    <definedName name="Allocation_of_expenses" localSheetId="76">'[3]Allocation LT HT EHT'!#REF!</definedName>
    <definedName name="Allocation_of_expenses" localSheetId="77">'[3]Allocation LT HT EHT'!#REF!</definedName>
    <definedName name="Allocation_of_expenses" localSheetId="78">'[3]Allocation LT HT EHT'!#REF!</definedName>
    <definedName name="Allocation_of_expenses" localSheetId="79">'[3]Allocation LT HT EHT'!#REF!</definedName>
    <definedName name="Allocation_of_expenses" localSheetId="94">'[4]Allocation LT HT EHT'!#REF!</definedName>
    <definedName name="Allocation_of_expenses">'[3]Allocation LT HT EHT'!#REF!</definedName>
    <definedName name="Allocation_of_revenues__expenses" localSheetId="70">'[3]Allocation LT HT EHT'!#REF!</definedName>
    <definedName name="Allocation_of_revenues__expenses" localSheetId="25">'[4]Allocation LT HT EHT'!#REF!</definedName>
    <definedName name="Allocation_of_revenues__expenses" localSheetId="54">'[3]Allocation LT HT EHT'!#REF!</definedName>
    <definedName name="Allocation_of_revenues__expenses" localSheetId="18">'[5]Allocation LT HT EHT'!#REF!</definedName>
    <definedName name="Allocation_of_revenues__expenses" localSheetId="42">'[5]Allocation LT HT EHT'!#REF!</definedName>
    <definedName name="Allocation_of_revenues__expenses" localSheetId="43">'[5]Allocation LT HT EHT'!#REF!</definedName>
    <definedName name="Allocation_of_revenues__expenses" localSheetId="45">'[5]Allocation LT HT EHT'!#REF!</definedName>
    <definedName name="Allocation_of_revenues__expenses" localSheetId="47">'[5]Allocation LT HT EHT'!#REF!</definedName>
    <definedName name="Allocation_of_revenues__expenses" localSheetId="55">'[5]Allocation LT HT EHT'!#REF!</definedName>
    <definedName name="Allocation_of_revenues__expenses" localSheetId="66">'[3]Allocation LT HT EHT'!#REF!</definedName>
    <definedName name="Allocation_of_revenues__expenses" localSheetId="67">'[3]Allocation LT HT EHT'!#REF!</definedName>
    <definedName name="Allocation_of_revenues__expenses" localSheetId="68">'[5]Allocation LT HT EHT'!#REF!</definedName>
    <definedName name="Allocation_of_revenues__expenses" localSheetId="69">'[5]Allocation LT HT EHT'!#REF!</definedName>
    <definedName name="Allocation_of_revenues__expenses" localSheetId="38">'[3]Allocation LT HT EHT'!#REF!</definedName>
    <definedName name="Allocation_of_revenues__expenses" localSheetId="41">'[5]Allocation LT HT EHT'!#REF!</definedName>
    <definedName name="Allocation_of_revenues__expenses" localSheetId="21">'[3]Allocation LT HT EHT'!#REF!</definedName>
    <definedName name="Allocation_of_revenues__expenses" localSheetId="73">'[3]Allocation LT HT EHT'!#REF!</definedName>
    <definedName name="Allocation_of_revenues__expenses" localSheetId="84">'[3]Allocation LT HT EHT'!#REF!</definedName>
    <definedName name="Allocation_of_revenues__expenses" localSheetId="87">'[3]Allocation LT HT EHT'!#REF!</definedName>
    <definedName name="Allocation_of_revenues__expenses" localSheetId="88">'[3]Allocation LT HT EHT'!#REF!</definedName>
    <definedName name="Allocation_of_revenues__expenses" localSheetId="89">'[3]Allocation LT HT EHT'!#REF!</definedName>
    <definedName name="Allocation_of_revenues__expenses" localSheetId="90">'[3]Allocation LT HT EHT'!#REF!</definedName>
    <definedName name="Allocation_of_revenues__expenses" localSheetId="91">'[3]Allocation LT HT EHT'!#REF!</definedName>
    <definedName name="Allocation_of_revenues__expenses" localSheetId="92">'[3]Allocation LT HT EHT'!#REF!</definedName>
    <definedName name="Allocation_of_revenues__expenses" localSheetId="93">'[3]Allocation LT HT EHT'!#REF!</definedName>
    <definedName name="Allocation_of_revenues__expenses" localSheetId="74">'[3]Allocation LT HT EHT'!#REF!</definedName>
    <definedName name="Allocation_of_revenues__expenses" localSheetId="75">'[3]Allocation LT HT EHT'!#REF!</definedName>
    <definedName name="Allocation_of_revenues__expenses" localSheetId="76">'[3]Allocation LT HT EHT'!#REF!</definedName>
    <definedName name="Allocation_of_revenues__expenses" localSheetId="77">'[3]Allocation LT HT EHT'!#REF!</definedName>
    <definedName name="Allocation_of_revenues__expenses" localSheetId="78">'[3]Allocation LT HT EHT'!#REF!</definedName>
    <definedName name="Allocation_of_revenues__expenses" localSheetId="79">'[3]Allocation LT HT EHT'!#REF!</definedName>
    <definedName name="Allocation_of_revenues__expenses" localSheetId="94">'[4]Allocation LT HT EHT'!#REF!</definedName>
    <definedName name="Allocation_of_revenues__expenses">'[3]Allocation LT HT EHT'!#REF!</definedName>
    <definedName name="Bad_Debts" localSheetId="70">#REF!</definedName>
    <definedName name="Bad_Debts" localSheetId="25">#REF!</definedName>
    <definedName name="Bad_Debts" localSheetId="1">#REF!</definedName>
    <definedName name="Bad_Debts" localSheetId="54">#REF!</definedName>
    <definedName name="Bad_Debts" localSheetId="46">#REF!</definedName>
    <definedName name="Bad_Debts" localSheetId="18">#REF!</definedName>
    <definedName name="Bad_Debts" localSheetId="42">#REF!</definedName>
    <definedName name="Bad_Debts" localSheetId="43">#REF!</definedName>
    <definedName name="Bad_Debts" localSheetId="45">#REF!</definedName>
    <definedName name="Bad_Debts" localSheetId="47">#REF!</definedName>
    <definedName name="Bad_Debts" localSheetId="55">#REF!</definedName>
    <definedName name="Bad_Debts" localSheetId="66">#REF!</definedName>
    <definedName name="Bad_Debts" localSheetId="67">#REF!</definedName>
    <definedName name="Bad_Debts" localSheetId="68">#REF!</definedName>
    <definedName name="Bad_Debts" localSheetId="69">#REF!</definedName>
    <definedName name="Bad_Debts" localSheetId="38">#REF!</definedName>
    <definedName name="Bad_Debts" localSheetId="41">#REF!</definedName>
    <definedName name="Bad_Debts" localSheetId="21">#REF!</definedName>
    <definedName name="Bad_Debts" localSheetId="73">#REF!</definedName>
    <definedName name="Bad_Debts" localSheetId="84">#REF!</definedName>
    <definedName name="Bad_Debts" localSheetId="85">#REF!</definedName>
    <definedName name="Bad_Debts" localSheetId="86">#REF!</definedName>
    <definedName name="Bad_Debts" localSheetId="87">#REF!</definedName>
    <definedName name="Bad_Debts" localSheetId="88">#REF!</definedName>
    <definedName name="Bad_Debts" localSheetId="89">#REF!</definedName>
    <definedName name="Bad_Debts" localSheetId="90">#REF!</definedName>
    <definedName name="Bad_Debts" localSheetId="91">#REF!</definedName>
    <definedName name="Bad_Debts" localSheetId="92">#REF!</definedName>
    <definedName name="Bad_Debts" localSheetId="93">#REF!</definedName>
    <definedName name="Bad_Debts" localSheetId="74">#REF!</definedName>
    <definedName name="Bad_Debts" localSheetId="75">#REF!</definedName>
    <definedName name="Bad_Debts" localSheetId="76">#REF!</definedName>
    <definedName name="Bad_Debts" localSheetId="77">#REF!</definedName>
    <definedName name="Bad_Debts" localSheetId="78">#REF!</definedName>
    <definedName name="Bad_Debts" localSheetId="79">#REF!</definedName>
    <definedName name="Bad_Debts" localSheetId="80">#REF!</definedName>
    <definedName name="Bad_Debts" localSheetId="81">#REF!</definedName>
    <definedName name="Bad_Debts" localSheetId="82">#REF!</definedName>
    <definedName name="Bad_Debts" localSheetId="83">#REF!</definedName>
    <definedName name="Bad_Debts" localSheetId="2">#REF!</definedName>
    <definedName name="Bad_Debts" localSheetId="94">#REF!</definedName>
    <definedName name="Bad_Debts">#REF!</definedName>
    <definedName name="BSGRU">[6]BSGRU2010!$A$1</definedName>
    <definedName name="Capital__Revenue_subsidies_and_Grants" localSheetId="70">#REF!</definedName>
    <definedName name="Capital__Revenue_subsidies_and_Grants" localSheetId="25">#REF!</definedName>
    <definedName name="Capital__Revenue_subsidies_and_Grants" localSheetId="1">#REF!</definedName>
    <definedName name="Capital__Revenue_subsidies_and_Grants" localSheetId="54">#REF!</definedName>
    <definedName name="Capital__Revenue_subsidies_and_Grants" localSheetId="46">#REF!</definedName>
    <definedName name="Capital__Revenue_subsidies_and_Grants" localSheetId="18">#REF!</definedName>
    <definedName name="Capital__Revenue_subsidies_and_Grants" localSheetId="42">#REF!</definedName>
    <definedName name="Capital__Revenue_subsidies_and_Grants" localSheetId="43">#REF!</definedName>
    <definedName name="Capital__Revenue_subsidies_and_Grants" localSheetId="45">#REF!</definedName>
    <definedName name="Capital__Revenue_subsidies_and_Grants" localSheetId="47">#REF!</definedName>
    <definedName name="Capital__Revenue_subsidies_and_Grants" localSheetId="55">#REF!</definedName>
    <definedName name="Capital__Revenue_subsidies_and_Grants" localSheetId="66">#REF!</definedName>
    <definedName name="Capital__Revenue_subsidies_and_Grants" localSheetId="67">#REF!</definedName>
    <definedName name="Capital__Revenue_subsidies_and_Grants" localSheetId="68">#REF!</definedName>
    <definedName name="Capital__Revenue_subsidies_and_Grants" localSheetId="69">#REF!</definedName>
    <definedName name="Capital__Revenue_subsidies_and_Grants" localSheetId="38">#REF!</definedName>
    <definedName name="Capital__Revenue_subsidies_and_Grants" localSheetId="41">#REF!</definedName>
    <definedName name="Capital__Revenue_subsidies_and_Grants" localSheetId="21">#REF!</definedName>
    <definedName name="Capital__Revenue_subsidies_and_Grants" localSheetId="73">#REF!</definedName>
    <definedName name="Capital__Revenue_subsidies_and_Grants" localSheetId="84">#REF!</definedName>
    <definedName name="Capital__Revenue_subsidies_and_Grants" localSheetId="85">#REF!</definedName>
    <definedName name="Capital__Revenue_subsidies_and_Grants" localSheetId="86">#REF!</definedName>
    <definedName name="Capital__Revenue_subsidies_and_Grants" localSheetId="87">#REF!</definedName>
    <definedName name="Capital__Revenue_subsidies_and_Grants" localSheetId="88">#REF!</definedName>
    <definedName name="Capital__Revenue_subsidies_and_Grants" localSheetId="89">#REF!</definedName>
    <definedName name="Capital__Revenue_subsidies_and_Grants" localSheetId="90">#REF!</definedName>
    <definedName name="Capital__Revenue_subsidies_and_Grants" localSheetId="91">#REF!</definedName>
    <definedName name="Capital__Revenue_subsidies_and_Grants" localSheetId="92">#REF!</definedName>
    <definedName name="Capital__Revenue_subsidies_and_Grants" localSheetId="93">#REF!</definedName>
    <definedName name="Capital__Revenue_subsidies_and_Grants" localSheetId="74">#REF!</definedName>
    <definedName name="Capital__Revenue_subsidies_and_Grants" localSheetId="75">#REF!</definedName>
    <definedName name="Capital__Revenue_subsidies_and_Grants" localSheetId="76">#REF!</definedName>
    <definedName name="Capital__Revenue_subsidies_and_Grants" localSheetId="77">#REF!</definedName>
    <definedName name="Capital__Revenue_subsidies_and_Grants" localSheetId="78">#REF!</definedName>
    <definedName name="Capital__Revenue_subsidies_and_Grants" localSheetId="79">#REF!</definedName>
    <definedName name="Capital__Revenue_subsidies_and_Grants" localSheetId="80">#REF!</definedName>
    <definedName name="Capital__Revenue_subsidies_and_Grants" localSheetId="81">#REF!</definedName>
    <definedName name="Capital__Revenue_subsidies_and_Grants" localSheetId="82">#REF!</definedName>
    <definedName name="Capital__Revenue_subsidies_and_Grants" localSheetId="83">#REF!</definedName>
    <definedName name="Capital__Revenue_subsidies_and_Grants" localSheetId="2">#REF!</definedName>
    <definedName name="Capital__Revenue_subsidies_and_Grants" localSheetId="94">#REF!</definedName>
    <definedName name="Capital__Revenue_subsidies_and_Grants">#REF!</definedName>
    <definedName name="Capital_work_in_progress" localSheetId="70">[3]CWIP!#REF!</definedName>
    <definedName name="Capital_work_in_progress" localSheetId="25">[4]CWIP!#REF!</definedName>
    <definedName name="Capital_work_in_progress" localSheetId="54">[3]CWIP!#REF!</definedName>
    <definedName name="Capital_work_in_progress" localSheetId="46">[3]CWIP!#REF!</definedName>
    <definedName name="Capital_work_in_progress" localSheetId="18">[5]CWIP!#REF!</definedName>
    <definedName name="Capital_work_in_progress" localSheetId="42">[5]CWIP!#REF!</definedName>
    <definedName name="Capital_work_in_progress" localSheetId="43">[5]CWIP!#REF!</definedName>
    <definedName name="Capital_work_in_progress" localSheetId="45">[5]CWIP!#REF!</definedName>
    <definedName name="Capital_work_in_progress" localSheetId="47">[5]CWIP!#REF!</definedName>
    <definedName name="Capital_work_in_progress" localSheetId="55">[5]CWIP!#REF!</definedName>
    <definedName name="Capital_work_in_progress" localSheetId="66">[3]CWIP!#REF!</definedName>
    <definedName name="Capital_work_in_progress" localSheetId="67">[3]CWIP!#REF!</definedName>
    <definedName name="Capital_work_in_progress" localSheetId="68">[5]CWIP!#REF!</definedName>
    <definedName name="Capital_work_in_progress" localSheetId="69">[5]CWIP!#REF!</definedName>
    <definedName name="Capital_work_in_progress" localSheetId="38">[3]CWIP!#REF!</definedName>
    <definedName name="Capital_work_in_progress" localSheetId="41">[5]CWIP!#REF!</definedName>
    <definedName name="Capital_work_in_progress" localSheetId="21">[3]CWIP!#REF!</definedName>
    <definedName name="Capital_work_in_progress" localSheetId="73">[3]CWIP!#REF!</definedName>
    <definedName name="Capital_work_in_progress" localSheetId="84">[3]CWIP!#REF!</definedName>
    <definedName name="Capital_work_in_progress" localSheetId="87">[3]CWIP!#REF!</definedName>
    <definedName name="Capital_work_in_progress" localSheetId="88">[3]CWIP!#REF!</definedName>
    <definedName name="Capital_work_in_progress" localSheetId="89">[3]CWIP!#REF!</definedName>
    <definedName name="Capital_work_in_progress" localSheetId="90">[3]CWIP!#REF!</definedName>
    <definedName name="Capital_work_in_progress" localSheetId="91">[3]CWIP!#REF!</definedName>
    <definedName name="Capital_work_in_progress" localSheetId="92">[3]CWIP!#REF!</definedName>
    <definedName name="Capital_work_in_progress" localSheetId="93">[3]CWIP!#REF!</definedName>
    <definedName name="Capital_work_in_progress" localSheetId="74">[3]CWIP!#REF!</definedName>
    <definedName name="Capital_work_in_progress" localSheetId="75">[3]CWIP!#REF!</definedName>
    <definedName name="Capital_work_in_progress" localSheetId="76">[3]CWIP!#REF!</definedName>
    <definedName name="Capital_work_in_progress" localSheetId="77">[3]CWIP!#REF!</definedName>
    <definedName name="Capital_work_in_progress" localSheetId="78">[3]CWIP!#REF!</definedName>
    <definedName name="Capital_work_in_progress" localSheetId="79">[3]CWIP!#REF!</definedName>
    <definedName name="Capital_work_in_progress" localSheetId="94">[4]CWIP!#REF!</definedName>
    <definedName name="Capital_work_in_progress">[3]CWIP!#REF!</definedName>
    <definedName name="ChallanDatabase">[7]Challan!$A$7:$S$58</definedName>
    <definedName name="ChallanDatabaseTotal">[7]Challan!$A$7:$U$58</definedName>
    <definedName name="ChallanSrnoList">[7]Challan!$A$7:$A$57</definedName>
    <definedName name="Consumption_Details" localSheetId="70">'[3]Consumption Data '!#REF!</definedName>
    <definedName name="Consumption_Details" localSheetId="25">'[4]Consumption Data '!#REF!</definedName>
    <definedName name="Consumption_Details" localSheetId="54">'[3]Consumption Data '!#REF!</definedName>
    <definedName name="Consumption_Details" localSheetId="46">'[3]Consumption Data '!#REF!</definedName>
    <definedName name="Consumption_Details" localSheetId="18">'[5]Consumption Data '!#REF!</definedName>
    <definedName name="Consumption_Details" localSheetId="42">'[5]Consumption Data '!#REF!</definedName>
    <definedName name="Consumption_Details" localSheetId="43">'[5]Consumption Data '!#REF!</definedName>
    <definedName name="Consumption_Details" localSheetId="45">'[5]Consumption Data '!#REF!</definedName>
    <definedName name="Consumption_Details" localSheetId="47">'[5]Consumption Data '!#REF!</definedName>
    <definedName name="Consumption_Details" localSheetId="55">'[5]Consumption Data '!#REF!</definedName>
    <definedName name="Consumption_Details" localSheetId="66">'[3]Consumption Data '!#REF!</definedName>
    <definedName name="Consumption_Details" localSheetId="67">'[3]Consumption Data '!#REF!</definedName>
    <definedName name="Consumption_Details" localSheetId="68">'[5]Consumption Data '!#REF!</definedName>
    <definedName name="Consumption_Details" localSheetId="69">'[5]Consumption Data '!#REF!</definedName>
    <definedName name="Consumption_Details" localSheetId="38">'[3]Consumption Data '!#REF!</definedName>
    <definedName name="Consumption_Details" localSheetId="41">'[5]Consumption Data '!#REF!</definedName>
    <definedName name="Consumption_Details" localSheetId="21">'[3]Consumption Data '!#REF!</definedName>
    <definedName name="Consumption_Details" localSheetId="73">'[3]Consumption Data '!#REF!</definedName>
    <definedName name="Consumption_Details" localSheetId="84">'[3]Consumption Data '!#REF!</definedName>
    <definedName name="Consumption_Details" localSheetId="87">'[3]Consumption Data '!#REF!</definedName>
    <definedName name="Consumption_Details" localSheetId="88">'[3]Consumption Data '!#REF!</definedName>
    <definedName name="Consumption_Details" localSheetId="89">'[3]Consumption Data '!#REF!</definedName>
    <definedName name="Consumption_Details" localSheetId="90">'[3]Consumption Data '!#REF!</definedName>
    <definedName name="Consumption_Details" localSheetId="91">'[3]Consumption Data '!#REF!</definedName>
    <definedName name="Consumption_Details" localSheetId="92">'[3]Consumption Data '!#REF!</definedName>
    <definedName name="Consumption_Details" localSheetId="93">'[3]Consumption Data '!#REF!</definedName>
    <definedName name="Consumption_Details" localSheetId="74">'[3]Consumption Data '!#REF!</definedName>
    <definedName name="Consumption_Details" localSheetId="75">'[3]Consumption Data '!#REF!</definedName>
    <definedName name="Consumption_Details" localSheetId="76">'[3]Consumption Data '!#REF!</definedName>
    <definedName name="Consumption_Details" localSheetId="77">'[3]Consumption Data '!#REF!</definedName>
    <definedName name="Consumption_Details" localSheetId="78">'[3]Consumption Data '!#REF!</definedName>
    <definedName name="Consumption_Details" localSheetId="79">'[3]Consumption Data '!#REF!</definedName>
    <definedName name="Consumption_Details" localSheetId="94">'[4]Consumption Data '!#REF!</definedName>
    <definedName name="Consumption_Details">'[3]Consumption Data '!#REF!</definedName>
    <definedName name="Cost_Parameters" localSheetId="70">'[3]Verification of inputs'!#REF!</definedName>
    <definedName name="Cost_Parameters" localSheetId="25">'[4]Verification of inputs'!#REF!</definedName>
    <definedName name="Cost_Parameters" localSheetId="54">'[3]Verification of inputs'!#REF!</definedName>
    <definedName name="Cost_Parameters" localSheetId="18">'[5]Verification of inputs'!#REF!</definedName>
    <definedName name="Cost_Parameters" localSheetId="42">'[5]Verification of inputs'!#REF!</definedName>
    <definedName name="Cost_Parameters" localSheetId="43">'[5]Verification of inputs'!#REF!</definedName>
    <definedName name="Cost_Parameters" localSheetId="45">'[5]Verification of inputs'!#REF!</definedName>
    <definedName name="Cost_Parameters" localSheetId="47">'[5]Verification of inputs'!#REF!</definedName>
    <definedName name="Cost_Parameters" localSheetId="55">'[5]Verification of inputs'!#REF!</definedName>
    <definedName name="Cost_Parameters" localSheetId="66">'[3]Verification of inputs'!#REF!</definedName>
    <definedName name="Cost_Parameters" localSheetId="67">'[3]Verification of inputs'!#REF!</definedName>
    <definedName name="Cost_Parameters" localSheetId="68">'[5]Verification of inputs'!#REF!</definedName>
    <definedName name="Cost_Parameters" localSheetId="69">'[5]Verification of inputs'!#REF!</definedName>
    <definedName name="Cost_Parameters" localSheetId="38">'[3]Verification of inputs'!#REF!</definedName>
    <definedName name="Cost_Parameters" localSheetId="41">'[5]Verification of inputs'!#REF!</definedName>
    <definedName name="Cost_Parameters" localSheetId="21">'[3]Verification of inputs'!#REF!</definedName>
    <definedName name="Cost_Parameters" localSheetId="73">'[3]Verification of inputs'!#REF!</definedName>
    <definedName name="Cost_Parameters" localSheetId="84">'[3]Verification of inputs'!#REF!</definedName>
    <definedName name="Cost_Parameters" localSheetId="87">'[3]Verification of inputs'!#REF!</definedName>
    <definedName name="Cost_Parameters" localSheetId="88">'[3]Verification of inputs'!#REF!</definedName>
    <definedName name="Cost_Parameters" localSheetId="89">'[3]Verification of inputs'!#REF!</definedName>
    <definedName name="Cost_Parameters" localSheetId="90">'[3]Verification of inputs'!#REF!</definedName>
    <definedName name="Cost_Parameters" localSheetId="91">'[3]Verification of inputs'!#REF!</definedName>
    <definedName name="Cost_Parameters" localSheetId="92">'[3]Verification of inputs'!#REF!</definedName>
    <definedName name="Cost_Parameters" localSheetId="93">'[3]Verification of inputs'!#REF!</definedName>
    <definedName name="Cost_Parameters" localSheetId="74">'[3]Verification of inputs'!#REF!</definedName>
    <definedName name="Cost_Parameters" localSheetId="75">'[3]Verification of inputs'!#REF!</definedName>
    <definedName name="Cost_Parameters" localSheetId="76">'[3]Verification of inputs'!#REF!</definedName>
    <definedName name="Cost_Parameters" localSheetId="77">'[3]Verification of inputs'!#REF!</definedName>
    <definedName name="Cost_Parameters" localSheetId="78">'[3]Verification of inputs'!#REF!</definedName>
    <definedName name="Cost_Parameters" localSheetId="79">'[3]Verification of inputs'!#REF!</definedName>
    <definedName name="Cost_Parameters" localSheetId="94">'[4]Verification of inputs'!#REF!</definedName>
    <definedName name="Cost_Parameters">'[3]Verification of inputs'!#REF!</definedName>
    <definedName name="Current_Year_Details" localSheetId="70">'[3]Current Year'!#REF!</definedName>
    <definedName name="Current_Year_Details" localSheetId="25">'[4]Current Year'!#REF!</definedName>
    <definedName name="Current_Year_Details" localSheetId="54">'[3]Current Year'!#REF!</definedName>
    <definedName name="Current_Year_Details" localSheetId="18">'[5]Current Year'!#REF!</definedName>
    <definedName name="Current_Year_Details" localSheetId="42">'[5]Current Year'!#REF!</definedName>
    <definedName name="Current_Year_Details" localSheetId="43">'[5]Current Year'!#REF!</definedName>
    <definedName name="Current_Year_Details" localSheetId="45">'[5]Current Year'!#REF!</definedName>
    <definedName name="Current_Year_Details" localSheetId="47">'[5]Current Year'!#REF!</definedName>
    <definedName name="Current_Year_Details" localSheetId="55">'[5]Current Year'!#REF!</definedName>
    <definedName name="Current_Year_Details" localSheetId="66">'[3]Current Year'!#REF!</definedName>
    <definedName name="Current_Year_Details" localSheetId="67">'[3]Current Year'!#REF!</definedName>
    <definedName name="Current_Year_Details" localSheetId="68">'[5]Current Year'!#REF!</definedName>
    <definedName name="Current_Year_Details" localSheetId="69">'[5]Current Year'!#REF!</definedName>
    <definedName name="Current_Year_Details" localSheetId="38">'[3]Current Year'!#REF!</definedName>
    <definedName name="Current_Year_Details" localSheetId="41">'[5]Current Year'!#REF!</definedName>
    <definedName name="Current_Year_Details" localSheetId="21">'[3]Current Year'!#REF!</definedName>
    <definedName name="Current_Year_Details" localSheetId="73">'[3]Current Year'!#REF!</definedName>
    <definedName name="Current_Year_Details" localSheetId="84">'[3]Current Year'!#REF!</definedName>
    <definedName name="Current_Year_Details" localSheetId="87">'[3]Current Year'!#REF!</definedName>
    <definedName name="Current_Year_Details" localSheetId="88">'[3]Current Year'!#REF!</definedName>
    <definedName name="Current_Year_Details" localSheetId="89">'[3]Current Year'!#REF!</definedName>
    <definedName name="Current_Year_Details" localSheetId="90">'[3]Current Year'!#REF!</definedName>
    <definedName name="Current_Year_Details" localSheetId="91">'[3]Current Year'!#REF!</definedName>
    <definedName name="Current_Year_Details" localSheetId="92">'[3]Current Year'!#REF!</definedName>
    <definedName name="Current_Year_Details" localSheetId="93">'[3]Current Year'!#REF!</definedName>
    <definedName name="Current_Year_Details" localSheetId="74">'[3]Current Year'!#REF!</definedName>
    <definedName name="Current_Year_Details" localSheetId="75">'[3]Current Year'!#REF!</definedName>
    <definedName name="Current_Year_Details" localSheetId="76">'[3]Current Year'!#REF!</definedName>
    <definedName name="Current_Year_Details" localSheetId="77">'[3]Current Year'!#REF!</definedName>
    <definedName name="Current_Year_Details" localSheetId="78">'[3]Current Year'!#REF!</definedName>
    <definedName name="Current_Year_Details" localSheetId="79">'[3]Current Year'!#REF!</definedName>
    <definedName name="Current_Year_Details" localSheetId="94">'[4]Current Year'!#REF!</definedName>
    <definedName name="Current_Year_Details">'[3]Current Year'!#REF!</definedName>
    <definedName name="DATA10">'[8]WBS Report FY22'!#REF!</definedName>
    <definedName name="DATA6">'[8]WBS Report FY22'!#REF!</definedName>
    <definedName name="DATA8">'[8]WBS Report FY22'!#REF!</definedName>
    <definedName name="_xlnm.Database">#REF!</definedName>
    <definedName name="Debtors" localSheetId="70">#REF!</definedName>
    <definedName name="Debtors" localSheetId="25">#REF!</definedName>
    <definedName name="Debtors" localSheetId="1">#REF!</definedName>
    <definedName name="Debtors" localSheetId="54">#REF!</definedName>
    <definedName name="Debtors" localSheetId="46">#REF!</definedName>
    <definedName name="Debtors" localSheetId="18">#REF!</definedName>
    <definedName name="Debtors" localSheetId="42">#REF!</definedName>
    <definedName name="Debtors" localSheetId="43">#REF!</definedName>
    <definedName name="Debtors" localSheetId="45">#REF!</definedName>
    <definedName name="Debtors" localSheetId="47">#REF!</definedName>
    <definedName name="Debtors" localSheetId="55">#REF!</definedName>
    <definedName name="Debtors" localSheetId="66">#REF!</definedName>
    <definedName name="Debtors" localSheetId="67">#REF!</definedName>
    <definedName name="Debtors" localSheetId="68">#REF!</definedName>
    <definedName name="Debtors" localSheetId="69">#REF!</definedName>
    <definedName name="Debtors" localSheetId="38">#REF!</definedName>
    <definedName name="Debtors" localSheetId="41">#REF!</definedName>
    <definedName name="Debtors" localSheetId="21">#REF!</definedName>
    <definedName name="Debtors" localSheetId="73">#REF!</definedName>
    <definedName name="Debtors" localSheetId="84">#REF!</definedName>
    <definedName name="Debtors" localSheetId="85">#REF!</definedName>
    <definedName name="Debtors" localSheetId="86">#REF!</definedName>
    <definedName name="Debtors" localSheetId="87">#REF!</definedName>
    <definedName name="Debtors" localSheetId="88">#REF!</definedName>
    <definedName name="Debtors" localSheetId="89">#REF!</definedName>
    <definedName name="Debtors" localSheetId="90">#REF!</definedName>
    <definedName name="Debtors" localSheetId="91">#REF!</definedName>
    <definedName name="Debtors" localSheetId="92">#REF!</definedName>
    <definedName name="Debtors" localSheetId="93">#REF!</definedName>
    <definedName name="Debtors" localSheetId="74">#REF!</definedName>
    <definedName name="Debtors" localSheetId="75">#REF!</definedName>
    <definedName name="Debtors" localSheetId="76">#REF!</definedName>
    <definedName name="Debtors" localSheetId="77">#REF!</definedName>
    <definedName name="Debtors" localSheetId="78">#REF!</definedName>
    <definedName name="Debtors" localSheetId="79">#REF!</definedName>
    <definedName name="Debtors" localSheetId="80">#REF!</definedName>
    <definedName name="Debtors" localSheetId="81">#REF!</definedName>
    <definedName name="Debtors" localSheetId="82">#REF!</definedName>
    <definedName name="Debtors" localSheetId="83">#REF!</definedName>
    <definedName name="Debtors" localSheetId="2">#REF!</definedName>
    <definedName name="Debtors" localSheetId="94">#REF!</definedName>
    <definedName name="Debtors">#REF!</definedName>
    <definedName name="Demand_data_for_consumers_with_Connected_Load___100_kVA" localSheetId="70">'[9]Consumer Data &gt;100kVA'!#REF!</definedName>
    <definedName name="Demand_data_for_consumers_with_Connected_Load___100_kVA" localSheetId="25">'[10]Consumer Data &gt;100kVA'!#REF!</definedName>
    <definedName name="Demand_data_for_consumers_with_Connected_Load___100_kVA" localSheetId="54">'[9]Consumer Data &gt;100kVA'!#REF!</definedName>
    <definedName name="Demand_data_for_consumers_with_Connected_Load___100_kVA" localSheetId="46">'[9]Consumer Data &gt;100kVA'!#REF!</definedName>
    <definedName name="Demand_data_for_consumers_with_Connected_Load___100_kVA" localSheetId="18">'[11]Consumer Data &gt;100kVA'!#REF!</definedName>
    <definedName name="Demand_data_for_consumers_with_Connected_Load___100_kVA" localSheetId="42">'[11]Consumer Data &gt;100kVA'!#REF!</definedName>
    <definedName name="Demand_data_for_consumers_with_Connected_Load___100_kVA" localSheetId="43">'[11]Consumer Data &gt;100kVA'!#REF!</definedName>
    <definedName name="Demand_data_for_consumers_with_Connected_Load___100_kVA" localSheetId="45">'[11]Consumer Data &gt;100kVA'!#REF!</definedName>
    <definedName name="Demand_data_for_consumers_with_Connected_Load___100_kVA" localSheetId="47">'[11]Consumer Data &gt;100kVA'!#REF!</definedName>
    <definedName name="Demand_data_for_consumers_with_Connected_Load___100_kVA" localSheetId="55">'[11]Consumer Data &gt;100kVA'!#REF!</definedName>
    <definedName name="Demand_data_for_consumers_with_Connected_Load___100_kVA" localSheetId="66">'[9]Consumer Data &gt;100kVA'!#REF!</definedName>
    <definedName name="Demand_data_for_consumers_with_Connected_Load___100_kVA" localSheetId="67">'[9]Consumer Data &gt;100kVA'!#REF!</definedName>
    <definedName name="Demand_data_for_consumers_with_Connected_Load___100_kVA" localSheetId="68">'[11]Consumer Data &gt;100kVA'!#REF!</definedName>
    <definedName name="Demand_data_for_consumers_with_Connected_Load___100_kVA" localSheetId="69">'[11]Consumer Data &gt;100kVA'!#REF!</definedName>
    <definedName name="Demand_data_for_consumers_with_Connected_Load___100_kVA" localSheetId="38">'[9]Consumer Data &gt;100kVA'!#REF!</definedName>
    <definedName name="Demand_data_for_consumers_with_Connected_Load___100_kVA" localSheetId="41">'[11]Consumer Data &gt;100kVA'!#REF!</definedName>
    <definedName name="Demand_data_for_consumers_with_Connected_Load___100_kVA" localSheetId="21">'[9]Consumer Data &gt;100kVA'!#REF!</definedName>
    <definedName name="Demand_data_for_consumers_with_Connected_Load___100_kVA" localSheetId="73">'[9]Consumer Data &gt;100kVA'!#REF!</definedName>
    <definedName name="Demand_data_for_consumers_with_Connected_Load___100_kVA" localSheetId="84">'[9]Consumer Data &gt;100kVA'!#REF!</definedName>
    <definedName name="Demand_data_for_consumers_with_Connected_Load___100_kVA" localSheetId="87">'[9]Consumer Data &gt;100kVA'!#REF!</definedName>
    <definedName name="Demand_data_for_consumers_with_Connected_Load___100_kVA" localSheetId="88">'[9]Consumer Data &gt;100kVA'!#REF!</definedName>
    <definedName name="Demand_data_for_consumers_with_Connected_Load___100_kVA" localSheetId="89">'[9]Consumer Data &gt;100kVA'!#REF!</definedName>
    <definedName name="Demand_data_for_consumers_with_Connected_Load___100_kVA" localSheetId="90">'[9]Consumer Data &gt;100kVA'!#REF!</definedName>
    <definedName name="Demand_data_for_consumers_with_Connected_Load___100_kVA" localSheetId="91">'[9]Consumer Data &gt;100kVA'!#REF!</definedName>
    <definedName name="Demand_data_for_consumers_with_Connected_Load___100_kVA" localSheetId="92">'[9]Consumer Data &gt;100kVA'!#REF!</definedName>
    <definedName name="Demand_data_for_consumers_with_Connected_Load___100_kVA" localSheetId="93">'[9]Consumer Data &gt;100kVA'!#REF!</definedName>
    <definedName name="Demand_data_for_consumers_with_Connected_Load___100_kVA" localSheetId="74">'[9]Consumer Data &gt;100kVA'!#REF!</definedName>
    <definedName name="Demand_data_for_consumers_with_Connected_Load___100_kVA" localSheetId="75">'[9]Consumer Data &gt;100kVA'!#REF!</definedName>
    <definedName name="Demand_data_for_consumers_with_Connected_Load___100_kVA" localSheetId="76">'[9]Consumer Data &gt;100kVA'!#REF!</definedName>
    <definedName name="Demand_data_for_consumers_with_Connected_Load___100_kVA" localSheetId="77">'[9]Consumer Data &gt;100kVA'!#REF!</definedName>
    <definedName name="Demand_data_for_consumers_with_Connected_Load___100_kVA" localSheetId="78">'[9]Consumer Data &gt;100kVA'!#REF!</definedName>
    <definedName name="Demand_data_for_consumers_with_Connected_Load___100_kVA" localSheetId="79">'[9]Consumer Data &gt;100kVA'!#REF!</definedName>
    <definedName name="Demand_data_for_consumers_with_Connected_Load___100_kVA" localSheetId="94">'[10]Consumer Data &gt;100kVA'!#REF!</definedName>
    <definedName name="Demand_data_for_consumers_with_Connected_Load___100_kVA">'[9]Consumer Data &gt;100kVA'!#REF!</definedName>
    <definedName name="Employees_Cost" localSheetId="70">'[3]Employee Costs'!#REF!</definedName>
    <definedName name="Employees_Cost" localSheetId="25">'[4]Employee Costs'!#REF!</definedName>
    <definedName name="Employees_Cost" localSheetId="54">'[3]Employee Costs'!#REF!</definedName>
    <definedName name="Employees_Cost" localSheetId="18">'[5]Employee Costs'!#REF!</definedName>
    <definedName name="Employees_Cost" localSheetId="42">'[5]Employee Costs'!#REF!</definedName>
    <definedName name="Employees_Cost" localSheetId="43">'[5]Employee Costs'!#REF!</definedName>
    <definedName name="Employees_Cost" localSheetId="45">'[5]Employee Costs'!#REF!</definedName>
    <definedName name="Employees_Cost" localSheetId="47">'[5]Employee Costs'!#REF!</definedName>
    <definedName name="Employees_Cost" localSheetId="55">'[5]Employee Costs'!#REF!</definedName>
    <definedName name="Employees_Cost" localSheetId="66">'[3]Employee Costs'!#REF!</definedName>
    <definedName name="Employees_Cost" localSheetId="67">'[3]Employee Costs'!#REF!</definedName>
    <definedName name="Employees_Cost" localSheetId="68">'[5]Employee Costs'!#REF!</definedName>
    <definedName name="Employees_Cost" localSheetId="69">'[5]Employee Costs'!#REF!</definedName>
    <definedName name="Employees_Cost" localSheetId="38">'[3]Employee Costs'!#REF!</definedName>
    <definedName name="Employees_Cost" localSheetId="41">'[5]Employee Costs'!#REF!</definedName>
    <definedName name="Employees_Cost" localSheetId="21">'[3]Employee Costs'!#REF!</definedName>
    <definedName name="Employees_Cost" localSheetId="73">'[3]Employee Costs'!#REF!</definedName>
    <definedName name="Employees_Cost" localSheetId="84">'[3]Employee Costs'!#REF!</definedName>
    <definedName name="Employees_Cost" localSheetId="87">'[3]Employee Costs'!#REF!</definedName>
    <definedName name="Employees_Cost" localSheetId="88">'[3]Employee Costs'!#REF!</definedName>
    <definedName name="Employees_Cost" localSheetId="89">'[3]Employee Costs'!#REF!</definedName>
    <definedName name="Employees_Cost" localSheetId="90">'[3]Employee Costs'!#REF!</definedName>
    <definedName name="Employees_Cost" localSheetId="91">'[3]Employee Costs'!#REF!</definedName>
    <definedName name="Employees_Cost" localSheetId="92">'[3]Employee Costs'!#REF!</definedName>
    <definedName name="Employees_Cost" localSheetId="93">'[3]Employee Costs'!#REF!</definedName>
    <definedName name="Employees_Cost" localSheetId="74">'[3]Employee Costs'!#REF!</definedName>
    <definedName name="Employees_Cost" localSheetId="75">'[3]Employee Costs'!#REF!</definedName>
    <definedName name="Employees_Cost" localSheetId="76">'[3]Employee Costs'!#REF!</definedName>
    <definedName name="Employees_Cost" localSheetId="77">'[3]Employee Costs'!#REF!</definedName>
    <definedName name="Employees_Cost" localSheetId="78">'[3]Employee Costs'!#REF!</definedName>
    <definedName name="Employees_Cost" localSheetId="79">'[3]Employee Costs'!#REF!</definedName>
    <definedName name="Employees_Cost" localSheetId="94">'[4]Employee Costs'!#REF!</definedName>
    <definedName name="Employees_Cost">'[3]Employee Costs'!#REF!</definedName>
    <definedName name="erheri" localSheetId="70">'[1]Employee Costs'!#REF!</definedName>
    <definedName name="erheri" localSheetId="25">'[1]Employee Costs'!#REF!</definedName>
    <definedName name="erheri" localSheetId="54">'[1]Employee Costs'!#REF!</definedName>
    <definedName name="erheri" localSheetId="18">'[2]Employee Costs'!#REF!</definedName>
    <definedName name="erheri" localSheetId="42">'[2]Employee Costs'!#REF!</definedName>
    <definedName name="erheri" localSheetId="43">'[2]Employee Costs'!#REF!</definedName>
    <definedName name="erheri" localSheetId="45">'[2]Employee Costs'!#REF!</definedName>
    <definedName name="erheri" localSheetId="47">'[2]Employee Costs'!#REF!</definedName>
    <definedName name="erheri" localSheetId="55">'[2]Employee Costs'!#REF!</definedName>
    <definedName name="erheri" localSheetId="66">'[1]Employee Costs'!#REF!</definedName>
    <definedName name="erheri" localSheetId="67">'[1]Employee Costs'!#REF!</definedName>
    <definedName name="erheri" localSheetId="68">'[2]Employee Costs'!#REF!</definedName>
    <definedName name="erheri" localSheetId="69">'[2]Employee Costs'!#REF!</definedName>
    <definedName name="erheri" localSheetId="38">'[1]Employee Costs'!#REF!</definedName>
    <definedName name="erheri" localSheetId="41">'[2]Employee Costs'!#REF!</definedName>
    <definedName name="erheri" localSheetId="21">'[1]Employee Costs'!#REF!</definedName>
    <definedName name="erheri" localSheetId="73">'[1]Employee Costs'!#REF!</definedName>
    <definedName name="erheri" localSheetId="84">'[1]Employee Costs'!#REF!</definedName>
    <definedName name="erheri" localSheetId="87">'[1]Employee Costs'!#REF!</definedName>
    <definedName name="erheri" localSheetId="88">'[1]Employee Costs'!#REF!</definedName>
    <definedName name="erheri" localSheetId="89">'[1]Employee Costs'!#REF!</definedName>
    <definedName name="erheri" localSheetId="90">'[1]Employee Costs'!#REF!</definedName>
    <definedName name="erheri" localSheetId="91">'[1]Employee Costs'!#REF!</definedName>
    <definedName name="erheri" localSheetId="92">'[1]Employee Costs'!#REF!</definedName>
    <definedName name="erheri" localSheetId="93">'[1]Employee Costs'!#REF!</definedName>
    <definedName name="erheri" localSheetId="74">'[1]Employee Costs'!#REF!</definedName>
    <definedName name="erheri" localSheetId="75">'[1]Employee Costs'!#REF!</definedName>
    <definedName name="erheri" localSheetId="76">'[1]Employee Costs'!#REF!</definedName>
    <definedName name="erheri" localSheetId="77">'[1]Employee Costs'!#REF!</definedName>
    <definedName name="erheri" localSheetId="78">'[1]Employee Costs'!#REF!</definedName>
    <definedName name="erheri" localSheetId="79">'[1]Employee Costs'!#REF!</definedName>
    <definedName name="erheri" localSheetId="94">'[2]Employee Costs'!#REF!</definedName>
    <definedName name="erheri">'[1]Employee Costs'!#REF!</definedName>
    <definedName name="Existing_Tariff_Structure" localSheetId="70">#REF!</definedName>
    <definedName name="Existing_Tariff_Structure" localSheetId="25">#REF!</definedName>
    <definedName name="Existing_Tariff_Structure" localSheetId="1">#REF!</definedName>
    <definedName name="Existing_Tariff_Structure" localSheetId="54">#REF!</definedName>
    <definedName name="Existing_Tariff_Structure" localSheetId="46">#REF!</definedName>
    <definedName name="Existing_Tariff_Structure" localSheetId="18">#REF!</definedName>
    <definedName name="Existing_Tariff_Structure" localSheetId="42">#REF!</definedName>
    <definedName name="Existing_Tariff_Structure" localSheetId="43">#REF!</definedName>
    <definedName name="Existing_Tariff_Structure" localSheetId="45">#REF!</definedName>
    <definedName name="Existing_Tariff_Structure" localSheetId="47">#REF!</definedName>
    <definedName name="Existing_Tariff_Structure" localSheetId="55">#REF!</definedName>
    <definedName name="Existing_Tariff_Structure" localSheetId="66">#REF!</definedName>
    <definedName name="Existing_Tariff_Structure" localSheetId="67">#REF!</definedName>
    <definedName name="Existing_Tariff_Structure" localSheetId="68">#REF!</definedName>
    <definedName name="Existing_Tariff_Structure" localSheetId="69">#REF!</definedName>
    <definedName name="Existing_Tariff_Structure" localSheetId="38">#REF!</definedName>
    <definedName name="Existing_Tariff_Structure" localSheetId="41">#REF!</definedName>
    <definedName name="Existing_Tariff_Structure" localSheetId="21">#REF!</definedName>
    <definedName name="Existing_Tariff_Structure" localSheetId="73">#REF!</definedName>
    <definedName name="Existing_Tariff_Structure" localSheetId="84">#REF!</definedName>
    <definedName name="Existing_Tariff_Structure" localSheetId="85">#REF!</definedName>
    <definedName name="Existing_Tariff_Structure" localSheetId="86">#REF!</definedName>
    <definedName name="Existing_Tariff_Structure" localSheetId="87">#REF!</definedName>
    <definedName name="Existing_Tariff_Structure" localSheetId="88">#REF!</definedName>
    <definedName name="Existing_Tariff_Structure" localSheetId="89">#REF!</definedName>
    <definedName name="Existing_Tariff_Structure" localSheetId="90">#REF!</definedName>
    <definedName name="Existing_Tariff_Structure" localSheetId="91">#REF!</definedName>
    <definedName name="Existing_Tariff_Structure" localSheetId="92">#REF!</definedName>
    <definedName name="Existing_Tariff_Structure" localSheetId="93">#REF!</definedName>
    <definedName name="Existing_Tariff_Structure" localSheetId="74">#REF!</definedName>
    <definedName name="Existing_Tariff_Structure" localSheetId="75">#REF!</definedName>
    <definedName name="Existing_Tariff_Structure" localSheetId="76">#REF!</definedName>
    <definedName name="Existing_Tariff_Structure" localSheetId="77">#REF!</definedName>
    <definedName name="Existing_Tariff_Structure" localSheetId="78">#REF!</definedName>
    <definedName name="Existing_Tariff_Structure" localSheetId="79">#REF!</definedName>
    <definedName name="Existing_Tariff_Structure" localSheetId="80">#REF!</definedName>
    <definedName name="Existing_Tariff_Structure" localSheetId="81">#REF!</definedName>
    <definedName name="Existing_Tariff_Structure" localSheetId="82">#REF!</definedName>
    <definedName name="Existing_Tariff_Structure" localSheetId="83">#REF!</definedName>
    <definedName name="Existing_Tariff_Structure" localSheetId="2">#REF!</definedName>
    <definedName name="Existing_Tariff_Structure" localSheetId="94">#REF!</definedName>
    <definedName name="Existing_Tariff_Structure">#REF!</definedName>
    <definedName name="gg" localSheetId="70">'[5]Power Purchase Cost'!#REF!</definedName>
    <definedName name="gg" localSheetId="25">'[5]Power Purchase Cost'!#REF!</definedName>
    <definedName name="gg" localSheetId="54">'[5]Power Purchase Cost'!#REF!</definedName>
    <definedName name="gg" localSheetId="46">'[5]Power Purchase Cost'!#REF!</definedName>
    <definedName name="gg" localSheetId="66">'[5]Power Purchase Cost'!#REF!</definedName>
    <definedName name="gg" localSheetId="67">'[5]Power Purchase Cost'!#REF!</definedName>
    <definedName name="gg" localSheetId="38">'[5]Power Purchase Cost'!#REF!</definedName>
    <definedName name="gg" localSheetId="21">'[5]Power Purchase Cost'!#REF!</definedName>
    <definedName name="gg" localSheetId="73">'[5]Power Purchase Cost'!#REF!</definedName>
    <definedName name="gg" localSheetId="84">'[5]Power Purchase Cost'!#REF!</definedName>
    <definedName name="gg" localSheetId="87">'[5]Power Purchase Cost'!#REF!</definedName>
    <definedName name="gg" localSheetId="88">'[5]Power Purchase Cost'!#REF!</definedName>
    <definedName name="gg" localSheetId="89">'[5]Power Purchase Cost'!#REF!</definedName>
    <definedName name="gg" localSheetId="90">'[5]Power Purchase Cost'!#REF!</definedName>
    <definedName name="gg" localSheetId="91">'[5]Power Purchase Cost'!#REF!</definedName>
    <definedName name="gg" localSheetId="92">'[5]Power Purchase Cost'!#REF!</definedName>
    <definedName name="gg" localSheetId="93">'[5]Power Purchase Cost'!#REF!</definedName>
    <definedName name="gg" localSheetId="74">'[5]Power Purchase Cost'!#REF!</definedName>
    <definedName name="gg" localSheetId="75">'[5]Power Purchase Cost'!#REF!</definedName>
    <definedName name="gg" localSheetId="76">'[5]Power Purchase Cost'!#REF!</definedName>
    <definedName name="gg" localSheetId="77">'[5]Power Purchase Cost'!#REF!</definedName>
    <definedName name="gg" localSheetId="78">'[5]Power Purchase Cost'!#REF!</definedName>
    <definedName name="gg" localSheetId="79">'[5]Power Purchase Cost'!#REF!</definedName>
    <definedName name="gg">'[5]Power Purchase Cost'!#REF!</definedName>
    <definedName name="Information_on_Inventory" localSheetId="70">#REF!</definedName>
    <definedName name="Information_on_Inventory" localSheetId="25">#REF!</definedName>
    <definedName name="Information_on_Inventory" localSheetId="1">#REF!</definedName>
    <definedName name="Information_on_Inventory" localSheetId="54">#REF!</definedName>
    <definedName name="Information_on_Inventory" localSheetId="46">#REF!</definedName>
    <definedName name="Information_on_Inventory" localSheetId="18">#REF!</definedName>
    <definedName name="Information_on_Inventory" localSheetId="42">#REF!</definedName>
    <definedName name="Information_on_Inventory" localSheetId="43">#REF!</definedName>
    <definedName name="Information_on_Inventory" localSheetId="45">#REF!</definedName>
    <definedName name="Information_on_Inventory" localSheetId="47">#REF!</definedName>
    <definedName name="Information_on_Inventory" localSheetId="55">#REF!</definedName>
    <definedName name="Information_on_Inventory" localSheetId="66">#REF!</definedName>
    <definedName name="Information_on_Inventory" localSheetId="67">#REF!</definedName>
    <definedName name="Information_on_Inventory" localSheetId="68">#REF!</definedName>
    <definedName name="Information_on_Inventory" localSheetId="69">#REF!</definedName>
    <definedName name="Information_on_Inventory" localSheetId="38">#REF!</definedName>
    <definedName name="Information_on_Inventory" localSheetId="41">#REF!</definedName>
    <definedName name="Information_on_Inventory" localSheetId="21">#REF!</definedName>
    <definedName name="Information_on_Inventory" localSheetId="73">#REF!</definedName>
    <definedName name="Information_on_Inventory" localSheetId="84">#REF!</definedName>
    <definedName name="Information_on_Inventory" localSheetId="85">#REF!</definedName>
    <definedName name="Information_on_Inventory" localSheetId="86">#REF!</definedName>
    <definedName name="Information_on_Inventory" localSheetId="87">#REF!</definedName>
    <definedName name="Information_on_Inventory" localSheetId="88">#REF!</definedName>
    <definedName name="Information_on_Inventory" localSheetId="89">#REF!</definedName>
    <definedName name="Information_on_Inventory" localSheetId="90">#REF!</definedName>
    <definedName name="Information_on_Inventory" localSheetId="91">#REF!</definedName>
    <definedName name="Information_on_Inventory" localSheetId="92">#REF!</definedName>
    <definedName name="Information_on_Inventory" localSheetId="93">#REF!</definedName>
    <definedName name="Information_on_Inventory" localSheetId="74">#REF!</definedName>
    <definedName name="Information_on_Inventory" localSheetId="75">#REF!</definedName>
    <definedName name="Information_on_Inventory" localSheetId="76">#REF!</definedName>
    <definedName name="Information_on_Inventory" localSheetId="77">#REF!</definedName>
    <definedName name="Information_on_Inventory" localSheetId="78">#REF!</definedName>
    <definedName name="Information_on_Inventory" localSheetId="79">#REF!</definedName>
    <definedName name="Information_on_Inventory" localSheetId="80">#REF!</definedName>
    <definedName name="Information_on_Inventory" localSheetId="81">#REF!</definedName>
    <definedName name="Information_on_Inventory" localSheetId="82">#REF!</definedName>
    <definedName name="Information_on_Inventory" localSheetId="83">#REF!</definedName>
    <definedName name="Information_on_Inventory" localSheetId="2">#REF!</definedName>
    <definedName name="Information_on_Inventory" localSheetId="94">#REF!</definedName>
    <definedName name="Information_on_Inventory">#REF!</definedName>
    <definedName name="Interest_and_Finance_Charges" localSheetId="70">#REF!</definedName>
    <definedName name="Interest_and_Finance_Charges" localSheetId="25">#REF!</definedName>
    <definedName name="Interest_and_Finance_Charges" localSheetId="1">#REF!</definedName>
    <definedName name="Interest_and_Finance_Charges" localSheetId="54">#REF!</definedName>
    <definedName name="Interest_and_Finance_Charges" localSheetId="46">#REF!</definedName>
    <definedName name="Interest_and_Finance_Charges" localSheetId="18">#REF!</definedName>
    <definedName name="Interest_and_Finance_Charges" localSheetId="42">#REF!</definedName>
    <definedName name="Interest_and_Finance_Charges" localSheetId="43">#REF!</definedName>
    <definedName name="Interest_and_Finance_Charges" localSheetId="45">#REF!</definedName>
    <definedName name="Interest_and_Finance_Charges" localSheetId="47">#REF!</definedName>
    <definedName name="Interest_and_Finance_Charges" localSheetId="55">#REF!</definedName>
    <definedName name="Interest_and_Finance_Charges" localSheetId="66">#REF!</definedName>
    <definedName name="Interest_and_Finance_Charges" localSheetId="67">#REF!</definedName>
    <definedName name="Interest_and_Finance_Charges" localSheetId="68">#REF!</definedName>
    <definedName name="Interest_and_Finance_Charges" localSheetId="69">#REF!</definedName>
    <definedName name="Interest_and_Finance_Charges" localSheetId="38">#REF!</definedName>
    <definedName name="Interest_and_Finance_Charges" localSheetId="41">#REF!</definedName>
    <definedName name="Interest_and_Finance_Charges" localSheetId="21">#REF!</definedName>
    <definedName name="Interest_and_Finance_Charges" localSheetId="73">#REF!</definedName>
    <definedName name="Interest_and_Finance_Charges" localSheetId="84">#REF!</definedName>
    <definedName name="Interest_and_Finance_Charges" localSheetId="85">#REF!</definedName>
    <definedName name="Interest_and_Finance_Charges" localSheetId="86">#REF!</definedName>
    <definedName name="Interest_and_Finance_Charges" localSheetId="87">#REF!</definedName>
    <definedName name="Interest_and_Finance_Charges" localSheetId="88">#REF!</definedName>
    <definedName name="Interest_and_Finance_Charges" localSheetId="89">#REF!</definedName>
    <definedName name="Interest_and_Finance_Charges" localSheetId="90">#REF!</definedName>
    <definedName name="Interest_and_Finance_Charges" localSheetId="91">#REF!</definedName>
    <definedName name="Interest_and_Finance_Charges" localSheetId="92">#REF!</definedName>
    <definedName name="Interest_and_Finance_Charges" localSheetId="93">#REF!</definedName>
    <definedName name="Interest_and_Finance_Charges" localSheetId="74">#REF!</definedName>
    <definedName name="Interest_and_Finance_Charges" localSheetId="75">#REF!</definedName>
    <definedName name="Interest_and_Finance_Charges" localSheetId="76">#REF!</definedName>
    <definedName name="Interest_and_Finance_Charges" localSheetId="77">#REF!</definedName>
    <definedName name="Interest_and_Finance_Charges" localSheetId="78">#REF!</definedName>
    <definedName name="Interest_and_Finance_Charges" localSheetId="79">#REF!</definedName>
    <definedName name="Interest_and_Finance_Charges" localSheetId="80">#REF!</definedName>
    <definedName name="Interest_and_Finance_Charges" localSheetId="81">#REF!</definedName>
    <definedName name="Interest_and_Finance_Charges" localSheetId="82">#REF!</definedName>
    <definedName name="Interest_and_Finance_Charges" localSheetId="83">#REF!</definedName>
    <definedName name="Interest_and_Finance_Charges" localSheetId="2">#REF!</definedName>
    <definedName name="Interest_and_Finance_Charges" localSheetId="94">#REF!</definedName>
    <definedName name="Interest_and_Finance_Charges">#REF!</definedName>
    <definedName name="Loss" localSheetId="70">#REF!</definedName>
    <definedName name="Loss" localSheetId="25">#REF!</definedName>
    <definedName name="Loss" localSheetId="1">#REF!</definedName>
    <definedName name="Loss" localSheetId="54">#REF!</definedName>
    <definedName name="Loss" localSheetId="46">#REF!</definedName>
    <definedName name="Loss" localSheetId="18">#REF!</definedName>
    <definedName name="Loss" localSheetId="42">#REF!</definedName>
    <definedName name="Loss" localSheetId="43">#REF!</definedName>
    <definedName name="Loss" localSheetId="45">#REF!</definedName>
    <definedName name="Loss" localSheetId="47">#REF!</definedName>
    <definedName name="Loss" localSheetId="55">#REF!</definedName>
    <definedName name="Loss" localSheetId="66">#REF!</definedName>
    <definedName name="Loss" localSheetId="67">#REF!</definedName>
    <definedName name="Loss" localSheetId="68">#REF!</definedName>
    <definedName name="Loss" localSheetId="69">#REF!</definedName>
    <definedName name="Loss" localSheetId="38">#REF!</definedName>
    <definedName name="Loss" localSheetId="41">#REF!</definedName>
    <definedName name="Loss" localSheetId="21">#REF!</definedName>
    <definedName name="Loss" localSheetId="73">#REF!</definedName>
    <definedName name="Loss" localSheetId="84">#REF!</definedName>
    <definedName name="Loss" localSheetId="85">#REF!</definedName>
    <definedName name="Loss" localSheetId="86">#REF!</definedName>
    <definedName name="Loss" localSheetId="87">#REF!</definedName>
    <definedName name="Loss" localSheetId="88">#REF!</definedName>
    <definedName name="Loss" localSheetId="89">#REF!</definedName>
    <definedName name="Loss" localSheetId="90">#REF!</definedName>
    <definedName name="Loss" localSheetId="91">#REF!</definedName>
    <definedName name="Loss" localSheetId="92">#REF!</definedName>
    <definedName name="Loss" localSheetId="93">#REF!</definedName>
    <definedName name="Loss" localSheetId="74">#REF!</definedName>
    <definedName name="Loss" localSheetId="75">#REF!</definedName>
    <definedName name="Loss" localSheetId="76">#REF!</definedName>
    <definedName name="Loss" localSheetId="77">#REF!</definedName>
    <definedName name="Loss" localSheetId="78">#REF!</definedName>
    <definedName name="Loss" localSheetId="79">#REF!</definedName>
    <definedName name="Loss" localSheetId="80">#REF!</definedName>
    <definedName name="Loss" localSheetId="81">#REF!</definedName>
    <definedName name="Loss" localSheetId="82">#REF!</definedName>
    <definedName name="Loss" localSheetId="83">#REF!</definedName>
    <definedName name="Loss" localSheetId="2">#REF!</definedName>
    <definedName name="Loss" localSheetId="94">#REF!</definedName>
    <definedName name="Loss">#REF!</definedName>
    <definedName name="Loss_Details" localSheetId="70">'[3]Loss Details'!#REF!</definedName>
    <definedName name="Loss_Details" localSheetId="25">'[4]Loss Details'!#REF!</definedName>
    <definedName name="Loss_Details" localSheetId="54">'[3]Loss Details'!#REF!</definedName>
    <definedName name="Loss_Details" localSheetId="46">'[3]Loss Details'!#REF!</definedName>
    <definedName name="Loss_Details" localSheetId="18">'[5]Loss Details'!#REF!</definedName>
    <definedName name="Loss_Details" localSheetId="42">'[5]Loss Details'!#REF!</definedName>
    <definedName name="Loss_Details" localSheetId="43">'[5]Loss Details'!#REF!</definedName>
    <definedName name="Loss_Details" localSheetId="45">'[5]Loss Details'!#REF!</definedName>
    <definedName name="Loss_Details" localSheetId="47">'[5]Loss Details'!#REF!</definedName>
    <definedName name="Loss_Details" localSheetId="55">'[5]Loss Details'!#REF!</definedName>
    <definedName name="Loss_Details" localSheetId="66">'[3]Loss Details'!#REF!</definedName>
    <definedName name="Loss_Details" localSheetId="67">'[3]Loss Details'!#REF!</definedName>
    <definedName name="Loss_Details" localSheetId="68">'[5]Loss Details'!#REF!</definedName>
    <definedName name="Loss_Details" localSheetId="69">'[5]Loss Details'!#REF!</definedName>
    <definedName name="Loss_Details" localSheetId="38">'[3]Loss Details'!#REF!</definedName>
    <definedName name="Loss_Details" localSheetId="41">'[5]Loss Details'!#REF!</definedName>
    <definedName name="Loss_Details" localSheetId="21">'[3]Loss Details'!#REF!</definedName>
    <definedName name="Loss_Details" localSheetId="73">'[3]Loss Details'!#REF!</definedName>
    <definedName name="Loss_Details" localSheetId="84">'[3]Loss Details'!#REF!</definedName>
    <definedName name="Loss_Details" localSheetId="87">'[3]Loss Details'!#REF!</definedName>
    <definedName name="Loss_Details" localSheetId="88">'[3]Loss Details'!#REF!</definedName>
    <definedName name="Loss_Details" localSheetId="89">'[3]Loss Details'!#REF!</definedName>
    <definedName name="Loss_Details" localSheetId="90">'[3]Loss Details'!#REF!</definedName>
    <definedName name="Loss_Details" localSheetId="91">'[3]Loss Details'!#REF!</definedName>
    <definedName name="Loss_Details" localSheetId="92">'[3]Loss Details'!#REF!</definedName>
    <definedName name="Loss_Details" localSheetId="93">'[3]Loss Details'!#REF!</definedName>
    <definedName name="Loss_Details" localSheetId="74">'[3]Loss Details'!#REF!</definedName>
    <definedName name="Loss_Details" localSheetId="75">'[3]Loss Details'!#REF!</definedName>
    <definedName name="Loss_Details" localSheetId="76">'[3]Loss Details'!#REF!</definedName>
    <definedName name="Loss_Details" localSheetId="77">'[3]Loss Details'!#REF!</definedName>
    <definedName name="Loss_Details" localSheetId="78">'[3]Loss Details'!#REF!</definedName>
    <definedName name="Loss_Details" localSheetId="79">'[3]Loss Details'!#REF!</definedName>
    <definedName name="Loss_Details" localSheetId="94">'[4]Loss Details'!#REF!</definedName>
    <definedName name="Loss_Details">'[3]Loss Details'!#REF!</definedName>
    <definedName name="MAR" localSheetId="70">#REF!</definedName>
    <definedName name="MAR" localSheetId="25">#REF!</definedName>
    <definedName name="MAR" localSheetId="1">#REF!</definedName>
    <definedName name="MAR" localSheetId="54">#REF!</definedName>
    <definedName name="MAR" localSheetId="46">#REF!</definedName>
    <definedName name="MAR" localSheetId="38">#REF!</definedName>
    <definedName name="MAR" localSheetId="21">#REF!</definedName>
    <definedName name="MAR" localSheetId="73">#REF!</definedName>
    <definedName name="MAR" localSheetId="84">#REF!</definedName>
    <definedName name="MAR" localSheetId="85">#REF!</definedName>
    <definedName name="MAR" localSheetId="86">#REF!</definedName>
    <definedName name="MAR" localSheetId="87">#REF!</definedName>
    <definedName name="MAR" localSheetId="88">#REF!</definedName>
    <definedName name="MAR" localSheetId="89">#REF!</definedName>
    <definedName name="MAR" localSheetId="90">#REF!</definedName>
    <definedName name="MAR" localSheetId="91">#REF!</definedName>
    <definedName name="MAR" localSheetId="92">#REF!</definedName>
    <definedName name="MAR" localSheetId="93">#REF!</definedName>
    <definedName name="MAR" localSheetId="74">#REF!</definedName>
    <definedName name="MAR" localSheetId="75">#REF!</definedName>
    <definedName name="MAR" localSheetId="76">#REF!</definedName>
    <definedName name="MAR" localSheetId="77">#REF!</definedName>
    <definedName name="MAR" localSheetId="78">#REF!</definedName>
    <definedName name="MAR" localSheetId="79">#REF!</definedName>
    <definedName name="MAR" localSheetId="80">#REF!</definedName>
    <definedName name="MAR" localSheetId="81">#REF!</definedName>
    <definedName name="MAR" localSheetId="82">#REF!</definedName>
    <definedName name="MAR" localSheetId="83">#REF!</definedName>
    <definedName name="MAR" localSheetId="2">#REF!</definedName>
    <definedName name="MAR">#REF!</definedName>
    <definedName name="new">[12]OUTRIGHT!$A$1</definedName>
    <definedName name="Other_Cost_parameters" localSheetId="70">'[3]Special Appropriations'!#REF!</definedName>
    <definedName name="Other_Cost_parameters" localSheetId="25">'[4]Special Appropriations'!#REF!</definedName>
    <definedName name="Other_Cost_parameters" localSheetId="54">'[3]Special Appropriations'!#REF!</definedName>
    <definedName name="Other_Cost_parameters" localSheetId="46">'[3]Special Appropriations'!#REF!</definedName>
    <definedName name="Other_Cost_parameters" localSheetId="18">'[5]Special Appropriations'!#REF!</definedName>
    <definedName name="Other_Cost_parameters" localSheetId="42">'[5]Special Appropriations'!#REF!</definedName>
    <definedName name="Other_Cost_parameters" localSheetId="43">'[5]Special Appropriations'!#REF!</definedName>
    <definedName name="Other_Cost_parameters" localSheetId="45">'[5]Special Appropriations'!#REF!</definedName>
    <definedName name="Other_Cost_parameters" localSheetId="47">'[5]Special Appropriations'!#REF!</definedName>
    <definedName name="Other_Cost_parameters" localSheetId="55">'[5]Special Appropriations'!#REF!</definedName>
    <definedName name="Other_Cost_parameters" localSheetId="66">'[3]Special Appropriations'!#REF!</definedName>
    <definedName name="Other_Cost_parameters" localSheetId="67">'[3]Special Appropriations'!#REF!</definedName>
    <definedName name="Other_Cost_parameters" localSheetId="68">'[5]Special Appropriations'!#REF!</definedName>
    <definedName name="Other_Cost_parameters" localSheetId="69">'[5]Special Appropriations'!#REF!</definedName>
    <definedName name="Other_Cost_parameters" localSheetId="38">'[3]Special Appropriations'!#REF!</definedName>
    <definedName name="Other_Cost_parameters" localSheetId="41">'[5]Special Appropriations'!#REF!</definedName>
    <definedName name="Other_Cost_parameters" localSheetId="21">'[3]Special Appropriations'!#REF!</definedName>
    <definedName name="Other_Cost_parameters" localSheetId="73">'[3]Special Appropriations'!#REF!</definedName>
    <definedName name="Other_Cost_parameters" localSheetId="84">'[3]Special Appropriations'!#REF!</definedName>
    <definedName name="Other_Cost_parameters" localSheetId="87">'[3]Special Appropriations'!#REF!</definedName>
    <definedName name="Other_Cost_parameters" localSheetId="88">'[3]Special Appropriations'!#REF!</definedName>
    <definedName name="Other_Cost_parameters" localSheetId="89">'[3]Special Appropriations'!#REF!</definedName>
    <definedName name="Other_Cost_parameters" localSheetId="90">'[3]Special Appropriations'!#REF!</definedName>
    <definedName name="Other_Cost_parameters" localSheetId="91">'[3]Special Appropriations'!#REF!</definedName>
    <definedName name="Other_Cost_parameters" localSheetId="92">'[3]Special Appropriations'!#REF!</definedName>
    <definedName name="Other_Cost_parameters" localSheetId="93">'[3]Special Appropriations'!#REF!</definedName>
    <definedName name="Other_Cost_parameters" localSheetId="74">'[3]Special Appropriations'!#REF!</definedName>
    <definedName name="Other_Cost_parameters" localSheetId="75">'[3]Special Appropriations'!#REF!</definedName>
    <definedName name="Other_Cost_parameters" localSheetId="76">'[3]Special Appropriations'!#REF!</definedName>
    <definedName name="Other_Cost_parameters" localSheetId="77">'[3]Special Appropriations'!#REF!</definedName>
    <definedName name="Other_Cost_parameters" localSheetId="78">'[3]Special Appropriations'!#REF!</definedName>
    <definedName name="Other_Cost_parameters" localSheetId="79">'[3]Special Appropriations'!#REF!</definedName>
    <definedName name="Other_Cost_parameters" localSheetId="94">'[4]Special Appropriations'!#REF!</definedName>
    <definedName name="Other_Cost_parameters">'[3]Special Appropriations'!#REF!</definedName>
    <definedName name="Output_Sheet" localSheetId="70">#REF!</definedName>
    <definedName name="Output_Sheet" localSheetId="25">#REF!</definedName>
    <definedName name="Output_Sheet" localSheetId="1">#REF!</definedName>
    <definedName name="Output_Sheet" localSheetId="54">#REF!</definedName>
    <definedName name="Output_Sheet" localSheetId="46">#REF!</definedName>
    <definedName name="Output_Sheet" localSheetId="18">#REF!</definedName>
    <definedName name="Output_Sheet" localSheetId="42">#REF!</definedName>
    <definedName name="Output_Sheet" localSheetId="43">#REF!</definedName>
    <definedName name="Output_Sheet" localSheetId="45">#REF!</definedName>
    <definedName name="Output_Sheet" localSheetId="47">#REF!</definedName>
    <definedName name="Output_Sheet" localSheetId="55">#REF!</definedName>
    <definedName name="Output_Sheet" localSheetId="66">#REF!</definedName>
    <definedName name="Output_Sheet" localSheetId="67">#REF!</definedName>
    <definedName name="Output_Sheet" localSheetId="68">#REF!</definedName>
    <definedName name="Output_Sheet" localSheetId="69">#REF!</definedName>
    <definedName name="Output_Sheet" localSheetId="38">#REF!</definedName>
    <definedName name="Output_Sheet" localSheetId="41">#REF!</definedName>
    <definedName name="Output_Sheet" localSheetId="21">#REF!</definedName>
    <definedName name="Output_Sheet" localSheetId="73">#REF!</definedName>
    <definedName name="Output_Sheet" localSheetId="84">#REF!</definedName>
    <definedName name="Output_Sheet" localSheetId="85">#REF!</definedName>
    <definedName name="Output_Sheet" localSheetId="86">#REF!</definedName>
    <definedName name="Output_Sheet" localSheetId="87">#REF!</definedName>
    <definedName name="Output_Sheet" localSheetId="88">#REF!</definedName>
    <definedName name="Output_Sheet" localSheetId="89">#REF!</definedName>
    <definedName name="Output_Sheet" localSheetId="90">#REF!</definedName>
    <definedName name="Output_Sheet" localSheetId="91">#REF!</definedName>
    <definedName name="Output_Sheet" localSheetId="92">#REF!</definedName>
    <definedName name="Output_Sheet" localSheetId="93">#REF!</definedName>
    <definedName name="Output_Sheet" localSheetId="74">#REF!</definedName>
    <definedName name="Output_Sheet" localSheetId="75">#REF!</definedName>
    <definedName name="Output_Sheet" localSheetId="76">#REF!</definedName>
    <definedName name="Output_Sheet" localSheetId="77">#REF!</definedName>
    <definedName name="Output_Sheet" localSheetId="78">#REF!</definedName>
    <definedName name="Output_Sheet" localSheetId="79">#REF!</definedName>
    <definedName name="Output_Sheet" localSheetId="80">#REF!</definedName>
    <definedName name="Output_Sheet" localSheetId="81">#REF!</definedName>
    <definedName name="Output_Sheet" localSheetId="82">#REF!</definedName>
    <definedName name="Output_Sheet" localSheetId="83">#REF!</definedName>
    <definedName name="Output_Sheet" localSheetId="2">#REF!</definedName>
    <definedName name="Output_Sheet" localSheetId="94">#REF!</definedName>
    <definedName name="Output_Sheet">#REF!</definedName>
    <definedName name="Power_Factor" localSheetId="70">#REF!</definedName>
    <definedName name="Power_Factor" localSheetId="25">#REF!</definedName>
    <definedName name="Power_Factor" localSheetId="1">#REF!</definedName>
    <definedName name="Power_Factor" localSheetId="54">#REF!</definedName>
    <definedName name="Power_Factor" localSheetId="46">#REF!</definedName>
    <definedName name="Power_Factor" localSheetId="18">#REF!</definedName>
    <definedName name="Power_Factor" localSheetId="42">#REF!</definedName>
    <definedName name="Power_Factor" localSheetId="43">#REF!</definedName>
    <definedName name="Power_Factor" localSheetId="45">#REF!</definedName>
    <definedName name="Power_Factor" localSheetId="47">#REF!</definedName>
    <definedName name="Power_Factor" localSheetId="55">#REF!</definedName>
    <definedName name="Power_Factor" localSheetId="66">#REF!</definedName>
    <definedName name="Power_Factor" localSheetId="67">#REF!</definedName>
    <definedName name="Power_Factor" localSheetId="68">#REF!</definedName>
    <definedName name="Power_Factor" localSheetId="69">#REF!</definedName>
    <definedName name="Power_Factor" localSheetId="38">#REF!</definedName>
    <definedName name="Power_Factor" localSheetId="41">#REF!</definedName>
    <definedName name="Power_Factor" localSheetId="21">#REF!</definedName>
    <definedName name="Power_Factor" localSheetId="73">#REF!</definedName>
    <definedName name="Power_Factor" localSheetId="84">#REF!</definedName>
    <definedName name="Power_Factor" localSheetId="85">#REF!</definedName>
    <definedName name="Power_Factor" localSheetId="86">#REF!</definedName>
    <definedName name="Power_Factor" localSheetId="87">#REF!</definedName>
    <definedName name="Power_Factor" localSheetId="88">#REF!</definedName>
    <definedName name="Power_Factor" localSheetId="89">#REF!</definedName>
    <definedName name="Power_Factor" localSheetId="90">#REF!</definedName>
    <definedName name="Power_Factor" localSheetId="91">#REF!</definedName>
    <definedName name="Power_Factor" localSheetId="92">#REF!</definedName>
    <definedName name="Power_Factor" localSheetId="93">#REF!</definedName>
    <definedName name="Power_Factor" localSheetId="74">#REF!</definedName>
    <definedName name="Power_Factor" localSheetId="75">#REF!</definedName>
    <definedName name="Power_Factor" localSheetId="76">#REF!</definedName>
    <definedName name="Power_Factor" localSheetId="77">#REF!</definedName>
    <definedName name="Power_Factor" localSheetId="78">#REF!</definedName>
    <definedName name="Power_Factor" localSheetId="79">#REF!</definedName>
    <definedName name="Power_Factor" localSheetId="80">#REF!</definedName>
    <definedName name="Power_Factor" localSheetId="81">#REF!</definedName>
    <definedName name="Power_Factor" localSheetId="82">#REF!</definedName>
    <definedName name="Power_Factor" localSheetId="83">#REF!</definedName>
    <definedName name="Power_Factor" localSheetId="2">#REF!</definedName>
    <definedName name="Power_Factor" localSheetId="94">#REF!</definedName>
    <definedName name="Power_Factor">#REF!</definedName>
    <definedName name="Power_Purchase_Details" localSheetId="70">'[3]Power Purchase Cost'!#REF!</definedName>
    <definedName name="Power_Purchase_Details" localSheetId="25">'[4]Power Purchase Cost'!#REF!</definedName>
    <definedName name="Power_Purchase_Details" localSheetId="54">'[3]Power Purchase Cost'!#REF!</definedName>
    <definedName name="Power_Purchase_Details" localSheetId="46">'[3]Power Purchase Cost'!#REF!</definedName>
    <definedName name="Power_Purchase_Details" localSheetId="18">'[5]Power Purchase Cost'!#REF!</definedName>
    <definedName name="Power_Purchase_Details" localSheetId="42">'[5]Power Purchase Cost'!#REF!</definedName>
    <definedName name="Power_Purchase_Details" localSheetId="43">'[5]Power Purchase Cost'!#REF!</definedName>
    <definedName name="Power_Purchase_Details" localSheetId="45">'[5]Power Purchase Cost'!#REF!</definedName>
    <definedName name="Power_Purchase_Details" localSheetId="47">'[5]Power Purchase Cost'!#REF!</definedName>
    <definedName name="Power_Purchase_Details" localSheetId="55">'[5]Power Purchase Cost'!#REF!</definedName>
    <definedName name="Power_Purchase_Details" localSheetId="66">'[3]Power Purchase Cost'!#REF!</definedName>
    <definedName name="Power_Purchase_Details" localSheetId="67">'[3]Power Purchase Cost'!#REF!</definedName>
    <definedName name="Power_Purchase_Details" localSheetId="68">'[5]Power Purchase Cost'!#REF!</definedName>
    <definedName name="Power_Purchase_Details" localSheetId="69">'[5]Power Purchase Cost'!#REF!</definedName>
    <definedName name="Power_Purchase_Details" localSheetId="38">'[3]Power Purchase Cost'!#REF!</definedName>
    <definedName name="Power_Purchase_Details" localSheetId="41">'[5]Power Purchase Cost'!#REF!</definedName>
    <definedName name="Power_Purchase_Details" localSheetId="21">'[3]Power Purchase Cost'!#REF!</definedName>
    <definedName name="Power_Purchase_Details" localSheetId="73">'[3]Power Purchase Cost'!#REF!</definedName>
    <definedName name="Power_Purchase_Details" localSheetId="84">'[3]Power Purchase Cost'!#REF!</definedName>
    <definedName name="Power_Purchase_Details" localSheetId="87">'[3]Power Purchase Cost'!#REF!</definedName>
    <definedName name="Power_Purchase_Details" localSheetId="88">'[3]Power Purchase Cost'!#REF!</definedName>
    <definedName name="Power_Purchase_Details" localSheetId="89">'[3]Power Purchase Cost'!#REF!</definedName>
    <definedName name="Power_Purchase_Details" localSheetId="90">'[3]Power Purchase Cost'!#REF!</definedName>
    <definedName name="Power_Purchase_Details" localSheetId="91">'[3]Power Purchase Cost'!#REF!</definedName>
    <definedName name="Power_Purchase_Details" localSheetId="92">'[3]Power Purchase Cost'!#REF!</definedName>
    <definedName name="Power_Purchase_Details" localSheetId="93">'[3]Power Purchase Cost'!#REF!</definedName>
    <definedName name="Power_Purchase_Details" localSheetId="74">'[3]Power Purchase Cost'!#REF!</definedName>
    <definedName name="Power_Purchase_Details" localSheetId="75">'[3]Power Purchase Cost'!#REF!</definedName>
    <definedName name="Power_Purchase_Details" localSheetId="76">'[3]Power Purchase Cost'!#REF!</definedName>
    <definedName name="Power_Purchase_Details" localSheetId="77">'[3]Power Purchase Cost'!#REF!</definedName>
    <definedName name="Power_Purchase_Details" localSheetId="78">'[3]Power Purchase Cost'!#REF!</definedName>
    <definedName name="Power_Purchase_Details" localSheetId="79">'[3]Power Purchase Cost'!#REF!</definedName>
    <definedName name="Power_Purchase_Details" localSheetId="94">'[4]Power Purchase Cost'!#REF!</definedName>
    <definedName name="Power_Purchase_Details">'[3]Power Purchase Cost'!#REF!</definedName>
    <definedName name="Previous_Year_revenue_details" localSheetId="70">'[3]Revenue-Current and Past Year'!#REF!</definedName>
    <definedName name="Previous_Year_revenue_details" localSheetId="25">'[4]Revenue-Current and Past Year'!#REF!</definedName>
    <definedName name="Previous_Year_revenue_details" localSheetId="54">'[3]Revenue-Current and Past Year'!#REF!</definedName>
    <definedName name="Previous_Year_revenue_details" localSheetId="46">'[3]Revenue-Current and Past Year'!#REF!</definedName>
    <definedName name="Previous_Year_revenue_details" localSheetId="18">'[5]Revenue-Current and Past Year'!#REF!</definedName>
    <definedName name="Previous_Year_revenue_details" localSheetId="42">'[5]Revenue-Current and Past Year'!#REF!</definedName>
    <definedName name="Previous_Year_revenue_details" localSheetId="43">'[5]Revenue-Current and Past Year'!#REF!</definedName>
    <definedName name="Previous_Year_revenue_details" localSheetId="45">'[5]Revenue-Current and Past Year'!#REF!</definedName>
    <definedName name="Previous_Year_revenue_details" localSheetId="47">'[5]Revenue-Current and Past Year'!#REF!</definedName>
    <definedName name="Previous_Year_revenue_details" localSheetId="55">'[5]Revenue-Current and Past Year'!#REF!</definedName>
    <definedName name="Previous_Year_revenue_details" localSheetId="66">'[3]Revenue-Current and Past Year'!#REF!</definedName>
    <definedName name="Previous_Year_revenue_details" localSheetId="67">'[3]Revenue-Current and Past Year'!#REF!</definedName>
    <definedName name="Previous_Year_revenue_details" localSheetId="68">'[5]Revenue-Current and Past Year'!#REF!</definedName>
    <definedName name="Previous_Year_revenue_details" localSheetId="69">'[5]Revenue-Current and Past Year'!#REF!</definedName>
    <definedName name="Previous_Year_revenue_details" localSheetId="38">'[3]Revenue-Current and Past Year'!#REF!</definedName>
    <definedName name="Previous_Year_revenue_details" localSheetId="41">'[5]Revenue-Current and Past Year'!#REF!</definedName>
    <definedName name="Previous_Year_revenue_details" localSheetId="21">'[3]Revenue-Current and Past Year'!#REF!</definedName>
    <definedName name="Previous_Year_revenue_details" localSheetId="73">'[3]Revenue-Current and Past Year'!#REF!</definedName>
    <definedName name="Previous_Year_revenue_details" localSheetId="84">'[3]Revenue-Current and Past Year'!#REF!</definedName>
    <definedName name="Previous_Year_revenue_details" localSheetId="87">'[3]Revenue-Current and Past Year'!#REF!</definedName>
    <definedName name="Previous_Year_revenue_details" localSheetId="88">'[3]Revenue-Current and Past Year'!#REF!</definedName>
    <definedName name="Previous_Year_revenue_details" localSheetId="89">'[3]Revenue-Current and Past Year'!#REF!</definedName>
    <definedName name="Previous_Year_revenue_details" localSheetId="90">'[3]Revenue-Current and Past Year'!#REF!</definedName>
    <definedName name="Previous_Year_revenue_details" localSheetId="91">'[3]Revenue-Current and Past Year'!#REF!</definedName>
    <definedName name="Previous_Year_revenue_details" localSheetId="92">'[3]Revenue-Current and Past Year'!#REF!</definedName>
    <definedName name="Previous_Year_revenue_details" localSheetId="93">'[3]Revenue-Current and Past Year'!#REF!</definedName>
    <definedName name="Previous_Year_revenue_details" localSheetId="74">'[3]Revenue-Current and Past Year'!#REF!</definedName>
    <definedName name="Previous_Year_revenue_details" localSheetId="75">'[3]Revenue-Current and Past Year'!#REF!</definedName>
    <definedName name="Previous_Year_revenue_details" localSheetId="76">'[3]Revenue-Current and Past Year'!#REF!</definedName>
    <definedName name="Previous_Year_revenue_details" localSheetId="77">'[3]Revenue-Current and Past Year'!#REF!</definedName>
    <definedName name="Previous_Year_revenue_details" localSheetId="78">'[3]Revenue-Current and Past Year'!#REF!</definedName>
    <definedName name="Previous_Year_revenue_details" localSheetId="79">'[3]Revenue-Current and Past Year'!#REF!</definedName>
    <definedName name="Previous_Year_revenue_details" localSheetId="94">'[4]Revenue-Current and Past Year'!#REF!</definedName>
    <definedName name="Previous_Year_revenue_details">'[3]Revenue-Current and Past Year'!#REF!</definedName>
    <definedName name="_xlnm.Print_Area" localSheetId="70">'Allocation Totality new'!$A$1:$G$27</definedName>
    <definedName name="_xlnm.Print_Area" localSheetId="25">'Capex plan 23-24'!$A$1:$C$63</definedName>
    <definedName name="_xlnm.Print_Area" localSheetId="26">'Capex plan 24-25'!$A$1:$C$52</definedName>
    <definedName name="_xlnm.Print_Area" localSheetId="27">'Capex plan 25-26'!$A$1:$C$45</definedName>
    <definedName name="_xlnm.Print_Area" localSheetId="28">'Capex plan 26-27'!$A$1:$C$45</definedName>
    <definedName name="_xlnm.Print_Area" localSheetId="29">'Capex plan 27-28'!$A$1:$C$47</definedName>
    <definedName name="_xlnm.Print_Area" localSheetId="71">'Corss -Sub -TPNODL'!$A$1:$H$11</definedName>
    <definedName name="_xlnm.Print_Area" localSheetId="17">'F-1(a)'!$A$1:$E$42</definedName>
    <definedName name="_xlnm.Print_Area" localSheetId="18">'F-1(b)'!$D$4:$H$42</definedName>
    <definedName name="_xlnm.Print_Area" localSheetId="42">'F-10 New'!$A$1:$O$38</definedName>
    <definedName name="_xlnm.Print_Area" localSheetId="43">'F-11 New'!$A$1:$G$36</definedName>
    <definedName name="_xlnm.Print_Area" localSheetId="45">'F-12 New'!$A$2:$Q$76</definedName>
    <definedName name="_xlnm.Print_Area" localSheetId="47">'F-13 New'!$A$1:$F$36</definedName>
    <definedName name="_xlnm.Print_Area" localSheetId="49">'F-14'!$B$1:$F$66</definedName>
    <definedName name="_xlnm.Print_Area" localSheetId="50">'F-15'!$A$1:$M$21</definedName>
    <definedName name="_xlnm.Print_Area" localSheetId="51">'F-16'!$A$1:$H$56</definedName>
    <definedName name="_xlnm.Print_Area" localSheetId="52">'F-17'!$A$1:$S$16</definedName>
    <definedName name="_xlnm.Print_Area" localSheetId="55">'F-19 New'!$A$1:$M$86</definedName>
    <definedName name="_xlnm.Print_Area" localSheetId="19">'F-2'!$A$1:$R$38</definedName>
    <definedName name="_xlnm.Print_Area" localSheetId="56">'F-20'!$A$1:$E$13</definedName>
    <definedName name="_xlnm.Print_Area" localSheetId="57">'F-21'!$A$1:$F$49</definedName>
    <definedName name="_xlnm.Print_Area" localSheetId="58">'F-22'!$A$1:$D$29</definedName>
    <definedName name="_xlnm.Print_Area" localSheetId="59">'F-23 New '!$A$1:$E$53</definedName>
    <definedName name="_xlnm.Print_Area" localSheetId="61">'F-24'!$A$1:$K$11</definedName>
    <definedName name="_xlnm.Print_Area" localSheetId="66">'F-27 2022-23'!$A$1:$Q$22</definedName>
    <definedName name="_xlnm.Print_Area" localSheetId="67">'F-27 2023-24'!$A$1:$K$22</definedName>
    <definedName name="_xlnm.Print_Area" localSheetId="68">'F-28'!$A$1:$E$35</definedName>
    <definedName name="_xlnm.Print_Area" localSheetId="69">'F-29'!$A$1:$Q$25</definedName>
    <definedName name="_xlnm.Print_Area" localSheetId="35">'F-3'!$A$1:$J$16</definedName>
    <definedName name="_xlnm.Print_Area" localSheetId="36">'F-4'!$A$1:$J$53</definedName>
    <definedName name="_xlnm.Print_Area" localSheetId="37">'F-5'!$A$1:$O$19</definedName>
    <definedName name="_xlnm.Print_Area" localSheetId="38">'F-6 New'!$A$1:$M$34</definedName>
    <definedName name="_xlnm.Print_Area" localSheetId="39">'F-7'!$A$1:$M$35</definedName>
    <definedName name="_xlnm.Print_Area" localSheetId="41">'F-9 (A) &amp; (B)'!$A$1:$O$36</definedName>
    <definedName name="_xlnm.Print_Area" localSheetId="21">'Interest New'!$A$1:$K$55</definedName>
    <definedName name="_xlnm.Print_Area" localSheetId="85">'P11 22-23'!$B$1:$G$1160</definedName>
    <definedName name="_xlnm.Print_Area" localSheetId="86">'P11 23-24'!$B$1:$G$833</definedName>
    <definedName name="_xlnm.Print_Area" localSheetId="88">'P-13'!$A$1:$Q$37</definedName>
    <definedName name="_xlnm.Print_Area" localSheetId="89">'P-14'!$A$1:$J$69</definedName>
    <definedName name="_xlnm.Print_Area" localSheetId="90">'P-15'!$A$1:$E$11</definedName>
    <definedName name="_xlnm.Print_Area" localSheetId="91">'P-16'!$A$1:$E$58</definedName>
    <definedName name="_xlnm.Print_Area" localSheetId="92">'P-17_22-23'!$A$1:$I$260</definedName>
    <definedName name="_xlnm.Print_Area" localSheetId="93">'P-17_23-24'!$A$1:$I$158</definedName>
    <definedName name="_xlnm.Print_Area" localSheetId="79">'P-7'!$A$1:$N$18</definedName>
    <definedName name="_xlnm.Print_Area" localSheetId="80">'P8 22-23'!$A$2:$S$726</definedName>
    <definedName name="_xlnm.Print_Area" localSheetId="81">'P8 23-24'!$A$2:$M$775</definedName>
    <definedName name="_xlnm.Print_Area" localSheetId="82">'P9 22-23'!$B:$CY</definedName>
    <definedName name="_xlnm.Print_Area" localSheetId="83">'P9 23-24'!$B$1:$BK$794</definedName>
    <definedName name="_xlnm.Print_Area" localSheetId="3">'T-1'!$A$1:$P$66</definedName>
    <definedName name="_xlnm.Print_Area" localSheetId="5">'T-2'!$A$1:$L$55</definedName>
    <definedName name="_xlnm.Print_Area" localSheetId="4">'T-2_21-22'!$A$1:$L$56</definedName>
    <definedName name="_xlnm.Print_Area" localSheetId="7">'T-3'!$A$1:$J$46</definedName>
    <definedName name="_xlnm.Print_Area" localSheetId="6">'T-3_22-23'!$A$1:$J$47</definedName>
    <definedName name="_xlnm.Print_Area" localSheetId="8">'T-4'!$A$1:$M$68</definedName>
    <definedName name="_xlnm.Print_Area" localSheetId="9">'T-5'!$A$1:$K$30</definedName>
    <definedName name="_xlnm.Print_Area" localSheetId="11">'T-6'!$A$1:$J$67</definedName>
    <definedName name="_xlnm.Print_Area" localSheetId="10">'T-6_22-23'!$A$1:$J$67</definedName>
    <definedName name="_xlnm.Print_Area" localSheetId="12">'T-7_Current_Year'!$A$1:$AE$65</definedName>
    <definedName name="_xlnm.Print_Area" localSheetId="13">'T-7_Ensuing_Year'!$A$1:$AE$65</definedName>
    <definedName name="_xlnm.Print_Area" localSheetId="14">'T-8'!$A$1:$BF$65</definedName>
    <definedName name="_xlnm.Print_Area" localSheetId="15">'T-9'!$B$1:$U$118</definedName>
    <definedName name="_xlnm.Print_Area" localSheetId="94">'Tariff 23-24'!$A$1:$I$84</definedName>
    <definedName name="_xlnm.Print_Area" localSheetId="60">'Tariff Highlights 05-06'!$A$1:$I$64</definedName>
    <definedName name="_xlnm.Print_Area" localSheetId="72">'TPNODL-Wheeling '!$A$1:$F$32</definedName>
    <definedName name="_xlnm.Print_Area">#REF!</definedName>
    <definedName name="_xlnm.Print_Titles" localSheetId="45">'F-12 New'!$A:$B</definedName>
    <definedName name="_xlnm.Print_Titles" localSheetId="49">'F-14'!$5:$6</definedName>
    <definedName name="_xlnm.Print_Titles" localSheetId="52">'F-17'!$5:$6</definedName>
    <definedName name="_xlnm.Print_Titles" localSheetId="85">'P11 22-23'!$B:$D,'P11 22-23'!$1:$7</definedName>
    <definedName name="_xlnm.Print_Titles" localSheetId="86">'P11 23-24'!$B:$D,'P11 23-24'!$1:$7</definedName>
    <definedName name="_xlnm.Print_Titles" localSheetId="92">'P-17_22-23'!$1:$5</definedName>
    <definedName name="_xlnm.Print_Titles" localSheetId="93">'P-17_23-24'!$1:$5</definedName>
    <definedName name="_xlnm.Print_Titles" localSheetId="80">'P8 22-23'!$A:$F,'P8 22-23'!$2:$6</definedName>
    <definedName name="_xlnm.Print_Titles" localSheetId="81">'P8 23-24'!$A:$F,'P8 23-24'!$2:$6</definedName>
    <definedName name="_xlnm.Print_Titles" localSheetId="82">'P9 22-23'!$B:$G,'P9 22-23'!$1:$5</definedName>
    <definedName name="_xlnm.Print_Titles" localSheetId="83">'P9 23-24'!$B:$F,'P9 23-24'!$1:$5</definedName>
    <definedName name="_xlnm.Print_Titles" localSheetId="3">'T-1'!$4:$6</definedName>
    <definedName name="_xlnm.Print_Titles" localSheetId="8">'T-4'!$4:$5</definedName>
    <definedName name="_xlnm.Print_Titles" localSheetId="12">'T-7_Current_Year'!$A:$C,'T-7_Current_Year'!$1:$10</definedName>
    <definedName name="_xlnm.Print_Titles" localSheetId="13">'T-7_Ensuing_Year'!$A:$C,'T-7_Ensuing_Year'!$1:$10</definedName>
    <definedName name="_xlnm.Print_Titles" localSheetId="14">'T-8'!$A:$C,'T-8'!$1:$10</definedName>
    <definedName name="_xlnm.Print_Titles" localSheetId="15">'T-9'!$B:$D,'T-9'!$1:$3</definedName>
    <definedName name="_xlnm.Print_Titles" localSheetId="94">'Tariff 23-24'!$1:$1</definedName>
    <definedName name="Reasonable_Rate_of_Return_on_Equity" localSheetId="70">[3]RoE!#REF!</definedName>
    <definedName name="Reasonable_Rate_of_Return_on_Equity" localSheetId="25">[4]RoE!#REF!</definedName>
    <definedName name="Reasonable_Rate_of_Return_on_Equity" localSheetId="54">[3]RoE!#REF!</definedName>
    <definedName name="Reasonable_Rate_of_Return_on_Equity" localSheetId="46">[3]RoE!#REF!</definedName>
    <definedName name="Reasonable_Rate_of_Return_on_Equity" localSheetId="18">[5]RoE!#REF!</definedName>
    <definedName name="Reasonable_Rate_of_Return_on_Equity" localSheetId="42">[5]RoE!#REF!</definedName>
    <definedName name="Reasonable_Rate_of_Return_on_Equity" localSheetId="43">[5]RoE!#REF!</definedName>
    <definedName name="Reasonable_Rate_of_Return_on_Equity" localSheetId="45">[5]RoE!#REF!</definedName>
    <definedName name="Reasonable_Rate_of_Return_on_Equity" localSheetId="47">[5]RoE!#REF!</definedName>
    <definedName name="Reasonable_Rate_of_Return_on_Equity" localSheetId="55">[5]RoE!#REF!</definedName>
    <definedName name="Reasonable_Rate_of_Return_on_Equity" localSheetId="66">[3]RoE!#REF!</definedName>
    <definedName name="Reasonable_Rate_of_Return_on_Equity" localSheetId="67">[3]RoE!#REF!</definedName>
    <definedName name="Reasonable_Rate_of_Return_on_Equity" localSheetId="68">[5]RoE!#REF!</definedName>
    <definedName name="Reasonable_Rate_of_Return_on_Equity" localSheetId="69">[5]RoE!#REF!</definedName>
    <definedName name="Reasonable_Rate_of_Return_on_Equity" localSheetId="38">[3]RoE!#REF!</definedName>
    <definedName name="Reasonable_Rate_of_Return_on_Equity" localSheetId="41">[5]RoE!#REF!</definedName>
    <definedName name="Reasonable_Rate_of_Return_on_Equity" localSheetId="21">[3]RoE!#REF!</definedName>
    <definedName name="Reasonable_Rate_of_Return_on_Equity" localSheetId="73">[3]RoE!#REF!</definedName>
    <definedName name="Reasonable_Rate_of_Return_on_Equity" localSheetId="84">[3]RoE!#REF!</definedName>
    <definedName name="Reasonable_Rate_of_Return_on_Equity" localSheetId="87">[3]RoE!#REF!</definedName>
    <definedName name="Reasonable_Rate_of_Return_on_Equity" localSheetId="88">[3]RoE!#REF!</definedName>
    <definedName name="Reasonable_Rate_of_Return_on_Equity" localSheetId="89">[3]RoE!#REF!</definedName>
    <definedName name="Reasonable_Rate_of_Return_on_Equity" localSheetId="90">[3]RoE!#REF!</definedName>
    <definedName name="Reasonable_Rate_of_Return_on_Equity" localSheetId="91">[3]RoE!#REF!</definedName>
    <definedName name="Reasonable_Rate_of_Return_on_Equity" localSheetId="92">[3]RoE!#REF!</definedName>
    <definedName name="Reasonable_Rate_of_Return_on_Equity" localSheetId="93">[3]RoE!#REF!</definedName>
    <definedName name="Reasonable_Rate_of_Return_on_Equity" localSheetId="74">[3]RoE!#REF!</definedName>
    <definedName name="Reasonable_Rate_of_Return_on_Equity" localSheetId="75">[3]RoE!#REF!</definedName>
    <definedName name="Reasonable_Rate_of_Return_on_Equity" localSheetId="76">[3]RoE!#REF!</definedName>
    <definedName name="Reasonable_Rate_of_Return_on_Equity" localSheetId="77">[3]RoE!#REF!</definedName>
    <definedName name="Reasonable_Rate_of_Return_on_Equity" localSheetId="78">[3]RoE!#REF!</definedName>
    <definedName name="Reasonable_Rate_of_Return_on_Equity" localSheetId="79">[3]RoE!#REF!</definedName>
    <definedName name="Reasonable_Rate_of_Return_on_Equity" localSheetId="94">[4]RoE!#REF!</definedName>
    <definedName name="Reasonable_Rate_of_Return_on_Equity">[3]RoE!#REF!</definedName>
    <definedName name="Repair_and_Maintenance" localSheetId="70">'[3]R&amp;M'!#REF!</definedName>
    <definedName name="Repair_and_Maintenance" localSheetId="25">'[4]R&amp;M'!#REF!</definedName>
    <definedName name="Repair_and_Maintenance" localSheetId="54">'[3]R&amp;M'!#REF!</definedName>
    <definedName name="Repair_and_Maintenance" localSheetId="46">'[3]R&amp;M'!#REF!</definedName>
    <definedName name="Repair_and_Maintenance" localSheetId="18">'[5]R&amp;M'!#REF!</definedName>
    <definedName name="Repair_and_Maintenance" localSheetId="42">'[5]R&amp;M'!#REF!</definedName>
    <definedName name="Repair_and_Maintenance" localSheetId="43">'[5]R&amp;M'!#REF!</definedName>
    <definedName name="Repair_and_Maintenance" localSheetId="45">'[5]R&amp;M'!#REF!</definedName>
    <definedName name="Repair_and_Maintenance" localSheetId="47">'[5]R&amp;M'!#REF!</definedName>
    <definedName name="Repair_and_Maintenance" localSheetId="55">'[5]R&amp;M'!#REF!</definedName>
    <definedName name="Repair_and_Maintenance" localSheetId="66">'[3]R&amp;M'!#REF!</definedName>
    <definedName name="Repair_and_Maintenance" localSheetId="67">'[3]R&amp;M'!#REF!</definedName>
    <definedName name="Repair_and_Maintenance" localSheetId="68">'[5]R&amp;M'!#REF!</definedName>
    <definedName name="Repair_and_Maintenance" localSheetId="69">'[5]R&amp;M'!#REF!</definedName>
    <definedName name="Repair_and_Maintenance" localSheetId="38">'[3]R&amp;M'!#REF!</definedName>
    <definedName name="Repair_and_Maintenance" localSheetId="41">'[5]R&amp;M'!#REF!</definedName>
    <definedName name="Repair_and_Maintenance" localSheetId="21">'[3]R&amp;M'!#REF!</definedName>
    <definedName name="Repair_and_Maintenance" localSheetId="73">'[3]R&amp;M'!#REF!</definedName>
    <definedName name="Repair_and_Maintenance" localSheetId="84">'[3]R&amp;M'!#REF!</definedName>
    <definedName name="Repair_and_Maintenance" localSheetId="87">'[3]R&amp;M'!#REF!</definedName>
    <definedName name="Repair_and_Maintenance" localSheetId="88">'[3]R&amp;M'!#REF!</definedName>
    <definedName name="Repair_and_Maintenance" localSheetId="89">'[3]R&amp;M'!#REF!</definedName>
    <definedName name="Repair_and_Maintenance" localSheetId="90">'[3]R&amp;M'!#REF!</definedName>
    <definedName name="Repair_and_Maintenance" localSheetId="91">'[3]R&amp;M'!#REF!</definedName>
    <definedName name="Repair_and_Maintenance" localSheetId="92">'[3]R&amp;M'!#REF!</definedName>
    <definedName name="Repair_and_Maintenance" localSheetId="93">'[3]R&amp;M'!#REF!</definedName>
    <definedName name="Repair_and_Maintenance" localSheetId="74">'[3]R&amp;M'!#REF!</definedName>
    <definedName name="Repair_and_Maintenance" localSheetId="75">'[3]R&amp;M'!#REF!</definedName>
    <definedName name="Repair_and_Maintenance" localSheetId="76">'[3]R&amp;M'!#REF!</definedName>
    <definedName name="Repair_and_Maintenance" localSheetId="77">'[3]R&amp;M'!#REF!</definedName>
    <definedName name="Repair_and_Maintenance" localSheetId="78">'[3]R&amp;M'!#REF!</definedName>
    <definedName name="Repair_and_Maintenance" localSheetId="79">'[3]R&amp;M'!#REF!</definedName>
    <definedName name="Repair_and_Maintenance" localSheetId="94">'[4]R&amp;M'!#REF!</definedName>
    <definedName name="Repair_and_Maintenance">'[3]R&amp;M'!#REF!</definedName>
    <definedName name="sheet22.AccountType">'[13]PART C'!$J$46:$J$47</definedName>
    <definedName name="Sources_of_revenues__other_than_sale_of_energy" localSheetId="70">'[3]Other revenue sources'!#REF!</definedName>
    <definedName name="Sources_of_revenues__other_than_sale_of_energy" localSheetId="25">'[4]Other revenue sources'!#REF!</definedName>
    <definedName name="Sources_of_revenues__other_than_sale_of_energy" localSheetId="54">'[3]Other revenue sources'!#REF!</definedName>
    <definedName name="Sources_of_revenues__other_than_sale_of_energy" localSheetId="46">'[3]Other revenue sources'!#REF!</definedName>
    <definedName name="Sources_of_revenues__other_than_sale_of_energy" localSheetId="18">'[5]Other revenue sources'!#REF!</definedName>
    <definedName name="Sources_of_revenues__other_than_sale_of_energy" localSheetId="42">'[5]Other revenue sources'!#REF!</definedName>
    <definedName name="Sources_of_revenues__other_than_sale_of_energy" localSheetId="43">'[5]Other revenue sources'!#REF!</definedName>
    <definedName name="Sources_of_revenues__other_than_sale_of_energy" localSheetId="45">'[5]Other revenue sources'!#REF!</definedName>
    <definedName name="Sources_of_revenues__other_than_sale_of_energy" localSheetId="47">'[5]Other revenue sources'!#REF!</definedName>
    <definedName name="Sources_of_revenues__other_than_sale_of_energy" localSheetId="55">'[5]Other revenue sources'!#REF!</definedName>
    <definedName name="Sources_of_revenues__other_than_sale_of_energy" localSheetId="66">'[3]Other revenue sources'!#REF!</definedName>
    <definedName name="Sources_of_revenues__other_than_sale_of_energy" localSheetId="67">'[3]Other revenue sources'!#REF!</definedName>
    <definedName name="Sources_of_revenues__other_than_sale_of_energy" localSheetId="68">'[5]Other revenue sources'!#REF!</definedName>
    <definedName name="Sources_of_revenues__other_than_sale_of_energy" localSheetId="69">'[5]Other revenue sources'!#REF!</definedName>
    <definedName name="Sources_of_revenues__other_than_sale_of_energy" localSheetId="38">'[3]Other revenue sources'!#REF!</definedName>
    <definedName name="Sources_of_revenues__other_than_sale_of_energy" localSheetId="41">'[5]Other revenue sources'!#REF!</definedName>
    <definedName name="Sources_of_revenues__other_than_sale_of_energy" localSheetId="21">'[3]Other revenue sources'!#REF!</definedName>
    <definedName name="Sources_of_revenues__other_than_sale_of_energy" localSheetId="73">'[3]Other revenue sources'!#REF!</definedName>
    <definedName name="Sources_of_revenues__other_than_sale_of_energy" localSheetId="84">'[3]Other revenue sources'!#REF!</definedName>
    <definedName name="Sources_of_revenues__other_than_sale_of_energy" localSheetId="87">'[3]Other revenue sources'!#REF!</definedName>
    <definedName name="Sources_of_revenues__other_than_sale_of_energy" localSheetId="88">'[3]Other revenue sources'!#REF!</definedName>
    <definedName name="Sources_of_revenues__other_than_sale_of_energy" localSheetId="89">'[3]Other revenue sources'!#REF!</definedName>
    <definedName name="Sources_of_revenues__other_than_sale_of_energy" localSheetId="90">'[3]Other revenue sources'!#REF!</definedName>
    <definedName name="Sources_of_revenues__other_than_sale_of_energy" localSheetId="91">'[3]Other revenue sources'!#REF!</definedName>
    <definedName name="Sources_of_revenues__other_than_sale_of_energy" localSheetId="92">'[3]Other revenue sources'!#REF!</definedName>
    <definedName name="Sources_of_revenues__other_than_sale_of_energy" localSheetId="93">'[3]Other revenue sources'!#REF!</definedName>
    <definedName name="Sources_of_revenues__other_than_sale_of_energy" localSheetId="74">'[3]Other revenue sources'!#REF!</definedName>
    <definedName name="Sources_of_revenues__other_than_sale_of_energy" localSheetId="75">'[3]Other revenue sources'!#REF!</definedName>
    <definedName name="Sources_of_revenues__other_than_sale_of_energy" localSheetId="76">'[3]Other revenue sources'!#REF!</definedName>
    <definedName name="Sources_of_revenues__other_than_sale_of_energy" localSheetId="77">'[3]Other revenue sources'!#REF!</definedName>
    <definedName name="Sources_of_revenues__other_than_sale_of_energy" localSheetId="78">'[3]Other revenue sources'!#REF!</definedName>
    <definedName name="Sources_of_revenues__other_than_sale_of_energy" localSheetId="79">'[3]Other revenue sources'!#REF!</definedName>
    <definedName name="Sources_of_revenues__other_than_sale_of_energy" localSheetId="94">'[4]Other revenue sources'!#REF!</definedName>
    <definedName name="Sources_of_revenues__other_than_sale_of_energy">'[3]Other revenue sources'!#REF!</definedName>
    <definedName name="Statement_of_Fixed_Assets_and_Depreciation" localSheetId="70">'[3]Depreciation Schedule'!#REF!</definedName>
    <definedName name="Statement_of_Fixed_Assets_and_Depreciation" localSheetId="25">'[4]Depreciation Schedule'!#REF!</definedName>
    <definedName name="Statement_of_Fixed_Assets_and_Depreciation" localSheetId="54">'[3]Depreciation Schedule'!#REF!</definedName>
    <definedName name="Statement_of_Fixed_Assets_and_Depreciation" localSheetId="46">'[3]Depreciation Schedule'!#REF!</definedName>
    <definedName name="Statement_of_Fixed_Assets_and_Depreciation" localSheetId="18">'[5]Depreciation Schedule'!#REF!</definedName>
    <definedName name="Statement_of_Fixed_Assets_and_Depreciation" localSheetId="42">'[5]Depreciation Schedule'!#REF!</definedName>
    <definedName name="Statement_of_Fixed_Assets_and_Depreciation" localSheetId="43">'[5]Depreciation Schedule'!#REF!</definedName>
    <definedName name="Statement_of_Fixed_Assets_and_Depreciation" localSheetId="45">'[5]Depreciation Schedule'!#REF!</definedName>
    <definedName name="Statement_of_Fixed_Assets_and_Depreciation" localSheetId="47">'[5]Depreciation Schedule'!#REF!</definedName>
    <definedName name="Statement_of_Fixed_Assets_and_Depreciation" localSheetId="55">'[5]Depreciation Schedule'!#REF!</definedName>
    <definedName name="Statement_of_Fixed_Assets_and_Depreciation" localSheetId="66">'[3]Depreciation Schedule'!#REF!</definedName>
    <definedName name="Statement_of_Fixed_Assets_and_Depreciation" localSheetId="67">'[3]Depreciation Schedule'!#REF!</definedName>
    <definedName name="Statement_of_Fixed_Assets_and_Depreciation" localSheetId="68">'[5]Depreciation Schedule'!#REF!</definedName>
    <definedName name="Statement_of_Fixed_Assets_and_Depreciation" localSheetId="69">'[5]Depreciation Schedule'!#REF!</definedName>
    <definedName name="Statement_of_Fixed_Assets_and_Depreciation" localSheetId="38">'[3]Depreciation Schedule'!#REF!</definedName>
    <definedName name="Statement_of_Fixed_Assets_and_Depreciation" localSheetId="41">'[5]Depreciation Schedule'!#REF!</definedName>
    <definedName name="Statement_of_Fixed_Assets_and_Depreciation" localSheetId="21">'[3]Depreciation Schedule'!#REF!</definedName>
    <definedName name="Statement_of_Fixed_Assets_and_Depreciation" localSheetId="73">'[3]Depreciation Schedule'!#REF!</definedName>
    <definedName name="Statement_of_Fixed_Assets_and_Depreciation" localSheetId="84">'[3]Depreciation Schedule'!#REF!</definedName>
    <definedName name="Statement_of_Fixed_Assets_and_Depreciation" localSheetId="87">'[3]Depreciation Schedule'!#REF!</definedName>
    <definedName name="Statement_of_Fixed_Assets_and_Depreciation" localSheetId="88">'[3]Depreciation Schedule'!#REF!</definedName>
    <definedName name="Statement_of_Fixed_Assets_and_Depreciation" localSheetId="89">'[3]Depreciation Schedule'!#REF!</definedName>
    <definedName name="Statement_of_Fixed_Assets_and_Depreciation" localSheetId="90">'[3]Depreciation Schedule'!#REF!</definedName>
    <definedName name="Statement_of_Fixed_Assets_and_Depreciation" localSheetId="91">'[3]Depreciation Schedule'!#REF!</definedName>
    <definedName name="Statement_of_Fixed_Assets_and_Depreciation" localSheetId="92">'[3]Depreciation Schedule'!#REF!</definedName>
    <definedName name="Statement_of_Fixed_Assets_and_Depreciation" localSheetId="93">'[3]Depreciation Schedule'!#REF!</definedName>
    <definedName name="Statement_of_Fixed_Assets_and_Depreciation" localSheetId="74">'[3]Depreciation Schedule'!#REF!</definedName>
    <definedName name="Statement_of_Fixed_Assets_and_Depreciation" localSheetId="75">'[3]Depreciation Schedule'!#REF!</definedName>
    <definedName name="Statement_of_Fixed_Assets_and_Depreciation" localSheetId="76">'[3]Depreciation Schedule'!#REF!</definedName>
    <definedName name="Statement_of_Fixed_Assets_and_Depreciation" localSheetId="77">'[3]Depreciation Schedule'!#REF!</definedName>
    <definedName name="Statement_of_Fixed_Assets_and_Depreciation" localSheetId="78">'[3]Depreciation Schedule'!#REF!</definedName>
    <definedName name="Statement_of_Fixed_Assets_and_Depreciation" localSheetId="79">'[3]Depreciation Schedule'!#REF!</definedName>
    <definedName name="Statement_of_Fixed_Assets_and_Depreciation" localSheetId="94">'[4]Depreciation Schedule'!#REF!</definedName>
    <definedName name="Statement_of_Fixed_Assets_and_Depreciation">'[3]Depreciation Schedule'!#REF!</definedName>
    <definedName name="states">'[14]Part A General'!$F$3:$F$38</definedName>
    <definedName name="Tariff" localSheetId="70">#REF!</definedName>
    <definedName name="Tariff" localSheetId="25">#REF!</definedName>
    <definedName name="Tariff" localSheetId="1">#REF!</definedName>
    <definedName name="Tariff" localSheetId="54">#REF!</definedName>
    <definedName name="Tariff" localSheetId="46">#REF!</definedName>
    <definedName name="Tariff" localSheetId="18">#REF!</definedName>
    <definedName name="Tariff" localSheetId="42">#REF!</definedName>
    <definedName name="Tariff" localSheetId="43">#REF!</definedName>
    <definedName name="Tariff" localSheetId="45">#REF!</definedName>
    <definedName name="Tariff" localSheetId="47">#REF!</definedName>
    <definedName name="Tariff" localSheetId="55">#REF!</definedName>
    <definedName name="Tariff" localSheetId="66">#REF!</definedName>
    <definedName name="Tariff" localSheetId="67">#REF!</definedName>
    <definedName name="Tariff" localSheetId="68">#REF!</definedName>
    <definedName name="Tariff" localSheetId="69">#REF!</definedName>
    <definedName name="Tariff" localSheetId="38">#REF!</definedName>
    <definedName name="Tariff" localSheetId="41">#REF!</definedName>
    <definedName name="Tariff" localSheetId="21">#REF!</definedName>
    <definedName name="Tariff" localSheetId="73">#REF!</definedName>
    <definedName name="Tariff" localSheetId="84">#REF!</definedName>
    <definedName name="Tariff" localSheetId="85">#REF!</definedName>
    <definedName name="Tariff" localSheetId="86">#REF!</definedName>
    <definedName name="Tariff" localSheetId="87">#REF!</definedName>
    <definedName name="Tariff" localSheetId="88">#REF!</definedName>
    <definedName name="Tariff" localSheetId="89">#REF!</definedName>
    <definedName name="Tariff" localSheetId="90">#REF!</definedName>
    <definedName name="Tariff" localSheetId="91">#REF!</definedName>
    <definedName name="Tariff" localSheetId="92">#REF!</definedName>
    <definedName name="Tariff" localSheetId="93">#REF!</definedName>
    <definedName name="Tariff" localSheetId="74">#REF!</definedName>
    <definedName name="Tariff" localSheetId="75">#REF!</definedName>
    <definedName name="Tariff" localSheetId="76">#REF!</definedName>
    <definedName name="Tariff" localSheetId="77">#REF!</definedName>
    <definedName name="Tariff" localSheetId="78">#REF!</definedName>
    <definedName name="Tariff" localSheetId="79">#REF!</definedName>
    <definedName name="Tariff" localSheetId="80">#REF!</definedName>
    <definedName name="Tariff" localSheetId="81">#REF!</definedName>
    <definedName name="Tariff" localSheetId="82">#REF!</definedName>
    <definedName name="Tariff" localSheetId="83">#REF!</definedName>
    <definedName name="Tariff" localSheetId="2">#REF!</definedName>
    <definedName name="Tariff" localSheetId="94">#REF!</definedName>
    <definedName name="Tariff">#REF!</definedName>
    <definedName name="TarrGrowth" localSheetId="70">#REF!</definedName>
    <definedName name="TarrGrowth" localSheetId="25">#REF!</definedName>
    <definedName name="TarrGrowth" localSheetId="1">#REF!</definedName>
    <definedName name="TarrGrowth" localSheetId="54">#REF!</definedName>
    <definedName name="TarrGrowth" localSheetId="46">#REF!</definedName>
    <definedName name="TarrGrowth" localSheetId="18">#REF!</definedName>
    <definedName name="TarrGrowth" localSheetId="42">#REF!</definedName>
    <definedName name="TarrGrowth" localSheetId="43">#REF!</definedName>
    <definedName name="TarrGrowth" localSheetId="45">#REF!</definedName>
    <definedName name="TarrGrowth" localSheetId="47">#REF!</definedName>
    <definedName name="TarrGrowth" localSheetId="55">#REF!</definedName>
    <definedName name="TarrGrowth" localSheetId="66">#REF!</definedName>
    <definedName name="TarrGrowth" localSheetId="67">#REF!</definedName>
    <definedName name="TarrGrowth" localSheetId="68">#REF!</definedName>
    <definedName name="TarrGrowth" localSheetId="69">#REF!</definedName>
    <definedName name="TarrGrowth" localSheetId="38">#REF!</definedName>
    <definedName name="TarrGrowth" localSheetId="41">#REF!</definedName>
    <definedName name="TarrGrowth" localSheetId="21">#REF!</definedName>
    <definedName name="TarrGrowth" localSheetId="73">#REF!</definedName>
    <definedName name="TarrGrowth" localSheetId="84">#REF!</definedName>
    <definedName name="TarrGrowth" localSheetId="85">#REF!</definedName>
    <definedName name="TarrGrowth" localSheetId="86">#REF!</definedName>
    <definedName name="TarrGrowth" localSheetId="87">#REF!</definedName>
    <definedName name="TarrGrowth" localSheetId="88">#REF!</definedName>
    <definedName name="TarrGrowth" localSheetId="89">#REF!</definedName>
    <definedName name="TarrGrowth" localSheetId="90">#REF!</definedName>
    <definedName name="TarrGrowth" localSheetId="91">#REF!</definedName>
    <definedName name="TarrGrowth" localSheetId="92">#REF!</definedName>
    <definedName name="TarrGrowth" localSheetId="93">#REF!</definedName>
    <definedName name="TarrGrowth" localSheetId="74">#REF!</definedName>
    <definedName name="TarrGrowth" localSheetId="75">#REF!</definedName>
    <definedName name="TarrGrowth" localSheetId="76">#REF!</definedName>
    <definedName name="TarrGrowth" localSheetId="77">#REF!</definedName>
    <definedName name="TarrGrowth" localSheetId="78">#REF!</definedName>
    <definedName name="TarrGrowth" localSheetId="79">#REF!</definedName>
    <definedName name="TarrGrowth" localSheetId="80">#REF!</definedName>
    <definedName name="TarrGrowth" localSheetId="81">#REF!</definedName>
    <definedName name="TarrGrowth" localSheetId="82">#REF!</definedName>
    <definedName name="TarrGrowth" localSheetId="83">#REF!</definedName>
    <definedName name="TarrGrowth" localSheetId="2">#REF!</definedName>
    <definedName name="TarrGrowth" localSheetId="94">#REF!</definedName>
    <definedName name="TarrGrowth">#REF!</definedName>
    <definedName name="TOTALCOST">'[15]Cost-Dist'!$K$16</definedName>
    <definedName name="wqe" localSheetId="70">'[1]Other revenue sources'!#REF!</definedName>
    <definedName name="wqe" localSheetId="25">'[1]Other revenue sources'!#REF!</definedName>
    <definedName name="wqe" localSheetId="54">'[1]Other revenue sources'!#REF!</definedName>
    <definedName name="wqe" localSheetId="46">'[1]Other revenue sources'!#REF!</definedName>
    <definedName name="wqe" localSheetId="18">'[2]Other revenue sources'!#REF!</definedName>
    <definedName name="wqe" localSheetId="42">'[2]Other revenue sources'!#REF!</definedName>
    <definedName name="wqe" localSheetId="43">'[2]Other revenue sources'!#REF!</definedName>
    <definedName name="wqe" localSheetId="45">'[2]Other revenue sources'!#REF!</definedName>
    <definedName name="wqe" localSheetId="47">'[2]Other revenue sources'!#REF!</definedName>
    <definedName name="wqe" localSheetId="55">'[2]Other revenue sources'!#REF!</definedName>
    <definedName name="wqe" localSheetId="66">'[1]Other revenue sources'!#REF!</definedName>
    <definedName name="wqe" localSheetId="67">'[1]Other revenue sources'!#REF!</definedName>
    <definedName name="wqe" localSheetId="68">'[2]Other revenue sources'!#REF!</definedName>
    <definedName name="wqe" localSheetId="69">'[2]Other revenue sources'!#REF!</definedName>
    <definedName name="wqe" localSheetId="38">'[1]Other revenue sources'!#REF!</definedName>
    <definedName name="wqe" localSheetId="41">'[2]Other revenue sources'!#REF!</definedName>
    <definedName name="wqe" localSheetId="21">'[1]Other revenue sources'!#REF!</definedName>
    <definedName name="wqe" localSheetId="73">'[1]Other revenue sources'!#REF!</definedName>
    <definedName name="wqe" localSheetId="84">'[1]Other revenue sources'!#REF!</definedName>
    <definedName name="wqe" localSheetId="87">'[1]Other revenue sources'!#REF!</definedName>
    <definedName name="wqe" localSheetId="88">'[1]Other revenue sources'!#REF!</definedName>
    <definedName name="wqe" localSheetId="89">'[1]Other revenue sources'!#REF!</definedName>
    <definedName name="wqe" localSheetId="90">'[1]Other revenue sources'!#REF!</definedName>
    <definedName name="wqe" localSheetId="91">'[1]Other revenue sources'!#REF!</definedName>
    <definedName name="wqe" localSheetId="92">'[1]Other revenue sources'!#REF!</definedName>
    <definedName name="wqe" localSheetId="93">'[1]Other revenue sources'!#REF!</definedName>
    <definedName name="wqe" localSheetId="74">'[1]Other revenue sources'!#REF!</definedName>
    <definedName name="wqe" localSheetId="75">'[1]Other revenue sources'!#REF!</definedName>
    <definedName name="wqe" localSheetId="76">'[1]Other revenue sources'!#REF!</definedName>
    <definedName name="wqe" localSheetId="77">'[1]Other revenue sources'!#REF!</definedName>
    <definedName name="wqe" localSheetId="78">'[1]Other revenue sources'!#REF!</definedName>
    <definedName name="wqe" localSheetId="79">'[1]Other revenue sources'!#REF!</definedName>
    <definedName name="wqe" localSheetId="94">'[2]Other revenue sources'!#REF!</definedName>
    <definedName name="wqe">'[1]Other revenue sources'!#REF!</definedName>
    <definedName name="xx" localSheetId="70">#REF!</definedName>
    <definedName name="xx" localSheetId="25">#REF!</definedName>
    <definedName name="xx" localSheetId="1">#REF!</definedName>
    <definedName name="xx" localSheetId="54">#REF!</definedName>
    <definedName name="xx" localSheetId="46">#REF!</definedName>
    <definedName name="xx" localSheetId="18">#REF!</definedName>
    <definedName name="xx" localSheetId="42">#REF!</definedName>
    <definedName name="xx" localSheetId="43">#REF!</definedName>
    <definedName name="xx" localSheetId="45">#REF!</definedName>
    <definedName name="xx" localSheetId="47">#REF!</definedName>
    <definedName name="xx" localSheetId="55">#REF!</definedName>
    <definedName name="xx" localSheetId="66">#REF!</definedName>
    <definedName name="xx" localSheetId="67">#REF!</definedName>
    <definedName name="xx" localSheetId="68">#REF!</definedName>
    <definedName name="xx" localSheetId="69">#REF!</definedName>
    <definedName name="xx" localSheetId="38">#REF!</definedName>
    <definedName name="xx" localSheetId="41">#REF!</definedName>
    <definedName name="xx" localSheetId="21">#REF!</definedName>
    <definedName name="xx" localSheetId="73">#REF!</definedName>
    <definedName name="xx" localSheetId="84">#REF!</definedName>
    <definedName name="xx" localSheetId="85">#REF!</definedName>
    <definedName name="xx" localSheetId="86">#REF!</definedName>
    <definedName name="xx" localSheetId="87">#REF!</definedName>
    <definedName name="xx" localSheetId="88">#REF!</definedName>
    <definedName name="xx" localSheetId="89">#REF!</definedName>
    <definedName name="xx" localSheetId="90">#REF!</definedName>
    <definedName name="xx" localSheetId="91">#REF!</definedName>
    <definedName name="xx" localSheetId="92">#REF!</definedName>
    <definedName name="xx" localSheetId="93">#REF!</definedName>
    <definedName name="xx" localSheetId="74">#REF!</definedName>
    <definedName name="xx" localSheetId="75">#REF!</definedName>
    <definedName name="xx" localSheetId="76">#REF!</definedName>
    <definedName name="xx" localSheetId="77">#REF!</definedName>
    <definedName name="xx" localSheetId="78">#REF!</definedName>
    <definedName name="xx" localSheetId="79">#REF!</definedName>
    <definedName name="xx" localSheetId="80">#REF!</definedName>
    <definedName name="xx" localSheetId="81">#REF!</definedName>
    <definedName name="xx" localSheetId="82">#REF!</definedName>
    <definedName name="xx" localSheetId="83">#REF!</definedName>
    <definedName name="xx" localSheetId="2">#REF!</definedName>
    <definedName name="xx" localSheetId="94">#REF!</definedName>
    <definedName name="xx">#REF!</definedName>
    <definedName name="xxx" localSheetId="70">#REF!</definedName>
    <definedName name="xxx" localSheetId="25">#REF!</definedName>
    <definedName name="xxx" localSheetId="1">#REF!</definedName>
    <definedName name="xxx" localSheetId="54">#REF!</definedName>
    <definedName name="xxx" localSheetId="46">#REF!</definedName>
    <definedName name="xxx" localSheetId="38">#REF!</definedName>
    <definedName name="xxx" localSheetId="21">#REF!</definedName>
    <definedName name="xxx" localSheetId="73">#REF!</definedName>
    <definedName name="xxx" localSheetId="84">#REF!</definedName>
    <definedName name="xxx" localSheetId="85">#REF!</definedName>
    <definedName name="xxx" localSheetId="86">#REF!</definedName>
    <definedName name="xxx" localSheetId="87">#REF!</definedName>
    <definedName name="xxx" localSheetId="88">#REF!</definedName>
    <definedName name="xxx" localSheetId="89">#REF!</definedName>
    <definedName name="xxx" localSheetId="90">#REF!</definedName>
    <definedName name="xxx" localSheetId="91">#REF!</definedName>
    <definedName name="xxx" localSheetId="92">#REF!</definedName>
    <definedName name="xxx" localSheetId="93">#REF!</definedName>
    <definedName name="xxx" localSheetId="74">#REF!</definedName>
    <definedName name="xxx" localSheetId="75">#REF!</definedName>
    <definedName name="xxx" localSheetId="76">#REF!</definedName>
    <definedName name="xxx" localSheetId="77">#REF!</definedName>
    <definedName name="xxx" localSheetId="78">#REF!</definedName>
    <definedName name="xxx" localSheetId="79">#REF!</definedName>
    <definedName name="xxx" localSheetId="80">#REF!</definedName>
    <definedName name="xxx" localSheetId="81">#REF!</definedName>
    <definedName name="xxx" localSheetId="82">#REF!</definedName>
    <definedName name="xxx" localSheetId="83">#REF!</definedName>
    <definedName name="xxx" localSheetId="2">#REF!</definedName>
    <definedName name="xxx" localSheetId="94">#REF!</definedName>
    <definedName name="xxx">#REF!</definedName>
    <definedName name="xyz" localSheetId="70">'[16]Consumer Data &gt;100kVA'!#REF!</definedName>
    <definedName name="xyz" localSheetId="25">'[16]Consumer Data &gt;100kVA'!#REF!</definedName>
    <definedName name="xyz" localSheetId="54">'[16]Consumer Data &gt;100kVA'!#REF!</definedName>
    <definedName name="xyz" localSheetId="46">'[16]Consumer Data &gt;100kVA'!#REF!</definedName>
    <definedName name="xyz" localSheetId="18">'[17]Consumer Data &gt;100kVA'!#REF!</definedName>
    <definedName name="xyz" localSheetId="42">'[17]Consumer Data &gt;100kVA'!#REF!</definedName>
    <definedName name="xyz" localSheetId="43">'[17]Consumer Data &gt;100kVA'!#REF!</definedName>
    <definedName name="xyz" localSheetId="45">'[17]Consumer Data &gt;100kVA'!#REF!</definedName>
    <definedName name="xyz" localSheetId="47">'[17]Consumer Data &gt;100kVA'!#REF!</definedName>
    <definedName name="xyz" localSheetId="55">'[17]Consumer Data &gt;100kVA'!#REF!</definedName>
    <definedName name="xyz" localSheetId="66">'[16]Consumer Data &gt;100kVA'!#REF!</definedName>
    <definedName name="xyz" localSheetId="67">'[16]Consumer Data &gt;100kVA'!#REF!</definedName>
    <definedName name="xyz" localSheetId="68">'[17]Consumer Data &gt;100kVA'!#REF!</definedName>
    <definedName name="xyz" localSheetId="69">'[17]Consumer Data &gt;100kVA'!#REF!</definedName>
    <definedName name="xyz" localSheetId="38">'[16]Consumer Data &gt;100kVA'!#REF!</definedName>
    <definedName name="xyz" localSheetId="41">'[17]Consumer Data &gt;100kVA'!#REF!</definedName>
    <definedName name="xyz" localSheetId="21">'[16]Consumer Data &gt;100kVA'!#REF!</definedName>
    <definedName name="xyz" localSheetId="73">'[16]Consumer Data &gt;100kVA'!#REF!</definedName>
    <definedName name="xyz" localSheetId="84">'[16]Consumer Data &gt;100kVA'!#REF!</definedName>
    <definedName name="xyz" localSheetId="87">'[16]Consumer Data &gt;100kVA'!#REF!</definedName>
    <definedName name="xyz" localSheetId="88">'[16]Consumer Data &gt;100kVA'!#REF!</definedName>
    <definedName name="xyz" localSheetId="89">'[16]Consumer Data &gt;100kVA'!#REF!</definedName>
    <definedName name="xyz" localSheetId="90">'[16]Consumer Data &gt;100kVA'!#REF!</definedName>
    <definedName name="xyz" localSheetId="91">'[16]Consumer Data &gt;100kVA'!#REF!</definedName>
    <definedName name="xyz" localSheetId="92">'[16]Consumer Data &gt;100kVA'!#REF!</definedName>
    <definedName name="xyz" localSheetId="93">'[16]Consumer Data &gt;100kVA'!#REF!</definedName>
    <definedName name="xyz" localSheetId="74">'[16]Consumer Data &gt;100kVA'!#REF!</definedName>
    <definedName name="xyz" localSheetId="75">'[16]Consumer Data &gt;100kVA'!#REF!</definedName>
    <definedName name="xyz" localSheetId="76">'[16]Consumer Data &gt;100kVA'!#REF!</definedName>
    <definedName name="xyz" localSheetId="77">'[16]Consumer Data &gt;100kVA'!#REF!</definedName>
    <definedName name="xyz" localSheetId="78">'[16]Consumer Data &gt;100kVA'!#REF!</definedName>
    <definedName name="xyz" localSheetId="79">'[16]Consumer Data &gt;100kVA'!#REF!</definedName>
    <definedName name="xyz" localSheetId="94">'[17]Consumer Data &gt;100kVA'!#REF!</definedName>
    <definedName name="xyz">'[16]Consumer Data &gt;100kVA'!#REF!</definedName>
  </definedNames>
  <calcPr calcId="191028" iterate="1" iterateCount="30000" iterateDelta="1E-4"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683" l="1"/>
  <c r="D7" i="683"/>
  <c r="E7" i="683"/>
  <c r="B7" i="683"/>
  <c r="C31" i="97" l="1"/>
  <c r="O10" i="552" l="1"/>
  <c r="D6" i="552" s="1"/>
  <c r="D11" i="552" s="1"/>
  <c r="C21" i="629" l="1"/>
  <c r="Q36" i="686" l="1"/>
  <c r="P36" i="686"/>
  <c r="O36" i="686"/>
  <c r="N36" i="686"/>
  <c r="M36" i="686"/>
  <c r="L36" i="686"/>
  <c r="K36" i="686"/>
  <c r="J36" i="686"/>
  <c r="I36" i="686"/>
  <c r="H36" i="686"/>
  <c r="G36" i="686"/>
  <c r="F36" i="686"/>
  <c r="E36" i="686"/>
  <c r="D36" i="686"/>
  <c r="C36" i="686"/>
  <c r="B36" i="686"/>
  <c r="Q29" i="686"/>
  <c r="P29" i="686"/>
  <c r="O29" i="686"/>
  <c r="N29" i="686"/>
  <c r="M29" i="686"/>
  <c r="L29" i="686"/>
  <c r="K29" i="686"/>
  <c r="J29" i="686"/>
  <c r="I29" i="686"/>
  <c r="H29" i="686"/>
  <c r="G29" i="686"/>
  <c r="F29" i="686"/>
  <c r="E29" i="686"/>
  <c r="D29" i="686"/>
  <c r="C29" i="686"/>
  <c r="B29" i="686"/>
  <c r="Q18" i="686"/>
  <c r="Q37" i="686" s="1"/>
  <c r="P18" i="686"/>
  <c r="P37" i="686" s="1"/>
  <c r="O18" i="686"/>
  <c r="O37" i="686" s="1"/>
  <c r="N18" i="686"/>
  <c r="N37" i="686" s="1"/>
  <c r="M18" i="686"/>
  <c r="M37" i="686" s="1"/>
  <c r="L18" i="686"/>
  <c r="L37" i="686" s="1"/>
  <c r="K18" i="686"/>
  <c r="K37" i="686" s="1"/>
  <c r="J18" i="686"/>
  <c r="J37" i="686" s="1"/>
  <c r="I18" i="686"/>
  <c r="I37" i="686" s="1"/>
  <c r="H18" i="686"/>
  <c r="H37" i="686" s="1"/>
  <c r="G18" i="686"/>
  <c r="G37" i="686" s="1"/>
  <c r="F18" i="686"/>
  <c r="F37" i="686" s="1"/>
  <c r="E18" i="686"/>
  <c r="E37" i="686" s="1"/>
  <c r="D18" i="686"/>
  <c r="D37" i="686" s="1"/>
  <c r="C18" i="686"/>
  <c r="C37" i="686" s="1"/>
  <c r="B18" i="686"/>
  <c r="B37" i="686" s="1"/>
  <c r="D160" i="661" l="1"/>
  <c r="D159" i="661"/>
  <c r="D158" i="661"/>
  <c r="F162" i="661"/>
  <c r="F161" i="661"/>
  <c r="F160" i="661"/>
  <c r="F159" i="661"/>
  <c r="F158" i="661"/>
  <c r="H104" i="661"/>
  <c r="H109" i="661"/>
  <c r="H114" i="661"/>
  <c r="H115" i="661"/>
  <c r="H116" i="661"/>
  <c r="H117" i="661"/>
  <c r="H120" i="661"/>
  <c r="G120" i="661"/>
  <c r="G119" i="661"/>
  <c r="G104" i="661"/>
  <c r="G105" i="661"/>
  <c r="G106" i="661"/>
  <c r="G107" i="661"/>
  <c r="G108" i="661"/>
  <c r="G109" i="661"/>
  <c r="G110" i="661"/>
  <c r="G111" i="661"/>
  <c r="G112" i="661"/>
  <c r="G113" i="661"/>
  <c r="G114" i="661"/>
  <c r="G115" i="661"/>
  <c r="G116" i="661"/>
  <c r="G117" i="661"/>
  <c r="G118" i="661"/>
  <c r="G103" i="661"/>
  <c r="F163" i="661" l="1"/>
  <c r="G25" i="637" l="1"/>
  <c r="B32" i="643"/>
  <c r="J36" i="566"/>
  <c r="J21" i="566"/>
  <c r="Q41" i="637" l="1"/>
  <c r="J104" i="661"/>
  <c r="Q20" i="637" s="1"/>
  <c r="J105" i="661"/>
  <c r="Q17" i="637" s="1"/>
  <c r="J106" i="661"/>
  <c r="Q18" i="637" s="1"/>
  <c r="J107" i="661"/>
  <c r="Q29" i="637" s="1"/>
  <c r="J108" i="661"/>
  <c r="Q19" i="637" s="1"/>
  <c r="J109" i="661"/>
  <c r="J110" i="661"/>
  <c r="Q24" i="637" s="1"/>
  <c r="J111" i="661"/>
  <c r="Q26" i="637" s="1"/>
  <c r="J112" i="661"/>
  <c r="Q25" i="637" s="1"/>
  <c r="J113" i="661"/>
  <c r="Q21" i="637" s="1"/>
  <c r="J114" i="661"/>
  <c r="Q35" i="637" s="1"/>
  <c r="J115" i="661"/>
  <c r="Q30" i="637" s="1"/>
  <c r="J116" i="661"/>
  <c r="J117" i="661"/>
  <c r="J118" i="661"/>
  <c r="Q39" i="637" s="1"/>
  <c r="J120" i="661"/>
  <c r="J103" i="661"/>
  <c r="Q15" i="637" s="1"/>
  <c r="I109" i="661" l="1"/>
  <c r="I115" i="661"/>
  <c r="L30" i="637" s="1"/>
  <c r="I116" i="661"/>
  <c r="L32" i="637" s="1"/>
  <c r="I117" i="661"/>
  <c r="I120" i="661"/>
  <c r="M18" i="661" l="1"/>
  <c r="M27" i="661"/>
  <c r="M28" i="661"/>
  <c r="M48" i="661"/>
  <c r="M49" i="661"/>
  <c r="M51" i="661"/>
  <c r="M58" i="661"/>
  <c r="M63" i="661"/>
  <c r="M71" i="661"/>
  <c r="M80" i="661"/>
  <c r="M81" i="661"/>
  <c r="M82" i="661"/>
  <c r="M3" i="661"/>
  <c r="T89" i="661" l="1"/>
  <c r="U18" i="661"/>
  <c r="U27" i="661"/>
  <c r="U28" i="661"/>
  <c r="U48" i="661"/>
  <c r="U49" i="661"/>
  <c r="U51" i="661"/>
  <c r="U58" i="661"/>
  <c r="U63" i="661"/>
  <c r="U71" i="661"/>
  <c r="U80" i="661"/>
  <c r="U81" i="661"/>
  <c r="U82" i="661"/>
  <c r="R89" i="661"/>
  <c r="R91" i="661" s="1"/>
  <c r="S25" i="661"/>
  <c r="F155" i="661"/>
  <c r="J155" i="661"/>
  <c r="I155" i="661"/>
  <c r="J126" i="661" l="1"/>
  <c r="J127" i="661"/>
  <c r="J131" i="661"/>
  <c r="J132" i="661"/>
  <c r="J134" i="661"/>
  <c r="J142" i="661"/>
  <c r="I126" i="661"/>
  <c r="I127" i="661"/>
  <c r="I131" i="661"/>
  <c r="I132" i="661"/>
  <c r="I134" i="661"/>
  <c r="I142" i="661"/>
  <c r="H126" i="661"/>
  <c r="H127" i="661"/>
  <c r="H131" i="661"/>
  <c r="H132" i="661"/>
  <c r="H134" i="661"/>
  <c r="H142" i="661"/>
  <c r="G126" i="661"/>
  <c r="G127" i="661"/>
  <c r="G128" i="661"/>
  <c r="G129" i="661"/>
  <c r="G130" i="661"/>
  <c r="G131" i="661"/>
  <c r="G132" i="661"/>
  <c r="G133" i="661"/>
  <c r="G134" i="661"/>
  <c r="G135" i="661"/>
  <c r="G136" i="661"/>
  <c r="G137" i="661"/>
  <c r="G138" i="661"/>
  <c r="G139" i="661"/>
  <c r="G140" i="661"/>
  <c r="G141" i="661"/>
  <c r="G142" i="661"/>
  <c r="G125" i="661"/>
  <c r="F126" i="661"/>
  <c r="F127" i="661"/>
  <c r="F128" i="661"/>
  <c r="F129" i="661"/>
  <c r="F130" i="661"/>
  <c r="F131" i="661"/>
  <c r="F132" i="661"/>
  <c r="F133" i="661"/>
  <c r="F134" i="661"/>
  <c r="F135" i="661"/>
  <c r="F136" i="661"/>
  <c r="F137" i="661"/>
  <c r="F139" i="661"/>
  <c r="F142" i="661"/>
  <c r="F125" i="661"/>
  <c r="F104" i="661"/>
  <c r="G20" i="637" s="1"/>
  <c r="F105" i="661"/>
  <c r="G17" i="637" s="1"/>
  <c r="F106" i="661"/>
  <c r="G18" i="637" s="1"/>
  <c r="F107" i="661"/>
  <c r="G29" i="637" s="1"/>
  <c r="F108" i="661"/>
  <c r="G19" i="637" s="1"/>
  <c r="F109" i="661"/>
  <c r="F110" i="661"/>
  <c r="G24" i="637" s="1"/>
  <c r="F111" i="661"/>
  <c r="F112" i="661"/>
  <c r="F113" i="661"/>
  <c r="G21" i="637" s="1"/>
  <c r="F114" i="661"/>
  <c r="F115" i="661"/>
  <c r="F116" i="661"/>
  <c r="F117" i="661"/>
  <c r="F120" i="661"/>
  <c r="F103" i="661"/>
  <c r="G15" i="637" s="1"/>
  <c r="B4" i="661"/>
  <c r="G157" i="685"/>
  <c r="F157" i="685"/>
  <c r="E157" i="685"/>
  <c r="D157" i="685"/>
  <c r="C157" i="685"/>
  <c r="B157" i="685"/>
  <c r="G156" i="685"/>
  <c r="F156" i="685"/>
  <c r="E156" i="685"/>
  <c r="D156" i="685"/>
  <c r="C156" i="685"/>
  <c r="B156" i="685"/>
  <c r="G155" i="685"/>
  <c r="F155" i="685"/>
  <c r="E155" i="685"/>
  <c r="D155" i="685"/>
  <c r="C155" i="685"/>
  <c r="B155" i="685"/>
  <c r="G154" i="685"/>
  <c r="F154" i="685"/>
  <c r="E154" i="685"/>
  <c r="D154" i="685"/>
  <c r="C154" i="685"/>
  <c r="B154" i="685"/>
  <c r="G153" i="685"/>
  <c r="F153" i="685"/>
  <c r="E153" i="685"/>
  <c r="D153" i="685"/>
  <c r="C153" i="685"/>
  <c r="B153" i="685"/>
  <c r="G152" i="685"/>
  <c r="F152" i="685"/>
  <c r="E152" i="685"/>
  <c r="D152" i="685"/>
  <c r="C152" i="685"/>
  <c r="B152" i="685"/>
  <c r="G149" i="685"/>
  <c r="F149" i="685"/>
  <c r="E149" i="685"/>
  <c r="D149" i="685"/>
  <c r="C149" i="685"/>
  <c r="B149" i="685"/>
  <c r="I148" i="685"/>
  <c r="H148" i="685"/>
  <c r="I147" i="685"/>
  <c r="H147" i="685"/>
  <c r="I146" i="685"/>
  <c r="H146" i="685"/>
  <c r="I145" i="685"/>
  <c r="H145" i="685"/>
  <c r="I144" i="685"/>
  <c r="H144" i="685"/>
  <c r="I143" i="685"/>
  <c r="H143" i="685"/>
  <c r="G140" i="685"/>
  <c r="F140" i="685"/>
  <c r="E140" i="685"/>
  <c r="D140" i="685"/>
  <c r="C140" i="685"/>
  <c r="B140" i="685"/>
  <c r="I139" i="685"/>
  <c r="H139" i="685"/>
  <c r="I138" i="685"/>
  <c r="H138" i="685"/>
  <c r="I137" i="685"/>
  <c r="H137" i="685"/>
  <c r="I136" i="685"/>
  <c r="H136" i="685"/>
  <c r="I135" i="685"/>
  <c r="H135" i="685"/>
  <c r="I134" i="685"/>
  <c r="H134" i="685"/>
  <c r="G131" i="685"/>
  <c r="F131" i="685"/>
  <c r="E131" i="685"/>
  <c r="D131" i="685"/>
  <c r="C131" i="685"/>
  <c r="B131" i="685"/>
  <c r="I130" i="685"/>
  <c r="H130" i="685"/>
  <c r="I129" i="685"/>
  <c r="H129" i="685"/>
  <c r="I128" i="685"/>
  <c r="H128" i="685"/>
  <c r="I127" i="685"/>
  <c r="H127" i="685"/>
  <c r="I126" i="685"/>
  <c r="H126" i="685"/>
  <c r="I125" i="685"/>
  <c r="H125" i="685"/>
  <c r="G122" i="685"/>
  <c r="F122" i="685"/>
  <c r="E122" i="685"/>
  <c r="D122" i="685"/>
  <c r="C122" i="685"/>
  <c r="B122" i="685"/>
  <c r="I121" i="685"/>
  <c r="H121" i="685"/>
  <c r="I120" i="685"/>
  <c r="H120" i="685"/>
  <c r="I119" i="685"/>
  <c r="H119" i="685"/>
  <c r="I118" i="685"/>
  <c r="H118" i="685"/>
  <c r="I117" i="685"/>
  <c r="H117" i="685"/>
  <c r="I116" i="685"/>
  <c r="H116" i="685"/>
  <c r="G113" i="685"/>
  <c r="F113" i="685"/>
  <c r="E113" i="685"/>
  <c r="D113" i="685"/>
  <c r="C113" i="685"/>
  <c r="B113" i="685"/>
  <c r="I112" i="685"/>
  <c r="H112" i="685"/>
  <c r="I111" i="685"/>
  <c r="H111" i="685"/>
  <c r="I110" i="685"/>
  <c r="H110" i="685"/>
  <c r="I109" i="685"/>
  <c r="H109" i="685"/>
  <c r="I108" i="685"/>
  <c r="H108" i="685"/>
  <c r="I107" i="685"/>
  <c r="H107" i="685"/>
  <c r="G104" i="685"/>
  <c r="F104" i="685"/>
  <c r="E104" i="685"/>
  <c r="D104" i="685"/>
  <c r="C104" i="685"/>
  <c r="B104" i="685"/>
  <c r="I103" i="685"/>
  <c r="H103" i="685"/>
  <c r="I102" i="685"/>
  <c r="H102" i="685"/>
  <c r="I101" i="685"/>
  <c r="H101" i="685"/>
  <c r="I100" i="685"/>
  <c r="H100" i="685"/>
  <c r="I99" i="685"/>
  <c r="H99" i="685"/>
  <c r="I98" i="685"/>
  <c r="H98" i="685"/>
  <c r="G95" i="685"/>
  <c r="F95" i="685"/>
  <c r="E95" i="685"/>
  <c r="D95" i="685"/>
  <c r="C95" i="685"/>
  <c r="B95" i="685"/>
  <c r="I94" i="685"/>
  <c r="H94" i="685"/>
  <c r="I93" i="685"/>
  <c r="H93" i="685"/>
  <c r="I92" i="685"/>
  <c r="H92" i="685"/>
  <c r="I91" i="685"/>
  <c r="H91" i="685"/>
  <c r="I90" i="685"/>
  <c r="H90" i="685"/>
  <c r="I89" i="685"/>
  <c r="H89" i="685"/>
  <c r="G86" i="685"/>
  <c r="F86" i="685"/>
  <c r="E86" i="685"/>
  <c r="D86" i="685"/>
  <c r="C86" i="685"/>
  <c r="B86" i="685"/>
  <c r="I85" i="685"/>
  <c r="H85" i="685"/>
  <c r="I84" i="685"/>
  <c r="H84" i="685"/>
  <c r="I83" i="685"/>
  <c r="H83" i="685"/>
  <c r="I82" i="685"/>
  <c r="H82" i="685"/>
  <c r="I81" i="685"/>
  <c r="H81" i="685"/>
  <c r="I80" i="685"/>
  <c r="H80" i="685"/>
  <c r="G77" i="685"/>
  <c r="F77" i="685"/>
  <c r="E77" i="685"/>
  <c r="D77" i="685"/>
  <c r="C77" i="685"/>
  <c r="B77" i="685"/>
  <c r="I76" i="685"/>
  <c r="H76" i="685"/>
  <c r="I75" i="685"/>
  <c r="H75" i="685"/>
  <c r="I74" i="685"/>
  <c r="H74" i="685"/>
  <c r="I73" i="685"/>
  <c r="H73" i="685"/>
  <c r="I72" i="685"/>
  <c r="H72" i="685"/>
  <c r="I71" i="685"/>
  <c r="H71" i="685"/>
  <c r="G68" i="685"/>
  <c r="F68" i="685"/>
  <c r="E68" i="685"/>
  <c r="D68" i="685"/>
  <c r="C68" i="685"/>
  <c r="B68" i="685"/>
  <c r="I67" i="685"/>
  <c r="H67" i="685"/>
  <c r="I66" i="685"/>
  <c r="H66" i="685"/>
  <c r="I65" i="685"/>
  <c r="H65" i="685"/>
  <c r="I64" i="685"/>
  <c r="H64" i="685"/>
  <c r="I63" i="685"/>
  <c r="H63" i="685"/>
  <c r="I62" i="685"/>
  <c r="H62" i="685"/>
  <c r="G59" i="685"/>
  <c r="F59" i="685"/>
  <c r="E59" i="685"/>
  <c r="D59" i="685"/>
  <c r="C59" i="685"/>
  <c r="B59" i="685"/>
  <c r="I58" i="685"/>
  <c r="H58" i="685"/>
  <c r="I57" i="685"/>
  <c r="H57" i="685"/>
  <c r="I56" i="685"/>
  <c r="H56" i="685"/>
  <c r="I55" i="685"/>
  <c r="H55" i="685"/>
  <c r="I54" i="685"/>
  <c r="H54" i="685"/>
  <c r="I53" i="685"/>
  <c r="H53" i="685"/>
  <c r="G50" i="685"/>
  <c r="F50" i="685"/>
  <c r="E50" i="685"/>
  <c r="D50" i="685"/>
  <c r="C50" i="685"/>
  <c r="B50" i="685"/>
  <c r="I49" i="685"/>
  <c r="H49" i="685"/>
  <c r="I48" i="685"/>
  <c r="H48" i="685"/>
  <c r="I47" i="685"/>
  <c r="H47" i="685"/>
  <c r="I46" i="685"/>
  <c r="H46" i="685"/>
  <c r="I45" i="685"/>
  <c r="H45" i="685"/>
  <c r="I44" i="685"/>
  <c r="H44" i="685"/>
  <c r="G41" i="685"/>
  <c r="F41" i="685"/>
  <c r="E41" i="685"/>
  <c r="D41" i="685"/>
  <c r="C41" i="685"/>
  <c r="B41" i="685"/>
  <c r="I40" i="685"/>
  <c r="H40" i="685"/>
  <c r="I39" i="685"/>
  <c r="H39" i="685"/>
  <c r="I38" i="685"/>
  <c r="H38" i="685"/>
  <c r="I37" i="685"/>
  <c r="H37" i="685"/>
  <c r="I36" i="685"/>
  <c r="H36" i="685"/>
  <c r="I35" i="685"/>
  <c r="H35" i="685"/>
  <c r="G32" i="685"/>
  <c r="F32" i="685"/>
  <c r="E32" i="685"/>
  <c r="D32" i="685"/>
  <c r="C32" i="685"/>
  <c r="B32" i="685"/>
  <c r="I31" i="685"/>
  <c r="H31" i="685"/>
  <c r="I30" i="685"/>
  <c r="H30" i="685"/>
  <c r="I29" i="685"/>
  <c r="H29" i="685"/>
  <c r="I28" i="685"/>
  <c r="H28" i="685"/>
  <c r="I27" i="685"/>
  <c r="H27" i="685"/>
  <c r="I26" i="685"/>
  <c r="H26" i="685"/>
  <c r="G23" i="685"/>
  <c r="F23" i="685"/>
  <c r="E23" i="685"/>
  <c r="D23" i="685"/>
  <c r="C23" i="685"/>
  <c r="B23" i="685"/>
  <c r="I22" i="685"/>
  <c r="H22" i="685"/>
  <c r="I21" i="685"/>
  <c r="H21" i="685"/>
  <c r="I20" i="685"/>
  <c r="H20" i="685"/>
  <c r="I19" i="685"/>
  <c r="H19" i="685"/>
  <c r="I18" i="685"/>
  <c r="H18" i="685"/>
  <c r="I17" i="685"/>
  <c r="H17" i="685"/>
  <c r="G14" i="685"/>
  <c r="F14" i="685"/>
  <c r="E14" i="685"/>
  <c r="D14" i="685"/>
  <c r="C14" i="685"/>
  <c r="B14" i="685"/>
  <c r="I13" i="685"/>
  <c r="H13" i="685"/>
  <c r="I12" i="685"/>
  <c r="H12" i="685"/>
  <c r="I11" i="685"/>
  <c r="H11" i="685"/>
  <c r="I10" i="685"/>
  <c r="H10" i="685"/>
  <c r="I9" i="685"/>
  <c r="H9" i="685"/>
  <c r="I8" i="685"/>
  <c r="H8" i="685"/>
  <c r="G259" i="684"/>
  <c r="F259" i="684"/>
  <c r="E259" i="684"/>
  <c r="D259" i="684"/>
  <c r="C259" i="684"/>
  <c r="B259" i="684"/>
  <c r="G258" i="684"/>
  <c r="F258" i="684"/>
  <c r="E258" i="684"/>
  <c r="D258" i="684"/>
  <c r="C258" i="684"/>
  <c r="B258" i="684"/>
  <c r="G257" i="684"/>
  <c r="F257" i="684"/>
  <c r="E257" i="684"/>
  <c r="D257" i="684"/>
  <c r="C257" i="684"/>
  <c r="B257" i="684"/>
  <c r="G256" i="684"/>
  <c r="F256" i="684"/>
  <c r="E256" i="684"/>
  <c r="D256" i="684"/>
  <c r="C256" i="684"/>
  <c r="B256" i="684"/>
  <c r="G255" i="684"/>
  <c r="F255" i="684"/>
  <c r="E255" i="684"/>
  <c r="D255" i="684"/>
  <c r="C255" i="684"/>
  <c r="B255" i="684"/>
  <c r="G254" i="684"/>
  <c r="F254" i="684"/>
  <c r="E254" i="684"/>
  <c r="D254" i="684"/>
  <c r="C254" i="684"/>
  <c r="B254" i="684"/>
  <c r="G253" i="684"/>
  <c r="F253" i="684"/>
  <c r="E253" i="684"/>
  <c r="D253" i="684"/>
  <c r="C253" i="684"/>
  <c r="B253" i="684"/>
  <c r="G252" i="684"/>
  <c r="F252" i="684"/>
  <c r="E252" i="684"/>
  <c r="D252" i="684"/>
  <c r="C252" i="684"/>
  <c r="B252" i="684"/>
  <c r="G251" i="684"/>
  <c r="F251" i="684"/>
  <c r="E251" i="684"/>
  <c r="D251" i="684"/>
  <c r="C251" i="684"/>
  <c r="B251" i="684"/>
  <c r="G250" i="684"/>
  <c r="F250" i="684"/>
  <c r="E250" i="684"/>
  <c r="D250" i="684"/>
  <c r="C250" i="684"/>
  <c r="B250" i="684"/>
  <c r="G249" i="684"/>
  <c r="F249" i="684"/>
  <c r="E249" i="684"/>
  <c r="D249" i="684"/>
  <c r="C249" i="684"/>
  <c r="B249" i="684"/>
  <c r="G248" i="684"/>
  <c r="F248" i="684"/>
  <c r="E248" i="684"/>
  <c r="D248" i="684"/>
  <c r="C248" i="684"/>
  <c r="B248" i="684"/>
  <c r="G245" i="684"/>
  <c r="F245" i="684"/>
  <c r="E245" i="684"/>
  <c r="D245" i="684"/>
  <c r="C245" i="684"/>
  <c r="B245" i="684"/>
  <c r="I244" i="684"/>
  <c r="H244" i="684"/>
  <c r="I243" i="684"/>
  <c r="H243" i="684"/>
  <c r="I242" i="684"/>
  <c r="H242" i="684"/>
  <c r="I241" i="684"/>
  <c r="H241" i="684"/>
  <c r="I240" i="684"/>
  <c r="H240" i="684"/>
  <c r="I239" i="684"/>
  <c r="H239" i="684"/>
  <c r="I238" i="684"/>
  <c r="H238" i="684"/>
  <c r="I237" i="684"/>
  <c r="H237" i="684"/>
  <c r="I236" i="684"/>
  <c r="H236" i="684"/>
  <c r="I235" i="684"/>
  <c r="H235" i="684"/>
  <c r="I234" i="684"/>
  <c r="H234" i="684"/>
  <c r="I233" i="684"/>
  <c r="H233" i="684"/>
  <c r="G230" i="684"/>
  <c r="F230" i="684"/>
  <c r="E230" i="684"/>
  <c r="D230" i="684"/>
  <c r="C230" i="684"/>
  <c r="B230" i="684"/>
  <c r="I229" i="684"/>
  <c r="H229" i="684"/>
  <c r="I228" i="684"/>
  <c r="H228" i="684"/>
  <c r="I227" i="684"/>
  <c r="H227" i="684"/>
  <c r="I226" i="684"/>
  <c r="H226" i="684"/>
  <c r="I225" i="684"/>
  <c r="H225" i="684"/>
  <c r="I224" i="684"/>
  <c r="H224" i="684"/>
  <c r="I223" i="684"/>
  <c r="H223" i="684"/>
  <c r="I222" i="684"/>
  <c r="H222" i="684"/>
  <c r="I221" i="684"/>
  <c r="H221" i="684"/>
  <c r="I220" i="684"/>
  <c r="H220" i="684"/>
  <c r="I219" i="684"/>
  <c r="H219" i="684"/>
  <c r="I218" i="684"/>
  <c r="H218" i="684"/>
  <c r="G215" i="684"/>
  <c r="F215" i="684"/>
  <c r="E215" i="684"/>
  <c r="D215" i="684"/>
  <c r="C215" i="684"/>
  <c r="B215" i="684"/>
  <c r="I214" i="684"/>
  <c r="H214" i="684"/>
  <c r="I213" i="684"/>
  <c r="H213" i="684"/>
  <c r="I212" i="684"/>
  <c r="H212" i="684"/>
  <c r="I211" i="684"/>
  <c r="H211" i="684"/>
  <c r="I210" i="684"/>
  <c r="H210" i="684"/>
  <c r="I209" i="684"/>
  <c r="H209" i="684"/>
  <c r="I208" i="684"/>
  <c r="H208" i="684"/>
  <c r="I207" i="684"/>
  <c r="H207" i="684"/>
  <c r="I206" i="684"/>
  <c r="H206" i="684"/>
  <c r="I205" i="684"/>
  <c r="H205" i="684"/>
  <c r="I204" i="684"/>
  <c r="H204" i="684"/>
  <c r="I203" i="684"/>
  <c r="H203" i="684"/>
  <c r="G200" i="684"/>
  <c r="F200" i="684"/>
  <c r="E200" i="684"/>
  <c r="D200" i="684"/>
  <c r="C200" i="684"/>
  <c r="B200" i="684"/>
  <c r="I199" i="684"/>
  <c r="H199" i="684"/>
  <c r="I198" i="684"/>
  <c r="H198" i="684"/>
  <c r="I197" i="684"/>
  <c r="H197" i="684"/>
  <c r="I196" i="684"/>
  <c r="H196" i="684"/>
  <c r="I195" i="684"/>
  <c r="H195" i="684"/>
  <c r="I194" i="684"/>
  <c r="H194" i="684"/>
  <c r="I193" i="684"/>
  <c r="H193" i="684"/>
  <c r="I192" i="684"/>
  <c r="H192" i="684"/>
  <c r="I191" i="684"/>
  <c r="H191" i="684"/>
  <c r="I190" i="684"/>
  <c r="H190" i="684"/>
  <c r="I189" i="684"/>
  <c r="H189" i="684"/>
  <c r="I188" i="684"/>
  <c r="H188" i="684"/>
  <c r="G185" i="684"/>
  <c r="F185" i="684"/>
  <c r="E185" i="684"/>
  <c r="D185" i="684"/>
  <c r="C185" i="684"/>
  <c r="B185" i="684"/>
  <c r="I184" i="684"/>
  <c r="H184" i="684"/>
  <c r="I183" i="684"/>
  <c r="H183" i="684"/>
  <c r="I182" i="684"/>
  <c r="H182" i="684"/>
  <c r="I181" i="684"/>
  <c r="H181" i="684"/>
  <c r="I180" i="684"/>
  <c r="H180" i="684"/>
  <c r="I179" i="684"/>
  <c r="H179" i="684"/>
  <c r="I178" i="684"/>
  <c r="H178" i="684"/>
  <c r="I177" i="684"/>
  <c r="H177" i="684"/>
  <c r="I176" i="684"/>
  <c r="H176" i="684"/>
  <c r="I175" i="684"/>
  <c r="H175" i="684"/>
  <c r="I174" i="684"/>
  <c r="H174" i="684"/>
  <c r="I173" i="684"/>
  <c r="H173" i="684"/>
  <c r="G170" i="684"/>
  <c r="F170" i="684"/>
  <c r="E170" i="684"/>
  <c r="D170" i="684"/>
  <c r="C170" i="684"/>
  <c r="B170" i="684"/>
  <c r="I169" i="684"/>
  <c r="H169" i="684"/>
  <c r="I168" i="684"/>
  <c r="H168" i="684"/>
  <c r="I167" i="684"/>
  <c r="H167" i="684"/>
  <c r="I166" i="684"/>
  <c r="H166" i="684"/>
  <c r="I165" i="684"/>
  <c r="H165" i="684"/>
  <c r="I164" i="684"/>
  <c r="H164" i="684"/>
  <c r="I163" i="684"/>
  <c r="H163" i="684"/>
  <c r="I162" i="684"/>
  <c r="H162" i="684"/>
  <c r="I161" i="684"/>
  <c r="H161" i="684"/>
  <c r="I160" i="684"/>
  <c r="H160" i="684"/>
  <c r="I159" i="684"/>
  <c r="H159" i="684"/>
  <c r="I158" i="684"/>
  <c r="H158" i="684"/>
  <c r="G155" i="684"/>
  <c r="F155" i="684"/>
  <c r="E155" i="684"/>
  <c r="D155" i="684"/>
  <c r="C155" i="684"/>
  <c r="B155" i="684"/>
  <c r="I154" i="684"/>
  <c r="H154" i="684"/>
  <c r="I153" i="684"/>
  <c r="H153" i="684"/>
  <c r="I152" i="684"/>
  <c r="H152" i="684"/>
  <c r="I151" i="684"/>
  <c r="H151" i="684"/>
  <c r="I150" i="684"/>
  <c r="H150" i="684"/>
  <c r="I149" i="684"/>
  <c r="H149" i="684"/>
  <c r="I148" i="684"/>
  <c r="H148" i="684"/>
  <c r="I147" i="684"/>
  <c r="H147" i="684"/>
  <c r="I146" i="684"/>
  <c r="H146" i="684"/>
  <c r="I145" i="684"/>
  <c r="H145" i="684"/>
  <c r="I144" i="684"/>
  <c r="H144" i="684"/>
  <c r="I143" i="684"/>
  <c r="H143" i="684"/>
  <c r="G140" i="684"/>
  <c r="F140" i="684"/>
  <c r="E140" i="684"/>
  <c r="D140" i="684"/>
  <c r="C140" i="684"/>
  <c r="B140" i="684"/>
  <c r="I139" i="684"/>
  <c r="H139" i="684"/>
  <c r="I138" i="684"/>
  <c r="H138" i="684"/>
  <c r="I137" i="684"/>
  <c r="H137" i="684"/>
  <c r="I136" i="684"/>
  <c r="H136" i="684"/>
  <c r="I135" i="684"/>
  <c r="H135" i="684"/>
  <c r="I134" i="684"/>
  <c r="H134" i="684"/>
  <c r="I133" i="684"/>
  <c r="H133" i="684"/>
  <c r="I132" i="684"/>
  <c r="H132" i="684"/>
  <c r="I131" i="684"/>
  <c r="H131" i="684"/>
  <c r="I130" i="684"/>
  <c r="H130" i="684"/>
  <c r="I129" i="684"/>
  <c r="H129" i="684"/>
  <c r="I128" i="684"/>
  <c r="H128" i="684"/>
  <c r="G125" i="684"/>
  <c r="F125" i="684"/>
  <c r="E125" i="684"/>
  <c r="D125" i="684"/>
  <c r="C125" i="684"/>
  <c r="B125" i="684"/>
  <c r="I124" i="684"/>
  <c r="H124" i="684"/>
  <c r="I123" i="684"/>
  <c r="H123" i="684"/>
  <c r="I122" i="684"/>
  <c r="H122" i="684"/>
  <c r="I121" i="684"/>
  <c r="H121" i="684"/>
  <c r="I120" i="684"/>
  <c r="H120" i="684"/>
  <c r="I119" i="684"/>
  <c r="H119" i="684"/>
  <c r="I118" i="684"/>
  <c r="H118" i="684"/>
  <c r="I117" i="684"/>
  <c r="H117" i="684"/>
  <c r="I116" i="684"/>
  <c r="H116" i="684"/>
  <c r="I115" i="684"/>
  <c r="H115" i="684"/>
  <c r="I114" i="684"/>
  <c r="H114" i="684"/>
  <c r="I113" i="684"/>
  <c r="H113" i="684"/>
  <c r="G110" i="684"/>
  <c r="F110" i="684"/>
  <c r="E110" i="684"/>
  <c r="D110" i="684"/>
  <c r="C110" i="684"/>
  <c r="B110" i="684"/>
  <c r="I109" i="684"/>
  <c r="H109" i="684"/>
  <c r="I108" i="684"/>
  <c r="H108" i="684"/>
  <c r="I107" i="684"/>
  <c r="H107" i="684"/>
  <c r="I106" i="684"/>
  <c r="H106" i="684"/>
  <c r="I105" i="684"/>
  <c r="H105" i="684"/>
  <c r="I104" i="684"/>
  <c r="H104" i="684"/>
  <c r="I103" i="684"/>
  <c r="H103" i="684"/>
  <c r="I102" i="684"/>
  <c r="H102" i="684"/>
  <c r="I101" i="684"/>
  <c r="H101" i="684"/>
  <c r="I100" i="684"/>
  <c r="H100" i="684"/>
  <c r="I99" i="684"/>
  <c r="H99" i="684"/>
  <c r="I98" i="684"/>
  <c r="H98" i="684"/>
  <c r="G95" i="684"/>
  <c r="F95" i="684"/>
  <c r="E95" i="684"/>
  <c r="D95" i="684"/>
  <c r="C95" i="684"/>
  <c r="B95" i="684"/>
  <c r="I94" i="684"/>
  <c r="H94" i="684"/>
  <c r="I93" i="684"/>
  <c r="H93" i="684"/>
  <c r="I92" i="684"/>
  <c r="H92" i="684"/>
  <c r="I91" i="684"/>
  <c r="H91" i="684"/>
  <c r="I90" i="684"/>
  <c r="H90" i="684"/>
  <c r="I89" i="684"/>
  <c r="H89" i="684"/>
  <c r="I88" i="684"/>
  <c r="H88" i="684"/>
  <c r="I87" i="684"/>
  <c r="H87" i="684"/>
  <c r="I86" i="684"/>
  <c r="H86" i="684"/>
  <c r="I85" i="684"/>
  <c r="H85" i="684"/>
  <c r="I84" i="684"/>
  <c r="H84" i="684"/>
  <c r="I83" i="684"/>
  <c r="H83" i="684"/>
  <c r="G80" i="684"/>
  <c r="F80" i="684"/>
  <c r="E80" i="684"/>
  <c r="D80" i="684"/>
  <c r="C80" i="684"/>
  <c r="B80" i="684"/>
  <c r="I79" i="684"/>
  <c r="H79" i="684"/>
  <c r="I78" i="684"/>
  <c r="H78" i="684"/>
  <c r="I77" i="684"/>
  <c r="H77" i="684"/>
  <c r="I76" i="684"/>
  <c r="H76" i="684"/>
  <c r="I75" i="684"/>
  <c r="H75" i="684"/>
  <c r="I74" i="684"/>
  <c r="H74" i="684"/>
  <c r="I73" i="684"/>
  <c r="H73" i="684"/>
  <c r="I72" i="684"/>
  <c r="H72" i="684"/>
  <c r="I71" i="684"/>
  <c r="H71" i="684"/>
  <c r="I70" i="684"/>
  <c r="H70" i="684"/>
  <c r="I69" i="684"/>
  <c r="H69" i="684"/>
  <c r="I68" i="684"/>
  <c r="H68" i="684"/>
  <c r="G65" i="684"/>
  <c r="F65" i="684"/>
  <c r="E65" i="684"/>
  <c r="D65" i="684"/>
  <c r="C65" i="684"/>
  <c r="B65" i="684"/>
  <c r="I64" i="684"/>
  <c r="H64" i="684"/>
  <c r="I63" i="684"/>
  <c r="H63" i="684"/>
  <c r="I62" i="684"/>
  <c r="H62" i="684"/>
  <c r="I61" i="684"/>
  <c r="H61" i="684"/>
  <c r="I60" i="684"/>
  <c r="H60" i="684"/>
  <c r="I59" i="684"/>
  <c r="H59" i="684"/>
  <c r="I58" i="684"/>
  <c r="H58" i="684"/>
  <c r="I57" i="684"/>
  <c r="H57" i="684"/>
  <c r="I56" i="684"/>
  <c r="H56" i="684"/>
  <c r="I55" i="684"/>
  <c r="H55" i="684"/>
  <c r="I54" i="684"/>
  <c r="H54" i="684"/>
  <c r="I53" i="684"/>
  <c r="H53" i="684"/>
  <c r="G50" i="684"/>
  <c r="F50" i="684"/>
  <c r="E50" i="684"/>
  <c r="D50" i="684"/>
  <c r="C50" i="684"/>
  <c r="B50" i="684"/>
  <c r="I49" i="684"/>
  <c r="H49" i="684"/>
  <c r="I48" i="684"/>
  <c r="H48" i="684"/>
  <c r="I47" i="684"/>
  <c r="H47" i="684"/>
  <c r="I46" i="684"/>
  <c r="H46" i="684"/>
  <c r="I45" i="684"/>
  <c r="H45" i="684"/>
  <c r="I44" i="684"/>
  <c r="H44" i="684"/>
  <c r="I43" i="684"/>
  <c r="H43" i="684"/>
  <c r="I42" i="684"/>
  <c r="H42" i="684"/>
  <c r="I41" i="684"/>
  <c r="H41" i="684"/>
  <c r="I40" i="684"/>
  <c r="H40" i="684"/>
  <c r="I39" i="684"/>
  <c r="H39" i="684"/>
  <c r="I38" i="684"/>
  <c r="H38" i="684"/>
  <c r="G35" i="684"/>
  <c r="F35" i="684"/>
  <c r="E35" i="684"/>
  <c r="D35" i="684"/>
  <c r="C35" i="684"/>
  <c r="B35" i="684"/>
  <c r="I34" i="684"/>
  <c r="H34" i="684"/>
  <c r="I33" i="684"/>
  <c r="H33" i="684"/>
  <c r="I32" i="684"/>
  <c r="H32" i="684"/>
  <c r="I31" i="684"/>
  <c r="H31" i="684"/>
  <c r="I30" i="684"/>
  <c r="H30" i="684"/>
  <c r="I29" i="684"/>
  <c r="H29" i="684"/>
  <c r="I28" i="684"/>
  <c r="H28" i="684"/>
  <c r="I27" i="684"/>
  <c r="H27" i="684"/>
  <c r="I26" i="684"/>
  <c r="H26" i="684"/>
  <c r="I25" i="684"/>
  <c r="H25" i="684"/>
  <c r="I24" i="684"/>
  <c r="H24" i="684"/>
  <c r="I23" i="684"/>
  <c r="H23" i="684"/>
  <c r="G20" i="684"/>
  <c r="F20" i="684"/>
  <c r="E20" i="684"/>
  <c r="D20" i="684"/>
  <c r="C20" i="684"/>
  <c r="B20" i="684"/>
  <c r="I19" i="684"/>
  <c r="H19" i="684"/>
  <c r="I18" i="684"/>
  <c r="H18" i="684"/>
  <c r="I17" i="684"/>
  <c r="H17" i="684"/>
  <c r="I16" i="684"/>
  <c r="H16" i="684"/>
  <c r="I15" i="684"/>
  <c r="H15" i="684"/>
  <c r="I14" i="684"/>
  <c r="H14" i="684"/>
  <c r="I13" i="684"/>
  <c r="H13" i="684"/>
  <c r="I12" i="684"/>
  <c r="H12" i="684"/>
  <c r="I11" i="684"/>
  <c r="H11" i="684"/>
  <c r="I10" i="684"/>
  <c r="H10" i="684"/>
  <c r="I9" i="684"/>
  <c r="H9" i="684"/>
  <c r="I8" i="684"/>
  <c r="H8" i="684"/>
  <c r="J68" i="681"/>
  <c r="F68" i="681"/>
  <c r="E68" i="681"/>
  <c r="D68" i="681"/>
  <c r="J58" i="681"/>
  <c r="H58" i="681"/>
  <c r="G58" i="681"/>
  <c r="D58" i="681"/>
  <c r="I57" i="681"/>
  <c r="I58" i="681" s="1"/>
  <c r="E57" i="681"/>
  <c r="J54" i="681"/>
  <c r="H54" i="681"/>
  <c r="G54" i="681"/>
  <c r="E54" i="681"/>
  <c r="D54" i="681"/>
  <c r="I53" i="681"/>
  <c r="I54" i="681" s="1"/>
  <c r="F53" i="681"/>
  <c r="F54" i="681" s="1"/>
  <c r="J50" i="681"/>
  <c r="G50" i="681"/>
  <c r="D50" i="681"/>
  <c r="E49" i="681"/>
  <c r="J45" i="681"/>
  <c r="H45" i="681"/>
  <c r="G45" i="681"/>
  <c r="D45" i="681"/>
  <c r="I44" i="681"/>
  <c r="I45" i="681" s="1"/>
  <c r="E44" i="681"/>
  <c r="J41" i="681"/>
  <c r="G41" i="681"/>
  <c r="E41" i="681"/>
  <c r="D41" i="681"/>
  <c r="F40" i="681"/>
  <c r="F41" i="681" s="1"/>
  <c r="J37" i="681"/>
  <c r="H37" i="681"/>
  <c r="G37" i="681"/>
  <c r="D37" i="681"/>
  <c r="I36" i="681"/>
  <c r="I37" i="681" s="1"/>
  <c r="E36" i="681"/>
  <c r="E37" i="681" s="1"/>
  <c r="J33" i="681"/>
  <c r="H33" i="681"/>
  <c r="G33" i="681"/>
  <c r="D33" i="681"/>
  <c r="I32" i="681"/>
  <c r="I33" i="681" s="1"/>
  <c r="E32" i="681"/>
  <c r="E33" i="681" s="1"/>
  <c r="J28" i="681"/>
  <c r="H28" i="681"/>
  <c r="G28" i="681"/>
  <c r="D28" i="681"/>
  <c r="I27" i="681"/>
  <c r="I28" i="681" s="1"/>
  <c r="E27" i="681"/>
  <c r="F27" i="681" s="1"/>
  <c r="J24" i="681"/>
  <c r="H24" i="681"/>
  <c r="G24" i="681"/>
  <c r="D24" i="681"/>
  <c r="I23" i="681"/>
  <c r="I24" i="681" s="1"/>
  <c r="E23" i="681"/>
  <c r="F23" i="681" s="1"/>
  <c r="J20" i="681"/>
  <c r="H20" i="681"/>
  <c r="G20" i="681"/>
  <c r="D20" i="681"/>
  <c r="D21" i="681" s="1"/>
  <c r="I19" i="681"/>
  <c r="I20" i="681" s="1"/>
  <c r="E19" i="681"/>
  <c r="F19" i="681" s="1"/>
  <c r="F20" i="681" s="1"/>
  <c r="F21" i="681" s="1"/>
  <c r="J16" i="681"/>
  <c r="H16" i="681"/>
  <c r="G16" i="681"/>
  <c r="D16" i="681"/>
  <c r="I15" i="681"/>
  <c r="I16" i="681" s="1"/>
  <c r="E15" i="681"/>
  <c r="E16" i="681" s="1"/>
  <c r="J12" i="681"/>
  <c r="H12" i="681"/>
  <c r="G12" i="681"/>
  <c r="D12" i="681"/>
  <c r="I11" i="681"/>
  <c r="I12" i="681" s="1"/>
  <c r="E11" i="681"/>
  <c r="J7" i="681"/>
  <c r="H7" i="681"/>
  <c r="G7" i="681"/>
  <c r="D7" i="681"/>
  <c r="I6" i="681"/>
  <c r="I7" i="681" s="1"/>
  <c r="E6" i="681"/>
  <c r="E7" i="681" s="1"/>
  <c r="G671" i="678"/>
  <c r="F671" i="678"/>
  <c r="E671" i="678"/>
  <c r="G617" i="678"/>
  <c r="F617" i="678"/>
  <c r="E617" i="678"/>
  <c r="G344" i="678"/>
  <c r="F344" i="678"/>
  <c r="E344" i="678"/>
  <c r="G317" i="678"/>
  <c r="F317" i="678"/>
  <c r="E317" i="678"/>
  <c r="G263" i="678"/>
  <c r="F263" i="678"/>
  <c r="E263" i="678"/>
  <c r="G151" i="678"/>
  <c r="F151" i="678"/>
  <c r="E151" i="678"/>
  <c r="G34" i="678"/>
  <c r="F34" i="678"/>
  <c r="E34" i="678"/>
  <c r="G25" i="678"/>
  <c r="F25" i="678"/>
  <c r="E25" i="678"/>
  <c r="G1157" i="677"/>
  <c r="F1157" i="677"/>
  <c r="E1157" i="677"/>
  <c r="G1143" i="677"/>
  <c r="F1143" i="677"/>
  <c r="E1143" i="677"/>
  <c r="G1129" i="677"/>
  <c r="F1129" i="677"/>
  <c r="E1129" i="677"/>
  <c r="G1115" i="677"/>
  <c r="F1115" i="677"/>
  <c r="E1115" i="677"/>
  <c r="G1101" i="677"/>
  <c r="F1101" i="677"/>
  <c r="E1101" i="677"/>
  <c r="G1087" i="677"/>
  <c r="F1087" i="677"/>
  <c r="E1087" i="677"/>
  <c r="G1073" i="677"/>
  <c r="F1073" i="677"/>
  <c r="E1073" i="677"/>
  <c r="G1059" i="677"/>
  <c r="F1059" i="677"/>
  <c r="E1059" i="677"/>
  <c r="G1045" i="677"/>
  <c r="F1045" i="677"/>
  <c r="E1045" i="677"/>
  <c r="G1031" i="677"/>
  <c r="F1031" i="677"/>
  <c r="E1031" i="677"/>
  <c r="G1017" i="677"/>
  <c r="F1017" i="677"/>
  <c r="E1017" i="677"/>
  <c r="G996" i="677"/>
  <c r="F996" i="677"/>
  <c r="E996" i="677"/>
  <c r="G982" i="677"/>
  <c r="F982" i="677"/>
  <c r="E982" i="677"/>
  <c r="G968" i="677"/>
  <c r="F968" i="677"/>
  <c r="E968" i="677"/>
  <c r="G954" i="677"/>
  <c r="F954" i="677"/>
  <c r="E954" i="677"/>
  <c r="G940" i="677"/>
  <c r="F940" i="677"/>
  <c r="E940" i="677"/>
  <c r="G926" i="677"/>
  <c r="F926" i="677"/>
  <c r="E926" i="677"/>
  <c r="G912" i="677"/>
  <c r="F912" i="677"/>
  <c r="E912" i="677"/>
  <c r="G898" i="677"/>
  <c r="F898" i="677"/>
  <c r="E898" i="677"/>
  <c r="G884" i="677"/>
  <c r="F884" i="677"/>
  <c r="E884" i="677"/>
  <c r="G870" i="677"/>
  <c r="F870" i="677"/>
  <c r="E870" i="677"/>
  <c r="G856" i="677"/>
  <c r="F856" i="677"/>
  <c r="E856" i="677"/>
  <c r="G842" i="677"/>
  <c r="F842" i="677"/>
  <c r="E842" i="677"/>
  <c r="G828" i="677"/>
  <c r="F828" i="677"/>
  <c r="E828" i="677"/>
  <c r="G814" i="677"/>
  <c r="F814" i="677"/>
  <c r="E814" i="677"/>
  <c r="G800" i="677"/>
  <c r="F800" i="677"/>
  <c r="E800" i="677"/>
  <c r="G786" i="677"/>
  <c r="F786" i="677"/>
  <c r="E786" i="677"/>
  <c r="G772" i="677"/>
  <c r="F772" i="677"/>
  <c r="E772" i="677"/>
  <c r="G758" i="677"/>
  <c r="F758" i="677"/>
  <c r="E758" i="677"/>
  <c r="G744" i="677"/>
  <c r="F744" i="677"/>
  <c r="E744" i="677"/>
  <c r="G730" i="677"/>
  <c r="F730" i="677"/>
  <c r="E730" i="677"/>
  <c r="G718" i="677"/>
  <c r="F718" i="677"/>
  <c r="E718" i="677"/>
  <c r="G704" i="677"/>
  <c r="F704" i="677"/>
  <c r="E704" i="677"/>
  <c r="G690" i="677"/>
  <c r="F690" i="677"/>
  <c r="E690" i="677"/>
  <c r="G676" i="677"/>
  <c r="F676" i="677"/>
  <c r="E676" i="677"/>
  <c r="G662" i="677"/>
  <c r="F662" i="677"/>
  <c r="E662" i="677"/>
  <c r="G648" i="677"/>
  <c r="F648" i="677"/>
  <c r="E648" i="677"/>
  <c r="G643" i="677"/>
  <c r="F643" i="677"/>
  <c r="E643" i="677"/>
  <c r="G634" i="677"/>
  <c r="F634" i="677"/>
  <c r="E634" i="677"/>
  <c r="G622" i="677"/>
  <c r="F622" i="677"/>
  <c r="E622" i="677"/>
  <c r="G614" i="677"/>
  <c r="F614" i="677"/>
  <c r="E614" i="677"/>
  <c r="G600" i="677"/>
  <c r="F600" i="677"/>
  <c r="E600" i="677"/>
  <c r="G586" i="677"/>
  <c r="F586" i="677"/>
  <c r="E586" i="677"/>
  <c r="G572" i="677"/>
  <c r="F572" i="677"/>
  <c r="E572" i="677"/>
  <c r="G558" i="677"/>
  <c r="F558" i="677"/>
  <c r="E558" i="677"/>
  <c r="G544" i="677"/>
  <c r="F544" i="677"/>
  <c r="E544" i="677"/>
  <c r="G530" i="677"/>
  <c r="F530" i="677"/>
  <c r="E530" i="677"/>
  <c r="G516" i="677"/>
  <c r="F516" i="677"/>
  <c r="E516" i="677"/>
  <c r="G502" i="677"/>
  <c r="F502" i="677"/>
  <c r="E502" i="677"/>
  <c r="G488" i="677"/>
  <c r="F488" i="677"/>
  <c r="E488" i="677"/>
  <c r="G474" i="677"/>
  <c r="F474" i="677"/>
  <c r="E474" i="677"/>
  <c r="G460" i="677"/>
  <c r="F460" i="677"/>
  <c r="E460" i="677"/>
  <c r="G446" i="677"/>
  <c r="F446" i="677"/>
  <c r="E446" i="677"/>
  <c r="G432" i="677"/>
  <c r="F432" i="677"/>
  <c r="E432" i="677"/>
  <c r="G418" i="677"/>
  <c r="F418" i="677"/>
  <c r="E418" i="677"/>
  <c r="G404" i="677"/>
  <c r="F404" i="677"/>
  <c r="E404" i="677"/>
  <c r="G390" i="677"/>
  <c r="F390" i="677"/>
  <c r="E390" i="677"/>
  <c r="G376" i="677"/>
  <c r="F376" i="677"/>
  <c r="E376" i="677"/>
  <c r="G362" i="677"/>
  <c r="F362" i="677"/>
  <c r="E362" i="677"/>
  <c r="G348" i="677"/>
  <c r="F348" i="677"/>
  <c r="E348" i="677"/>
  <c r="G334" i="677"/>
  <c r="F334" i="677"/>
  <c r="E334" i="677"/>
  <c r="G320" i="677"/>
  <c r="F320" i="677"/>
  <c r="E320" i="677"/>
  <c r="G306" i="677"/>
  <c r="F306" i="677"/>
  <c r="E306" i="677"/>
  <c r="G292" i="677"/>
  <c r="F292" i="677"/>
  <c r="E285" i="677"/>
  <c r="E292" i="677" s="1"/>
  <c r="G283" i="677"/>
  <c r="F283" i="677"/>
  <c r="E283" i="677"/>
  <c r="G269" i="677"/>
  <c r="F269" i="677"/>
  <c r="E269" i="677"/>
  <c r="G255" i="677"/>
  <c r="F255" i="677"/>
  <c r="E255" i="677"/>
  <c r="G241" i="677"/>
  <c r="F241" i="677"/>
  <c r="E241" i="677"/>
  <c r="G237" i="677"/>
  <c r="F237" i="677"/>
  <c r="E237" i="677"/>
  <c r="G232" i="677"/>
  <c r="F232" i="677"/>
  <c r="E232" i="677"/>
  <c r="G218" i="677"/>
  <c r="F218" i="677"/>
  <c r="E218" i="677"/>
  <c r="G204" i="677"/>
  <c r="F204" i="677"/>
  <c r="E204" i="677"/>
  <c r="G198" i="677"/>
  <c r="F198" i="677"/>
  <c r="E198" i="677"/>
  <c r="G189" i="677"/>
  <c r="F189" i="677"/>
  <c r="E189" i="677"/>
  <c r="G175" i="677"/>
  <c r="F175" i="677"/>
  <c r="E175" i="677"/>
  <c r="G161" i="677"/>
  <c r="F161" i="677"/>
  <c r="E161" i="677"/>
  <c r="G147" i="677"/>
  <c r="F147" i="677"/>
  <c r="E147" i="677"/>
  <c r="G133" i="677"/>
  <c r="F133" i="677"/>
  <c r="E133" i="677"/>
  <c r="G119" i="677"/>
  <c r="F119" i="677"/>
  <c r="E119" i="677"/>
  <c r="G105" i="677"/>
  <c r="F105" i="677"/>
  <c r="E105" i="677"/>
  <c r="G91" i="677"/>
  <c r="F91" i="677"/>
  <c r="E91" i="677"/>
  <c r="G77" i="677"/>
  <c r="F77" i="677"/>
  <c r="E77" i="677"/>
  <c r="G63" i="677"/>
  <c r="F63" i="677"/>
  <c r="E63" i="677"/>
  <c r="G49" i="677"/>
  <c r="F49" i="677"/>
  <c r="E49" i="677"/>
  <c r="G35" i="677"/>
  <c r="F35" i="677"/>
  <c r="E35" i="677"/>
  <c r="G21" i="677"/>
  <c r="F21" i="677"/>
  <c r="E21" i="677"/>
  <c r="F20" i="676"/>
  <c r="J19" i="676"/>
  <c r="I19" i="676"/>
  <c r="H19" i="676"/>
  <c r="F19" i="676"/>
  <c r="K19" i="676" s="1"/>
  <c r="J18" i="676"/>
  <c r="I18" i="676"/>
  <c r="H18" i="676"/>
  <c r="F18" i="676"/>
  <c r="K18" i="676" s="1"/>
  <c r="J17" i="676"/>
  <c r="I17" i="676"/>
  <c r="H17" i="676"/>
  <c r="F17" i="676"/>
  <c r="K17" i="676" s="1"/>
  <c r="J16" i="676"/>
  <c r="I16" i="676"/>
  <c r="H16" i="676"/>
  <c r="F16" i="676"/>
  <c r="K16" i="676" s="1"/>
  <c r="J15" i="676"/>
  <c r="I15" i="676"/>
  <c r="H15" i="676"/>
  <c r="F15" i="676"/>
  <c r="K15" i="676" s="1"/>
  <c r="J14" i="676"/>
  <c r="I14" i="676"/>
  <c r="H14" i="676"/>
  <c r="F14" i="676"/>
  <c r="K14" i="676" s="1"/>
  <c r="J13" i="676"/>
  <c r="I13" i="676"/>
  <c r="H13" i="676"/>
  <c r="F13" i="676"/>
  <c r="K13" i="676" s="1"/>
  <c r="J12" i="676"/>
  <c r="I12" i="676"/>
  <c r="H12" i="676"/>
  <c r="F12" i="676"/>
  <c r="K12" i="676" s="1"/>
  <c r="J11" i="676"/>
  <c r="I11" i="676"/>
  <c r="H11" i="676"/>
  <c r="F11" i="676"/>
  <c r="K11" i="676" s="1"/>
  <c r="J10" i="676"/>
  <c r="I10" i="676"/>
  <c r="H10" i="676"/>
  <c r="F10" i="676"/>
  <c r="K10" i="676" s="1"/>
  <c r="J9" i="676"/>
  <c r="I9" i="676"/>
  <c r="H9" i="676"/>
  <c r="F9" i="676"/>
  <c r="K9" i="676" s="1"/>
  <c r="K8" i="676"/>
  <c r="J8" i="676"/>
  <c r="I8" i="676"/>
  <c r="H8" i="676"/>
  <c r="BI793" i="675"/>
  <c r="BH793" i="675"/>
  <c r="BG793" i="675"/>
  <c r="BF793" i="675"/>
  <c r="BE793" i="675"/>
  <c r="BD793" i="675"/>
  <c r="BA793" i="675"/>
  <c r="AZ793" i="675"/>
  <c r="AY793" i="675"/>
  <c r="AX793" i="675"/>
  <c r="AW793" i="675"/>
  <c r="AV793" i="675"/>
  <c r="AS793" i="675"/>
  <c r="AR793" i="675"/>
  <c r="AQ793" i="675"/>
  <c r="AP793" i="675"/>
  <c r="AO793" i="675"/>
  <c r="AN793" i="675"/>
  <c r="AK793" i="675"/>
  <c r="AJ793" i="675"/>
  <c r="AI793" i="675"/>
  <c r="AH793" i="675"/>
  <c r="AG793" i="675"/>
  <c r="AF793" i="675"/>
  <c r="AC793" i="675"/>
  <c r="AB793" i="675"/>
  <c r="AA793" i="675"/>
  <c r="Z793" i="675"/>
  <c r="Y793" i="675"/>
  <c r="X793" i="675"/>
  <c r="U793" i="675"/>
  <c r="T793" i="675"/>
  <c r="S793" i="675"/>
  <c r="R793" i="675"/>
  <c r="Q793" i="675"/>
  <c r="P793" i="675"/>
  <c r="M793" i="675"/>
  <c r="L793" i="675"/>
  <c r="K793" i="675"/>
  <c r="J793" i="675"/>
  <c r="I793" i="675"/>
  <c r="H793" i="675"/>
  <c r="G793" i="675"/>
  <c r="BJ792" i="675"/>
  <c r="BK792" i="675" s="1"/>
  <c r="BB792" i="675"/>
  <c r="BC792" i="675" s="1"/>
  <c r="AT792" i="675"/>
  <c r="AU792" i="675" s="1"/>
  <c r="AL792" i="675"/>
  <c r="AM792" i="675" s="1"/>
  <c r="AD792" i="675"/>
  <c r="AE792" i="675" s="1"/>
  <c r="V792" i="675"/>
  <c r="W792" i="675" s="1"/>
  <c r="N792" i="675"/>
  <c r="O792" i="675" s="1"/>
  <c r="BJ791" i="675"/>
  <c r="BK791" i="675" s="1"/>
  <c r="BB791" i="675"/>
  <c r="BC791" i="675" s="1"/>
  <c r="AT791" i="675"/>
  <c r="AU791" i="675" s="1"/>
  <c r="AL791" i="675"/>
  <c r="AM791" i="675" s="1"/>
  <c r="AD791" i="675"/>
  <c r="AE791" i="675" s="1"/>
  <c r="V791" i="675"/>
  <c r="W791" i="675" s="1"/>
  <c r="N791" i="675"/>
  <c r="O791" i="675" s="1"/>
  <c r="BJ790" i="675"/>
  <c r="BK790" i="675" s="1"/>
  <c r="BB790" i="675"/>
  <c r="BC790" i="675" s="1"/>
  <c r="AT790" i="675"/>
  <c r="AU790" i="675" s="1"/>
  <c r="AL790" i="675"/>
  <c r="AM790" i="675" s="1"/>
  <c r="AD790" i="675"/>
  <c r="AE790" i="675" s="1"/>
  <c r="V790" i="675"/>
  <c r="W790" i="675" s="1"/>
  <c r="N790" i="675"/>
  <c r="O790" i="675" s="1"/>
  <c r="BJ789" i="675"/>
  <c r="BK789" i="675" s="1"/>
  <c r="BB789" i="675"/>
  <c r="BC789" i="675" s="1"/>
  <c r="AT789" i="675"/>
  <c r="AU789" i="675" s="1"/>
  <c r="AL789" i="675"/>
  <c r="AM789" i="675" s="1"/>
  <c r="AD789" i="675"/>
  <c r="AE789" i="675" s="1"/>
  <c r="V789" i="675"/>
  <c r="W789" i="675" s="1"/>
  <c r="N789" i="675"/>
  <c r="O789" i="675" s="1"/>
  <c r="BJ788" i="675"/>
  <c r="BK788" i="675" s="1"/>
  <c r="BB788" i="675"/>
  <c r="BC788" i="675" s="1"/>
  <c r="AT788" i="675"/>
  <c r="AU788" i="675" s="1"/>
  <c r="AL788" i="675"/>
  <c r="AM788" i="675" s="1"/>
  <c r="AD788" i="675"/>
  <c r="AE788" i="675" s="1"/>
  <c r="V788" i="675"/>
  <c r="W788" i="675" s="1"/>
  <c r="N788" i="675"/>
  <c r="O788" i="675" s="1"/>
  <c r="BJ787" i="675"/>
  <c r="BK787" i="675" s="1"/>
  <c r="BB787" i="675"/>
  <c r="BC787" i="675" s="1"/>
  <c r="AT787" i="675"/>
  <c r="AU787" i="675" s="1"/>
  <c r="AL787" i="675"/>
  <c r="AM787" i="675" s="1"/>
  <c r="AD787" i="675"/>
  <c r="AE787" i="675" s="1"/>
  <c r="V787" i="675"/>
  <c r="W787" i="675" s="1"/>
  <c r="N787" i="675"/>
  <c r="O787" i="675" s="1"/>
  <c r="BJ786" i="675"/>
  <c r="BK786" i="675" s="1"/>
  <c r="BB786" i="675"/>
  <c r="BC786" i="675" s="1"/>
  <c r="AT786" i="675"/>
  <c r="AU786" i="675" s="1"/>
  <c r="AL786" i="675"/>
  <c r="AM786" i="675" s="1"/>
  <c r="AD786" i="675"/>
  <c r="AE786" i="675" s="1"/>
  <c r="V786" i="675"/>
  <c r="W786" i="675" s="1"/>
  <c r="N786" i="675"/>
  <c r="O786" i="675" s="1"/>
  <c r="BJ785" i="675"/>
  <c r="BK785" i="675" s="1"/>
  <c r="BB785" i="675"/>
  <c r="BC785" i="675" s="1"/>
  <c r="AT785" i="675"/>
  <c r="AU785" i="675" s="1"/>
  <c r="AL785" i="675"/>
  <c r="AM785" i="675" s="1"/>
  <c r="AD785" i="675"/>
  <c r="AE785" i="675" s="1"/>
  <c r="V785" i="675"/>
  <c r="W785" i="675" s="1"/>
  <c r="N785" i="675"/>
  <c r="O785" i="675" s="1"/>
  <c r="BJ784" i="675"/>
  <c r="BK784" i="675" s="1"/>
  <c r="BB784" i="675"/>
  <c r="BC784" i="675" s="1"/>
  <c r="AT784" i="675"/>
  <c r="AU784" i="675" s="1"/>
  <c r="AL784" i="675"/>
  <c r="AM784" i="675" s="1"/>
  <c r="AD784" i="675"/>
  <c r="AE784" i="675" s="1"/>
  <c r="V784" i="675"/>
  <c r="W784" i="675" s="1"/>
  <c r="N784" i="675"/>
  <c r="O784" i="675" s="1"/>
  <c r="BJ783" i="675"/>
  <c r="BK783" i="675" s="1"/>
  <c r="BB783" i="675"/>
  <c r="BC783" i="675" s="1"/>
  <c r="AT783" i="675"/>
  <c r="AU783" i="675" s="1"/>
  <c r="AL783" i="675"/>
  <c r="AM783" i="675" s="1"/>
  <c r="AD783" i="675"/>
  <c r="AE783" i="675" s="1"/>
  <c r="V783" i="675"/>
  <c r="W783" i="675" s="1"/>
  <c r="N783" i="675"/>
  <c r="O783" i="675" s="1"/>
  <c r="BJ782" i="675"/>
  <c r="BK782" i="675" s="1"/>
  <c r="BB782" i="675"/>
  <c r="BC782" i="675" s="1"/>
  <c r="AT782" i="675"/>
  <c r="AU782" i="675" s="1"/>
  <c r="AL782" i="675"/>
  <c r="AM782" i="675" s="1"/>
  <c r="AD782" i="675"/>
  <c r="AE782" i="675" s="1"/>
  <c r="V782" i="675"/>
  <c r="W782" i="675" s="1"/>
  <c r="N782" i="675"/>
  <c r="O782" i="675" s="1"/>
  <c r="BJ781" i="675"/>
  <c r="BK781" i="675" s="1"/>
  <c r="BB781" i="675"/>
  <c r="BC781" i="675" s="1"/>
  <c r="AT781" i="675"/>
  <c r="AU781" i="675" s="1"/>
  <c r="AL781" i="675"/>
  <c r="AM781" i="675" s="1"/>
  <c r="AD781" i="675"/>
  <c r="AE781" i="675" s="1"/>
  <c r="V781" i="675"/>
  <c r="W781" i="675" s="1"/>
  <c r="N781" i="675"/>
  <c r="O781" i="675" s="1"/>
  <c r="BJ780" i="675"/>
  <c r="BK780" i="675" s="1"/>
  <c r="BB780" i="675"/>
  <c r="BC780" i="675" s="1"/>
  <c r="AT780" i="675"/>
  <c r="AU780" i="675" s="1"/>
  <c r="AL780" i="675"/>
  <c r="AM780" i="675" s="1"/>
  <c r="AD780" i="675"/>
  <c r="AE780" i="675" s="1"/>
  <c r="V780" i="675"/>
  <c r="W780" i="675" s="1"/>
  <c r="N780" i="675"/>
  <c r="O780" i="675" s="1"/>
  <c r="BJ779" i="675"/>
  <c r="BK779" i="675" s="1"/>
  <c r="BB779" i="675"/>
  <c r="BC779" i="675" s="1"/>
  <c r="AT779" i="675"/>
  <c r="AU779" i="675" s="1"/>
  <c r="AL779" i="675"/>
  <c r="AM779" i="675" s="1"/>
  <c r="AD779" i="675"/>
  <c r="AE779" i="675" s="1"/>
  <c r="V779" i="675"/>
  <c r="W779" i="675" s="1"/>
  <c r="N779" i="675"/>
  <c r="O779" i="675" s="1"/>
  <c r="BJ778" i="675"/>
  <c r="BK778" i="675" s="1"/>
  <c r="BB778" i="675"/>
  <c r="BC778" i="675" s="1"/>
  <c r="AT778" i="675"/>
  <c r="AU778" i="675" s="1"/>
  <c r="AL778" i="675"/>
  <c r="AM778" i="675" s="1"/>
  <c r="AD778" i="675"/>
  <c r="AE778" i="675" s="1"/>
  <c r="V778" i="675"/>
  <c r="W778" i="675" s="1"/>
  <c r="N778" i="675"/>
  <c r="O778" i="675" s="1"/>
  <c r="BJ777" i="675"/>
  <c r="BK777" i="675" s="1"/>
  <c r="BB777" i="675"/>
  <c r="BC777" i="675" s="1"/>
  <c r="AT777" i="675"/>
  <c r="AU777" i="675" s="1"/>
  <c r="AL777" i="675"/>
  <c r="AM777" i="675" s="1"/>
  <c r="AD777" i="675"/>
  <c r="AE777" i="675" s="1"/>
  <c r="V777" i="675"/>
  <c r="W777" i="675" s="1"/>
  <c r="N777" i="675"/>
  <c r="O777" i="675" s="1"/>
  <c r="BJ776" i="675"/>
  <c r="BK776" i="675" s="1"/>
  <c r="BB776" i="675"/>
  <c r="BC776" i="675" s="1"/>
  <c r="AT776" i="675"/>
  <c r="AU776" i="675" s="1"/>
  <c r="AL776" i="675"/>
  <c r="AM776" i="675" s="1"/>
  <c r="AD776" i="675"/>
  <c r="AE776" i="675" s="1"/>
  <c r="V776" i="675"/>
  <c r="W776" i="675" s="1"/>
  <c r="N776" i="675"/>
  <c r="O776" i="675" s="1"/>
  <c r="BJ775" i="675"/>
  <c r="BK775" i="675" s="1"/>
  <c r="BB775" i="675"/>
  <c r="BC775" i="675" s="1"/>
  <c r="AT775" i="675"/>
  <c r="AU775" i="675" s="1"/>
  <c r="AL775" i="675"/>
  <c r="AM775" i="675" s="1"/>
  <c r="AD775" i="675"/>
  <c r="AE775" i="675" s="1"/>
  <c r="V775" i="675"/>
  <c r="W775" i="675" s="1"/>
  <c r="N775" i="675"/>
  <c r="O775" i="675" s="1"/>
  <c r="BJ774" i="675"/>
  <c r="BK774" i="675" s="1"/>
  <c r="BB774" i="675"/>
  <c r="BC774" i="675" s="1"/>
  <c r="AT774" i="675"/>
  <c r="AU774" i="675" s="1"/>
  <c r="AL774" i="675"/>
  <c r="AM774" i="675" s="1"/>
  <c r="AD774" i="675"/>
  <c r="AE774" i="675" s="1"/>
  <c r="V774" i="675"/>
  <c r="W774" i="675" s="1"/>
  <c r="N774" i="675"/>
  <c r="O774" i="675" s="1"/>
  <c r="BJ773" i="675"/>
  <c r="BK773" i="675" s="1"/>
  <c r="BB773" i="675"/>
  <c r="BC773" i="675" s="1"/>
  <c r="AT773" i="675"/>
  <c r="AU773" i="675" s="1"/>
  <c r="AL773" i="675"/>
  <c r="AM773" i="675" s="1"/>
  <c r="AD773" i="675"/>
  <c r="AE773" i="675" s="1"/>
  <c r="V773" i="675"/>
  <c r="W773" i="675" s="1"/>
  <c r="N773" i="675"/>
  <c r="O773" i="675" s="1"/>
  <c r="BJ772" i="675"/>
  <c r="BK772" i="675" s="1"/>
  <c r="BB772" i="675"/>
  <c r="BC772" i="675" s="1"/>
  <c r="AT772" i="675"/>
  <c r="AU772" i="675" s="1"/>
  <c r="AL772" i="675"/>
  <c r="AM772" i="675" s="1"/>
  <c r="AD772" i="675"/>
  <c r="AE772" i="675" s="1"/>
  <c r="V772" i="675"/>
  <c r="W772" i="675" s="1"/>
  <c r="N772" i="675"/>
  <c r="O772" i="675" s="1"/>
  <c r="BJ771" i="675"/>
  <c r="BK771" i="675" s="1"/>
  <c r="BB771" i="675"/>
  <c r="BC771" i="675" s="1"/>
  <c r="AT771" i="675"/>
  <c r="AU771" i="675" s="1"/>
  <c r="AL771" i="675"/>
  <c r="AM771" i="675" s="1"/>
  <c r="AD771" i="675"/>
  <c r="AE771" i="675" s="1"/>
  <c r="V771" i="675"/>
  <c r="W771" i="675" s="1"/>
  <c r="N771" i="675"/>
  <c r="O771" i="675" s="1"/>
  <c r="BJ770" i="675"/>
  <c r="BK770" i="675" s="1"/>
  <c r="BB770" i="675"/>
  <c r="BC770" i="675" s="1"/>
  <c r="AT770" i="675"/>
  <c r="AU770" i="675" s="1"/>
  <c r="AL770" i="675"/>
  <c r="AM770" i="675" s="1"/>
  <c r="AD770" i="675"/>
  <c r="AE770" i="675" s="1"/>
  <c r="V770" i="675"/>
  <c r="W770" i="675" s="1"/>
  <c r="N770" i="675"/>
  <c r="O770" i="675" s="1"/>
  <c r="BJ769" i="675"/>
  <c r="BK769" i="675" s="1"/>
  <c r="BB769" i="675"/>
  <c r="BC769" i="675" s="1"/>
  <c r="AT769" i="675"/>
  <c r="AU769" i="675" s="1"/>
  <c r="AL769" i="675"/>
  <c r="AM769" i="675" s="1"/>
  <c r="AD769" i="675"/>
  <c r="AE769" i="675" s="1"/>
  <c r="V769" i="675"/>
  <c r="W769" i="675" s="1"/>
  <c r="N769" i="675"/>
  <c r="O769" i="675" s="1"/>
  <c r="BJ768" i="675"/>
  <c r="BK768" i="675" s="1"/>
  <c r="BB768" i="675"/>
  <c r="BC768" i="675" s="1"/>
  <c r="AT768" i="675"/>
  <c r="AU768" i="675" s="1"/>
  <c r="AL768" i="675"/>
  <c r="AM768" i="675" s="1"/>
  <c r="AD768" i="675"/>
  <c r="AE768" i="675" s="1"/>
  <c r="V768" i="675"/>
  <c r="W768" i="675" s="1"/>
  <c r="N768" i="675"/>
  <c r="O768" i="675" s="1"/>
  <c r="BJ767" i="675"/>
  <c r="BK767" i="675" s="1"/>
  <c r="BB767" i="675"/>
  <c r="BC767" i="675" s="1"/>
  <c r="AT767" i="675"/>
  <c r="AU767" i="675" s="1"/>
  <c r="AL767" i="675"/>
  <c r="AM767" i="675" s="1"/>
  <c r="AD767" i="675"/>
  <c r="AE767" i="675" s="1"/>
  <c r="V767" i="675"/>
  <c r="W767" i="675" s="1"/>
  <c r="N767" i="675"/>
  <c r="O767" i="675" s="1"/>
  <c r="BJ766" i="675"/>
  <c r="BK766" i="675" s="1"/>
  <c r="BB766" i="675"/>
  <c r="BC766" i="675" s="1"/>
  <c r="AT766" i="675"/>
  <c r="AU766" i="675" s="1"/>
  <c r="AL766" i="675"/>
  <c r="AM766" i="675" s="1"/>
  <c r="AD766" i="675"/>
  <c r="AE766" i="675" s="1"/>
  <c r="V766" i="675"/>
  <c r="W766" i="675" s="1"/>
  <c r="N766" i="675"/>
  <c r="O766" i="675" s="1"/>
  <c r="BJ765" i="675"/>
  <c r="BK765" i="675" s="1"/>
  <c r="BB765" i="675"/>
  <c r="BC765" i="675" s="1"/>
  <c r="AT765" i="675"/>
  <c r="AU765" i="675" s="1"/>
  <c r="AL765" i="675"/>
  <c r="AM765" i="675" s="1"/>
  <c r="AD765" i="675"/>
  <c r="AE765" i="675" s="1"/>
  <c r="V765" i="675"/>
  <c r="W765" i="675" s="1"/>
  <c r="N765" i="675"/>
  <c r="O765" i="675" s="1"/>
  <c r="BJ764" i="675"/>
  <c r="BK764" i="675" s="1"/>
  <c r="BB764" i="675"/>
  <c r="BC764" i="675" s="1"/>
  <c r="AT764" i="675"/>
  <c r="AU764" i="675" s="1"/>
  <c r="AL764" i="675"/>
  <c r="AM764" i="675" s="1"/>
  <c r="AD764" i="675"/>
  <c r="AE764" i="675" s="1"/>
  <c r="V764" i="675"/>
  <c r="W764" i="675" s="1"/>
  <c r="N764" i="675"/>
  <c r="O764" i="675" s="1"/>
  <c r="BJ763" i="675"/>
  <c r="BK763" i="675" s="1"/>
  <c r="BB763" i="675"/>
  <c r="BC763" i="675" s="1"/>
  <c r="AT763" i="675"/>
  <c r="AU763" i="675" s="1"/>
  <c r="AL763" i="675"/>
  <c r="AM763" i="675" s="1"/>
  <c r="AD763" i="675"/>
  <c r="AE763" i="675" s="1"/>
  <c r="V763" i="675"/>
  <c r="W763" i="675" s="1"/>
  <c r="N763" i="675"/>
  <c r="O763" i="675" s="1"/>
  <c r="BJ762" i="675"/>
  <c r="BK762" i="675" s="1"/>
  <c r="BB762" i="675"/>
  <c r="BC762" i="675" s="1"/>
  <c r="AT762" i="675"/>
  <c r="AU762" i="675" s="1"/>
  <c r="AL762" i="675"/>
  <c r="AM762" i="675" s="1"/>
  <c r="AD762" i="675"/>
  <c r="AE762" i="675" s="1"/>
  <c r="V762" i="675"/>
  <c r="W762" i="675" s="1"/>
  <c r="N762" i="675"/>
  <c r="O762" i="675" s="1"/>
  <c r="BJ761" i="675"/>
  <c r="BK761" i="675" s="1"/>
  <c r="BB761" i="675"/>
  <c r="BC761" i="675" s="1"/>
  <c r="AT761" i="675"/>
  <c r="AU761" i="675" s="1"/>
  <c r="AL761" i="675"/>
  <c r="AM761" i="675" s="1"/>
  <c r="AD761" i="675"/>
  <c r="AE761" i="675" s="1"/>
  <c r="V761" i="675"/>
  <c r="W761" i="675" s="1"/>
  <c r="N761" i="675"/>
  <c r="O761" i="675" s="1"/>
  <c r="BJ760" i="675"/>
  <c r="BK760" i="675" s="1"/>
  <c r="BB760" i="675"/>
  <c r="BC760" i="675" s="1"/>
  <c r="AT760" i="675"/>
  <c r="AU760" i="675" s="1"/>
  <c r="AL760" i="675"/>
  <c r="AM760" i="675" s="1"/>
  <c r="AD760" i="675"/>
  <c r="AE760" i="675" s="1"/>
  <c r="V760" i="675"/>
  <c r="W760" i="675" s="1"/>
  <c r="N760" i="675"/>
  <c r="O760" i="675" s="1"/>
  <c r="BJ759" i="675"/>
  <c r="BK759" i="675" s="1"/>
  <c r="BB759" i="675"/>
  <c r="BC759" i="675" s="1"/>
  <c r="AT759" i="675"/>
  <c r="AU759" i="675" s="1"/>
  <c r="AL759" i="675"/>
  <c r="AM759" i="675" s="1"/>
  <c r="AD759" i="675"/>
  <c r="AE759" i="675" s="1"/>
  <c r="V759" i="675"/>
  <c r="W759" i="675" s="1"/>
  <c r="N759" i="675"/>
  <c r="O759" i="675" s="1"/>
  <c r="BJ758" i="675"/>
  <c r="BK758" i="675" s="1"/>
  <c r="BB758" i="675"/>
  <c r="BC758" i="675" s="1"/>
  <c r="AT758" i="675"/>
  <c r="AU758" i="675" s="1"/>
  <c r="AL758" i="675"/>
  <c r="AM758" i="675" s="1"/>
  <c r="AD758" i="675"/>
  <c r="AE758" i="675" s="1"/>
  <c r="V758" i="675"/>
  <c r="W758" i="675" s="1"/>
  <c r="N758" i="675"/>
  <c r="O758" i="675" s="1"/>
  <c r="BJ757" i="675"/>
  <c r="BK757" i="675" s="1"/>
  <c r="BB757" i="675"/>
  <c r="BC757" i="675" s="1"/>
  <c r="AT757" i="675"/>
  <c r="AU757" i="675" s="1"/>
  <c r="AL757" i="675"/>
  <c r="AM757" i="675" s="1"/>
  <c r="AD757" i="675"/>
  <c r="AE757" i="675" s="1"/>
  <c r="V757" i="675"/>
  <c r="W757" i="675" s="1"/>
  <c r="N757" i="675"/>
  <c r="O757" i="675" s="1"/>
  <c r="BJ756" i="675"/>
  <c r="BK756" i="675" s="1"/>
  <c r="BB756" i="675"/>
  <c r="BC756" i="675" s="1"/>
  <c r="AT756" i="675"/>
  <c r="AU756" i="675" s="1"/>
  <c r="AL756" i="675"/>
  <c r="AM756" i="675" s="1"/>
  <c r="AD756" i="675"/>
  <c r="AE756" i="675" s="1"/>
  <c r="V756" i="675"/>
  <c r="W756" i="675" s="1"/>
  <c r="N756" i="675"/>
  <c r="O756" i="675" s="1"/>
  <c r="BJ755" i="675"/>
  <c r="BK755" i="675" s="1"/>
  <c r="BB755" i="675"/>
  <c r="BC755" i="675" s="1"/>
  <c r="AT755" i="675"/>
  <c r="AU755" i="675" s="1"/>
  <c r="AL755" i="675"/>
  <c r="AM755" i="675" s="1"/>
  <c r="AD755" i="675"/>
  <c r="AE755" i="675" s="1"/>
  <c r="V755" i="675"/>
  <c r="W755" i="675" s="1"/>
  <c r="N755" i="675"/>
  <c r="O755" i="675" s="1"/>
  <c r="BJ754" i="675"/>
  <c r="BK754" i="675" s="1"/>
  <c r="BB754" i="675"/>
  <c r="BC754" i="675" s="1"/>
  <c r="AT754" i="675"/>
  <c r="AU754" i="675" s="1"/>
  <c r="AL754" i="675"/>
  <c r="AM754" i="675" s="1"/>
  <c r="AD754" i="675"/>
  <c r="AE754" i="675" s="1"/>
  <c r="V754" i="675"/>
  <c r="W754" i="675" s="1"/>
  <c r="N754" i="675"/>
  <c r="O754" i="675" s="1"/>
  <c r="BJ753" i="675"/>
  <c r="BK753" i="675" s="1"/>
  <c r="BB753" i="675"/>
  <c r="BC753" i="675" s="1"/>
  <c r="AT753" i="675"/>
  <c r="AU753" i="675" s="1"/>
  <c r="AL753" i="675"/>
  <c r="AM753" i="675" s="1"/>
  <c r="AD753" i="675"/>
  <c r="AE753" i="675" s="1"/>
  <c r="V753" i="675"/>
  <c r="W753" i="675" s="1"/>
  <c r="N753" i="675"/>
  <c r="O753" i="675" s="1"/>
  <c r="BJ752" i="675"/>
  <c r="BK752" i="675" s="1"/>
  <c r="BB752" i="675"/>
  <c r="BC752" i="675" s="1"/>
  <c r="AT752" i="675"/>
  <c r="AU752" i="675" s="1"/>
  <c r="AL752" i="675"/>
  <c r="AM752" i="675" s="1"/>
  <c r="AD752" i="675"/>
  <c r="AE752" i="675" s="1"/>
  <c r="V752" i="675"/>
  <c r="W752" i="675" s="1"/>
  <c r="N752" i="675"/>
  <c r="O752" i="675" s="1"/>
  <c r="BJ751" i="675"/>
  <c r="BK751" i="675" s="1"/>
  <c r="BB751" i="675"/>
  <c r="BC751" i="675" s="1"/>
  <c r="AT751" i="675"/>
  <c r="AU751" i="675" s="1"/>
  <c r="AL751" i="675"/>
  <c r="AM751" i="675" s="1"/>
  <c r="AD751" i="675"/>
  <c r="AE751" i="675" s="1"/>
  <c r="V751" i="675"/>
  <c r="W751" i="675" s="1"/>
  <c r="N751" i="675"/>
  <c r="O751" i="675" s="1"/>
  <c r="BJ750" i="675"/>
  <c r="BK750" i="675" s="1"/>
  <c r="BB750" i="675"/>
  <c r="BC750" i="675" s="1"/>
  <c r="AT750" i="675"/>
  <c r="AU750" i="675" s="1"/>
  <c r="AL750" i="675"/>
  <c r="AM750" i="675" s="1"/>
  <c r="AD750" i="675"/>
  <c r="AE750" i="675" s="1"/>
  <c r="V750" i="675"/>
  <c r="W750" i="675" s="1"/>
  <c r="N750" i="675"/>
  <c r="O750" i="675" s="1"/>
  <c r="B750" i="675"/>
  <c r="B751" i="675" s="1"/>
  <c r="B752" i="675" s="1"/>
  <c r="B753" i="675" s="1"/>
  <c r="B754" i="675" s="1"/>
  <c r="B755" i="675" s="1"/>
  <c r="B756" i="675" s="1"/>
  <c r="B757" i="675" s="1"/>
  <c r="B758" i="675" s="1"/>
  <c r="B759" i="675" s="1"/>
  <c r="B760" i="675" s="1"/>
  <c r="B761" i="675" s="1"/>
  <c r="B762" i="675" s="1"/>
  <c r="B763" i="675" s="1"/>
  <c r="B764" i="675" s="1"/>
  <c r="B765" i="675" s="1"/>
  <c r="B766" i="675" s="1"/>
  <c r="B767" i="675" s="1"/>
  <c r="B768" i="675" s="1"/>
  <c r="B769" i="675" s="1"/>
  <c r="B770" i="675" s="1"/>
  <c r="B771" i="675" s="1"/>
  <c r="B772" i="675" s="1"/>
  <c r="B773" i="675" s="1"/>
  <c r="B774" i="675" s="1"/>
  <c r="B775" i="675" s="1"/>
  <c r="B776" i="675" s="1"/>
  <c r="B777" i="675" s="1"/>
  <c r="B778" i="675" s="1"/>
  <c r="B779" i="675" s="1"/>
  <c r="B780" i="675" s="1"/>
  <c r="B781" i="675" s="1"/>
  <c r="B782" i="675" s="1"/>
  <c r="B783" i="675" s="1"/>
  <c r="B784" i="675" s="1"/>
  <c r="B785" i="675" s="1"/>
  <c r="B786" i="675" s="1"/>
  <c r="B787" i="675" s="1"/>
  <c r="B788" i="675" s="1"/>
  <c r="B789" i="675" s="1"/>
  <c r="B790" i="675" s="1"/>
  <c r="B791" i="675" s="1"/>
  <c r="B792" i="675" s="1"/>
  <c r="B793" i="675" s="1"/>
  <c r="BJ749" i="675"/>
  <c r="BK749" i="675" s="1"/>
  <c r="BB749" i="675"/>
  <c r="AT749" i="675"/>
  <c r="AU749" i="675" s="1"/>
  <c r="AL749" i="675"/>
  <c r="AD749" i="675"/>
  <c r="AE749" i="675" s="1"/>
  <c r="V749" i="675"/>
  <c r="N749" i="675"/>
  <c r="O749" i="675" s="1"/>
  <c r="BI747" i="675"/>
  <c r="BH747" i="675"/>
  <c r="BG747" i="675"/>
  <c r="BF747" i="675"/>
  <c r="BE747" i="675"/>
  <c r="BD747" i="675"/>
  <c r="BA747" i="675"/>
  <c r="AZ747" i="675"/>
  <c r="AY747" i="675"/>
  <c r="AX747" i="675"/>
  <c r="AW747" i="675"/>
  <c r="AV747" i="675"/>
  <c r="AS747" i="675"/>
  <c r="AR747" i="675"/>
  <c r="AQ747" i="675"/>
  <c r="AP747" i="675"/>
  <c r="AO747" i="675"/>
  <c r="AN747" i="675"/>
  <c r="AK747" i="675"/>
  <c r="AJ747" i="675"/>
  <c r="AI747" i="675"/>
  <c r="AH747" i="675"/>
  <c r="AG747" i="675"/>
  <c r="AF747" i="675"/>
  <c r="AC747" i="675"/>
  <c r="AB747" i="675"/>
  <c r="AA747" i="675"/>
  <c r="Z747" i="675"/>
  <c r="Y747" i="675"/>
  <c r="X747" i="675"/>
  <c r="U747" i="675"/>
  <c r="T747" i="675"/>
  <c r="S747" i="675"/>
  <c r="R747" i="675"/>
  <c r="Q747" i="675"/>
  <c r="P747" i="675"/>
  <c r="M747" i="675"/>
  <c r="L747" i="675"/>
  <c r="K747" i="675"/>
  <c r="J747" i="675"/>
  <c r="I747" i="675"/>
  <c r="H747" i="675"/>
  <c r="G747" i="675"/>
  <c r="BJ746" i="675"/>
  <c r="BK746" i="675" s="1"/>
  <c r="BB746" i="675"/>
  <c r="BC746" i="675" s="1"/>
  <c r="AT746" i="675"/>
  <c r="AU746" i="675" s="1"/>
  <c r="AL746" i="675"/>
  <c r="AM746" i="675" s="1"/>
  <c r="AD746" i="675"/>
  <c r="AE746" i="675" s="1"/>
  <c r="V746" i="675"/>
  <c r="W746" i="675" s="1"/>
  <c r="N746" i="675"/>
  <c r="O746" i="675" s="1"/>
  <c r="BJ745" i="675"/>
  <c r="BK745" i="675" s="1"/>
  <c r="BB745" i="675"/>
  <c r="BC745" i="675" s="1"/>
  <c r="AT745" i="675"/>
  <c r="AU745" i="675" s="1"/>
  <c r="AL745" i="675"/>
  <c r="AM745" i="675" s="1"/>
  <c r="AD745" i="675"/>
  <c r="AE745" i="675" s="1"/>
  <c r="V745" i="675"/>
  <c r="W745" i="675" s="1"/>
  <c r="N745" i="675"/>
  <c r="O745" i="675" s="1"/>
  <c r="BJ744" i="675"/>
  <c r="BK744" i="675" s="1"/>
  <c r="BB744" i="675"/>
  <c r="BC744" i="675" s="1"/>
  <c r="AT744" i="675"/>
  <c r="AU744" i="675" s="1"/>
  <c r="AL744" i="675"/>
  <c r="AM744" i="675" s="1"/>
  <c r="AD744" i="675"/>
  <c r="AE744" i="675" s="1"/>
  <c r="V744" i="675"/>
  <c r="W744" i="675" s="1"/>
  <c r="N744" i="675"/>
  <c r="O744" i="675" s="1"/>
  <c r="BJ743" i="675"/>
  <c r="BK743" i="675" s="1"/>
  <c r="BB743" i="675"/>
  <c r="BC743" i="675" s="1"/>
  <c r="AT743" i="675"/>
  <c r="AU743" i="675" s="1"/>
  <c r="AL743" i="675"/>
  <c r="AM743" i="675" s="1"/>
  <c r="AD743" i="675"/>
  <c r="AE743" i="675" s="1"/>
  <c r="V743" i="675"/>
  <c r="W743" i="675" s="1"/>
  <c r="N743" i="675"/>
  <c r="O743" i="675" s="1"/>
  <c r="BJ742" i="675"/>
  <c r="BK742" i="675" s="1"/>
  <c r="BB742" i="675"/>
  <c r="BC742" i="675" s="1"/>
  <c r="AT742" i="675"/>
  <c r="AU742" i="675" s="1"/>
  <c r="AL742" i="675"/>
  <c r="AM742" i="675" s="1"/>
  <c r="AD742" i="675"/>
  <c r="AE742" i="675" s="1"/>
  <c r="V742" i="675"/>
  <c r="W742" i="675" s="1"/>
  <c r="N742" i="675"/>
  <c r="O742" i="675" s="1"/>
  <c r="BJ741" i="675"/>
  <c r="BK741" i="675" s="1"/>
  <c r="BB741" i="675"/>
  <c r="BC741" i="675" s="1"/>
  <c r="AT741" i="675"/>
  <c r="AU741" i="675" s="1"/>
  <c r="AL741" i="675"/>
  <c r="AM741" i="675" s="1"/>
  <c r="AD741" i="675"/>
  <c r="AE741" i="675" s="1"/>
  <c r="V741" i="675"/>
  <c r="W741" i="675" s="1"/>
  <c r="N741" i="675"/>
  <c r="O741" i="675" s="1"/>
  <c r="BJ740" i="675"/>
  <c r="BK740" i="675" s="1"/>
  <c r="BB740" i="675"/>
  <c r="BC740" i="675" s="1"/>
  <c r="AT740" i="675"/>
  <c r="AU740" i="675" s="1"/>
  <c r="AL740" i="675"/>
  <c r="AM740" i="675" s="1"/>
  <c r="AD740" i="675"/>
  <c r="AE740" i="675" s="1"/>
  <c r="V740" i="675"/>
  <c r="W740" i="675" s="1"/>
  <c r="N740" i="675"/>
  <c r="O740" i="675" s="1"/>
  <c r="BJ739" i="675"/>
  <c r="BK739" i="675" s="1"/>
  <c r="BB739" i="675"/>
  <c r="BC739" i="675" s="1"/>
  <c r="AT739" i="675"/>
  <c r="AU739" i="675" s="1"/>
  <c r="AL739" i="675"/>
  <c r="AM739" i="675" s="1"/>
  <c r="AD739" i="675"/>
  <c r="AE739" i="675" s="1"/>
  <c r="V739" i="675"/>
  <c r="W739" i="675" s="1"/>
  <c r="N739" i="675"/>
  <c r="O739" i="675" s="1"/>
  <c r="BJ738" i="675"/>
  <c r="BK738" i="675" s="1"/>
  <c r="BB738" i="675"/>
  <c r="BC738" i="675" s="1"/>
  <c r="AT738" i="675"/>
  <c r="AU738" i="675" s="1"/>
  <c r="AL738" i="675"/>
  <c r="AM738" i="675" s="1"/>
  <c r="AD738" i="675"/>
  <c r="AE738" i="675" s="1"/>
  <c r="V738" i="675"/>
  <c r="W738" i="675" s="1"/>
  <c r="N738" i="675"/>
  <c r="O738" i="675" s="1"/>
  <c r="BJ737" i="675"/>
  <c r="BK737" i="675" s="1"/>
  <c r="BB737" i="675"/>
  <c r="BC737" i="675" s="1"/>
  <c r="AT737" i="675"/>
  <c r="AU737" i="675" s="1"/>
  <c r="AL737" i="675"/>
  <c r="AM737" i="675" s="1"/>
  <c r="AD737" i="675"/>
  <c r="AE737" i="675" s="1"/>
  <c r="V737" i="675"/>
  <c r="W737" i="675" s="1"/>
  <c r="N737" i="675"/>
  <c r="O737" i="675" s="1"/>
  <c r="BJ736" i="675"/>
  <c r="BK736" i="675" s="1"/>
  <c r="BB736" i="675"/>
  <c r="BC736" i="675" s="1"/>
  <c r="AT736" i="675"/>
  <c r="AU736" i="675" s="1"/>
  <c r="AL736" i="675"/>
  <c r="AM736" i="675" s="1"/>
  <c r="AD736" i="675"/>
  <c r="AE736" i="675" s="1"/>
  <c r="V736" i="675"/>
  <c r="W736" i="675" s="1"/>
  <c r="N736" i="675"/>
  <c r="O736" i="675" s="1"/>
  <c r="BJ735" i="675"/>
  <c r="BK735" i="675" s="1"/>
  <c r="BB735" i="675"/>
  <c r="BC735" i="675" s="1"/>
  <c r="AT735" i="675"/>
  <c r="AU735" i="675" s="1"/>
  <c r="AL735" i="675"/>
  <c r="AM735" i="675" s="1"/>
  <c r="AD735" i="675"/>
  <c r="AE735" i="675" s="1"/>
  <c r="V735" i="675"/>
  <c r="W735" i="675" s="1"/>
  <c r="N735" i="675"/>
  <c r="O735" i="675" s="1"/>
  <c r="BJ734" i="675"/>
  <c r="BK734" i="675" s="1"/>
  <c r="BB734" i="675"/>
  <c r="BC734" i="675" s="1"/>
  <c r="AT734" i="675"/>
  <c r="AU734" i="675" s="1"/>
  <c r="AL734" i="675"/>
  <c r="AM734" i="675" s="1"/>
  <c r="AD734" i="675"/>
  <c r="AE734" i="675" s="1"/>
  <c r="V734" i="675"/>
  <c r="W734" i="675" s="1"/>
  <c r="N734" i="675"/>
  <c r="O734" i="675" s="1"/>
  <c r="BJ733" i="675"/>
  <c r="BK733" i="675" s="1"/>
  <c r="BB733" i="675"/>
  <c r="BC733" i="675" s="1"/>
  <c r="AT733" i="675"/>
  <c r="AU733" i="675" s="1"/>
  <c r="AL733" i="675"/>
  <c r="AM733" i="675" s="1"/>
  <c r="AD733" i="675"/>
  <c r="AE733" i="675" s="1"/>
  <c r="V733" i="675"/>
  <c r="W733" i="675" s="1"/>
  <c r="N733" i="675"/>
  <c r="O733" i="675" s="1"/>
  <c r="BJ732" i="675"/>
  <c r="BK732" i="675" s="1"/>
  <c r="BB732" i="675"/>
  <c r="BC732" i="675" s="1"/>
  <c r="AT732" i="675"/>
  <c r="AU732" i="675" s="1"/>
  <c r="AL732" i="675"/>
  <c r="AM732" i="675" s="1"/>
  <c r="AD732" i="675"/>
  <c r="AE732" i="675" s="1"/>
  <c r="V732" i="675"/>
  <c r="W732" i="675" s="1"/>
  <c r="N732" i="675"/>
  <c r="O732" i="675" s="1"/>
  <c r="BJ731" i="675"/>
  <c r="BK731" i="675" s="1"/>
  <c r="BB731" i="675"/>
  <c r="BC731" i="675" s="1"/>
  <c r="AT731" i="675"/>
  <c r="AU731" i="675" s="1"/>
  <c r="AL731" i="675"/>
  <c r="AM731" i="675" s="1"/>
  <c r="AD731" i="675"/>
  <c r="AE731" i="675" s="1"/>
  <c r="V731" i="675"/>
  <c r="W731" i="675" s="1"/>
  <c r="N731" i="675"/>
  <c r="O731" i="675" s="1"/>
  <c r="BJ730" i="675"/>
  <c r="BK730" i="675" s="1"/>
  <c r="BB730" i="675"/>
  <c r="BC730" i="675" s="1"/>
  <c r="AT730" i="675"/>
  <c r="AU730" i="675" s="1"/>
  <c r="AL730" i="675"/>
  <c r="AM730" i="675" s="1"/>
  <c r="AD730" i="675"/>
  <c r="AE730" i="675" s="1"/>
  <c r="V730" i="675"/>
  <c r="W730" i="675" s="1"/>
  <c r="N730" i="675"/>
  <c r="O730" i="675" s="1"/>
  <c r="BJ729" i="675"/>
  <c r="BK729" i="675" s="1"/>
  <c r="BB729" i="675"/>
  <c r="BC729" i="675" s="1"/>
  <c r="AT729" i="675"/>
  <c r="AU729" i="675" s="1"/>
  <c r="AL729" i="675"/>
  <c r="AM729" i="675" s="1"/>
  <c r="AD729" i="675"/>
  <c r="AE729" i="675" s="1"/>
  <c r="V729" i="675"/>
  <c r="W729" i="675" s="1"/>
  <c r="N729" i="675"/>
  <c r="O729" i="675" s="1"/>
  <c r="BJ728" i="675"/>
  <c r="BK728" i="675" s="1"/>
  <c r="BB728" i="675"/>
  <c r="BC728" i="675" s="1"/>
  <c r="AT728" i="675"/>
  <c r="AU728" i="675" s="1"/>
  <c r="AL728" i="675"/>
  <c r="AM728" i="675" s="1"/>
  <c r="AD728" i="675"/>
  <c r="AE728" i="675" s="1"/>
  <c r="V728" i="675"/>
  <c r="W728" i="675" s="1"/>
  <c r="N728" i="675"/>
  <c r="O728" i="675" s="1"/>
  <c r="BJ727" i="675"/>
  <c r="BK727" i="675" s="1"/>
  <c r="BB727" i="675"/>
  <c r="BC727" i="675" s="1"/>
  <c r="AT727" i="675"/>
  <c r="AU727" i="675" s="1"/>
  <c r="AL727" i="675"/>
  <c r="AM727" i="675" s="1"/>
  <c r="AD727" i="675"/>
  <c r="AE727" i="675" s="1"/>
  <c r="V727" i="675"/>
  <c r="W727" i="675" s="1"/>
  <c r="N727" i="675"/>
  <c r="O727" i="675" s="1"/>
  <c r="BJ726" i="675"/>
  <c r="BK726" i="675" s="1"/>
  <c r="BB726" i="675"/>
  <c r="BC726" i="675" s="1"/>
  <c r="AT726" i="675"/>
  <c r="AU726" i="675" s="1"/>
  <c r="AL726" i="675"/>
  <c r="AM726" i="675" s="1"/>
  <c r="AD726" i="675"/>
  <c r="AE726" i="675" s="1"/>
  <c r="V726" i="675"/>
  <c r="W726" i="675" s="1"/>
  <c r="N726" i="675"/>
  <c r="O726" i="675" s="1"/>
  <c r="BJ725" i="675"/>
  <c r="BK725" i="675" s="1"/>
  <c r="BB725" i="675"/>
  <c r="BC725" i="675" s="1"/>
  <c r="AT725" i="675"/>
  <c r="AU725" i="675" s="1"/>
  <c r="AL725" i="675"/>
  <c r="AM725" i="675" s="1"/>
  <c r="AD725" i="675"/>
  <c r="AE725" i="675" s="1"/>
  <c r="V725" i="675"/>
  <c r="W725" i="675" s="1"/>
  <c r="N725" i="675"/>
  <c r="O725" i="675" s="1"/>
  <c r="BJ724" i="675"/>
  <c r="BK724" i="675" s="1"/>
  <c r="BB724" i="675"/>
  <c r="BC724" i="675" s="1"/>
  <c r="AT724" i="675"/>
  <c r="AU724" i="675" s="1"/>
  <c r="AL724" i="675"/>
  <c r="AM724" i="675" s="1"/>
  <c r="AD724" i="675"/>
  <c r="AE724" i="675" s="1"/>
  <c r="V724" i="675"/>
  <c r="W724" i="675" s="1"/>
  <c r="N724" i="675"/>
  <c r="O724" i="675" s="1"/>
  <c r="BJ723" i="675"/>
  <c r="BK723" i="675" s="1"/>
  <c r="BB723" i="675"/>
  <c r="BC723" i="675" s="1"/>
  <c r="AT723" i="675"/>
  <c r="AU723" i="675" s="1"/>
  <c r="AL723" i="675"/>
  <c r="AM723" i="675" s="1"/>
  <c r="AD723" i="675"/>
  <c r="AE723" i="675" s="1"/>
  <c r="V723" i="675"/>
  <c r="W723" i="675" s="1"/>
  <c r="N723" i="675"/>
  <c r="O723" i="675" s="1"/>
  <c r="BJ722" i="675"/>
  <c r="BK722" i="675" s="1"/>
  <c r="BB722" i="675"/>
  <c r="BC722" i="675" s="1"/>
  <c r="AT722" i="675"/>
  <c r="AU722" i="675" s="1"/>
  <c r="AL722" i="675"/>
  <c r="AM722" i="675" s="1"/>
  <c r="AD722" i="675"/>
  <c r="AE722" i="675" s="1"/>
  <c r="V722" i="675"/>
  <c r="W722" i="675" s="1"/>
  <c r="N722" i="675"/>
  <c r="O722" i="675" s="1"/>
  <c r="BJ721" i="675"/>
  <c r="BK721" i="675" s="1"/>
  <c r="BB721" i="675"/>
  <c r="BC721" i="675" s="1"/>
  <c r="AT721" i="675"/>
  <c r="AU721" i="675" s="1"/>
  <c r="AL721" i="675"/>
  <c r="AM721" i="675" s="1"/>
  <c r="AD721" i="675"/>
  <c r="AE721" i="675" s="1"/>
  <c r="V721" i="675"/>
  <c r="W721" i="675" s="1"/>
  <c r="N721" i="675"/>
  <c r="O721" i="675" s="1"/>
  <c r="BJ720" i="675"/>
  <c r="BK720" i="675" s="1"/>
  <c r="BB720" i="675"/>
  <c r="BC720" i="675" s="1"/>
  <c r="AT720" i="675"/>
  <c r="AU720" i="675" s="1"/>
  <c r="AL720" i="675"/>
  <c r="AM720" i="675" s="1"/>
  <c r="AD720" i="675"/>
  <c r="AE720" i="675" s="1"/>
  <c r="V720" i="675"/>
  <c r="W720" i="675" s="1"/>
  <c r="N720" i="675"/>
  <c r="O720" i="675" s="1"/>
  <c r="BJ719" i="675"/>
  <c r="BK719" i="675" s="1"/>
  <c r="BB719" i="675"/>
  <c r="BC719" i="675" s="1"/>
  <c r="AT719" i="675"/>
  <c r="AU719" i="675" s="1"/>
  <c r="AL719" i="675"/>
  <c r="AM719" i="675" s="1"/>
  <c r="AD719" i="675"/>
  <c r="AE719" i="675" s="1"/>
  <c r="V719" i="675"/>
  <c r="W719" i="675" s="1"/>
  <c r="N719" i="675"/>
  <c r="O719" i="675" s="1"/>
  <c r="BJ718" i="675"/>
  <c r="BK718" i="675" s="1"/>
  <c r="BB718" i="675"/>
  <c r="BC718" i="675" s="1"/>
  <c r="AT718" i="675"/>
  <c r="AU718" i="675" s="1"/>
  <c r="AL718" i="675"/>
  <c r="AM718" i="675" s="1"/>
  <c r="AD718" i="675"/>
  <c r="AE718" i="675" s="1"/>
  <c r="V718" i="675"/>
  <c r="W718" i="675" s="1"/>
  <c r="N718" i="675"/>
  <c r="O718" i="675" s="1"/>
  <c r="BJ717" i="675"/>
  <c r="BK717" i="675" s="1"/>
  <c r="BB717" i="675"/>
  <c r="BC717" i="675" s="1"/>
  <c r="AT717" i="675"/>
  <c r="AU717" i="675" s="1"/>
  <c r="AL717" i="675"/>
  <c r="AM717" i="675" s="1"/>
  <c r="AD717" i="675"/>
  <c r="AE717" i="675" s="1"/>
  <c r="V717" i="675"/>
  <c r="W717" i="675" s="1"/>
  <c r="N717" i="675"/>
  <c r="O717" i="675" s="1"/>
  <c r="BJ716" i="675"/>
  <c r="BK716" i="675" s="1"/>
  <c r="BB716" i="675"/>
  <c r="BC716" i="675" s="1"/>
  <c r="AT716" i="675"/>
  <c r="AU716" i="675" s="1"/>
  <c r="AL716" i="675"/>
  <c r="AM716" i="675" s="1"/>
  <c r="AD716" i="675"/>
  <c r="AE716" i="675" s="1"/>
  <c r="V716" i="675"/>
  <c r="W716" i="675" s="1"/>
  <c r="N716" i="675"/>
  <c r="O716" i="675" s="1"/>
  <c r="BJ715" i="675"/>
  <c r="BK715" i="675" s="1"/>
  <c r="BB715" i="675"/>
  <c r="BC715" i="675" s="1"/>
  <c r="AT715" i="675"/>
  <c r="AU715" i="675" s="1"/>
  <c r="AL715" i="675"/>
  <c r="AM715" i="675" s="1"/>
  <c r="AD715" i="675"/>
  <c r="AE715" i="675" s="1"/>
  <c r="V715" i="675"/>
  <c r="W715" i="675" s="1"/>
  <c r="N715" i="675"/>
  <c r="O715" i="675" s="1"/>
  <c r="BJ714" i="675"/>
  <c r="BK714" i="675" s="1"/>
  <c r="BB714" i="675"/>
  <c r="BC714" i="675" s="1"/>
  <c r="AT714" i="675"/>
  <c r="AU714" i="675" s="1"/>
  <c r="AL714" i="675"/>
  <c r="AM714" i="675" s="1"/>
  <c r="AD714" i="675"/>
  <c r="AE714" i="675" s="1"/>
  <c r="V714" i="675"/>
  <c r="W714" i="675" s="1"/>
  <c r="N714" i="675"/>
  <c r="O714" i="675" s="1"/>
  <c r="BJ713" i="675"/>
  <c r="BK713" i="675" s="1"/>
  <c r="BB713" i="675"/>
  <c r="BC713" i="675" s="1"/>
  <c r="AT713" i="675"/>
  <c r="AU713" i="675" s="1"/>
  <c r="AL713" i="675"/>
  <c r="AM713" i="675" s="1"/>
  <c r="AD713" i="675"/>
  <c r="AE713" i="675" s="1"/>
  <c r="V713" i="675"/>
  <c r="W713" i="675" s="1"/>
  <c r="N713" i="675"/>
  <c r="O713" i="675" s="1"/>
  <c r="BJ712" i="675"/>
  <c r="BK712" i="675" s="1"/>
  <c r="BB712" i="675"/>
  <c r="BC712" i="675" s="1"/>
  <c r="AT712" i="675"/>
  <c r="AU712" i="675" s="1"/>
  <c r="AL712" i="675"/>
  <c r="AM712" i="675" s="1"/>
  <c r="AD712" i="675"/>
  <c r="AE712" i="675" s="1"/>
  <c r="V712" i="675"/>
  <c r="W712" i="675" s="1"/>
  <c r="N712" i="675"/>
  <c r="O712" i="675" s="1"/>
  <c r="BJ711" i="675"/>
  <c r="BK711" i="675" s="1"/>
  <c r="BB711" i="675"/>
  <c r="BC711" i="675" s="1"/>
  <c r="AT711" i="675"/>
  <c r="AU711" i="675" s="1"/>
  <c r="AL711" i="675"/>
  <c r="AM711" i="675" s="1"/>
  <c r="AD711" i="675"/>
  <c r="AE711" i="675" s="1"/>
  <c r="V711" i="675"/>
  <c r="W711" i="675" s="1"/>
  <c r="N711" i="675"/>
  <c r="O711" i="675" s="1"/>
  <c r="BJ710" i="675"/>
  <c r="BK710" i="675" s="1"/>
  <c r="BB710" i="675"/>
  <c r="BC710" i="675" s="1"/>
  <c r="AT710" i="675"/>
  <c r="AU710" i="675" s="1"/>
  <c r="AL710" i="675"/>
  <c r="AM710" i="675" s="1"/>
  <c r="AD710" i="675"/>
  <c r="AE710" i="675" s="1"/>
  <c r="V710" i="675"/>
  <c r="W710" i="675" s="1"/>
  <c r="N710" i="675"/>
  <c r="O710" i="675" s="1"/>
  <c r="BJ709" i="675"/>
  <c r="BK709" i="675" s="1"/>
  <c r="BB709" i="675"/>
  <c r="BC709" i="675" s="1"/>
  <c r="AT709" i="675"/>
  <c r="AU709" i="675" s="1"/>
  <c r="AL709" i="675"/>
  <c r="AM709" i="675" s="1"/>
  <c r="AD709" i="675"/>
  <c r="AE709" i="675" s="1"/>
  <c r="V709" i="675"/>
  <c r="W709" i="675" s="1"/>
  <c r="N709" i="675"/>
  <c r="O709" i="675" s="1"/>
  <c r="BJ708" i="675"/>
  <c r="BK708" i="675" s="1"/>
  <c r="BB708" i="675"/>
  <c r="BC708" i="675" s="1"/>
  <c r="AT708" i="675"/>
  <c r="AU708" i="675" s="1"/>
  <c r="AL708" i="675"/>
  <c r="AM708" i="675" s="1"/>
  <c r="AD708" i="675"/>
  <c r="AE708" i="675" s="1"/>
  <c r="V708" i="675"/>
  <c r="W708" i="675" s="1"/>
  <c r="N708" i="675"/>
  <c r="O708" i="675" s="1"/>
  <c r="BJ707" i="675"/>
  <c r="BK707" i="675" s="1"/>
  <c r="BB707" i="675"/>
  <c r="BC707" i="675" s="1"/>
  <c r="AT707" i="675"/>
  <c r="AU707" i="675" s="1"/>
  <c r="AL707" i="675"/>
  <c r="AM707" i="675" s="1"/>
  <c r="AD707" i="675"/>
  <c r="AE707" i="675" s="1"/>
  <c r="V707" i="675"/>
  <c r="W707" i="675" s="1"/>
  <c r="N707" i="675"/>
  <c r="O707" i="675" s="1"/>
  <c r="BJ706" i="675"/>
  <c r="BK706" i="675" s="1"/>
  <c r="BB706" i="675"/>
  <c r="BC706" i="675" s="1"/>
  <c r="AT706" i="675"/>
  <c r="AU706" i="675" s="1"/>
  <c r="AL706" i="675"/>
  <c r="AM706" i="675" s="1"/>
  <c r="AD706" i="675"/>
  <c r="AE706" i="675" s="1"/>
  <c r="V706" i="675"/>
  <c r="W706" i="675" s="1"/>
  <c r="N706" i="675"/>
  <c r="O706" i="675" s="1"/>
  <c r="BJ705" i="675"/>
  <c r="BK705" i="675" s="1"/>
  <c r="BB705" i="675"/>
  <c r="BC705" i="675" s="1"/>
  <c r="AT705" i="675"/>
  <c r="AU705" i="675" s="1"/>
  <c r="AL705" i="675"/>
  <c r="AM705" i="675" s="1"/>
  <c r="AD705" i="675"/>
  <c r="AE705" i="675" s="1"/>
  <c r="V705" i="675"/>
  <c r="W705" i="675" s="1"/>
  <c r="N705" i="675"/>
  <c r="O705" i="675" s="1"/>
  <c r="BJ704" i="675"/>
  <c r="BK704" i="675" s="1"/>
  <c r="BB704" i="675"/>
  <c r="BC704" i="675" s="1"/>
  <c r="AT704" i="675"/>
  <c r="AU704" i="675" s="1"/>
  <c r="AL704" i="675"/>
  <c r="AM704" i="675" s="1"/>
  <c r="AD704" i="675"/>
  <c r="AE704" i="675" s="1"/>
  <c r="V704" i="675"/>
  <c r="W704" i="675" s="1"/>
  <c r="N704" i="675"/>
  <c r="O704" i="675" s="1"/>
  <c r="B704" i="675"/>
  <c r="B705" i="675" s="1"/>
  <c r="B706" i="675" s="1"/>
  <c r="B707" i="675" s="1"/>
  <c r="B708" i="675" s="1"/>
  <c r="B709" i="675" s="1"/>
  <c r="B710" i="675" s="1"/>
  <c r="B711" i="675" s="1"/>
  <c r="B712" i="675" s="1"/>
  <c r="B713" i="675" s="1"/>
  <c r="B714" i="675" s="1"/>
  <c r="B715" i="675" s="1"/>
  <c r="B716" i="675" s="1"/>
  <c r="B717" i="675" s="1"/>
  <c r="B718" i="675" s="1"/>
  <c r="B719" i="675" s="1"/>
  <c r="B720" i="675" s="1"/>
  <c r="B721" i="675" s="1"/>
  <c r="B722" i="675" s="1"/>
  <c r="B723" i="675" s="1"/>
  <c r="B724" i="675" s="1"/>
  <c r="B725" i="675" s="1"/>
  <c r="B726" i="675" s="1"/>
  <c r="B727" i="675" s="1"/>
  <c r="B728" i="675" s="1"/>
  <c r="B729" i="675" s="1"/>
  <c r="B730" i="675" s="1"/>
  <c r="B731" i="675" s="1"/>
  <c r="B732" i="675" s="1"/>
  <c r="B733" i="675" s="1"/>
  <c r="B734" i="675" s="1"/>
  <c r="B735" i="675" s="1"/>
  <c r="B736" i="675" s="1"/>
  <c r="B737" i="675" s="1"/>
  <c r="B738" i="675" s="1"/>
  <c r="B739" i="675" s="1"/>
  <c r="B740" i="675" s="1"/>
  <c r="B741" i="675" s="1"/>
  <c r="B742" i="675" s="1"/>
  <c r="B743" i="675" s="1"/>
  <c r="B744" i="675" s="1"/>
  <c r="B745" i="675" s="1"/>
  <c r="B746" i="675" s="1"/>
  <c r="B747" i="675" s="1"/>
  <c r="BJ703" i="675"/>
  <c r="BK703" i="675" s="1"/>
  <c r="BB703" i="675"/>
  <c r="BC703" i="675" s="1"/>
  <c r="AT703" i="675"/>
  <c r="AU703" i="675" s="1"/>
  <c r="AL703" i="675"/>
  <c r="AM703" i="675" s="1"/>
  <c r="AD703" i="675"/>
  <c r="AE703" i="675" s="1"/>
  <c r="V703" i="675"/>
  <c r="W703" i="675" s="1"/>
  <c r="N703" i="675"/>
  <c r="O703" i="675" s="1"/>
  <c r="BI701" i="675"/>
  <c r="BH701" i="675"/>
  <c r="BG701" i="675"/>
  <c r="BF701" i="675"/>
  <c r="BE701" i="675"/>
  <c r="BD701" i="675"/>
  <c r="BD794" i="675" s="1"/>
  <c r="AS701" i="675"/>
  <c r="AR701" i="675"/>
  <c r="AR794" i="675" s="1"/>
  <c r="AQ701" i="675"/>
  <c r="AQ794" i="675" s="1"/>
  <c r="AP701" i="675"/>
  <c r="AP794" i="675" s="1"/>
  <c r="AO701" i="675"/>
  <c r="AN701" i="675"/>
  <c r="AK701" i="675"/>
  <c r="AJ701" i="675"/>
  <c r="AI701" i="675"/>
  <c r="AH701" i="675"/>
  <c r="AH794" i="675" s="1"/>
  <c r="AG701" i="675"/>
  <c r="AG794" i="675" s="1"/>
  <c r="AF701" i="675"/>
  <c r="AF794" i="675" s="1"/>
  <c r="AC701" i="675"/>
  <c r="AB701" i="675"/>
  <c r="AA701" i="675"/>
  <c r="Z701" i="675"/>
  <c r="Y701" i="675"/>
  <c r="X701" i="675"/>
  <c r="X794" i="675" s="1"/>
  <c r="U701" i="675"/>
  <c r="U794" i="675" s="1"/>
  <c r="T701" i="675"/>
  <c r="T794" i="675" s="1"/>
  <c r="S701" i="675"/>
  <c r="R701" i="675"/>
  <c r="Q701" i="675"/>
  <c r="P701" i="675"/>
  <c r="P794" i="675" s="1"/>
  <c r="M701" i="675"/>
  <c r="L701" i="675"/>
  <c r="L794" i="675" s="1"/>
  <c r="K701" i="675"/>
  <c r="K794" i="675" s="1"/>
  <c r="J701" i="675"/>
  <c r="J794" i="675" s="1"/>
  <c r="I701" i="675"/>
  <c r="H701" i="675"/>
  <c r="G701" i="675"/>
  <c r="BJ700" i="675"/>
  <c r="BK700" i="675" s="1"/>
  <c r="BB700" i="675"/>
  <c r="BC700" i="675" s="1"/>
  <c r="AT700" i="675"/>
  <c r="AU700" i="675" s="1"/>
  <c r="AL700" i="675"/>
  <c r="AM700" i="675" s="1"/>
  <c r="AD700" i="675"/>
  <c r="AE700" i="675" s="1"/>
  <c r="V700" i="675"/>
  <c r="W700" i="675" s="1"/>
  <c r="N700" i="675"/>
  <c r="O700" i="675" s="1"/>
  <c r="BJ699" i="675"/>
  <c r="BK699" i="675" s="1"/>
  <c r="BB699" i="675"/>
  <c r="BC699" i="675" s="1"/>
  <c r="AT699" i="675"/>
  <c r="AU699" i="675" s="1"/>
  <c r="AL699" i="675"/>
  <c r="AM699" i="675" s="1"/>
  <c r="AD699" i="675"/>
  <c r="AE699" i="675" s="1"/>
  <c r="V699" i="675"/>
  <c r="W699" i="675" s="1"/>
  <c r="N699" i="675"/>
  <c r="O699" i="675" s="1"/>
  <c r="BJ698" i="675"/>
  <c r="BK698" i="675" s="1"/>
  <c r="BB698" i="675"/>
  <c r="BC698" i="675" s="1"/>
  <c r="AT698" i="675"/>
  <c r="AU698" i="675" s="1"/>
  <c r="AL698" i="675"/>
  <c r="AM698" i="675" s="1"/>
  <c r="AD698" i="675"/>
  <c r="AE698" i="675" s="1"/>
  <c r="V698" i="675"/>
  <c r="W698" i="675" s="1"/>
  <c r="N698" i="675"/>
  <c r="O698" i="675" s="1"/>
  <c r="BJ697" i="675"/>
  <c r="BK697" i="675" s="1"/>
  <c r="BB697" i="675"/>
  <c r="BC697" i="675" s="1"/>
  <c r="AT697" i="675"/>
  <c r="AU697" i="675" s="1"/>
  <c r="AL697" i="675"/>
  <c r="AM697" i="675" s="1"/>
  <c r="AD697" i="675"/>
  <c r="AE697" i="675" s="1"/>
  <c r="V697" i="675"/>
  <c r="W697" i="675" s="1"/>
  <c r="N697" i="675"/>
  <c r="O697" i="675" s="1"/>
  <c r="BJ696" i="675"/>
  <c r="BK696" i="675" s="1"/>
  <c r="BB696" i="675"/>
  <c r="BC696" i="675" s="1"/>
  <c r="AT696" i="675"/>
  <c r="AU696" i="675" s="1"/>
  <c r="AL696" i="675"/>
  <c r="AM696" i="675" s="1"/>
  <c r="AD696" i="675"/>
  <c r="AE696" i="675" s="1"/>
  <c r="V696" i="675"/>
  <c r="W696" i="675" s="1"/>
  <c r="N696" i="675"/>
  <c r="O696" i="675" s="1"/>
  <c r="BJ695" i="675"/>
  <c r="BK695" i="675" s="1"/>
  <c r="BB695" i="675"/>
  <c r="BC695" i="675" s="1"/>
  <c r="AT695" i="675"/>
  <c r="AU695" i="675" s="1"/>
  <c r="AL695" i="675"/>
  <c r="AM695" i="675" s="1"/>
  <c r="AD695" i="675"/>
  <c r="AE695" i="675" s="1"/>
  <c r="V695" i="675"/>
  <c r="W695" i="675" s="1"/>
  <c r="N695" i="675"/>
  <c r="O695" i="675" s="1"/>
  <c r="BJ694" i="675"/>
  <c r="BK694" i="675" s="1"/>
  <c r="BB694" i="675"/>
  <c r="BC694" i="675" s="1"/>
  <c r="AT694" i="675"/>
  <c r="AU694" i="675" s="1"/>
  <c r="AL694" i="675"/>
  <c r="AM694" i="675" s="1"/>
  <c r="AD694" i="675"/>
  <c r="AE694" i="675" s="1"/>
  <c r="V694" i="675"/>
  <c r="W694" i="675" s="1"/>
  <c r="N694" i="675"/>
  <c r="O694" i="675" s="1"/>
  <c r="BJ693" i="675"/>
  <c r="BK693" i="675" s="1"/>
  <c r="BB693" i="675"/>
  <c r="BC693" i="675" s="1"/>
  <c r="AT693" i="675"/>
  <c r="AU693" i="675" s="1"/>
  <c r="AL693" i="675"/>
  <c r="AM693" i="675" s="1"/>
  <c r="AD693" i="675"/>
  <c r="AE693" i="675" s="1"/>
  <c r="V693" i="675"/>
  <c r="W693" i="675" s="1"/>
  <c r="N693" i="675"/>
  <c r="O693" i="675" s="1"/>
  <c r="BJ692" i="675"/>
  <c r="BK692" i="675" s="1"/>
  <c r="BB692" i="675"/>
  <c r="BC692" i="675" s="1"/>
  <c r="AT692" i="675"/>
  <c r="AU692" i="675" s="1"/>
  <c r="AL692" i="675"/>
  <c r="AM692" i="675" s="1"/>
  <c r="AD692" i="675"/>
  <c r="AE692" i="675" s="1"/>
  <c r="V692" i="675"/>
  <c r="W692" i="675" s="1"/>
  <c r="N692" i="675"/>
  <c r="O692" i="675" s="1"/>
  <c r="BJ691" i="675"/>
  <c r="BK691" i="675" s="1"/>
  <c r="BB691" i="675"/>
  <c r="BC691" i="675" s="1"/>
  <c r="AT691" i="675"/>
  <c r="AU691" i="675" s="1"/>
  <c r="AL691" i="675"/>
  <c r="AM691" i="675" s="1"/>
  <c r="AD691" i="675"/>
  <c r="AE691" i="675" s="1"/>
  <c r="V691" i="675"/>
  <c r="W691" i="675" s="1"/>
  <c r="N691" i="675"/>
  <c r="O691" i="675" s="1"/>
  <c r="BJ690" i="675"/>
  <c r="BK690" i="675" s="1"/>
  <c r="BB690" i="675"/>
  <c r="BC690" i="675" s="1"/>
  <c r="AT690" i="675"/>
  <c r="AU690" i="675" s="1"/>
  <c r="AL690" i="675"/>
  <c r="AM690" i="675" s="1"/>
  <c r="AD690" i="675"/>
  <c r="AE690" i="675" s="1"/>
  <c r="V690" i="675"/>
  <c r="W690" i="675" s="1"/>
  <c r="N690" i="675"/>
  <c r="O690" i="675" s="1"/>
  <c r="BJ689" i="675"/>
  <c r="BK689" i="675" s="1"/>
  <c r="BB689" i="675"/>
  <c r="BC689" i="675" s="1"/>
  <c r="AT689" i="675"/>
  <c r="AU689" i="675" s="1"/>
  <c r="AL689" i="675"/>
  <c r="AM689" i="675" s="1"/>
  <c r="AD689" i="675"/>
  <c r="AE689" i="675" s="1"/>
  <c r="V689" i="675"/>
  <c r="W689" i="675" s="1"/>
  <c r="N689" i="675"/>
  <c r="O689" i="675" s="1"/>
  <c r="BJ688" i="675"/>
  <c r="BK688" i="675" s="1"/>
  <c r="BB688" i="675"/>
  <c r="BC688" i="675" s="1"/>
  <c r="AT688" i="675"/>
  <c r="AU688" i="675" s="1"/>
  <c r="AL688" i="675"/>
  <c r="AM688" i="675" s="1"/>
  <c r="AD688" i="675"/>
  <c r="AE688" i="675" s="1"/>
  <c r="V688" i="675"/>
  <c r="W688" i="675" s="1"/>
  <c r="N688" i="675"/>
  <c r="O688" i="675" s="1"/>
  <c r="BJ687" i="675"/>
  <c r="BK687" i="675" s="1"/>
  <c r="BB687" i="675"/>
  <c r="BC687" i="675" s="1"/>
  <c r="AT687" i="675"/>
  <c r="AU687" i="675" s="1"/>
  <c r="AL687" i="675"/>
  <c r="AM687" i="675" s="1"/>
  <c r="AD687" i="675"/>
  <c r="AE687" i="675" s="1"/>
  <c r="V687" i="675"/>
  <c r="W687" i="675" s="1"/>
  <c r="N687" i="675"/>
  <c r="O687" i="675" s="1"/>
  <c r="BJ686" i="675"/>
  <c r="BK686" i="675" s="1"/>
  <c r="BB686" i="675"/>
  <c r="BC686" i="675" s="1"/>
  <c r="AT686" i="675"/>
  <c r="AU686" i="675" s="1"/>
  <c r="AL686" i="675"/>
  <c r="AM686" i="675" s="1"/>
  <c r="AD686" i="675"/>
  <c r="AE686" i="675" s="1"/>
  <c r="V686" i="675"/>
  <c r="W686" i="675" s="1"/>
  <c r="N686" i="675"/>
  <c r="O686" i="675" s="1"/>
  <c r="BJ685" i="675"/>
  <c r="BK685" i="675" s="1"/>
  <c r="BB685" i="675"/>
  <c r="BC685" i="675" s="1"/>
  <c r="AT685" i="675"/>
  <c r="AU685" i="675" s="1"/>
  <c r="AL685" i="675"/>
  <c r="AM685" i="675" s="1"/>
  <c r="AD685" i="675"/>
  <c r="AE685" i="675" s="1"/>
  <c r="V685" i="675"/>
  <c r="W685" i="675" s="1"/>
  <c r="N685" i="675"/>
  <c r="O685" i="675" s="1"/>
  <c r="BJ684" i="675"/>
  <c r="BK684" i="675" s="1"/>
  <c r="BB684" i="675"/>
  <c r="BC684" i="675" s="1"/>
  <c r="AT684" i="675"/>
  <c r="AU684" i="675" s="1"/>
  <c r="AL684" i="675"/>
  <c r="AM684" i="675" s="1"/>
  <c r="AD684" i="675"/>
  <c r="AE684" i="675" s="1"/>
  <c r="V684" i="675"/>
  <c r="W684" i="675" s="1"/>
  <c r="N684" i="675"/>
  <c r="O684" i="675" s="1"/>
  <c r="BJ683" i="675"/>
  <c r="BK683" i="675" s="1"/>
  <c r="BB683" i="675"/>
  <c r="BC683" i="675" s="1"/>
  <c r="AT683" i="675"/>
  <c r="AU683" i="675" s="1"/>
  <c r="AL683" i="675"/>
  <c r="AM683" i="675" s="1"/>
  <c r="AD683" i="675"/>
  <c r="AE683" i="675" s="1"/>
  <c r="V683" i="675"/>
  <c r="W683" i="675" s="1"/>
  <c r="N683" i="675"/>
  <c r="O683" i="675" s="1"/>
  <c r="BJ682" i="675"/>
  <c r="BK682" i="675" s="1"/>
  <c r="BB682" i="675"/>
  <c r="BC682" i="675" s="1"/>
  <c r="AT682" i="675"/>
  <c r="AU682" i="675" s="1"/>
  <c r="AL682" i="675"/>
  <c r="AM682" i="675" s="1"/>
  <c r="AD682" i="675"/>
  <c r="AE682" i="675" s="1"/>
  <c r="V682" i="675"/>
  <c r="W682" i="675" s="1"/>
  <c r="N682" i="675"/>
  <c r="O682" i="675" s="1"/>
  <c r="BJ681" i="675"/>
  <c r="BK681" i="675" s="1"/>
  <c r="BB681" i="675"/>
  <c r="BC681" i="675" s="1"/>
  <c r="AT681" i="675"/>
  <c r="AU681" i="675" s="1"/>
  <c r="AL681" i="675"/>
  <c r="AM681" i="675" s="1"/>
  <c r="AD681" i="675"/>
  <c r="AE681" i="675" s="1"/>
  <c r="V681" i="675"/>
  <c r="W681" i="675" s="1"/>
  <c r="N681" i="675"/>
  <c r="O681" i="675" s="1"/>
  <c r="BJ680" i="675"/>
  <c r="BK680" i="675" s="1"/>
  <c r="BB680" i="675"/>
  <c r="BC680" i="675" s="1"/>
  <c r="AT680" i="675"/>
  <c r="AU680" i="675" s="1"/>
  <c r="AL680" i="675"/>
  <c r="AM680" i="675" s="1"/>
  <c r="AD680" i="675"/>
  <c r="AE680" i="675" s="1"/>
  <c r="V680" i="675"/>
  <c r="W680" i="675" s="1"/>
  <c r="N680" i="675"/>
  <c r="O680" i="675" s="1"/>
  <c r="BJ679" i="675"/>
  <c r="BK679" i="675" s="1"/>
  <c r="BB679" i="675"/>
  <c r="BC679" i="675" s="1"/>
  <c r="AT679" i="675"/>
  <c r="AU679" i="675" s="1"/>
  <c r="AL679" i="675"/>
  <c r="AM679" i="675" s="1"/>
  <c r="AD679" i="675"/>
  <c r="AE679" i="675" s="1"/>
  <c r="V679" i="675"/>
  <c r="W679" i="675" s="1"/>
  <c r="N679" i="675"/>
  <c r="O679" i="675" s="1"/>
  <c r="BJ678" i="675"/>
  <c r="BK678" i="675" s="1"/>
  <c r="BB678" i="675"/>
  <c r="BC678" i="675" s="1"/>
  <c r="AT678" i="675"/>
  <c r="AU678" i="675" s="1"/>
  <c r="AL678" i="675"/>
  <c r="AM678" i="675" s="1"/>
  <c r="AD678" i="675"/>
  <c r="AE678" i="675" s="1"/>
  <c r="V678" i="675"/>
  <c r="W678" i="675" s="1"/>
  <c r="N678" i="675"/>
  <c r="O678" i="675" s="1"/>
  <c r="BJ677" i="675"/>
  <c r="BK677" i="675" s="1"/>
  <c r="BB677" i="675"/>
  <c r="BC677" i="675" s="1"/>
  <c r="AT677" i="675"/>
  <c r="AU677" i="675" s="1"/>
  <c r="AL677" i="675"/>
  <c r="AM677" i="675" s="1"/>
  <c r="AD677" i="675"/>
  <c r="AE677" i="675" s="1"/>
  <c r="V677" i="675"/>
  <c r="W677" i="675" s="1"/>
  <c r="N677" i="675"/>
  <c r="O677" i="675" s="1"/>
  <c r="BJ676" i="675"/>
  <c r="BK676" i="675" s="1"/>
  <c r="BB676" i="675"/>
  <c r="BC676" i="675" s="1"/>
  <c r="AT676" i="675"/>
  <c r="AU676" i="675" s="1"/>
  <c r="AL676" i="675"/>
  <c r="AM676" i="675" s="1"/>
  <c r="AD676" i="675"/>
  <c r="AE676" i="675" s="1"/>
  <c r="V676" i="675"/>
  <c r="W676" i="675" s="1"/>
  <c r="N676" i="675"/>
  <c r="O676" i="675" s="1"/>
  <c r="BJ675" i="675"/>
  <c r="BK675" i="675" s="1"/>
  <c r="BB675" i="675"/>
  <c r="BC675" i="675" s="1"/>
  <c r="AT675" i="675"/>
  <c r="AU675" i="675" s="1"/>
  <c r="AL675" i="675"/>
  <c r="AM675" i="675" s="1"/>
  <c r="AD675" i="675"/>
  <c r="AE675" i="675" s="1"/>
  <c r="V675" i="675"/>
  <c r="W675" i="675" s="1"/>
  <c r="N675" i="675"/>
  <c r="O675" i="675" s="1"/>
  <c r="BJ674" i="675"/>
  <c r="BK674" i="675" s="1"/>
  <c r="BB674" i="675"/>
  <c r="BC674" i="675" s="1"/>
  <c r="AT674" i="675"/>
  <c r="AU674" i="675" s="1"/>
  <c r="AL674" i="675"/>
  <c r="AM674" i="675" s="1"/>
  <c r="AD674" i="675"/>
  <c r="AE674" i="675" s="1"/>
  <c r="V674" i="675"/>
  <c r="W674" i="675" s="1"/>
  <c r="N674" i="675"/>
  <c r="O674" i="675" s="1"/>
  <c r="BJ673" i="675"/>
  <c r="BK673" i="675" s="1"/>
  <c r="BB673" i="675"/>
  <c r="BC673" i="675" s="1"/>
  <c r="AT673" i="675"/>
  <c r="AU673" i="675" s="1"/>
  <c r="AL673" i="675"/>
  <c r="AM673" i="675" s="1"/>
  <c r="AD673" i="675"/>
  <c r="AE673" i="675" s="1"/>
  <c r="V673" i="675"/>
  <c r="W673" i="675" s="1"/>
  <c r="N673" i="675"/>
  <c r="O673" i="675" s="1"/>
  <c r="BJ672" i="675"/>
  <c r="BK672" i="675" s="1"/>
  <c r="BB672" i="675"/>
  <c r="BC672" i="675" s="1"/>
  <c r="AT672" i="675"/>
  <c r="AU672" i="675" s="1"/>
  <c r="AL672" i="675"/>
  <c r="AM672" i="675" s="1"/>
  <c r="AD672" i="675"/>
  <c r="AE672" i="675" s="1"/>
  <c r="V672" i="675"/>
  <c r="W672" i="675" s="1"/>
  <c r="N672" i="675"/>
  <c r="O672" i="675" s="1"/>
  <c r="BJ671" i="675"/>
  <c r="BK671" i="675" s="1"/>
  <c r="BB671" i="675"/>
  <c r="BC671" i="675" s="1"/>
  <c r="AT671" i="675"/>
  <c r="AU671" i="675" s="1"/>
  <c r="AL671" i="675"/>
  <c r="AM671" i="675" s="1"/>
  <c r="AD671" i="675"/>
  <c r="AE671" i="675" s="1"/>
  <c r="V671" i="675"/>
  <c r="W671" i="675" s="1"/>
  <c r="N671" i="675"/>
  <c r="O671" i="675" s="1"/>
  <c r="BJ670" i="675"/>
  <c r="BK670" i="675" s="1"/>
  <c r="BB670" i="675"/>
  <c r="BC670" i="675" s="1"/>
  <c r="AT670" i="675"/>
  <c r="AU670" i="675" s="1"/>
  <c r="AL670" i="675"/>
  <c r="AM670" i="675" s="1"/>
  <c r="AD670" i="675"/>
  <c r="AE670" i="675" s="1"/>
  <c r="V670" i="675"/>
  <c r="W670" i="675" s="1"/>
  <c r="N670" i="675"/>
  <c r="O670" i="675" s="1"/>
  <c r="BJ669" i="675"/>
  <c r="BK669" i="675" s="1"/>
  <c r="BB669" i="675"/>
  <c r="BC669" i="675" s="1"/>
  <c r="AT669" i="675"/>
  <c r="AU669" i="675" s="1"/>
  <c r="AL669" i="675"/>
  <c r="AM669" i="675" s="1"/>
  <c r="AD669" i="675"/>
  <c r="AE669" i="675" s="1"/>
  <c r="V669" i="675"/>
  <c r="W669" i="675" s="1"/>
  <c r="N669" i="675"/>
  <c r="O669" i="675" s="1"/>
  <c r="BJ668" i="675"/>
  <c r="BK668" i="675" s="1"/>
  <c r="BB668" i="675"/>
  <c r="BC668" i="675" s="1"/>
  <c r="AT668" i="675"/>
  <c r="AU668" i="675" s="1"/>
  <c r="AL668" i="675"/>
  <c r="AM668" i="675" s="1"/>
  <c r="AD668" i="675"/>
  <c r="AE668" i="675" s="1"/>
  <c r="V668" i="675"/>
  <c r="W668" i="675" s="1"/>
  <c r="N668" i="675"/>
  <c r="O668" i="675" s="1"/>
  <c r="BJ667" i="675"/>
  <c r="BK667" i="675" s="1"/>
  <c r="BB667" i="675"/>
  <c r="BC667" i="675" s="1"/>
  <c r="AT667" i="675"/>
  <c r="AU667" i="675" s="1"/>
  <c r="AL667" i="675"/>
  <c r="AM667" i="675" s="1"/>
  <c r="AD667" i="675"/>
  <c r="AE667" i="675" s="1"/>
  <c r="V667" i="675"/>
  <c r="W667" i="675" s="1"/>
  <c r="N667" i="675"/>
  <c r="O667" i="675" s="1"/>
  <c r="BJ666" i="675"/>
  <c r="BK666" i="675" s="1"/>
  <c r="BB666" i="675"/>
  <c r="BC666" i="675" s="1"/>
  <c r="AT666" i="675"/>
  <c r="AU666" i="675" s="1"/>
  <c r="AL666" i="675"/>
  <c r="AM666" i="675" s="1"/>
  <c r="AD666" i="675"/>
  <c r="AE666" i="675" s="1"/>
  <c r="V666" i="675"/>
  <c r="W666" i="675" s="1"/>
  <c r="N666" i="675"/>
  <c r="O666" i="675" s="1"/>
  <c r="BJ665" i="675"/>
  <c r="BK665" i="675" s="1"/>
  <c r="BB665" i="675"/>
  <c r="BC665" i="675" s="1"/>
  <c r="AT665" i="675"/>
  <c r="AU665" i="675" s="1"/>
  <c r="AL665" i="675"/>
  <c r="AM665" i="675" s="1"/>
  <c r="AD665" i="675"/>
  <c r="AE665" i="675" s="1"/>
  <c r="V665" i="675"/>
  <c r="W665" i="675" s="1"/>
  <c r="N665" i="675"/>
  <c r="O665" i="675" s="1"/>
  <c r="BJ664" i="675"/>
  <c r="BK664" i="675" s="1"/>
  <c r="BB664" i="675"/>
  <c r="BC664" i="675" s="1"/>
  <c r="AT664" i="675"/>
  <c r="AU664" i="675" s="1"/>
  <c r="AL664" i="675"/>
  <c r="AM664" i="675" s="1"/>
  <c r="AD664" i="675"/>
  <c r="AE664" i="675" s="1"/>
  <c r="V664" i="675"/>
  <c r="W664" i="675" s="1"/>
  <c r="N664" i="675"/>
  <c r="O664" i="675" s="1"/>
  <c r="BJ663" i="675"/>
  <c r="BK663" i="675" s="1"/>
  <c r="BB663" i="675"/>
  <c r="BC663" i="675" s="1"/>
  <c r="AT663" i="675"/>
  <c r="AU663" i="675" s="1"/>
  <c r="AL663" i="675"/>
  <c r="AM663" i="675" s="1"/>
  <c r="AD663" i="675"/>
  <c r="AE663" i="675" s="1"/>
  <c r="V663" i="675"/>
  <c r="W663" i="675" s="1"/>
  <c r="N663" i="675"/>
  <c r="O663" i="675" s="1"/>
  <c r="BJ662" i="675"/>
  <c r="BK662" i="675" s="1"/>
  <c r="BB662" i="675"/>
  <c r="BC662" i="675" s="1"/>
  <c r="AT662" i="675"/>
  <c r="AU662" i="675" s="1"/>
  <c r="AL662" i="675"/>
  <c r="AM662" i="675" s="1"/>
  <c r="AD662" i="675"/>
  <c r="AE662" i="675" s="1"/>
  <c r="V662" i="675"/>
  <c r="W662" i="675" s="1"/>
  <c r="N662" i="675"/>
  <c r="O662" i="675" s="1"/>
  <c r="BJ661" i="675"/>
  <c r="BK661" i="675" s="1"/>
  <c r="BB661" i="675"/>
  <c r="BC661" i="675" s="1"/>
  <c r="AT661" i="675"/>
  <c r="AU661" i="675" s="1"/>
  <c r="AL661" i="675"/>
  <c r="AM661" i="675" s="1"/>
  <c r="AD661" i="675"/>
  <c r="AE661" i="675" s="1"/>
  <c r="V661" i="675"/>
  <c r="W661" i="675" s="1"/>
  <c r="N661" i="675"/>
  <c r="O661" i="675" s="1"/>
  <c r="BJ660" i="675"/>
  <c r="BK660" i="675" s="1"/>
  <c r="BB660" i="675"/>
  <c r="BC660" i="675" s="1"/>
  <c r="AT660" i="675"/>
  <c r="AU660" i="675" s="1"/>
  <c r="AL660" i="675"/>
  <c r="AM660" i="675" s="1"/>
  <c r="AD660" i="675"/>
  <c r="AE660" i="675" s="1"/>
  <c r="V660" i="675"/>
  <c r="W660" i="675" s="1"/>
  <c r="N660" i="675"/>
  <c r="O660" i="675" s="1"/>
  <c r="BJ659" i="675"/>
  <c r="BK659" i="675" s="1"/>
  <c r="BB659" i="675"/>
  <c r="BC659" i="675" s="1"/>
  <c r="AT659" i="675"/>
  <c r="AU659" i="675" s="1"/>
  <c r="AL659" i="675"/>
  <c r="AM659" i="675" s="1"/>
  <c r="AD659" i="675"/>
  <c r="AE659" i="675" s="1"/>
  <c r="V659" i="675"/>
  <c r="W659" i="675" s="1"/>
  <c r="N659" i="675"/>
  <c r="O659" i="675" s="1"/>
  <c r="BJ658" i="675"/>
  <c r="BK658" i="675" s="1"/>
  <c r="BB658" i="675"/>
  <c r="BC658" i="675" s="1"/>
  <c r="AT658" i="675"/>
  <c r="AU658" i="675" s="1"/>
  <c r="AL658" i="675"/>
  <c r="AM658" i="675" s="1"/>
  <c r="AD658" i="675"/>
  <c r="AE658" i="675" s="1"/>
  <c r="V658" i="675"/>
  <c r="W658" i="675" s="1"/>
  <c r="N658" i="675"/>
  <c r="O658" i="675" s="1"/>
  <c r="BJ657" i="675"/>
  <c r="BK657" i="675" s="1"/>
  <c r="BB657" i="675"/>
  <c r="BC657" i="675" s="1"/>
  <c r="AT657" i="675"/>
  <c r="AU657" i="675" s="1"/>
  <c r="AL657" i="675"/>
  <c r="AM657" i="675" s="1"/>
  <c r="AD657" i="675"/>
  <c r="AE657" i="675" s="1"/>
  <c r="V657" i="675"/>
  <c r="W657" i="675" s="1"/>
  <c r="N657" i="675"/>
  <c r="O657" i="675" s="1"/>
  <c r="BJ656" i="675"/>
  <c r="BK656" i="675" s="1"/>
  <c r="BB656" i="675"/>
  <c r="BC656" i="675" s="1"/>
  <c r="AT656" i="675"/>
  <c r="AU656" i="675" s="1"/>
  <c r="AL656" i="675"/>
  <c r="AM656" i="675" s="1"/>
  <c r="AD656" i="675"/>
  <c r="AE656" i="675" s="1"/>
  <c r="V656" i="675"/>
  <c r="W656" i="675" s="1"/>
  <c r="N656" i="675"/>
  <c r="O656" i="675" s="1"/>
  <c r="BJ655" i="675"/>
  <c r="BK655" i="675" s="1"/>
  <c r="BB655" i="675"/>
  <c r="BC655" i="675" s="1"/>
  <c r="AT655" i="675"/>
  <c r="AU655" i="675" s="1"/>
  <c r="AL655" i="675"/>
  <c r="AM655" i="675" s="1"/>
  <c r="AD655" i="675"/>
  <c r="AE655" i="675" s="1"/>
  <c r="V655" i="675"/>
  <c r="W655" i="675" s="1"/>
  <c r="N655" i="675"/>
  <c r="O655" i="675" s="1"/>
  <c r="BJ654" i="675"/>
  <c r="BK654" i="675" s="1"/>
  <c r="BB654" i="675"/>
  <c r="BC654" i="675" s="1"/>
  <c r="AT654" i="675"/>
  <c r="AU654" i="675" s="1"/>
  <c r="AL654" i="675"/>
  <c r="AM654" i="675" s="1"/>
  <c r="AD654" i="675"/>
  <c r="AE654" i="675" s="1"/>
  <c r="V654" i="675"/>
  <c r="W654" i="675" s="1"/>
  <c r="N654" i="675"/>
  <c r="O654" i="675" s="1"/>
  <c r="BJ653" i="675"/>
  <c r="BK653" i="675" s="1"/>
  <c r="BB653" i="675"/>
  <c r="BC653" i="675" s="1"/>
  <c r="AT653" i="675"/>
  <c r="AU653" i="675" s="1"/>
  <c r="AL653" i="675"/>
  <c r="AM653" i="675" s="1"/>
  <c r="AD653" i="675"/>
  <c r="AE653" i="675" s="1"/>
  <c r="V653" i="675"/>
  <c r="W653" i="675" s="1"/>
  <c r="N653" i="675"/>
  <c r="O653" i="675" s="1"/>
  <c r="BJ652" i="675"/>
  <c r="BK652" i="675" s="1"/>
  <c r="BB652" i="675"/>
  <c r="BC652" i="675" s="1"/>
  <c r="AT652" i="675"/>
  <c r="AU652" i="675" s="1"/>
  <c r="AL652" i="675"/>
  <c r="AM652" i="675" s="1"/>
  <c r="AD652" i="675"/>
  <c r="AE652" i="675" s="1"/>
  <c r="V652" i="675"/>
  <c r="W652" i="675" s="1"/>
  <c r="N652" i="675"/>
  <c r="O652" i="675" s="1"/>
  <c r="BJ651" i="675"/>
  <c r="BK651" i="675" s="1"/>
  <c r="BB651" i="675"/>
  <c r="BC651" i="675" s="1"/>
  <c r="AT651" i="675"/>
  <c r="AU651" i="675" s="1"/>
  <c r="AL651" i="675"/>
  <c r="AM651" i="675" s="1"/>
  <c r="AD651" i="675"/>
  <c r="AE651" i="675" s="1"/>
  <c r="V651" i="675"/>
  <c r="W651" i="675" s="1"/>
  <c r="N651" i="675"/>
  <c r="O651" i="675" s="1"/>
  <c r="BJ650" i="675"/>
  <c r="BK650" i="675" s="1"/>
  <c r="BB650" i="675"/>
  <c r="BC650" i="675" s="1"/>
  <c r="AT650" i="675"/>
  <c r="AU650" i="675" s="1"/>
  <c r="AL650" i="675"/>
  <c r="AM650" i="675" s="1"/>
  <c r="AD650" i="675"/>
  <c r="AE650" i="675" s="1"/>
  <c r="V650" i="675"/>
  <c r="W650" i="675" s="1"/>
  <c r="N650" i="675"/>
  <c r="O650" i="675" s="1"/>
  <c r="BJ649" i="675"/>
  <c r="BK649" i="675" s="1"/>
  <c r="BB649" i="675"/>
  <c r="BC649" i="675" s="1"/>
  <c r="AT649" i="675"/>
  <c r="AU649" i="675" s="1"/>
  <c r="AL649" i="675"/>
  <c r="AM649" i="675" s="1"/>
  <c r="AD649" i="675"/>
  <c r="AE649" i="675" s="1"/>
  <c r="V649" i="675"/>
  <c r="W649" i="675" s="1"/>
  <c r="N649" i="675"/>
  <c r="O649" i="675" s="1"/>
  <c r="BJ648" i="675"/>
  <c r="BK648" i="675" s="1"/>
  <c r="BB648" i="675"/>
  <c r="BC648" i="675" s="1"/>
  <c r="AT648" i="675"/>
  <c r="AU648" i="675" s="1"/>
  <c r="AL648" i="675"/>
  <c r="AM648" i="675" s="1"/>
  <c r="AD648" i="675"/>
  <c r="AE648" i="675" s="1"/>
  <c r="V648" i="675"/>
  <c r="W648" i="675" s="1"/>
  <c r="N648" i="675"/>
  <c r="O648" i="675" s="1"/>
  <c r="BJ647" i="675"/>
  <c r="BK647" i="675" s="1"/>
  <c r="BB647" i="675"/>
  <c r="BC647" i="675" s="1"/>
  <c r="AT647" i="675"/>
  <c r="AU647" i="675" s="1"/>
  <c r="AL647" i="675"/>
  <c r="AM647" i="675" s="1"/>
  <c r="AD647" i="675"/>
  <c r="AE647" i="675" s="1"/>
  <c r="V647" i="675"/>
  <c r="W647" i="675" s="1"/>
  <c r="N647" i="675"/>
  <c r="O647" i="675" s="1"/>
  <c r="BJ646" i="675"/>
  <c r="BK646" i="675" s="1"/>
  <c r="BB646" i="675"/>
  <c r="BC646" i="675" s="1"/>
  <c r="AT646" i="675"/>
  <c r="AU646" i="675" s="1"/>
  <c r="AL646" i="675"/>
  <c r="AM646" i="675" s="1"/>
  <c r="AD646" i="675"/>
  <c r="AE646" i="675" s="1"/>
  <c r="V646" i="675"/>
  <c r="W646" i="675" s="1"/>
  <c r="N646" i="675"/>
  <c r="O646" i="675" s="1"/>
  <c r="BJ645" i="675"/>
  <c r="BK645" i="675" s="1"/>
  <c r="BB645" i="675"/>
  <c r="BC645" i="675" s="1"/>
  <c r="AT645" i="675"/>
  <c r="AU645" i="675" s="1"/>
  <c r="AL645" i="675"/>
  <c r="AM645" i="675" s="1"/>
  <c r="AD645" i="675"/>
  <c r="AE645" i="675" s="1"/>
  <c r="V645" i="675"/>
  <c r="W645" i="675" s="1"/>
  <c r="N645" i="675"/>
  <c r="O645" i="675" s="1"/>
  <c r="BJ644" i="675"/>
  <c r="BK644" i="675" s="1"/>
  <c r="BB644" i="675"/>
  <c r="BC644" i="675" s="1"/>
  <c r="AT644" i="675"/>
  <c r="AU644" i="675" s="1"/>
  <c r="AL644" i="675"/>
  <c r="AM644" i="675" s="1"/>
  <c r="AD644" i="675"/>
  <c r="AE644" i="675" s="1"/>
  <c r="V644" i="675"/>
  <c r="W644" i="675" s="1"/>
  <c r="N644" i="675"/>
  <c r="O644" i="675" s="1"/>
  <c r="BJ643" i="675"/>
  <c r="BK643" i="675" s="1"/>
  <c r="BB643" i="675"/>
  <c r="BC643" i="675" s="1"/>
  <c r="AT643" i="675"/>
  <c r="AU643" i="675" s="1"/>
  <c r="AL643" i="675"/>
  <c r="AM643" i="675" s="1"/>
  <c r="AD643" i="675"/>
  <c r="AE643" i="675" s="1"/>
  <c r="V643" i="675"/>
  <c r="W643" i="675" s="1"/>
  <c r="N643" i="675"/>
  <c r="O643" i="675" s="1"/>
  <c r="BJ642" i="675"/>
  <c r="BK642" i="675" s="1"/>
  <c r="BB642" i="675"/>
  <c r="BC642" i="675" s="1"/>
  <c r="AT642" i="675"/>
  <c r="AU642" i="675" s="1"/>
  <c r="AL642" i="675"/>
  <c r="AM642" i="675" s="1"/>
  <c r="AD642" i="675"/>
  <c r="AE642" i="675" s="1"/>
  <c r="V642" i="675"/>
  <c r="W642" i="675" s="1"/>
  <c r="N642" i="675"/>
  <c r="O642" i="675" s="1"/>
  <c r="BJ641" i="675"/>
  <c r="BK641" i="675" s="1"/>
  <c r="BB641" i="675"/>
  <c r="BC641" i="675" s="1"/>
  <c r="AT641" i="675"/>
  <c r="AU641" i="675" s="1"/>
  <c r="AL641" i="675"/>
  <c r="AM641" i="675" s="1"/>
  <c r="AD641" i="675"/>
  <c r="AE641" i="675" s="1"/>
  <c r="V641" i="675"/>
  <c r="W641" i="675" s="1"/>
  <c r="N641" i="675"/>
  <c r="O641" i="675" s="1"/>
  <c r="BJ640" i="675"/>
  <c r="BK640" i="675" s="1"/>
  <c r="BB640" i="675"/>
  <c r="BC640" i="675" s="1"/>
  <c r="AT640" i="675"/>
  <c r="AU640" i="675" s="1"/>
  <c r="AL640" i="675"/>
  <c r="AM640" i="675" s="1"/>
  <c r="AD640" i="675"/>
  <c r="AE640" i="675" s="1"/>
  <c r="V640" i="675"/>
  <c r="W640" i="675" s="1"/>
  <c r="N640" i="675"/>
  <c r="O640" i="675" s="1"/>
  <c r="BJ639" i="675"/>
  <c r="BK639" i="675" s="1"/>
  <c r="BB639" i="675"/>
  <c r="BC639" i="675" s="1"/>
  <c r="AT639" i="675"/>
  <c r="AU639" i="675" s="1"/>
  <c r="AL639" i="675"/>
  <c r="AM639" i="675" s="1"/>
  <c r="AD639" i="675"/>
  <c r="AE639" i="675" s="1"/>
  <c r="V639" i="675"/>
  <c r="W639" i="675" s="1"/>
  <c r="N639" i="675"/>
  <c r="O639" i="675" s="1"/>
  <c r="BJ638" i="675"/>
  <c r="BK638" i="675" s="1"/>
  <c r="BB638" i="675"/>
  <c r="BC638" i="675" s="1"/>
  <c r="AT638" i="675"/>
  <c r="AU638" i="675" s="1"/>
  <c r="AL638" i="675"/>
  <c r="AM638" i="675" s="1"/>
  <c r="AD638" i="675"/>
  <c r="AE638" i="675" s="1"/>
  <c r="V638" i="675"/>
  <c r="W638" i="675" s="1"/>
  <c r="N638" i="675"/>
  <c r="O638" i="675" s="1"/>
  <c r="BJ637" i="675"/>
  <c r="BK637" i="675" s="1"/>
  <c r="BB637" i="675"/>
  <c r="BC637" i="675" s="1"/>
  <c r="AT637" i="675"/>
  <c r="AU637" i="675" s="1"/>
  <c r="AL637" i="675"/>
  <c r="AM637" i="675" s="1"/>
  <c r="AD637" i="675"/>
  <c r="AE637" i="675" s="1"/>
  <c r="V637" i="675"/>
  <c r="W637" i="675" s="1"/>
  <c r="N637" i="675"/>
  <c r="O637" i="675" s="1"/>
  <c r="BJ636" i="675"/>
  <c r="BK636" i="675" s="1"/>
  <c r="BB636" i="675"/>
  <c r="BC636" i="675" s="1"/>
  <c r="AT636" i="675"/>
  <c r="AU636" i="675" s="1"/>
  <c r="AL636" i="675"/>
  <c r="AM636" i="675" s="1"/>
  <c r="AD636" i="675"/>
  <c r="AE636" i="675" s="1"/>
  <c r="V636" i="675"/>
  <c r="W636" i="675" s="1"/>
  <c r="N636" i="675"/>
  <c r="O636" i="675" s="1"/>
  <c r="BJ635" i="675"/>
  <c r="BK635" i="675" s="1"/>
  <c r="BB635" i="675"/>
  <c r="BC635" i="675" s="1"/>
  <c r="AT635" i="675"/>
  <c r="AU635" i="675" s="1"/>
  <c r="AL635" i="675"/>
  <c r="AM635" i="675" s="1"/>
  <c r="AD635" i="675"/>
  <c r="AE635" i="675" s="1"/>
  <c r="V635" i="675"/>
  <c r="W635" i="675" s="1"/>
  <c r="N635" i="675"/>
  <c r="O635" i="675" s="1"/>
  <c r="BJ634" i="675"/>
  <c r="BK634" i="675" s="1"/>
  <c r="BB634" i="675"/>
  <c r="BC634" i="675" s="1"/>
  <c r="AT634" i="675"/>
  <c r="AU634" i="675" s="1"/>
  <c r="AL634" i="675"/>
  <c r="AM634" i="675" s="1"/>
  <c r="AD634" i="675"/>
  <c r="AE634" i="675" s="1"/>
  <c r="V634" i="675"/>
  <c r="W634" i="675" s="1"/>
  <c r="N634" i="675"/>
  <c r="O634" i="675" s="1"/>
  <c r="BJ633" i="675"/>
  <c r="BK633" i="675" s="1"/>
  <c r="BB633" i="675"/>
  <c r="BC633" i="675" s="1"/>
  <c r="AT633" i="675"/>
  <c r="AU633" i="675" s="1"/>
  <c r="AL633" i="675"/>
  <c r="AM633" i="675" s="1"/>
  <c r="AD633" i="675"/>
  <c r="AE633" i="675" s="1"/>
  <c r="V633" i="675"/>
  <c r="W633" i="675" s="1"/>
  <c r="N633" i="675"/>
  <c r="O633" i="675" s="1"/>
  <c r="BJ632" i="675"/>
  <c r="BK632" i="675" s="1"/>
  <c r="BB632" i="675"/>
  <c r="BC632" i="675" s="1"/>
  <c r="AT632" i="675"/>
  <c r="AU632" i="675" s="1"/>
  <c r="AL632" i="675"/>
  <c r="AM632" i="675" s="1"/>
  <c r="AD632" i="675"/>
  <c r="AE632" i="675" s="1"/>
  <c r="V632" i="675"/>
  <c r="W632" i="675" s="1"/>
  <c r="N632" i="675"/>
  <c r="O632" i="675" s="1"/>
  <c r="BJ631" i="675"/>
  <c r="BK631" i="675" s="1"/>
  <c r="BB631" i="675"/>
  <c r="BC631" i="675" s="1"/>
  <c r="AT631" i="675"/>
  <c r="AU631" i="675" s="1"/>
  <c r="AL631" i="675"/>
  <c r="AM631" i="675" s="1"/>
  <c r="AD631" i="675"/>
  <c r="AE631" i="675" s="1"/>
  <c r="V631" i="675"/>
  <c r="W631" i="675" s="1"/>
  <c r="N631" i="675"/>
  <c r="O631" i="675" s="1"/>
  <c r="BJ630" i="675"/>
  <c r="BK630" i="675" s="1"/>
  <c r="BB630" i="675"/>
  <c r="BC630" i="675" s="1"/>
  <c r="AT630" i="675"/>
  <c r="AU630" i="675" s="1"/>
  <c r="AL630" i="675"/>
  <c r="AM630" i="675" s="1"/>
  <c r="AD630" i="675"/>
  <c r="AE630" i="675" s="1"/>
  <c r="V630" i="675"/>
  <c r="W630" i="675" s="1"/>
  <c r="N630" i="675"/>
  <c r="O630" i="675" s="1"/>
  <c r="BJ629" i="675"/>
  <c r="BK629" i="675" s="1"/>
  <c r="BB629" i="675"/>
  <c r="BC629" i="675" s="1"/>
  <c r="AT629" i="675"/>
  <c r="AU629" i="675" s="1"/>
  <c r="AL629" i="675"/>
  <c r="AM629" i="675" s="1"/>
  <c r="AD629" i="675"/>
  <c r="AE629" i="675" s="1"/>
  <c r="V629" i="675"/>
  <c r="W629" i="675" s="1"/>
  <c r="N629" i="675"/>
  <c r="O629" i="675" s="1"/>
  <c r="BJ628" i="675"/>
  <c r="BK628" i="675" s="1"/>
  <c r="BB628" i="675"/>
  <c r="BC628" i="675" s="1"/>
  <c r="AT628" i="675"/>
  <c r="AU628" i="675" s="1"/>
  <c r="AL628" i="675"/>
  <c r="AM628" i="675" s="1"/>
  <c r="AD628" i="675"/>
  <c r="AE628" i="675" s="1"/>
  <c r="V628" i="675"/>
  <c r="W628" i="675" s="1"/>
  <c r="N628" i="675"/>
  <c r="O628" i="675" s="1"/>
  <c r="BJ627" i="675"/>
  <c r="BK627" i="675" s="1"/>
  <c r="BB627" i="675"/>
  <c r="BC627" i="675" s="1"/>
  <c r="AT627" i="675"/>
  <c r="AU627" i="675" s="1"/>
  <c r="AL627" i="675"/>
  <c r="AM627" i="675" s="1"/>
  <c r="AD627" i="675"/>
  <c r="AE627" i="675" s="1"/>
  <c r="V627" i="675"/>
  <c r="W627" i="675" s="1"/>
  <c r="N627" i="675"/>
  <c r="O627" i="675" s="1"/>
  <c r="BJ626" i="675"/>
  <c r="BK626" i="675" s="1"/>
  <c r="BB626" i="675"/>
  <c r="BC626" i="675" s="1"/>
  <c r="AT626" i="675"/>
  <c r="AU626" i="675" s="1"/>
  <c r="AL626" i="675"/>
  <c r="AM626" i="675" s="1"/>
  <c r="AD626" i="675"/>
  <c r="AE626" i="675" s="1"/>
  <c r="V626" i="675"/>
  <c r="W626" i="675" s="1"/>
  <c r="N626" i="675"/>
  <c r="O626" i="675" s="1"/>
  <c r="BJ625" i="675"/>
  <c r="BK625" i="675" s="1"/>
  <c r="BB625" i="675"/>
  <c r="BC625" i="675" s="1"/>
  <c r="AT625" i="675"/>
  <c r="AU625" i="675" s="1"/>
  <c r="AL625" i="675"/>
  <c r="AM625" i="675" s="1"/>
  <c r="AD625" i="675"/>
  <c r="AE625" i="675" s="1"/>
  <c r="V625" i="675"/>
  <c r="W625" i="675" s="1"/>
  <c r="N625" i="675"/>
  <c r="O625" i="675" s="1"/>
  <c r="BJ624" i="675"/>
  <c r="BK624" i="675" s="1"/>
  <c r="BB624" i="675"/>
  <c r="BC624" i="675" s="1"/>
  <c r="AT624" i="675"/>
  <c r="AU624" i="675" s="1"/>
  <c r="AL624" i="675"/>
  <c r="AM624" i="675" s="1"/>
  <c r="AD624" i="675"/>
  <c r="AE624" i="675" s="1"/>
  <c r="V624" i="675"/>
  <c r="W624" i="675" s="1"/>
  <c r="N624" i="675"/>
  <c r="O624" i="675" s="1"/>
  <c r="BJ623" i="675"/>
  <c r="BK623" i="675" s="1"/>
  <c r="BB623" i="675"/>
  <c r="BC623" i="675" s="1"/>
  <c r="AT623" i="675"/>
  <c r="AU623" i="675" s="1"/>
  <c r="AL623" i="675"/>
  <c r="AM623" i="675" s="1"/>
  <c r="AD623" i="675"/>
  <c r="AE623" i="675" s="1"/>
  <c r="V623" i="675"/>
  <c r="W623" i="675" s="1"/>
  <c r="N623" i="675"/>
  <c r="O623" i="675" s="1"/>
  <c r="BJ622" i="675"/>
  <c r="BK622" i="675" s="1"/>
  <c r="BB622" i="675"/>
  <c r="BC622" i="675" s="1"/>
  <c r="AT622" i="675"/>
  <c r="AU622" i="675" s="1"/>
  <c r="AL622" i="675"/>
  <c r="AM622" i="675" s="1"/>
  <c r="AD622" i="675"/>
  <c r="AE622" i="675" s="1"/>
  <c r="V622" i="675"/>
  <c r="W622" i="675" s="1"/>
  <c r="N622" i="675"/>
  <c r="O622" i="675" s="1"/>
  <c r="BJ621" i="675"/>
  <c r="BK621" i="675" s="1"/>
  <c r="BB621" i="675"/>
  <c r="BC621" i="675" s="1"/>
  <c r="AT621" i="675"/>
  <c r="AU621" i="675" s="1"/>
  <c r="AL621" i="675"/>
  <c r="AM621" i="675" s="1"/>
  <c r="AD621" i="675"/>
  <c r="AE621" i="675" s="1"/>
  <c r="V621" i="675"/>
  <c r="W621" i="675" s="1"/>
  <c r="N621" i="675"/>
  <c r="O621" i="675" s="1"/>
  <c r="BJ620" i="675"/>
  <c r="BK620" i="675" s="1"/>
  <c r="BB620" i="675"/>
  <c r="BC620" i="675" s="1"/>
  <c r="AT620" i="675"/>
  <c r="AU620" i="675" s="1"/>
  <c r="AL620" i="675"/>
  <c r="AM620" i="675" s="1"/>
  <c r="AD620" i="675"/>
  <c r="AE620" i="675" s="1"/>
  <c r="V620" i="675"/>
  <c r="W620" i="675" s="1"/>
  <c r="N620" i="675"/>
  <c r="O620" i="675" s="1"/>
  <c r="BJ619" i="675"/>
  <c r="BK619" i="675" s="1"/>
  <c r="BB619" i="675"/>
  <c r="BC619" i="675" s="1"/>
  <c r="AT619" i="675"/>
  <c r="AU619" i="675" s="1"/>
  <c r="AL619" i="675"/>
  <c r="AM619" i="675" s="1"/>
  <c r="AD619" i="675"/>
  <c r="AE619" i="675" s="1"/>
  <c r="V619" i="675"/>
  <c r="W619" i="675" s="1"/>
  <c r="N619" i="675"/>
  <c r="O619" i="675" s="1"/>
  <c r="BJ618" i="675"/>
  <c r="BK618" i="675" s="1"/>
  <c r="BB618" i="675"/>
  <c r="BC618" i="675" s="1"/>
  <c r="AT618" i="675"/>
  <c r="AU618" i="675" s="1"/>
  <c r="AL618" i="675"/>
  <c r="AM618" i="675" s="1"/>
  <c r="AD618" i="675"/>
  <c r="AE618" i="675" s="1"/>
  <c r="V618" i="675"/>
  <c r="W618" i="675" s="1"/>
  <c r="N618" i="675"/>
  <c r="O618" i="675" s="1"/>
  <c r="BJ617" i="675"/>
  <c r="BK617" i="675" s="1"/>
  <c r="BB617" i="675"/>
  <c r="BC617" i="675" s="1"/>
  <c r="AT617" i="675"/>
  <c r="AU617" i="675" s="1"/>
  <c r="AL617" i="675"/>
  <c r="AM617" i="675" s="1"/>
  <c r="AD617" i="675"/>
  <c r="AE617" i="675" s="1"/>
  <c r="V617" i="675"/>
  <c r="W617" i="675" s="1"/>
  <c r="N617" i="675"/>
  <c r="O617" i="675" s="1"/>
  <c r="BJ616" i="675"/>
  <c r="BK616" i="675" s="1"/>
  <c r="BB616" i="675"/>
  <c r="BC616" i="675" s="1"/>
  <c r="AT616" i="675"/>
  <c r="AU616" i="675" s="1"/>
  <c r="AL616" i="675"/>
  <c r="AM616" i="675" s="1"/>
  <c r="AD616" i="675"/>
  <c r="AE616" i="675" s="1"/>
  <c r="V616" i="675"/>
  <c r="W616" i="675" s="1"/>
  <c r="N616" i="675"/>
  <c r="O616" i="675" s="1"/>
  <c r="BJ615" i="675"/>
  <c r="BK615" i="675" s="1"/>
  <c r="BB615" i="675"/>
  <c r="BC615" i="675" s="1"/>
  <c r="AT615" i="675"/>
  <c r="AU615" i="675" s="1"/>
  <c r="AL615" i="675"/>
  <c r="AM615" i="675" s="1"/>
  <c r="AD615" i="675"/>
  <c r="AE615" i="675" s="1"/>
  <c r="V615" i="675"/>
  <c r="W615" i="675" s="1"/>
  <c r="N615" i="675"/>
  <c r="O615" i="675" s="1"/>
  <c r="BJ614" i="675"/>
  <c r="BK614" i="675" s="1"/>
  <c r="BB614" i="675"/>
  <c r="BC614" i="675" s="1"/>
  <c r="AT614" i="675"/>
  <c r="AU614" i="675" s="1"/>
  <c r="AL614" i="675"/>
  <c r="AM614" i="675" s="1"/>
  <c r="AD614" i="675"/>
  <c r="AE614" i="675" s="1"/>
  <c r="V614" i="675"/>
  <c r="W614" i="675" s="1"/>
  <c r="N614" i="675"/>
  <c r="O614" i="675" s="1"/>
  <c r="BJ613" i="675"/>
  <c r="BK613" i="675" s="1"/>
  <c r="BB613" i="675"/>
  <c r="BC613" i="675" s="1"/>
  <c r="AT613" i="675"/>
  <c r="AU613" i="675" s="1"/>
  <c r="AL613" i="675"/>
  <c r="AM613" i="675" s="1"/>
  <c r="AD613" i="675"/>
  <c r="AE613" i="675" s="1"/>
  <c r="V613" i="675"/>
  <c r="W613" i="675" s="1"/>
  <c r="N613" i="675"/>
  <c r="O613" i="675" s="1"/>
  <c r="BJ612" i="675"/>
  <c r="BK612" i="675" s="1"/>
  <c r="BB612" i="675"/>
  <c r="BC612" i="675" s="1"/>
  <c r="AT612" i="675"/>
  <c r="AU612" i="675" s="1"/>
  <c r="AL612" i="675"/>
  <c r="AM612" i="675" s="1"/>
  <c r="AD612" i="675"/>
  <c r="AE612" i="675" s="1"/>
  <c r="V612" i="675"/>
  <c r="W612" i="675" s="1"/>
  <c r="N612" i="675"/>
  <c r="O612" i="675" s="1"/>
  <c r="BJ611" i="675"/>
  <c r="BK611" i="675" s="1"/>
  <c r="BB611" i="675"/>
  <c r="BC611" i="675" s="1"/>
  <c r="AT611" i="675"/>
  <c r="AU611" i="675" s="1"/>
  <c r="AL611" i="675"/>
  <c r="AM611" i="675" s="1"/>
  <c r="AD611" i="675"/>
  <c r="AE611" i="675" s="1"/>
  <c r="V611" i="675"/>
  <c r="W611" i="675" s="1"/>
  <c r="N611" i="675"/>
  <c r="O611" i="675" s="1"/>
  <c r="BJ610" i="675"/>
  <c r="BK610" i="675" s="1"/>
  <c r="BB610" i="675"/>
  <c r="BC610" i="675" s="1"/>
  <c r="AT610" i="675"/>
  <c r="AU610" i="675" s="1"/>
  <c r="AL610" i="675"/>
  <c r="AM610" i="675" s="1"/>
  <c r="AD610" i="675"/>
  <c r="AE610" i="675" s="1"/>
  <c r="V610" i="675"/>
  <c r="W610" i="675" s="1"/>
  <c r="N610" i="675"/>
  <c r="O610" i="675" s="1"/>
  <c r="BJ609" i="675"/>
  <c r="BK609" i="675" s="1"/>
  <c r="BB609" i="675"/>
  <c r="BC609" i="675" s="1"/>
  <c r="AT609" i="675"/>
  <c r="AU609" i="675" s="1"/>
  <c r="AL609" i="675"/>
  <c r="AM609" i="675" s="1"/>
  <c r="AD609" i="675"/>
  <c r="AE609" i="675" s="1"/>
  <c r="V609" i="675"/>
  <c r="W609" i="675" s="1"/>
  <c r="N609" i="675"/>
  <c r="O609" i="675" s="1"/>
  <c r="BJ608" i="675"/>
  <c r="BK608" i="675" s="1"/>
  <c r="BB608" i="675"/>
  <c r="BC608" i="675" s="1"/>
  <c r="AT608" i="675"/>
  <c r="AU608" i="675" s="1"/>
  <c r="AL608" i="675"/>
  <c r="AM608" i="675" s="1"/>
  <c r="AD608" i="675"/>
  <c r="AE608" i="675" s="1"/>
  <c r="V608" i="675"/>
  <c r="W608" i="675" s="1"/>
  <c r="N608" i="675"/>
  <c r="O608" i="675" s="1"/>
  <c r="BJ607" i="675"/>
  <c r="BK607" i="675" s="1"/>
  <c r="BB607" i="675"/>
  <c r="BC607" i="675" s="1"/>
  <c r="AT607" i="675"/>
  <c r="AU607" i="675" s="1"/>
  <c r="AL607" i="675"/>
  <c r="AM607" i="675" s="1"/>
  <c r="AD607" i="675"/>
  <c r="AE607" i="675" s="1"/>
  <c r="V607" i="675"/>
  <c r="W607" i="675" s="1"/>
  <c r="N607" i="675"/>
  <c r="O607" i="675" s="1"/>
  <c r="BJ606" i="675"/>
  <c r="BK606" i="675" s="1"/>
  <c r="BB606" i="675"/>
  <c r="BC606" i="675" s="1"/>
  <c r="AT606" i="675"/>
  <c r="AU606" i="675" s="1"/>
  <c r="AL606" i="675"/>
  <c r="AM606" i="675" s="1"/>
  <c r="AD606" i="675"/>
  <c r="AE606" i="675" s="1"/>
  <c r="V606" i="675"/>
  <c r="W606" i="675" s="1"/>
  <c r="N606" i="675"/>
  <c r="O606" i="675" s="1"/>
  <c r="BJ605" i="675"/>
  <c r="BK605" i="675" s="1"/>
  <c r="BB605" i="675"/>
  <c r="BC605" i="675" s="1"/>
  <c r="AT605" i="675"/>
  <c r="AU605" i="675" s="1"/>
  <c r="AL605" i="675"/>
  <c r="AM605" i="675" s="1"/>
  <c r="AD605" i="675"/>
  <c r="AE605" i="675" s="1"/>
  <c r="V605" i="675"/>
  <c r="W605" i="675" s="1"/>
  <c r="N605" i="675"/>
  <c r="O605" i="675" s="1"/>
  <c r="BJ604" i="675"/>
  <c r="BK604" i="675" s="1"/>
  <c r="BB604" i="675"/>
  <c r="BC604" i="675" s="1"/>
  <c r="AT604" i="675"/>
  <c r="AU604" i="675" s="1"/>
  <c r="AL604" i="675"/>
  <c r="AM604" i="675" s="1"/>
  <c r="AD604" i="675"/>
  <c r="AE604" i="675" s="1"/>
  <c r="V604" i="675"/>
  <c r="W604" i="675" s="1"/>
  <c r="N604" i="675"/>
  <c r="O604" i="675" s="1"/>
  <c r="BJ603" i="675"/>
  <c r="BK603" i="675" s="1"/>
  <c r="BB603" i="675"/>
  <c r="BC603" i="675" s="1"/>
  <c r="AT603" i="675"/>
  <c r="AU603" i="675" s="1"/>
  <c r="AL603" i="675"/>
  <c r="AM603" i="675" s="1"/>
  <c r="AD603" i="675"/>
  <c r="AE603" i="675" s="1"/>
  <c r="V603" i="675"/>
  <c r="W603" i="675" s="1"/>
  <c r="N603" i="675"/>
  <c r="O603" i="675" s="1"/>
  <c r="BJ602" i="675"/>
  <c r="BK602" i="675" s="1"/>
  <c r="BB602" i="675"/>
  <c r="BC602" i="675" s="1"/>
  <c r="AT602" i="675"/>
  <c r="AU602" i="675" s="1"/>
  <c r="AL602" i="675"/>
  <c r="AM602" i="675" s="1"/>
  <c r="AD602" i="675"/>
  <c r="AE602" i="675" s="1"/>
  <c r="V602" i="675"/>
  <c r="W602" i="675" s="1"/>
  <c r="N602" i="675"/>
  <c r="O602" i="675" s="1"/>
  <c r="BJ601" i="675"/>
  <c r="BK601" i="675" s="1"/>
  <c r="BB601" i="675"/>
  <c r="BC601" i="675" s="1"/>
  <c r="AT601" i="675"/>
  <c r="AU601" i="675" s="1"/>
  <c r="AL601" i="675"/>
  <c r="AM601" i="675" s="1"/>
  <c r="AD601" i="675"/>
  <c r="AE601" i="675" s="1"/>
  <c r="V601" i="675"/>
  <c r="W601" i="675" s="1"/>
  <c r="N601" i="675"/>
  <c r="O601" i="675" s="1"/>
  <c r="BJ600" i="675"/>
  <c r="BK600" i="675" s="1"/>
  <c r="BB600" i="675"/>
  <c r="BC600" i="675" s="1"/>
  <c r="AT600" i="675"/>
  <c r="AU600" i="675" s="1"/>
  <c r="AL600" i="675"/>
  <c r="AM600" i="675" s="1"/>
  <c r="AD600" i="675"/>
  <c r="AE600" i="675" s="1"/>
  <c r="V600" i="675"/>
  <c r="W600" i="675" s="1"/>
  <c r="N600" i="675"/>
  <c r="O600" i="675" s="1"/>
  <c r="BJ599" i="675"/>
  <c r="BK599" i="675" s="1"/>
  <c r="BB599" i="675"/>
  <c r="BC599" i="675" s="1"/>
  <c r="AT599" i="675"/>
  <c r="AU599" i="675" s="1"/>
  <c r="AL599" i="675"/>
  <c r="AM599" i="675" s="1"/>
  <c r="AD599" i="675"/>
  <c r="AE599" i="675" s="1"/>
  <c r="V599" i="675"/>
  <c r="W599" i="675" s="1"/>
  <c r="N599" i="675"/>
  <c r="O599" i="675" s="1"/>
  <c r="BJ598" i="675"/>
  <c r="BK598" i="675" s="1"/>
  <c r="BB598" i="675"/>
  <c r="BC598" i="675" s="1"/>
  <c r="AT598" i="675"/>
  <c r="AU598" i="675" s="1"/>
  <c r="AL598" i="675"/>
  <c r="AM598" i="675" s="1"/>
  <c r="AD598" i="675"/>
  <c r="AE598" i="675" s="1"/>
  <c r="V598" i="675"/>
  <c r="W598" i="675" s="1"/>
  <c r="N598" i="675"/>
  <c r="O598" i="675" s="1"/>
  <c r="BJ597" i="675"/>
  <c r="BK597" i="675" s="1"/>
  <c r="BB597" i="675"/>
  <c r="BC597" i="675" s="1"/>
  <c r="AT597" i="675"/>
  <c r="AU597" i="675" s="1"/>
  <c r="AL597" i="675"/>
  <c r="AM597" i="675" s="1"/>
  <c r="AD597" i="675"/>
  <c r="AE597" i="675" s="1"/>
  <c r="V597" i="675"/>
  <c r="W597" i="675" s="1"/>
  <c r="N597" i="675"/>
  <c r="O597" i="675" s="1"/>
  <c r="BJ596" i="675"/>
  <c r="BK596" i="675" s="1"/>
  <c r="BB596" i="675"/>
  <c r="BC596" i="675" s="1"/>
  <c r="AT596" i="675"/>
  <c r="AU596" i="675" s="1"/>
  <c r="AL596" i="675"/>
  <c r="AM596" i="675" s="1"/>
  <c r="AD596" i="675"/>
  <c r="AE596" i="675" s="1"/>
  <c r="V596" i="675"/>
  <c r="W596" i="675" s="1"/>
  <c r="N596" i="675"/>
  <c r="O596" i="675" s="1"/>
  <c r="BJ595" i="675"/>
  <c r="BK595" i="675" s="1"/>
  <c r="BB595" i="675"/>
  <c r="BC595" i="675" s="1"/>
  <c r="AT595" i="675"/>
  <c r="AU595" i="675" s="1"/>
  <c r="AL595" i="675"/>
  <c r="AM595" i="675" s="1"/>
  <c r="AD595" i="675"/>
  <c r="AE595" i="675" s="1"/>
  <c r="V595" i="675"/>
  <c r="W595" i="675" s="1"/>
  <c r="N595" i="675"/>
  <c r="O595" i="675" s="1"/>
  <c r="BJ594" i="675"/>
  <c r="BK594" i="675" s="1"/>
  <c r="BB594" i="675"/>
  <c r="BC594" i="675" s="1"/>
  <c r="AT594" i="675"/>
  <c r="AU594" i="675" s="1"/>
  <c r="AL594" i="675"/>
  <c r="AM594" i="675" s="1"/>
  <c r="AD594" i="675"/>
  <c r="AE594" i="675" s="1"/>
  <c r="V594" i="675"/>
  <c r="W594" i="675" s="1"/>
  <c r="N594" i="675"/>
  <c r="O594" i="675" s="1"/>
  <c r="BJ593" i="675"/>
  <c r="BK593" i="675" s="1"/>
  <c r="BB593" i="675"/>
  <c r="BC593" i="675" s="1"/>
  <c r="AT593" i="675"/>
  <c r="AU593" i="675" s="1"/>
  <c r="AL593" i="675"/>
  <c r="AM593" i="675" s="1"/>
  <c r="AD593" i="675"/>
  <c r="AE593" i="675" s="1"/>
  <c r="V593" i="675"/>
  <c r="W593" i="675" s="1"/>
  <c r="N593" i="675"/>
  <c r="O593" i="675" s="1"/>
  <c r="BJ592" i="675"/>
  <c r="BK592" i="675" s="1"/>
  <c r="BB592" i="675"/>
  <c r="BC592" i="675" s="1"/>
  <c r="AT592" i="675"/>
  <c r="AU592" i="675" s="1"/>
  <c r="AL592" i="675"/>
  <c r="AM592" i="675" s="1"/>
  <c r="AD592" i="675"/>
  <c r="AE592" i="675" s="1"/>
  <c r="V592" i="675"/>
  <c r="W592" i="675" s="1"/>
  <c r="N592" i="675"/>
  <c r="O592" i="675" s="1"/>
  <c r="BJ591" i="675"/>
  <c r="BK591" i="675" s="1"/>
  <c r="BB591" i="675"/>
  <c r="BC591" i="675" s="1"/>
  <c r="AT591" i="675"/>
  <c r="AU591" i="675" s="1"/>
  <c r="AL591" i="675"/>
  <c r="AM591" i="675" s="1"/>
  <c r="AD591" i="675"/>
  <c r="AE591" i="675" s="1"/>
  <c r="V591" i="675"/>
  <c r="W591" i="675" s="1"/>
  <c r="N591" i="675"/>
  <c r="O591" i="675" s="1"/>
  <c r="BJ590" i="675"/>
  <c r="BK590" i="675" s="1"/>
  <c r="BB590" i="675"/>
  <c r="BC590" i="675" s="1"/>
  <c r="AT590" i="675"/>
  <c r="AU590" i="675" s="1"/>
  <c r="AL590" i="675"/>
  <c r="AM590" i="675" s="1"/>
  <c r="AD590" i="675"/>
  <c r="AE590" i="675" s="1"/>
  <c r="V590" i="675"/>
  <c r="W590" i="675" s="1"/>
  <c r="N590" i="675"/>
  <c r="O590" i="675" s="1"/>
  <c r="BJ589" i="675"/>
  <c r="BK589" i="675" s="1"/>
  <c r="BB589" i="675"/>
  <c r="BC589" i="675" s="1"/>
  <c r="AT589" i="675"/>
  <c r="AU589" i="675" s="1"/>
  <c r="AL589" i="675"/>
  <c r="AM589" i="675" s="1"/>
  <c r="AD589" i="675"/>
  <c r="AE589" i="675" s="1"/>
  <c r="V589" i="675"/>
  <c r="W589" i="675" s="1"/>
  <c r="N589" i="675"/>
  <c r="O589" i="675" s="1"/>
  <c r="BJ588" i="675"/>
  <c r="BK588" i="675" s="1"/>
  <c r="BB588" i="675"/>
  <c r="BC588" i="675" s="1"/>
  <c r="AT588" i="675"/>
  <c r="AU588" i="675" s="1"/>
  <c r="AL588" i="675"/>
  <c r="AM588" i="675" s="1"/>
  <c r="AD588" i="675"/>
  <c r="AE588" i="675" s="1"/>
  <c r="V588" i="675"/>
  <c r="W588" i="675" s="1"/>
  <c r="N588" i="675"/>
  <c r="O588" i="675" s="1"/>
  <c r="BJ587" i="675"/>
  <c r="BK587" i="675" s="1"/>
  <c r="BA587" i="675"/>
  <c r="BA701" i="675" s="1"/>
  <c r="BA794" i="675" s="1"/>
  <c r="AZ587" i="675"/>
  <c r="AZ701" i="675" s="1"/>
  <c r="AZ794" i="675" s="1"/>
  <c r="AY587" i="675"/>
  <c r="AY701" i="675" s="1"/>
  <c r="AY794" i="675" s="1"/>
  <c r="AX587" i="675"/>
  <c r="AX701" i="675" s="1"/>
  <c r="AX794" i="675" s="1"/>
  <c r="AW587" i="675"/>
  <c r="AV587" i="675"/>
  <c r="AV701" i="675" s="1"/>
  <c r="AV794" i="675" s="1"/>
  <c r="AT587" i="675"/>
  <c r="AU587" i="675" s="1"/>
  <c r="AL587" i="675"/>
  <c r="AM587" i="675" s="1"/>
  <c r="AD587" i="675"/>
  <c r="AE587" i="675" s="1"/>
  <c r="V587" i="675"/>
  <c r="W587" i="675" s="1"/>
  <c r="N587" i="675"/>
  <c r="O587" i="675" s="1"/>
  <c r="BJ586" i="675"/>
  <c r="BK586" i="675" s="1"/>
  <c r="BB586" i="675"/>
  <c r="BC586" i="675" s="1"/>
  <c r="AT586" i="675"/>
  <c r="AU586" i="675" s="1"/>
  <c r="AL586" i="675"/>
  <c r="AM586" i="675" s="1"/>
  <c r="AD586" i="675"/>
  <c r="AE586" i="675" s="1"/>
  <c r="V586" i="675"/>
  <c r="W586" i="675" s="1"/>
  <c r="N586" i="675"/>
  <c r="O586" i="675" s="1"/>
  <c r="BJ585" i="675"/>
  <c r="BK585" i="675" s="1"/>
  <c r="BB585" i="675"/>
  <c r="BC585" i="675" s="1"/>
  <c r="AT585" i="675"/>
  <c r="AU585" i="675" s="1"/>
  <c r="AL585" i="675"/>
  <c r="AM585" i="675" s="1"/>
  <c r="AD585" i="675"/>
  <c r="AE585" i="675" s="1"/>
  <c r="V585" i="675"/>
  <c r="W585" i="675" s="1"/>
  <c r="N585" i="675"/>
  <c r="O585" i="675" s="1"/>
  <c r="BJ584" i="675"/>
  <c r="BK584" i="675" s="1"/>
  <c r="BB584" i="675"/>
  <c r="BC584" i="675" s="1"/>
  <c r="AT584" i="675"/>
  <c r="AU584" i="675" s="1"/>
  <c r="AL584" i="675"/>
  <c r="AM584" i="675" s="1"/>
  <c r="AD584" i="675"/>
  <c r="AE584" i="675" s="1"/>
  <c r="V584" i="675"/>
  <c r="W584" i="675" s="1"/>
  <c r="N584" i="675"/>
  <c r="O584" i="675" s="1"/>
  <c r="BJ583" i="675"/>
  <c r="BK583" i="675" s="1"/>
  <c r="BB583" i="675"/>
  <c r="BC583" i="675" s="1"/>
  <c r="AT583" i="675"/>
  <c r="AU583" i="675" s="1"/>
  <c r="AL583" i="675"/>
  <c r="AM583" i="675" s="1"/>
  <c r="AD583" i="675"/>
  <c r="AE583" i="675" s="1"/>
  <c r="V583" i="675"/>
  <c r="W583" i="675" s="1"/>
  <c r="N583" i="675"/>
  <c r="O583" i="675" s="1"/>
  <c r="BJ582" i="675"/>
  <c r="BK582" i="675" s="1"/>
  <c r="BB582" i="675"/>
  <c r="BC582" i="675" s="1"/>
  <c r="AT582" i="675"/>
  <c r="AU582" i="675" s="1"/>
  <c r="AL582" i="675"/>
  <c r="AM582" i="675" s="1"/>
  <c r="AD582" i="675"/>
  <c r="AE582" i="675" s="1"/>
  <c r="V582" i="675"/>
  <c r="W582" i="675" s="1"/>
  <c r="N582" i="675"/>
  <c r="O582" i="675" s="1"/>
  <c r="BJ581" i="675"/>
  <c r="BK581" i="675" s="1"/>
  <c r="BB581" i="675"/>
  <c r="BC581" i="675" s="1"/>
  <c r="AT581" i="675"/>
  <c r="AU581" i="675" s="1"/>
  <c r="AL581" i="675"/>
  <c r="AM581" i="675" s="1"/>
  <c r="AD581" i="675"/>
  <c r="AE581" i="675" s="1"/>
  <c r="V581" i="675"/>
  <c r="W581" i="675" s="1"/>
  <c r="N581" i="675"/>
  <c r="O581" i="675" s="1"/>
  <c r="BJ580" i="675"/>
  <c r="BK580" i="675" s="1"/>
  <c r="BB580" i="675"/>
  <c r="BC580" i="675" s="1"/>
  <c r="AT580" i="675"/>
  <c r="AU580" i="675" s="1"/>
  <c r="AL580" i="675"/>
  <c r="AM580" i="675" s="1"/>
  <c r="AD580" i="675"/>
  <c r="AE580" i="675" s="1"/>
  <c r="V580" i="675"/>
  <c r="W580" i="675" s="1"/>
  <c r="N580" i="675"/>
  <c r="O580" i="675" s="1"/>
  <c r="BJ579" i="675"/>
  <c r="BK579" i="675" s="1"/>
  <c r="BB579" i="675"/>
  <c r="BC579" i="675" s="1"/>
  <c r="AT579" i="675"/>
  <c r="AU579" i="675" s="1"/>
  <c r="AL579" i="675"/>
  <c r="AM579" i="675" s="1"/>
  <c r="AD579" i="675"/>
  <c r="AE579" i="675" s="1"/>
  <c r="V579" i="675"/>
  <c r="W579" i="675" s="1"/>
  <c r="N579" i="675"/>
  <c r="O579" i="675" s="1"/>
  <c r="BJ578" i="675"/>
  <c r="BK578" i="675" s="1"/>
  <c r="BB578" i="675"/>
  <c r="BC578" i="675" s="1"/>
  <c r="AT578" i="675"/>
  <c r="AU578" i="675" s="1"/>
  <c r="AL578" i="675"/>
  <c r="AM578" i="675" s="1"/>
  <c r="AD578" i="675"/>
  <c r="AE578" i="675" s="1"/>
  <c r="V578" i="675"/>
  <c r="W578" i="675" s="1"/>
  <c r="N578" i="675"/>
  <c r="O578" i="675" s="1"/>
  <c r="BJ577" i="675"/>
  <c r="BK577" i="675" s="1"/>
  <c r="BB577" i="675"/>
  <c r="BC577" i="675" s="1"/>
  <c r="AT577" i="675"/>
  <c r="AU577" i="675" s="1"/>
  <c r="AL577" i="675"/>
  <c r="AM577" i="675" s="1"/>
  <c r="AD577" i="675"/>
  <c r="AE577" i="675" s="1"/>
  <c r="V577" i="675"/>
  <c r="W577" i="675" s="1"/>
  <c r="N577" i="675"/>
  <c r="O577" i="675" s="1"/>
  <c r="BJ576" i="675"/>
  <c r="BK576" i="675" s="1"/>
  <c r="BB576" i="675"/>
  <c r="BC576" i="675" s="1"/>
  <c r="AT576" i="675"/>
  <c r="AU576" i="675" s="1"/>
  <c r="AL576" i="675"/>
  <c r="AM576" i="675" s="1"/>
  <c r="AD576" i="675"/>
  <c r="AE576" i="675" s="1"/>
  <c r="V576" i="675"/>
  <c r="W576" i="675" s="1"/>
  <c r="N576" i="675"/>
  <c r="O576" i="675" s="1"/>
  <c r="BJ575" i="675"/>
  <c r="BK575" i="675" s="1"/>
  <c r="BB575" i="675"/>
  <c r="BC575" i="675" s="1"/>
  <c r="AT575" i="675"/>
  <c r="AU575" i="675" s="1"/>
  <c r="AL575" i="675"/>
  <c r="AM575" i="675" s="1"/>
  <c r="AD575" i="675"/>
  <c r="AE575" i="675" s="1"/>
  <c r="V575" i="675"/>
  <c r="W575" i="675" s="1"/>
  <c r="N575" i="675"/>
  <c r="O575" i="675" s="1"/>
  <c r="BJ574" i="675"/>
  <c r="BK574" i="675" s="1"/>
  <c r="BB574" i="675"/>
  <c r="BC574" i="675" s="1"/>
  <c r="AT574" i="675"/>
  <c r="AU574" i="675" s="1"/>
  <c r="AL574" i="675"/>
  <c r="AM574" i="675" s="1"/>
  <c r="AD574" i="675"/>
  <c r="AE574" i="675" s="1"/>
  <c r="V574" i="675"/>
  <c r="W574" i="675" s="1"/>
  <c r="N574" i="675"/>
  <c r="O574" i="675" s="1"/>
  <c r="BJ573" i="675"/>
  <c r="BK573" i="675" s="1"/>
  <c r="BB573" i="675"/>
  <c r="BC573" i="675" s="1"/>
  <c r="AT573" i="675"/>
  <c r="AU573" i="675" s="1"/>
  <c r="AL573" i="675"/>
  <c r="AM573" i="675" s="1"/>
  <c r="AD573" i="675"/>
  <c r="AE573" i="675" s="1"/>
  <c r="V573" i="675"/>
  <c r="W573" i="675" s="1"/>
  <c r="N573" i="675"/>
  <c r="O573" i="675" s="1"/>
  <c r="BJ572" i="675"/>
  <c r="BK572" i="675" s="1"/>
  <c r="BB572" i="675"/>
  <c r="BC572" i="675" s="1"/>
  <c r="AT572" i="675"/>
  <c r="AU572" i="675" s="1"/>
  <c r="AL572" i="675"/>
  <c r="AM572" i="675" s="1"/>
  <c r="AD572" i="675"/>
  <c r="AE572" i="675" s="1"/>
  <c r="V572" i="675"/>
  <c r="W572" i="675" s="1"/>
  <c r="N572" i="675"/>
  <c r="O572" i="675" s="1"/>
  <c r="BJ571" i="675"/>
  <c r="BK571" i="675" s="1"/>
  <c r="BB571" i="675"/>
  <c r="BC571" i="675" s="1"/>
  <c r="AT571" i="675"/>
  <c r="AU571" i="675" s="1"/>
  <c r="AL571" i="675"/>
  <c r="AM571" i="675" s="1"/>
  <c r="AD571" i="675"/>
  <c r="AE571" i="675" s="1"/>
  <c r="V571" i="675"/>
  <c r="W571" i="675" s="1"/>
  <c r="N571" i="675"/>
  <c r="O571" i="675" s="1"/>
  <c r="BJ570" i="675"/>
  <c r="BK570" i="675" s="1"/>
  <c r="BB570" i="675"/>
  <c r="BC570" i="675" s="1"/>
  <c r="AT570" i="675"/>
  <c r="AU570" i="675" s="1"/>
  <c r="AL570" i="675"/>
  <c r="AM570" i="675" s="1"/>
  <c r="AD570" i="675"/>
  <c r="AE570" i="675" s="1"/>
  <c r="V570" i="675"/>
  <c r="W570" i="675" s="1"/>
  <c r="N570" i="675"/>
  <c r="O570" i="675" s="1"/>
  <c r="BJ569" i="675"/>
  <c r="BK569" i="675" s="1"/>
  <c r="BB569" i="675"/>
  <c r="BC569" i="675" s="1"/>
  <c r="AT569" i="675"/>
  <c r="AU569" i="675" s="1"/>
  <c r="AL569" i="675"/>
  <c r="AM569" i="675" s="1"/>
  <c r="AD569" i="675"/>
  <c r="AE569" i="675" s="1"/>
  <c r="V569" i="675"/>
  <c r="W569" i="675" s="1"/>
  <c r="N569" i="675"/>
  <c r="O569" i="675" s="1"/>
  <c r="BJ568" i="675"/>
  <c r="BK568" i="675" s="1"/>
  <c r="BB568" i="675"/>
  <c r="BC568" i="675" s="1"/>
  <c r="AT568" i="675"/>
  <c r="AU568" i="675" s="1"/>
  <c r="AL568" i="675"/>
  <c r="AM568" i="675" s="1"/>
  <c r="AD568" i="675"/>
  <c r="AE568" i="675" s="1"/>
  <c r="V568" i="675"/>
  <c r="W568" i="675" s="1"/>
  <c r="N568" i="675"/>
  <c r="O568" i="675" s="1"/>
  <c r="BJ567" i="675"/>
  <c r="BK567" i="675" s="1"/>
  <c r="BB567" i="675"/>
  <c r="BC567" i="675" s="1"/>
  <c r="AT567" i="675"/>
  <c r="AU567" i="675" s="1"/>
  <c r="AL567" i="675"/>
  <c r="AM567" i="675" s="1"/>
  <c r="AD567" i="675"/>
  <c r="AE567" i="675" s="1"/>
  <c r="V567" i="675"/>
  <c r="W567" i="675" s="1"/>
  <c r="N567" i="675"/>
  <c r="O567" i="675" s="1"/>
  <c r="BJ566" i="675"/>
  <c r="BK566" i="675" s="1"/>
  <c r="BB566" i="675"/>
  <c r="BC566" i="675" s="1"/>
  <c r="AT566" i="675"/>
  <c r="AU566" i="675" s="1"/>
  <c r="AL566" i="675"/>
  <c r="AM566" i="675" s="1"/>
  <c r="AD566" i="675"/>
  <c r="AE566" i="675" s="1"/>
  <c r="V566" i="675"/>
  <c r="W566" i="675" s="1"/>
  <c r="N566" i="675"/>
  <c r="O566" i="675" s="1"/>
  <c r="BJ565" i="675"/>
  <c r="BK565" i="675" s="1"/>
  <c r="BB565" i="675"/>
  <c r="BC565" i="675" s="1"/>
  <c r="AT565" i="675"/>
  <c r="AU565" i="675" s="1"/>
  <c r="AL565" i="675"/>
  <c r="AM565" i="675" s="1"/>
  <c r="AD565" i="675"/>
  <c r="AE565" i="675" s="1"/>
  <c r="V565" i="675"/>
  <c r="W565" i="675" s="1"/>
  <c r="N565" i="675"/>
  <c r="O565" i="675" s="1"/>
  <c r="BJ564" i="675"/>
  <c r="BK564" i="675" s="1"/>
  <c r="BB564" i="675"/>
  <c r="BC564" i="675" s="1"/>
  <c r="AT564" i="675"/>
  <c r="AU564" i="675" s="1"/>
  <c r="AL564" i="675"/>
  <c r="AM564" i="675" s="1"/>
  <c r="AD564" i="675"/>
  <c r="AE564" i="675" s="1"/>
  <c r="V564" i="675"/>
  <c r="W564" i="675" s="1"/>
  <c r="N564" i="675"/>
  <c r="O564" i="675" s="1"/>
  <c r="BJ563" i="675"/>
  <c r="BK563" i="675" s="1"/>
  <c r="BB563" i="675"/>
  <c r="BC563" i="675" s="1"/>
  <c r="AT563" i="675"/>
  <c r="AU563" i="675" s="1"/>
  <c r="AL563" i="675"/>
  <c r="AM563" i="675" s="1"/>
  <c r="AD563" i="675"/>
  <c r="AE563" i="675" s="1"/>
  <c r="V563" i="675"/>
  <c r="W563" i="675" s="1"/>
  <c r="N563" i="675"/>
  <c r="O563" i="675" s="1"/>
  <c r="BJ562" i="675"/>
  <c r="BK562" i="675" s="1"/>
  <c r="BB562" i="675"/>
  <c r="BC562" i="675" s="1"/>
  <c r="AT562" i="675"/>
  <c r="AU562" i="675" s="1"/>
  <c r="AL562" i="675"/>
  <c r="AM562" i="675" s="1"/>
  <c r="AD562" i="675"/>
  <c r="AE562" i="675" s="1"/>
  <c r="V562" i="675"/>
  <c r="W562" i="675" s="1"/>
  <c r="N562" i="675"/>
  <c r="O562" i="675" s="1"/>
  <c r="BJ561" i="675"/>
  <c r="BK561" i="675" s="1"/>
  <c r="BB561" i="675"/>
  <c r="BC561" i="675" s="1"/>
  <c r="AT561" i="675"/>
  <c r="AU561" i="675" s="1"/>
  <c r="AL561" i="675"/>
  <c r="AM561" i="675" s="1"/>
  <c r="AD561" i="675"/>
  <c r="AE561" i="675" s="1"/>
  <c r="V561" i="675"/>
  <c r="W561" i="675" s="1"/>
  <c r="N561" i="675"/>
  <c r="O561" i="675" s="1"/>
  <c r="BJ560" i="675"/>
  <c r="BK560" i="675" s="1"/>
  <c r="BB560" i="675"/>
  <c r="BC560" i="675" s="1"/>
  <c r="AT560" i="675"/>
  <c r="AU560" i="675" s="1"/>
  <c r="AL560" i="675"/>
  <c r="AM560" i="675" s="1"/>
  <c r="AD560" i="675"/>
  <c r="AE560" i="675" s="1"/>
  <c r="V560" i="675"/>
  <c r="W560" i="675" s="1"/>
  <c r="N560" i="675"/>
  <c r="O560" i="675" s="1"/>
  <c r="BJ559" i="675"/>
  <c r="BK559" i="675" s="1"/>
  <c r="BB559" i="675"/>
  <c r="BC559" i="675" s="1"/>
  <c r="AT559" i="675"/>
  <c r="AU559" i="675" s="1"/>
  <c r="AL559" i="675"/>
  <c r="AM559" i="675" s="1"/>
  <c r="AD559" i="675"/>
  <c r="AE559" i="675" s="1"/>
  <c r="V559" i="675"/>
  <c r="W559" i="675" s="1"/>
  <c r="N559" i="675"/>
  <c r="O559" i="675" s="1"/>
  <c r="BJ558" i="675"/>
  <c r="BK558" i="675" s="1"/>
  <c r="BB558" i="675"/>
  <c r="BC558" i="675" s="1"/>
  <c r="AT558" i="675"/>
  <c r="AU558" i="675" s="1"/>
  <c r="AL558" i="675"/>
  <c r="AM558" i="675" s="1"/>
  <c r="AD558" i="675"/>
  <c r="AE558" i="675" s="1"/>
  <c r="V558" i="675"/>
  <c r="W558" i="675" s="1"/>
  <c r="N558" i="675"/>
  <c r="O558" i="675" s="1"/>
  <c r="BJ557" i="675"/>
  <c r="BK557" i="675" s="1"/>
  <c r="BB557" i="675"/>
  <c r="BC557" i="675" s="1"/>
  <c r="AT557" i="675"/>
  <c r="AU557" i="675" s="1"/>
  <c r="AL557" i="675"/>
  <c r="AM557" i="675" s="1"/>
  <c r="AD557" i="675"/>
  <c r="AE557" i="675" s="1"/>
  <c r="V557" i="675"/>
  <c r="W557" i="675" s="1"/>
  <c r="N557" i="675"/>
  <c r="O557" i="675" s="1"/>
  <c r="BJ556" i="675"/>
  <c r="BK556" i="675" s="1"/>
  <c r="BB556" i="675"/>
  <c r="BC556" i="675" s="1"/>
  <c r="AT556" i="675"/>
  <c r="AU556" i="675" s="1"/>
  <c r="AL556" i="675"/>
  <c r="AM556" i="675" s="1"/>
  <c r="AD556" i="675"/>
  <c r="AE556" i="675" s="1"/>
  <c r="V556" i="675"/>
  <c r="W556" i="675" s="1"/>
  <c r="N556" i="675"/>
  <c r="O556" i="675" s="1"/>
  <c r="BJ555" i="675"/>
  <c r="BK555" i="675" s="1"/>
  <c r="BB555" i="675"/>
  <c r="BC555" i="675" s="1"/>
  <c r="AT555" i="675"/>
  <c r="AU555" i="675" s="1"/>
  <c r="AL555" i="675"/>
  <c r="AM555" i="675" s="1"/>
  <c r="AD555" i="675"/>
  <c r="AE555" i="675" s="1"/>
  <c r="V555" i="675"/>
  <c r="W555" i="675" s="1"/>
  <c r="N555" i="675"/>
  <c r="O555" i="675" s="1"/>
  <c r="BJ554" i="675"/>
  <c r="BK554" i="675" s="1"/>
  <c r="BB554" i="675"/>
  <c r="BC554" i="675" s="1"/>
  <c r="AT554" i="675"/>
  <c r="AU554" i="675" s="1"/>
  <c r="AL554" i="675"/>
  <c r="AM554" i="675" s="1"/>
  <c r="AD554" i="675"/>
  <c r="AE554" i="675" s="1"/>
  <c r="V554" i="675"/>
  <c r="W554" i="675" s="1"/>
  <c r="N554" i="675"/>
  <c r="O554" i="675" s="1"/>
  <c r="BJ553" i="675"/>
  <c r="BK553" i="675" s="1"/>
  <c r="BB553" i="675"/>
  <c r="BC553" i="675" s="1"/>
  <c r="AT553" i="675"/>
  <c r="AU553" i="675" s="1"/>
  <c r="AL553" i="675"/>
  <c r="AM553" i="675" s="1"/>
  <c r="AD553" i="675"/>
  <c r="AE553" i="675" s="1"/>
  <c r="V553" i="675"/>
  <c r="W553" i="675" s="1"/>
  <c r="N553" i="675"/>
  <c r="O553" i="675" s="1"/>
  <c r="BJ552" i="675"/>
  <c r="BK552" i="675" s="1"/>
  <c r="BB552" i="675"/>
  <c r="BC552" i="675" s="1"/>
  <c r="AT552" i="675"/>
  <c r="AU552" i="675" s="1"/>
  <c r="AL552" i="675"/>
  <c r="AM552" i="675" s="1"/>
  <c r="AD552" i="675"/>
  <c r="AE552" i="675" s="1"/>
  <c r="V552" i="675"/>
  <c r="W552" i="675" s="1"/>
  <c r="N552" i="675"/>
  <c r="O552" i="675" s="1"/>
  <c r="BJ551" i="675"/>
  <c r="BK551" i="675" s="1"/>
  <c r="BB551" i="675"/>
  <c r="BC551" i="675" s="1"/>
  <c r="AT551" i="675"/>
  <c r="AU551" i="675" s="1"/>
  <c r="AL551" i="675"/>
  <c r="AM551" i="675" s="1"/>
  <c r="AD551" i="675"/>
  <c r="AE551" i="675" s="1"/>
  <c r="V551" i="675"/>
  <c r="W551" i="675" s="1"/>
  <c r="N551" i="675"/>
  <c r="O551" i="675" s="1"/>
  <c r="BJ550" i="675"/>
  <c r="BK550" i="675" s="1"/>
  <c r="BB550" i="675"/>
  <c r="BC550" i="675" s="1"/>
  <c r="AT550" i="675"/>
  <c r="AU550" i="675" s="1"/>
  <c r="AL550" i="675"/>
  <c r="AM550" i="675" s="1"/>
  <c r="AD550" i="675"/>
  <c r="AE550" i="675" s="1"/>
  <c r="V550" i="675"/>
  <c r="W550" i="675" s="1"/>
  <c r="N550" i="675"/>
  <c r="O550" i="675" s="1"/>
  <c r="BJ549" i="675"/>
  <c r="BK549" i="675" s="1"/>
  <c r="BB549" i="675"/>
  <c r="BC549" i="675" s="1"/>
  <c r="AT549" i="675"/>
  <c r="AU549" i="675" s="1"/>
  <c r="AL549" i="675"/>
  <c r="AM549" i="675" s="1"/>
  <c r="AD549" i="675"/>
  <c r="AE549" i="675" s="1"/>
  <c r="V549" i="675"/>
  <c r="W549" i="675" s="1"/>
  <c r="N549" i="675"/>
  <c r="O549" i="675" s="1"/>
  <c r="BJ548" i="675"/>
  <c r="BK548" i="675" s="1"/>
  <c r="BB548" i="675"/>
  <c r="BC548" i="675" s="1"/>
  <c r="AT548" i="675"/>
  <c r="AU548" i="675" s="1"/>
  <c r="AL548" i="675"/>
  <c r="AM548" i="675" s="1"/>
  <c r="AD548" i="675"/>
  <c r="AE548" i="675" s="1"/>
  <c r="V548" i="675"/>
  <c r="W548" i="675" s="1"/>
  <c r="N548" i="675"/>
  <c r="O548" i="675" s="1"/>
  <c r="BJ547" i="675"/>
  <c r="BK547" i="675" s="1"/>
  <c r="BB547" i="675"/>
  <c r="BC547" i="675" s="1"/>
  <c r="AT547" i="675"/>
  <c r="AU547" i="675" s="1"/>
  <c r="AL547" i="675"/>
  <c r="AM547" i="675" s="1"/>
  <c r="AD547" i="675"/>
  <c r="AE547" i="675" s="1"/>
  <c r="V547" i="675"/>
  <c r="W547" i="675" s="1"/>
  <c r="N547" i="675"/>
  <c r="O547" i="675" s="1"/>
  <c r="BJ546" i="675"/>
  <c r="BK546" i="675" s="1"/>
  <c r="BB546" i="675"/>
  <c r="BC546" i="675" s="1"/>
  <c r="AT546" i="675"/>
  <c r="AU546" i="675" s="1"/>
  <c r="AL546" i="675"/>
  <c r="AM546" i="675" s="1"/>
  <c r="AD546" i="675"/>
  <c r="AE546" i="675" s="1"/>
  <c r="V546" i="675"/>
  <c r="W546" i="675" s="1"/>
  <c r="N546" i="675"/>
  <c r="O546" i="675" s="1"/>
  <c r="BJ545" i="675"/>
  <c r="BK545" i="675" s="1"/>
  <c r="BB545" i="675"/>
  <c r="BC545" i="675" s="1"/>
  <c r="AT545" i="675"/>
  <c r="AU545" i="675" s="1"/>
  <c r="AL545" i="675"/>
  <c r="AM545" i="675" s="1"/>
  <c r="AD545" i="675"/>
  <c r="AE545" i="675" s="1"/>
  <c r="V545" i="675"/>
  <c r="W545" i="675" s="1"/>
  <c r="N545" i="675"/>
  <c r="O545" i="675" s="1"/>
  <c r="BJ544" i="675"/>
  <c r="BK544" i="675" s="1"/>
  <c r="BB544" i="675"/>
  <c r="BC544" i="675" s="1"/>
  <c r="AT544" i="675"/>
  <c r="AU544" i="675" s="1"/>
  <c r="AL544" i="675"/>
  <c r="AM544" i="675" s="1"/>
  <c r="AD544" i="675"/>
  <c r="AE544" i="675" s="1"/>
  <c r="V544" i="675"/>
  <c r="W544" i="675" s="1"/>
  <c r="N544" i="675"/>
  <c r="O544" i="675" s="1"/>
  <c r="BJ543" i="675"/>
  <c r="BK543" i="675" s="1"/>
  <c r="BB543" i="675"/>
  <c r="BC543" i="675" s="1"/>
  <c r="AT543" i="675"/>
  <c r="AU543" i="675" s="1"/>
  <c r="AL543" i="675"/>
  <c r="AM543" i="675" s="1"/>
  <c r="AD543" i="675"/>
  <c r="AE543" i="675" s="1"/>
  <c r="V543" i="675"/>
  <c r="W543" i="675" s="1"/>
  <c r="N543" i="675"/>
  <c r="O543" i="675" s="1"/>
  <c r="BJ542" i="675"/>
  <c r="BK542" i="675" s="1"/>
  <c r="BB542" i="675"/>
  <c r="BC542" i="675" s="1"/>
  <c r="AT542" i="675"/>
  <c r="AU542" i="675" s="1"/>
  <c r="AL542" i="675"/>
  <c r="AM542" i="675" s="1"/>
  <c r="AD542" i="675"/>
  <c r="AE542" i="675" s="1"/>
  <c r="V542" i="675"/>
  <c r="W542" i="675" s="1"/>
  <c r="N542" i="675"/>
  <c r="O542" i="675" s="1"/>
  <c r="BJ541" i="675"/>
  <c r="BK541" i="675" s="1"/>
  <c r="BB541" i="675"/>
  <c r="BC541" i="675" s="1"/>
  <c r="AT541" i="675"/>
  <c r="AU541" i="675" s="1"/>
  <c r="AL541" i="675"/>
  <c r="AM541" i="675" s="1"/>
  <c r="AD541" i="675"/>
  <c r="AE541" i="675" s="1"/>
  <c r="V541" i="675"/>
  <c r="W541" i="675" s="1"/>
  <c r="N541" i="675"/>
  <c r="O541" i="675" s="1"/>
  <c r="BJ540" i="675"/>
  <c r="BK540" i="675" s="1"/>
  <c r="BB540" i="675"/>
  <c r="BC540" i="675" s="1"/>
  <c r="AT540" i="675"/>
  <c r="AU540" i="675" s="1"/>
  <c r="AL540" i="675"/>
  <c r="AM540" i="675" s="1"/>
  <c r="AD540" i="675"/>
  <c r="AE540" i="675" s="1"/>
  <c r="V540" i="675"/>
  <c r="W540" i="675" s="1"/>
  <c r="N540" i="675"/>
  <c r="O540" i="675" s="1"/>
  <c r="BJ539" i="675"/>
  <c r="BK539" i="675" s="1"/>
  <c r="BB539" i="675"/>
  <c r="BC539" i="675" s="1"/>
  <c r="AT539" i="675"/>
  <c r="AU539" i="675" s="1"/>
  <c r="AL539" i="675"/>
  <c r="AM539" i="675" s="1"/>
  <c r="AD539" i="675"/>
  <c r="AE539" i="675" s="1"/>
  <c r="V539" i="675"/>
  <c r="W539" i="675" s="1"/>
  <c r="N539" i="675"/>
  <c r="O539" i="675" s="1"/>
  <c r="BJ538" i="675"/>
  <c r="BK538" i="675" s="1"/>
  <c r="BB538" i="675"/>
  <c r="BC538" i="675" s="1"/>
  <c r="AT538" i="675"/>
  <c r="AU538" i="675" s="1"/>
  <c r="AL538" i="675"/>
  <c r="AM538" i="675" s="1"/>
  <c r="AD538" i="675"/>
  <c r="AE538" i="675" s="1"/>
  <c r="V538" i="675"/>
  <c r="W538" i="675" s="1"/>
  <c r="N538" i="675"/>
  <c r="O538" i="675" s="1"/>
  <c r="BJ537" i="675"/>
  <c r="BK537" i="675" s="1"/>
  <c r="BB537" i="675"/>
  <c r="BC537" i="675" s="1"/>
  <c r="AT537" i="675"/>
  <c r="AU537" i="675" s="1"/>
  <c r="AL537" i="675"/>
  <c r="AM537" i="675" s="1"/>
  <c r="AD537" i="675"/>
  <c r="AE537" i="675" s="1"/>
  <c r="V537" i="675"/>
  <c r="W537" i="675" s="1"/>
  <c r="N537" i="675"/>
  <c r="O537" i="675" s="1"/>
  <c r="BJ536" i="675"/>
  <c r="BK536" i="675" s="1"/>
  <c r="BB536" i="675"/>
  <c r="BC536" i="675" s="1"/>
  <c r="AT536" i="675"/>
  <c r="AU536" i="675" s="1"/>
  <c r="AL536" i="675"/>
  <c r="AM536" i="675" s="1"/>
  <c r="AD536" i="675"/>
  <c r="AE536" i="675" s="1"/>
  <c r="V536" i="675"/>
  <c r="W536" i="675" s="1"/>
  <c r="N536" i="675"/>
  <c r="O536" i="675" s="1"/>
  <c r="BJ535" i="675"/>
  <c r="BK535" i="675" s="1"/>
  <c r="BB535" i="675"/>
  <c r="BC535" i="675" s="1"/>
  <c r="AT535" i="675"/>
  <c r="AU535" i="675" s="1"/>
  <c r="AL535" i="675"/>
  <c r="AM535" i="675" s="1"/>
  <c r="AD535" i="675"/>
  <c r="AE535" i="675" s="1"/>
  <c r="V535" i="675"/>
  <c r="W535" i="675" s="1"/>
  <c r="N535" i="675"/>
  <c r="O535" i="675" s="1"/>
  <c r="BJ534" i="675"/>
  <c r="BK534" i="675" s="1"/>
  <c r="BB534" i="675"/>
  <c r="BC534" i="675" s="1"/>
  <c r="AT534" i="675"/>
  <c r="AU534" i="675" s="1"/>
  <c r="AL534" i="675"/>
  <c r="AM534" i="675" s="1"/>
  <c r="AD534" i="675"/>
  <c r="AE534" i="675" s="1"/>
  <c r="V534" i="675"/>
  <c r="W534" i="675" s="1"/>
  <c r="N534" i="675"/>
  <c r="O534" i="675" s="1"/>
  <c r="BJ533" i="675"/>
  <c r="BK533" i="675" s="1"/>
  <c r="BB533" i="675"/>
  <c r="BC533" i="675" s="1"/>
  <c r="AT533" i="675"/>
  <c r="AU533" i="675" s="1"/>
  <c r="AL533" i="675"/>
  <c r="AM533" i="675" s="1"/>
  <c r="AD533" i="675"/>
  <c r="AE533" i="675" s="1"/>
  <c r="V533" i="675"/>
  <c r="W533" i="675" s="1"/>
  <c r="N533" i="675"/>
  <c r="O533" i="675" s="1"/>
  <c r="BJ532" i="675"/>
  <c r="BK532" i="675" s="1"/>
  <c r="BB532" i="675"/>
  <c r="BC532" i="675" s="1"/>
  <c r="AT532" i="675"/>
  <c r="AU532" i="675" s="1"/>
  <c r="AL532" i="675"/>
  <c r="AM532" i="675" s="1"/>
  <c r="AD532" i="675"/>
  <c r="AE532" i="675" s="1"/>
  <c r="V532" i="675"/>
  <c r="W532" i="675" s="1"/>
  <c r="N532" i="675"/>
  <c r="O532" i="675" s="1"/>
  <c r="BJ531" i="675"/>
  <c r="BK531" i="675" s="1"/>
  <c r="BB531" i="675"/>
  <c r="BC531" i="675" s="1"/>
  <c r="AT531" i="675"/>
  <c r="AU531" i="675" s="1"/>
  <c r="AL531" i="675"/>
  <c r="AM531" i="675" s="1"/>
  <c r="AD531" i="675"/>
  <c r="AE531" i="675" s="1"/>
  <c r="V531" i="675"/>
  <c r="W531" i="675" s="1"/>
  <c r="N531" i="675"/>
  <c r="O531" i="675" s="1"/>
  <c r="BJ530" i="675"/>
  <c r="BK530" i="675" s="1"/>
  <c r="BB530" i="675"/>
  <c r="BC530" i="675" s="1"/>
  <c r="AT530" i="675"/>
  <c r="AU530" i="675" s="1"/>
  <c r="AL530" i="675"/>
  <c r="AM530" i="675" s="1"/>
  <c r="AD530" i="675"/>
  <c r="AE530" i="675" s="1"/>
  <c r="V530" i="675"/>
  <c r="W530" i="675" s="1"/>
  <c r="N530" i="675"/>
  <c r="O530" i="675" s="1"/>
  <c r="BJ529" i="675"/>
  <c r="BK529" i="675" s="1"/>
  <c r="BB529" i="675"/>
  <c r="BC529" i="675" s="1"/>
  <c r="AT529" i="675"/>
  <c r="AU529" i="675" s="1"/>
  <c r="AL529" i="675"/>
  <c r="AM529" i="675" s="1"/>
  <c r="AD529" i="675"/>
  <c r="AE529" i="675" s="1"/>
  <c r="V529" i="675"/>
  <c r="W529" i="675" s="1"/>
  <c r="N529" i="675"/>
  <c r="O529" i="675" s="1"/>
  <c r="BJ528" i="675"/>
  <c r="BK528" i="675" s="1"/>
  <c r="BB528" i="675"/>
  <c r="BC528" i="675" s="1"/>
  <c r="AT528" i="675"/>
  <c r="AU528" i="675" s="1"/>
  <c r="AL528" i="675"/>
  <c r="AM528" i="675" s="1"/>
  <c r="AD528" i="675"/>
  <c r="AE528" i="675" s="1"/>
  <c r="V528" i="675"/>
  <c r="W528" i="675" s="1"/>
  <c r="N528" i="675"/>
  <c r="O528" i="675" s="1"/>
  <c r="BJ527" i="675"/>
  <c r="BK527" i="675" s="1"/>
  <c r="BB527" i="675"/>
  <c r="BC527" i="675" s="1"/>
  <c r="AT527" i="675"/>
  <c r="AU527" i="675" s="1"/>
  <c r="AL527" i="675"/>
  <c r="AM527" i="675" s="1"/>
  <c r="AD527" i="675"/>
  <c r="AE527" i="675" s="1"/>
  <c r="V527" i="675"/>
  <c r="W527" i="675" s="1"/>
  <c r="N527" i="675"/>
  <c r="O527" i="675" s="1"/>
  <c r="BJ526" i="675"/>
  <c r="BK526" i="675" s="1"/>
  <c r="BB526" i="675"/>
  <c r="BC526" i="675" s="1"/>
  <c r="AT526" i="675"/>
  <c r="AU526" i="675" s="1"/>
  <c r="AL526" i="675"/>
  <c r="AM526" i="675" s="1"/>
  <c r="AD526" i="675"/>
  <c r="AE526" i="675" s="1"/>
  <c r="V526" i="675"/>
  <c r="W526" i="675" s="1"/>
  <c r="N526" i="675"/>
  <c r="O526" i="675" s="1"/>
  <c r="BJ525" i="675"/>
  <c r="BK525" i="675" s="1"/>
  <c r="BB525" i="675"/>
  <c r="BC525" i="675" s="1"/>
  <c r="AT525" i="675"/>
  <c r="AU525" i="675" s="1"/>
  <c r="AL525" i="675"/>
  <c r="AM525" i="675" s="1"/>
  <c r="AD525" i="675"/>
  <c r="AE525" i="675" s="1"/>
  <c r="V525" i="675"/>
  <c r="W525" i="675" s="1"/>
  <c r="N525" i="675"/>
  <c r="O525" i="675" s="1"/>
  <c r="BJ524" i="675"/>
  <c r="BK524" i="675" s="1"/>
  <c r="BB524" i="675"/>
  <c r="BC524" i="675" s="1"/>
  <c r="AT524" i="675"/>
  <c r="AU524" i="675" s="1"/>
  <c r="AL524" i="675"/>
  <c r="AM524" i="675" s="1"/>
  <c r="AD524" i="675"/>
  <c r="AE524" i="675" s="1"/>
  <c r="V524" i="675"/>
  <c r="W524" i="675" s="1"/>
  <c r="N524" i="675"/>
  <c r="O524" i="675" s="1"/>
  <c r="BJ523" i="675"/>
  <c r="BK523" i="675" s="1"/>
  <c r="BB523" i="675"/>
  <c r="BC523" i="675" s="1"/>
  <c r="AT523" i="675"/>
  <c r="AU523" i="675" s="1"/>
  <c r="AL523" i="675"/>
  <c r="AM523" i="675" s="1"/>
  <c r="AD523" i="675"/>
  <c r="AE523" i="675" s="1"/>
  <c r="V523" i="675"/>
  <c r="W523" i="675" s="1"/>
  <c r="N523" i="675"/>
  <c r="O523" i="675" s="1"/>
  <c r="BJ522" i="675"/>
  <c r="BK522" i="675" s="1"/>
  <c r="BB522" i="675"/>
  <c r="BC522" i="675" s="1"/>
  <c r="AT522" i="675"/>
  <c r="AU522" i="675" s="1"/>
  <c r="AL522" i="675"/>
  <c r="AM522" i="675" s="1"/>
  <c r="AD522" i="675"/>
  <c r="AE522" i="675" s="1"/>
  <c r="V522" i="675"/>
  <c r="W522" i="675" s="1"/>
  <c r="N522" i="675"/>
  <c r="O522" i="675" s="1"/>
  <c r="BJ521" i="675"/>
  <c r="BK521" i="675" s="1"/>
  <c r="BB521" i="675"/>
  <c r="BC521" i="675" s="1"/>
  <c r="AT521" i="675"/>
  <c r="AU521" i="675" s="1"/>
  <c r="AL521" i="675"/>
  <c r="AM521" i="675" s="1"/>
  <c r="AD521" i="675"/>
  <c r="AE521" i="675" s="1"/>
  <c r="V521" i="675"/>
  <c r="W521" i="675" s="1"/>
  <c r="N521" i="675"/>
  <c r="O521" i="675" s="1"/>
  <c r="BJ520" i="675"/>
  <c r="BK520" i="675" s="1"/>
  <c r="BB520" i="675"/>
  <c r="BC520" i="675" s="1"/>
  <c r="AT520" i="675"/>
  <c r="AU520" i="675" s="1"/>
  <c r="AL520" i="675"/>
  <c r="AM520" i="675" s="1"/>
  <c r="AD520" i="675"/>
  <c r="AE520" i="675" s="1"/>
  <c r="V520" i="675"/>
  <c r="W520" i="675" s="1"/>
  <c r="N520" i="675"/>
  <c r="O520" i="675" s="1"/>
  <c r="BJ519" i="675"/>
  <c r="BK519" i="675" s="1"/>
  <c r="BB519" i="675"/>
  <c r="BC519" i="675" s="1"/>
  <c r="AT519" i="675"/>
  <c r="AU519" i="675" s="1"/>
  <c r="AL519" i="675"/>
  <c r="AM519" i="675" s="1"/>
  <c r="AD519" i="675"/>
  <c r="AE519" i="675" s="1"/>
  <c r="V519" i="675"/>
  <c r="W519" i="675" s="1"/>
  <c r="N519" i="675"/>
  <c r="O519" i="675" s="1"/>
  <c r="BJ518" i="675"/>
  <c r="BK518" i="675" s="1"/>
  <c r="BB518" i="675"/>
  <c r="BC518" i="675" s="1"/>
  <c r="AT518" i="675"/>
  <c r="AU518" i="675" s="1"/>
  <c r="AL518" i="675"/>
  <c r="AM518" i="675" s="1"/>
  <c r="AD518" i="675"/>
  <c r="AE518" i="675" s="1"/>
  <c r="V518" i="675"/>
  <c r="W518" i="675" s="1"/>
  <c r="N518" i="675"/>
  <c r="O518" i="675" s="1"/>
  <c r="BJ517" i="675"/>
  <c r="BK517" i="675" s="1"/>
  <c r="BB517" i="675"/>
  <c r="BC517" i="675" s="1"/>
  <c r="AT517" i="675"/>
  <c r="AU517" i="675" s="1"/>
  <c r="AL517" i="675"/>
  <c r="AM517" i="675" s="1"/>
  <c r="AD517" i="675"/>
  <c r="AE517" i="675" s="1"/>
  <c r="V517" i="675"/>
  <c r="W517" i="675" s="1"/>
  <c r="N517" i="675"/>
  <c r="O517" i="675" s="1"/>
  <c r="BJ516" i="675"/>
  <c r="BK516" i="675" s="1"/>
  <c r="BB516" i="675"/>
  <c r="BC516" i="675" s="1"/>
  <c r="AT516" i="675"/>
  <c r="AU516" i="675" s="1"/>
  <c r="AL516" i="675"/>
  <c r="AM516" i="675" s="1"/>
  <c r="AD516" i="675"/>
  <c r="AE516" i="675" s="1"/>
  <c r="V516" i="675"/>
  <c r="W516" i="675" s="1"/>
  <c r="N516" i="675"/>
  <c r="O516" i="675" s="1"/>
  <c r="BJ515" i="675"/>
  <c r="BK515" i="675" s="1"/>
  <c r="BB515" i="675"/>
  <c r="BC515" i="675" s="1"/>
  <c r="AT515" i="675"/>
  <c r="AU515" i="675" s="1"/>
  <c r="AL515" i="675"/>
  <c r="AM515" i="675" s="1"/>
  <c r="AD515" i="675"/>
  <c r="AE515" i="675" s="1"/>
  <c r="V515" i="675"/>
  <c r="W515" i="675" s="1"/>
  <c r="N515" i="675"/>
  <c r="O515" i="675" s="1"/>
  <c r="BJ514" i="675"/>
  <c r="BK514" i="675" s="1"/>
  <c r="BB514" i="675"/>
  <c r="BC514" i="675" s="1"/>
  <c r="AT514" i="675"/>
  <c r="AU514" i="675" s="1"/>
  <c r="AL514" i="675"/>
  <c r="AM514" i="675" s="1"/>
  <c r="AD514" i="675"/>
  <c r="AE514" i="675" s="1"/>
  <c r="V514" i="675"/>
  <c r="W514" i="675" s="1"/>
  <c r="N514" i="675"/>
  <c r="O514" i="675" s="1"/>
  <c r="BJ513" i="675"/>
  <c r="BK513" i="675" s="1"/>
  <c r="BB513" i="675"/>
  <c r="BC513" i="675" s="1"/>
  <c r="AT513" i="675"/>
  <c r="AU513" i="675" s="1"/>
  <c r="AL513" i="675"/>
  <c r="AM513" i="675" s="1"/>
  <c r="AD513" i="675"/>
  <c r="AE513" i="675" s="1"/>
  <c r="V513" i="675"/>
  <c r="W513" i="675" s="1"/>
  <c r="N513" i="675"/>
  <c r="O513" i="675" s="1"/>
  <c r="BJ512" i="675"/>
  <c r="BK512" i="675" s="1"/>
  <c r="BB512" i="675"/>
  <c r="BC512" i="675" s="1"/>
  <c r="AT512" i="675"/>
  <c r="AU512" i="675" s="1"/>
  <c r="AL512" i="675"/>
  <c r="AM512" i="675" s="1"/>
  <c r="AD512" i="675"/>
  <c r="AE512" i="675" s="1"/>
  <c r="V512" i="675"/>
  <c r="W512" i="675" s="1"/>
  <c r="N512" i="675"/>
  <c r="O512" i="675" s="1"/>
  <c r="BJ511" i="675"/>
  <c r="BK511" i="675" s="1"/>
  <c r="BB511" i="675"/>
  <c r="BC511" i="675" s="1"/>
  <c r="AT511" i="675"/>
  <c r="AU511" i="675" s="1"/>
  <c r="AL511" i="675"/>
  <c r="AM511" i="675" s="1"/>
  <c r="AD511" i="675"/>
  <c r="AE511" i="675" s="1"/>
  <c r="V511" i="675"/>
  <c r="W511" i="675" s="1"/>
  <c r="N511" i="675"/>
  <c r="O511" i="675" s="1"/>
  <c r="BJ510" i="675"/>
  <c r="BK510" i="675" s="1"/>
  <c r="BB510" i="675"/>
  <c r="BC510" i="675" s="1"/>
  <c r="AT510" i="675"/>
  <c r="AU510" i="675" s="1"/>
  <c r="AL510" i="675"/>
  <c r="AM510" i="675" s="1"/>
  <c r="AD510" i="675"/>
  <c r="AE510" i="675" s="1"/>
  <c r="V510" i="675"/>
  <c r="W510" i="675" s="1"/>
  <c r="N510" i="675"/>
  <c r="O510" i="675" s="1"/>
  <c r="BJ509" i="675"/>
  <c r="BK509" i="675" s="1"/>
  <c r="BB509" i="675"/>
  <c r="BC509" i="675" s="1"/>
  <c r="AT509" i="675"/>
  <c r="AU509" i="675" s="1"/>
  <c r="AL509" i="675"/>
  <c r="AM509" i="675" s="1"/>
  <c r="AD509" i="675"/>
  <c r="AE509" i="675" s="1"/>
  <c r="V509" i="675"/>
  <c r="W509" i="675" s="1"/>
  <c r="N509" i="675"/>
  <c r="O509" i="675" s="1"/>
  <c r="BJ508" i="675"/>
  <c r="BK508" i="675" s="1"/>
  <c r="BB508" i="675"/>
  <c r="BC508" i="675" s="1"/>
  <c r="AT508" i="675"/>
  <c r="AU508" i="675" s="1"/>
  <c r="AL508" i="675"/>
  <c r="AM508" i="675" s="1"/>
  <c r="AD508" i="675"/>
  <c r="AE508" i="675" s="1"/>
  <c r="V508" i="675"/>
  <c r="W508" i="675" s="1"/>
  <c r="N508" i="675"/>
  <c r="O508" i="675" s="1"/>
  <c r="BJ507" i="675"/>
  <c r="BK507" i="675" s="1"/>
  <c r="BB507" i="675"/>
  <c r="BC507" i="675" s="1"/>
  <c r="AT507" i="675"/>
  <c r="AU507" i="675" s="1"/>
  <c r="AL507" i="675"/>
  <c r="AM507" i="675" s="1"/>
  <c r="AD507" i="675"/>
  <c r="AE507" i="675" s="1"/>
  <c r="V507" i="675"/>
  <c r="W507" i="675" s="1"/>
  <c r="N507" i="675"/>
  <c r="O507" i="675" s="1"/>
  <c r="BJ506" i="675"/>
  <c r="BK506" i="675" s="1"/>
  <c r="BB506" i="675"/>
  <c r="BC506" i="675" s="1"/>
  <c r="AT506" i="675"/>
  <c r="AU506" i="675" s="1"/>
  <c r="AL506" i="675"/>
  <c r="AM506" i="675" s="1"/>
  <c r="AD506" i="675"/>
  <c r="AE506" i="675" s="1"/>
  <c r="V506" i="675"/>
  <c r="W506" i="675" s="1"/>
  <c r="N506" i="675"/>
  <c r="O506" i="675" s="1"/>
  <c r="BJ505" i="675"/>
  <c r="BK505" i="675" s="1"/>
  <c r="BB505" i="675"/>
  <c r="BC505" i="675" s="1"/>
  <c r="AT505" i="675"/>
  <c r="AU505" i="675" s="1"/>
  <c r="AL505" i="675"/>
  <c r="AM505" i="675" s="1"/>
  <c r="AD505" i="675"/>
  <c r="AE505" i="675" s="1"/>
  <c r="V505" i="675"/>
  <c r="W505" i="675" s="1"/>
  <c r="N505" i="675"/>
  <c r="O505" i="675" s="1"/>
  <c r="BJ504" i="675"/>
  <c r="BK504" i="675" s="1"/>
  <c r="BB504" i="675"/>
  <c r="BC504" i="675" s="1"/>
  <c r="AT504" i="675"/>
  <c r="AU504" i="675" s="1"/>
  <c r="AL504" i="675"/>
  <c r="AM504" i="675" s="1"/>
  <c r="AD504" i="675"/>
  <c r="AE504" i="675" s="1"/>
  <c r="V504" i="675"/>
  <c r="W504" i="675" s="1"/>
  <c r="N504" i="675"/>
  <c r="O504" i="675" s="1"/>
  <c r="BJ503" i="675"/>
  <c r="BK503" i="675" s="1"/>
  <c r="BB503" i="675"/>
  <c r="BC503" i="675" s="1"/>
  <c r="AT503" i="675"/>
  <c r="AU503" i="675" s="1"/>
  <c r="AL503" i="675"/>
  <c r="AM503" i="675" s="1"/>
  <c r="AD503" i="675"/>
  <c r="AE503" i="675" s="1"/>
  <c r="V503" i="675"/>
  <c r="W503" i="675" s="1"/>
  <c r="N503" i="675"/>
  <c r="O503" i="675" s="1"/>
  <c r="BJ502" i="675"/>
  <c r="BK502" i="675" s="1"/>
  <c r="BB502" i="675"/>
  <c r="BC502" i="675" s="1"/>
  <c r="AT502" i="675"/>
  <c r="AU502" i="675" s="1"/>
  <c r="AL502" i="675"/>
  <c r="AM502" i="675" s="1"/>
  <c r="AD502" i="675"/>
  <c r="AE502" i="675" s="1"/>
  <c r="V502" i="675"/>
  <c r="W502" i="675" s="1"/>
  <c r="N502" i="675"/>
  <c r="O502" i="675" s="1"/>
  <c r="BJ501" i="675"/>
  <c r="BK501" i="675" s="1"/>
  <c r="BB501" i="675"/>
  <c r="BC501" i="675" s="1"/>
  <c r="AT501" i="675"/>
  <c r="AU501" i="675" s="1"/>
  <c r="AL501" i="675"/>
  <c r="AM501" i="675" s="1"/>
  <c r="AD501" i="675"/>
  <c r="AE501" i="675" s="1"/>
  <c r="V501" i="675"/>
  <c r="W501" i="675" s="1"/>
  <c r="N501" i="675"/>
  <c r="O501" i="675" s="1"/>
  <c r="BJ500" i="675"/>
  <c r="BK500" i="675" s="1"/>
  <c r="BB500" i="675"/>
  <c r="BC500" i="675" s="1"/>
  <c r="AT500" i="675"/>
  <c r="AU500" i="675" s="1"/>
  <c r="AL500" i="675"/>
  <c r="AM500" i="675" s="1"/>
  <c r="AD500" i="675"/>
  <c r="AE500" i="675" s="1"/>
  <c r="V500" i="675"/>
  <c r="W500" i="675" s="1"/>
  <c r="N500" i="675"/>
  <c r="O500" i="675" s="1"/>
  <c r="BJ499" i="675"/>
  <c r="BK499" i="675" s="1"/>
  <c r="BB499" i="675"/>
  <c r="BC499" i="675" s="1"/>
  <c r="AT499" i="675"/>
  <c r="AU499" i="675" s="1"/>
  <c r="AL499" i="675"/>
  <c r="AM499" i="675" s="1"/>
  <c r="AD499" i="675"/>
  <c r="AE499" i="675" s="1"/>
  <c r="V499" i="675"/>
  <c r="W499" i="675" s="1"/>
  <c r="N499" i="675"/>
  <c r="O499" i="675" s="1"/>
  <c r="BJ498" i="675"/>
  <c r="BK498" i="675" s="1"/>
  <c r="BB498" i="675"/>
  <c r="BC498" i="675" s="1"/>
  <c r="AT498" i="675"/>
  <c r="AU498" i="675" s="1"/>
  <c r="AL498" i="675"/>
  <c r="AM498" i="675" s="1"/>
  <c r="AD498" i="675"/>
  <c r="AE498" i="675" s="1"/>
  <c r="V498" i="675"/>
  <c r="W498" i="675" s="1"/>
  <c r="N498" i="675"/>
  <c r="O498" i="675" s="1"/>
  <c r="BJ497" i="675"/>
  <c r="BK497" i="675" s="1"/>
  <c r="BB497" i="675"/>
  <c r="BC497" i="675" s="1"/>
  <c r="AT497" i="675"/>
  <c r="AU497" i="675" s="1"/>
  <c r="AL497" i="675"/>
  <c r="AM497" i="675" s="1"/>
  <c r="AD497" i="675"/>
  <c r="AE497" i="675" s="1"/>
  <c r="V497" i="675"/>
  <c r="W497" i="675" s="1"/>
  <c r="N497" i="675"/>
  <c r="O497" i="675" s="1"/>
  <c r="BJ496" i="675"/>
  <c r="BK496" i="675" s="1"/>
  <c r="BB496" i="675"/>
  <c r="BC496" i="675" s="1"/>
  <c r="AT496" i="675"/>
  <c r="AU496" i="675" s="1"/>
  <c r="AL496" i="675"/>
  <c r="AM496" i="675" s="1"/>
  <c r="AD496" i="675"/>
  <c r="AE496" i="675" s="1"/>
  <c r="V496" i="675"/>
  <c r="W496" i="675" s="1"/>
  <c r="N496" i="675"/>
  <c r="O496" i="675" s="1"/>
  <c r="BJ495" i="675"/>
  <c r="BK495" i="675" s="1"/>
  <c r="BB495" i="675"/>
  <c r="BC495" i="675" s="1"/>
  <c r="AT495" i="675"/>
  <c r="AU495" i="675" s="1"/>
  <c r="AL495" i="675"/>
  <c r="AM495" i="675" s="1"/>
  <c r="AD495" i="675"/>
  <c r="AE495" i="675" s="1"/>
  <c r="V495" i="675"/>
  <c r="W495" i="675" s="1"/>
  <c r="N495" i="675"/>
  <c r="O495" i="675" s="1"/>
  <c r="BJ494" i="675"/>
  <c r="BK494" i="675" s="1"/>
  <c r="BB494" i="675"/>
  <c r="BC494" i="675" s="1"/>
  <c r="AT494" i="675"/>
  <c r="AU494" i="675" s="1"/>
  <c r="AL494" i="675"/>
  <c r="AM494" i="675" s="1"/>
  <c r="AD494" i="675"/>
  <c r="AE494" i="675" s="1"/>
  <c r="V494" i="675"/>
  <c r="W494" i="675" s="1"/>
  <c r="N494" i="675"/>
  <c r="O494" i="675" s="1"/>
  <c r="BJ493" i="675"/>
  <c r="BK493" i="675" s="1"/>
  <c r="BB493" i="675"/>
  <c r="BC493" i="675" s="1"/>
  <c r="AT493" i="675"/>
  <c r="AU493" i="675" s="1"/>
  <c r="AL493" i="675"/>
  <c r="AM493" i="675" s="1"/>
  <c r="AD493" i="675"/>
  <c r="AE493" i="675" s="1"/>
  <c r="V493" i="675"/>
  <c r="W493" i="675" s="1"/>
  <c r="N493" i="675"/>
  <c r="O493" i="675" s="1"/>
  <c r="BJ492" i="675"/>
  <c r="BK492" i="675" s="1"/>
  <c r="BB492" i="675"/>
  <c r="BC492" i="675" s="1"/>
  <c r="AT492" i="675"/>
  <c r="AU492" i="675" s="1"/>
  <c r="AL492" i="675"/>
  <c r="AM492" i="675" s="1"/>
  <c r="AD492" i="675"/>
  <c r="AE492" i="675" s="1"/>
  <c r="V492" i="675"/>
  <c r="W492" i="675" s="1"/>
  <c r="N492" i="675"/>
  <c r="O492" i="675" s="1"/>
  <c r="BJ491" i="675"/>
  <c r="BK491" i="675" s="1"/>
  <c r="BB491" i="675"/>
  <c r="BC491" i="675" s="1"/>
  <c r="AT491" i="675"/>
  <c r="AU491" i="675" s="1"/>
  <c r="AL491" i="675"/>
  <c r="AM491" i="675" s="1"/>
  <c r="AD491" i="675"/>
  <c r="AE491" i="675" s="1"/>
  <c r="V491" i="675"/>
  <c r="W491" i="675" s="1"/>
  <c r="N491" i="675"/>
  <c r="O491" i="675" s="1"/>
  <c r="BJ490" i="675"/>
  <c r="BK490" i="675" s="1"/>
  <c r="BB490" i="675"/>
  <c r="BC490" i="675" s="1"/>
  <c r="AT490" i="675"/>
  <c r="AU490" i="675" s="1"/>
  <c r="AL490" i="675"/>
  <c r="AM490" i="675" s="1"/>
  <c r="AD490" i="675"/>
  <c r="AE490" i="675" s="1"/>
  <c r="V490" i="675"/>
  <c r="W490" i="675" s="1"/>
  <c r="N490" i="675"/>
  <c r="O490" i="675" s="1"/>
  <c r="BJ489" i="675"/>
  <c r="BK489" i="675" s="1"/>
  <c r="BB489" i="675"/>
  <c r="BC489" i="675" s="1"/>
  <c r="AT489" i="675"/>
  <c r="AU489" i="675" s="1"/>
  <c r="AL489" i="675"/>
  <c r="AM489" i="675" s="1"/>
  <c r="AD489" i="675"/>
  <c r="AE489" i="675" s="1"/>
  <c r="V489" i="675"/>
  <c r="W489" i="675" s="1"/>
  <c r="N489" i="675"/>
  <c r="O489" i="675" s="1"/>
  <c r="BJ488" i="675"/>
  <c r="BK488" i="675" s="1"/>
  <c r="BB488" i="675"/>
  <c r="BC488" i="675" s="1"/>
  <c r="AT488" i="675"/>
  <c r="AU488" i="675" s="1"/>
  <c r="AL488" i="675"/>
  <c r="AM488" i="675" s="1"/>
  <c r="AD488" i="675"/>
  <c r="AE488" i="675" s="1"/>
  <c r="V488" i="675"/>
  <c r="W488" i="675" s="1"/>
  <c r="N488" i="675"/>
  <c r="O488" i="675" s="1"/>
  <c r="BJ487" i="675"/>
  <c r="BK487" i="675" s="1"/>
  <c r="BB487" i="675"/>
  <c r="BC487" i="675" s="1"/>
  <c r="AT487" i="675"/>
  <c r="AU487" i="675" s="1"/>
  <c r="AL487" i="675"/>
  <c r="AM487" i="675" s="1"/>
  <c r="AD487" i="675"/>
  <c r="AE487" i="675" s="1"/>
  <c r="V487" i="675"/>
  <c r="W487" i="675" s="1"/>
  <c r="N487" i="675"/>
  <c r="O487" i="675" s="1"/>
  <c r="BJ486" i="675"/>
  <c r="BK486" i="675" s="1"/>
  <c r="BB486" i="675"/>
  <c r="BC486" i="675" s="1"/>
  <c r="AT486" i="675"/>
  <c r="AU486" i="675" s="1"/>
  <c r="AL486" i="675"/>
  <c r="AM486" i="675" s="1"/>
  <c r="AD486" i="675"/>
  <c r="AE486" i="675" s="1"/>
  <c r="V486" i="675"/>
  <c r="W486" i="675" s="1"/>
  <c r="N486" i="675"/>
  <c r="O486" i="675" s="1"/>
  <c r="BJ485" i="675"/>
  <c r="BK485" i="675" s="1"/>
  <c r="BB485" i="675"/>
  <c r="BC485" i="675" s="1"/>
  <c r="AT485" i="675"/>
  <c r="AU485" i="675" s="1"/>
  <c r="AL485" i="675"/>
  <c r="AM485" i="675" s="1"/>
  <c r="AD485" i="675"/>
  <c r="AE485" i="675" s="1"/>
  <c r="V485" i="675"/>
  <c r="W485" i="675" s="1"/>
  <c r="N485" i="675"/>
  <c r="O485" i="675" s="1"/>
  <c r="BJ484" i="675"/>
  <c r="BK484" i="675" s="1"/>
  <c r="BB484" i="675"/>
  <c r="BC484" i="675" s="1"/>
  <c r="AT484" i="675"/>
  <c r="AU484" i="675" s="1"/>
  <c r="AL484" i="675"/>
  <c r="AM484" i="675" s="1"/>
  <c r="AD484" i="675"/>
  <c r="AE484" i="675" s="1"/>
  <c r="V484" i="675"/>
  <c r="W484" i="675" s="1"/>
  <c r="N484" i="675"/>
  <c r="O484" i="675" s="1"/>
  <c r="BJ483" i="675"/>
  <c r="BK483" i="675" s="1"/>
  <c r="BB483" i="675"/>
  <c r="BC483" i="675" s="1"/>
  <c r="AT483" i="675"/>
  <c r="AU483" i="675" s="1"/>
  <c r="AL483" i="675"/>
  <c r="AM483" i="675" s="1"/>
  <c r="AD483" i="675"/>
  <c r="AE483" i="675" s="1"/>
  <c r="V483" i="675"/>
  <c r="W483" i="675" s="1"/>
  <c r="N483" i="675"/>
  <c r="O483" i="675" s="1"/>
  <c r="BJ482" i="675"/>
  <c r="BK482" i="675" s="1"/>
  <c r="BB482" i="675"/>
  <c r="BC482" i="675" s="1"/>
  <c r="AT482" i="675"/>
  <c r="AU482" i="675" s="1"/>
  <c r="AL482" i="675"/>
  <c r="AM482" i="675" s="1"/>
  <c r="AD482" i="675"/>
  <c r="AE482" i="675" s="1"/>
  <c r="V482" i="675"/>
  <c r="W482" i="675" s="1"/>
  <c r="N482" i="675"/>
  <c r="O482" i="675" s="1"/>
  <c r="BJ481" i="675"/>
  <c r="BK481" i="675" s="1"/>
  <c r="BB481" i="675"/>
  <c r="BC481" i="675" s="1"/>
  <c r="AT481" i="675"/>
  <c r="AU481" i="675" s="1"/>
  <c r="AL481" i="675"/>
  <c r="AM481" i="675" s="1"/>
  <c r="AD481" i="675"/>
  <c r="AE481" i="675" s="1"/>
  <c r="V481" i="675"/>
  <c r="W481" i="675" s="1"/>
  <c r="N481" i="675"/>
  <c r="O481" i="675" s="1"/>
  <c r="BJ480" i="675"/>
  <c r="BK480" i="675" s="1"/>
  <c r="BB480" i="675"/>
  <c r="BC480" i="675" s="1"/>
  <c r="AT480" i="675"/>
  <c r="AU480" i="675" s="1"/>
  <c r="AL480" i="675"/>
  <c r="AM480" i="675" s="1"/>
  <c r="AD480" i="675"/>
  <c r="AE480" i="675" s="1"/>
  <c r="V480" i="675"/>
  <c r="W480" i="675" s="1"/>
  <c r="N480" i="675"/>
  <c r="O480" i="675" s="1"/>
  <c r="BJ479" i="675"/>
  <c r="BK479" i="675" s="1"/>
  <c r="BB479" i="675"/>
  <c r="BC479" i="675" s="1"/>
  <c r="AT479" i="675"/>
  <c r="AU479" i="675" s="1"/>
  <c r="AL479" i="675"/>
  <c r="AM479" i="675" s="1"/>
  <c r="AD479" i="675"/>
  <c r="AE479" i="675" s="1"/>
  <c r="V479" i="675"/>
  <c r="W479" i="675" s="1"/>
  <c r="N479" i="675"/>
  <c r="O479" i="675" s="1"/>
  <c r="BJ478" i="675"/>
  <c r="BK478" i="675" s="1"/>
  <c r="BB478" i="675"/>
  <c r="BC478" i="675" s="1"/>
  <c r="AT478" i="675"/>
  <c r="AU478" i="675" s="1"/>
  <c r="AL478" i="675"/>
  <c r="AM478" i="675" s="1"/>
  <c r="AD478" i="675"/>
  <c r="AE478" i="675" s="1"/>
  <c r="V478" i="675"/>
  <c r="W478" i="675" s="1"/>
  <c r="N478" i="675"/>
  <c r="O478" i="675" s="1"/>
  <c r="BJ477" i="675"/>
  <c r="BK477" i="675" s="1"/>
  <c r="BB477" i="675"/>
  <c r="BC477" i="675" s="1"/>
  <c r="AT477" i="675"/>
  <c r="AU477" i="675" s="1"/>
  <c r="AL477" i="675"/>
  <c r="AM477" i="675" s="1"/>
  <c r="AD477" i="675"/>
  <c r="AE477" i="675" s="1"/>
  <c r="V477" i="675"/>
  <c r="W477" i="675" s="1"/>
  <c r="N477" i="675"/>
  <c r="O477" i="675" s="1"/>
  <c r="BJ476" i="675"/>
  <c r="BK476" i="675" s="1"/>
  <c r="BB476" i="675"/>
  <c r="BC476" i="675" s="1"/>
  <c r="AT476" i="675"/>
  <c r="AU476" i="675" s="1"/>
  <c r="AL476" i="675"/>
  <c r="AM476" i="675" s="1"/>
  <c r="AD476" i="675"/>
  <c r="AE476" i="675" s="1"/>
  <c r="V476" i="675"/>
  <c r="W476" i="675" s="1"/>
  <c r="N476" i="675"/>
  <c r="O476" i="675" s="1"/>
  <c r="BJ475" i="675"/>
  <c r="BK475" i="675" s="1"/>
  <c r="BB475" i="675"/>
  <c r="BC475" i="675" s="1"/>
  <c r="AT475" i="675"/>
  <c r="AU475" i="675" s="1"/>
  <c r="AL475" i="675"/>
  <c r="AM475" i="675" s="1"/>
  <c r="AD475" i="675"/>
  <c r="AE475" i="675" s="1"/>
  <c r="V475" i="675"/>
  <c r="W475" i="675" s="1"/>
  <c r="N475" i="675"/>
  <c r="O475" i="675" s="1"/>
  <c r="BJ474" i="675"/>
  <c r="BK474" i="675" s="1"/>
  <c r="BB474" i="675"/>
  <c r="BC474" i="675" s="1"/>
  <c r="AT474" i="675"/>
  <c r="AU474" i="675" s="1"/>
  <c r="AL474" i="675"/>
  <c r="AM474" i="675" s="1"/>
  <c r="AD474" i="675"/>
  <c r="AE474" i="675" s="1"/>
  <c r="V474" i="675"/>
  <c r="W474" i="675" s="1"/>
  <c r="N474" i="675"/>
  <c r="O474" i="675" s="1"/>
  <c r="BJ473" i="675"/>
  <c r="BK473" i="675" s="1"/>
  <c r="BB473" i="675"/>
  <c r="BC473" i="675" s="1"/>
  <c r="AT473" i="675"/>
  <c r="AU473" i="675" s="1"/>
  <c r="AL473" i="675"/>
  <c r="AM473" i="675" s="1"/>
  <c r="AD473" i="675"/>
  <c r="AE473" i="675" s="1"/>
  <c r="V473" i="675"/>
  <c r="W473" i="675" s="1"/>
  <c r="N473" i="675"/>
  <c r="O473" i="675" s="1"/>
  <c r="BJ472" i="675"/>
  <c r="BK472" i="675" s="1"/>
  <c r="BB472" i="675"/>
  <c r="BC472" i="675" s="1"/>
  <c r="AT472" i="675"/>
  <c r="AU472" i="675" s="1"/>
  <c r="AL472" i="675"/>
  <c r="AM472" i="675" s="1"/>
  <c r="AD472" i="675"/>
  <c r="AE472" i="675" s="1"/>
  <c r="V472" i="675"/>
  <c r="W472" i="675" s="1"/>
  <c r="N472" i="675"/>
  <c r="O472" i="675" s="1"/>
  <c r="BJ471" i="675"/>
  <c r="BK471" i="675" s="1"/>
  <c r="BB471" i="675"/>
  <c r="BC471" i="675" s="1"/>
  <c r="AT471" i="675"/>
  <c r="AU471" i="675" s="1"/>
  <c r="AL471" i="675"/>
  <c r="AM471" i="675" s="1"/>
  <c r="AD471" i="675"/>
  <c r="AE471" i="675" s="1"/>
  <c r="V471" i="675"/>
  <c r="W471" i="675" s="1"/>
  <c r="N471" i="675"/>
  <c r="O471" i="675" s="1"/>
  <c r="BJ470" i="675"/>
  <c r="BK470" i="675" s="1"/>
  <c r="BB470" i="675"/>
  <c r="BC470" i="675" s="1"/>
  <c r="AT470" i="675"/>
  <c r="AU470" i="675" s="1"/>
  <c r="AL470" i="675"/>
  <c r="AM470" i="675" s="1"/>
  <c r="AD470" i="675"/>
  <c r="AE470" i="675" s="1"/>
  <c r="V470" i="675"/>
  <c r="W470" i="675" s="1"/>
  <c r="N470" i="675"/>
  <c r="O470" i="675" s="1"/>
  <c r="BJ469" i="675"/>
  <c r="BK469" i="675" s="1"/>
  <c r="BB469" i="675"/>
  <c r="BC469" i="675" s="1"/>
  <c r="AT469" i="675"/>
  <c r="AU469" i="675" s="1"/>
  <c r="AL469" i="675"/>
  <c r="AM469" i="675" s="1"/>
  <c r="AD469" i="675"/>
  <c r="AE469" i="675" s="1"/>
  <c r="V469" i="675"/>
  <c r="W469" i="675" s="1"/>
  <c r="N469" i="675"/>
  <c r="O469" i="675" s="1"/>
  <c r="BJ468" i="675"/>
  <c r="BK468" i="675" s="1"/>
  <c r="BB468" i="675"/>
  <c r="BC468" i="675" s="1"/>
  <c r="AT468" i="675"/>
  <c r="AU468" i="675" s="1"/>
  <c r="AL468" i="675"/>
  <c r="AM468" i="675" s="1"/>
  <c r="AD468" i="675"/>
  <c r="AE468" i="675" s="1"/>
  <c r="V468" i="675"/>
  <c r="W468" i="675" s="1"/>
  <c r="N468" i="675"/>
  <c r="O468" i="675" s="1"/>
  <c r="BJ467" i="675"/>
  <c r="BK467" i="675" s="1"/>
  <c r="BB467" i="675"/>
  <c r="BC467" i="675" s="1"/>
  <c r="AT467" i="675"/>
  <c r="AU467" i="675" s="1"/>
  <c r="AL467" i="675"/>
  <c r="AM467" i="675" s="1"/>
  <c r="AD467" i="675"/>
  <c r="AE467" i="675" s="1"/>
  <c r="V467" i="675"/>
  <c r="W467" i="675" s="1"/>
  <c r="N467" i="675"/>
  <c r="O467" i="675" s="1"/>
  <c r="BJ466" i="675"/>
  <c r="BK466" i="675" s="1"/>
  <c r="BB466" i="675"/>
  <c r="BC466" i="675" s="1"/>
  <c r="AT466" i="675"/>
  <c r="AU466" i="675" s="1"/>
  <c r="AL466" i="675"/>
  <c r="AM466" i="675" s="1"/>
  <c r="AD466" i="675"/>
  <c r="AE466" i="675" s="1"/>
  <c r="V466" i="675"/>
  <c r="W466" i="675" s="1"/>
  <c r="N466" i="675"/>
  <c r="O466" i="675" s="1"/>
  <c r="BJ465" i="675"/>
  <c r="BK465" i="675" s="1"/>
  <c r="BB465" i="675"/>
  <c r="BC465" i="675" s="1"/>
  <c r="AT465" i="675"/>
  <c r="AU465" i="675" s="1"/>
  <c r="AL465" i="675"/>
  <c r="AM465" i="675" s="1"/>
  <c r="AD465" i="675"/>
  <c r="AE465" i="675" s="1"/>
  <c r="V465" i="675"/>
  <c r="W465" i="675" s="1"/>
  <c r="N465" i="675"/>
  <c r="O465" i="675" s="1"/>
  <c r="BJ464" i="675"/>
  <c r="BK464" i="675" s="1"/>
  <c r="BB464" i="675"/>
  <c r="BC464" i="675" s="1"/>
  <c r="AT464" i="675"/>
  <c r="AU464" i="675" s="1"/>
  <c r="AL464" i="675"/>
  <c r="AM464" i="675" s="1"/>
  <c r="AD464" i="675"/>
  <c r="AE464" i="675" s="1"/>
  <c r="V464" i="675"/>
  <c r="W464" i="675" s="1"/>
  <c r="N464" i="675"/>
  <c r="O464" i="675" s="1"/>
  <c r="BJ463" i="675"/>
  <c r="BK463" i="675" s="1"/>
  <c r="BB463" i="675"/>
  <c r="BC463" i="675" s="1"/>
  <c r="AT463" i="675"/>
  <c r="AU463" i="675" s="1"/>
  <c r="AL463" i="675"/>
  <c r="AM463" i="675" s="1"/>
  <c r="AD463" i="675"/>
  <c r="AE463" i="675" s="1"/>
  <c r="V463" i="675"/>
  <c r="W463" i="675" s="1"/>
  <c r="N463" i="675"/>
  <c r="O463" i="675" s="1"/>
  <c r="BJ462" i="675"/>
  <c r="BK462" i="675" s="1"/>
  <c r="BB462" i="675"/>
  <c r="BC462" i="675" s="1"/>
  <c r="AT462" i="675"/>
  <c r="AU462" i="675" s="1"/>
  <c r="AL462" i="675"/>
  <c r="AM462" i="675" s="1"/>
  <c r="AD462" i="675"/>
  <c r="AE462" i="675" s="1"/>
  <c r="V462" i="675"/>
  <c r="W462" i="675" s="1"/>
  <c r="N462" i="675"/>
  <c r="O462" i="675" s="1"/>
  <c r="BJ461" i="675"/>
  <c r="BK461" i="675" s="1"/>
  <c r="BB461" i="675"/>
  <c r="BC461" i="675" s="1"/>
  <c r="AT461" i="675"/>
  <c r="AU461" i="675" s="1"/>
  <c r="AL461" i="675"/>
  <c r="AM461" i="675" s="1"/>
  <c r="AD461" i="675"/>
  <c r="AE461" i="675" s="1"/>
  <c r="V461" i="675"/>
  <c r="W461" i="675" s="1"/>
  <c r="N461" i="675"/>
  <c r="O461" i="675" s="1"/>
  <c r="BJ460" i="675"/>
  <c r="BK460" i="675" s="1"/>
  <c r="BB460" i="675"/>
  <c r="BC460" i="675" s="1"/>
  <c r="AT460" i="675"/>
  <c r="AU460" i="675" s="1"/>
  <c r="AL460" i="675"/>
  <c r="AM460" i="675" s="1"/>
  <c r="AD460" i="675"/>
  <c r="AE460" i="675" s="1"/>
  <c r="V460" i="675"/>
  <c r="W460" i="675" s="1"/>
  <c r="N460" i="675"/>
  <c r="O460" i="675" s="1"/>
  <c r="BJ459" i="675"/>
  <c r="BK459" i="675" s="1"/>
  <c r="BB459" i="675"/>
  <c r="BC459" i="675" s="1"/>
  <c r="AT459" i="675"/>
  <c r="AU459" i="675" s="1"/>
  <c r="AL459" i="675"/>
  <c r="AM459" i="675" s="1"/>
  <c r="AD459" i="675"/>
  <c r="AE459" i="675" s="1"/>
  <c r="V459" i="675"/>
  <c r="W459" i="675" s="1"/>
  <c r="N459" i="675"/>
  <c r="O459" i="675" s="1"/>
  <c r="BJ458" i="675"/>
  <c r="BK458" i="675" s="1"/>
  <c r="BB458" i="675"/>
  <c r="BC458" i="675" s="1"/>
  <c r="AT458" i="675"/>
  <c r="AU458" i="675" s="1"/>
  <c r="AL458" i="675"/>
  <c r="AM458" i="675" s="1"/>
  <c r="AD458" i="675"/>
  <c r="AE458" i="675" s="1"/>
  <c r="V458" i="675"/>
  <c r="W458" i="675" s="1"/>
  <c r="N458" i="675"/>
  <c r="O458" i="675" s="1"/>
  <c r="BJ457" i="675"/>
  <c r="BK457" i="675" s="1"/>
  <c r="BB457" i="675"/>
  <c r="BC457" i="675" s="1"/>
  <c r="AT457" i="675"/>
  <c r="AU457" i="675" s="1"/>
  <c r="AL457" i="675"/>
  <c r="AM457" i="675" s="1"/>
  <c r="AD457" i="675"/>
  <c r="AE457" i="675" s="1"/>
  <c r="V457" i="675"/>
  <c r="W457" i="675" s="1"/>
  <c r="N457" i="675"/>
  <c r="O457" i="675" s="1"/>
  <c r="BJ456" i="675"/>
  <c r="BK456" i="675" s="1"/>
  <c r="BB456" i="675"/>
  <c r="BC456" i="675" s="1"/>
  <c r="AT456" i="675"/>
  <c r="AU456" i="675" s="1"/>
  <c r="AL456" i="675"/>
  <c r="AM456" i="675" s="1"/>
  <c r="AD456" i="675"/>
  <c r="AE456" i="675" s="1"/>
  <c r="V456" i="675"/>
  <c r="W456" i="675" s="1"/>
  <c r="N456" i="675"/>
  <c r="O456" i="675" s="1"/>
  <c r="BJ455" i="675"/>
  <c r="BK455" i="675" s="1"/>
  <c r="BB455" i="675"/>
  <c r="BC455" i="675" s="1"/>
  <c r="AT455" i="675"/>
  <c r="AU455" i="675" s="1"/>
  <c r="AL455" i="675"/>
  <c r="AM455" i="675" s="1"/>
  <c r="AD455" i="675"/>
  <c r="AE455" i="675" s="1"/>
  <c r="V455" i="675"/>
  <c r="W455" i="675" s="1"/>
  <c r="N455" i="675"/>
  <c r="O455" i="675" s="1"/>
  <c r="BJ454" i="675"/>
  <c r="BK454" i="675" s="1"/>
  <c r="BB454" i="675"/>
  <c r="BC454" i="675" s="1"/>
  <c r="AT454" i="675"/>
  <c r="AU454" i="675" s="1"/>
  <c r="AL454" i="675"/>
  <c r="AM454" i="675" s="1"/>
  <c r="AD454" i="675"/>
  <c r="AE454" i="675" s="1"/>
  <c r="V454" i="675"/>
  <c r="W454" i="675" s="1"/>
  <c r="N454" i="675"/>
  <c r="O454" i="675" s="1"/>
  <c r="BJ453" i="675"/>
  <c r="BK453" i="675" s="1"/>
  <c r="BB453" i="675"/>
  <c r="BC453" i="675" s="1"/>
  <c r="AT453" i="675"/>
  <c r="AU453" i="675" s="1"/>
  <c r="AL453" i="675"/>
  <c r="AM453" i="675" s="1"/>
  <c r="AD453" i="675"/>
  <c r="AE453" i="675" s="1"/>
  <c r="V453" i="675"/>
  <c r="W453" i="675" s="1"/>
  <c r="N453" i="675"/>
  <c r="O453" i="675" s="1"/>
  <c r="BJ452" i="675"/>
  <c r="BK452" i="675" s="1"/>
  <c r="BB452" i="675"/>
  <c r="BC452" i="675" s="1"/>
  <c r="AT452" i="675"/>
  <c r="AU452" i="675" s="1"/>
  <c r="AL452" i="675"/>
  <c r="AM452" i="675" s="1"/>
  <c r="AD452" i="675"/>
  <c r="AE452" i="675" s="1"/>
  <c r="V452" i="675"/>
  <c r="W452" i="675" s="1"/>
  <c r="N452" i="675"/>
  <c r="O452" i="675" s="1"/>
  <c r="BJ451" i="675"/>
  <c r="BK451" i="675" s="1"/>
  <c r="BB451" i="675"/>
  <c r="BC451" i="675" s="1"/>
  <c r="AT451" i="675"/>
  <c r="AU451" i="675" s="1"/>
  <c r="AL451" i="675"/>
  <c r="AM451" i="675" s="1"/>
  <c r="AD451" i="675"/>
  <c r="AE451" i="675" s="1"/>
  <c r="V451" i="675"/>
  <c r="W451" i="675" s="1"/>
  <c r="N451" i="675"/>
  <c r="O451" i="675" s="1"/>
  <c r="BJ450" i="675"/>
  <c r="BK450" i="675" s="1"/>
  <c r="BB450" i="675"/>
  <c r="BC450" i="675" s="1"/>
  <c r="AT450" i="675"/>
  <c r="AU450" i="675" s="1"/>
  <c r="AL450" i="675"/>
  <c r="AM450" i="675" s="1"/>
  <c r="AD450" i="675"/>
  <c r="AE450" i="675" s="1"/>
  <c r="V450" i="675"/>
  <c r="W450" i="675" s="1"/>
  <c r="N450" i="675"/>
  <c r="O450" i="675" s="1"/>
  <c r="BJ449" i="675"/>
  <c r="BK449" i="675" s="1"/>
  <c r="BB449" i="675"/>
  <c r="BC449" i="675" s="1"/>
  <c r="AT449" i="675"/>
  <c r="AU449" i="675" s="1"/>
  <c r="AL449" i="675"/>
  <c r="AM449" i="675" s="1"/>
  <c r="AD449" i="675"/>
  <c r="AE449" i="675" s="1"/>
  <c r="V449" i="675"/>
  <c r="W449" i="675" s="1"/>
  <c r="N449" i="675"/>
  <c r="O449" i="675" s="1"/>
  <c r="BJ448" i="675"/>
  <c r="BK448" i="675" s="1"/>
  <c r="BB448" i="675"/>
  <c r="BC448" i="675" s="1"/>
  <c r="AT448" i="675"/>
  <c r="AU448" i="675" s="1"/>
  <c r="AL448" i="675"/>
  <c r="AM448" i="675" s="1"/>
  <c r="AD448" i="675"/>
  <c r="AE448" i="675" s="1"/>
  <c r="V448" i="675"/>
  <c r="W448" i="675" s="1"/>
  <c r="N448" i="675"/>
  <c r="O448" i="675" s="1"/>
  <c r="BJ447" i="675"/>
  <c r="BK447" i="675" s="1"/>
  <c r="BB447" i="675"/>
  <c r="BC447" i="675" s="1"/>
  <c r="AT447" i="675"/>
  <c r="AU447" i="675" s="1"/>
  <c r="AL447" i="675"/>
  <c r="AM447" i="675" s="1"/>
  <c r="AD447" i="675"/>
  <c r="AE447" i="675" s="1"/>
  <c r="V447" i="675"/>
  <c r="W447" i="675" s="1"/>
  <c r="N447" i="675"/>
  <c r="O447" i="675" s="1"/>
  <c r="BJ446" i="675"/>
  <c r="BK446" i="675" s="1"/>
  <c r="BB446" i="675"/>
  <c r="BC446" i="675" s="1"/>
  <c r="AT446" i="675"/>
  <c r="AU446" i="675" s="1"/>
  <c r="AL446" i="675"/>
  <c r="AM446" i="675" s="1"/>
  <c r="AD446" i="675"/>
  <c r="AE446" i="675" s="1"/>
  <c r="V446" i="675"/>
  <c r="W446" i="675" s="1"/>
  <c r="N446" i="675"/>
  <c r="O446" i="675" s="1"/>
  <c r="BJ445" i="675"/>
  <c r="BK445" i="675" s="1"/>
  <c r="BB445" i="675"/>
  <c r="BC445" i="675" s="1"/>
  <c r="AT445" i="675"/>
  <c r="AU445" i="675" s="1"/>
  <c r="AL445" i="675"/>
  <c r="AM445" i="675" s="1"/>
  <c r="AD445" i="675"/>
  <c r="AE445" i="675" s="1"/>
  <c r="V445" i="675"/>
  <c r="W445" i="675" s="1"/>
  <c r="N445" i="675"/>
  <c r="O445" i="675" s="1"/>
  <c r="BJ444" i="675"/>
  <c r="BK444" i="675" s="1"/>
  <c r="BB444" i="675"/>
  <c r="BC444" i="675" s="1"/>
  <c r="AT444" i="675"/>
  <c r="AU444" i="675" s="1"/>
  <c r="AL444" i="675"/>
  <c r="AM444" i="675" s="1"/>
  <c r="AD444" i="675"/>
  <c r="AE444" i="675" s="1"/>
  <c r="V444" i="675"/>
  <c r="W444" i="675" s="1"/>
  <c r="N444" i="675"/>
  <c r="O444" i="675" s="1"/>
  <c r="BJ443" i="675"/>
  <c r="BK443" i="675" s="1"/>
  <c r="BB443" i="675"/>
  <c r="BC443" i="675" s="1"/>
  <c r="AT443" i="675"/>
  <c r="AU443" i="675" s="1"/>
  <c r="AL443" i="675"/>
  <c r="AM443" i="675" s="1"/>
  <c r="AD443" i="675"/>
  <c r="AE443" i="675" s="1"/>
  <c r="V443" i="675"/>
  <c r="W443" i="675" s="1"/>
  <c r="N443" i="675"/>
  <c r="O443" i="675" s="1"/>
  <c r="BJ442" i="675"/>
  <c r="BK442" i="675" s="1"/>
  <c r="BB442" i="675"/>
  <c r="BC442" i="675" s="1"/>
  <c r="AT442" i="675"/>
  <c r="AU442" i="675" s="1"/>
  <c r="AL442" i="675"/>
  <c r="AM442" i="675" s="1"/>
  <c r="AD442" i="675"/>
  <c r="AE442" i="675" s="1"/>
  <c r="V442" i="675"/>
  <c r="W442" i="675" s="1"/>
  <c r="N442" i="675"/>
  <c r="O442" i="675" s="1"/>
  <c r="BJ441" i="675"/>
  <c r="BK441" i="675" s="1"/>
  <c r="BB441" i="675"/>
  <c r="BC441" i="675" s="1"/>
  <c r="AT441" i="675"/>
  <c r="AU441" i="675" s="1"/>
  <c r="AL441" i="675"/>
  <c r="AM441" i="675" s="1"/>
  <c r="AD441" i="675"/>
  <c r="AE441" i="675" s="1"/>
  <c r="V441" i="675"/>
  <c r="W441" i="675" s="1"/>
  <c r="N441" i="675"/>
  <c r="O441" i="675" s="1"/>
  <c r="BJ440" i="675"/>
  <c r="BK440" i="675" s="1"/>
  <c r="BB440" i="675"/>
  <c r="BC440" i="675" s="1"/>
  <c r="AT440" i="675"/>
  <c r="AU440" i="675" s="1"/>
  <c r="AL440" i="675"/>
  <c r="AM440" i="675" s="1"/>
  <c r="AD440" i="675"/>
  <c r="AE440" i="675" s="1"/>
  <c r="V440" i="675"/>
  <c r="W440" i="675" s="1"/>
  <c r="N440" i="675"/>
  <c r="O440" i="675" s="1"/>
  <c r="BJ439" i="675"/>
  <c r="BK439" i="675" s="1"/>
  <c r="BB439" i="675"/>
  <c r="BC439" i="675" s="1"/>
  <c r="AT439" i="675"/>
  <c r="AU439" i="675" s="1"/>
  <c r="AL439" i="675"/>
  <c r="AM439" i="675" s="1"/>
  <c r="AD439" i="675"/>
  <c r="AE439" i="675" s="1"/>
  <c r="V439" i="675"/>
  <c r="W439" i="675" s="1"/>
  <c r="N439" i="675"/>
  <c r="O439" i="675" s="1"/>
  <c r="BJ438" i="675"/>
  <c r="BK438" i="675" s="1"/>
  <c r="BB438" i="675"/>
  <c r="BC438" i="675" s="1"/>
  <c r="AT438" i="675"/>
  <c r="AU438" i="675" s="1"/>
  <c r="AL438" i="675"/>
  <c r="AM438" i="675" s="1"/>
  <c r="AD438" i="675"/>
  <c r="AE438" i="675" s="1"/>
  <c r="V438" i="675"/>
  <c r="W438" i="675" s="1"/>
  <c r="N438" i="675"/>
  <c r="O438" i="675" s="1"/>
  <c r="BJ437" i="675"/>
  <c r="BK437" i="675" s="1"/>
  <c r="BB437" i="675"/>
  <c r="BC437" i="675" s="1"/>
  <c r="AT437" i="675"/>
  <c r="AU437" i="675" s="1"/>
  <c r="AL437" i="675"/>
  <c r="AM437" i="675" s="1"/>
  <c r="AD437" i="675"/>
  <c r="AE437" i="675" s="1"/>
  <c r="V437" i="675"/>
  <c r="W437" i="675" s="1"/>
  <c r="N437" i="675"/>
  <c r="O437" i="675" s="1"/>
  <c r="BJ436" i="675"/>
  <c r="BK436" i="675" s="1"/>
  <c r="BB436" i="675"/>
  <c r="BC436" i="675" s="1"/>
  <c r="AT436" i="675"/>
  <c r="AU436" i="675" s="1"/>
  <c r="AL436" i="675"/>
  <c r="AM436" i="675" s="1"/>
  <c r="AD436" i="675"/>
  <c r="AE436" i="675" s="1"/>
  <c r="V436" i="675"/>
  <c r="W436" i="675" s="1"/>
  <c r="N436" i="675"/>
  <c r="O436" i="675" s="1"/>
  <c r="BJ435" i="675"/>
  <c r="BK435" i="675" s="1"/>
  <c r="BB435" i="675"/>
  <c r="BC435" i="675" s="1"/>
  <c r="AT435" i="675"/>
  <c r="AU435" i="675" s="1"/>
  <c r="AL435" i="675"/>
  <c r="AM435" i="675" s="1"/>
  <c r="AD435" i="675"/>
  <c r="AE435" i="675" s="1"/>
  <c r="V435" i="675"/>
  <c r="W435" i="675" s="1"/>
  <c r="N435" i="675"/>
  <c r="O435" i="675" s="1"/>
  <c r="BJ434" i="675"/>
  <c r="BK434" i="675" s="1"/>
  <c r="BB434" i="675"/>
  <c r="BC434" i="675" s="1"/>
  <c r="AT434" i="675"/>
  <c r="AU434" i="675" s="1"/>
  <c r="AL434" i="675"/>
  <c r="AM434" i="675" s="1"/>
  <c r="AD434" i="675"/>
  <c r="AE434" i="675" s="1"/>
  <c r="V434" i="675"/>
  <c r="W434" i="675" s="1"/>
  <c r="N434" i="675"/>
  <c r="O434" i="675" s="1"/>
  <c r="BJ433" i="675"/>
  <c r="BK433" i="675" s="1"/>
  <c r="BB433" i="675"/>
  <c r="BC433" i="675" s="1"/>
  <c r="AT433" i="675"/>
  <c r="AU433" i="675" s="1"/>
  <c r="AL433" i="675"/>
  <c r="AM433" i="675" s="1"/>
  <c r="AD433" i="675"/>
  <c r="AE433" i="675" s="1"/>
  <c r="V433" i="675"/>
  <c r="W433" i="675" s="1"/>
  <c r="N433" i="675"/>
  <c r="O433" i="675" s="1"/>
  <c r="BJ432" i="675"/>
  <c r="BK432" i="675" s="1"/>
  <c r="BB432" i="675"/>
  <c r="BC432" i="675" s="1"/>
  <c r="AT432" i="675"/>
  <c r="AU432" i="675" s="1"/>
  <c r="AL432" i="675"/>
  <c r="AM432" i="675" s="1"/>
  <c r="AD432" i="675"/>
  <c r="AE432" i="675" s="1"/>
  <c r="V432" i="675"/>
  <c r="W432" i="675" s="1"/>
  <c r="N432" i="675"/>
  <c r="O432" i="675" s="1"/>
  <c r="BJ431" i="675"/>
  <c r="BK431" i="675" s="1"/>
  <c r="BB431" i="675"/>
  <c r="BC431" i="675" s="1"/>
  <c r="AT431" i="675"/>
  <c r="AU431" i="675" s="1"/>
  <c r="AL431" i="675"/>
  <c r="AM431" i="675" s="1"/>
  <c r="AD431" i="675"/>
  <c r="AE431" i="675" s="1"/>
  <c r="V431" i="675"/>
  <c r="W431" i="675" s="1"/>
  <c r="N431" i="675"/>
  <c r="O431" i="675" s="1"/>
  <c r="BJ430" i="675"/>
  <c r="BK430" i="675" s="1"/>
  <c r="BB430" i="675"/>
  <c r="BC430" i="675" s="1"/>
  <c r="AT430" i="675"/>
  <c r="AU430" i="675" s="1"/>
  <c r="AL430" i="675"/>
  <c r="AM430" i="675" s="1"/>
  <c r="AD430" i="675"/>
  <c r="AE430" i="675" s="1"/>
  <c r="V430" i="675"/>
  <c r="W430" i="675" s="1"/>
  <c r="N430" i="675"/>
  <c r="O430" i="675" s="1"/>
  <c r="BJ429" i="675"/>
  <c r="BK429" i="675" s="1"/>
  <c r="BB429" i="675"/>
  <c r="BC429" i="675" s="1"/>
  <c r="AT429" i="675"/>
  <c r="AU429" i="675" s="1"/>
  <c r="AL429" i="675"/>
  <c r="AM429" i="675" s="1"/>
  <c r="AD429" i="675"/>
  <c r="AE429" i="675" s="1"/>
  <c r="V429" i="675"/>
  <c r="W429" i="675" s="1"/>
  <c r="N429" i="675"/>
  <c r="O429" i="675" s="1"/>
  <c r="BJ428" i="675"/>
  <c r="BK428" i="675" s="1"/>
  <c r="BB428" i="675"/>
  <c r="BC428" i="675" s="1"/>
  <c r="AT428" i="675"/>
  <c r="AU428" i="675" s="1"/>
  <c r="AL428" i="675"/>
  <c r="AM428" i="675" s="1"/>
  <c r="AD428" i="675"/>
  <c r="AE428" i="675" s="1"/>
  <c r="V428" i="675"/>
  <c r="W428" i="675" s="1"/>
  <c r="N428" i="675"/>
  <c r="O428" i="675" s="1"/>
  <c r="BJ427" i="675"/>
  <c r="BK427" i="675" s="1"/>
  <c r="BB427" i="675"/>
  <c r="BC427" i="675" s="1"/>
  <c r="AT427" i="675"/>
  <c r="AU427" i="675" s="1"/>
  <c r="AL427" i="675"/>
  <c r="AM427" i="675" s="1"/>
  <c r="AD427" i="675"/>
  <c r="AE427" i="675" s="1"/>
  <c r="V427" i="675"/>
  <c r="W427" i="675" s="1"/>
  <c r="N427" i="675"/>
  <c r="O427" i="675" s="1"/>
  <c r="BJ426" i="675"/>
  <c r="BK426" i="675" s="1"/>
  <c r="BB426" i="675"/>
  <c r="BC426" i="675" s="1"/>
  <c r="AT426" i="675"/>
  <c r="AU426" i="675" s="1"/>
  <c r="AL426" i="675"/>
  <c r="AM426" i="675" s="1"/>
  <c r="AD426" i="675"/>
  <c r="AE426" i="675" s="1"/>
  <c r="V426" i="675"/>
  <c r="W426" i="675" s="1"/>
  <c r="N426" i="675"/>
  <c r="O426" i="675" s="1"/>
  <c r="BJ425" i="675"/>
  <c r="BK425" i="675" s="1"/>
  <c r="BB425" i="675"/>
  <c r="BC425" i="675" s="1"/>
  <c r="AT425" i="675"/>
  <c r="AU425" i="675" s="1"/>
  <c r="AL425" i="675"/>
  <c r="AM425" i="675" s="1"/>
  <c r="AD425" i="675"/>
  <c r="AE425" i="675" s="1"/>
  <c r="V425" i="675"/>
  <c r="W425" i="675" s="1"/>
  <c r="N425" i="675"/>
  <c r="O425" i="675" s="1"/>
  <c r="BJ424" i="675"/>
  <c r="BK424" i="675" s="1"/>
  <c r="BB424" i="675"/>
  <c r="BC424" i="675" s="1"/>
  <c r="AT424" i="675"/>
  <c r="AU424" i="675" s="1"/>
  <c r="AL424" i="675"/>
  <c r="AM424" i="675" s="1"/>
  <c r="AD424" i="675"/>
  <c r="AE424" i="675" s="1"/>
  <c r="V424" i="675"/>
  <c r="W424" i="675" s="1"/>
  <c r="N424" i="675"/>
  <c r="O424" i="675" s="1"/>
  <c r="BJ423" i="675"/>
  <c r="BK423" i="675" s="1"/>
  <c r="BB423" i="675"/>
  <c r="BC423" i="675" s="1"/>
  <c r="AT423" i="675"/>
  <c r="AU423" i="675" s="1"/>
  <c r="AL423" i="675"/>
  <c r="AM423" i="675" s="1"/>
  <c r="AD423" i="675"/>
  <c r="AE423" i="675" s="1"/>
  <c r="V423" i="675"/>
  <c r="W423" i="675" s="1"/>
  <c r="N423" i="675"/>
  <c r="O423" i="675" s="1"/>
  <c r="BJ422" i="675"/>
  <c r="BK422" i="675" s="1"/>
  <c r="BB422" i="675"/>
  <c r="BC422" i="675" s="1"/>
  <c r="AT422" i="675"/>
  <c r="AU422" i="675" s="1"/>
  <c r="AL422" i="675"/>
  <c r="AM422" i="675" s="1"/>
  <c r="AD422" i="675"/>
  <c r="AE422" i="675" s="1"/>
  <c r="V422" i="675"/>
  <c r="W422" i="675" s="1"/>
  <c r="N422" i="675"/>
  <c r="O422" i="675" s="1"/>
  <c r="BJ421" i="675"/>
  <c r="BK421" i="675" s="1"/>
  <c r="BB421" i="675"/>
  <c r="BC421" i="675" s="1"/>
  <c r="AT421" i="675"/>
  <c r="AU421" i="675" s="1"/>
  <c r="AL421" i="675"/>
  <c r="AM421" i="675" s="1"/>
  <c r="AD421" i="675"/>
  <c r="AE421" i="675" s="1"/>
  <c r="V421" i="675"/>
  <c r="W421" i="675" s="1"/>
  <c r="N421" i="675"/>
  <c r="O421" i="675" s="1"/>
  <c r="BJ420" i="675"/>
  <c r="BK420" i="675" s="1"/>
  <c r="BB420" i="675"/>
  <c r="BC420" i="675" s="1"/>
  <c r="AT420" i="675"/>
  <c r="AU420" i="675" s="1"/>
  <c r="AL420" i="675"/>
  <c r="AM420" i="675" s="1"/>
  <c r="AD420" i="675"/>
  <c r="AE420" i="675" s="1"/>
  <c r="V420" i="675"/>
  <c r="W420" i="675" s="1"/>
  <c r="N420" i="675"/>
  <c r="O420" i="675" s="1"/>
  <c r="BJ419" i="675"/>
  <c r="BK419" i="675" s="1"/>
  <c r="BB419" i="675"/>
  <c r="BC419" i="675" s="1"/>
  <c r="AT419" i="675"/>
  <c r="AU419" i="675" s="1"/>
  <c r="AL419" i="675"/>
  <c r="AM419" i="675" s="1"/>
  <c r="AD419" i="675"/>
  <c r="AE419" i="675" s="1"/>
  <c r="V419" i="675"/>
  <c r="W419" i="675" s="1"/>
  <c r="N419" i="675"/>
  <c r="O419" i="675" s="1"/>
  <c r="BJ418" i="675"/>
  <c r="BK418" i="675" s="1"/>
  <c r="BB418" i="675"/>
  <c r="BC418" i="675" s="1"/>
  <c r="AT418" i="675"/>
  <c r="AU418" i="675" s="1"/>
  <c r="AL418" i="675"/>
  <c r="AM418" i="675" s="1"/>
  <c r="AD418" i="675"/>
  <c r="AE418" i="675" s="1"/>
  <c r="V418" i="675"/>
  <c r="W418" i="675" s="1"/>
  <c r="N418" i="675"/>
  <c r="O418" i="675" s="1"/>
  <c r="BJ417" i="675"/>
  <c r="BK417" i="675" s="1"/>
  <c r="BB417" i="675"/>
  <c r="BC417" i="675" s="1"/>
  <c r="AT417" i="675"/>
  <c r="AU417" i="675" s="1"/>
  <c r="AL417" i="675"/>
  <c r="AM417" i="675" s="1"/>
  <c r="AD417" i="675"/>
  <c r="AE417" i="675" s="1"/>
  <c r="V417" i="675"/>
  <c r="W417" i="675" s="1"/>
  <c r="N417" i="675"/>
  <c r="O417" i="675" s="1"/>
  <c r="BJ416" i="675"/>
  <c r="BK416" i="675" s="1"/>
  <c r="BB416" i="675"/>
  <c r="BC416" i="675" s="1"/>
  <c r="AT416" i="675"/>
  <c r="AU416" i="675" s="1"/>
  <c r="AL416" i="675"/>
  <c r="AM416" i="675" s="1"/>
  <c r="AD416" i="675"/>
  <c r="AE416" i="675" s="1"/>
  <c r="V416" i="675"/>
  <c r="W416" i="675" s="1"/>
  <c r="N416" i="675"/>
  <c r="O416" i="675" s="1"/>
  <c r="BJ415" i="675"/>
  <c r="BK415" i="675" s="1"/>
  <c r="BB415" i="675"/>
  <c r="BC415" i="675" s="1"/>
  <c r="AT415" i="675"/>
  <c r="AU415" i="675" s="1"/>
  <c r="AL415" i="675"/>
  <c r="AM415" i="675" s="1"/>
  <c r="AD415" i="675"/>
  <c r="AE415" i="675" s="1"/>
  <c r="V415" i="675"/>
  <c r="W415" i="675" s="1"/>
  <c r="N415" i="675"/>
  <c r="O415" i="675" s="1"/>
  <c r="BJ414" i="675"/>
  <c r="BK414" i="675" s="1"/>
  <c r="BB414" i="675"/>
  <c r="BC414" i="675" s="1"/>
  <c r="AT414" i="675"/>
  <c r="AU414" i="675" s="1"/>
  <c r="AL414" i="675"/>
  <c r="AM414" i="675" s="1"/>
  <c r="AD414" i="675"/>
  <c r="AE414" i="675" s="1"/>
  <c r="V414" i="675"/>
  <c r="W414" i="675" s="1"/>
  <c r="N414" i="675"/>
  <c r="O414" i="675" s="1"/>
  <c r="BJ413" i="675"/>
  <c r="BK413" i="675" s="1"/>
  <c r="BB413" i="675"/>
  <c r="BC413" i="675" s="1"/>
  <c r="AT413" i="675"/>
  <c r="AU413" i="675" s="1"/>
  <c r="AL413" i="675"/>
  <c r="AM413" i="675" s="1"/>
  <c r="AD413" i="675"/>
  <c r="AE413" i="675" s="1"/>
  <c r="V413" i="675"/>
  <c r="W413" i="675" s="1"/>
  <c r="N413" i="675"/>
  <c r="O413" i="675" s="1"/>
  <c r="BJ412" i="675"/>
  <c r="BK412" i="675" s="1"/>
  <c r="BB412" i="675"/>
  <c r="BC412" i="675" s="1"/>
  <c r="AT412" i="675"/>
  <c r="AU412" i="675" s="1"/>
  <c r="AL412" i="675"/>
  <c r="AM412" i="675" s="1"/>
  <c r="AD412" i="675"/>
  <c r="AE412" i="675" s="1"/>
  <c r="V412" i="675"/>
  <c r="W412" i="675" s="1"/>
  <c r="N412" i="675"/>
  <c r="O412" i="675" s="1"/>
  <c r="BJ411" i="675"/>
  <c r="BK411" i="675" s="1"/>
  <c r="BB411" i="675"/>
  <c r="BC411" i="675" s="1"/>
  <c r="AT411" i="675"/>
  <c r="AU411" i="675" s="1"/>
  <c r="AL411" i="675"/>
  <c r="AM411" i="675" s="1"/>
  <c r="AD411" i="675"/>
  <c r="AE411" i="675" s="1"/>
  <c r="V411" i="675"/>
  <c r="W411" i="675" s="1"/>
  <c r="N411" i="675"/>
  <c r="O411" i="675" s="1"/>
  <c r="BJ410" i="675"/>
  <c r="BK410" i="675" s="1"/>
  <c r="BB410" i="675"/>
  <c r="BC410" i="675" s="1"/>
  <c r="AT410" i="675"/>
  <c r="AU410" i="675" s="1"/>
  <c r="AL410" i="675"/>
  <c r="AM410" i="675" s="1"/>
  <c r="AD410" i="675"/>
  <c r="AE410" i="675" s="1"/>
  <c r="V410" i="675"/>
  <c r="W410" i="675" s="1"/>
  <c r="N410" i="675"/>
  <c r="O410" i="675" s="1"/>
  <c r="BJ409" i="675"/>
  <c r="BK409" i="675" s="1"/>
  <c r="BB409" i="675"/>
  <c r="BC409" i="675" s="1"/>
  <c r="AT409" i="675"/>
  <c r="AU409" i="675" s="1"/>
  <c r="AL409" i="675"/>
  <c r="AM409" i="675" s="1"/>
  <c r="AD409" i="675"/>
  <c r="AE409" i="675" s="1"/>
  <c r="V409" i="675"/>
  <c r="W409" i="675" s="1"/>
  <c r="N409" i="675"/>
  <c r="O409" i="675" s="1"/>
  <c r="BJ408" i="675"/>
  <c r="BK408" i="675" s="1"/>
  <c r="BB408" i="675"/>
  <c r="BC408" i="675" s="1"/>
  <c r="AT408" i="675"/>
  <c r="AU408" i="675" s="1"/>
  <c r="AL408" i="675"/>
  <c r="AM408" i="675" s="1"/>
  <c r="AD408" i="675"/>
  <c r="AE408" i="675" s="1"/>
  <c r="V408" i="675"/>
  <c r="W408" i="675" s="1"/>
  <c r="N408" i="675"/>
  <c r="O408" i="675" s="1"/>
  <c r="BJ407" i="675"/>
  <c r="BK407" i="675" s="1"/>
  <c r="BB407" i="675"/>
  <c r="BC407" i="675" s="1"/>
  <c r="AT407" i="675"/>
  <c r="AU407" i="675" s="1"/>
  <c r="AL407" i="675"/>
  <c r="AM407" i="675" s="1"/>
  <c r="AD407" i="675"/>
  <c r="AE407" i="675" s="1"/>
  <c r="V407" i="675"/>
  <c r="W407" i="675" s="1"/>
  <c r="N407" i="675"/>
  <c r="O407" i="675" s="1"/>
  <c r="BJ406" i="675"/>
  <c r="BK406" i="675" s="1"/>
  <c r="BB406" i="675"/>
  <c r="BC406" i="675" s="1"/>
  <c r="AT406" i="675"/>
  <c r="AU406" i="675" s="1"/>
  <c r="AL406" i="675"/>
  <c r="AM406" i="675" s="1"/>
  <c r="AD406" i="675"/>
  <c r="AE406" i="675" s="1"/>
  <c r="V406" i="675"/>
  <c r="W406" i="675" s="1"/>
  <c r="N406" i="675"/>
  <c r="O406" i="675" s="1"/>
  <c r="BJ405" i="675"/>
  <c r="BK405" i="675" s="1"/>
  <c r="BB405" i="675"/>
  <c r="BC405" i="675" s="1"/>
  <c r="AT405" i="675"/>
  <c r="AU405" i="675" s="1"/>
  <c r="AL405" i="675"/>
  <c r="AM405" i="675" s="1"/>
  <c r="AD405" i="675"/>
  <c r="AE405" i="675" s="1"/>
  <c r="V405" i="675"/>
  <c r="W405" i="675" s="1"/>
  <c r="N405" i="675"/>
  <c r="O405" i="675" s="1"/>
  <c r="BJ404" i="675"/>
  <c r="BK404" i="675" s="1"/>
  <c r="BB404" i="675"/>
  <c r="BC404" i="675" s="1"/>
  <c r="AT404" i="675"/>
  <c r="AU404" i="675" s="1"/>
  <c r="AL404" i="675"/>
  <c r="AM404" i="675" s="1"/>
  <c r="AD404" i="675"/>
  <c r="AE404" i="675" s="1"/>
  <c r="V404" i="675"/>
  <c r="W404" i="675" s="1"/>
  <c r="N404" i="675"/>
  <c r="O404" i="675" s="1"/>
  <c r="BJ403" i="675"/>
  <c r="BK403" i="675" s="1"/>
  <c r="BB403" i="675"/>
  <c r="BC403" i="675" s="1"/>
  <c r="AT403" i="675"/>
  <c r="AU403" i="675" s="1"/>
  <c r="AL403" i="675"/>
  <c r="AM403" i="675" s="1"/>
  <c r="AD403" i="675"/>
  <c r="AE403" i="675" s="1"/>
  <c r="V403" i="675"/>
  <c r="W403" i="675" s="1"/>
  <c r="N403" i="675"/>
  <c r="O403" i="675" s="1"/>
  <c r="BJ402" i="675"/>
  <c r="BK402" i="675" s="1"/>
  <c r="BB402" i="675"/>
  <c r="BC402" i="675" s="1"/>
  <c r="AT402" i="675"/>
  <c r="AU402" i="675" s="1"/>
  <c r="AL402" i="675"/>
  <c r="AM402" i="675" s="1"/>
  <c r="AD402" i="675"/>
  <c r="AE402" i="675" s="1"/>
  <c r="V402" i="675"/>
  <c r="W402" i="675" s="1"/>
  <c r="N402" i="675"/>
  <c r="O402" i="675" s="1"/>
  <c r="BJ401" i="675"/>
  <c r="BK401" i="675" s="1"/>
  <c r="BB401" i="675"/>
  <c r="BC401" i="675" s="1"/>
  <c r="AT401" i="675"/>
  <c r="AU401" i="675" s="1"/>
  <c r="AL401" i="675"/>
  <c r="AM401" i="675" s="1"/>
  <c r="AD401" i="675"/>
  <c r="AE401" i="675" s="1"/>
  <c r="V401" i="675"/>
  <c r="W401" i="675" s="1"/>
  <c r="N401" i="675"/>
  <c r="O401" i="675" s="1"/>
  <c r="BJ400" i="675"/>
  <c r="BK400" i="675" s="1"/>
  <c r="BB400" i="675"/>
  <c r="BC400" i="675" s="1"/>
  <c r="AT400" i="675"/>
  <c r="AU400" i="675" s="1"/>
  <c r="AL400" i="675"/>
  <c r="AM400" i="675" s="1"/>
  <c r="AD400" i="675"/>
  <c r="AE400" i="675" s="1"/>
  <c r="V400" i="675"/>
  <c r="W400" i="675" s="1"/>
  <c r="N400" i="675"/>
  <c r="O400" i="675" s="1"/>
  <c r="BJ399" i="675"/>
  <c r="BK399" i="675" s="1"/>
  <c r="BB399" i="675"/>
  <c r="BC399" i="675" s="1"/>
  <c r="AT399" i="675"/>
  <c r="AU399" i="675" s="1"/>
  <c r="AL399" i="675"/>
  <c r="AM399" i="675" s="1"/>
  <c r="AD399" i="675"/>
  <c r="AE399" i="675" s="1"/>
  <c r="V399" i="675"/>
  <c r="W399" i="675" s="1"/>
  <c r="N399" i="675"/>
  <c r="O399" i="675" s="1"/>
  <c r="BJ398" i="675"/>
  <c r="BK398" i="675" s="1"/>
  <c r="BB398" i="675"/>
  <c r="BC398" i="675" s="1"/>
  <c r="AT398" i="675"/>
  <c r="AU398" i="675" s="1"/>
  <c r="AL398" i="675"/>
  <c r="AM398" i="675" s="1"/>
  <c r="AD398" i="675"/>
  <c r="AE398" i="675" s="1"/>
  <c r="V398" i="675"/>
  <c r="W398" i="675" s="1"/>
  <c r="N398" i="675"/>
  <c r="O398" i="675" s="1"/>
  <c r="BJ397" i="675"/>
  <c r="BK397" i="675" s="1"/>
  <c r="BB397" i="675"/>
  <c r="BC397" i="675" s="1"/>
  <c r="AT397" i="675"/>
  <c r="AU397" i="675" s="1"/>
  <c r="AL397" i="675"/>
  <c r="AM397" i="675" s="1"/>
  <c r="AD397" i="675"/>
  <c r="AE397" i="675" s="1"/>
  <c r="V397" i="675"/>
  <c r="W397" i="675" s="1"/>
  <c r="N397" i="675"/>
  <c r="O397" i="675" s="1"/>
  <c r="BJ396" i="675"/>
  <c r="BK396" i="675" s="1"/>
  <c r="BB396" i="675"/>
  <c r="BC396" i="675" s="1"/>
  <c r="AT396" i="675"/>
  <c r="AU396" i="675" s="1"/>
  <c r="AL396" i="675"/>
  <c r="AM396" i="675" s="1"/>
  <c r="AD396" i="675"/>
  <c r="AE396" i="675" s="1"/>
  <c r="V396" i="675"/>
  <c r="W396" i="675" s="1"/>
  <c r="N396" i="675"/>
  <c r="O396" i="675" s="1"/>
  <c r="BJ395" i="675"/>
  <c r="BK395" i="675" s="1"/>
  <c r="BB395" i="675"/>
  <c r="BC395" i="675" s="1"/>
  <c r="AT395" i="675"/>
  <c r="AU395" i="675" s="1"/>
  <c r="AL395" i="675"/>
  <c r="AM395" i="675" s="1"/>
  <c r="AD395" i="675"/>
  <c r="AE395" i="675" s="1"/>
  <c r="V395" i="675"/>
  <c r="W395" i="675" s="1"/>
  <c r="N395" i="675"/>
  <c r="O395" i="675" s="1"/>
  <c r="BJ394" i="675"/>
  <c r="BK394" i="675" s="1"/>
  <c r="BB394" i="675"/>
  <c r="BC394" i="675" s="1"/>
  <c r="AT394" i="675"/>
  <c r="AU394" i="675" s="1"/>
  <c r="AL394" i="675"/>
  <c r="AM394" i="675" s="1"/>
  <c r="AD394" i="675"/>
  <c r="AE394" i="675" s="1"/>
  <c r="V394" i="675"/>
  <c r="W394" i="675" s="1"/>
  <c r="N394" i="675"/>
  <c r="O394" i="675" s="1"/>
  <c r="BJ393" i="675"/>
  <c r="BK393" i="675" s="1"/>
  <c r="BB393" i="675"/>
  <c r="BC393" i="675" s="1"/>
  <c r="AT393" i="675"/>
  <c r="AU393" i="675" s="1"/>
  <c r="AL393" i="675"/>
  <c r="AM393" i="675" s="1"/>
  <c r="AD393" i="675"/>
  <c r="AE393" i="675" s="1"/>
  <c r="V393" i="675"/>
  <c r="W393" i="675" s="1"/>
  <c r="N393" i="675"/>
  <c r="O393" i="675" s="1"/>
  <c r="BJ392" i="675"/>
  <c r="BK392" i="675" s="1"/>
  <c r="BB392" i="675"/>
  <c r="BC392" i="675" s="1"/>
  <c r="AT392" i="675"/>
  <c r="AU392" i="675" s="1"/>
  <c r="AL392" i="675"/>
  <c r="AM392" i="675" s="1"/>
  <c r="AD392" i="675"/>
  <c r="AE392" i="675" s="1"/>
  <c r="V392" i="675"/>
  <c r="W392" i="675" s="1"/>
  <c r="N392" i="675"/>
  <c r="O392" i="675" s="1"/>
  <c r="BJ391" i="675"/>
  <c r="BK391" i="675" s="1"/>
  <c r="BB391" i="675"/>
  <c r="BC391" i="675" s="1"/>
  <c r="AT391" i="675"/>
  <c r="AU391" i="675" s="1"/>
  <c r="AL391" i="675"/>
  <c r="AM391" i="675" s="1"/>
  <c r="AD391" i="675"/>
  <c r="AE391" i="675" s="1"/>
  <c r="V391" i="675"/>
  <c r="W391" i="675" s="1"/>
  <c r="N391" i="675"/>
  <c r="O391" i="675" s="1"/>
  <c r="BJ390" i="675"/>
  <c r="BK390" i="675" s="1"/>
  <c r="BB390" i="675"/>
  <c r="BC390" i="675" s="1"/>
  <c r="AT390" i="675"/>
  <c r="AU390" i="675" s="1"/>
  <c r="AL390" i="675"/>
  <c r="AM390" i="675" s="1"/>
  <c r="AD390" i="675"/>
  <c r="AE390" i="675" s="1"/>
  <c r="V390" i="675"/>
  <c r="W390" i="675" s="1"/>
  <c r="N390" i="675"/>
  <c r="O390" i="675" s="1"/>
  <c r="BJ389" i="675"/>
  <c r="BK389" i="675" s="1"/>
  <c r="BB389" i="675"/>
  <c r="BC389" i="675" s="1"/>
  <c r="AT389" i="675"/>
  <c r="AU389" i="675" s="1"/>
  <c r="AL389" i="675"/>
  <c r="AM389" i="675" s="1"/>
  <c r="AD389" i="675"/>
  <c r="AE389" i="675" s="1"/>
  <c r="V389" i="675"/>
  <c r="W389" i="675" s="1"/>
  <c r="N389" i="675"/>
  <c r="O389" i="675" s="1"/>
  <c r="BJ388" i="675"/>
  <c r="BK388" i="675" s="1"/>
  <c r="BB388" i="675"/>
  <c r="BC388" i="675" s="1"/>
  <c r="AT388" i="675"/>
  <c r="AU388" i="675" s="1"/>
  <c r="AL388" i="675"/>
  <c r="AM388" i="675" s="1"/>
  <c r="AD388" i="675"/>
  <c r="AE388" i="675" s="1"/>
  <c r="V388" i="675"/>
  <c r="W388" i="675" s="1"/>
  <c r="N388" i="675"/>
  <c r="O388" i="675" s="1"/>
  <c r="BJ387" i="675"/>
  <c r="BK387" i="675" s="1"/>
  <c r="BB387" i="675"/>
  <c r="BC387" i="675" s="1"/>
  <c r="AT387" i="675"/>
  <c r="AU387" i="675" s="1"/>
  <c r="AL387" i="675"/>
  <c r="AM387" i="675" s="1"/>
  <c r="AD387" i="675"/>
  <c r="AE387" i="675" s="1"/>
  <c r="V387" i="675"/>
  <c r="W387" i="675" s="1"/>
  <c r="N387" i="675"/>
  <c r="O387" i="675" s="1"/>
  <c r="BJ386" i="675"/>
  <c r="BK386" i="675" s="1"/>
  <c r="BB386" i="675"/>
  <c r="BC386" i="675" s="1"/>
  <c r="AT386" i="675"/>
  <c r="AU386" i="675" s="1"/>
  <c r="AL386" i="675"/>
  <c r="AM386" i="675" s="1"/>
  <c r="AD386" i="675"/>
  <c r="AE386" i="675" s="1"/>
  <c r="V386" i="675"/>
  <c r="W386" i="675" s="1"/>
  <c r="N386" i="675"/>
  <c r="O386" i="675" s="1"/>
  <c r="BJ385" i="675"/>
  <c r="BK385" i="675" s="1"/>
  <c r="BB385" i="675"/>
  <c r="BC385" i="675" s="1"/>
  <c r="AT385" i="675"/>
  <c r="AU385" i="675" s="1"/>
  <c r="AL385" i="675"/>
  <c r="AM385" i="675" s="1"/>
  <c r="AD385" i="675"/>
  <c r="AE385" i="675" s="1"/>
  <c r="V385" i="675"/>
  <c r="W385" i="675" s="1"/>
  <c r="N385" i="675"/>
  <c r="O385" i="675" s="1"/>
  <c r="BJ384" i="675"/>
  <c r="BK384" i="675" s="1"/>
  <c r="BB384" i="675"/>
  <c r="BC384" i="675" s="1"/>
  <c r="AT384" i="675"/>
  <c r="AU384" i="675" s="1"/>
  <c r="AL384" i="675"/>
  <c r="AM384" i="675" s="1"/>
  <c r="AD384" i="675"/>
  <c r="AE384" i="675" s="1"/>
  <c r="V384" i="675"/>
  <c r="W384" i="675" s="1"/>
  <c r="N384" i="675"/>
  <c r="O384" i="675" s="1"/>
  <c r="BJ383" i="675"/>
  <c r="BK383" i="675" s="1"/>
  <c r="BB383" i="675"/>
  <c r="BC383" i="675" s="1"/>
  <c r="AT383" i="675"/>
  <c r="AU383" i="675" s="1"/>
  <c r="AL383" i="675"/>
  <c r="AM383" i="675" s="1"/>
  <c r="AD383" i="675"/>
  <c r="AE383" i="675" s="1"/>
  <c r="V383" i="675"/>
  <c r="W383" i="675" s="1"/>
  <c r="N383" i="675"/>
  <c r="O383" i="675" s="1"/>
  <c r="BJ382" i="675"/>
  <c r="BK382" i="675" s="1"/>
  <c r="BB382" i="675"/>
  <c r="BC382" i="675" s="1"/>
  <c r="AT382" i="675"/>
  <c r="AU382" i="675" s="1"/>
  <c r="AL382" i="675"/>
  <c r="AM382" i="675" s="1"/>
  <c r="AD382" i="675"/>
  <c r="AE382" i="675" s="1"/>
  <c r="V382" i="675"/>
  <c r="W382" i="675" s="1"/>
  <c r="N382" i="675"/>
  <c r="O382" i="675" s="1"/>
  <c r="BJ381" i="675"/>
  <c r="BK381" i="675" s="1"/>
  <c r="BB381" i="675"/>
  <c r="BC381" i="675" s="1"/>
  <c r="AT381" i="675"/>
  <c r="AU381" i="675" s="1"/>
  <c r="AL381" i="675"/>
  <c r="AM381" i="675" s="1"/>
  <c r="AD381" i="675"/>
  <c r="AE381" i="675" s="1"/>
  <c r="V381" i="675"/>
  <c r="W381" i="675" s="1"/>
  <c r="N381" i="675"/>
  <c r="O381" i="675" s="1"/>
  <c r="BJ380" i="675"/>
  <c r="BK380" i="675" s="1"/>
  <c r="BB380" i="675"/>
  <c r="BC380" i="675" s="1"/>
  <c r="AT380" i="675"/>
  <c r="AU380" i="675" s="1"/>
  <c r="AL380" i="675"/>
  <c r="AM380" i="675" s="1"/>
  <c r="AD380" i="675"/>
  <c r="AE380" i="675" s="1"/>
  <c r="V380" i="675"/>
  <c r="W380" i="675" s="1"/>
  <c r="N380" i="675"/>
  <c r="O380" i="675" s="1"/>
  <c r="BJ379" i="675"/>
  <c r="BK379" i="675" s="1"/>
  <c r="BB379" i="675"/>
  <c r="BC379" i="675" s="1"/>
  <c r="AT379" i="675"/>
  <c r="AU379" i="675" s="1"/>
  <c r="AL379" i="675"/>
  <c r="AM379" i="675" s="1"/>
  <c r="AD379" i="675"/>
  <c r="AE379" i="675" s="1"/>
  <c r="V379" i="675"/>
  <c r="W379" i="675" s="1"/>
  <c r="N379" i="675"/>
  <c r="O379" i="675" s="1"/>
  <c r="BJ378" i="675"/>
  <c r="BK378" i="675" s="1"/>
  <c r="BB378" i="675"/>
  <c r="BC378" i="675" s="1"/>
  <c r="AT378" i="675"/>
  <c r="AU378" i="675" s="1"/>
  <c r="AL378" i="675"/>
  <c r="AM378" i="675" s="1"/>
  <c r="AD378" i="675"/>
  <c r="AE378" i="675" s="1"/>
  <c r="V378" i="675"/>
  <c r="W378" i="675" s="1"/>
  <c r="N378" i="675"/>
  <c r="O378" i="675" s="1"/>
  <c r="BJ377" i="675"/>
  <c r="BK377" i="675" s="1"/>
  <c r="BB377" i="675"/>
  <c r="BC377" i="675" s="1"/>
  <c r="AT377" i="675"/>
  <c r="AU377" i="675" s="1"/>
  <c r="AL377" i="675"/>
  <c r="AM377" i="675" s="1"/>
  <c r="AD377" i="675"/>
  <c r="AE377" i="675" s="1"/>
  <c r="V377" i="675"/>
  <c r="W377" i="675" s="1"/>
  <c r="N377" i="675"/>
  <c r="O377" i="675" s="1"/>
  <c r="BJ376" i="675"/>
  <c r="BK376" i="675" s="1"/>
  <c r="BB376" i="675"/>
  <c r="BC376" i="675" s="1"/>
  <c r="AT376" i="675"/>
  <c r="AU376" i="675" s="1"/>
  <c r="AL376" i="675"/>
  <c r="AM376" i="675" s="1"/>
  <c r="AD376" i="675"/>
  <c r="AE376" i="675" s="1"/>
  <c r="V376" i="675"/>
  <c r="W376" i="675" s="1"/>
  <c r="N376" i="675"/>
  <c r="O376" i="675" s="1"/>
  <c r="BJ375" i="675"/>
  <c r="BK375" i="675" s="1"/>
  <c r="BB375" i="675"/>
  <c r="BC375" i="675" s="1"/>
  <c r="AT375" i="675"/>
  <c r="AU375" i="675" s="1"/>
  <c r="AL375" i="675"/>
  <c r="AM375" i="675" s="1"/>
  <c r="AD375" i="675"/>
  <c r="AE375" i="675" s="1"/>
  <c r="V375" i="675"/>
  <c r="W375" i="675" s="1"/>
  <c r="N375" i="675"/>
  <c r="O375" i="675" s="1"/>
  <c r="BJ374" i="675"/>
  <c r="BK374" i="675" s="1"/>
  <c r="BB374" i="675"/>
  <c r="BC374" i="675" s="1"/>
  <c r="AT374" i="675"/>
  <c r="AU374" i="675" s="1"/>
  <c r="AL374" i="675"/>
  <c r="AM374" i="675" s="1"/>
  <c r="AD374" i="675"/>
  <c r="AE374" i="675" s="1"/>
  <c r="V374" i="675"/>
  <c r="W374" i="675" s="1"/>
  <c r="N374" i="675"/>
  <c r="O374" i="675" s="1"/>
  <c r="BJ373" i="675"/>
  <c r="BK373" i="675" s="1"/>
  <c r="BB373" i="675"/>
  <c r="BC373" i="675" s="1"/>
  <c r="AT373" i="675"/>
  <c r="AU373" i="675" s="1"/>
  <c r="AL373" i="675"/>
  <c r="AM373" i="675" s="1"/>
  <c r="AD373" i="675"/>
  <c r="AE373" i="675" s="1"/>
  <c r="V373" i="675"/>
  <c r="W373" i="675" s="1"/>
  <c r="N373" i="675"/>
  <c r="O373" i="675" s="1"/>
  <c r="BJ372" i="675"/>
  <c r="BK372" i="675" s="1"/>
  <c r="BB372" i="675"/>
  <c r="BC372" i="675" s="1"/>
  <c r="AT372" i="675"/>
  <c r="AU372" i="675" s="1"/>
  <c r="AL372" i="675"/>
  <c r="AM372" i="675" s="1"/>
  <c r="AD372" i="675"/>
  <c r="AE372" i="675" s="1"/>
  <c r="V372" i="675"/>
  <c r="W372" i="675" s="1"/>
  <c r="N372" i="675"/>
  <c r="O372" i="675" s="1"/>
  <c r="BJ371" i="675"/>
  <c r="BK371" i="675" s="1"/>
  <c r="BB371" i="675"/>
  <c r="BC371" i="675" s="1"/>
  <c r="AT371" i="675"/>
  <c r="AU371" i="675" s="1"/>
  <c r="AL371" i="675"/>
  <c r="AM371" i="675" s="1"/>
  <c r="AD371" i="675"/>
  <c r="AE371" i="675" s="1"/>
  <c r="V371" i="675"/>
  <c r="W371" i="675" s="1"/>
  <c r="N371" i="675"/>
  <c r="O371" i="675" s="1"/>
  <c r="BJ370" i="675"/>
  <c r="BK370" i="675" s="1"/>
  <c r="BB370" i="675"/>
  <c r="BC370" i="675" s="1"/>
  <c r="AT370" i="675"/>
  <c r="AU370" i="675" s="1"/>
  <c r="AL370" i="675"/>
  <c r="AM370" i="675" s="1"/>
  <c r="AD370" i="675"/>
  <c r="AE370" i="675" s="1"/>
  <c r="V370" i="675"/>
  <c r="W370" i="675" s="1"/>
  <c r="N370" i="675"/>
  <c r="O370" i="675" s="1"/>
  <c r="BJ369" i="675"/>
  <c r="BK369" i="675" s="1"/>
  <c r="BB369" i="675"/>
  <c r="BC369" i="675" s="1"/>
  <c r="AT369" i="675"/>
  <c r="AU369" i="675" s="1"/>
  <c r="AL369" i="675"/>
  <c r="AM369" i="675" s="1"/>
  <c r="AD369" i="675"/>
  <c r="AE369" i="675" s="1"/>
  <c r="V369" i="675"/>
  <c r="W369" i="675" s="1"/>
  <c r="N369" i="675"/>
  <c r="O369" i="675" s="1"/>
  <c r="BJ368" i="675"/>
  <c r="BK368" i="675" s="1"/>
  <c r="BB368" i="675"/>
  <c r="BC368" i="675" s="1"/>
  <c r="AT368" i="675"/>
  <c r="AU368" i="675" s="1"/>
  <c r="AL368" i="675"/>
  <c r="AM368" i="675" s="1"/>
  <c r="AD368" i="675"/>
  <c r="AE368" i="675" s="1"/>
  <c r="V368" i="675"/>
  <c r="W368" i="675" s="1"/>
  <c r="N368" i="675"/>
  <c r="O368" i="675" s="1"/>
  <c r="BJ367" i="675"/>
  <c r="BK367" i="675" s="1"/>
  <c r="BB367" i="675"/>
  <c r="BC367" i="675" s="1"/>
  <c r="AT367" i="675"/>
  <c r="AU367" i="675" s="1"/>
  <c r="AL367" i="675"/>
  <c r="AM367" i="675" s="1"/>
  <c r="AD367" i="675"/>
  <c r="AE367" i="675" s="1"/>
  <c r="V367" i="675"/>
  <c r="W367" i="675" s="1"/>
  <c r="N367" i="675"/>
  <c r="O367" i="675" s="1"/>
  <c r="BJ366" i="675"/>
  <c r="BK366" i="675" s="1"/>
  <c r="BB366" i="675"/>
  <c r="BC366" i="675" s="1"/>
  <c r="AT366" i="675"/>
  <c r="AU366" i="675" s="1"/>
  <c r="AL366" i="675"/>
  <c r="AM366" i="675" s="1"/>
  <c r="AD366" i="675"/>
  <c r="AE366" i="675" s="1"/>
  <c r="V366" i="675"/>
  <c r="W366" i="675" s="1"/>
  <c r="N366" i="675"/>
  <c r="O366" i="675" s="1"/>
  <c r="BJ365" i="675"/>
  <c r="BK365" i="675" s="1"/>
  <c r="BB365" i="675"/>
  <c r="BC365" i="675" s="1"/>
  <c r="AT365" i="675"/>
  <c r="AU365" i="675" s="1"/>
  <c r="AL365" i="675"/>
  <c r="AM365" i="675" s="1"/>
  <c r="AD365" i="675"/>
  <c r="AE365" i="675" s="1"/>
  <c r="V365" i="675"/>
  <c r="W365" i="675" s="1"/>
  <c r="N365" i="675"/>
  <c r="O365" i="675" s="1"/>
  <c r="BJ364" i="675"/>
  <c r="BK364" i="675" s="1"/>
  <c r="BB364" i="675"/>
  <c r="BC364" i="675" s="1"/>
  <c r="AT364" i="675"/>
  <c r="AU364" i="675" s="1"/>
  <c r="AL364" i="675"/>
  <c r="AM364" i="675" s="1"/>
  <c r="AD364" i="675"/>
  <c r="AE364" i="675" s="1"/>
  <c r="V364" i="675"/>
  <c r="W364" i="675" s="1"/>
  <c r="N364" i="675"/>
  <c r="O364" i="675" s="1"/>
  <c r="BJ363" i="675"/>
  <c r="BK363" i="675" s="1"/>
  <c r="BB363" i="675"/>
  <c r="BC363" i="675" s="1"/>
  <c r="AT363" i="675"/>
  <c r="AU363" i="675" s="1"/>
  <c r="AL363" i="675"/>
  <c r="AM363" i="675" s="1"/>
  <c r="AD363" i="675"/>
  <c r="AE363" i="675" s="1"/>
  <c r="V363" i="675"/>
  <c r="W363" i="675" s="1"/>
  <c r="N363" i="675"/>
  <c r="O363" i="675" s="1"/>
  <c r="BJ362" i="675"/>
  <c r="BK362" i="675" s="1"/>
  <c r="BB362" i="675"/>
  <c r="BC362" i="675" s="1"/>
  <c r="AT362" i="675"/>
  <c r="AU362" i="675" s="1"/>
  <c r="AL362" i="675"/>
  <c r="AM362" i="675" s="1"/>
  <c r="AD362" i="675"/>
  <c r="AE362" i="675" s="1"/>
  <c r="V362" i="675"/>
  <c r="W362" i="675" s="1"/>
  <c r="N362" i="675"/>
  <c r="O362" i="675" s="1"/>
  <c r="BJ361" i="675"/>
  <c r="BK361" i="675" s="1"/>
  <c r="BB361" i="675"/>
  <c r="BC361" i="675" s="1"/>
  <c r="AT361" i="675"/>
  <c r="AU361" i="675" s="1"/>
  <c r="AL361" i="675"/>
  <c r="AM361" i="675" s="1"/>
  <c r="AD361" i="675"/>
  <c r="AE361" i="675" s="1"/>
  <c r="V361" i="675"/>
  <c r="W361" i="675" s="1"/>
  <c r="N361" i="675"/>
  <c r="O361" i="675" s="1"/>
  <c r="BJ360" i="675"/>
  <c r="BK360" i="675" s="1"/>
  <c r="BB360" i="675"/>
  <c r="BC360" i="675" s="1"/>
  <c r="AT360" i="675"/>
  <c r="AU360" i="675" s="1"/>
  <c r="AL360" i="675"/>
  <c r="AM360" i="675" s="1"/>
  <c r="AD360" i="675"/>
  <c r="AE360" i="675" s="1"/>
  <c r="V360" i="675"/>
  <c r="W360" i="675" s="1"/>
  <c r="N360" i="675"/>
  <c r="O360" i="675" s="1"/>
  <c r="BJ359" i="675"/>
  <c r="BK359" i="675" s="1"/>
  <c r="BB359" i="675"/>
  <c r="BC359" i="675" s="1"/>
  <c r="AT359" i="675"/>
  <c r="AU359" i="675" s="1"/>
  <c r="AL359" i="675"/>
  <c r="AM359" i="675" s="1"/>
  <c r="AD359" i="675"/>
  <c r="AE359" i="675" s="1"/>
  <c r="V359" i="675"/>
  <c r="W359" i="675" s="1"/>
  <c r="N359" i="675"/>
  <c r="O359" i="675" s="1"/>
  <c r="BJ358" i="675"/>
  <c r="BK358" i="675" s="1"/>
  <c r="BB358" i="675"/>
  <c r="BC358" i="675" s="1"/>
  <c r="AT358" i="675"/>
  <c r="AU358" i="675" s="1"/>
  <c r="AL358" i="675"/>
  <c r="AM358" i="675" s="1"/>
  <c r="AD358" i="675"/>
  <c r="AE358" i="675" s="1"/>
  <c r="V358" i="675"/>
  <c r="W358" i="675" s="1"/>
  <c r="N358" i="675"/>
  <c r="O358" i="675" s="1"/>
  <c r="BJ357" i="675"/>
  <c r="BK357" i="675" s="1"/>
  <c r="BB357" i="675"/>
  <c r="BC357" i="675" s="1"/>
  <c r="AT357" i="675"/>
  <c r="AU357" i="675" s="1"/>
  <c r="AL357" i="675"/>
  <c r="AM357" i="675" s="1"/>
  <c r="AD357" i="675"/>
  <c r="AE357" i="675" s="1"/>
  <c r="V357" i="675"/>
  <c r="W357" i="675" s="1"/>
  <c r="N357" i="675"/>
  <c r="O357" i="675" s="1"/>
  <c r="BJ356" i="675"/>
  <c r="BK356" i="675" s="1"/>
  <c r="BB356" i="675"/>
  <c r="BC356" i="675" s="1"/>
  <c r="AT356" i="675"/>
  <c r="AU356" i="675" s="1"/>
  <c r="AL356" i="675"/>
  <c r="AM356" i="675" s="1"/>
  <c r="AD356" i="675"/>
  <c r="AE356" i="675" s="1"/>
  <c r="V356" i="675"/>
  <c r="W356" i="675" s="1"/>
  <c r="N356" i="675"/>
  <c r="O356" i="675" s="1"/>
  <c r="BJ355" i="675"/>
  <c r="BK355" i="675" s="1"/>
  <c r="BB355" i="675"/>
  <c r="BC355" i="675" s="1"/>
  <c r="AT355" i="675"/>
  <c r="AU355" i="675" s="1"/>
  <c r="AL355" i="675"/>
  <c r="AM355" i="675" s="1"/>
  <c r="AD355" i="675"/>
  <c r="AE355" i="675" s="1"/>
  <c r="V355" i="675"/>
  <c r="W355" i="675" s="1"/>
  <c r="N355" i="675"/>
  <c r="O355" i="675" s="1"/>
  <c r="BJ354" i="675"/>
  <c r="BK354" i="675" s="1"/>
  <c r="BB354" i="675"/>
  <c r="BC354" i="675" s="1"/>
  <c r="AT354" i="675"/>
  <c r="AU354" i="675" s="1"/>
  <c r="AL354" i="675"/>
  <c r="AM354" i="675" s="1"/>
  <c r="AD354" i="675"/>
  <c r="AE354" i="675" s="1"/>
  <c r="V354" i="675"/>
  <c r="W354" i="675" s="1"/>
  <c r="N354" i="675"/>
  <c r="O354" i="675" s="1"/>
  <c r="BJ353" i="675"/>
  <c r="BK353" i="675" s="1"/>
  <c r="BB353" i="675"/>
  <c r="BC353" i="675" s="1"/>
  <c r="AT353" i="675"/>
  <c r="AU353" i="675" s="1"/>
  <c r="AL353" i="675"/>
  <c r="AM353" i="675" s="1"/>
  <c r="AD353" i="675"/>
  <c r="AE353" i="675" s="1"/>
  <c r="V353" i="675"/>
  <c r="W353" i="675" s="1"/>
  <c r="N353" i="675"/>
  <c r="O353" i="675" s="1"/>
  <c r="BJ352" i="675"/>
  <c r="BK352" i="675" s="1"/>
  <c r="BB352" i="675"/>
  <c r="BC352" i="675" s="1"/>
  <c r="AT352" i="675"/>
  <c r="AU352" i="675" s="1"/>
  <c r="AL352" i="675"/>
  <c r="AM352" i="675" s="1"/>
  <c r="AD352" i="675"/>
  <c r="AE352" i="675" s="1"/>
  <c r="V352" i="675"/>
  <c r="W352" i="675" s="1"/>
  <c r="N352" i="675"/>
  <c r="O352" i="675" s="1"/>
  <c r="BJ351" i="675"/>
  <c r="BK351" i="675" s="1"/>
  <c r="BB351" i="675"/>
  <c r="BC351" i="675" s="1"/>
  <c r="AT351" i="675"/>
  <c r="AU351" i="675" s="1"/>
  <c r="AL351" i="675"/>
  <c r="AM351" i="675" s="1"/>
  <c r="AD351" i="675"/>
  <c r="AE351" i="675" s="1"/>
  <c r="V351" i="675"/>
  <c r="W351" i="675" s="1"/>
  <c r="N351" i="675"/>
  <c r="O351" i="675" s="1"/>
  <c r="BJ350" i="675"/>
  <c r="BK350" i="675" s="1"/>
  <c r="BB350" i="675"/>
  <c r="BC350" i="675" s="1"/>
  <c r="AT350" i="675"/>
  <c r="AU350" i="675" s="1"/>
  <c r="AL350" i="675"/>
  <c r="AM350" i="675" s="1"/>
  <c r="AD350" i="675"/>
  <c r="AE350" i="675" s="1"/>
  <c r="V350" i="675"/>
  <c r="W350" i="675" s="1"/>
  <c r="N350" i="675"/>
  <c r="O350" i="675" s="1"/>
  <c r="BJ349" i="675"/>
  <c r="BK349" i="675" s="1"/>
  <c r="BB349" i="675"/>
  <c r="BC349" i="675" s="1"/>
  <c r="AT349" i="675"/>
  <c r="AU349" i="675" s="1"/>
  <c r="AL349" i="675"/>
  <c r="AM349" i="675" s="1"/>
  <c r="AD349" i="675"/>
  <c r="AE349" i="675" s="1"/>
  <c r="V349" i="675"/>
  <c r="W349" i="675" s="1"/>
  <c r="N349" i="675"/>
  <c r="O349" i="675" s="1"/>
  <c r="BJ348" i="675"/>
  <c r="BK348" i="675" s="1"/>
  <c r="BB348" i="675"/>
  <c r="BC348" i="675" s="1"/>
  <c r="AT348" i="675"/>
  <c r="AU348" i="675" s="1"/>
  <c r="AL348" i="675"/>
  <c r="AM348" i="675" s="1"/>
  <c r="AD348" i="675"/>
  <c r="AE348" i="675" s="1"/>
  <c r="V348" i="675"/>
  <c r="W348" i="675" s="1"/>
  <c r="N348" i="675"/>
  <c r="O348" i="675" s="1"/>
  <c r="BJ347" i="675"/>
  <c r="BK347" i="675" s="1"/>
  <c r="BB347" i="675"/>
  <c r="BC347" i="675" s="1"/>
  <c r="AT347" i="675"/>
  <c r="AU347" i="675" s="1"/>
  <c r="AL347" i="675"/>
  <c r="AM347" i="675" s="1"/>
  <c r="AD347" i="675"/>
  <c r="AE347" i="675" s="1"/>
  <c r="V347" i="675"/>
  <c r="W347" i="675" s="1"/>
  <c r="N347" i="675"/>
  <c r="O347" i="675" s="1"/>
  <c r="BJ346" i="675"/>
  <c r="BK346" i="675" s="1"/>
  <c r="BB346" i="675"/>
  <c r="BC346" i="675" s="1"/>
  <c r="AT346" i="675"/>
  <c r="AU346" i="675" s="1"/>
  <c r="AL346" i="675"/>
  <c r="AM346" i="675" s="1"/>
  <c r="AD346" i="675"/>
  <c r="AE346" i="675" s="1"/>
  <c r="V346" i="675"/>
  <c r="W346" i="675" s="1"/>
  <c r="N346" i="675"/>
  <c r="O346" i="675" s="1"/>
  <c r="BJ345" i="675"/>
  <c r="BK345" i="675" s="1"/>
  <c r="BB345" i="675"/>
  <c r="BC345" i="675" s="1"/>
  <c r="AT345" i="675"/>
  <c r="AU345" i="675" s="1"/>
  <c r="AL345" i="675"/>
  <c r="AM345" i="675" s="1"/>
  <c r="AD345" i="675"/>
  <c r="AE345" i="675" s="1"/>
  <c r="V345" i="675"/>
  <c r="W345" i="675" s="1"/>
  <c r="N345" i="675"/>
  <c r="O345" i="675" s="1"/>
  <c r="BJ344" i="675"/>
  <c r="BK344" i="675" s="1"/>
  <c r="BB344" i="675"/>
  <c r="BC344" i="675" s="1"/>
  <c r="AT344" i="675"/>
  <c r="AU344" i="675" s="1"/>
  <c r="AL344" i="675"/>
  <c r="AM344" i="675" s="1"/>
  <c r="AD344" i="675"/>
  <c r="AE344" i="675" s="1"/>
  <c r="V344" i="675"/>
  <c r="W344" i="675" s="1"/>
  <c r="N344" i="675"/>
  <c r="O344" i="675" s="1"/>
  <c r="BJ343" i="675"/>
  <c r="BK343" i="675" s="1"/>
  <c r="BB343" i="675"/>
  <c r="BC343" i="675" s="1"/>
  <c r="AT343" i="675"/>
  <c r="AU343" i="675" s="1"/>
  <c r="AL343" i="675"/>
  <c r="AM343" i="675" s="1"/>
  <c r="AD343" i="675"/>
  <c r="AE343" i="675" s="1"/>
  <c r="V343" i="675"/>
  <c r="W343" i="675" s="1"/>
  <c r="N343" i="675"/>
  <c r="O343" i="675" s="1"/>
  <c r="BJ342" i="675"/>
  <c r="BK342" i="675" s="1"/>
  <c r="BB342" i="675"/>
  <c r="BC342" i="675" s="1"/>
  <c r="AT342" i="675"/>
  <c r="AU342" i="675" s="1"/>
  <c r="AL342" i="675"/>
  <c r="AM342" i="675" s="1"/>
  <c r="AD342" i="675"/>
  <c r="AE342" i="675" s="1"/>
  <c r="V342" i="675"/>
  <c r="W342" i="675" s="1"/>
  <c r="N342" i="675"/>
  <c r="O342" i="675" s="1"/>
  <c r="BJ341" i="675"/>
  <c r="BK341" i="675" s="1"/>
  <c r="BB341" i="675"/>
  <c r="BC341" i="675" s="1"/>
  <c r="AT341" i="675"/>
  <c r="AU341" i="675" s="1"/>
  <c r="AL341" i="675"/>
  <c r="AM341" i="675" s="1"/>
  <c r="AD341" i="675"/>
  <c r="AE341" i="675" s="1"/>
  <c r="V341" i="675"/>
  <c r="W341" i="675" s="1"/>
  <c r="N341" i="675"/>
  <c r="O341" i="675" s="1"/>
  <c r="BJ340" i="675"/>
  <c r="BK340" i="675" s="1"/>
  <c r="BB340" i="675"/>
  <c r="BC340" i="675" s="1"/>
  <c r="AT340" i="675"/>
  <c r="AU340" i="675" s="1"/>
  <c r="AL340" i="675"/>
  <c r="AM340" i="675" s="1"/>
  <c r="AD340" i="675"/>
  <c r="AE340" i="675" s="1"/>
  <c r="V340" i="675"/>
  <c r="W340" i="675" s="1"/>
  <c r="N340" i="675"/>
  <c r="O340" i="675" s="1"/>
  <c r="BJ339" i="675"/>
  <c r="BK339" i="675" s="1"/>
  <c r="BB339" i="675"/>
  <c r="BC339" i="675" s="1"/>
  <c r="AT339" i="675"/>
  <c r="AU339" i="675" s="1"/>
  <c r="AL339" i="675"/>
  <c r="AM339" i="675" s="1"/>
  <c r="AD339" i="675"/>
  <c r="AE339" i="675" s="1"/>
  <c r="V339" i="675"/>
  <c r="W339" i="675" s="1"/>
  <c r="N339" i="675"/>
  <c r="O339" i="675" s="1"/>
  <c r="BJ338" i="675"/>
  <c r="BK338" i="675" s="1"/>
  <c r="BB338" i="675"/>
  <c r="BC338" i="675" s="1"/>
  <c r="AT338" i="675"/>
  <c r="AU338" i="675" s="1"/>
  <c r="AL338" i="675"/>
  <c r="AM338" i="675" s="1"/>
  <c r="AD338" i="675"/>
  <c r="AE338" i="675" s="1"/>
  <c r="V338" i="675"/>
  <c r="W338" i="675" s="1"/>
  <c r="N338" i="675"/>
  <c r="O338" i="675" s="1"/>
  <c r="BJ337" i="675"/>
  <c r="BK337" i="675" s="1"/>
  <c r="BB337" i="675"/>
  <c r="BC337" i="675" s="1"/>
  <c r="AT337" i="675"/>
  <c r="AU337" i="675" s="1"/>
  <c r="AL337" i="675"/>
  <c r="AM337" i="675" s="1"/>
  <c r="AD337" i="675"/>
  <c r="AE337" i="675" s="1"/>
  <c r="V337" i="675"/>
  <c r="W337" i="675" s="1"/>
  <c r="N337" i="675"/>
  <c r="O337" i="675" s="1"/>
  <c r="BJ336" i="675"/>
  <c r="BK336" i="675" s="1"/>
  <c r="BB336" i="675"/>
  <c r="BC336" i="675" s="1"/>
  <c r="AT336" i="675"/>
  <c r="AU336" i="675" s="1"/>
  <c r="AL336" i="675"/>
  <c r="AM336" i="675" s="1"/>
  <c r="AD336" i="675"/>
  <c r="AE336" i="675" s="1"/>
  <c r="V336" i="675"/>
  <c r="W336" i="675" s="1"/>
  <c r="N336" i="675"/>
  <c r="O336" i="675" s="1"/>
  <c r="BJ335" i="675"/>
  <c r="BK335" i="675" s="1"/>
  <c r="BB335" i="675"/>
  <c r="BC335" i="675" s="1"/>
  <c r="AT335" i="675"/>
  <c r="AU335" i="675" s="1"/>
  <c r="AL335" i="675"/>
  <c r="AM335" i="675" s="1"/>
  <c r="AD335" i="675"/>
  <c r="AE335" i="675" s="1"/>
  <c r="V335" i="675"/>
  <c r="W335" i="675" s="1"/>
  <c r="N335" i="675"/>
  <c r="O335" i="675" s="1"/>
  <c r="BJ334" i="675"/>
  <c r="BK334" i="675" s="1"/>
  <c r="BB334" i="675"/>
  <c r="BC334" i="675" s="1"/>
  <c r="AT334" i="675"/>
  <c r="AU334" i="675" s="1"/>
  <c r="AL334" i="675"/>
  <c r="AM334" i="675" s="1"/>
  <c r="AD334" i="675"/>
  <c r="AE334" i="675" s="1"/>
  <c r="V334" i="675"/>
  <c r="W334" i="675" s="1"/>
  <c r="N334" i="675"/>
  <c r="O334" i="675" s="1"/>
  <c r="BJ333" i="675"/>
  <c r="BK333" i="675" s="1"/>
  <c r="BB333" i="675"/>
  <c r="BC333" i="675" s="1"/>
  <c r="AT333" i="675"/>
  <c r="AU333" i="675" s="1"/>
  <c r="AL333" i="675"/>
  <c r="AM333" i="675" s="1"/>
  <c r="AD333" i="675"/>
  <c r="AE333" i="675" s="1"/>
  <c r="V333" i="675"/>
  <c r="W333" i="675" s="1"/>
  <c r="N333" i="675"/>
  <c r="O333" i="675" s="1"/>
  <c r="BJ332" i="675"/>
  <c r="BK332" i="675" s="1"/>
  <c r="BB332" i="675"/>
  <c r="BC332" i="675" s="1"/>
  <c r="AT332" i="675"/>
  <c r="AU332" i="675" s="1"/>
  <c r="AL332" i="675"/>
  <c r="AM332" i="675" s="1"/>
  <c r="AD332" i="675"/>
  <c r="AE332" i="675" s="1"/>
  <c r="V332" i="675"/>
  <c r="W332" i="675" s="1"/>
  <c r="N332" i="675"/>
  <c r="O332" i="675" s="1"/>
  <c r="BJ331" i="675"/>
  <c r="BK331" i="675" s="1"/>
  <c r="BB331" i="675"/>
  <c r="BC331" i="675" s="1"/>
  <c r="AT331" i="675"/>
  <c r="AU331" i="675" s="1"/>
  <c r="AL331" i="675"/>
  <c r="AM331" i="675" s="1"/>
  <c r="AD331" i="675"/>
  <c r="AE331" i="675" s="1"/>
  <c r="V331" i="675"/>
  <c r="W331" i="675" s="1"/>
  <c r="N331" i="675"/>
  <c r="O331" i="675" s="1"/>
  <c r="BJ330" i="675"/>
  <c r="BK330" i="675" s="1"/>
  <c r="BB330" i="675"/>
  <c r="BC330" i="675" s="1"/>
  <c r="AT330" i="675"/>
  <c r="AU330" i="675" s="1"/>
  <c r="AL330" i="675"/>
  <c r="AM330" i="675" s="1"/>
  <c r="AD330" i="675"/>
  <c r="AE330" i="675" s="1"/>
  <c r="V330" i="675"/>
  <c r="W330" i="675" s="1"/>
  <c r="N330" i="675"/>
  <c r="O330" i="675" s="1"/>
  <c r="BJ329" i="675"/>
  <c r="BK329" i="675" s="1"/>
  <c r="BB329" i="675"/>
  <c r="BC329" i="675" s="1"/>
  <c r="AT329" i="675"/>
  <c r="AU329" i="675" s="1"/>
  <c r="AL329" i="675"/>
  <c r="AM329" i="675" s="1"/>
  <c r="AD329" i="675"/>
  <c r="AE329" i="675" s="1"/>
  <c r="V329" i="675"/>
  <c r="W329" i="675" s="1"/>
  <c r="N329" i="675"/>
  <c r="O329" i="675" s="1"/>
  <c r="BJ328" i="675"/>
  <c r="BK328" i="675" s="1"/>
  <c r="BB328" i="675"/>
  <c r="BC328" i="675" s="1"/>
  <c r="AT328" i="675"/>
  <c r="AU328" i="675" s="1"/>
  <c r="AL328" i="675"/>
  <c r="AM328" i="675" s="1"/>
  <c r="AD328" i="675"/>
  <c r="AE328" i="675" s="1"/>
  <c r="V328" i="675"/>
  <c r="W328" i="675" s="1"/>
  <c r="N328" i="675"/>
  <c r="O328" i="675" s="1"/>
  <c r="BJ327" i="675"/>
  <c r="BK327" i="675" s="1"/>
  <c r="BB327" i="675"/>
  <c r="BC327" i="675" s="1"/>
  <c r="AT327" i="675"/>
  <c r="AU327" i="675" s="1"/>
  <c r="AL327" i="675"/>
  <c r="AM327" i="675" s="1"/>
  <c r="AD327" i="675"/>
  <c r="AE327" i="675" s="1"/>
  <c r="V327" i="675"/>
  <c r="W327" i="675" s="1"/>
  <c r="N327" i="675"/>
  <c r="O327" i="675" s="1"/>
  <c r="BJ326" i="675"/>
  <c r="BK326" i="675" s="1"/>
  <c r="BB326" i="675"/>
  <c r="BC326" i="675" s="1"/>
  <c r="AT326" i="675"/>
  <c r="AU326" i="675" s="1"/>
  <c r="AL326" i="675"/>
  <c r="AM326" i="675" s="1"/>
  <c r="AD326" i="675"/>
  <c r="AE326" i="675" s="1"/>
  <c r="V326" i="675"/>
  <c r="W326" i="675" s="1"/>
  <c r="N326" i="675"/>
  <c r="O326" i="675" s="1"/>
  <c r="BJ325" i="675"/>
  <c r="BK325" i="675" s="1"/>
  <c r="BB325" i="675"/>
  <c r="BC325" i="675" s="1"/>
  <c r="AT325" i="675"/>
  <c r="AU325" i="675" s="1"/>
  <c r="AL325" i="675"/>
  <c r="AM325" i="675" s="1"/>
  <c r="AD325" i="675"/>
  <c r="AE325" i="675" s="1"/>
  <c r="V325" i="675"/>
  <c r="W325" i="675" s="1"/>
  <c r="N325" i="675"/>
  <c r="O325" i="675" s="1"/>
  <c r="BJ324" i="675"/>
  <c r="BK324" i="675" s="1"/>
  <c r="BB324" i="675"/>
  <c r="BC324" i="675" s="1"/>
  <c r="AT324" i="675"/>
  <c r="AU324" i="675" s="1"/>
  <c r="AL324" i="675"/>
  <c r="AM324" i="675" s="1"/>
  <c r="AD324" i="675"/>
  <c r="AE324" i="675" s="1"/>
  <c r="V324" i="675"/>
  <c r="W324" i="675" s="1"/>
  <c r="N324" i="675"/>
  <c r="O324" i="675" s="1"/>
  <c r="BJ323" i="675"/>
  <c r="BK323" i="675" s="1"/>
  <c r="BB323" i="675"/>
  <c r="BC323" i="675" s="1"/>
  <c r="AT323" i="675"/>
  <c r="AU323" i="675" s="1"/>
  <c r="AL323" i="675"/>
  <c r="AM323" i="675" s="1"/>
  <c r="AD323" i="675"/>
  <c r="AE323" i="675" s="1"/>
  <c r="V323" i="675"/>
  <c r="W323" i="675" s="1"/>
  <c r="N323" i="675"/>
  <c r="O323" i="675" s="1"/>
  <c r="BJ322" i="675"/>
  <c r="BK322" i="675" s="1"/>
  <c r="BB322" i="675"/>
  <c r="BC322" i="675" s="1"/>
  <c r="AT322" i="675"/>
  <c r="AU322" i="675" s="1"/>
  <c r="AL322" i="675"/>
  <c r="AM322" i="675" s="1"/>
  <c r="AD322" i="675"/>
  <c r="AE322" i="675" s="1"/>
  <c r="V322" i="675"/>
  <c r="W322" i="675" s="1"/>
  <c r="N322" i="675"/>
  <c r="O322" i="675" s="1"/>
  <c r="BJ321" i="675"/>
  <c r="BK321" i="675" s="1"/>
  <c r="BB321" i="675"/>
  <c r="BC321" i="675" s="1"/>
  <c r="AT321" i="675"/>
  <c r="AU321" i="675" s="1"/>
  <c r="AL321" i="675"/>
  <c r="AM321" i="675" s="1"/>
  <c r="AD321" i="675"/>
  <c r="AE321" i="675" s="1"/>
  <c r="V321" i="675"/>
  <c r="W321" i="675" s="1"/>
  <c r="N321" i="675"/>
  <c r="O321" i="675" s="1"/>
  <c r="BJ320" i="675"/>
  <c r="BK320" i="675" s="1"/>
  <c r="BB320" i="675"/>
  <c r="BC320" i="675" s="1"/>
  <c r="AT320" i="675"/>
  <c r="AU320" i="675" s="1"/>
  <c r="AL320" i="675"/>
  <c r="AM320" i="675" s="1"/>
  <c r="AD320" i="675"/>
  <c r="AE320" i="675" s="1"/>
  <c r="V320" i="675"/>
  <c r="W320" i="675" s="1"/>
  <c r="N320" i="675"/>
  <c r="O320" i="675" s="1"/>
  <c r="BJ319" i="675"/>
  <c r="BK319" i="675" s="1"/>
  <c r="BB319" i="675"/>
  <c r="BC319" i="675" s="1"/>
  <c r="AT319" i="675"/>
  <c r="AU319" i="675" s="1"/>
  <c r="AL319" i="675"/>
  <c r="AM319" i="675" s="1"/>
  <c r="AD319" i="675"/>
  <c r="AE319" i="675" s="1"/>
  <c r="V319" i="675"/>
  <c r="W319" i="675" s="1"/>
  <c r="N319" i="675"/>
  <c r="O319" i="675" s="1"/>
  <c r="BJ318" i="675"/>
  <c r="BK318" i="675" s="1"/>
  <c r="BB318" i="675"/>
  <c r="BC318" i="675" s="1"/>
  <c r="AT318" i="675"/>
  <c r="AU318" i="675" s="1"/>
  <c r="AL318" i="675"/>
  <c r="AM318" i="675" s="1"/>
  <c r="AD318" i="675"/>
  <c r="AE318" i="675" s="1"/>
  <c r="V318" i="675"/>
  <c r="W318" i="675" s="1"/>
  <c r="N318" i="675"/>
  <c r="O318" i="675" s="1"/>
  <c r="BJ317" i="675"/>
  <c r="BK317" i="675" s="1"/>
  <c r="BB317" i="675"/>
  <c r="BC317" i="675" s="1"/>
  <c r="AT317" i="675"/>
  <c r="AU317" i="675" s="1"/>
  <c r="AL317" i="675"/>
  <c r="AM317" i="675" s="1"/>
  <c r="AD317" i="675"/>
  <c r="AE317" i="675" s="1"/>
  <c r="V317" i="675"/>
  <c r="W317" i="675" s="1"/>
  <c r="N317" i="675"/>
  <c r="O317" i="675" s="1"/>
  <c r="BJ316" i="675"/>
  <c r="BK316" i="675" s="1"/>
  <c r="BB316" i="675"/>
  <c r="BC316" i="675" s="1"/>
  <c r="AT316" i="675"/>
  <c r="AU316" i="675" s="1"/>
  <c r="AL316" i="675"/>
  <c r="AM316" i="675" s="1"/>
  <c r="AD316" i="675"/>
  <c r="AE316" i="675" s="1"/>
  <c r="V316" i="675"/>
  <c r="W316" i="675" s="1"/>
  <c r="N316" i="675"/>
  <c r="O316" i="675" s="1"/>
  <c r="BJ315" i="675"/>
  <c r="BK315" i="675" s="1"/>
  <c r="BB315" i="675"/>
  <c r="BC315" i="675" s="1"/>
  <c r="AT315" i="675"/>
  <c r="AU315" i="675" s="1"/>
  <c r="AL315" i="675"/>
  <c r="AM315" i="675" s="1"/>
  <c r="AD315" i="675"/>
  <c r="AE315" i="675" s="1"/>
  <c r="V315" i="675"/>
  <c r="W315" i="675" s="1"/>
  <c r="N315" i="675"/>
  <c r="O315" i="675" s="1"/>
  <c r="BJ314" i="675"/>
  <c r="BK314" i="675" s="1"/>
  <c r="BB314" i="675"/>
  <c r="BC314" i="675" s="1"/>
  <c r="AT314" i="675"/>
  <c r="AU314" i="675" s="1"/>
  <c r="AL314" i="675"/>
  <c r="AM314" i="675" s="1"/>
  <c r="AD314" i="675"/>
  <c r="AE314" i="675" s="1"/>
  <c r="V314" i="675"/>
  <c r="W314" i="675" s="1"/>
  <c r="N314" i="675"/>
  <c r="O314" i="675" s="1"/>
  <c r="BJ313" i="675"/>
  <c r="BK313" i="675" s="1"/>
  <c r="BB313" i="675"/>
  <c r="BC313" i="675" s="1"/>
  <c r="AT313" i="675"/>
  <c r="AU313" i="675" s="1"/>
  <c r="AL313" i="675"/>
  <c r="AM313" i="675" s="1"/>
  <c r="AD313" i="675"/>
  <c r="AE313" i="675" s="1"/>
  <c r="V313" i="675"/>
  <c r="W313" i="675" s="1"/>
  <c r="N313" i="675"/>
  <c r="O313" i="675" s="1"/>
  <c r="BJ312" i="675"/>
  <c r="BK312" i="675" s="1"/>
  <c r="BB312" i="675"/>
  <c r="BC312" i="675" s="1"/>
  <c r="AT312" i="675"/>
  <c r="AU312" i="675" s="1"/>
  <c r="AL312" i="675"/>
  <c r="AM312" i="675" s="1"/>
  <c r="AD312" i="675"/>
  <c r="AE312" i="675" s="1"/>
  <c r="V312" i="675"/>
  <c r="W312" i="675" s="1"/>
  <c r="N312" i="675"/>
  <c r="O312" i="675" s="1"/>
  <c r="BJ311" i="675"/>
  <c r="BK311" i="675" s="1"/>
  <c r="BB311" i="675"/>
  <c r="BC311" i="675" s="1"/>
  <c r="AT311" i="675"/>
  <c r="AU311" i="675" s="1"/>
  <c r="AL311" i="675"/>
  <c r="AM311" i="675" s="1"/>
  <c r="AD311" i="675"/>
  <c r="AE311" i="675" s="1"/>
  <c r="V311" i="675"/>
  <c r="W311" i="675" s="1"/>
  <c r="N311" i="675"/>
  <c r="O311" i="675" s="1"/>
  <c r="BJ310" i="675"/>
  <c r="BK310" i="675" s="1"/>
  <c r="BB310" i="675"/>
  <c r="BC310" i="675" s="1"/>
  <c r="AT310" i="675"/>
  <c r="AU310" i="675" s="1"/>
  <c r="AL310" i="675"/>
  <c r="AM310" i="675" s="1"/>
  <c r="AD310" i="675"/>
  <c r="AE310" i="675" s="1"/>
  <c r="V310" i="675"/>
  <c r="W310" i="675" s="1"/>
  <c r="N310" i="675"/>
  <c r="O310" i="675" s="1"/>
  <c r="BJ309" i="675"/>
  <c r="BK309" i="675" s="1"/>
  <c r="BB309" i="675"/>
  <c r="BC309" i="675" s="1"/>
  <c r="AT309" i="675"/>
  <c r="AU309" i="675" s="1"/>
  <c r="AL309" i="675"/>
  <c r="AM309" i="675" s="1"/>
  <c r="AD309" i="675"/>
  <c r="AE309" i="675" s="1"/>
  <c r="V309" i="675"/>
  <c r="W309" i="675" s="1"/>
  <c r="N309" i="675"/>
  <c r="O309" i="675" s="1"/>
  <c r="BJ308" i="675"/>
  <c r="BK308" i="675" s="1"/>
  <c r="BB308" i="675"/>
  <c r="BC308" i="675" s="1"/>
  <c r="AT308" i="675"/>
  <c r="AU308" i="675" s="1"/>
  <c r="AL308" i="675"/>
  <c r="AM308" i="675" s="1"/>
  <c r="AD308" i="675"/>
  <c r="AE308" i="675" s="1"/>
  <c r="V308" i="675"/>
  <c r="W308" i="675" s="1"/>
  <c r="N308" i="675"/>
  <c r="O308" i="675" s="1"/>
  <c r="BJ307" i="675"/>
  <c r="BK307" i="675" s="1"/>
  <c r="BB307" i="675"/>
  <c r="BC307" i="675" s="1"/>
  <c r="AT307" i="675"/>
  <c r="AU307" i="675" s="1"/>
  <c r="AL307" i="675"/>
  <c r="AM307" i="675" s="1"/>
  <c r="AD307" i="675"/>
  <c r="AE307" i="675" s="1"/>
  <c r="V307" i="675"/>
  <c r="W307" i="675" s="1"/>
  <c r="N307" i="675"/>
  <c r="O307" i="675" s="1"/>
  <c r="BJ306" i="675"/>
  <c r="BK306" i="675" s="1"/>
  <c r="BB306" i="675"/>
  <c r="BC306" i="675" s="1"/>
  <c r="AT306" i="675"/>
  <c r="AU306" i="675" s="1"/>
  <c r="AL306" i="675"/>
  <c r="AM306" i="675" s="1"/>
  <c r="AD306" i="675"/>
  <c r="AE306" i="675" s="1"/>
  <c r="V306" i="675"/>
  <c r="W306" i="675" s="1"/>
  <c r="N306" i="675"/>
  <c r="O306" i="675" s="1"/>
  <c r="BJ305" i="675"/>
  <c r="BK305" i="675" s="1"/>
  <c r="BB305" i="675"/>
  <c r="BC305" i="675" s="1"/>
  <c r="AT305" i="675"/>
  <c r="AU305" i="675" s="1"/>
  <c r="AL305" i="675"/>
  <c r="AM305" i="675" s="1"/>
  <c r="AD305" i="675"/>
  <c r="AE305" i="675" s="1"/>
  <c r="V305" i="675"/>
  <c r="W305" i="675" s="1"/>
  <c r="N305" i="675"/>
  <c r="O305" i="675" s="1"/>
  <c r="BJ304" i="675"/>
  <c r="BK304" i="675" s="1"/>
  <c r="BB304" i="675"/>
  <c r="BC304" i="675" s="1"/>
  <c r="AT304" i="675"/>
  <c r="AU304" i="675" s="1"/>
  <c r="AL304" i="675"/>
  <c r="AM304" i="675" s="1"/>
  <c r="AD304" i="675"/>
  <c r="AE304" i="675" s="1"/>
  <c r="V304" i="675"/>
  <c r="W304" i="675" s="1"/>
  <c r="N304" i="675"/>
  <c r="O304" i="675" s="1"/>
  <c r="BJ303" i="675"/>
  <c r="BK303" i="675" s="1"/>
  <c r="BB303" i="675"/>
  <c r="BC303" i="675" s="1"/>
  <c r="AT303" i="675"/>
  <c r="AU303" i="675" s="1"/>
  <c r="AL303" i="675"/>
  <c r="AM303" i="675" s="1"/>
  <c r="AD303" i="675"/>
  <c r="AE303" i="675" s="1"/>
  <c r="V303" i="675"/>
  <c r="W303" i="675" s="1"/>
  <c r="N303" i="675"/>
  <c r="O303" i="675" s="1"/>
  <c r="BJ302" i="675"/>
  <c r="BK302" i="675" s="1"/>
  <c r="BB302" i="675"/>
  <c r="BC302" i="675" s="1"/>
  <c r="AT302" i="675"/>
  <c r="AU302" i="675" s="1"/>
  <c r="AL302" i="675"/>
  <c r="AM302" i="675" s="1"/>
  <c r="AD302" i="675"/>
  <c r="AE302" i="675" s="1"/>
  <c r="V302" i="675"/>
  <c r="W302" i="675" s="1"/>
  <c r="N302" i="675"/>
  <c r="O302" i="675" s="1"/>
  <c r="BJ301" i="675"/>
  <c r="BK301" i="675" s="1"/>
  <c r="BB301" i="675"/>
  <c r="BC301" i="675" s="1"/>
  <c r="AT301" i="675"/>
  <c r="AU301" i="675" s="1"/>
  <c r="AL301" i="675"/>
  <c r="AM301" i="675" s="1"/>
  <c r="AD301" i="675"/>
  <c r="AE301" i="675" s="1"/>
  <c r="V301" i="675"/>
  <c r="W301" i="675" s="1"/>
  <c r="N301" i="675"/>
  <c r="O301" i="675" s="1"/>
  <c r="BJ300" i="675"/>
  <c r="BK300" i="675" s="1"/>
  <c r="BB300" i="675"/>
  <c r="BC300" i="675" s="1"/>
  <c r="AT300" i="675"/>
  <c r="AU300" i="675" s="1"/>
  <c r="AL300" i="675"/>
  <c r="AM300" i="675" s="1"/>
  <c r="AD300" i="675"/>
  <c r="AE300" i="675" s="1"/>
  <c r="V300" i="675"/>
  <c r="W300" i="675" s="1"/>
  <c r="N300" i="675"/>
  <c r="O300" i="675" s="1"/>
  <c r="BJ299" i="675"/>
  <c r="BK299" i="675" s="1"/>
  <c r="BB299" i="675"/>
  <c r="BC299" i="675" s="1"/>
  <c r="AT299" i="675"/>
  <c r="AU299" i="675" s="1"/>
  <c r="AL299" i="675"/>
  <c r="AM299" i="675" s="1"/>
  <c r="AD299" i="675"/>
  <c r="AE299" i="675" s="1"/>
  <c r="V299" i="675"/>
  <c r="W299" i="675" s="1"/>
  <c r="N299" i="675"/>
  <c r="O299" i="675" s="1"/>
  <c r="BJ298" i="675"/>
  <c r="BK298" i="675" s="1"/>
  <c r="BB298" i="675"/>
  <c r="BC298" i="675" s="1"/>
  <c r="AT298" i="675"/>
  <c r="AU298" i="675" s="1"/>
  <c r="AL298" i="675"/>
  <c r="AM298" i="675" s="1"/>
  <c r="AD298" i="675"/>
  <c r="AE298" i="675" s="1"/>
  <c r="V298" i="675"/>
  <c r="W298" i="675" s="1"/>
  <c r="N298" i="675"/>
  <c r="O298" i="675" s="1"/>
  <c r="BJ297" i="675"/>
  <c r="BK297" i="675" s="1"/>
  <c r="BB297" i="675"/>
  <c r="BC297" i="675" s="1"/>
  <c r="AT297" i="675"/>
  <c r="AU297" i="675" s="1"/>
  <c r="AL297" i="675"/>
  <c r="AM297" i="675" s="1"/>
  <c r="AD297" i="675"/>
  <c r="AE297" i="675" s="1"/>
  <c r="V297" i="675"/>
  <c r="W297" i="675" s="1"/>
  <c r="N297" i="675"/>
  <c r="O297" i="675" s="1"/>
  <c r="BJ296" i="675"/>
  <c r="BK296" i="675" s="1"/>
  <c r="BB296" i="675"/>
  <c r="BC296" i="675" s="1"/>
  <c r="AT296" i="675"/>
  <c r="AU296" i="675" s="1"/>
  <c r="AL296" i="675"/>
  <c r="AM296" i="675" s="1"/>
  <c r="AD296" i="675"/>
  <c r="AE296" i="675" s="1"/>
  <c r="V296" i="675"/>
  <c r="W296" i="675" s="1"/>
  <c r="N296" i="675"/>
  <c r="O296" i="675" s="1"/>
  <c r="BJ295" i="675"/>
  <c r="BK295" i="675" s="1"/>
  <c r="BB295" i="675"/>
  <c r="BC295" i="675" s="1"/>
  <c r="AT295" i="675"/>
  <c r="AU295" i="675" s="1"/>
  <c r="AL295" i="675"/>
  <c r="AM295" i="675" s="1"/>
  <c r="AD295" i="675"/>
  <c r="AE295" i="675" s="1"/>
  <c r="V295" i="675"/>
  <c r="W295" i="675" s="1"/>
  <c r="N295" i="675"/>
  <c r="O295" i="675" s="1"/>
  <c r="BJ294" i="675"/>
  <c r="BK294" i="675" s="1"/>
  <c r="BB294" i="675"/>
  <c r="BC294" i="675" s="1"/>
  <c r="AT294" i="675"/>
  <c r="AU294" i="675" s="1"/>
  <c r="AL294" i="675"/>
  <c r="AM294" i="675" s="1"/>
  <c r="AD294" i="675"/>
  <c r="AE294" i="675" s="1"/>
  <c r="V294" i="675"/>
  <c r="W294" i="675" s="1"/>
  <c r="N294" i="675"/>
  <c r="O294" i="675" s="1"/>
  <c r="BJ293" i="675"/>
  <c r="BK293" i="675" s="1"/>
  <c r="BB293" i="675"/>
  <c r="BC293" i="675" s="1"/>
  <c r="AT293" i="675"/>
  <c r="AU293" i="675" s="1"/>
  <c r="AL293" i="675"/>
  <c r="AM293" i="675" s="1"/>
  <c r="AD293" i="675"/>
  <c r="AE293" i="675" s="1"/>
  <c r="V293" i="675"/>
  <c r="W293" i="675" s="1"/>
  <c r="N293" i="675"/>
  <c r="O293" i="675" s="1"/>
  <c r="BJ292" i="675"/>
  <c r="BK292" i="675" s="1"/>
  <c r="BB292" i="675"/>
  <c r="BC292" i="675" s="1"/>
  <c r="AT292" i="675"/>
  <c r="AU292" i="675" s="1"/>
  <c r="AL292" i="675"/>
  <c r="AM292" i="675" s="1"/>
  <c r="AD292" i="675"/>
  <c r="AE292" i="675" s="1"/>
  <c r="V292" i="675"/>
  <c r="W292" i="675" s="1"/>
  <c r="N292" i="675"/>
  <c r="O292" i="675" s="1"/>
  <c r="BJ291" i="675"/>
  <c r="BK291" i="675" s="1"/>
  <c r="BB291" i="675"/>
  <c r="BC291" i="675" s="1"/>
  <c r="AT291" i="675"/>
  <c r="AU291" i="675" s="1"/>
  <c r="AL291" i="675"/>
  <c r="AM291" i="675" s="1"/>
  <c r="AD291" i="675"/>
  <c r="AE291" i="675" s="1"/>
  <c r="V291" i="675"/>
  <c r="W291" i="675" s="1"/>
  <c r="N291" i="675"/>
  <c r="O291" i="675" s="1"/>
  <c r="BJ290" i="675"/>
  <c r="BK290" i="675" s="1"/>
  <c r="BB290" i="675"/>
  <c r="BC290" i="675" s="1"/>
  <c r="AT290" i="675"/>
  <c r="AU290" i="675" s="1"/>
  <c r="AL290" i="675"/>
  <c r="AM290" i="675" s="1"/>
  <c r="AD290" i="675"/>
  <c r="AE290" i="675" s="1"/>
  <c r="V290" i="675"/>
  <c r="W290" i="675" s="1"/>
  <c r="N290" i="675"/>
  <c r="O290" i="675" s="1"/>
  <c r="BJ289" i="675"/>
  <c r="BK289" i="675" s="1"/>
  <c r="BB289" i="675"/>
  <c r="BC289" i="675" s="1"/>
  <c r="AT289" i="675"/>
  <c r="AU289" i="675" s="1"/>
  <c r="AL289" i="675"/>
  <c r="AM289" i="675" s="1"/>
  <c r="AD289" i="675"/>
  <c r="AE289" i="675" s="1"/>
  <c r="V289" i="675"/>
  <c r="W289" i="675" s="1"/>
  <c r="N289" i="675"/>
  <c r="O289" i="675" s="1"/>
  <c r="BJ288" i="675"/>
  <c r="BK288" i="675" s="1"/>
  <c r="BB288" i="675"/>
  <c r="BC288" i="675" s="1"/>
  <c r="AT288" i="675"/>
  <c r="AU288" i="675" s="1"/>
  <c r="AL288" i="675"/>
  <c r="AM288" i="675" s="1"/>
  <c r="AD288" i="675"/>
  <c r="AE288" i="675" s="1"/>
  <c r="V288" i="675"/>
  <c r="W288" i="675" s="1"/>
  <c r="N288" i="675"/>
  <c r="O288" i="675" s="1"/>
  <c r="BJ287" i="675"/>
  <c r="BK287" i="675" s="1"/>
  <c r="BB287" i="675"/>
  <c r="BC287" i="675" s="1"/>
  <c r="AT287" i="675"/>
  <c r="AU287" i="675" s="1"/>
  <c r="AL287" i="675"/>
  <c r="AM287" i="675" s="1"/>
  <c r="AD287" i="675"/>
  <c r="AE287" i="675" s="1"/>
  <c r="V287" i="675"/>
  <c r="W287" i="675" s="1"/>
  <c r="N287" i="675"/>
  <c r="O287" i="675" s="1"/>
  <c r="BJ286" i="675"/>
  <c r="BK286" i="675" s="1"/>
  <c r="BB286" i="675"/>
  <c r="BC286" i="675" s="1"/>
  <c r="AT286" i="675"/>
  <c r="AU286" i="675" s="1"/>
  <c r="AL286" i="675"/>
  <c r="AM286" i="675" s="1"/>
  <c r="AD286" i="675"/>
  <c r="AE286" i="675" s="1"/>
  <c r="V286" i="675"/>
  <c r="W286" i="675" s="1"/>
  <c r="N286" i="675"/>
  <c r="O286" i="675" s="1"/>
  <c r="BJ285" i="675"/>
  <c r="BK285" i="675" s="1"/>
  <c r="BB285" i="675"/>
  <c r="BC285" i="675" s="1"/>
  <c r="AT285" i="675"/>
  <c r="AU285" i="675" s="1"/>
  <c r="AL285" i="675"/>
  <c r="AM285" i="675" s="1"/>
  <c r="AD285" i="675"/>
  <c r="AE285" i="675" s="1"/>
  <c r="V285" i="675"/>
  <c r="W285" i="675" s="1"/>
  <c r="N285" i="675"/>
  <c r="O285" i="675" s="1"/>
  <c r="BJ284" i="675"/>
  <c r="BK284" i="675" s="1"/>
  <c r="BB284" i="675"/>
  <c r="BC284" i="675" s="1"/>
  <c r="AT284" i="675"/>
  <c r="AU284" i="675" s="1"/>
  <c r="AL284" i="675"/>
  <c r="AM284" i="675" s="1"/>
  <c r="AD284" i="675"/>
  <c r="AE284" i="675" s="1"/>
  <c r="V284" i="675"/>
  <c r="W284" i="675" s="1"/>
  <c r="N284" i="675"/>
  <c r="O284" i="675" s="1"/>
  <c r="BJ283" i="675"/>
  <c r="BK283" i="675" s="1"/>
  <c r="BB283" i="675"/>
  <c r="BC283" i="675" s="1"/>
  <c r="AT283" i="675"/>
  <c r="AU283" i="675" s="1"/>
  <c r="AL283" i="675"/>
  <c r="AM283" i="675" s="1"/>
  <c r="AD283" i="675"/>
  <c r="AE283" i="675" s="1"/>
  <c r="V283" i="675"/>
  <c r="W283" i="675" s="1"/>
  <c r="N283" i="675"/>
  <c r="O283" i="675" s="1"/>
  <c r="BJ282" i="675"/>
  <c r="BK282" i="675" s="1"/>
  <c r="BB282" i="675"/>
  <c r="BC282" i="675" s="1"/>
  <c r="AT282" i="675"/>
  <c r="AU282" i="675" s="1"/>
  <c r="AL282" i="675"/>
  <c r="AM282" i="675" s="1"/>
  <c r="AD282" i="675"/>
  <c r="AE282" i="675" s="1"/>
  <c r="V282" i="675"/>
  <c r="W282" i="675" s="1"/>
  <c r="N282" i="675"/>
  <c r="O282" i="675" s="1"/>
  <c r="BJ281" i="675"/>
  <c r="BK281" i="675" s="1"/>
  <c r="BB281" i="675"/>
  <c r="BC281" i="675" s="1"/>
  <c r="AT281" i="675"/>
  <c r="AU281" i="675" s="1"/>
  <c r="AL281" i="675"/>
  <c r="AM281" i="675" s="1"/>
  <c r="AD281" i="675"/>
  <c r="AE281" i="675" s="1"/>
  <c r="V281" i="675"/>
  <c r="W281" i="675" s="1"/>
  <c r="N281" i="675"/>
  <c r="O281" i="675" s="1"/>
  <c r="BJ280" i="675"/>
  <c r="BK280" i="675" s="1"/>
  <c r="BB280" i="675"/>
  <c r="BC280" i="675" s="1"/>
  <c r="AT280" i="675"/>
  <c r="AU280" i="675" s="1"/>
  <c r="AL280" i="675"/>
  <c r="AM280" i="675" s="1"/>
  <c r="AD280" i="675"/>
  <c r="AE280" i="675" s="1"/>
  <c r="V280" i="675"/>
  <c r="W280" i="675" s="1"/>
  <c r="N280" i="675"/>
  <c r="O280" i="675" s="1"/>
  <c r="BJ279" i="675"/>
  <c r="BK279" i="675" s="1"/>
  <c r="BB279" i="675"/>
  <c r="BC279" i="675" s="1"/>
  <c r="AT279" i="675"/>
  <c r="AU279" i="675" s="1"/>
  <c r="AL279" i="675"/>
  <c r="AM279" i="675" s="1"/>
  <c r="AD279" i="675"/>
  <c r="AE279" i="675" s="1"/>
  <c r="V279" i="675"/>
  <c r="W279" i="675" s="1"/>
  <c r="N279" i="675"/>
  <c r="O279" i="675" s="1"/>
  <c r="BJ278" i="675"/>
  <c r="BK278" i="675" s="1"/>
  <c r="BB278" i="675"/>
  <c r="BC278" i="675" s="1"/>
  <c r="AT278" i="675"/>
  <c r="AU278" i="675" s="1"/>
  <c r="AL278" i="675"/>
  <c r="AM278" i="675" s="1"/>
  <c r="AD278" i="675"/>
  <c r="AE278" i="675" s="1"/>
  <c r="V278" i="675"/>
  <c r="W278" i="675" s="1"/>
  <c r="N278" i="675"/>
  <c r="O278" i="675" s="1"/>
  <c r="BJ277" i="675"/>
  <c r="BK277" i="675" s="1"/>
  <c r="BB277" i="675"/>
  <c r="BC277" i="675" s="1"/>
  <c r="AT277" i="675"/>
  <c r="AU277" i="675" s="1"/>
  <c r="AL277" i="675"/>
  <c r="AM277" i="675" s="1"/>
  <c r="AD277" i="675"/>
  <c r="AE277" i="675" s="1"/>
  <c r="V277" i="675"/>
  <c r="W277" i="675" s="1"/>
  <c r="N277" i="675"/>
  <c r="O277" i="675" s="1"/>
  <c r="BJ276" i="675"/>
  <c r="BK276" i="675" s="1"/>
  <c r="BB276" i="675"/>
  <c r="BC276" i="675" s="1"/>
  <c r="AT276" i="675"/>
  <c r="AU276" i="675" s="1"/>
  <c r="AL276" i="675"/>
  <c r="AM276" i="675" s="1"/>
  <c r="AD276" i="675"/>
  <c r="AE276" i="675" s="1"/>
  <c r="V276" i="675"/>
  <c r="W276" i="675" s="1"/>
  <c r="N276" i="675"/>
  <c r="O276" i="675" s="1"/>
  <c r="BJ275" i="675"/>
  <c r="BK275" i="675" s="1"/>
  <c r="BB275" i="675"/>
  <c r="BC275" i="675" s="1"/>
  <c r="AT275" i="675"/>
  <c r="AU275" i="675" s="1"/>
  <c r="AL275" i="675"/>
  <c r="AM275" i="675" s="1"/>
  <c r="AD275" i="675"/>
  <c r="AE275" i="675" s="1"/>
  <c r="V275" i="675"/>
  <c r="W275" i="675" s="1"/>
  <c r="N275" i="675"/>
  <c r="O275" i="675" s="1"/>
  <c r="BJ274" i="675"/>
  <c r="BK274" i="675" s="1"/>
  <c r="BB274" i="675"/>
  <c r="BC274" i="675" s="1"/>
  <c r="AT274" i="675"/>
  <c r="AU274" i="675" s="1"/>
  <c r="AL274" i="675"/>
  <c r="AM274" i="675" s="1"/>
  <c r="AD274" i="675"/>
  <c r="AE274" i="675" s="1"/>
  <c r="V274" i="675"/>
  <c r="W274" i="675" s="1"/>
  <c r="N274" i="675"/>
  <c r="O274" i="675" s="1"/>
  <c r="BJ273" i="675"/>
  <c r="BK273" i="675" s="1"/>
  <c r="BB273" i="675"/>
  <c r="BC273" i="675" s="1"/>
  <c r="AT273" i="675"/>
  <c r="AU273" i="675" s="1"/>
  <c r="AL273" i="675"/>
  <c r="AM273" i="675" s="1"/>
  <c r="AD273" i="675"/>
  <c r="AE273" i="675" s="1"/>
  <c r="V273" i="675"/>
  <c r="W273" i="675" s="1"/>
  <c r="N273" i="675"/>
  <c r="O273" i="675" s="1"/>
  <c r="BJ272" i="675"/>
  <c r="BK272" i="675" s="1"/>
  <c r="BB272" i="675"/>
  <c r="BC272" i="675" s="1"/>
  <c r="AT272" i="675"/>
  <c r="AU272" i="675" s="1"/>
  <c r="AL272" i="675"/>
  <c r="AM272" i="675" s="1"/>
  <c r="AD272" i="675"/>
  <c r="AE272" i="675" s="1"/>
  <c r="V272" i="675"/>
  <c r="W272" i="675" s="1"/>
  <c r="N272" i="675"/>
  <c r="O272" i="675" s="1"/>
  <c r="BJ271" i="675"/>
  <c r="BK271" i="675" s="1"/>
  <c r="BB271" i="675"/>
  <c r="BC271" i="675" s="1"/>
  <c r="AT271" i="675"/>
  <c r="AU271" i="675" s="1"/>
  <c r="AL271" i="675"/>
  <c r="AM271" i="675" s="1"/>
  <c r="AD271" i="675"/>
  <c r="AE271" i="675" s="1"/>
  <c r="V271" i="675"/>
  <c r="W271" i="675" s="1"/>
  <c r="N271" i="675"/>
  <c r="O271" i="675" s="1"/>
  <c r="BJ270" i="675"/>
  <c r="BK270" i="675" s="1"/>
  <c r="BB270" i="675"/>
  <c r="BC270" i="675" s="1"/>
  <c r="AT270" i="675"/>
  <c r="AU270" i="675" s="1"/>
  <c r="AL270" i="675"/>
  <c r="AM270" i="675" s="1"/>
  <c r="AD270" i="675"/>
  <c r="AE270" i="675" s="1"/>
  <c r="V270" i="675"/>
  <c r="W270" i="675" s="1"/>
  <c r="N270" i="675"/>
  <c r="O270" i="675" s="1"/>
  <c r="BJ269" i="675"/>
  <c r="BK269" i="675" s="1"/>
  <c r="BB269" i="675"/>
  <c r="BC269" i="675" s="1"/>
  <c r="AT269" i="675"/>
  <c r="AU269" i="675" s="1"/>
  <c r="AL269" i="675"/>
  <c r="AM269" i="675" s="1"/>
  <c r="AD269" i="675"/>
  <c r="AE269" i="675" s="1"/>
  <c r="V269" i="675"/>
  <c r="W269" i="675" s="1"/>
  <c r="N269" i="675"/>
  <c r="O269" i="675" s="1"/>
  <c r="BJ268" i="675"/>
  <c r="BK268" i="675" s="1"/>
  <c r="BB268" i="675"/>
  <c r="BC268" i="675" s="1"/>
  <c r="AT268" i="675"/>
  <c r="AU268" i="675" s="1"/>
  <c r="AL268" i="675"/>
  <c r="AM268" i="675" s="1"/>
  <c r="AD268" i="675"/>
  <c r="AE268" i="675" s="1"/>
  <c r="V268" i="675"/>
  <c r="W268" i="675" s="1"/>
  <c r="N268" i="675"/>
  <c r="O268" i="675" s="1"/>
  <c r="BJ267" i="675"/>
  <c r="BK267" i="675" s="1"/>
  <c r="BB267" i="675"/>
  <c r="BC267" i="675" s="1"/>
  <c r="AT267" i="675"/>
  <c r="AU267" i="675" s="1"/>
  <c r="AL267" i="675"/>
  <c r="AM267" i="675" s="1"/>
  <c r="AD267" i="675"/>
  <c r="AE267" i="675" s="1"/>
  <c r="V267" i="675"/>
  <c r="W267" i="675" s="1"/>
  <c r="N267" i="675"/>
  <c r="O267" i="675" s="1"/>
  <c r="BJ266" i="675"/>
  <c r="BK266" i="675" s="1"/>
  <c r="BB266" i="675"/>
  <c r="BC266" i="675" s="1"/>
  <c r="AT266" i="675"/>
  <c r="AU266" i="675" s="1"/>
  <c r="AL266" i="675"/>
  <c r="AM266" i="675" s="1"/>
  <c r="AD266" i="675"/>
  <c r="AE266" i="675" s="1"/>
  <c r="V266" i="675"/>
  <c r="W266" i="675" s="1"/>
  <c r="N266" i="675"/>
  <c r="O266" i="675" s="1"/>
  <c r="BJ265" i="675"/>
  <c r="BK265" i="675" s="1"/>
  <c r="BB265" i="675"/>
  <c r="BC265" i="675" s="1"/>
  <c r="AT265" i="675"/>
  <c r="AU265" i="675" s="1"/>
  <c r="AL265" i="675"/>
  <c r="AM265" i="675" s="1"/>
  <c r="AD265" i="675"/>
  <c r="AE265" i="675" s="1"/>
  <c r="V265" i="675"/>
  <c r="W265" i="675" s="1"/>
  <c r="N265" i="675"/>
  <c r="O265" i="675" s="1"/>
  <c r="BJ264" i="675"/>
  <c r="BK264" i="675" s="1"/>
  <c r="BB264" i="675"/>
  <c r="BC264" i="675" s="1"/>
  <c r="AT264" i="675"/>
  <c r="AU264" i="675" s="1"/>
  <c r="AL264" i="675"/>
  <c r="AM264" i="675" s="1"/>
  <c r="AD264" i="675"/>
  <c r="AE264" i="675" s="1"/>
  <c r="V264" i="675"/>
  <c r="W264" i="675" s="1"/>
  <c r="N264" i="675"/>
  <c r="O264" i="675" s="1"/>
  <c r="BJ263" i="675"/>
  <c r="BK263" i="675" s="1"/>
  <c r="BB263" i="675"/>
  <c r="BC263" i="675" s="1"/>
  <c r="AT263" i="675"/>
  <c r="AU263" i="675" s="1"/>
  <c r="AL263" i="675"/>
  <c r="AM263" i="675" s="1"/>
  <c r="AD263" i="675"/>
  <c r="AE263" i="675" s="1"/>
  <c r="V263" i="675"/>
  <c r="W263" i="675" s="1"/>
  <c r="N263" i="675"/>
  <c r="O263" i="675" s="1"/>
  <c r="BJ262" i="675"/>
  <c r="BK262" i="675" s="1"/>
  <c r="BB262" i="675"/>
  <c r="BC262" i="675" s="1"/>
  <c r="AT262" i="675"/>
  <c r="AU262" i="675" s="1"/>
  <c r="AL262" i="675"/>
  <c r="AM262" i="675" s="1"/>
  <c r="AD262" i="675"/>
  <c r="AE262" i="675" s="1"/>
  <c r="V262" i="675"/>
  <c r="W262" i="675" s="1"/>
  <c r="N262" i="675"/>
  <c r="O262" i="675" s="1"/>
  <c r="BJ261" i="675"/>
  <c r="BK261" i="675" s="1"/>
  <c r="BB261" i="675"/>
  <c r="BC261" i="675" s="1"/>
  <c r="AT261" i="675"/>
  <c r="AU261" i="675" s="1"/>
  <c r="AL261" i="675"/>
  <c r="AM261" i="675" s="1"/>
  <c r="AD261" i="675"/>
  <c r="AE261" i="675" s="1"/>
  <c r="V261" i="675"/>
  <c r="W261" i="675" s="1"/>
  <c r="N261" i="675"/>
  <c r="O261" i="675" s="1"/>
  <c r="BJ260" i="675"/>
  <c r="BK260" i="675" s="1"/>
  <c r="BB260" i="675"/>
  <c r="BC260" i="675" s="1"/>
  <c r="AT260" i="675"/>
  <c r="AU260" i="675" s="1"/>
  <c r="AL260" i="675"/>
  <c r="AM260" i="675" s="1"/>
  <c r="AD260" i="675"/>
  <c r="AE260" i="675" s="1"/>
  <c r="V260" i="675"/>
  <c r="W260" i="675" s="1"/>
  <c r="N260" i="675"/>
  <c r="O260" i="675" s="1"/>
  <c r="BJ259" i="675"/>
  <c r="BK259" i="675" s="1"/>
  <c r="BB259" i="675"/>
  <c r="BC259" i="675" s="1"/>
  <c r="AT259" i="675"/>
  <c r="AU259" i="675" s="1"/>
  <c r="AL259" i="675"/>
  <c r="AM259" i="675" s="1"/>
  <c r="AD259" i="675"/>
  <c r="AE259" i="675" s="1"/>
  <c r="V259" i="675"/>
  <c r="W259" i="675" s="1"/>
  <c r="N259" i="675"/>
  <c r="O259" i="675" s="1"/>
  <c r="BJ258" i="675"/>
  <c r="BK258" i="675" s="1"/>
  <c r="BB258" i="675"/>
  <c r="BC258" i="675" s="1"/>
  <c r="AT258" i="675"/>
  <c r="AU258" i="675" s="1"/>
  <c r="AL258" i="675"/>
  <c r="AM258" i="675" s="1"/>
  <c r="AD258" i="675"/>
  <c r="AE258" i="675" s="1"/>
  <c r="V258" i="675"/>
  <c r="W258" i="675" s="1"/>
  <c r="N258" i="675"/>
  <c r="O258" i="675" s="1"/>
  <c r="BJ257" i="675"/>
  <c r="BK257" i="675" s="1"/>
  <c r="BB257" i="675"/>
  <c r="BC257" i="675" s="1"/>
  <c r="AT257" i="675"/>
  <c r="AU257" i="675" s="1"/>
  <c r="AL257" i="675"/>
  <c r="AM257" i="675" s="1"/>
  <c r="AD257" i="675"/>
  <c r="AE257" i="675" s="1"/>
  <c r="V257" i="675"/>
  <c r="W257" i="675" s="1"/>
  <c r="N257" i="675"/>
  <c r="O257" i="675" s="1"/>
  <c r="BJ256" i="675"/>
  <c r="BK256" i="675" s="1"/>
  <c r="BB256" i="675"/>
  <c r="BC256" i="675" s="1"/>
  <c r="AT256" i="675"/>
  <c r="AU256" i="675" s="1"/>
  <c r="AL256" i="675"/>
  <c r="AM256" i="675" s="1"/>
  <c r="AD256" i="675"/>
  <c r="AE256" i="675" s="1"/>
  <c r="V256" i="675"/>
  <c r="W256" i="675" s="1"/>
  <c r="N256" i="675"/>
  <c r="O256" i="675" s="1"/>
  <c r="BJ255" i="675"/>
  <c r="BK255" i="675" s="1"/>
  <c r="BB255" i="675"/>
  <c r="BC255" i="675" s="1"/>
  <c r="AT255" i="675"/>
  <c r="AU255" i="675" s="1"/>
  <c r="AL255" i="675"/>
  <c r="AM255" i="675" s="1"/>
  <c r="AD255" i="675"/>
  <c r="AE255" i="675" s="1"/>
  <c r="V255" i="675"/>
  <c r="W255" i="675" s="1"/>
  <c r="N255" i="675"/>
  <c r="O255" i="675" s="1"/>
  <c r="BJ254" i="675"/>
  <c r="BK254" i="675" s="1"/>
  <c r="BB254" i="675"/>
  <c r="BC254" i="675" s="1"/>
  <c r="AT254" i="675"/>
  <c r="AU254" i="675" s="1"/>
  <c r="AL254" i="675"/>
  <c r="AM254" i="675" s="1"/>
  <c r="AD254" i="675"/>
  <c r="AE254" i="675" s="1"/>
  <c r="V254" i="675"/>
  <c r="W254" i="675" s="1"/>
  <c r="N254" i="675"/>
  <c r="O254" i="675" s="1"/>
  <c r="BJ253" i="675"/>
  <c r="BK253" i="675" s="1"/>
  <c r="BB253" i="675"/>
  <c r="BC253" i="675" s="1"/>
  <c r="AT253" i="675"/>
  <c r="AU253" i="675" s="1"/>
  <c r="AL253" i="675"/>
  <c r="AM253" i="675" s="1"/>
  <c r="AD253" i="675"/>
  <c r="AE253" i="675" s="1"/>
  <c r="V253" i="675"/>
  <c r="W253" i="675" s="1"/>
  <c r="N253" i="675"/>
  <c r="O253" i="675" s="1"/>
  <c r="BJ252" i="675"/>
  <c r="BK252" i="675" s="1"/>
  <c r="BB252" i="675"/>
  <c r="BC252" i="675" s="1"/>
  <c r="AT252" i="675"/>
  <c r="AU252" i="675" s="1"/>
  <c r="AL252" i="675"/>
  <c r="AM252" i="675" s="1"/>
  <c r="AD252" i="675"/>
  <c r="AE252" i="675" s="1"/>
  <c r="V252" i="675"/>
  <c r="W252" i="675" s="1"/>
  <c r="N252" i="675"/>
  <c r="O252" i="675" s="1"/>
  <c r="BJ251" i="675"/>
  <c r="BK251" i="675" s="1"/>
  <c r="BB251" i="675"/>
  <c r="BC251" i="675" s="1"/>
  <c r="AT251" i="675"/>
  <c r="AU251" i="675" s="1"/>
  <c r="AL251" i="675"/>
  <c r="AM251" i="675" s="1"/>
  <c r="AD251" i="675"/>
  <c r="AE251" i="675" s="1"/>
  <c r="V251" i="675"/>
  <c r="W251" i="675" s="1"/>
  <c r="N251" i="675"/>
  <c r="O251" i="675" s="1"/>
  <c r="BJ250" i="675"/>
  <c r="BK250" i="675" s="1"/>
  <c r="BB250" i="675"/>
  <c r="BC250" i="675" s="1"/>
  <c r="AT250" i="675"/>
  <c r="AU250" i="675" s="1"/>
  <c r="AL250" i="675"/>
  <c r="AM250" i="675" s="1"/>
  <c r="AD250" i="675"/>
  <c r="AE250" i="675" s="1"/>
  <c r="V250" i="675"/>
  <c r="W250" i="675" s="1"/>
  <c r="N250" i="675"/>
  <c r="O250" i="675" s="1"/>
  <c r="BJ249" i="675"/>
  <c r="BK249" i="675" s="1"/>
  <c r="BB249" i="675"/>
  <c r="BC249" i="675" s="1"/>
  <c r="AT249" i="675"/>
  <c r="AU249" i="675" s="1"/>
  <c r="AL249" i="675"/>
  <c r="AM249" i="675" s="1"/>
  <c r="AD249" i="675"/>
  <c r="AE249" i="675" s="1"/>
  <c r="V249" i="675"/>
  <c r="W249" i="675" s="1"/>
  <c r="N249" i="675"/>
  <c r="O249" i="675" s="1"/>
  <c r="BJ248" i="675"/>
  <c r="BK248" i="675" s="1"/>
  <c r="BB248" i="675"/>
  <c r="BC248" i="675" s="1"/>
  <c r="AT248" i="675"/>
  <c r="AU248" i="675" s="1"/>
  <c r="AL248" i="675"/>
  <c r="AM248" i="675" s="1"/>
  <c r="AD248" i="675"/>
  <c r="AE248" i="675" s="1"/>
  <c r="V248" i="675"/>
  <c r="W248" i="675" s="1"/>
  <c r="N248" i="675"/>
  <c r="O248" i="675" s="1"/>
  <c r="BJ247" i="675"/>
  <c r="BK247" i="675" s="1"/>
  <c r="BB247" i="675"/>
  <c r="BC247" i="675" s="1"/>
  <c r="AT247" i="675"/>
  <c r="AU247" i="675" s="1"/>
  <c r="AL247" i="675"/>
  <c r="AM247" i="675" s="1"/>
  <c r="AD247" i="675"/>
  <c r="AE247" i="675" s="1"/>
  <c r="V247" i="675"/>
  <c r="W247" i="675" s="1"/>
  <c r="N247" i="675"/>
  <c r="O247" i="675" s="1"/>
  <c r="BJ246" i="675"/>
  <c r="BK246" i="675" s="1"/>
  <c r="BB246" i="675"/>
  <c r="BC246" i="675" s="1"/>
  <c r="AT246" i="675"/>
  <c r="AU246" i="675" s="1"/>
  <c r="AL246" i="675"/>
  <c r="AM246" i="675" s="1"/>
  <c r="AD246" i="675"/>
  <c r="AE246" i="675" s="1"/>
  <c r="V246" i="675"/>
  <c r="W246" i="675" s="1"/>
  <c r="N246" i="675"/>
  <c r="O246" i="675" s="1"/>
  <c r="BJ245" i="675"/>
  <c r="BK245" i="675" s="1"/>
  <c r="BB245" i="675"/>
  <c r="BC245" i="675" s="1"/>
  <c r="AT245" i="675"/>
  <c r="AU245" i="675" s="1"/>
  <c r="AL245" i="675"/>
  <c r="AM245" i="675" s="1"/>
  <c r="AD245" i="675"/>
  <c r="AE245" i="675" s="1"/>
  <c r="V245" i="675"/>
  <c r="W245" i="675" s="1"/>
  <c r="N245" i="675"/>
  <c r="O245" i="675" s="1"/>
  <c r="BJ244" i="675"/>
  <c r="BK244" i="675" s="1"/>
  <c r="BB244" i="675"/>
  <c r="BC244" i="675" s="1"/>
  <c r="AT244" i="675"/>
  <c r="AU244" i="675" s="1"/>
  <c r="AL244" i="675"/>
  <c r="AM244" i="675" s="1"/>
  <c r="AD244" i="675"/>
  <c r="AE244" i="675" s="1"/>
  <c r="V244" i="675"/>
  <c r="W244" i="675" s="1"/>
  <c r="N244" i="675"/>
  <c r="O244" i="675" s="1"/>
  <c r="BJ243" i="675"/>
  <c r="BK243" i="675" s="1"/>
  <c r="BB243" i="675"/>
  <c r="BC243" i="675" s="1"/>
  <c r="AT243" i="675"/>
  <c r="AU243" i="675" s="1"/>
  <c r="AL243" i="675"/>
  <c r="AM243" i="675" s="1"/>
  <c r="AD243" i="675"/>
  <c r="AE243" i="675" s="1"/>
  <c r="V243" i="675"/>
  <c r="W243" i="675" s="1"/>
  <c r="N243" i="675"/>
  <c r="O243" i="675" s="1"/>
  <c r="BJ242" i="675"/>
  <c r="BK242" i="675" s="1"/>
  <c r="BB242" i="675"/>
  <c r="BC242" i="675" s="1"/>
  <c r="AT242" i="675"/>
  <c r="AU242" i="675" s="1"/>
  <c r="AL242" i="675"/>
  <c r="AM242" i="675" s="1"/>
  <c r="AD242" i="675"/>
  <c r="AE242" i="675" s="1"/>
  <c r="V242" i="675"/>
  <c r="W242" i="675" s="1"/>
  <c r="N242" i="675"/>
  <c r="O242" i="675" s="1"/>
  <c r="BJ241" i="675"/>
  <c r="BK241" i="675" s="1"/>
  <c r="BB241" i="675"/>
  <c r="BC241" i="675" s="1"/>
  <c r="AT241" i="675"/>
  <c r="AU241" i="675" s="1"/>
  <c r="AL241" i="675"/>
  <c r="AM241" i="675" s="1"/>
  <c r="AD241" i="675"/>
  <c r="AE241" i="675" s="1"/>
  <c r="V241" i="675"/>
  <c r="W241" i="675" s="1"/>
  <c r="N241" i="675"/>
  <c r="O241" i="675" s="1"/>
  <c r="BJ240" i="675"/>
  <c r="BK240" i="675" s="1"/>
  <c r="BB240" i="675"/>
  <c r="BC240" i="675" s="1"/>
  <c r="AT240" i="675"/>
  <c r="AU240" i="675" s="1"/>
  <c r="AL240" i="675"/>
  <c r="AM240" i="675" s="1"/>
  <c r="AD240" i="675"/>
  <c r="AE240" i="675" s="1"/>
  <c r="V240" i="675"/>
  <c r="W240" i="675" s="1"/>
  <c r="N240" i="675"/>
  <c r="O240" i="675" s="1"/>
  <c r="BJ239" i="675"/>
  <c r="BK239" i="675" s="1"/>
  <c r="BB239" i="675"/>
  <c r="BC239" i="675" s="1"/>
  <c r="AT239" i="675"/>
  <c r="AU239" i="675" s="1"/>
  <c r="AL239" i="675"/>
  <c r="AM239" i="675" s="1"/>
  <c r="AD239" i="675"/>
  <c r="AE239" i="675" s="1"/>
  <c r="V239" i="675"/>
  <c r="W239" i="675" s="1"/>
  <c r="N239" i="675"/>
  <c r="O239" i="675" s="1"/>
  <c r="BJ238" i="675"/>
  <c r="BK238" i="675" s="1"/>
  <c r="BB238" i="675"/>
  <c r="BC238" i="675" s="1"/>
  <c r="AT238" i="675"/>
  <c r="AU238" i="675" s="1"/>
  <c r="AL238" i="675"/>
  <c r="AM238" i="675" s="1"/>
  <c r="AD238" i="675"/>
  <c r="AE238" i="675" s="1"/>
  <c r="V238" i="675"/>
  <c r="W238" i="675" s="1"/>
  <c r="N238" i="675"/>
  <c r="O238" i="675" s="1"/>
  <c r="BJ237" i="675"/>
  <c r="BK237" i="675" s="1"/>
  <c r="BB237" i="675"/>
  <c r="BC237" i="675" s="1"/>
  <c r="AT237" i="675"/>
  <c r="AU237" i="675" s="1"/>
  <c r="AL237" i="675"/>
  <c r="AM237" i="675" s="1"/>
  <c r="AD237" i="675"/>
  <c r="AE237" i="675" s="1"/>
  <c r="V237" i="675"/>
  <c r="W237" i="675" s="1"/>
  <c r="N237" i="675"/>
  <c r="O237" i="675" s="1"/>
  <c r="BJ236" i="675"/>
  <c r="BK236" i="675" s="1"/>
  <c r="BB236" i="675"/>
  <c r="BC236" i="675" s="1"/>
  <c r="AT236" i="675"/>
  <c r="AU236" i="675" s="1"/>
  <c r="AL236" i="675"/>
  <c r="AM236" i="675" s="1"/>
  <c r="AD236" i="675"/>
  <c r="AE236" i="675" s="1"/>
  <c r="V236" i="675"/>
  <c r="W236" i="675" s="1"/>
  <c r="N236" i="675"/>
  <c r="O236" i="675" s="1"/>
  <c r="BJ235" i="675"/>
  <c r="BK235" i="675" s="1"/>
  <c r="BB235" i="675"/>
  <c r="BC235" i="675" s="1"/>
  <c r="AT235" i="675"/>
  <c r="AU235" i="675" s="1"/>
  <c r="AL235" i="675"/>
  <c r="AM235" i="675" s="1"/>
  <c r="AD235" i="675"/>
  <c r="AE235" i="675" s="1"/>
  <c r="V235" i="675"/>
  <c r="W235" i="675" s="1"/>
  <c r="N235" i="675"/>
  <c r="O235" i="675" s="1"/>
  <c r="BJ234" i="675"/>
  <c r="BK234" i="675" s="1"/>
  <c r="BB234" i="675"/>
  <c r="BC234" i="675" s="1"/>
  <c r="AT234" i="675"/>
  <c r="AU234" i="675" s="1"/>
  <c r="AL234" i="675"/>
  <c r="AM234" i="675" s="1"/>
  <c r="AD234" i="675"/>
  <c r="AE234" i="675" s="1"/>
  <c r="V234" i="675"/>
  <c r="W234" i="675" s="1"/>
  <c r="N234" i="675"/>
  <c r="O234" i="675" s="1"/>
  <c r="BJ233" i="675"/>
  <c r="BK233" i="675" s="1"/>
  <c r="BB233" i="675"/>
  <c r="BC233" i="675" s="1"/>
  <c r="AT233" i="675"/>
  <c r="AU233" i="675" s="1"/>
  <c r="AL233" i="675"/>
  <c r="AM233" i="675" s="1"/>
  <c r="AD233" i="675"/>
  <c r="AE233" i="675" s="1"/>
  <c r="V233" i="675"/>
  <c r="W233" i="675" s="1"/>
  <c r="N233" i="675"/>
  <c r="O233" i="675" s="1"/>
  <c r="BJ232" i="675"/>
  <c r="BK232" i="675" s="1"/>
  <c r="BB232" i="675"/>
  <c r="BC232" i="675" s="1"/>
  <c r="AT232" i="675"/>
  <c r="AU232" i="675" s="1"/>
  <c r="AL232" i="675"/>
  <c r="AM232" i="675" s="1"/>
  <c r="AD232" i="675"/>
  <c r="AE232" i="675" s="1"/>
  <c r="V232" i="675"/>
  <c r="W232" i="675" s="1"/>
  <c r="N232" i="675"/>
  <c r="O232" i="675" s="1"/>
  <c r="BJ231" i="675"/>
  <c r="BK231" i="675" s="1"/>
  <c r="BB231" i="675"/>
  <c r="BC231" i="675" s="1"/>
  <c r="AT231" i="675"/>
  <c r="AU231" i="675" s="1"/>
  <c r="AL231" i="675"/>
  <c r="AM231" i="675" s="1"/>
  <c r="AD231" i="675"/>
  <c r="AE231" i="675" s="1"/>
  <c r="V231" i="675"/>
  <c r="W231" i="675" s="1"/>
  <c r="N231" i="675"/>
  <c r="O231" i="675" s="1"/>
  <c r="BJ230" i="675"/>
  <c r="BK230" i="675" s="1"/>
  <c r="BB230" i="675"/>
  <c r="BC230" i="675" s="1"/>
  <c r="AT230" i="675"/>
  <c r="AU230" i="675" s="1"/>
  <c r="AL230" i="675"/>
  <c r="AM230" i="675" s="1"/>
  <c r="AD230" i="675"/>
  <c r="AE230" i="675" s="1"/>
  <c r="V230" i="675"/>
  <c r="W230" i="675" s="1"/>
  <c r="N230" i="675"/>
  <c r="O230" i="675" s="1"/>
  <c r="BJ229" i="675"/>
  <c r="BK229" i="675" s="1"/>
  <c r="BB229" i="675"/>
  <c r="BC229" i="675" s="1"/>
  <c r="AT229" i="675"/>
  <c r="AU229" i="675" s="1"/>
  <c r="AL229" i="675"/>
  <c r="AM229" i="675" s="1"/>
  <c r="AD229" i="675"/>
  <c r="AE229" i="675" s="1"/>
  <c r="V229" i="675"/>
  <c r="W229" i="675" s="1"/>
  <c r="N229" i="675"/>
  <c r="O229" i="675" s="1"/>
  <c r="BJ228" i="675"/>
  <c r="BK228" i="675" s="1"/>
  <c r="BB228" i="675"/>
  <c r="BC228" i="675" s="1"/>
  <c r="AT228" i="675"/>
  <c r="AU228" i="675" s="1"/>
  <c r="AL228" i="675"/>
  <c r="AM228" i="675" s="1"/>
  <c r="AD228" i="675"/>
  <c r="AE228" i="675" s="1"/>
  <c r="V228" i="675"/>
  <c r="W228" i="675" s="1"/>
  <c r="N228" i="675"/>
  <c r="O228" i="675" s="1"/>
  <c r="BJ227" i="675"/>
  <c r="BK227" i="675" s="1"/>
  <c r="BB227" i="675"/>
  <c r="BC227" i="675" s="1"/>
  <c r="AT227" i="675"/>
  <c r="AU227" i="675" s="1"/>
  <c r="AL227" i="675"/>
  <c r="AM227" i="675" s="1"/>
  <c r="AD227" i="675"/>
  <c r="AE227" i="675" s="1"/>
  <c r="V227" i="675"/>
  <c r="W227" i="675" s="1"/>
  <c r="N227" i="675"/>
  <c r="O227" i="675" s="1"/>
  <c r="BJ226" i="675"/>
  <c r="BK226" i="675" s="1"/>
  <c r="BB226" i="675"/>
  <c r="BC226" i="675" s="1"/>
  <c r="AT226" i="675"/>
  <c r="AU226" i="675" s="1"/>
  <c r="AL226" i="675"/>
  <c r="AM226" i="675" s="1"/>
  <c r="AD226" i="675"/>
  <c r="AE226" i="675" s="1"/>
  <c r="V226" i="675"/>
  <c r="W226" i="675" s="1"/>
  <c r="N226" i="675"/>
  <c r="O226" i="675" s="1"/>
  <c r="BJ225" i="675"/>
  <c r="BK225" i="675" s="1"/>
  <c r="BB225" i="675"/>
  <c r="BC225" i="675" s="1"/>
  <c r="AT225" i="675"/>
  <c r="AU225" i="675" s="1"/>
  <c r="AL225" i="675"/>
  <c r="AM225" i="675" s="1"/>
  <c r="AD225" i="675"/>
  <c r="AE225" i="675" s="1"/>
  <c r="V225" i="675"/>
  <c r="W225" i="675" s="1"/>
  <c r="N225" i="675"/>
  <c r="O225" i="675" s="1"/>
  <c r="BJ224" i="675"/>
  <c r="BK224" i="675" s="1"/>
  <c r="BB224" i="675"/>
  <c r="BC224" i="675" s="1"/>
  <c r="AT224" i="675"/>
  <c r="AU224" i="675" s="1"/>
  <c r="AL224" i="675"/>
  <c r="AM224" i="675" s="1"/>
  <c r="AD224" i="675"/>
  <c r="AE224" i="675" s="1"/>
  <c r="V224" i="675"/>
  <c r="W224" i="675" s="1"/>
  <c r="N224" i="675"/>
  <c r="O224" i="675" s="1"/>
  <c r="BJ223" i="675"/>
  <c r="BK223" i="675" s="1"/>
  <c r="BB223" i="675"/>
  <c r="BC223" i="675" s="1"/>
  <c r="AT223" i="675"/>
  <c r="AU223" i="675" s="1"/>
  <c r="AL223" i="675"/>
  <c r="AM223" i="675" s="1"/>
  <c r="AD223" i="675"/>
  <c r="AE223" i="675" s="1"/>
  <c r="V223" i="675"/>
  <c r="W223" i="675" s="1"/>
  <c r="N223" i="675"/>
  <c r="O223" i="675" s="1"/>
  <c r="BJ222" i="675"/>
  <c r="BK222" i="675" s="1"/>
  <c r="BB222" i="675"/>
  <c r="BC222" i="675" s="1"/>
  <c r="AT222" i="675"/>
  <c r="AU222" i="675" s="1"/>
  <c r="AL222" i="675"/>
  <c r="AM222" i="675" s="1"/>
  <c r="AD222" i="675"/>
  <c r="AE222" i="675" s="1"/>
  <c r="V222" i="675"/>
  <c r="W222" i="675" s="1"/>
  <c r="N222" i="675"/>
  <c r="O222" i="675" s="1"/>
  <c r="BJ221" i="675"/>
  <c r="BK221" i="675" s="1"/>
  <c r="BB221" i="675"/>
  <c r="BC221" i="675" s="1"/>
  <c r="AT221" i="675"/>
  <c r="AU221" i="675" s="1"/>
  <c r="AL221" i="675"/>
  <c r="AM221" i="675" s="1"/>
  <c r="AD221" i="675"/>
  <c r="AE221" i="675" s="1"/>
  <c r="V221" i="675"/>
  <c r="W221" i="675" s="1"/>
  <c r="N221" i="675"/>
  <c r="O221" i="675" s="1"/>
  <c r="BJ220" i="675"/>
  <c r="BK220" i="675" s="1"/>
  <c r="BB220" i="675"/>
  <c r="BC220" i="675" s="1"/>
  <c r="AT220" i="675"/>
  <c r="AU220" i="675" s="1"/>
  <c r="AL220" i="675"/>
  <c r="AM220" i="675" s="1"/>
  <c r="AD220" i="675"/>
  <c r="AE220" i="675" s="1"/>
  <c r="V220" i="675"/>
  <c r="W220" i="675" s="1"/>
  <c r="N220" i="675"/>
  <c r="O220" i="675" s="1"/>
  <c r="BJ219" i="675"/>
  <c r="BK219" i="675" s="1"/>
  <c r="BB219" i="675"/>
  <c r="BC219" i="675" s="1"/>
  <c r="AT219" i="675"/>
  <c r="AU219" i="675" s="1"/>
  <c r="AL219" i="675"/>
  <c r="AM219" i="675" s="1"/>
  <c r="AD219" i="675"/>
  <c r="AE219" i="675" s="1"/>
  <c r="V219" i="675"/>
  <c r="W219" i="675" s="1"/>
  <c r="N219" i="675"/>
  <c r="O219" i="675" s="1"/>
  <c r="BJ218" i="675"/>
  <c r="BK218" i="675" s="1"/>
  <c r="BB218" i="675"/>
  <c r="BC218" i="675" s="1"/>
  <c r="AT218" i="675"/>
  <c r="AU218" i="675" s="1"/>
  <c r="AL218" i="675"/>
  <c r="AM218" i="675" s="1"/>
  <c r="AD218" i="675"/>
  <c r="AE218" i="675" s="1"/>
  <c r="V218" i="675"/>
  <c r="W218" i="675" s="1"/>
  <c r="N218" i="675"/>
  <c r="O218" i="675" s="1"/>
  <c r="BJ217" i="675"/>
  <c r="BK217" i="675" s="1"/>
  <c r="BB217" i="675"/>
  <c r="BC217" i="675" s="1"/>
  <c r="AT217" i="675"/>
  <c r="AU217" i="675" s="1"/>
  <c r="AL217" i="675"/>
  <c r="AM217" i="675" s="1"/>
  <c r="AD217" i="675"/>
  <c r="AE217" i="675" s="1"/>
  <c r="V217" i="675"/>
  <c r="W217" i="675" s="1"/>
  <c r="N217" i="675"/>
  <c r="O217" i="675" s="1"/>
  <c r="BJ216" i="675"/>
  <c r="BK216" i="675" s="1"/>
  <c r="BB216" i="675"/>
  <c r="BC216" i="675" s="1"/>
  <c r="AT216" i="675"/>
  <c r="AU216" i="675" s="1"/>
  <c r="AL216" i="675"/>
  <c r="AM216" i="675" s="1"/>
  <c r="AD216" i="675"/>
  <c r="AE216" i="675" s="1"/>
  <c r="V216" i="675"/>
  <c r="W216" i="675" s="1"/>
  <c r="N216" i="675"/>
  <c r="O216" i="675" s="1"/>
  <c r="BJ215" i="675"/>
  <c r="BK215" i="675" s="1"/>
  <c r="BB215" i="675"/>
  <c r="BC215" i="675" s="1"/>
  <c r="AT215" i="675"/>
  <c r="AU215" i="675" s="1"/>
  <c r="AL215" i="675"/>
  <c r="AM215" i="675" s="1"/>
  <c r="AD215" i="675"/>
  <c r="AE215" i="675" s="1"/>
  <c r="V215" i="675"/>
  <c r="W215" i="675" s="1"/>
  <c r="N215" i="675"/>
  <c r="O215" i="675" s="1"/>
  <c r="BJ214" i="675"/>
  <c r="BK214" i="675" s="1"/>
  <c r="BB214" i="675"/>
  <c r="BC214" i="675" s="1"/>
  <c r="AT214" i="675"/>
  <c r="AU214" i="675" s="1"/>
  <c r="AL214" i="675"/>
  <c r="AM214" i="675" s="1"/>
  <c r="AD214" i="675"/>
  <c r="AE214" i="675" s="1"/>
  <c r="V214" i="675"/>
  <c r="W214" i="675" s="1"/>
  <c r="N214" i="675"/>
  <c r="O214" i="675" s="1"/>
  <c r="BJ213" i="675"/>
  <c r="BK213" i="675" s="1"/>
  <c r="BB213" i="675"/>
  <c r="BC213" i="675" s="1"/>
  <c r="AT213" i="675"/>
  <c r="AU213" i="675" s="1"/>
  <c r="AL213" i="675"/>
  <c r="AM213" i="675" s="1"/>
  <c r="AD213" i="675"/>
  <c r="AE213" i="675" s="1"/>
  <c r="V213" i="675"/>
  <c r="W213" i="675" s="1"/>
  <c r="N213" i="675"/>
  <c r="O213" i="675" s="1"/>
  <c r="BJ212" i="675"/>
  <c r="BK212" i="675" s="1"/>
  <c r="BB212" i="675"/>
  <c r="BC212" i="675" s="1"/>
  <c r="AT212" i="675"/>
  <c r="AU212" i="675" s="1"/>
  <c r="AL212" i="675"/>
  <c r="AM212" i="675" s="1"/>
  <c r="AD212" i="675"/>
  <c r="AE212" i="675" s="1"/>
  <c r="V212" i="675"/>
  <c r="W212" i="675" s="1"/>
  <c r="N212" i="675"/>
  <c r="O212" i="675" s="1"/>
  <c r="BJ211" i="675"/>
  <c r="BK211" i="675" s="1"/>
  <c r="BB211" i="675"/>
  <c r="BC211" i="675" s="1"/>
  <c r="AT211" i="675"/>
  <c r="AU211" i="675" s="1"/>
  <c r="AL211" i="675"/>
  <c r="AM211" i="675" s="1"/>
  <c r="AD211" i="675"/>
  <c r="AE211" i="675" s="1"/>
  <c r="V211" i="675"/>
  <c r="W211" i="675" s="1"/>
  <c r="N211" i="675"/>
  <c r="O211" i="675" s="1"/>
  <c r="BJ210" i="675"/>
  <c r="BK210" i="675" s="1"/>
  <c r="BB210" i="675"/>
  <c r="BC210" i="675" s="1"/>
  <c r="AT210" i="675"/>
  <c r="AU210" i="675" s="1"/>
  <c r="AL210" i="675"/>
  <c r="AM210" i="675" s="1"/>
  <c r="AD210" i="675"/>
  <c r="AE210" i="675" s="1"/>
  <c r="V210" i="675"/>
  <c r="W210" i="675" s="1"/>
  <c r="N210" i="675"/>
  <c r="O210" i="675" s="1"/>
  <c r="BJ209" i="675"/>
  <c r="BK209" i="675" s="1"/>
  <c r="BB209" i="675"/>
  <c r="BC209" i="675" s="1"/>
  <c r="AT209" i="675"/>
  <c r="AU209" i="675" s="1"/>
  <c r="AL209" i="675"/>
  <c r="AM209" i="675" s="1"/>
  <c r="AD209" i="675"/>
  <c r="AE209" i="675" s="1"/>
  <c r="V209" i="675"/>
  <c r="W209" i="675" s="1"/>
  <c r="N209" i="675"/>
  <c r="O209" i="675" s="1"/>
  <c r="BJ208" i="675"/>
  <c r="BK208" i="675" s="1"/>
  <c r="BB208" i="675"/>
  <c r="BC208" i="675" s="1"/>
  <c r="AT208" i="675"/>
  <c r="AU208" i="675" s="1"/>
  <c r="AL208" i="675"/>
  <c r="AM208" i="675" s="1"/>
  <c r="AD208" i="675"/>
  <c r="AE208" i="675" s="1"/>
  <c r="V208" i="675"/>
  <c r="W208" i="675" s="1"/>
  <c r="N208" i="675"/>
  <c r="O208" i="675" s="1"/>
  <c r="BJ207" i="675"/>
  <c r="BK207" i="675" s="1"/>
  <c r="BB207" i="675"/>
  <c r="BC207" i="675" s="1"/>
  <c r="AT207" i="675"/>
  <c r="AU207" i="675" s="1"/>
  <c r="AL207" i="675"/>
  <c r="AM207" i="675" s="1"/>
  <c r="AD207" i="675"/>
  <c r="AE207" i="675" s="1"/>
  <c r="V207" i="675"/>
  <c r="W207" i="675" s="1"/>
  <c r="N207" i="675"/>
  <c r="O207" i="675" s="1"/>
  <c r="BJ206" i="675"/>
  <c r="BK206" i="675" s="1"/>
  <c r="BB206" i="675"/>
  <c r="BC206" i="675" s="1"/>
  <c r="AT206" i="675"/>
  <c r="AU206" i="675" s="1"/>
  <c r="AL206" i="675"/>
  <c r="AM206" i="675" s="1"/>
  <c r="AD206" i="675"/>
  <c r="AE206" i="675" s="1"/>
  <c r="V206" i="675"/>
  <c r="W206" i="675" s="1"/>
  <c r="N206" i="675"/>
  <c r="O206" i="675" s="1"/>
  <c r="BJ205" i="675"/>
  <c r="BK205" i="675" s="1"/>
  <c r="BB205" i="675"/>
  <c r="BC205" i="675" s="1"/>
  <c r="AT205" i="675"/>
  <c r="AU205" i="675" s="1"/>
  <c r="AL205" i="675"/>
  <c r="AM205" i="675" s="1"/>
  <c r="AD205" i="675"/>
  <c r="AE205" i="675" s="1"/>
  <c r="V205" i="675"/>
  <c r="W205" i="675" s="1"/>
  <c r="N205" i="675"/>
  <c r="O205" i="675" s="1"/>
  <c r="BJ204" i="675"/>
  <c r="BK204" i="675" s="1"/>
  <c r="BB204" i="675"/>
  <c r="BC204" i="675" s="1"/>
  <c r="AT204" i="675"/>
  <c r="AU204" i="675" s="1"/>
  <c r="AL204" i="675"/>
  <c r="AM204" i="675" s="1"/>
  <c r="AD204" i="675"/>
  <c r="AE204" i="675" s="1"/>
  <c r="V204" i="675"/>
  <c r="W204" i="675" s="1"/>
  <c r="N204" i="675"/>
  <c r="O204" i="675" s="1"/>
  <c r="BJ203" i="675"/>
  <c r="BK203" i="675" s="1"/>
  <c r="BB203" i="675"/>
  <c r="BC203" i="675" s="1"/>
  <c r="AT203" i="675"/>
  <c r="AU203" i="675" s="1"/>
  <c r="AL203" i="675"/>
  <c r="AM203" i="675" s="1"/>
  <c r="AD203" i="675"/>
  <c r="AE203" i="675" s="1"/>
  <c r="V203" i="675"/>
  <c r="W203" i="675" s="1"/>
  <c r="N203" i="675"/>
  <c r="O203" i="675" s="1"/>
  <c r="BJ202" i="675"/>
  <c r="BK202" i="675" s="1"/>
  <c r="BB202" i="675"/>
  <c r="BC202" i="675" s="1"/>
  <c r="AT202" i="675"/>
  <c r="AU202" i="675" s="1"/>
  <c r="AL202" i="675"/>
  <c r="AM202" i="675" s="1"/>
  <c r="AD202" i="675"/>
  <c r="AE202" i="675" s="1"/>
  <c r="V202" i="675"/>
  <c r="W202" i="675" s="1"/>
  <c r="N202" i="675"/>
  <c r="O202" i="675" s="1"/>
  <c r="BJ201" i="675"/>
  <c r="BK201" i="675" s="1"/>
  <c r="BB201" i="675"/>
  <c r="BC201" i="675" s="1"/>
  <c r="AT201" i="675"/>
  <c r="AU201" i="675" s="1"/>
  <c r="AL201" i="675"/>
  <c r="AM201" i="675" s="1"/>
  <c r="AD201" i="675"/>
  <c r="AE201" i="675" s="1"/>
  <c r="V201" i="675"/>
  <c r="W201" i="675" s="1"/>
  <c r="N201" i="675"/>
  <c r="O201" i="675" s="1"/>
  <c r="BJ200" i="675"/>
  <c r="BK200" i="675" s="1"/>
  <c r="BB200" i="675"/>
  <c r="BC200" i="675" s="1"/>
  <c r="AT200" i="675"/>
  <c r="AU200" i="675" s="1"/>
  <c r="AL200" i="675"/>
  <c r="AM200" i="675" s="1"/>
  <c r="AD200" i="675"/>
  <c r="AE200" i="675" s="1"/>
  <c r="V200" i="675"/>
  <c r="W200" i="675" s="1"/>
  <c r="N200" i="675"/>
  <c r="O200" i="675" s="1"/>
  <c r="BJ199" i="675"/>
  <c r="BK199" i="675" s="1"/>
  <c r="BB199" i="675"/>
  <c r="BC199" i="675" s="1"/>
  <c r="AT199" i="675"/>
  <c r="AU199" i="675" s="1"/>
  <c r="AL199" i="675"/>
  <c r="AM199" i="675" s="1"/>
  <c r="AD199" i="675"/>
  <c r="AE199" i="675" s="1"/>
  <c r="V199" i="675"/>
  <c r="W199" i="675" s="1"/>
  <c r="N199" i="675"/>
  <c r="O199" i="675" s="1"/>
  <c r="BJ198" i="675"/>
  <c r="BK198" i="675" s="1"/>
  <c r="BB198" i="675"/>
  <c r="BC198" i="675" s="1"/>
  <c r="AT198" i="675"/>
  <c r="AU198" i="675" s="1"/>
  <c r="AL198" i="675"/>
  <c r="AM198" i="675" s="1"/>
  <c r="AD198" i="675"/>
  <c r="AE198" i="675" s="1"/>
  <c r="V198" i="675"/>
  <c r="W198" i="675" s="1"/>
  <c r="N198" i="675"/>
  <c r="O198" i="675" s="1"/>
  <c r="BJ197" i="675"/>
  <c r="BK197" i="675" s="1"/>
  <c r="BB197" i="675"/>
  <c r="BC197" i="675" s="1"/>
  <c r="AT197" i="675"/>
  <c r="AU197" i="675" s="1"/>
  <c r="AL197" i="675"/>
  <c r="AM197" i="675" s="1"/>
  <c r="AD197" i="675"/>
  <c r="AE197" i="675" s="1"/>
  <c r="V197" i="675"/>
  <c r="W197" i="675" s="1"/>
  <c r="N197" i="675"/>
  <c r="O197" i="675" s="1"/>
  <c r="BJ196" i="675"/>
  <c r="BK196" i="675" s="1"/>
  <c r="BB196" i="675"/>
  <c r="BC196" i="675" s="1"/>
  <c r="AT196" i="675"/>
  <c r="AU196" i="675" s="1"/>
  <c r="AL196" i="675"/>
  <c r="AM196" i="675" s="1"/>
  <c r="AD196" i="675"/>
  <c r="AE196" i="675" s="1"/>
  <c r="V196" i="675"/>
  <c r="W196" i="675" s="1"/>
  <c r="N196" i="675"/>
  <c r="O196" i="675" s="1"/>
  <c r="BJ195" i="675"/>
  <c r="BK195" i="675" s="1"/>
  <c r="BB195" i="675"/>
  <c r="BC195" i="675" s="1"/>
  <c r="AT195" i="675"/>
  <c r="AU195" i="675" s="1"/>
  <c r="AL195" i="675"/>
  <c r="AM195" i="675" s="1"/>
  <c r="AD195" i="675"/>
  <c r="AE195" i="675" s="1"/>
  <c r="V195" i="675"/>
  <c r="W195" i="675" s="1"/>
  <c r="N195" i="675"/>
  <c r="O195" i="675" s="1"/>
  <c r="BJ194" i="675"/>
  <c r="BK194" i="675" s="1"/>
  <c r="BB194" i="675"/>
  <c r="BC194" i="675" s="1"/>
  <c r="AT194" i="675"/>
  <c r="AU194" i="675" s="1"/>
  <c r="AL194" i="675"/>
  <c r="AM194" i="675" s="1"/>
  <c r="AD194" i="675"/>
  <c r="AE194" i="675" s="1"/>
  <c r="V194" i="675"/>
  <c r="W194" i="675" s="1"/>
  <c r="N194" i="675"/>
  <c r="O194" i="675" s="1"/>
  <c r="BJ193" i="675"/>
  <c r="BK193" i="675" s="1"/>
  <c r="BB193" i="675"/>
  <c r="BC193" i="675" s="1"/>
  <c r="AT193" i="675"/>
  <c r="AU193" i="675" s="1"/>
  <c r="AL193" i="675"/>
  <c r="AM193" i="675" s="1"/>
  <c r="AD193" i="675"/>
  <c r="AE193" i="675" s="1"/>
  <c r="V193" i="675"/>
  <c r="W193" i="675" s="1"/>
  <c r="N193" i="675"/>
  <c r="O193" i="675" s="1"/>
  <c r="BJ192" i="675"/>
  <c r="BK192" i="675" s="1"/>
  <c r="BB192" i="675"/>
  <c r="BC192" i="675" s="1"/>
  <c r="AT192" i="675"/>
  <c r="AU192" i="675" s="1"/>
  <c r="AL192" i="675"/>
  <c r="AM192" i="675" s="1"/>
  <c r="AD192" i="675"/>
  <c r="AE192" i="675" s="1"/>
  <c r="V192" i="675"/>
  <c r="W192" i="675" s="1"/>
  <c r="N192" i="675"/>
  <c r="O192" i="675" s="1"/>
  <c r="BJ191" i="675"/>
  <c r="BK191" i="675" s="1"/>
  <c r="BB191" i="675"/>
  <c r="BC191" i="675" s="1"/>
  <c r="AT191" i="675"/>
  <c r="AU191" i="675" s="1"/>
  <c r="AL191" i="675"/>
  <c r="AM191" i="675" s="1"/>
  <c r="AD191" i="675"/>
  <c r="AE191" i="675" s="1"/>
  <c r="V191" i="675"/>
  <c r="W191" i="675" s="1"/>
  <c r="N191" i="675"/>
  <c r="O191" i="675" s="1"/>
  <c r="BJ190" i="675"/>
  <c r="BK190" i="675" s="1"/>
  <c r="BB190" i="675"/>
  <c r="BC190" i="675" s="1"/>
  <c r="AT190" i="675"/>
  <c r="AU190" i="675" s="1"/>
  <c r="AL190" i="675"/>
  <c r="AM190" i="675" s="1"/>
  <c r="AD190" i="675"/>
  <c r="AE190" i="675" s="1"/>
  <c r="V190" i="675"/>
  <c r="W190" i="675" s="1"/>
  <c r="N190" i="675"/>
  <c r="O190" i="675" s="1"/>
  <c r="BJ189" i="675"/>
  <c r="BK189" i="675" s="1"/>
  <c r="BB189" i="675"/>
  <c r="BC189" i="675" s="1"/>
  <c r="AT189" i="675"/>
  <c r="AU189" i="675" s="1"/>
  <c r="AL189" i="675"/>
  <c r="AM189" i="675" s="1"/>
  <c r="AD189" i="675"/>
  <c r="AE189" i="675" s="1"/>
  <c r="V189" i="675"/>
  <c r="W189" i="675" s="1"/>
  <c r="N189" i="675"/>
  <c r="O189" i="675" s="1"/>
  <c r="BJ188" i="675"/>
  <c r="BK188" i="675" s="1"/>
  <c r="BB188" i="675"/>
  <c r="BC188" i="675" s="1"/>
  <c r="AT188" i="675"/>
  <c r="AU188" i="675" s="1"/>
  <c r="AL188" i="675"/>
  <c r="AM188" i="675" s="1"/>
  <c r="AD188" i="675"/>
  <c r="AE188" i="675" s="1"/>
  <c r="V188" i="675"/>
  <c r="W188" i="675" s="1"/>
  <c r="N188" i="675"/>
  <c r="O188" i="675" s="1"/>
  <c r="BJ187" i="675"/>
  <c r="BK187" i="675" s="1"/>
  <c r="BB187" i="675"/>
  <c r="BC187" i="675" s="1"/>
  <c r="AT187" i="675"/>
  <c r="AU187" i="675" s="1"/>
  <c r="AL187" i="675"/>
  <c r="AM187" i="675" s="1"/>
  <c r="AD187" i="675"/>
  <c r="AE187" i="675" s="1"/>
  <c r="V187" i="675"/>
  <c r="W187" i="675" s="1"/>
  <c r="N187" i="675"/>
  <c r="O187" i="675" s="1"/>
  <c r="BJ186" i="675"/>
  <c r="BK186" i="675" s="1"/>
  <c r="BB186" i="675"/>
  <c r="BC186" i="675" s="1"/>
  <c r="AT186" i="675"/>
  <c r="AU186" i="675" s="1"/>
  <c r="AL186" i="675"/>
  <c r="AM186" i="675" s="1"/>
  <c r="AD186" i="675"/>
  <c r="AE186" i="675" s="1"/>
  <c r="V186" i="675"/>
  <c r="W186" i="675" s="1"/>
  <c r="N186" i="675"/>
  <c r="O186" i="675" s="1"/>
  <c r="BJ185" i="675"/>
  <c r="BK185" i="675" s="1"/>
  <c r="BB185" i="675"/>
  <c r="BC185" i="675" s="1"/>
  <c r="AT185" i="675"/>
  <c r="AU185" i="675" s="1"/>
  <c r="AL185" i="675"/>
  <c r="AM185" i="675" s="1"/>
  <c r="AD185" i="675"/>
  <c r="AE185" i="675" s="1"/>
  <c r="V185" i="675"/>
  <c r="W185" i="675" s="1"/>
  <c r="N185" i="675"/>
  <c r="O185" i="675" s="1"/>
  <c r="BJ184" i="675"/>
  <c r="BK184" i="675" s="1"/>
  <c r="BB184" i="675"/>
  <c r="BC184" i="675" s="1"/>
  <c r="AT184" i="675"/>
  <c r="AU184" i="675" s="1"/>
  <c r="AL184" i="675"/>
  <c r="AM184" i="675" s="1"/>
  <c r="AD184" i="675"/>
  <c r="AE184" i="675" s="1"/>
  <c r="V184" i="675"/>
  <c r="W184" i="675" s="1"/>
  <c r="N184" i="675"/>
  <c r="O184" i="675" s="1"/>
  <c r="BJ183" i="675"/>
  <c r="BK183" i="675" s="1"/>
  <c r="BB183" i="675"/>
  <c r="BC183" i="675" s="1"/>
  <c r="AT183" i="675"/>
  <c r="AU183" i="675" s="1"/>
  <c r="AL183" i="675"/>
  <c r="AM183" i="675" s="1"/>
  <c r="AD183" i="675"/>
  <c r="AE183" i="675" s="1"/>
  <c r="V183" i="675"/>
  <c r="W183" i="675" s="1"/>
  <c r="N183" i="675"/>
  <c r="O183" i="675" s="1"/>
  <c r="BJ182" i="675"/>
  <c r="BK182" i="675" s="1"/>
  <c r="BB182" i="675"/>
  <c r="BC182" i="675" s="1"/>
  <c r="AT182" i="675"/>
  <c r="AU182" i="675" s="1"/>
  <c r="AL182" i="675"/>
  <c r="AM182" i="675" s="1"/>
  <c r="AD182" i="675"/>
  <c r="AE182" i="675" s="1"/>
  <c r="V182" i="675"/>
  <c r="W182" i="675" s="1"/>
  <c r="N182" i="675"/>
  <c r="O182" i="675" s="1"/>
  <c r="BJ181" i="675"/>
  <c r="BK181" i="675" s="1"/>
  <c r="BB181" i="675"/>
  <c r="BC181" i="675" s="1"/>
  <c r="AT181" i="675"/>
  <c r="AU181" i="675" s="1"/>
  <c r="AL181" i="675"/>
  <c r="AM181" i="675" s="1"/>
  <c r="AD181" i="675"/>
  <c r="AE181" i="675" s="1"/>
  <c r="V181" i="675"/>
  <c r="W181" i="675" s="1"/>
  <c r="N181" i="675"/>
  <c r="O181" i="675" s="1"/>
  <c r="BJ180" i="675"/>
  <c r="BK180" i="675" s="1"/>
  <c r="BB180" i="675"/>
  <c r="BC180" i="675" s="1"/>
  <c r="AT180" i="675"/>
  <c r="AU180" i="675" s="1"/>
  <c r="AL180" i="675"/>
  <c r="AM180" i="675" s="1"/>
  <c r="AD180" i="675"/>
  <c r="AE180" i="675" s="1"/>
  <c r="V180" i="675"/>
  <c r="W180" i="675" s="1"/>
  <c r="N180" i="675"/>
  <c r="O180" i="675" s="1"/>
  <c r="BJ179" i="675"/>
  <c r="BK179" i="675" s="1"/>
  <c r="BB179" i="675"/>
  <c r="BC179" i="675" s="1"/>
  <c r="AT179" i="675"/>
  <c r="AU179" i="675" s="1"/>
  <c r="AL179" i="675"/>
  <c r="AM179" i="675" s="1"/>
  <c r="AD179" i="675"/>
  <c r="AE179" i="675" s="1"/>
  <c r="V179" i="675"/>
  <c r="W179" i="675" s="1"/>
  <c r="N179" i="675"/>
  <c r="O179" i="675" s="1"/>
  <c r="BJ178" i="675"/>
  <c r="BK178" i="675" s="1"/>
  <c r="BB178" i="675"/>
  <c r="BC178" i="675" s="1"/>
  <c r="AT178" i="675"/>
  <c r="AU178" i="675" s="1"/>
  <c r="AL178" i="675"/>
  <c r="AM178" i="675" s="1"/>
  <c r="AD178" i="675"/>
  <c r="AE178" i="675" s="1"/>
  <c r="V178" i="675"/>
  <c r="W178" i="675" s="1"/>
  <c r="N178" i="675"/>
  <c r="O178" i="675" s="1"/>
  <c r="BJ177" i="675"/>
  <c r="BK177" i="675" s="1"/>
  <c r="BB177" i="675"/>
  <c r="BC177" i="675" s="1"/>
  <c r="AT177" i="675"/>
  <c r="AU177" i="675" s="1"/>
  <c r="AL177" i="675"/>
  <c r="AM177" i="675" s="1"/>
  <c r="AD177" i="675"/>
  <c r="AE177" i="675" s="1"/>
  <c r="V177" i="675"/>
  <c r="W177" i="675" s="1"/>
  <c r="N177" i="675"/>
  <c r="O177" i="675" s="1"/>
  <c r="BJ176" i="675"/>
  <c r="BK176" i="675" s="1"/>
  <c r="BB176" i="675"/>
  <c r="BC176" i="675" s="1"/>
  <c r="AT176" i="675"/>
  <c r="AU176" i="675" s="1"/>
  <c r="AL176" i="675"/>
  <c r="AM176" i="675" s="1"/>
  <c r="AD176" i="675"/>
  <c r="AE176" i="675" s="1"/>
  <c r="V176" i="675"/>
  <c r="W176" i="675" s="1"/>
  <c r="N176" i="675"/>
  <c r="O176" i="675" s="1"/>
  <c r="BJ175" i="675"/>
  <c r="BK175" i="675" s="1"/>
  <c r="BB175" i="675"/>
  <c r="BC175" i="675" s="1"/>
  <c r="AT175" i="675"/>
  <c r="AU175" i="675" s="1"/>
  <c r="AL175" i="675"/>
  <c r="AM175" i="675" s="1"/>
  <c r="AD175" i="675"/>
  <c r="AE175" i="675" s="1"/>
  <c r="V175" i="675"/>
  <c r="W175" i="675" s="1"/>
  <c r="N175" i="675"/>
  <c r="O175" i="675" s="1"/>
  <c r="BJ174" i="675"/>
  <c r="BK174" i="675" s="1"/>
  <c r="BB174" i="675"/>
  <c r="BC174" i="675" s="1"/>
  <c r="AT174" i="675"/>
  <c r="AU174" i="675" s="1"/>
  <c r="AL174" i="675"/>
  <c r="AM174" i="675" s="1"/>
  <c r="AD174" i="675"/>
  <c r="AE174" i="675" s="1"/>
  <c r="V174" i="675"/>
  <c r="W174" i="675" s="1"/>
  <c r="N174" i="675"/>
  <c r="O174" i="675" s="1"/>
  <c r="BJ173" i="675"/>
  <c r="BK173" i="675" s="1"/>
  <c r="BB173" i="675"/>
  <c r="BC173" i="675" s="1"/>
  <c r="AT173" i="675"/>
  <c r="AU173" i="675" s="1"/>
  <c r="AL173" i="675"/>
  <c r="AM173" i="675" s="1"/>
  <c r="AD173" i="675"/>
  <c r="AE173" i="675" s="1"/>
  <c r="V173" i="675"/>
  <c r="W173" i="675" s="1"/>
  <c r="N173" i="675"/>
  <c r="O173" i="675" s="1"/>
  <c r="BJ172" i="675"/>
  <c r="BK172" i="675" s="1"/>
  <c r="BB172" i="675"/>
  <c r="BC172" i="675" s="1"/>
  <c r="AT172" i="675"/>
  <c r="AU172" i="675" s="1"/>
  <c r="AL172" i="675"/>
  <c r="AM172" i="675" s="1"/>
  <c r="AD172" i="675"/>
  <c r="AE172" i="675" s="1"/>
  <c r="V172" i="675"/>
  <c r="W172" i="675" s="1"/>
  <c r="N172" i="675"/>
  <c r="O172" i="675" s="1"/>
  <c r="BJ171" i="675"/>
  <c r="BK171" i="675" s="1"/>
  <c r="BB171" i="675"/>
  <c r="BC171" i="675" s="1"/>
  <c r="AT171" i="675"/>
  <c r="AU171" i="675" s="1"/>
  <c r="AL171" i="675"/>
  <c r="AM171" i="675" s="1"/>
  <c r="AD171" i="675"/>
  <c r="AE171" i="675" s="1"/>
  <c r="V171" i="675"/>
  <c r="W171" i="675" s="1"/>
  <c r="N171" i="675"/>
  <c r="O171" i="675" s="1"/>
  <c r="BJ170" i="675"/>
  <c r="BK170" i="675" s="1"/>
  <c r="BB170" i="675"/>
  <c r="BC170" i="675" s="1"/>
  <c r="AT170" i="675"/>
  <c r="AU170" i="675" s="1"/>
  <c r="AL170" i="675"/>
  <c r="AM170" i="675" s="1"/>
  <c r="AD170" i="675"/>
  <c r="AE170" i="675" s="1"/>
  <c r="V170" i="675"/>
  <c r="W170" i="675" s="1"/>
  <c r="N170" i="675"/>
  <c r="O170" i="675" s="1"/>
  <c r="BJ169" i="675"/>
  <c r="BK169" i="675" s="1"/>
  <c r="BB169" i="675"/>
  <c r="BC169" i="675" s="1"/>
  <c r="AT169" i="675"/>
  <c r="AU169" i="675" s="1"/>
  <c r="AL169" i="675"/>
  <c r="AM169" i="675" s="1"/>
  <c r="AD169" i="675"/>
  <c r="AE169" i="675" s="1"/>
  <c r="V169" i="675"/>
  <c r="W169" i="675" s="1"/>
  <c r="N169" i="675"/>
  <c r="O169" i="675" s="1"/>
  <c r="BJ168" i="675"/>
  <c r="BK168" i="675" s="1"/>
  <c r="BB168" i="675"/>
  <c r="BC168" i="675" s="1"/>
  <c r="AT168" i="675"/>
  <c r="AU168" i="675" s="1"/>
  <c r="AL168" i="675"/>
  <c r="AM168" i="675" s="1"/>
  <c r="AD168" i="675"/>
  <c r="AE168" i="675" s="1"/>
  <c r="V168" i="675"/>
  <c r="W168" i="675" s="1"/>
  <c r="N168" i="675"/>
  <c r="O168" i="675" s="1"/>
  <c r="BJ167" i="675"/>
  <c r="BK167" i="675" s="1"/>
  <c r="BB167" i="675"/>
  <c r="BC167" i="675" s="1"/>
  <c r="AT167" i="675"/>
  <c r="AU167" i="675" s="1"/>
  <c r="AL167" i="675"/>
  <c r="AM167" i="675" s="1"/>
  <c r="AD167" i="675"/>
  <c r="AE167" i="675" s="1"/>
  <c r="V167" i="675"/>
  <c r="W167" i="675" s="1"/>
  <c r="N167" i="675"/>
  <c r="O167" i="675" s="1"/>
  <c r="BJ166" i="675"/>
  <c r="BK166" i="675" s="1"/>
  <c r="BB166" i="675"/>
  <c r="BC166" i="675" s="1"/>
  <c r="AT166" i="675"/>
  <c r="AU166" i="675" s="1"/>
  <c r="AL166" i="675"/>
  <c r="AM166" i="675" s="1"/>
  <c r="AD166" i="675"/>
  <c r="AE166" i="675" s="1"/>
  <c r="V166" i="675"/>
  <c r="W166" i="675" s="1"/>
  <c r="N166" i="675"/>
  <c r="O166" i="675" s="1"/>
  <c r="BJ165" i="675"/>
  <c r="BK165" i="675" s="1"/>
  <c r="BB165" i="675"/>
  <c r="BC165" i="675" s="1"/>
  <c r="AT165" i="675"/>
  <c r="AU165" i="675" s="1"/>
  <c r="AL165" i="675"/>
  <c r="AM165" i="675" s="1"/>
  <c r="AD165" i="675"/>
  <c r="AE165" i="675" s="1"/>
  <c r="V165" i="675"/>
  <c r="W165" i="675" s="1"/>
  <c r="N165" i="675"/>
  <c r="O165" i="675" s="1"/>
  <c r="BJ164" i="675"/>
  <c r="BK164" i="675" s="1"/>
  <c r="BB164" i="675"/>
  <c r="BC164" i="675" s="1"/>
  <c r="AT164" i="675"/>
  <c r="AU164" i="675" s="1"/>
  <c r="AL164" i="675"/>
  <c r="AM164" i="675" s="1"/>
  <c r="AD164" i="675"/>
  <c r="AE164" i="675" s="1"/>
  <c r="V164" i="675"/>
  <c r="W164" i="675" s="1"/>
  <c r="N164" i="675"/>
  <c r="O164" i="675" s="1"/>
  <c r="BJ163" i="675"/>
  <c r="BK163" i="675" s="1"/>
  <c r="BB163" i="675"/>
  <c r="BC163" i="675" s="1"/>
  <c r="AT163" i="675"/>
  <c r="AU163" i="675" s="1"/>
  <c r="AL163" i="675"/>
  <c r="AM163" i="675" s="1"/>
  <c r="AD163" i="675"/>
  <c r="AE163" i="675" s="1"/>
  <c r="V163" i="675"/>
  <c r="W163" i="675" s="1"/>
  <c r="N163" i="675"/>
  <c r="O163" i="675" s="1"/>
  <c r="BJ162" i="675"/>
  <c r="BK162" i="675" s="1"/>
  <c r="BB162" i="675"/>
  <c r="BC162" i="675" s="1"/>
  <c r="AT162" i="675"/>
  <c r="AU162" i="675" s="1"/>
  <c r="AL162" i="675"/>
  <c r="AM162" i="675" s="1"/>
  <c r="AD162" i="675"/>
  <c r="AE162" i="675" s="1"/>
  <c r="V162" i="675"/>
  <c r="W162" i="675" s="1"/>
  <c r="N162" i="675"/>
  <c r="O162" i="675" s="1"/>
  <c r="BJ161" i="675"/>
  <c r="BK161" i="675" s="1"/>
  <c r="BB161" i="675"/>
  <c r="BC161" i="675" s="1"/>
  <c r="AT161" i="675"/>
  <c r="AU161" i="675" s="1"/>
  <c r="AL161" i="675"/>
  <c r="AM161" i="675" s="1"/>
  <c r="AD161" i="675"/>
  <c r="AE161" i="675" s="1"/>
  <c r="V161" i="675"/>
  <c r="W161" i="675" s="1"/>
  <c r="N161" i="675"/>
  <c r="O161" i="675" s="1"/>
  <c r="BJ160" i="675"/>
  <c r="BK160" i="675" s="1"/>
  <c r="BB160" i="675"/>
  <c r="BC160" i="675" s="1"/>
  <c r="AT160" i="675"/>
  <c r="AU160" i="675" s="1"/>
  <c r="AL160" i="675"/>
  <c r="AM160" i="675" s="1"/>
  <c r="AD160" i="675"/>
  <c r="AE160" i="675" s="1"/>
  <c r="V160" i="675"/>
  <c r="W160" i="675" s="1"/>
  <c r="N160" i="675"/>
  <c r="O160" i="675" s="1"/>
  <c r="BJ159" i="675"/>
  <c r="BK159" i="675" s="1"/>
  <c r="BB159" i="675"/>
  <c r="BC159" i="675" s="1"/>
  <c r="AT159" i="675"/>
  <c r="AU159" i="675" s="1"/>
  <c r="AL159" i="675"/>
  <c r="AM159" i="675" s="1"/>
  <c r="AD159" i="675"/>
  <c r="AE159" i="675" s="1"/>
  <c r="V159" i="675"/>
  <c r="W159" i="675" s="1"/>
  <c r="N159" i="675"/>
  <c r="O159" i="675" s="1"/>
  <c r="BJ158" i="675"/>
  <c r="BK158" i="675" s="1"/>
  <c r="BB158" i="675"/>
  <c r="BC158" i="675" s="1"/>
  <c r="AT158" i="675"/>
  <c r="AU158" i="675" s="1"/>
  <c r="AL158" i="675"/>
  <c r="AM158" i="675" s="1"/>
  <c r="AD158" i="675"/>
  <c r="AE158" i="675" s="1"/>
  <c r="V158" i="675"/>
  <c r="W158" i="675" s="1"/>
  <c r="N158" i="675"/>
  <c r="O158" i="675" s="1"/>
  <c r="BJ157" i="675"/>
  <c r="BK157" i="675" s="1"/>
  <c r="BB157" i="675"/>
  <c r="BC157" i="675" s="1"/>
  <c r="AT157" i="675"/>
  <c r="AU157" i="675" s="1"/>
  <c r="AL157" i="675"/>
  <c r="AM157" i="675" s="1"/>
  <c r="AD157" i="675"/>
  <c r="AE157" i="675" s="1"/>
  <c r="V157" i="675"/>
  <c r="W157" i="675" s="1"/>
  <c r="N157" i="675"/>
  <c r="O157" i="675" s="1"/>
  <c r="BJ156" i="675"/>
  <c r="BK156" i="675" s="1"/>
  <c r="BB156" i="675"/>
  <c r="BC156" i="675" s="1"/>
  <c r="AT156" i="675"/>
  <c r="AU156" i="675" s="1"/>
  <c r="AL156" i="675"/>
  <c r="AM156" i="675" s="1"/>
  <c r="AD156" i="675"/>
  <c r="AE156" i="675" s="1"/>
  <c r="V156" i="675"/>
  <c r="W156" i="675" s="1"/>
  <c r="N156" i="675"/>
  <c r="O156" i="675" s="1"/>
  <c r="BJ155" i="675"/>
  <c r="BK155" i="675" s="1"/>
  <c r="BB155" i="675"/>
  <c r="BC155" i="675" s="1"/>
  <c r="AT155" i="675"/>
  <c r="AU155" i="675" s="1"/>
  <c r="AL155" i="675"/>
  <c r="AM155" i="675" s="1"/>
  <c r="AD155" i="675"/>
  <c r="AE155" i="675" s="1"/>
  <c r="V155" i="675"/>
  <c r="W155" i="675" s="1"/>
  <c r="N155" i="675"/>
  <c r="O155" i="675" s="1"/>
  <c r="BJ154" i="675"/>
  <c r="BK154" i="675" s="1"/>
  <c r="BB154" i="675"/>
  <c r="BC154" i="675" s="1"/>
  <c r="AT154" i="675"/>
  <c r="AU154" i="675" s="1"/>
  <c r="AL154" i="675"/>
  <c r="AM154" i="675" s="1"/>
  <c r="AD154" i="675"/>
  <c r="AE154" i="675" s="1"/>
  <c r="V154" i="675"/>
  <c r="W154" i="675" s="1"/>
  <c r="N154" i="675"/>
  <c r="O154" i="675" s="1"/>
  <c r="BJ153" i="675"/>
  <c r="BK153" i="675" s="1"/>
  <c r="BB153" i="675"/>
  <c r="BC153" i="675" s="1"/>
  <c r="AT153" i="675"/>
  <c r="AU153" i="675" s="1"/>
  <c r="AL153" i="675"/>
  <c r="AM153" i="675" s="1"/>
  <c r="AD153" i="675"/>
  <c r="AE153" i="675" s="1"/>
  <c r="V153" i="675"/>
  <c r="W153" i="675" s="1"/>
  <c r="N153" i="675"/>
  <c r="O153" i="675" s="1"/>
  <c r="BJ152" i="675"/>
  <c r="BK152" i="675" s="1"/>
  <c r="BB152" i="675"/>
  <c r="BC152" i="675" s="1"/>
  <c r="AT152" i="675"/>
  <c r="AU152" i="675" s="1"/>
  <c r="AL152" i="675"/>
  <c r="AM152" i="675" s="1"/>
  <c r="AD152" i="675"/>
  <c r="AE152" i="675" s="1"/>
  <c r="V152" i="675"/>
  <c r="W152" i="675" s="1"/>
  <c r="N152" i="675"/>
  <c r="O152" i="675" s="1"/>
  <c r="BJ151" i="675"/>
  <c r="BK151" i="675" s="1"/>
  <c r="BB151" i="675"/>
  <c r="BC151" i="675" s="1"/>
  <c r="AT151" i="675"/>
  <c r="AU151" i="675" s="1"/>
  <c r="AL151" i="675"/>
  <c r="AM151" i="675" s="1"/>
  <c r="AD151" i="675"/>
  <c r="AE151" i="675" s="1"/>
  <c r="V151" i="675"/>
  <c r="W151" i="675" s="1"/>
  <c r="N151" i="675"/>
  <c r="O151" i="675" s="1"/>
  <c r="BJ150" i="675"/>
  <c r="BK150" i="675" s="1"/>
  <c r="BB150" i="675"/>
  <c r="BC150" i="675" s="1"/>
  <c r="AT150" i="675"/>
  <c r="AU150" i="675" s="1"/>
  <c r="AL150" i="675"/>
  <c r="AM150" i="675" s="1"/>
  <c r="AD150" i="675"/>
  <c r="AE150" i="675" s="1"/>
  <c r="V150" i="675"/>
  <c r="W150" i="675" s="1"/>
  <c r="N150" i="675"/>
  <c r="O150" i="675" s="1"/>
  <c r="BJ149" i="675"/>
  <c r="BK149" i="675" s="1"/>
  <c r="BB149" i="675"/>
  <c r="BC149" i="675" s="1"/>
  <c r="AT149" i="675"/>
  <c r="AU149" i="675" s="1"/>
  <c r="AL149" i="675"/>
  <c r="AM149" i="675" s="1"/>
  <c r="AD149" i="675"/>
  <c r="AE149" i="675" s="1"/>
  <c r="V149" i="675"/>
  <c r="W149" i="675" s="1"/>
  <c r="N149" i="675"/>
  <c r="O149" i="675" s="1"/>
  <c r="BJ148" i="675"/>
  <c r="BK148" i="675" s="1"/>
  <c r="BB148" i="675"/>
  <c r="BC148" i="675" s="1"/>
  <c r="AT148" i="675"/>
  <c r="AU148" i="675" s="1"/>
  <c r="AL148" i="675"/>
  <c r="AM148" i="675" s="1"/>
  <c r="AD148" i="675"/>
  <c r="AE148" i="675" s="1"/>
  <c r="V148" i="675"/>
  <c r="W148" i="675" s="1"/>
  <c r="N148" i="675"/>
  <c r="O148" i="675" s="1"/>
  <c r="BJ147" i="675"/>
  <c r="BK147" i="675" s="1"/>
  <c r="BB147" i="675"/>
  <c r="BC147" i="675" s="1"/>
  <c r="AT147" i="675"/>
  <c r="AU147" i="675" s="1"/>
  <c r="AL147" i="675"/>
  <c r="AM147" i="675" s="1"/>
  <c r="AD147" i="675"/>
  <c r="AE147" i="675" s="1"/>
  <c r="V147" i="675"/>
  <c r="W147" i="675" s="1"/>
  <c r="N147" i="675"/>
  <c r="O147" i="675" s="1"/>
  <c r="BJ146" i="675"/>
  <c r="BK146" i="675" s="1"/>
  <c r="BB146" i="675"/>
  <c r="BC146" i="675" s="1"/>
  <c r="AT146" i="675"/>
  <c r="AU146" i="675" s="1"/>
  <c r="AL146" i="675"/>
  <c r="AM146" i="675" s="1"/>
  <c r="AD146" i="675"/>
  <c r="AE146" i="675" s="1"/>
  <c r="V146" i="675"/>
  <c r="W146" i="675" s="1"/>
  <c r="N146" i="675"/>
  <c r="O146" i="675" s="1"/>
  <c r="BJ145" i="675"/>
  <c r="BK145" i="675" s="1"/>
  <c r="BB145" i="675"/>
  <c r="BC145" i="675" s="1"/>
  <c r="AT145" i="675"/>
  <c r="AU145" i="675" s="1"/>
  <c r="AL145" i="675"/>
  <c r="AM145" i="675" s="1"/>
  <c r="AD145" i="675"/>
  <c r="AE145" i="675" s="1"/>
  <c r="V145" i="675"/>
  <c r="W145" i="675" s="1"/>
  <c r="N145" i="675"/>
  <c r="O145" i="675" s="1"/>
  <c r="BJ144" i="675"/>
  <c r="BK144" i="675" s="1"/>
  <c r="BB144" i="675"/>
  <c r="BC144" i="675" s="1"/>
  <c r="AT144" i="675"/>
  <c r="AU144" i="675" s="1"/>
  <c r="AL144" i="675"/>
  <c r="AM144" i="675" s="1"/>
  <c r="AD144" i="675"/>
  <c r="AE144" i="675" s="1"/>
  <c r="V144" i="675"/>
  <c r="W144" i="675" s="1"/>
  <c r="N144" i="675"/>
  <c r="O144" i="675" s="1"/>
  <c r="BJ143" i="675"/>
  <c r="BK143" i="675" s="1"/>
  <c r="BB143" i="675"/>
  <c r="BC143" i="675" s="1"/>
  <c r="AT143" i="675"/>
  <c r="AU143" i="675" s="1"/>
  <c r="AL143" i="675"/>
  <c r="AM143" i="675" s="1"/>
  <c r="AD143" i="675"/>
  <c r="AE143" i="675" s="1"/>
  <c r="V143" i="675"/>
  <c r="W143" i="675" s="1"/>
  <c r="N143" i="675"/>
  <c r="O143" i="675" s="1"/>
  <c r="BJ142" i="675"/>
  <c r="BK142" i="675" s="1"/>
  <c r="BB142" i="675"/>
  <c r="BC142" i="675" s="1"/>
  <c r="AT142" i="675"/>
  <c r="AU142" i="675" s="1"/>
  <c r="AL142" i="675"/>
  <c r="AM142" i="675" s="1"/>
  <c r="AD142" i="675"/>
  <c r="AE142" i="675" s="1"/>
  <c r="V142" i="675"/>
  <c r="W142" i="675" s="1"/>
  <c r="N142" i="675"/>
  <c r="O142" i="675" s="1"/>
  <c r="BJ141" i="675"/>
  <c r="BK141" i="675" s="1"/>
  <c r="BB141" i="675"/>
  <c r="BC141" i="675" s="1"/>
  <c r="AT141" i="675"/>
  <c r="AU141" i="675" s="1"/>
  <c r="AL141" i="675"/>
  <c r="AM141" i="675" s="1"/>
  <c r="AD141" i="675"/>
  <c r="AE141" i="675" s="1"/>
  <c r="V141" i="675"/>
  <c r="W141" i="675" s="1"/>
  <c r="N141" i="675"/>
  <c r="O141" i="675" s="1"/>
  <c r="BJ140" i="675"/>
  <c r="BK140" i="675" s="1"/>
  <c r="BB140" i="675"/>
  <c r="BC140" i="675" s="1"/>
  <c r="AT140" i="675"/>
  <c r="AU140" i="675" s="1"/>
  <c r="AL140" i="675"/>
  <c r="AM140" i="675" s="1"/>
  <c r="AD140" i="675"/>
  <c r="AE140" i="675" s="1"/>
  <c r="V140" i="675"/>
  <c r="W140" i="675" s="1"/>
  <c r="N140" i="675"/>
  <c r="O140" i="675" s="1"/>
  <c r="BJ139" i="675"/>
  <c r="BK139" i="675" s="1"/>
  <c r="BB139" i="675"/>
  <c r="BC139" i="675" s="1"/>
  <c r="AT139" i="675"/>
  <c r="AU139" i="675" s="1"/>
  <c r="AL139" i="675"/>
  <c r="AM139" i="675" s="1"/>
  <c r="AD139" i="675"/>
  <c r="AE139" i="675" s="1"/>
  <c r="V139" i="675"/>
  <c r="W139" i="675" s="1"/>
  <c r="N139" i="675"/>
  <c r="O139" i="675" s="1"/>
  <c r="BJ138" i="675"/>
  <c r="BK138" i="675" s="1"/>
  <c r="BB138" i="675"/>
  <c r="BC138" i="675" s="1"/>
  <c r="AT138" i="675"/>
  <c r="AU138" i="675" s="1"/>
  <c r="AL138" i="675"/>
  <c r="AM138" i="675" s="1"/>
  <c r="AD138" i="675"/>
  <c r="AE138" i="675" s="1"/>
  <c r="V138" i="675"/>
  <c r="W138" i="675" s="1"/>
  <c r="N138" i="675"/>
  <c r="O138" i="675" s="1"/>
  <c r="BJ137" i="675"/>
  <c r="BK137" i="675" s="1"/>
  <c r="BB137" i="675"/>
  <c r="BC137" i="675" s="1"/>
  <c r="AT137" i="675"/>
  <c r="AU137" i="675" s="1"/>
  <c r="AL137" i="675"/>
  <c r="AM137" i="675" s="1"/>
  <c r="AD137" i="675"/>
  <c r="AE137" i="675" s="1"/>
  <c r="V137" i="675"/>
  <c r="W137" i="675" s="1"/>
  <c r="N137" i="675"/>
  <c r="O137" i="675" s="1"/>
  <c r="BJ136" i="675"/>
  <c r="BK136" i="675" s="1"/>
  <c r="BB136" i="675"/>
  <c r="BC136" i="675" s="1"/>
  <c r="AT136" i="675"/>
  <c r="AU136" i="675" s="1"/>
  <c r="AL136" i="675"/>
  <c r="AM136" i="675" s="1"/>
  <c r="AD136" i="675"/>
  <c r="AE136" i="675" s="1"/>
  <c r="V136" i="675"/>
  <c r="W136" i="675" s="1"/>
  <c r="N136" i="675"/>
  <c r="O136" i="675" s="1"/>
  <c r="BJ135" i="675"/>
  <c r="BK135" i="675" s="1"/>
  <c r="BB135" i="675"/>
  <c r="BC135" i="675" s="1"/>
  <c r="AT135" i="675"/>
  <c r="AU135" i="675" s="1"/>
  <c r="AL135" i="675"/>
  <c r="AM135" i="675" s="1"/>
  <c r="AD135" i="675"/>
  <c r="AE135" i="675" s="1"/>
  <c r="V135" i="675"/>
  <c r="W135" i="675" s="1"/>
  <c r="N135" i="675"/>
  <c r="O135" i="675" s="1"/>
  <c r="BJ134" i="675"/>
  <c r="BK134" i="675" s="1"/>
  <c r="BB134" i="675"/>
  <c r="BC134" i="675" s="1"/>
  <c r="AT134" i="675"/>
  <c r="AU134" i="675" s="1"/>
  <c r="AL134" i="675"/>
  <c r="AM134" i="675" s="1"/>
  <c r="AD134" i="675"/>
  <c r="AE134" i="675" s="1"/>
  <c r="V134" i="675"/>
  <c r="W134" i="675" s="1"/>
  <c r="N134" i="675"/>
  <c r="O134" i="675" s="1"/>
  <c r="BJ133" i="675"/>
  <c r="BK133" i="675" s="1"/>
  <c r="BB133" i="675"/>
  <c r="BC133" i="675" s="1"/>
  <c r="AT133" i="675"/>
  <c r="AU133" i="675" s="1"/>
  <c r="AL133" i="675"/>
  <c r="AM133" i="675" s="1"/>
  <c r="AD133" i="675"/>
  <c r="AE133" i="675" s="1"/>
  <c r="V133" i="675"/>
  <c r="W133" i="675" s="1"/>
  <c r="N133" i="675"/>
  <c r="O133" i="675" s="1"/>
  <c r="BJ132" i="675"/>
  <c r="BK132" i="675" s="1"/>
  <c r="BB132" i="675"/>
  <c r="BC132" i="675" s="1"/>
  <c r="AT132" i="675"/>
  <c r="AU132" i="675" s="1"/>
  <c r="AL132" i="675"/>
  <c r="AM132" i="675" s="1"/>
  <c r="AD132" i="675"/>
  <c r="AE132" i="675" s="1"/>
  <c r="V132" i="675"/>
  <c r="W132" i="675" s="1"/>
  <c r="N132" i="675"/>
  <c r="O132" i="675" s="1"/>
  <c r="BJ131" i="675"/>
  <c r="BK131" i="675" s="1"/>
  <c r="BB131" i="675"/>
  <c r="BC131" i="675" s="1"/>
  <c r="AT131" i="675"/>
  <c r="AU131" i="675" s="1"/>
  <c r="AL131" i="675"/>
  <c r="AM131" i="675" s="1"/>
  <c r="AD131" i="675"/>
  <c r="AE131" i="675" s="1"/>
  <c r="V131" i="675"/>
  <c r="W131" i="675" s="1"/>
  <c r="N131" i="675"/>
  <c r="O131" i="675" s="1"/>
  <c r="BJ130" i="675"/>
  <c r="BK130" i="675" s="1"/>
  <c r="BB130" i="675"/>
  <c r="BC130" i="675" s="1"/>
  <c r="AT130" i="675"/>
  <c r="AU130" i="675" s="1"/>
  <c r="AL130" i="675"/>
  <c r="AM130" i="675" s="1"/>
  <c r="AD130" i="675"/>
  <c r="AE130" i="675" s="1"/>
  <c r="V130" i="675"/>
  <c r="W130" i="675" s="1"/>
  <c r="N130" i="675"/>
  <c r="O130" i="675" s="1"/>
  <c r="BJ129" i="675"/>
  <c r="BK129" i="675" s="1"/>
  <c r="BB129" i="675"/>
  <c r="BC129" i="675" s="1"/>
  <c r="AT129" i="675"/>
  <c r="AU129" i="675" s="1"/>
  <c r="AL129" i="675"/>
  <c r="AM129" i="675" s="1"/>
  <c r="AD129" i="675"/>
  <c r="AE129" i="675" s="1"/>
  <c r="V129" i="675"/>
  <c r="W129" i="675" s="1"/>
  <c r="N129" i="675"/>
  <c r="O129" i="675" s="1"/>
  <c r="BJ128" i="675"/>
  <c r="BK128" i="675" s="1"/>
  <c r="BB128" i="675"/>
  <c r="BC128" i="675" s="1"/>
  <c r="AT128" i="675"/>
  <c r="AU128" i="675" s="1"/>
  <c r="AL128" i="675"/>
  <c r="AM128" i="675" s="1"/>
  <c r="AD128" i="675"/>
  <c r="AE128" i="675" s="1"/>
  <c r="V128" i="675"/>
  <c r="W128" i="675" s="1"/>
  <c r="N128" i="675"/>
  <c r="O128" i="675" s="1"/>
  <c r="BJ127" i="675"/>
  <c r="BK127" i="675" s="1"/>
  <c r="BB127" i="675"/>
  <c r="BC127" i="675" s="1"/>
  <c r="AT127" i="675"/>
  <c r="AU127" i="675" s="1"/>
  <c r="AL127" i="675"/>
  <c r="AM127" i="675" s="1"/>
  <c r="AD127" i="675"/>
  <c r="AE127" i="675" s="1"/>
  <c r="V127" i="675"/>
  <c r="W127" i="675" s="1"/>
  <c r="N127" i="675"/>
  <c r="O127" i="675" s="1"/>
  <c r="BJ126" i="675"/>
  <c r="BK126" i="675" s="1"/>
  <c r="BB126" i="675"/>
  <c r="BC126" i="675" s="1"/>
  <c r="AT126" i="675"/>
  <c r="AU126" i="675" s="1"/>
  <c r="AL126" i="675"/>
  <c r="AM126" i="675" s="1"/>
  <c r="AD126" i="675"/>
  <c r="AE126" i="675" s="1"/>
  <c r="V126" i="675"/>
  <c r="W126" i="675" s="1"/>
  <c r="N126" i="675"/>
  <c r="O126" i="675" s="1"/>
  <c r="BJ125" i="675"/>
  <c r="BK125" i="675" s="1"/>
  <c r="BB125" i="675"/>
  <c r="BC125" i="675" s="1"/>
  <c r="AT125" i="675"/>
  <c r="AU125" i="675" s="1"/>
  <c r="AL125" i="675"/>
  <c r="AM125" i="675" s="1"/>
  <c r="AD125" i="675"/>
  <c r="AE125" i="675" s="1"/>
  <c r="V125" i="675"/>
  <c r="W125" i="675" s="1"/>
  <c r="N125" i="675"/>
  <c r="O125" i="675" s="1"/>
  <c r="BJ124" i="675"/>
  <c r="BK124" i="675" s="1"/>
  <c r="BB124" i="675"/>
  <c r="BC124" i="675" s="1"/>
  <c r="AT124" i="675"/>
  <c r="AU124" i="675" s="1"/>
  <c r="AL124" i="675"/>
  <c r="AM124" i="675" s="1"/>
  <c r="AD124" i="675"/>
  <c r="AE124" i="675" s="1"/>
  <c r="V124" i="675"/>
  <c r="W124" i="675" s="1"/>
  <c r="N124" i="675"/>
  <c r="O124" i="675" s="1"/>
  <c r="BJ123" i="675"/>
  <c r="BK123" i="675" s="1"/>
  <c r="BB123" i="675"/>
  <c r="BC123" i="675" s="1"/>
  <c r="AT123" i="675"/>
  <c r="AU123" i="675" s="1"/>
  <c r="AL123" i="675"/>
  <c r="AM123" i="675" s="1"/>
  <c r="AD123" i="675"/>
  <c r="AE123" i="675" s="1"/>
  <c r="V123" i="675"/>
  <c r="W123" i="675" s="1"/>
  <c r="N123" i="675"/>
  <c r="O123" i="675" s="1"/>
  <c r="BJ122" i="675"/>
  <c r="BK122" i="675" s="1"/>
  <c r="BB122" i="675"/>
  <c r="BC122" i="675" s="1"/>
  <c r="AT122" i="675"/>
  <c r="AU122" i="675" s="1"/>
  <c r="AL122" i="675"/>
  <c r="AM122" i="675" s="1"/>
  <c r="AD122" i="675"/>
  <c r="AE122" i="675" s="1"/>
  <c r="V122" i="675"/>
  <c r="W122" i="675" s="1"/>
  <c r="N122" i="675"/>
  <c r="O122" i="675" s="1"/>
  <c r="BJ121" i="675"/>
  <c r="BK121" i="675" s="1"/>
  <c r="BB121" i="675"/>
  <c r="BC121" i="675" s="1"/>
  <c r="AT121" i="675"/>
  <c r="AU121" i="675" s="1"/>
  <c r="AL121" i="675"/>
  <c r="AM121" i="675" s="1"/>
  <c r="AD121" i="675"/>
  <c r="AE121" i="675" s="1"/>
  <c r="V121" i="675"/>
  <c r="W121" i="675" s="1"/>
  <c r="N121" i="675"/>
  <c r="O121" i="675" s="1"/>
  <c r="BJ120" i="675"/>
  <c r="BK120" i="675" s="1"/>
  <c r="BB120" i="675"/>
  <c r="BC120" i="675" s="1"/>
  <c r="AT120" i="675"/>
  <c r="AU120" i="675" s="1"/>
  <c r="AL120" i="675"/>
  <c r="AM120" i="675" s="1"/>
  <c r="AD120" i="675"/>
  <c r="AE120" i="675" s="1"/>
  <c r="V120" i="675"/>
  <c r="W120" i="675" s="1"/>
  <c r="N120" i="675"/>
  <c r="O120" i="675" s="1"/>
  <c r="BJ119" i="675"/>
  <c r="BK119" i="675" s="1"/>
  <c r="BB119" i="675"/>
  <c r="BC119" i="675" s="1"/>
  <c r="AT119" i="675"/>
  <c r="AU119" i="675" s="1"/>
  <c r="AL119" i="675"/>
  <c r="AM119" i="675" s="1"/>
  <c r="AD119" i="675"/>
  <c r="AE119" i="675" s="1"/>
  <c r="V119" i="675"/>
  <c r="W119" i="675" s="1"/>
  <c r="N119" i="675"/>
  <c r="O119" i="675" s="1"/>
  <c r="BJ118" i="675"/>
  <c r="BK118" i="675" s="1"/>
  <c r="BB118" i="675"/>
  <c r="BC118" i="675" s="1"/>
  <c r="AT118" i="675"/>
  <c r="AU118" i="675" s="1"/>
  <c r="AL118" i="675"/>
  <c r="AM118" i="675" s="1"/>
  <c r="AD118" i="675"/>
  <c r="AE118" i="675" s="1"/>
  <c r="V118" i="675"/>
  <c r="W118" i="675" s="1"/>
  <c r="N118" i="675"/>
  <c r="O118" i="675" s="1"/>
  <c r="BJ117" i="675"/>
  <c r="BK117" i="675" s="1"/>
  <c r="BB117" i="675"/>
  <c r="BC117" i="675" s="1"/>
  <c r="AT117" i="675"/>
  <c r="AU117" i="675" s="1"/>
  <c r="AL117" i="675"/>
  <c r="AM117" i="675" s="1"/>
  <c r="AD117" i="675"/>
  <c r="AE117" i="675" s="1"/>
  <c r="V117" i="675"/>
  <c r="W117" i="675" s="1"/>
  <c r="N117" i="675"/>
  <c r="O117" i="675" s="1"/>
  <c r="BJ116" i="675"/>
  <c r="BK116" i="675" s="1"/>
  <c r="BB116" i="675"/>
  <c r="BC116" i="675" s="1"/>
  <c r="AT116" i="675"/>
  <c r="AU116" i="675" s="1"/>
  <c r="AL116" i="675"/>
  <c r="AM116" i="675" s="1"/>
  <c r="AD116" i="675"/>
  <c r="AE116" i="675" s="1"/>
  <c r="V116" i="675"/>
  <c r="W116" i="675" s="1"/>
  <c r="N116" i="675"/>
  <c r="O116" i="675" s="1"/>
  <c r="BJ115" i="675"/>
  <c r="BK115" i="675" s="1"/>
  <c r="BB115" i="675"/>
  <c r="BC115" i="675" s="1"/>
  <c r="AT115" i="675"/>
  <c r="AU115" i="675" s="1"/>
  <c r="AL115" i="675"/>
  <c r="AM115" i="675" s="1"/>
  <c r="AD115" i="675"/>
  <c r="AE115" i="675" s="1"/>
  <c r="V115" i="675"/>
  <c r="W115" i="675" s="1"/>
  <c r="N115" i="675"/>
  <c r="O115" i="675" s="1"/>
  <c r="BJ114" i="675"/>
  <c r="BK114" i="675" s="1"/>
  <c r="BB114" i="675"/>
  <c r="BC114" i="675" s="1"/>
  <c r="AT114" i="675"/>
  <c r="AU114" i="675" s="1"/>
  <c r="AL114" i="675"/>
  <c r="AM114" i="675" s="1"/>
  <c r="AD114" i="675"/>
  <c r="AE114" i="675" s="1"/>
  <c r="V114" i="675"/>
  <c r="W114" i="675" s="1"/>
  <c r="N114" i="675"/>
  <c r="O114" i="675" s="1"/>
  <c r="BJ113" i="675"/>
  <c r="BK113" i="675" s="1"/>
  <c r="BB113" i="675"/>
  <c r="BC113" i="675" s="1"/>
  <c r="AT113" i="675"/>
  <c r="AU113" i="675" s="1"/>
  <c r="AL113" i="675"/>
  <c r="AM113" i="675" s="1"/>
  <c r="AD113" i="675"/>
  <c r="AE113" i="675" s="1"/>
  <c r="V113" i="675"/>
  <c r="W113" i="675" s="1"/>
  <c r="N113" i="675"/>
  <c r="O113" i="675" s="1"/>
  <c r="BJ112" i="675"/>
  <c r="BK112" i="675" s="1"/>
  <c r="BB112" i="675"/>
  <c r="BC112" i="675" s="1"/>
  <c r="AT112" i="675"/>
  <c r="AU112" i="675" s="1"/>
  <c r="AL112" i="675"/>
  <c r="AM112" i="675" s="1"/>
  <c r="AD112" i="675"/>
  <c r="AE112" i="675" s="1"/>
  <c r="V112" i="675"/>
  <c r="W112" i="675" s="1"/>
  <c r="N112" i="675"/>
  <c r="O112" i="675" s="1"/>
  <c r="BJ111" i="675"/>
  <c r="BK111" i="675" s="1"/>
  <c r="BB111" i="675"/>
  <c r="BC111" i="675" s="1"/>
  <c r="AT111" i="675"/>
  <c r="AU111" i="675" s="1"/>
  <c r="AL111" i="675"/>
  <c r="AM111" i="675" s="1"/>
  <c r="AD111" i="675"/>
  <c r="AE111" i="675" s="1"/>
  <c r="V111" i="675"/>
  <c r="W111" i="675" s="1"/>
  <c r="N111" i="675"/>
  <c r="O111" i="675" s="1"/>
  <c r="BJ110" i="675"/>
  <c r="BK110" i="675" s="1"/>
  <c r="BB110" i="675"/>
  <c r="BC110" i="675" s="1"/>
  <c r="AT110" i="675"/>
  <c r="AU110" i="675" s="1"/>
  <c r="AL110" i="675"/>
  <c r="AM110" i="675" s="1"/>
  <c r="AD110" i="675"/>
  <c r="AE110" i="675" s="1"/>
  <c r="V110" i="675"/>
  <c r="W110" i="675" s="1"/>
  <c r="N110" i="675"/>
  <c r="O110" i="675" s="1"/>
  <c r="BJ109" i="675"/>
  <c r="BK109" i="675" s="1"/>
  <c r="BB109" i="675"/>
  <c r="BC109" i="675" s="1"/>
  <c r="AT109" i="675"/>
  <c r="AU109" i="675" s="1"/>
  <c r="AL109" i="675"/>
  <c r="AM109" i="675" s="1"/>
  <c r="AD109" i="675"/>
  <c r="AE109" i="675" s="1"/>
  <c r="V109" i="675"/>
  <c r="W109" i="675" s="1"/>
  <c r="N109" i="675"/>
  <c r="O109" i="675" s="1"/>
  <c r="BJ108" i="675"/>
  <c r="BK108" i="675" s="1"/>
  <c r="BB108" i="675"/>
  <c r="BC108" i="675" s="1"/>
  <c r="AT108" i="675"/>
  <c r="AU108" i="675" s="1"/>
  <c r="AL108" i="675"/>
  <c r="AM108" i="675" s="1"/>
  <c r="AD108" i="675"/>
  <c r="AE108" i="675" s="1"/>
  <c r="V108" i="675"/>
  <c r="W108" i="675" s="1"/>
  <c r="N108" i="675"/>
  <c r="O108" i="675" s="1"/>
  <c r="BJ107" i="675"/>
  <c r="BK107" i="675" s="1"/>
  <c r="BB107" i="675"/>
  <c r="BC107" i="675" s="1"/>
  <c r="AT107" i="675"/>
  <c r="AU107" i="675" s="1"/>
  <c r="AL107" i="675"/>
  <c r="AM107" i="675" s="1"/>
  <c r="AD107" i="675"/>
  <c r="AE107" i="675" s="1"/>
  <c r="V107" i="675"/>
  <c r="W107" i="675" s="1"/>
  <c r="N107" i="675"/>
  <c r="O107" i="675" s="1"/>
  <c r="BJ106" i="675"/>
  <c r="BK106" i="675" s="1"/>
  <c r="BB106" i="675"/>
  <c r="BC106" i="675" s="1"/>
  <c r="AT106" i="675"/>
  <c r="AU106" i="675" s="1"/>
  <c r="AL106" i="675"/>
  <c r="AM106" i="675" s="1"/>
  <c r="AD106" i="675"/>
  <c r="AE106" i="675" s="1"/>
  <c r="V106" i="675"/>
  <c r="W106" i="675" s="1"/>
  <c r="N106" i="675"/>
  <c r="O106" i="675" s="1"/>
  <c r="BJ105" i="675"/>
  <c r="BK105" i="675" s="1"/>
  <c r="BB105" i="675"/>
  <c r="BC105" i="675" s="1"/>
  <c r="AT105" i="675"/>
  <c r="AU105" i="675" s="1"/>
  <c r="AL105" i="675"/>
  <c r="AM105" i="675" s="1"/>
  <c r="AD105" i="675"/>
  <c r="AE105" i="675" s="1"/>
  <c r="V105" i="675"/>
  <c r="W105" i="675" s="1"/>
  <c r="N105" i="675"/>
  <c r="O105" i="675" s="1"/>
  <c r="BJ104" i="675"/>
  <c r="BK104" i="675" s="1"/>
  <c r="BB104" i="675"/>
  <c r="BC104" i="675" s="1"/>
  <c r="AT104" i="675"/>
  <c r="AU104" i="675" s="1"/>
  <c r="AL104" i="675"/>
  <c r="AM104" i="675" s="1"/>
  <c r="AD104" i="675"/>
  <c r="AE104" i="675" s="1"/>
  <c r="V104" i="675"/>
  <c r="W104" i="675" s="1"/>
  <c r="N104" i="675"/>
  <c r="O104" i="675" s="1"/>
  <c r="BJ103" i="675"/>
  <c r="BK103" i="675" s="1"/>
  <c r="BB103" i="675"/>
  <c r="BC103" i="675" s="1"/>
  <c r="AT103" i="675"/>
  <c r="AU103" i="675" s="1"/>
  <c r="AL103" i="675"/>
  <c r="AM103" i="675" s="1"/>
  <c r="AD103" i="675"/>
  <c r="AE103" i="675" s="1"/>
  <c r="V103" i="675"/>
  <c r="W103" i="675" s="1"/>
  <c r="N103" i="675"/>
  <c r="O103" i="675" s="1"/>
  <c r="BJ102" i="675"/>
  <c r="BK102" i="675" s="1"/>
  <c r="BB102" i="675"/>
  <c r="BC102" i="675" s="1"/>
  <c r="AT102" i="675"/>
  <c r="AU102" i="675" s="1"/>
  <c r="AL102" i="675"/>
  <c r="AM102" i="675" s="1"/>
  <c r="AD102" i="675"/>
  <c r="AE102" i="675" s="1"/>
  <c r="V102" i="675"/>
  <c r="W102" i="675" s="1"/>
  <c r="N102" i="675"/>
  <c r="O102" i="675" s="1"/>
  <c r="BJ101" i="675"/>
  <c r="BK101" i="675" s="1"/>
  <c r="BB101" i="675"/>
  <c r="BC101" i="675" s="1"/>
  <c r="AT101" i="675"/>
  <c r="AU101" i="675" s="1"/>
  <c r="AL101" i="675"/>
  <c r="AM101" i="675" s="1"/>
  <c r="AD101" i="675"/>
  <c r="AE101" i="675" s="1"/>
  <c r="V101" i="675"/>
  <c r="W101" i="675" s="1"/>
  <c r="N101" i="675"/>
  <c r="O101" i="675" s="1"/>
  <c r="BJ100" i="675"/>
  <c r="BK100" i="675" s="1"/>
  <c r="BB100" i="675"/>
  <c r="BC100" i="675" s="1"/>
  <c r="AT100" i="675"/>
  <c r="AU100" i="675" s="1"/>
  <c r="AL100" i="675"/>
  <c r="AM100" i="675" s="1"/>
  <c r="AD100" i="675"/>
  <c r="AE100" i="675" s="1"/>
  <c r="V100" i="675"/>
  <c r="W100" i="675" s="1"/>
  <c r="N100" i="675"/>
  <c r="O100" i="675" s="1"/>
  <c r="BJ99" i="675"/>
  <c r="BK99" i="675" s="1"/>
  <c r="BB99" i="675"/>
  <c r="BC99" i="675" s="1"/>
  <c r="AT99" i="675"/>
  <c r="AU99" i="675" s="1"/>
  <c r="AL99" i="675"/>
  <c r="AM99" i="675" s="1"/>
  <c r="AD99" i="675"/>
  <c r="AE99" i="675" s="1"/>
  <c r="V99" i="675"/>
  <c r="W99" i="675" s="1"/>
  <c r="N99" i="675"/>
  <c r="O99" i="675" s="1"/>
  <c r="BJ98" i="675"/>
  <c r="BK98" i="675" s="1"/>
  <c r="BB98" i="675"/>
  <c r="BC98" i="675" s="1"/>
  <c r="AT98" i="675"/>
  <c r="AU98" i="675" s="1"/>
  <c r="AL98" i="675"/>
  <c r="AM98" i="675" s="1"/>
  <c r="AD98" i="675"/>
  <c r="AE98" i="675" s="1"/>
  <c r="V98" i="675"/>
  <c r="W98" i="675" s="1"/>
  <c r="N98" i="675"/>
  <c r="O98" i="675" s="1"/>
  <c r="BJ97" i="675"/>
  <c r="BK97" i="675" s="1"/>
  <c r="BB97" i="675"/>
  <c r="BC97" i="675" s="1"/>
  <c r="AT97" i="675"/>
  <c r="AU97" i="675" s="1"/>
  <c r="AL97" i="675"/>
  <c r="AM97" i="675" s="1"/>
  <c r="AD97" i="675"/>
  <c r="AE97" i="675" s="1"/>
  <c r="V97" i="675"/>
  <c r="W97" i="675" s="1"/>
  <c r="N97" i="675"/>
  <c r="O97" i="675" s="1"/>
  <c r="BJ96" i="675"/>
  <c r="BK96" i="675" s="1"/>
  <c r="BB96" i="675"/>
  <c r="BC96" i="675" s="1"/>
  <c r="AT96" i="675"/>
  <c r="AU96" i="675" s="1"/>
  <c r="AL96" i="675"/>
  <c r="AM96" i="675" s="1"/>
  <c r="AD96" i="675"/>
  <c r="AE96" i="675" s="1"/>
  <c r="V96" i="675"/>
  <c r="W96" i="675" s="1"/>
  <c r="N96" i="675"/>
  <c r="O96" i="675" s="1"/>
  <c r="BJ95" i="675"/>
  <c r="BK95" i="675" s="1"/>
  <c r="BB95" i="675"/>
  <c r="BC95" i="675" s="1"/>
  <c r="AT95" i="675"/>
  <c r="AU95" i="675" s="1"/>
  <c r="AL95" i="675"/>
  <c r="AM95" i="675" s="1"/>
  <c r="AD95" i="675"/>
  <c r="AE95" i="675" s="1"/>
  <c r="V95" i="675"/>
  <c r="W95" i="675" s="1"/>
  <c r="N95" i="675"/>
  <c r="O95" i="675" s="1"/>
  <c r="BJ94" i="675"/>
  <c r="BK94" i="675" s="1"/>
  <c r="BB94" i="675"/>
  <c r="BC94" i="675" s="1"/>
  <c r="AT94" i="675"/>
  <c r="AU94" i="675" s="1"/>
  <c r="AL94" i="675"/>
  <c r="AM94" i="675" s="1"/>
  <c r="AD94" i="675"/>
  <c r="AE94" i="675" s="1"/>
  <c r="V94" i="675"/>
  <c r="W94" i="675" s="1"/>
  <c r="N94" i="675"/>
  <c r="O94" i="675" s="1"/>
  <c r="BJ93" i="675"/>
  <c r="BK93" i="675" s="1"/>
  <c r="BB93" i="675"/>
  <c r="BC93" i="675" s="1"/>
  <c r="AT93" i="675"/>
  <c r="AU93" i="675" s="1"/>
  <c r="AL93" i="675"/>
  <c r="AM93" i="675" s="1"/>
  <c r="AD93" i="675"/>
  <c r="AE93" i="675" s="1"/>
  <c r="V93" i="675"/>
  <c r="W93" i="675" s="1"/>
  <c r="N93" i="675"/>
  <c r="O93" i="675" s="1"/>
  <c r="BJ92" i="675"/>
  <c r="BK92" i="675" s="1"/>
  <c r="BB92" i="675"/>
  <c r="BC92" i="675" s="1"/>
  <c r="AT92" i="675"/>
  <c r="AU92" i="675" s="1"/>
  <c r="AL92" i="675"/>
  <c r="AM92" i="675" s="1"/>
  <c r="AD92" i="675"/>
  <c r="AE92" i="675" s="1"/>
  <c r="V92" i="675"/>
  <c r="W92" i="675" s="1"/>
  <c r="N92" i="675"/>
  <c r="O92" i="675" s="1"/>
  <c r="BJ91" i="675"/>
  <c r="BK91" i="675" s="1"/>
  <c r="BB91" i="675"/>
  <c r="BC91" i="675" s="1"/>
  <c r="AT91" i="675"/>
  <c r="AU91" i="675" s="1"/>
  <c r="AL91" i="675"/>
  <c r="AM91" i="675" s="1"/>
  <c r="AD91" i="675"/>
  <c r="AE91" i="675" s="1"/>
  <c r="V91" i="675"/>
  <c r="W91" i="675" s="1"/>
  <c r="N91" i="675"/>
  <c r="O91" i="675" s="1"/>
  <c r="BJ90" i="675"/>
  <c r="BK90" i="675" s="1"/>
  <c r="BB90" i="675"/>
  <c r="BC90" i="675" s="1"/>
  <c r="AT90" i="675"/>
  <c r="AU90" i="675" s="1"/>
  <c r="AL90" i="675"/>
  <c r="AM90" i="675" s="1"/>
  <c r="AD90" i="675"/>
  <c r="AE90" i="675" s="1"/>
  <c r="V90" i="675"/>
  <c r="W90" i="675" s="1"/>
  <c r="N90" i="675"/>
  <c r="O90" i="675" s="1"/>
  <c r="BJ89" i="675"/>
  <c r="BK89" i="675" s="1"/>
  <c r="BB89" i="675"/>
  <c r="BC89" i="675" s="1"/>
  <c r="AT89" i="675"/>
  <c r="AU89" i="675" s="1"/>
  <c r="AL89" i="675"/>
  <c r="AM89" i="675" s="1"/>
  <c r="AD89" i="675"/>
  <c r="AE89" i="675" s="1"/>
  <c r="V89" i="675"/>
  <c r="W89" i="675" s="1"/>
  <c r="N89" i="675"/>
  <c r="O89" i="675" s="1"/>
  <c r="BJ88" i="675"/>
  <c r="BK88" i="675" s="1"/>
  <c r="BB88" i="675"/>
  <c r="BC88" i="675" s="1"/>
  <c r="AT88" i="675"/>
  <c r="AU88" i="675" s="1"/>
  <c r="AL88" i="675"/>
  <c r="AM88" i="675" s="1"/>
  <c r="AD88" i="675"/>
  <c r="AE88" i="675" s="1"/>
  <c r="V88" i="675"/>
  <c r="W88" i="675" s="1"/>
  <c r="N88" i="675"/>
  <c r="O88" i="675" s="1"/>
  <c r="BJ87" i="675"/>
  <c r="BK87" i="675" s="1"/>
  <c r="BB87" i="675"/>
  <c r="BC87" i="675" s="1"/>
  <c r="AT87" i="675"/>
  <c r="AU87" i="675" s="1"/>
  <c r="AL87" i="675"/>
  <c r="AM87" i="675" s="1"/>
  <c r="AD87" i="675"/>
  <c r="AE87" i="675" s="1"/>
  <c r="V87" i="675"/>
  <c r="W87" i="675" s="1"/>
  <c r="N87" i="675"/>
  <c r="O87" i="675" s="1"/>
  <c r="BJ86" i="675"/>
  <c r="BK86" i="675" s="1"/>
  <c r="BB86" i="675"/>
  <c r="BC86" i="675" s="1"/>
  <c r="AT86" i="675"/>
  <c r="AU86" i="675" s="1"/>
  <c r="AL86" i="675"/>
  <c r="AM86" i="675" s="1"/>
  <c r="AD86" i="675"/>
  <c r="AE86" i="675" s="1"/>
  <c r="V86" i="675"/>
  <c r="W86" i="675" s="1"/>
  <c r="N86" i="675"/>
  <c r="O86" i="675" s="1"/>
  <c r="BJ85" i="675"/>
  <c r="BK85" i="675" s="1"/>
  <c r="BB85" i="675"/>
  <c r="BC85" i="675" s="1"/>
  <c r="AT85" i="675"/>
  <c r="AU85" i="675" s="1"/>
  <c r="AL85" i="675"/>
  <c r="AM85" i="675" s="1"/>
  <c r="AD85" i="675"/>
  <c r="AE85" i="675" s="1"/>
  <c r="V85" i="675"/>
  <c r="W85" i="675" s="1"/>
  <c r="N85" i="675"/>
  <c r="O85" i="675" s="1"/>
  <c r="BJ84" i="675"/>
  <c r="BK84" i="675" s="1"/>
  <c r="BB84" i="675"/>
  <c r="BC84" i="675" s="1"/>
  <c r="AT84" i="675"/>
  <c r="AU84" i="675" s="1"/>
  <c r="AL84" i="675"/>
  <c r="AM84" i="675" s="1"/>
  <c r="AD84" i="675"/>
  <c r="AE84" i="675" s="1"/>
  <c r="V84" i="675"/>
  <c r="W84" i="675" s="1"/>
  <c r="N84" i="675"/>
  <c r="O84" i="675" s="1"/>
  <c r="BJ83" i="675"/>
  <c r="BK83" i="675" s="1"/>
  <c r="BB83" i="675"/>
  <c r="BC83" i="675" s="1"/>
  <c r="AT83" i="675"/>
  <c r="AU83" i="675" s="1"/>
  <c r="AL83" i="675"/>
  <c r="AM83" i="675" s="1"/>
  <c r="AD83" i="675"/>
  <c r="AE83" i="675" s="1"/>
  <c r="V83" i="675"/>
  <c r="W83" i="675" s="1"/>
  <c r="N83" i="675"/>
  <c r="O83" i="675" s="1"/>
  <c r="BJ82" i="675"/>
  <c r="BK82" i="675" s="1"/>
  <c r="BB82" i="675"/>
  <c r="BC82" i="675" s="1"/>
  <c r="AT82" i="675"/>
  <c r="AU82" i="675" s="1"/>
  <c r="AL82" i="675"/>
  <c r="AM82" i="675" s="1"/>
  <c r="AD82" i="675"/>
  <c r="AE82" i="675" s="1"/>
  <c r="V82" i="675"/>
  <c r="W82" i="675" s="1"/>
  <c r="N82" i="675"/>
  <c r="O82" i="675" s="1"/>
  <c r="BJ81" i="675"/>
  <c r="BK81" i="675" s="1"/>
  <c r="BB81" i="675"/>
  <c r="BC81" i="675" s="1"/>
  <c r="AT81" i="675"/>
  <c r="AU81" i="675" s="1"/>
  <c r="AL81" i="675"/>
  <c r="AM81" i="675" s="1"/>
  <c r="AD81" i="675"/>
  <c r="AE81" i="675" s="1"/>
  <c r="V81" i="675"/>
  <c r="W81" i="675" s="1"/>
  <c r="N81" i="675"/>
  <c r="O81" i="675" s="1"/>
  <c r="BJ80" i="675"/>
  <c r="BK80" i="675" s="1"/>
  <c r="BB80" i="675"/>
  <c r="BC80" i="675" s="1"/>
  <c r="AT80" i="675"/>
  <c r="AU80" i="675" s="1"/>
  <c r="AL80" i="675"/>
  <c r="AM80" i="675" s="1"/>
  <c r="AD80" i="675"/>
  <c r="AE80" i="675" s="1"/>
  <c r="V80" i="675"/>
  <c r="W80" i="675" s="1"/>
  <c r="N80" i="675"/>
  <c r="O80" i="675" s="1"/>
  <c r="BJ79" i="675"/>
  <c r="BK79" i="675" s="1"/>
  <c r="BB79" i="675"/>
  <c r="BC79" i="675" s="1"/>
  <c r="AT79" i="675"/>
  <c r="AU79" i="675" s="1"/>
  <c r="AL79" i="675"/>
  <c r="AM79" i="675" s="1"/>
  <c r="AD79" i="675"/>
  <c r="AE79" i="675" s="1"/>
  <c r="V79" i="675"/>
  <c r="W79" i="675" s="1"/>
  <c r="N79" i="675"/>
  <c r="O79" i="675" s="1"/>
  <c r="BJ78" i="675"/>
  <c r="BK78" i="675" s="1"/>
  <c r="BB78" i="675"/>
  <c r="BC78" i="675" s="1"/>
  <c r="AT78" i="675"/>
  <c r="AU78" i="675" s="1"/>
  <c r="AL78" i="675"/>
  <c r="AM78" i="675" s="1"/>
  <c r="AD78" i="675"/>
  <c r="AE78" i="675" s="1"/>
  <c r="V78" i="675"/>
  <c r="W78" i="675" s="1"/>
  <c r="N78" i="675"/>
  <c r="O78" i="675" s="1"/>
  <c r="BJ77" i="675"/>
  <c r="BK77" i="675" s="1"/>
  <c r="BB77" i="675"/>
  <c r="BC77" i="675" s="1"/>
  <c r="AT77" i="675"/>
  <c r="AU77" i="675" s="1"/>
  <c r="AL77" i="675"/>
  <c r="AM77" i="675" s="1"/>
  <c r="AD77" i="675"/>
  <c r="AE77" i="675" s="1"/>
  <c r="V77" i="675"/>
  <c r="W77" i="675" s="1"/>
  <c r="N77" i="675"/>
  <c r="O77" i="675" s="1"/>
  <c r="BJ76" i="675"/>
  <c r="BK76" i="675" s="1"/>
  <c r="BB76" i="675"/>
  <c r="BC76" i="675" s="1"/>
  <c r="AT76" i="675"/>
  <c r="AU76" i="675" s="1"/>
  <c r="AL76" i="675"/>
  <c r="AM76" i="675" s="1"/>
  <c r="AD76" i="675"/>
  <c r="AE76" i="675" s="1"/>
  <c r="V76" i="675"/>
  <c r="W76" i="675" s="1"/>
  <c r="N76" i="675"/>
  <c r="O76" i="675" s="1"/>
  <c r="BJ75" i="675"/>
  <c r="BK75" i="675" s="1"/>
  <c r="BB75" i="675"/>
  <c r="BC75" i="675" s="1"/>
  <c r="AT75" i="675"/>
  <c r="AU75" i="675" s="1"/>
  <c r="AL75" i="675"/>
  <c r="AM75" i="675" s="1"/>
  <c r="AD75" i="675"/>
  <c r="AE75" i="675" s="1"/>
  <c r="V75" i="675"/>
  <c r="W75" i="675" s="1"/>
  <c r="N75" i="675"/>
  <c r="O75" i="675" s="1"/>
  <c r="BJ74" i="675"/>
  <c r="BK74" i="675" s="1"/>
  <c r="BB74" i="675"/>
  <c r="BC74" i="675" s="1"/>
  <c r="AT74" i="675"/>
  <c r="AU74" i="675" s="1"/>
  <c r="AL74" i="675"/>
  <c r="AM74" i="675" s="1"/>
  <c r="AD74" i="675"/>
  <c r="AE74" i="675" s="1"/>
  <c r="V74" i="675"/>
  <c r="W74" i="675" s="1"/>
  <c r="N74" i="675"/>
  <c r="O74" i="675" s="1"/>
  <c r="BJ73" i="675"/>
  <c r="BK73" i="675" s="1"/>
  <c r="BB73" i="675"/>
  <c r="BC73" i="675" s="1"/>
  <c r="AT73" i="675"/>
  <c r="AU73" i="675" s="1"/>
  <c r="AL73" i="675"/>
  <c r="AM73" i="675" s="1"/>
  <c r="AD73" i="675"/>
  <c r="AE73" i="675" s="1"/>
  <c r="V73" i="675"/>
  <c r="W73" i="675" s="1"/>
  <c r="N73" i="675"/>
  <c r="O73" i="675" s="1"/>
  <c r="BJ72" i="675"/>
  <c r="BK72" i="675" s="1"/>
  <c r="BB72" i="675"/>
  <c r="BC72" i="675" s="1"/>
  <c r="AT72" i="675"/>
  <c r="AU72" i="675" s="1"/>
  <c r="AL72" i="675"/>
  <c r="AM72" i="675" s="1"/>
  <c r="AD72" i="675"/>
  <c r="AE72" i="675" s="1"/>
  <c r="V72" i="675"/>
  <c r="W72" i="675" s="1"/>
  <c r="N72" i="675"/>
  <c r="O72" i="675" s="1"/>
  <c r="BJ71" i="675"/>
  <c r="BK71" i="675" s="1"/>
  <c r="BB71" i="675"/>
  <c r="BC71" i="675" s="1"/>
  <c r="AT71" i="675"/>
  <c r="AU71" i="675" s="1"/>
  <c r="AL71" i="675"/>
  <c r="AM71" i="675" s="1"/>
  <c r="AD71" i="675"/>
  <c r="AE71" i="675" s="1"/>
  <c r="V71" i="675"/>
  <c r="W71" i="675" s="1"/>
  <c r="N71" i="675"/>
  <c r="O71" i="675" s="1"/>
  <c r="BJ70" i="675"/>
  <c r="BK70" i="675" s="1"/>
  <c r="BB70" i="675"/>
  <c r="BC70" i="675" s="1"/>
  <c r="AT70" i="675"/>
  <c r="AU70" i="675" s="1"/>
  <c r="AL70" i="675"/>
  <c r="AM70" i="675" s="1"/>
  <c r="AD70" i="675"/>
  <c r="AE70" i="675" s="1"/>
  <c r="V70" i="675"/>
  <c r="W70" i="675" s="1"/>
  <c r="N70" i="675"/>
  <c r="O70" i="675" s="1"/>
  <c r="BJ69" i="675"/>
  <c r="BK69" i="675" s="1"/>
  <c r="BB69" i="675"/>
  <c r="BC69" i="675" s="1"/>
  <c r="AT69" i="675"/>
  <c r="AU69" i="675" s="1"/>
  <c r="AL69" i="675"/>
  <c r="AM69" i="675" s="1"/>
  <c r="AD69" i="675"/>
  <c r="AE69" i="675" s="1"/>
  <c r="V69" i="675"/>
  <c r="W69" i="675" s="1"/>
  <c r="N69" i="675"/>
  <c r="O69" i="675" s="1"/>
  <c r="BJ68" i="675"/>
  <c r="BK68" i="675" s="1"/>
  <c r="BB68" i="675"/>
  <c r="BC68" i="675" s="1"/>
  <c r="AT68" i="675"/>
  <c r="AU68" i="675" s="1"/>
  <c r="AL68" i="675"/>
  <c r="AM68" i="675" s="1"/>
  <c r="AD68" i="675"/>
  <c r="AE68" i="675" s="1"/>
  <c r="V68" i="675"/>
  <c r="W68" i="675" s="1"/>
  <c r="N68" i="675"/>
  <c r="O68" i="675" s="1"/>
  <c r="BJ67" i="675"/>
  <c r="BK67" i="675" s="1"/>
  <c r="BB67" i="675"/>
  <c r="BC67" i="675" s="1"/>
  <c r="AT67" i="675"/>
  <c r="AU67" i="675" s="1"/>
  <c r="AL67" i="675"/>
  <c r="AM67" i="675" s="1"/>
  <c r="AD67" i="675"/>
  <c r="AE67" i="675" s="1"/>
  <c r="V67" i="675"/>
  <c r="W67" i="675" s="1"/>
  <c r="N67" i="675"/>
  <c r="O67" i="675" s="1"/>
  <c r="BJ66" i="675"/>
  <c r="BK66" i="675" s="1"/>
  <c r="BB66" i="675"/>
  <c r="BC66" i="675" s="1"/>
  <c r="AT66" i="675"/>
  <c r="AU66" i="675" s="1"/>
  <c r="AL66" i="675"/>
  <c r="AM66" i="675" s="1"/>
  <c r="AD66" i="675"/>
  <c r="AE66" i="675" s="1"/>
  <c r="V66" i="675"/>
  <c r="W66" i="675" s="1"/>
  <c r="N66" i="675"/>
  <c r="O66" i="675" s="1"/>
  <c r="BJ65" i="675"/>
  <c r="BK65" i="675" s="1"/>
  <c r="BB65" i="675"/>
  <c r="BC65" i="675" s="1"/>
  <c r="AT65" i="675"/>
  <c r="AU65" i="675" s="1"/>
  <c r="AL65" i="675"/>
  <c r="AM65" i="675" s="1"/>
  <c r="AD65" i="675"/>
  <c r="AE65" i="675" s="1"/>
  <c r="V65" i="675"/>
  <c r="W65" i="675" s="1"/>
  <c r="N65" i="675"/>
  <c r="O65" i="675" s="1"/>
  <c r="BJ64" i="675"/>
  <c r="BK64" i="675" s="1"/>
  <c r="BB64" i="675"/>
  <c r="BC64" i="675" s="1"/>
  <c r="AT64" i="675"/>
  <c r="AU64" i="675" s="1"/>
  <c r="AL64" i="675"/>
  <c r="AM64" i="675" s="1"/>
  <c r="AD64" i="675"/>
  <c r="AE64" i="675" s="1"/>
  <c r="V64" i="675"/>
  <c r="W64" i="675" s="1"/>
  <c r="N64" i="675"/>
  <c r="O64" i="675" s="1"/>
  <c r="BJ63" i="675"/>
  <c r="BK63" i="675" s="1"/>
  <c r="BB63" i="675"/>
  <c r="BC63" i="675" s="1"/>
  <c r="AT63" i="675"/>
  <c r="AU63" i="675" s="1"/>
  <c r="AL63" i="675"/>
  <c r="AM63" i="675" s="1"/>
  <c r="AD63" i="675"/>
  <c r="AE63" i="675" s="1"/>
  <c r="V63" i="675"/>
  <c r="W63" i="675" s="1"/>
  <c r="N63" i="675"/>
  <c r="O63" i="675" s="1"/>
  <c r="BJ62" i="675"/>
  <c r="BK62" i="675" s="1"/>
  <c r="BB62" i="675"/>
  <c r="BC62" i="675" s="1"/>
  <c r="AT62" i="675"/>
  <c r="AU62" i="675" s="1"/>
  <c r="AL62" i="675"/>
  <c r="AM62" i="675" s="1"/>
  <c r="AD62" i="675"/>
  <c r="AE62" i="675" s="1"/>
  <c r="V62" i="675"/>
  <c r="W62" i="675" s="1"/>
  <c r="N62" i="675"/>
  <c r="O62" i="675" s="1"/>
  <c r="BJ61" i="675"/>
  <c r="BK61" i="675" s="1"/>
  <c r="BB61" i="675"/>
  <c r="BC61" i="675" s="1"/>
  <c r="AT61" i="675"/>
  <c r="AU61" i="675" s="1"/>
  <c r="AL61" i="675"/>
  <c r="AM61" i="675" s="1"/>
  <c r="AD61" i="675"/>
  <c r="AE61" i="675" s="1"/>
  <c r="V61" i="675"/>
  <c r="W61" i="675" s="1"/>
  <c r="N61" i="675"/>
  <c r="O61" i="675" s="1"/>
  <c r="BJ60" i="675"/>
  <c r="BK60" i="675" s="1"/>
  <c r="BB60" i="675"/>
  <c r="BC60" i="675" s="1"/>
  <c r="AT60" i="675"/>
  <c r="AU60" i="675" s="1"/>
  <c r="AL60" i="675"/>
  <c r="AM60" i="675" s="1"/>
  <c r="AD60" i="675"/>
  <c r="AE60" i="675" s="1"/>
  <c r="V60" i="675"/>
  <c r="W60" i="675" s="1"/>
  <c r="N60" i="675"/>
  <c r="O60" i="675" s="1"/>
  <c r="BJ59" i="675"/>
  <c r="BK59" i="675" s="1"/>
  <c r="BB59" i="675"/>
  <c r="BC59" i="675" s="1"/>
  <c r="AT59" i="675"/>
  <c r="AU59" i="675" s="1"/>
  <c r="AL59" i="675"/>
  <c r="AM59" i="675" s="1"/>
  <c r="AD59" i="675"/>
  <c r="AE59" i="675" s="1"/>
  <c r="V59" i="675"/>
  <c r="W59" i="675" s="1"/>
  <c r="N59" i="675"/>
  <c r="O59" i="675" s="1"/>
  <c r="BJ58" i="675"/>
  <c r="BK58" i="675" s="1"/>
  <c r="BB58" i="675"/>
  <c r="BC58" i="675" s="1"/>
  <c r="AT58" i="675"/>
  <c r="AU58" i="675" s="1"/>
  <c r="AL58" i="675"/>
  <c r="AM58" i="675" s="1"/>
  <c r="AD58" i="675"/>
  <c r="AE58" i="675" s="1"/>
  <c r="V58" i="675"/>
  <c r="W58" i="675" s="1"/>
  <c r="N58" i="675"/>
  <c r="O58" i="675" s="1"/>
  <c r="BJ57" i="675"/>
  <c r="BK57" i="675" s="1"/>
  <c r="BB57" i="675"/>
  <c r="BC57" i="675" s="1"/>
  <c r="AT57" i="675"/>
  <c r="AU57" i="675" s="1"/>
  <c r="AL57" i="675"/>
  <c r="AM57" i="675" s="1"/>
  <c r="AD57" i="675"/>
  <c r="AE57" i="675" s="1"/>
  <c r="V57" i="675"/>
  <c r="W57" i="675" s="1"/>
  <c r="N57" i="675"/>
  <c r="O57" i="675" s="1"/>
  <c r="BJ56" i="675"/>
  <c r="BK56" i="675" s="1"/>
  <c r="BB56" i="675"/>
  <c r="BC56" i="675" s="1"/>
  <c r="AT56" i="675"/>
  <c r="AU56" i="675" s="1"/>
  <c r="AL56" i="675"/>
  <c r="AM56" i="675" s="1"/>
  <c r="AD56" i="675"/>
  <c r="AE56" i="675" s="1"/>
  <c r="V56" i="675"/>
  <c r="W56" i="675" s="1"/>
  <c r="N56" i="675"/>
  <c r="O56" i="675" s="1"/>
  <c r="BJ55" i="675"/>
  <c r="BK55" i="675" s="1"/>
  <c r="BB55" i="675"/>
  <c r="BC55" i="675" s="1"/>
  <c r="AT55" i="675"/>
  <c r="AU55" i="675" s="1"/>
  <c r="AL55" i="675"/>
  <c r="AM55" i="675" s="1"/>
  <c r="AD55" i="675"/>
  <c r="AE55" i="675" s="1"/>
  <c r="V55" i="675"/>
  <c r="W55" i="675" s="1"/>
  <c r="N55" i="675"/>
  <c r="O55" i="675" s="1"/>
  <c r="BJ54" i="675"/>
  <c r="BK54" i="675" s="1"/>
  <c r="BB54" i="675"/>
  <c r="BC54" i="675" s="1"/>
  <c r="AT54" i="675"/>
  <c r="AU54" i="675" s="1"/>
  <c r="AL54" i="675"/>
  <c r="AM54" i="675" s="1"/>
  <c r="AD54" i="675"/>
  <c r="AE54" i="675" s="1"/>
  <c r="V54" i="675"/>
  <c r="W54" i="675" s="1"/>
  <c r="N54" i="675"/>
  <c r="O54" i="675" s="1"/>
  <c r="BJ53" i="675"/>
  <c r="BK53" i="675" s="1"/>
  <c r="BB53" i="675"/>
  <c r="BC53" i="675" s="1"/>
  <c r="AT53" i="675"/>
  <c r="AU53" i="675" s="1"/>
  <c r="AL53" i="675"/>
  <c r="AM53" i="675" s="1"/>
  <c r="AD53" i="675"/>
  <c r="AE53" i="675" s="1"/>
  <c r="V53" i="675"/>
  <c r="W53" i="675" s="1"/>
  <c r="N53" i="675"/>
  <c r="O53" i="675" s="1"/>
  <c r="BJ52" i="675"/>
  <c r="BK52" i="675" s="1"/>
  <c r="BB52" i="675"/>
  <c r="BC52" i="675" s="1"/>
  <c r="AT52" i="675"/>
  <c r="AU52" i="675" s="1"/>
  <c r="AL52" i="675"/>
  <c r="AM52" i="675" s="1"/>
  <c r="AD52" i="675"/>
  <c r="AE52" i="675" s="1"/>
  <c r="V52" i="675"/>
  <c r="W52" i="675" s="1"/>
  <c r="N52" i="675"/>
  <c r="O52" i="675" s="1"/>
  <c r="BJ51" i="675"/>
  <c r="BK51" i="675" s="1"/>
  <c r="BB51" i="675"/>
  <c r="BC51" i="675" s="1"/>
  <c r="AT51" i="675"/>
  <c r="AU51" i="675" s="1"/>
  <c r="AL51" i="675"/>
  <c r="AM51" i="675" s="1"/>
  <c r="AD51" i="675"/>
  <c r="AE51" i="675" s="1"/>
  <c r="V51" i="675"/>
  <c r="W51" i="675" s="1"/>
  <c r="N51" i="675"/>
  <c r="O51" i="675" s="1"/>
  <c r="BJ50" i="675"/>
  <c r="BK50" i="675" s="1"/>
  <c r="BB50" i="675"/>
  <c r="BC50" i="675" s="1"/>
  <c r="AT50" i="675"/>
  <c r="AU50" i="675" s="1"/>
  <c r="AL50" i="675"/>
  <c r="AM50" i="675" s="1"/>
  <c r="AD50" i="675"/>
  <c r="AE50" i="675" s="1"/>
  <c r="V50" i="675"/>
  <c r="W50" i="675" s="1"/>
  <c r="N50" i="675"/>
  <c r="O50" i="675" s="1"/>
  <c r="BJ49" i="675"/>
  <c r="BK49" i="675" s="1"/>
  <c r="BB49" i="675"/>
  <c r="BC49" i="675" s="1"/>
  <c r="AT49" i="675"/>
  <c r="AU49" i="675" s="1"/>
  <c r="AL49" i="675"/>
  <c r="AM49" i="675" s="1"/>
  <c r="AD49" i="675"/>
  <c r="AE49" i="675" s="1"/>
  <c r="V49" i="675"/>
  <c r="W49" i="675" s="1"/>
  <c r="N49" i="675"/>
  <c r="O49" i="675" s="1"/>
  <c r="BJ48" i="675"/>
  <c r="BK48" i="675" s="1"/>
  <c r="BB48" i="675"/>
  <c r="BC48" i="675" s="1"/>
  <c r="AT48" i="675"/>
  <c r="AU48" i="675" s="1"/>
  <c r="AL48" i="675"/>
  <c r="AM48" i="675" s="1"/>
  <c r="AD48" i="675"/>
  <c r="AE48" i="675" s="1"/>
  <c r="V48" i="675"/>
  <c r="W48" i="675" s="1"/>
  <c r="N48" i="675"/>
  <c r="O48" i="675" s="1"/>
  <c r="BJ47" i="675"/>
  <c r="BK47" i="675" s="1"/>
  <c r="BB47" i="675"/>
  <c r="BC47" i="675" s="1"/>
  <c r="AT47" i="675"/>
  <c r="AU47" i="675" s="1"/>
  <c r="AL47" i="675"/>
  <c r="AM47" i="675" s="1"/>
  <c r="AD47" i="675"/>
  <c r="AE47" i="675" s="1"/>
  <c r="V47" i="675"/>
  <c r="W47" i="675" s="1"/>
  <c r="N47" i="675"/>
  <c r="O47" i="675" s="1"/>
  <c r="BJ46" i="675"/>
  <c r="BK46" i="675" s="1"/>
  <c r="BB46" i="675"/>
  <c r="BC46" i="675" s="1"/>
  <c r="AT46" i="675"/>
  <c r="AU46" i="675" s="1"/>
  <c r="AL46" i="675"/>
  <c r="AM46" i="675" s="1"/>
  <c r="AD46" i="675"/>
  <c r="AE46" i="675" s="1"/>
  <c r="V46" i="675"/>
  <c r="W46" i="675" s="1"/>
  <c r="N46" i="675"/>
  <c r="O46" i="675" s="1"/>
  <c r="BJ45" i="675"/>
  <c r="BK45" i="675" s="1"/>
  <c r="BB45" i="675"/>
  <c r="BC45" i="675" s="1"/>
  <c r="AT45" i="675"/>
  <c r="AU45" i="675" s="1"/>
  <c r="AL45" i="675"/>
  <c r="AM45" i="675" s="1"/>
  <c r="AD45" i="675"/>
  <c r="AE45" i="675" s="1"/>
  <c r="V45" i="675"/>
  <c r="W45" i="675" s="1"/>
  <c r="N45" i="675"/>
  <c r="O45" i="675" s="1"/>
  <c r="BJ44" i="675"/>
  <c r="BK44" i="675" s="1"/>
  <c r="BB44" i="675"/>
  <c r="BC44" i="675" s="1"/>
  <c r="AT44" i="675"/>
  <c r="AU44" i="675" s="1"/>
  <c r="AL44" i="675"/>
  <c r="AM44" i="675" s="1"/>
  <c r="AD44" i="675"/>
  <c r="AE44" i="675" s="1"/>
  <c r="V44" i="675"/>
  <c r="W44" i="675" s="1"/>
  <c r="N44" i="675"/>
  <c r="O44" i="675" s="1"/>
  <c r="BJ43" i="675"/>
  <c r="BK43" i="675" s="1"/>
  <c r="BB43" i="675"/>
  <c r="BC43" i="675" s="1"/>
  <c r="AT43" i="675"/>
  <c r="AU43" i="675" s="1"/>
  <c r="AL43" i="675"/>
  <c r="AM43" i="675" s="1"/>
  <c r="AD43" i="675"/>
  <c r="AE43" i="675" s="1"/>
  <c r="V43" i="675"/>
  <c r="W43" i="675" s="1"/>
  <c r="N43" i="675"/>
  <c r="O43" i="675" s="1"/>
  <c r="BJ42" i="675"/>
  <c r="BK42" i="675" s="1"/>
  <c r="BB42" i="675"/>
  <c r="BC42" i="675" s="1"/>
  <c r="AT42" i="675"/>
  <c r="AU42" i="675" s="1"/>
  <c r="AL42" i="675"/>
  <c r="AM42" i="675" s="1"/>
  <c r="AD42" i="675"/>
  <c r="AE42" i="675" s="1"/>
  <c r="V42" i="675"/>
  <c r="W42" i="675" s="1"/>
  <c r="N42" i="675"/>
  <c r="O42" i="675" s="1"/>
  <c r="BJ41" i="675"/>
  <c r="BK41" i="675" s="1"/>
  <c r="BB41" i="675"/>
  <c r="BC41" i="675" s="1"/>
  <c r="AT41" i="675"/>
  <c r="AU41" i="675" s="1"/>
  <c r="AL41" i="675"/>
  <c r="AM41" i="675" s="1"/>
  <c r="AD41" i="675"/>
  <c r="AE41" i="675" s="1"/>
  <c r="V41" i="675"/>
  <c r="W41" i="675" s="1"/>
  <c r="N41" i="675"/>
  <c r="O41" i="675" s="1"/>
  <c r="BJ40" i="675"/>
  <c r="BK40" i="675" s="1"/>
  <c r="BB40" i="675"/>
  <c r="BC40" i="675" s="1"/>
  <c r="AT40" i="675"/>
  <c r="AU40" i="675" s="1"/>
  <c r="AL40" i="675"/>
  <c r="AM40" i="675" s="1"/>
  <c r="AD40" i="675"/>
  <c r="AE40" i="675" s="1"/>
  <c r="V40" i="675"/>
  <c r="W40" i="675" s="1"/>
  <c r="N40" i="675"/>
  <c r="O40" i="675" s="1"/>
  <c r="BJ39" i="675"/>
  <c r="BK39" i="675" s="1"/>
  <c r="BB39" i="675"/>
  <c r="BC39" i="675" s="1"/>
  <c r="AT39" i="675"/>
  <c r="AU39" i="675" s="1"/>
  <c r="AL39" i="675"/>
  <c r="AM39" i="675" s="1"/>
  <c r="AD39" i="675"/>
  <c r="AE39" i="675" s="1"/>
  <c r="V39" i="675"/>
  <c r="W39" i="675" s="1"/>
  <c r="N39" i="675"/>
  <c r="O39" i="675" s="1"/>
  <c r="BJ38" i="675"/>
  <c r="BK38" i="675" s="1"/>
  <c r="BB38" i="675"/>
  <c r="BC38" i="675" s="1"/>
  <c r="AT38" i="675"/>
  <c r="AU38" i="675" s="1"/>
  <c r="AL38" i="675"/>
  <c r="AM38" i="675" s="1"/>
  <c r="AD38" i="675"/>
  <c r="AE38" i="675" s="1"/>
  <c r="V38" i="675"/>
  <c r="W38" i="675" s="1"/>
  <c r="N38" i="675"/>
  <c r="O38" i="675" s="1"/>
  <c r="BJ37" i="675"/>
  <c r="BK37" i="675" s="1"/>
  <c r="BB37" i="675"/>
  <c r="BC37" i="675" s="1"/>
  <c r="AT37" i="675"/>
  <c r="AU37" i="675" s="1"/>
  <c r="AL37" i="675"/>
  <c r="AM37" i="675" s="1"/>
  <c r="AD37" i="675"/>
  <c r="AE37" i="675" s="1"/>
  <c r="V37" i="675"/>
  <c r="W37" i="675" s="1"/>
  <c r="N37" i="675"/>
  <c r="O37" i="675" s="1"/>
  <c r="BJ36" i="675"/>
  <c r="BK36" i="675" s="1"/>
  <c r="BB36" i="675"/>
  <c r="BC36" i="675" s="1"/>
  <c r="AT36" i="675"/>
  <c r="AU36" i="675" s="1"/>
  <c r="AL36" i="675"/>
  <c r="AM36" i="675" s="1"/>
  <c r="AD36" i="675"/>
  <c r="AE36" i="675" s="1"/>
  <c r="V36" i="675"/>
  <c r="W36" i="675" s="1"/>
  <c r="N36" i="675"/>
  <c r="O36" i="675" s="1"/>
  <c r="BJ35" i="675"/>
  <c r="BK35" i="675" s="1"/>
  <c r="BB35" i="675"/>
  <c r="BC35" i="675" s="1"/>
  <c r="AT35" i="675"/>
  <c r="AU35" i="675" s="1"/>
  <c r="AL35" i="675"/>
  <c r="AM35" i="675" s="1"/>
  <c r="AD35" i="675"/>
  <c r="AE35" i="675" s="1"/>
  <c r="V35" i="675"/>
  <c r="W35" i="675" s="1"/>
  <c r="N35" i="675"/>
  <c r="O35" i="675" s="1"/>
  <c r="BJ34" i="675"/>
  <c r="BK34" i="675" s="1"/>
  <c r="BB34" i="675"/>
  <c r="BC34" i="675" s="1"/>
  <c r="AT34" i="675"/>
  <c r="AU34" i="675" s="1"/>
  <c r="AL34" i="675"/>
  <c r="AM34" i="675" s="1"/>
  <c r="AD34" i="675"/>
  <c r="AE34" i="675" s="1"/>
  <c r="V34" i="675"/>
  <c r="W34" i="675" s="1"/>
  <c r="N34" i="675"/>
  <c r="O34" i="675" s="1"/>
  <c r="BJ33" i="675"/>
  <c r="BK33" i="675" s="1"/>
  <c r="BB33" i="675"/>
  <c r="BC33" i="675" s="1"/>
  <c r="AT33" i="675"/>
  <c r="AU33" i="675" s="1"/>
  <c r="AL33" i="675"/>
  <c r="AM33" i="675" s="1"/>
  <c r="AD33" i="675"/>
  <c r="AE33" i="675" s="1"/>
  <c r="V33" i="675"/>
  <c r="W33" i="675" s="1"/>
  <c r="N33" i="675"/>
  <c r="O33" i="675" s="1"/>
  <c r="BJ32" i="675"/>
  <c r="BK32" i="675" s="1"/>
  <c r="BB32" i="675"/>
  <c r="BC32" i="675" s="1"/>
  <c r="AT32" i="675"/>
  <c r="AU32" i="675" s="1"/>
  <c r="AL32" i="675"/>
  <c r="AM32" i="675" s="1"/>
  <c r="AD32" i="675"/>
  <c r="AE32" i="675" s="1"/>
  <c r="V32" i="675"/>
  <c r="W32" i="675" s="1"/>
  <c r="N32" i="675"/>
  <c r="O32" i="675" s="1"/>
  <c r="BJ31" i="675"/>
  <c r="BK31" i="675" s="1"/>
  <c r="BB31" i="675"/>
  <c r="BC31" i="675" s="1"/>
  <c r="AT31" i="675"/>
  <c r="AU31" i="675" s="1"/>
  <c r="AL31" i="675"/>
  <c r="AM31" i="675" s="1"/>
  <c r="AD31" i="675"/>
  <c r="AE31" i="675" s="1"/>
  <c r="V31" i="675"/>
  <c r="W31" i="675" s="1"/>
  <c r="N31" i="675"/>
  <c r="O31" i="675" s="1"/>
  <c r="BJ30" i="675"/>
  <c r="BK30" i="675" s="1"/>
  <c r="BB30" i="675"/>
  <c r="BC30" i="675" s="1"/>
  <c r="AT30" i="675"/>
  <c r="AU30" i="675" s="1"/>
  <c r="AL30" i="675"/>
  <c r="AM30" i="675" s="1"/>
  <c r="AD30" i="675"/>
  <c r="AE30" i="675" s="1"/>
  <c r="V30" i="675"/>
  <c r="W30" i="675" s="1"/>
  <c r="N30" i="675"/>
  <c r="O30" i="675" s="1"/>
  <c r="BJ29" i="675"/>
  <c r="BK29" i="675" s="1"/>
  <c r="BB29" i="675"/>
  <c r="BC29" i="675" s="1"/>
  <c r="AT29" i="675"/>
  <c r="AU29" i="675" s="1"/>
  <c r="AL29" i="675"/>
  <c r="AM29" i="675" s="1"/>
  <c r="AD29" i="675"/>
  <c r="AE29" i="675" s="1"/>
  <c r="V29" i="675"/>
  <c r="W29" i="675" s="1"/>
  <c r="N29" i="675"/>
  <c r="O29" i="675" s="1"/>
  <c r="BJ28" i="675"/>
  <c r="BK28" i="675" s="1"/>
  <c r="BB28" i="675"/>
  <c r="BC28" i="675" s="1"/>
  <c r="AT28" i="675"/>
  <c r="AU28" i="675" s="1"/>
  <c r="AL28" i="675"/>
  <c r="AM28" i="675" s="1"/>
  <c r="AD28" i="675"/>
  <c r="AE28" i="675" s="1"/>
  <c r="V28" i="675"/>
  <c r="W28" i="675" s="1"/>
  <c r="N28" i="675"/>
  <c r="O28" i="675" s="1"/>
  <c r="BJ27" i="675"/>
  <c r="BK27" i="675" s="1"/>
  <c r="BB27" i="675"/>
  <c r="BC27" i="675" s="1"/>
  <c r="AT27" i="675"/>
  <c r="AU27" i="675" s="1"/>
  <c r="AL27" i="675"/>
  <c r="AM27" i="675" s="1"/>
  <c r="AD27" i="675"/>
  <c r="AE27" i="675" s="1"/>
  <c r="V27" i="675"/>
  <c r="W27" i="675" s="1"/>
  <c r="N27" i="675"/>
  <c r="O27" i="675" s="1"/>
  <c r="BJ26" i="675"/>
  <c r="BK26" i="675" s="1"/>
  <c r="BB26" i="675"/>
  <c r="BC26" i="675" s="1"/>
  <c r="AT26" i="675"/>
  <c r="AU26" i="675" s="1"/>
  <c r="AL26" i="675"/>
  <c r="AM26" i="675" s="1"/>
  <c r="AD26" i="675"/>
  <c r="AE26" i="675" s="1"/>
  <c r="V26" i="675"/>
  <c r="W26" i="675" s="1"/>
  <c r="N26" i="675"/>
  <c r="O26" i="675" s="1"/>
  <c r="BJ25" i="675"/>
  <c r="BK25" i="675" s="1"/>
  <c r="BB25" i="675"/>
  <c r="BC25" i="675" s="1"/>
  <c r="AT25" i="675"/>
  <c r="AU25" i="675" s="1"/>
  <c r="AL25" i="675"/>
  <c r="AM25" i="675" s="1"/>
  <c r="AD25" i="675"/>
  <c r="AE25" i="675" s="1"/>
  <c r="V25" i="675"/>
  <c r="W25" i="675" s="1"/>
  <c r="N25" i="675"/>
  <c r="O25" i="675" s="1"/>
  <c r="BJ24" i="675"/>
  <c r="BK24" i="675" s="1"/>
  <c r="BB24" i="675"/>
  <c r="BC24" i="675" s="1"/>
  <c r="AT24" i="675"/>
  <c r="AU24" i="675" s="1"/>
  <c r="AL24" i="675"/>
  <c r="AM24" i="675" s="1"/>
  <c r="AD24" i="675"/>
  <c r="AE24" i="675" s="1"/>
  <c r="V24" i="675"/>
  <c r="W24" i="675" s="1"/>
  <c r="N24" i="675"/>
  <c r="O24" i="675" s="1"/>
  <c r="BJ23" i="675"/>
  <c r="BK23" i="675" s="1"/>
  <c r="BB23" i="675"/>
  <c r="BC23" i="675" s="1"/>
  <c r="AT23" i="675"/>
  <c r="AU23" i="675" s="1"/>
  <c r="AL23" i="675"/>
  <c r="AM23" i="675" s="1"/>
  <c r="AD23" i="675"/>
  <c r="AE23" i="675" s="1"/>
  <c r="V23" i="675"/>
  <c r="W23" i="675" s="1"/>
  <c r="N23" i="675"/>
  <c r="O23" i="675" s="1"/>
  <c r="BJ22" i="675"/>
  <c r="BK22" i="675" s="1"/>
  <c r="BB22" i="675"/>
  <c r="BC22" i="675" s="1"/>
  <c r="AT22" i="675"/>
  <c r="AU22" i="675" s="1"/>
  <c r="AL22" i="675"/>
  <c r="AM22" i="675" s="1"/>
  <c r="AD22" i="675"/>
  <c r="AE22" i="675" s="1"/>
  <c r="V22" i="675"/>
  <c r="W22" i="675" s="1"/>
  <c r="N22" i="675"/>
  <c r="O22" i="675" s="1"/>
  <c r="BJ21" i="675"/>
  <c r="BK21" i="675" s="1"/>
  <c r="BB21" i="675"/>
  <c r="BC21" i="675" s="1"/>
  <c r="AT21" i="675"/>
  <c r="AU21" i="675" s="1"/>
  <c r="AL21" i="675"/>
  <c r="AM21" i="675" s="1"/>
  <c r="AD21" i="675"/>
  <c r="AE21" i="675" s="1"/>
  <c r="V21" i="675"/>
  <c r="W21" i="675" s="1"/>
  <c r="N21" i="675"/>
  <c r="O21" i="675" s="1"/>
  <c r="BJ20" i="675"/>
  <c r="BK20" i="675" s="1"/>
  <c r="BB20" i="675"/>
  <c r="BC20" i="675" s="1"/>
  <c r="AT20" i="675"/>
  <c r="AU20" i="675" s="1"/>
  <c r="AL20" i="675"/>
  <c r="AM20" i="675" s="1"/>
  <c r="AD20" i="675"/>
  <c r="AE20" i="675" s="1"/>
  <c r="V20" i="675"/>
  <c r="W20" i="675" s="1"/>
  <c r="N20" i="675"/>
  <c r="O20" i="675" s="1"/>
  <c r="BJ19" i="675"/>
  <c r="BK19" i="675" s="1"/>
  <c r="BB19" i="675"/>
  <c r="BC19" i="675" s="1"/>
  <c r="AT19" i="675"/>
  <c r="AU19" i="675" s="1"/>
  <c r="AL19" i="675"/>
  <c r="AM19" i="675" s="1"/>
  <c r="AD19" i="675"/>
  <c r="AE19" i="675" s="1"/>
  <c r="V19" i="675"/>
  <c r="W19" i="675" s="1"/>
  <c r="N19" i="675"/>
  <c r="O19" i="675" s="1"/>
  <c r="BJ18" i="675"/>
  <c r="BK18" i="675" s="1"/>
  <c r="BB18" i="675"/>
  <c r="BC18" i="675" s="1"/>
  <c r="AT18" i="675"/>
  <c r="AU18" i="675" s="1"/>
  <c r="AL18" i="675"/>
  <c r="AM18" i="675" s="1"/>
  <c r="AD18" i="675"/>
  <c r="AE18" i="675" s="1"/>
  <c r="V18" i="675"/>
  <c r="W18" i="675" s="1"/>
  <c r="N18" i="675"/>
  <c r="O18" i="675" s="1"/>
  <c r="BJ17" i="675"/>
  <c r="BK17" i="675" s="1"/>
  <c r="BB17" i="675"/>
  <c r="BC17" i="675" s="1"/>
  <c r="AT17" i="675"/>
  <c r="AU17" i="675" s="1"/>
  <c r="AL17" i="675"/>
  <c r="AM17" i="675" s="1"/>
  <c r="AD17" i="675"/>
  <c r="AE17" i="675" s="1"/>
  <c r="V17" i="675"/>
  <c r="W17" i="675" s="1"/>
  <c r="N17" i="675"/>
  <c r="O17" i="675" s="1"/>
  <c r="BJ16" i="675"/>
  <c r="BK16" i="675" s="1"/>
  <c r="BB16" i="675"/>
  <c r="BC16" i="675" s="1"/>
  <c r="AT16" i="675"/>
  <c r="AU16" i="675" s="1"/>
  <c r="AL16" i="675"/>
  <c r="AM16" i="675" s="1"/>
  <c r="AD16" i="675"/>
  <c r="AE16" i="675" s="1"/>
  <c r="V16" i="675"/>
  <c r="W16" i="675" s="1"/>
  <c r="N16" i="675"/>
  <c r="O16" i="675" s="1"/>
  <c r="BJ15" i="675"/>
  <c r="BK15" i="675" s="1"/>
  <c r="BB15" i="675"/>
  <c r="BC15" i="675" s="1"/>
  <c r="AT15" i="675"/>
  <c r="AU15" i="675" s="1"/>
  <c r="AL15" i="675"/>
  <c r="AM15" i="675" s="1"/>
  <c r="AD15" i="675"/>
  <c r="AE15" i="675" s="1"/>
  <c r="V15" i="675"/>
  <c r="W15" i="675" s="1"/>
  <c r="N15" i="675"/>
  <c r="O15" i="675" s="1"/>
  <c r="BJ14" i="675"/>
  <c r="BK14" i="675" s="1"/>
  <c r="BB14" i="675"/>
  <c r="BC14" i="675" s="1"/>
  <c r="AT14" i="675"/>
  <c r="AU14" i="675" s="1"/>
  <c r="AL14" i="675"/>
  <c r="AM14" i="675" s="1"/>
  <c r="AD14" i="675"/>
  <c r="AE14" i="675" s="1"/>
  <c r="V14" i="675"/>
  <c r="W14" i="675" s="1"/>
  <c r="N14" i="675"/>
  <c r="O14" i="675" s="1"/>
  <c r="BJ13" i="675"/>
  <c r="BK13" i="675" s="1"/>
  <c r="BB13" i="675"/>
  <c r="BC13" i="675" s="1"/>
  <c r="AT13" i="675"/>
  <c r="AU13" i="675" s="1"/>
  <c r="AL13" i="675"/>
  <c r="AM13" i="675" s="1"/>
  <c r="AD13" i="675"/>
  <c r="AE13" i="675" s="1"/>
  <c r="V13" i="675"/>
  <c r="W13" i="675" s="1"/>
  <c r="N13" i="675"/>
  <c r="O13" i="675" s="1"/>
  <c r="BJ12" i="675"/>
  <c r="BK12" i="675" s="1"/>
  <c r="BB12" i="675"/>
  <c r="BC12" i="675" s="1"/>
  <c r="AT12" i="675"/>
  <c r="AU12" i="675" s="1"/>
  <c r="AL12" i="675"/>
  <c r="AM12" i="675" s="1"/>
  <c r="AD12" i="675"/>
  <c r="AE12" i="675" s="1"/>
  <c r="V12" i="675"/>
  <c r="W12" i="675" s="1"/>
  <c r="N12" i="675"/>
  <c r="O12" i="675" s="1"/>
  <c r="BJ11" i="675"/>
  <c r="BK11" i="675" s="1"/>
  <c r="BB11" i="675"/>
  <c r="BC11" i="675" s="1"/>
  <c r="AT11" i="675"/>
  <c r="AU11" i="675" s="1"/>
  <c r="AL11" i="675"/>
  <c r="AM11" i="675" s="1"/>
  <c r="AD11" i="675"/>
  <c r="AE11" i="675" s="1"/>
  <c r="V11" i="675"/>
  <c r="W11" i="675" s="1"/>
  <c r="N11" i="675"/>
  <c r="O11" i="675" s="1"/>
  <c r="BJ10" i="675"/>
  <c r="BK10" i="675" s="1"/>
  <c r="BB10" i="675"/>
  <c r="BC10" i="675" s="1"/>
  <c r="AT10" i="675"/>
  <c r="AU10" i="675" s="1"/>
  <c r="AL10" i="675"/>
  <c r="AM10" i="675" s="1"/>
  <c r="AD10" i="675"/>
  <c r="AE10" i="675" s="1"/>
  <c r="V10" i="675"/>
  <c r="W10" i="675" s="1"/>
  <c r="N10" i="675"/>
  <c r="O10" i="675" s="1"/>
  <c r="BJ9" i="675"/>
  <c r="BK9" i="675" s="1"/>
  <c r="BB9" i="675"/>
  <c r="BC9" i="675" s="1"/>
  <c r="AT9" i="675"/>
  <c r="AU9" i="675" s="1"/>
  <c r="AL9" i="675"/>
  <c r="AM9" i="675" s="1"/>
  <c r="AD9" i="675"/>
  <c r="AE9" i="675" s="1"/>
  <c r="V9" i="675"/>
  <c r="W9" i="675" s="1"/>
  <c r="N9" i="675"/>
  <c r="O9" i="675" s="1"/>
  <c r="BJ8" i="675"/>
  <c r="BK8" i="675" s="1"/>
  <c r="BB8" i="675"/>
  <c r="BC8" i="675" s="1"/>
  <c r="AT8" i="675"/>
  <c r="AU8" i="675" s="1"/>
  <c r="AL8" i="675"/>
  <c r="AM8" i="675" s="1"/>
  <c r="AD8" i="675"/>
  <c r="AE8" i="675" s="1"/>
  <c r="V8" i="675"/>
  <c r="W8" i="675" s="1"/>
  <c r="N8" i="675"/>
  <c r="O8" i="675" s="1"/>
  <c r="B8" i="675"/>
  <c r="B9" i="675" s="1"/>
  <c r="B10" i="675" s="1"/>
  <c r="B11" i="675" s="1"/>
  <c r="B12" i="675" s="1"/>
  <c r="B13" i="675" s="1"/>
  <c r="B14" i="675" s="1"/>
  <c r="B15" i="675" s="1"/>
  <c r="B16" i="675" s="1"/>
  <c r="B17" i="675" s="1"/>
  <c r="B18" i="675" s="1"/>
  <c r="B19" i="675" s="1"/>
  <c r="B20" i="675" s="1"/>
  <c r="B21" i="675" s="1"/>
  <c r="B22" i="675" s="1"/>
  <c r="B23" i="675" s="1"/>
  <c r="B24" i="675" s="1"/>
  <c r="B25" i="675" s="1"/>
  <c r="B26" i="675" s="1"/>
  <c r="B27" i="675" s="1"/>
  <c r="B28" i="675" s="1"/>
  <c r="B29" i="675" s="1"/>
  <c r="B30" i="675" s="1"/>
  <c r="B31" i="675" s="1"/>
  <c r="B32" i="675" s="1"/>
  <c r="B33" i="675" s="1"/>
  <c r="B34" i="675" s="1"/>
  <c r="B35" i="675" s="1"/>
  <c r="B36" i="675" s="1"/>
  <c r="B37" i="675" s="1"/>
  <c r="B38" i="675" s="1"/>
  <c r="B39" i="675" s="1"/>
  <c r="B40" i="675" s="1"/>
  <c r="B41" i="675" s="1"/>
  <c r="B42" i="675" s="1"/>
  <c r="B43" i="675" s="1"/>
  <c r="B44" i="675" s="1"/>
  <c r="B45" i="675" s="1"/>
  <c r="B46" i="675" s="1"/>
  <c r="B47" i="675" s="1"/>
  <c r="B48" i="675" s="1"/>
  <c r="B49" i="675" s="1"/>
  <c r="B50" i="675" s="1"/>
  <c r="B51" i="675" s="1"/>
  <c r="B52" i="675" s="1"/>
  <c r="B53" i="675" s="1"/>
  <c r="B54" i="675" s="1"/>
  <c r="B55" i="675" s="1"/>
  <c r="B56" i="675" s="1"/>
  <c r="B57" i="675" s="1"/>
  <c r="B58" i="675" s="1"/>
  <c r="B59" i="675" s="1"/>
  <c r="B60" i="675" s="1"/>
  <c r="B61" i="675" s="1"/>
  <c r="B62" i="675" s="1"/>
  <c r="B63" i="675" s="1"/>
  <c r="B64" i="675" s="1"/>
  <c r="B65" i="675" s="1"/>
  <c r="B66" i="675" s="1"/>
  <c r="B67" i="675" s="1"/>
  <c r="B68" i="675" s="1"/>
  <c r="B69" i="675" s="1"/>
  <c r="B70" i="675" s="1"/>
  <c r="B71" i="675" s="1"/>
  <c r="B72" i="675" s="1"/>
  <c r="B73" i="675" s="1"/>
  <c r="B74" i="675" s="1"/>
  <c r="B75" i="675" s="1"/>
  <c r="B76" i="675" s="1"/>
  <c r="B77" i="675" s="1"/>
  <c r="B78" i="675" s="1"/>
  <c r="B79" i="675" s="1"/>
  <c r="B80" i="675" s="1"/>
  <c r="B81" i="675" s="1"/>
  <c r="B82" i="675" s="1"/>
  <c r="B83" i="675" s="1"/>
  <c r="B84" i="675" s="1"/>
  <c r="B85" i="675" s="1"/>
  <c r="B86" i="675" s="1"/>
  <c r="B87" i="675" s="1"/>
  <c r="B88" i="675" s="1"/>
  <c r="B89" i="675" s="1"/>
  <c r="B90" i="675" s="1"/>
  <c r="B91" i="675" s="1"/>
  <c r="B92" i="675" s="1"/>
  <c r="B93" i="675" s="1"/>
  <c r="B94" i="675" s="1"/>
  <c r="B95" i="675" s="1"/>
  <c r="B96" i="675" s="1"/>
  <c r="B97" i="675" s="1"/>
  <c r="B98" i="675" s="1"/>
  <c r="B99" i="675" s="1"/>
  <c r="B100" i="675" s="1"/>
  <c r="B101" i="675" s="1"/>
  <c r="B102" i="675" s="1"/>
  <c r="B103" i="675" s="1"/>
  <c r="B104" i="675" s="1"/>
  <c r="B105" i="675" s="1"/>
  <c r="B106" i="675" s="1"/>
  <c r="B107" i="675" s="1"/>
  <c r="B108" i="675" s="1"/>
  <c r="B109" i="675" s="1"/>
  <c r="B110" i="675" s="1"/>
  <c r="B111" i="675" s="1"/>
  <c r="B112" i="675" s="1"/>
  <c r="B113" i="675" s="1"/>
  <c r="B114" i="675" s="1"/>
  <c r="B115" i="675" s="1"/>
  <c r="B116" i="675" s="1"/>
  <c r="B117" i="675" s="1"/>
  <c r="B118" i="675" s="1"/>
  <c r="B119" i="675" s="1"/>
  <c r="B120" i="675" s="1"/>
  <c r="B121" i="675" s="1"/>
  <c r="B122" i="675" s="1"/>
  <c r="B123" i="675" s="1"/>
  <c r="B124" i="675" s="1"/>
  <c r="B125" i="675" s="1"/>
  <c r="B126" i="675" s="1"/>
  <c r="B127" i="675" s="1"/>
  <c r="B128" i="675" s="1"/>
  <c r="B129" i="675" s="1"/>
  <c r="B130" i="675" s="1"/>
  <c r="B131" i="675" s="1"/>
  <c r="B132" i="675" s="1"/>
  <c r="B133" i="675" s="1"/>
  <c r="B134" i="675" s="1"/>
  <c r="B135" i="675" s="1"/>
  <c r="B136" i="675" s="1"/>
  <c r="B137" i="675" s="1"/>
  <c r="B138" i="675" s="1"/>
  <c r="B139" i="675" s="1"/>
  <c r="B140" i="675" s="1"/>
  <c r="B141" i="675" s="1"/>
  <c r="B142" i="675" s="1"/>
  <c r="B143" i="675" s="1"/>
  <c r="B144" i="675" s="1"/>
  <c r="B145" i="675" s="1"/>
  <c r="B146" i="675" s="1"/>
  <c r="B147" i="675" s="1"/>
  <c r="B148" i="675" s="1"/>
  <c r="B149" i="675" s="1"/>
  <c r="B150" i="675" s="1"/>
  <c r="B151" i="675" s="1"/>
  <c r="B152" i="675" s="1"/>
  <c r="B153" i="675" s="1"/>
  <c r="B154" i="675" s="1"/>
  <c r="B155" i="675" s="1"/>
  <c r="B156" i="675" s="1"/>
  <c r="B157" i="675" s="1"/>
  <c r="B158" i="675" s="1"/>
  <c r="B159" i="675" s="1"/>
  <c r="B160" i="675" s="1"/>
  <c r="B161" i="675" s="1"/>
  <c r="B162" i="675" s="1"/>
  <c r="B163" i="675" s="1"/>
  <c r="B164" i="675" s="1"/>
  <c r="B165" i="675" s="1"/>
  <c r="B166" i="675" s="1"/>
  <c r="B167" i="675" s="1"/>
  <c r="B168" i="675" s="1"/>
  <c r="B169" i="675" s="1"/>
  <c r="B170" i="675" s="1"/>
  <c r="B171" i="675" s="1"/>
  <c r="B172" i="675" s="1"/>
  <c r="B173" i="675" s="1"/>
  <c r="B174" i="675" s="1"/>
  <c r="B175" i="675" s="1"/>
  <c r="B176" i="675" s="1"/>
  <c r="B177" i="675" s="1"/>
  <c r="B178" i="675" s="1"/>
  <c r="B179" i="675" s="1"/>
  <c r="B180" i="675" s="1"/>
  <c r="B181" i="675" s="1"/>
  <c r="B182" i="675" s="1"/>
  <c r="B183" i="675" s="1"/>
  <c r="B184" i="675" s="1"/>
  <c r="B185" i="675" s="1"/>
  <c r="B186" i="675" s="1"/>
  <c r="B187" i="675" s="1"/>
  <c r="B188" i="675" s="1"/>
  <c r="B189" i="675" s="1"/>
  <c r="B190" i="675" s="1"/>
  <c r="B191" i="675" s="1"/>
  <c r="B192" i="675" s="1"/>
  <c r="B193" i="675" s="1"/>
  <c r="B194" i="675" s="1"/>
  <c r="B195" i="675" s="1"/>
  <c r="B196" i="675" s="1"/>
  <c r="B197" i="675" s="1"/>
  <c r="B198" i="675" s="1"/>
  <c r="B199" i="675" s="1"/>
  <c r="B200" i="675" s="1"/>
  <c r="B201" i="675" s="1"/>
  <c r="B202" i="675" s="1"/>
  <c r="B203" i="675" s="1"/>
  <c r="B204" i="675" s="1"/>
  <c r="B205" i="675" s="1"/>
  <c r="B206" i="675" s="1"/>
  <c r="B207" i="675" s="1"/>
  <c r="B208" i="675" s="1"/>
  <c r="B209" i="675" s="1"/>
  <c r="B210" i="675" s="1"/>
  <c r="B211" i="675" s="1"/>
  <c r="B212" i="675" s="1"/>
  <c r="B213" i="675" s="1"/>
  <c r="B214" i="675" s="1"/>
  <c r="B215" i="675" s="1"/>
  <c r="B216" i="675" s="1"/>
  <c r="B217" i="675" s="1"/>
  <c r="B218" i="675" s="1"/>
  <c r="B219" i="675" s="1"/>
  <c r="B220" i="675" s="1"/>
  <c r="B221" i="675" s="1"/>
  <c r="B222" i="675" s="1"/>
  <c r="B223" i="675" s="1"/>
  <c r="B224" i="675" s="1"/>
  <c r="B225" i="675" s="1"/>
  <c r="B226" i="675" s="1"/>
  <c r="B227" i="675" s="1"/>
  <c r="B228" i="675" s="1"/>
  <c r="B229" i="675" s="1"/>
  <c r="B230" i="675" s="1"/>
  <c r="B231" i="675" s="1"/>
  <c r="B232" i="675" s="1"/>
  <c r="B233" i="675" s="1"/>
  <c r="B234" i="675" s="1"/>
  <c r="B235" i="675" s="1"/>
  <c r="B236" i="675" s="1"/>
  <c r="B237" i="675" s="1"/>
  <c r="B238" i="675" s="1"/>
  <c r="B239" i="675" s="1"/>
  <c r="B240" i="675" s="1"/>
  <c r="B241" i="675" s="1"/>
  <c r="B242" i="675" s="1"/>
  <c r="B243" i="675" s="1"/>
  <c r="B244" i="675" s="1"/>
  <c r="B245" i="675" s="1"/>
  <c r="B246" i="675" s="1"/>
  <c r="B247" i="675" s="1"/>
  <c r="B248" i="675" s="1"/>
  <c r="B249" i="675" s="1"/>
  <c r="B250" i="675" s="1"/>
  <c r="B251" i="675" s="1"/>
  <c r="B252" i="675" s="1"/>
  <c r="B253" i="675" s="1"/>
  <c r="B254" i="675" s="1"/>
  <c r="B255" i="675" s="1"/>
  <c r="B256" i="675" s="1"/>
  <c r="B257" i="675" s="1"/>
  <c r="B258" i="675" s="1"/>
  <c r="B259" i="675" s="1"/>
  <c r="B260" i="675" s="1"/>
  <c r="B261" i="675" s="1"/>
  <c r="B262" i="675" s="1"/>
  <c r="B263" i="675" s="1"/>
  <c r="B264" i="675" s="1"/>
  <c r="B265" i="675" s="1"/>
  <c r="B266" i="675" s="1"/>
  <c r="B267" i="675" s="1"/>
  <c r="B268" i="675" s="1"/>
  <c r="B269" i="675" s="1"/>
  <c r="B270" i="675" s="1"/>
  <c r="B271" i="675" s="1"/>
  <c r="B272" i="675" s="1"/>
  <c r="B273" i="675" s="1"/>
  <c r="B274" i="675" s="1"/>
  <c r="B275" i="675" s="1"/>
  <c r="B276" i="675" s="1"/>
  <c r="B277" i="675" s="1"/>
  <c r="B278" i="675" s="1"/>
  <c r="B279" i="675" s="1"/>
  <c r="B280" i="675" s="1"/>
  <c r="B281" i="675" s="1"/>
  <c r="B282" i="675" s="1"/>
  <c r="B283" i="675" s="1"/>
  <c r="B284" i="675" s="1"/>
  <c r="B285" i="675" s="1"/>
  <c r="B286" i="675" s="1"/>
  <c r="B287" i="675" s="1"/>
  <c r="B288" i="675" s="1"/>
  <c r="B289" i="675" s="1"/>
  <c r="B290" i="675" s="1"/>
  <c r="B291" i="675" s="1"/>
  <c r="B292" i="675" s="1"/>
  <c r="B293" i="675" s="1"/>
  <c r="B294" i="675" s="1"/>
  <c r="B295" i="675" s="1"/>
  <c r="B296" i="675" s="1"/>
  <c r="B297" i="675" s="1"/>
  <c r="B298" i="675" s="1"/>
  <c r="B299" i="675" s="1"/>
  <c r="B300" i="675" s="1"/>
  <c r="B301" i="675" s="1"/>
  <c r="B302" i="675" s="1"/>
  <c r="B303" i="675" s="1"/>
  <c r="B304" i="675" s="1"/>
  <c r="B305" i="675" s="1"/>
  <c r="B306" i="675" s="1"/>
  <c r="B307" i="675" s="1"/>
  <c r="B308" i="675" s="1"/>
  <c r="B309" i="675" s="1"/>
  <c r="B310" i="675" s="1"/>
  <c r="B311" i="675" s="1"/>
  <c r="B312" i="675" s="1"/>
  <c r="B313" i="675" s="1"/>
  <c r="B314" i="675" s="1"/>
  <c r="B315" i="675" s="1"/>
  <c r="B316" i="675" s="1"/>
  <c r="B317" i="675" s="1"/>
  <c r="B318" i="675" s="1"/>
  <c r="B319" i="675" s="1"/>
  <c r="B320" i="675" s="1"/>
  <c r="B321" i="675" s="1"/>
  <c r="B322" i="675" s="1"/>
  <c r="B323" i="675" s="1"/>
  <c r="B324" i="675" s="1"/>
  <c r="B325" i="675" s="1"/>
  <c r="B326" i="675" s="1"/>
  <c r="B327" i="675" s="1"/>
  <c r="B328" i="675" s="1"/>
  <c r="B329" i="675" s="1"/>
  <c r="B330" i="675" s="1"/>
  <c r="B331" i="675" s="1"/>
  <c r="B332" i="675" s="1"/>
  <c r="B333" i="675" s="1"/>
  <c r="B334" i="675" s="1"/>
  <c r="B335" i="675" s="1"/>
  <c r="B336" i="675" s="1"/>
  <c r="B337" i="675" s="1"/>
  <c r="B338" i="675" s="1"/>
  <c r="B339" i="675" s="1"/>
  <c r="B340" i="675" s="1"/>
  <c r="B341" i="675" s="1"/>
  <c r="B342" i="675" s="1"/>
  <c r="B343" i="675" s="1"/>
  <c r="B344" i="675" s="1"/>
  <c r="B345" i="675" s="1"/>
  <c r="B346" i="675" s="1"/>
  <c r="B347" i="675" s="1"/>
  <c r="B348" i="675" s="1"/>
  <c r="B349" i="675" s="1"/>
  <c r="B350" i="675" s="1"/>
  <c r="B351" i="675" s="1"/>
  <c r="B352" i="675" s="1"/>
  <c r="B353" i="675" s="1"/>
  <c r="B354" i="675" s="1"/>
  <c r="B355" i="675" s="1"/>
  <c r="B356" i="675" s="1"/>
  <c r="B357" i="675" s="1"/>
  <c r="B358" i="675" s="1"/>
  <c r="B359" i="675" s="1"/>
  <c r="B360" i="675" s="1"/>
  <c r="B361" i="675" s="1"/>
  <c r="B362" i="675" s="1"/>
  <c r="B363" i="675" s="1"/>
  <c r="B364" i="675" s="1"/>
  <c r="B365" i="675" s="1"/>
  <c r="B366" i="675" s="1"/>
  <c r="B367" i="675" s="1"/>
  <c r="B368" i="675" s="1"/>
  <c r="B369" i="675" s="1"/>
  <c r="B370" i="675" s="1"/>
  <c r="B371" i="675" s="1"/>
  <c r="B372" i="675" s="1"/>
  <c r="B373" i="675" s="1"/>
  <c r="B374" i="675" s="1"/>
  <c r="B375" i="675" s="1"/>
  <c r="B376" i="675" s="1"/>
  <c r="B377" i="675" s="1"/>
  <c r="B378" i="675" s="1"/>
  <c r="B379" i="675" s="1"/>
  <c r="B380" i="675" s="1"/>
  <c r="B381" i="675" s="1"/>
  <c r="B382" i="675" s="1"/>
  <c r="B383" i="675" s="1"/>
  <c r="B384" i="675" s="1"/>
  <c r="B385" i="675" s="1"/>
  <c r="B386" i="675" s="1"/>
  <c r="B387" i="675" s="1"/>
  <c r="B388" i="675" s="1"/>
  <c r="B389" i="675" s="1"/>
  <c r="B390" i="675" s="1"/>
  <c r="B391" i="675" s="1"/>
  <c r="B392" i="675" s="1"/>
  <c r="B393" i="675" s="1"/>
  <c r="B394" i="675" s="1"/>
  <c r="B395" i="675" s="1"/>
  <c r="B396" i="675" s="1"/>
  <c r="B397" i="675" s="1"/>
  <c r="B398" i="675" s="1"/>
  <c r="B399" i="675" s="1"/>
  <c r="B400" i="675" s="1"/>
  <c r="B401" i="675" s="1"/>
  <c r="B402" i="675" s="1"/>
  <c r="B403" i="675" s="1"/>
  <c r="B404" i="675" s="1"/>
  <c r="B405" i="675" s="1"/>
  <c r="B406" i="675" s="1"/>
  <c r="B407" i="675" s="1"/>
  <c r="B408" i="675" s="1"/>
  <c r="B409" i="675" s="1"/>
  <c r="B410" i="675" s="1"/>
  <c r="B411" i="675" s="1"/>
  <c r="B412" i="675" s="1"/>
  <c r="B413" i="675" s="1"/>
  <c r="B414" i="675" s="1"/>
  <c r="B415" i="675" s="1"/>
  <c r="B416" i="675" s="1"/>
  <c r="B417" i="675" s="1"/>
  <c r="B418" i="675" s="1"/>
  <c r="B419" i="675" s="1"/>
  <c r="B420" i="675" s="1"/>
  <c r="B421" i="675" s="1"/>
  <c r="B422" i="675" s="1"/>
  <c r="B423" i="675" s="1"/>
  <c r="B424" i="675" s="1"/>
  <c r="B425" i="675" s="1"/>
  <c r="B426" i="675" s="1"/>
  <c r="B427" i="675" s="1"/>
  <c r="B428" i="675" s="1"/>
  <c r="B429" i="675" s="1"/>
  <c r="B430" i="675" s="1"/>
  <c r="B431" i="675" s="1"/>
  <c r="B432" i="675" s="1"/>
  <c r="B433" i="675" s="1"/>
  <c r="B434" i="675" s="1"/>
  <c r="B435" i="675" s="1"/>
  <c r="B436" i="675" s="1"/>
  <c r="B437" i="675" s="1"/>
  <c r="B438" i="675" s="1"/>
  <c r="B439" i="675" s="1"/>
  <c r="B440" i="675" s="1"/>
  <c r="B441" i="675" s="1"/>
  <c r="B442" i="675" s="1"/>
  <c r="B443" i="675" s="1"/>
  <c r="B444" i="675" s="1"/>
  <c r="B445" i="675" s="1"/>
  <c r="B446" i="675" s="1"/>
  <c r="B447" i="675" s="1"/>
  <c r="B448" i="675" s="1"/>
  <c r="B449" i="675" s="1"/>
  <c r="B450" i="675" s="1"/>
  <c r="B451" i="675" s="1"/>
  <c r="B452" i="675" s="1"/>
  <c r="B453" i="675" s="1"/>
  <c r="B454" i="675" s="1"/>
  <c r="B455" i="675" s="1"/>
  <c r="B456" i="675" s="1"/>
  <c r="B457" i="675" s="1"/>
  <c r="B458" i="675" s="1"/>
  <c r="B459" i="675" s="1"/>
  <c r="B460" i="675" s="1"/>
  <c r="B461" i="675" s="1"/>
  <c r="B462" i="675" s="1"/>
  <c r="B463" i="675" s="1"/>
  <c r="B464" i="675" s="1"/>
  <c r="B465" i="675" s="1"/>
  <c r="B466" i="675" s="1"/>
  <c r="B467" i="675" s="1"/>
  <c r="B468" i="675" s="1"/>
  <c r="B469" i="675" s="1"/>
  <c r="B470" i="675" s="1"/>
  <c r="B471" i="675" s="1"/>
  <c r="B472" i="675" s="1"/>
  <c r="B473" i="675" s="1"/>
  <c r="B474" i="675" s="1"/>
  <c r="B475" i="675" s="1"/>
  <c r="B476" i="675" s="1"/>
  <c r="B477" i="675" s="1"/>
  <c r="B478" i="675" s="1"/>
  <c r="B479" i="675" s="1"/>
  <c r="B480" i="675" s="1"/>
  <c r="B481" i="675" s="1"/>
  <c r="B482" i="675" s="1"/>
  <c r="B483" i="675" s="1"/>
  <c r="B484" i="675" s="1"/>
  <c r="B485" i="675" s="1"/>
  <c r="B486" i="675" s="1"/>
  <c r="B487" i="675" s="1"/>
  <c r="B488" i="675" s="1"/>
  <c r="B489" i="675" s="1"/>
  <c r="B490" i="675" s="1"/>
  <c r="B491" i="675" s="1"/>
  <c r="B492" i="675" s="1"/>
  <c r="B493" i="675" s="1"/>
  <c r="B494" i="675" s="1"/>
  <c r="B495" i="675" s="1"/>
  <c r="B496" i="675" s="1"/>
  <c r="B497" i="675" s="1"/>
  <c r="B498" i="675" s="1"/>
  <c r="B499" i="675" s="1"/>
  <c r="B500" i="675" s="1"/>
  <c r="B501" i="675" s="1"/>
  <c r="B502" i="675" s="1"/>
  <c r="B503" i="675" s="1"/>
  <c r="B504" i="675" s="1"/>
  <c r="B505" i="675" s="1"/>
  <c r="B506" i="675" s="1"/>
  <c r="B507" i="675" s="1"/>
  <c r="B508" i="675" s="1"/>
  <c r="B509" i="675" s="1"/>
  <c r="B510" i="675" s="1"/>
  <c r="B511" i="675" s="1"/>
  <c r="B512" i="675" s="1"/>
  <c r="B513" i="675" s="1"/>
  <c r="B514" i="675" s="1"/>
  <c r="B515" i="675" s="1"/>
  <c r="B516" i="675" s="1"/>
  <c r="B517" i="675" s="1"/>
  <c r="B518" i="675" s="1"/>
  <c r="B519" i="675" s="1"/>
  <c r="B520" i="675" s="1"/>
  <c r="B521" i="675" s="1"/>
  <c r="B522" i="675" s="1"/>
  <c r="B523" i="675" s="1"/>
  <c r="B524" i="675" s="1"/>
  <c r="B525" i="675" s="1"/>
  <c r="B526" i="675" s="1"/>
  <c r="B527" i="675" s="1"/>
  <c r="B528" i="675" s="1"/>
  <c r="B529" i="675" s="1"/>
  <c r="B530" i="675" s="1"/>
  <c r="B531" i="675" s="1"/>
  <c r="B532" i="675" s="1"/>
  <c r="B533" i="675" s="1"/>
  <c r="B534" i="675" s="1"/>
  <c r="B535" i="675" s="1"/>
  <c r="B536" i="675" s="1"/>
  <c r="B537" i="675" s="1"/>
  <c r="B538" i="675" s="1"/>
  <c r="B539" i="675" s="1"/>
  <c r="B540" i="675" s="1"/>
  <c r="B541" i="675" s="1"/>
  <c r="B542" i="675" s="1"/>
  <c r="B543" i="675" s="1"/>
  <c r="B544" i="675" s="1"/>
  <c r="B545" i="675" s="1"/>
  <c r="B546" i="675" s="1"/>
  <c r="B547" i="675" s="1"/>
  <c r="B548" i="675" s="1"/>
  <c r="B549" i="675" s="1"/>
  <c r="B550" i="675" s="1"/>
  <c r="B551" i="675" s="1"/>
  <c r="B552" i="675" s="1"/>
  <c r="B553" i="675" s="1"/>
  <c r="B554" i="675" s="1"/>
  <c r="B555" i="675" s="1"/>
  <c r="B556" i="675" s="1"/>
  <c r="B557" i="675" s="1"/>
  <c r="B558" i="675" s="1"/>
  <c r="B559" i="675" s="1"/>
  <c r="B560" i="675" s="1"/>
  <c r="B561" i="675" s="1"/>
  <c r="B562" i="675" s="1"/>
  <c r="B563" i="675" s="1"/>
  <c r="B564" i="675" s="1"/>
  <c r="B565" i="675" s="1"/>
  <c r="B566" i="675" s="1"/>
  <c r="B567" i="675" s="1"/>
  <c r="B568" i="675" s="1"/>
  <c r="B569" i="675" s="1"/>
  <c r="B570" i="675" s="1"/>
  <c r="B571" i="675" s="1"/>
  <c r="B572" i="675" s="1"/>
  <c r="B573" i="675" s="1"/>
  <c r="B574" i="675" s="1"/>
  <c r="B575" i="675" s="1"/>
  <c r="B576" i="675" s="1"/>
  <c r="B577" i="675" s="1"/>
  <c r="B578" i="675" s="1"/>
  <c r="B579" i="675" s="1"/>
  <c r="B580" i="675" s="1"/>
  <c r="B581" i="675" s="1"/>
  <c r="B582" i="675" s="1"/>
  <c r="B583" i="675" s="1"/>
  <c r="B584" i="675" s="1"/>
  <c r="B585" i="675" s="1"/>
  <c r="B586" i="675" s="1"/>
  <c r="B587" i="675" s="1"/>
  <c r="B588" i="675" s="1"/>
  <c r="B589" i="675" s="1"/>
  <c r="B590" i="675" s="1"/>
  <c r="B591" i="675" s="1"/>
  <c r="B592" i="675" s="1"/>
  <c r="B593" i="675" s="1"/>
  <c r="B594" i="675" s="1"/>
  <c r="B595" i="675" s="1"/>
  <c r="B596" i="675" s="1"/>
  <c r="B597" i="675" s="1"/>
  <c r="B598" i="675" s="1"/>
  <c r="B599" i="675" s="1"/>
  <c r="B600" i="675" s="1"/>
  <c r="B601" i="675" s="1"/>
  <c r="B602" i="675" s="1"/>
  <c r="B603" i="675" s="1"/>
  <c r="B604" i="675" s="1"/>
  <c r="B605" i="675" s="1"/>
  <c r="B606" i="675" s="1"/>
  <c r="B607" i="675" s="1"/>
  <c r="B608" i="675" s="1"/>
  <c r="B609" i="675" s="1"/>
  <c r="B610" i="675" s="1"/>
  <c r="B611" i="675" s="1"/>
  <c r="B612" i="675" s="1"/>
  <c r="B613" i="675" s="1"/>
  <c r="B614" i="675" s="1"/>
  <c r="B615" i="675" s="1"/>
  <c r="B616" i="675" s="1"/>
  <c r="B617" i="675" s="1"/>
  <c r="B618" i="675" s="1"/>
  <c r="B619" i="675" s="1"/>
  <c r="B620" i="675" s="1"/>
  <c r="B621" i="675" s="1"/>
  <c r="B622" i="675" s="1"/>
  <c r="B623" i="675" s="1"/>
  <c r="B624" i="675" s="1"/>
  <c r="B625" i="675" s="1"/>
  <c r="B626" i="675" s="1"/>
  <c r="B627" i="675" s="1"/>
  <c r="B628" i="675" s="1"/>
  <c r="B629" i="675" s="1"/>
  <c r="B630" i="675" s="1"/>
  <c r="B631" i="675" s="1"/>
  <c r="B632" i="675" s="1"/>
  <c r="B633" i="675" s="1"/>
  <c r="B634" i="675" s="1"/>
  <c r="B635" i="675" s="1"/>
  <c r="B636" i="675" s="1"/>
  <c r="B637" i="675" s="1"/>
  <c r="B638" i="675" s="1"/>
  <c r="B639" i="675" s="1"/>
  <c r="B640" i="675" s="1"/>
  <c r="B641" i="675" s="1"/>
  <c r="B642" i="675" s="1"/>
  <c r="B643" i="675" s="1"/>
  <c r="B644" i="675" s="1"/>
  <c r="B645" i="675" s="1"/>
  <c r="B646" i="675" s="1"/>
  <c r="B647" i="675" s="1"/>
  <c r="B648" i="675" s="1"/>
  <c r="B649" i="675" s="1"/>
  <c r="B650" i="675" s="1"/>
  <c r="B651" i="675" s="1"/>
  <c r="B652" i="675" s="1"/>
  <c r="B653" i="675" s="1"/>
  <c r="B654" i="675" s="1"/>
  <c r="B655" i="675" s="1"/>
  <c r="B656" i="675" s="1"/>
  <c r="B657" i="675" s="1"/>
  <c r="B658" i="675" s="1"/>
  <c r="B659" i="675" s="1"/>
  <c r="B660" i="675" s="1"/>
  <c r="B661" i="675" s="1"/>
  <c r="B662" i="675" s="1"/>
  <c r="B663" i="675" s="1"/>
  <c r="B664" i="675" s="1"/>
  <c r="B665" i="675" s="1"/>
  <c r="B666" i="675" s="1"/>
  <c r="B667" i="675" s="1"/>
  <c r="B668" i="675" s="1"/>
  <c r="B669" i="675" s="1"/>
  <c r="B670" i="675" s="1"/>
  <c r="B671" i="675" s="1"/>
  <c r="B672" i="675" s="1"/>
  <c r="B673" i="675" s="1"/>
  <c r="B674" i="675" s="1"/>
  <c r="B675" i="675" s="1"/>
  <c r="B676" i="675" s="1"/>
  <c r="B677" i="675" s="1"/>
  <c r="B678" i="675" s="1"/>
  <c r="B679" i="675" s="1"/>
  <c r="B680" i="675" s="1"/>
  <c r="B681" i="675" s="1"/>
  <c r="B682" i="675" s="1"/>
  <c r="B683" i="675" s="1"/>
  <c r="B684" i="675" s="1"/>
  <c r="B685" i="675" s="1"/>
  <c r="B686" i="675" s="1"/>
  <c r="B687" i="675" s="1"/>
  <c r="B688" i="675" s="1"/>
  <c r="B689" i="675" s="1"/>
  <c r="B690" i="675" s="1"/>
  <c r="B691" i="675" s="1"/>
  <c r="B692" i="675" s="1"/>
  <c r="B693" i="675" s="1"/>
  <c r="B694" i="675" s="1"/>
  <c r="B695" i="675" s="1"/>
  <c r="B696" i="675" s="1"/>
  <c r="B697" i="675" s="1"/>
  <c r="B698" i="675" s="1"/>
  <c r="B699" i="675" s="1"/>
  <c r="B700" i="675" s="1"/>
  <c r="B701" i="675" s="1"/>
  <c r="B794" i="675" s="1"/>
  <c r="BJ7" i="675"/>
  <c r="BK7" i="675" s="1"/>
  <c r="BB7" i="675"/>
  <c r="BC7" i="675" s="1"/>
  <c r="AT7" i="675"/>
  <c r="AL7" i="675"/>
  <c r="AD7" i="675"/>
  <c r="V7" i="675"/>
  <c r="W7" i="675" s="1"/>
  <c r="N7" i="675"/>
  <c r="CW741" i="674"/>
  <c r="CV741" i="674"/>
  <c r="CU741" i="674"/>
  <c r="CT741" i="674"/>
  <c r="CS741" i="674"/>
  <c r="CR741" i="674"/>
  <c r="CO741" i="674"/>
  <c r="CN741" i="674"/>
  <c r="CM741" i="674"/>
  <c r="CL741" i="674"/>
  <c r="CK741" i="674"/>
  <c r="CJ741" i="674"/>
  <c r="CG741" i="674"/>
  <c r="CF741" i="674"/>
  <c r="CE741" i="674"/>
  <c r="CD741" i="674"/>
  <c r="CC741" i="674"/>
  <c r="CB741" i="674"/>
  <c r="BY741" i="674"/>
  <c r="BX741" i="674"/>
  <c r="BW741" i="674"/>
  <c r="BV741" i="674"/>
  <c r="BU741" i="674"/>
  <c r="BT741" i="674"/>
  <c r="BQ741" i="674"/>
  <c r="BP741" i="674"/>
  <c r="BO741" i="674"/>
  <c r="BN741" i="674"/>
  <c r="BM741" i="674"/>
  <c r="BL741" i="674"/>
  <c r="BI741" i="674"/>
  <c r="BH741" i="674"/>
  <c r="BG741" i="674"/>
  <c r="BF741" i="674"/>
  <c r="BE741" i="674"/>
  <c r="BD741" i="674"/>
  <c r="BA741" i="674"/>
  <c r="AZ741" i="674"/>
  <c r="AY741" i="674"/>
  <c r="AX741" i="674"/>
  <c r="AW741" i="674"/>
  <c r="AV741" i="674"/>
  <c r="AS741" i="674"/>
  <c r="AR741" i="674"/>
  <c r="AQ741" i="674"/>
  <c r="AP741" i="674"/>
  <c r="AO741" i="674"/>
  <c r="AN741" i="674"/>
  <c r="AK741" i="674"/>
  <c r="AJ741" i="674"/>
  <c r="AI741" i="674"/>
  <c r="AH741" i="674"/>
  <c r="AG741" i="674"/>
  <c r="AF741" i="674"/>
  <c r="AC741" i="674"/>
  <c r="AB741" i="674"/>
  <c r="AA741" i="674"/>
  <c r="Z741" i="674"/>
  <c r="Y741" i="674"/>
  <c r="X741" i="674"/>
  <c r="U741" i="674"/>
  <c r="T741" i="674"/>
  <c r="S741" i="674"/>
  <c r="R741" i="674"/>
  <c r="Q741" i="674"/>
  <c r="P741" i="674"/>
  <c r="M741" i="674"/>
  <c r="L741" i="674"/>
  <c r="K741" i="674"/>
  <c r="J741" i="674"/>
  <c r="I741" i="674"/>
  <c r="H741" i="674"/>
  <c r="G741" i="674"/>
  <c r="CX740" i="674"/>
  <c r="CY740" i="674" s="1"/>
  <c r="CP740" i="674"/>
  <c r="CQ740" i="674" s="1"/>
  <c r="CH740" i="674"/>
  <c r="CI740" i="674" s="1"/>
  <c r="BZ740" i="674"/>
  <c r="CA740" i="674" s="1"/>
  <c r="BR740" i="674"/>
  <c r="BS740" i="674" s="1"/>
  <c r="BJ740" i="674"/>
  <c r="BK740" i="674" s="1"/>
  <c r="BB740" i="674"/>
  <c r="BC740" i="674" s="1"/>
  <c r="AT740" i="674"/>
  <c r="AU740" i="674" s="1"/>
  <c r="AL740" i="674"/>
  <c r="AM740" i="674" s="1"/>
  <c r="AD740" i="674"/>
  <c r="AE740" i="674" s="1"/>
  <c r="V740" i="674"/>
  <c r="W740" i="674" s="1"/>
  <c r="N740" i="674"/>
  <c r="O740" i="674" s="1"/>
  <c r="CX739" i="674"/>
  <c r="CY739" i="674" s="1"/>
  <c r="CP739" i="674"/>
  <c r="CQ739" i="674" s="1"/>
  <c r="CH739" i="674"/>
  <c r="CI739" i="674" s="1"/>
  <c r="BZ739" i="674"/>
  <c r="CA739" i="674" s="1"/>
  <c r="BR739" i="674"/>
  <c r="BS739" i="674" s="1"/>
  <c r="BJ739" i="674"/>
  <c r="BK739" i="674" s="1"/>
  <c r="BB739" i="674"/>
  <c r="BC739" i="674" s="1"/>
  <c r="AT739" i="674"/>
  <c r="AU739" i="674" s="1"/>
  <c r="AL739" i="674"/>
  <c r="AM739" i="674" s="1"/>
  <c r="AD739" i="674"/>
  <c r="AE739" i="674" s="1"/>
  <c r="V739" i="674"/>
  <c r="W739" i="674" s="1"/>
  <c r="N739" i="674"/>
  <c r="O739" i="674" s="1"/>
  <c r="CX738" i="674"/>
  <c r="CY738" i="674" s="1"/>
  <c r="CP738" i="674"/>
  <c r="CQ738" i="674" s="1"/>
  <c r="CH738" i="674"/>
  <c r="CI738" i="674" s="1"/>
  <c r="BZ738" i="674"/>
  <c r="CA738" i="674" s="1"/>
  <c r="BR738" i="674"/>
  <c r="BS738" i="674" s="1"/>
  <c r="BJ738" i="674"/>
  <c r="BK738" i="674" s="1"/>
  <c r="BB738" i="674"/>
  <c r="BC738" i="674" s="1"/>
  <c r="AT738" i="674"/>
  <c r="AU738" i="674" s="1"/>
  <c r="AL738" i="674"/>
  <c r="AM738" i="674" s="1"/>
  <c r="AD738" i="674"/>
  <c r="AE738" i="674" s="1"/>
  <c r="V738" i="674"/>
  <c r="W738" i="674" s="1"/>
  <c r="N738" i="674"/>
  <c r="O738" i="674" s="1"/>
  <c r="CX737" i="674"/>
  <c r="CY737" i="674" s="1"/>
  <c r="CP737" i="674"/>
  <c r="CQ737" i="674" s="1"/>
  <c r="CH737" i="674"/>
  <c r="CI737" i="674" s="1"/>
  <c r="BZ737" i="674"/>
  <c r="CA737" i="674" s="1"/>
  <c r="BR737" i="674"/>
  <c r="BS737" i="674" s="1"/>
  <c r="BJ737" i="674"/>
  <c r="BK737" i="674" s="1"/>
  <c r="BB737" i="674"/>
  <c r="BC737" i="674" s="1"/>
  <c r="AT737" i="674"/>
  <c r="AU737" i="674" s="1"/>
  <c r="AL737" i="674"/>
  <c r="AM737" i="674" s="1"/>
  <c r="AD737" i="674"/>
  <c r="AE737" i="674" s="1"/>
  <c r="V737" i="674"/>
  <c r="W737" i="674" s="1"/>
  <c r="N737" i="674"/>
  <c r="O737" i="674" s="1"/>
  <c r="CX736" i="674"/>
  <c r="CY736" i="674" s="1"/>
  <c r="CP736" i="674"/>
  <c r="CQ736" i="674" s="1"/>
  <c r="CH736" i="674"/>
  <c r="CI736" i="674" s="1"/>
  <c r="BZ736" i="674"/>
  <c r="CA736" i="674" s="1"/>
  <c r="BR736" i="674"/>
  <c r="BS736" i="674" s="1"/>
  <c r="BJ736" i="674"/>
  <c r="BK736" i="674" s="1"/>
  <c r="BB736" i="674"/>
  <c r="BC736" i="674" s="1"/>
  <c r="AT736" i="674"/>
  <c r="AU736" i="674" s="1"/>
  <c r="AL736" i="674"/>
  <c r="AM736" i="674" s="1"/>
  <c r="AD736" i="674"/>
  <c r="AE736" i="674" s="1"/>
  <c r="V736" i="674"/>
  <c r="W736" i="674" s="1"/>
  <c r="N736" i="674"/>
  <c r="O736" i="674" s="1"/>
  <c r="CX735" i="674"/>
  <c r="CY735" i="674" s="1"/>
  <c r="CP735" i="674"/>
  <c r="CQ735" i="674" s="1"/>
  <c r="CH735" i="674"/>
  <c r="CI735" i="674" s="1"/>
  <c r="BZ735" i="674"/>
  <c r="CA735" i="674" s="1"/>
  <c r="BR735" i="674"/>
  <c r="BS735" i="674" s="1"/>
  <c r="BJ735" i="674"/>
  <c r="BK735" i="674" s="1"/>
  <c r="BB735" i="674"/>
  <c r="BC735" i="674" s="1"/>
  <c r="AT735" i="674"/>
  <c r="AU735" i="674" s="1"/>
  <c r="AL735" i="674"/>
  <c r="AM735" i="674" s="1"/>
  <c r="AD735" i="674"/>
  <c r="AE735" i="674" s="1"/>
  <c r="V735" i="674"/>
  <c r="W735" i="674" s="1"/>
  <c r="N735" i="674"/>
  <c r="O735" i="674" s="1"/>
  <c r="CX734" i="674"/>
  <c r="CY734" i="674" s="1"/>
  <c r="CP734" i="674"/>
  <c r="CQ734" i="674" s="1"/>
  <c r="CH734" i="674"/>
  <c r="CI734" i="674" s="1"/>
  <c r="BZ734" i="674"/>
  <c r="CA734" i="674" s="1"/>
  <c r="BR734" i="674"/>
  <c r="BS734" i="674" s="1"/>
  <c r="BJ734" i="674"/>
  <c r="BK734" i="674" s="1"/>
  <c r="BB734" i="674"/>
  <c r="BC734" i="674" s="1"/>
  <c r="AT734" i="674"/>
  <c r="AU734" i="674" s="1"/>
  <c r="AL734" i="674"/>
  <c r="AM734" i="674" s="1"/>
  <c r="AD734" i="674"/>
  <c r="AE734" i="674" s="1"/>
  <c r="V734" i="674"/>
  <c r="W734" i="674" s="1"/>
  <c r="N734" i="674"/>
  <c r="O734" i="674" s="1"/>
  <c r="CX733" i="674"/>
  <c r="CY733" i="674" s="1"/>
  <c r="CP733" i="674"/>
  <c r="CQ733" i="674" s="1"/>
  <c r="CH733" i="674"/>
  <c r="CI733" i="674" s="1"/>
  <c r="BZ733" i="674"/>
  <c r="CA733" i="674" s="1"/>
  <c r="BR733" i="674"/>
  <c r="BS733" i="674" s="1"/>
  <c r="BJ733" i="674"/>
  <c r="BK733" i="674" s="1"/>
  <c r="BB733" i="674"/>
  <c r="BC733" i="674" s="1"/>
  <c r="AT733" i="674"/>
  <c r="AU733" i="674" s="1"/>
  <c r="AL733" i="674"/>
  <c r="AM733" i="674" s="1"/>
  <c r="AD733" i="674"/>
  <c r="AE733" i="674" s="1"/>
  <c r="V733" i="674"/>
  <c r="W733" i="674" s="1"/>
  <c r="N733" i="674"/>
  <c r="O733" i="674" s="1"/>
  <c r="CX732" i="674"/>
  <c r="CY732" i="674" s="1"/>
  <c r="CP732" i="674"/>
  <c r="CQ732" i="674" s="1"/>
  <c r="CH732" i="674"/>
  <c r="CI732" i="674" s="1"/>
  <c r="BZ732" i="674"/>
  <c r="CA732" i="674" s="1"/>
  <c r="BR732" i="674"/>
  <c r="BS732" i="674" s="1"/>
  <c r="BJ732" i="674"/>
  <c r="BK732" i="674" s="1"/>
  <c r="BB732" i="674"/>
  <c r="BC732" i="674" s="1"/>
  <c r="AT732" i="674"/>
  <c r="AU732" i="674" s="1"/>
  <c r="AL732" i="674"/>
  <c r="AM732" i="674" s="1"/>
  <c r="AD732" i="674"/>
  <c r="AE732" i="674" s="1"/>
  <c r="V732" i="674"/>
  <c r="W732" i="674" s="1"/>
  <c r="N732" i="674"/>
  <c r="O732" i="674" s="1"/>
  <c r="CX731" i="674"/>
  <c r="CY731" i="674" s="1"/>
  <c r="CP731" i="674"/>
  <c r="CQ731" i="674" s="1"/>
  <c r="CH731" i="674"/>
  <c r="CI731" i="674" s="1"/>
  <c r="BZ731" i="674"/>
  <c r="CA731" i="674" s="1"/>
  <c r="BR731" i="674"/>
  <c r="BS731" i="674" s="1"/>
  <c r="BJ731" i="674"/>
  <c r="BK731" i="674" s="1"/>
  <c r="BB731" i="674"/>
  <c r="BC731" i="674" s="1"/>
  <c r="AT731" i="674"/>
  <c r="AU731" i="674" s="1"/>
  <c r="AL731" i="674"/>
  <c r="AM731" i="674" s="1"/>
  <c r="AD731" i="674"/>
  <c r="AE731" i="674" s="1"/>
  <c r="V731" i="674"/>
  <c r="W731" i="674" s="1"/>
  <c r="N731" i="674"/>
  <c r="O731" i="674" s="1"/>
  <c r="CX730" i="674"/>
  <c r="CY730" i="674" s="1"/>
  <c r="CP730" i="674"/>
  <c r="CQ730" i="674" s="1"/>
  <c r="CH730" i="674"/>
  <c r="CI730" i="674" s="1"/>
  <c r="BZ730" i="674"/>
  <c r="CA730" i="674" s="1"/>
  <c r="BR730" i="674"/>
  <c r="BS730" i="674" s="1"/>
  <c r="BJ730" i="674"/>
  <c r="BK730" i="674" s="1"/>
  <c r="BB730" i="674"/>
  <c r="BC730" i="674" s="1"/>
  <c r="AT730" i="674"/>
  <c r="AU730" i="674" s="1"/>
  <c r="AL730" i="674"/>
  <c r="AM730" i="674" s="1"/>
  <c r="AD730" i="674"/>
  <c r="AE730" i="674" s="1"/>
  <c r="V730" i="674"/>
  <c r="W730" i="674" s="1"/>
  <c r="N730" i="674"/>
  <c r="O730" i="674" s="1"/>
  <c r="CX729" i="674"/>
  <c r="CY729" i="674" s="1"/>
  <c r="CP729" i="674"/>
  <c r="CQ729" i="674" s="1"/>
  <c r="CH729" i="674"/>
  <c r="CI729" i="674" s="1"/>
  <c r="BZ729" i="674"/>
  <c r="CA729" i="674" s="1"/>
  <c r="BR729" i="674"/>
  <c r="BS729" i="674" s="1"/>
  <c r="BJ729" i="674"/>
  <c r="BK729" i="674" s="1"/>
  <c r="BB729" i="674"/>
  <c r="BC729" i="674" s="1"/>
  <c r="AT729" i="674"/>
  <c r="AU729" i="674" s="1"/>
  <c r="AL729" i="674"/>
  <c r="AM729" i="674" s="1"/>
  <c r="AD729" i="674"/>
  <c r="AE729" i="674" s="1"/>
  <c r="V729" i="674"/>
  <c r="W729" i="674" s="1"/>
  <c r="N729" i="674"/>
  <c r="O729" i="674" s="1"/>
  <c r="CX728" i="674"/>
  <c r="CY728" i="674" s="1"/>
  <c r="CP728" i="674"/>
  <c r="CQ728" i="674" s="1"/>
  <c r="CH728" i="674"/>
  <c r="CI728" i="674" s="1"/>
  <c r="BZ728" i="674"/>
  <c r="CA728" i="674" s="1"/>
  <c r="BR728" i="674"/>
  <c r="BS728" i="674" s="1"/>
  <c r="BJ728" i="674"/>
  <c r="BK728" i="674" s="1"/>
  <c r="BB728" i="674"/>
  <c r="BC728" i="674" s="1"/>
  <c r="AT728" i="674"/>
  <c r="AU728" i="674" s="1"/>
  <c r="AL728" i="674"/>
  <c r="AM728" i="674" s="1"/>
  <c r="AD728" i="674"/>
  <c r="AE728" i="674" s="1"/>
  <c r="V728" i="674"/>
  <c r="W728" i="674" s="1"/>
  <c r="N728" i="674"/>
  <c r="O728" i="674" s="1"/>
  <c r="CX727" i="674"/>
  <c r="CY727" i="674" s="1"/>
  <c r="CP727" i="674"/>
  <c r="CQ727" i="674" s="1"/>
  <c r="CH727" i="674"/>
  <c r="CI727" i="674" s="1"/>
  <c r="BZ727" i="674"/>
  <c r="CA727" i="674" s="1"/>
  <c r="BR727" i="674"/>
  <c r="BS727" i="674" s="1"/>
  <c r="BJ727" i="674"/>
  <c r="BK727" i="674" s="1"/>
  <c r="BB727" i="674"/>
  <c r="BC727" i="674" s="1"/>
  <c r="AT727" i="674"/>
  <c r="AU727" i="674" s="1"/>
  <c r="AL727" i="674"/>
  <c r="AM727" i="674" s="1"/>
  <c r="AD727" i="674"/>
  <c r="AE727" i="674" s="1"/>
  <c r="V727" i="674"/>
  <c r="W727" i="674" s="1"/>
  <c r="N727" i="674"/>
  <c r="O727" i="674" s="1"/>
  <c r="CX726" i="674"/>
  <c r="CY726" i="674" s="1"/>
  <c r="CP726" i="674"/>
  <c r="CQ726" i="674" s="1"/>
  <c r="CH726" i="674"/>
  <c r="CI726" i="674" s="1"/>
  <c r="BZ726" i="674"/>
  <c r="CA726" i="674" s="1"/>
  <c r="BR726" i="674"/>
  <c r="BS726" i="674" s="1"/>
  <c r="BJ726" i="674"/>
  <c r="BK726" i="674" s="1"/>
  <c r="BB726" i="674"/>
  <c r="BC726" i="674" s="1"/>
  <c r="AT726" i="674"/>
  <c r="AU726" i="674" s="1"/>
  <c r="AL726" i="674"/>
  <c r="AM726" i="674" s="1"/>
  <c r="AD726" i="674"/>
  <c r="AE726" i="674" s="1"/>
  <c r="V726" i="674"/>
  <c r="W726" i="674" s="1"/>
  <c r="N726" i="674"/>
  <c r="O726" i="674" s="1"/>
  <c r="CX725" i="674"/>
  <c r="CY725" i="674" s="1"/>
  <c r="CP725" i="674"/>
  <c r="CQ725" i="674" s="1"/>
  <c r="CH725" i="674"/>
  <c r="CI725" i="674" s="1"/>
  <c r="BZ725" i="674"/>
  <c r="CA725" i="674" s="1"/>
  <c r="BR725" i="674"/>
  <c r="BS725" i="674" s="1"/>
  <c r="BJ725" i="674"/>
  <c r="BK725" i="674" s="1"/>
  <c r="BB725" i="674"/>
  <c r="BC725" i="674" s="1"/>
  <c r="AT725" i="674"/>
  <c r="AU725" i="674" s="1"/>
  <c r="AL725" i="674"/>
  <c r="AM725" i="674" s="1"/>
  <c r="AD725" i="674"/>
  <c r="AE725" i="674" s="1"/>
  <c r="V725" i="674"/>
  <c r="W725" i="674" s="1"/>
  <c r="N725" i="674"/>
  <c r="O725" i="674" s="1"/>
  <c r="CX724" i="674"/>
  <c r="CY724" i="674" s="1"/>
  <c r="CP724" i="674"/>
  <c r="CQ724" i="674" s="1"/>
  <c r="CH724" i="674"/>
  <c r="CI724" i="674" s="1"/>
  <c r="BZ724" i="674"/>
  <c r="CA724" i="674" s="1"/>
  <c r="BR724" i="674"/>
  <c r="BS724" i="674" s="1"/>
  <c r="BJ724" i="674"/>
  <c r="BK724" i="674" s="1"/>
  <c r="BB724" i="674"/>
  <c r="BC724" i="674" s="1"/>
  <c r="AT724" i="674"/>
  <c r="AU724" i="674" s="1"/>
  <c r="AL724" i="674"/>
  <c r="AM724" i="674" s="1"/>
  <c r="AD724" i="674"/>
  <c r="AE724" i="674" s="1"/>
  <c r="V724" i="674"/>
  <c r="W724" i="674" s="1"/>
  <c r="N724" i="674"/>
  <c r="O724" i="674" s="1"/>
  <c r="CX723" i="674"/>
  <c r="CY723" i="674" s="1"/>
  <c r="CP723" i="674"/>
  <c r="CQ723" i="674" s="1"/>
  <c r="CH723" i="674"/>
  <c r="CI723" i="674" s="1"/>
  <c r="BZ723" i="674"/>
  <c r="CA723" i="674" s="1"/>
  <c r="BR723" i="674"/>
  <c r="BS723" i="674" s="1"/>
  <c r="BJ723" i="674"/>
  <c r="BK723" i="674" s="1"/>
  <c r="BB723" i="674"/>
  <c r="BC723" i="674" s="1"/>
  <c r="AT723" i="674"/>
  <c r="AU723" i="674" s="1"/>
  <c r="AL723" i="674"/>
  <c r="AM723" i="674" s="1"/>
  <c r="AD723" i="674"/>
  <c r="AE723" i="674" s="1"/>
  <c r="V723" i="674"/>
  <c r="W723" i="674" s="1"/>
  <c r="N723" i="674"/>
  <c r="O723" i="674" s="1"/>
  <c r="CX722" i="674"/>
  <c r="CY722" i="674" s="1"/>
  <c r="CP722" i="674"/>
  <c r="CQ722" i="674" s="1"/>
  <c r="CH722" i="674"/>
  <c r="CI722" i="674" s="1"/>
  <c r="BZ722" i="674"/>
  <c r="CA722" i="674" s="1"/>
  <c r="BR722" i="674"/>
  <c r="BS722" i="674" s="1"/>
  <c r="BJ722" i="674"/>
  <c r="BK722" i="674" s="1"/>
  <c r="BB722" i="674"/>
  <c r="BC722" i="674" s="1"/>
  <c r="AT722" i="674"/>
  <c r="AU722" i="674" s="1"/>
  <c r="AL722" i="674"/>
  <c r="AM722" i="674" s="1"/>
  <c r="AD722" i="674"/>
  <c r="AE722" i="674" s="1"/>
  <c r="V722" i="674"/>
  <c r="W722" i="674" s="1"/>
  <c r="N722" i="674"/>
  <c r="O722" i="674" s="1"/>
  <c r="CX721" i="674"/>
  <c r="CY721" i="674" s="1"/>
  <c r="CP721" i="674"/>
  <c r="CQ721" i="674" s="1"/>
  <c r="CH721" i="674"/>
  <c r="CI721" i="674" s="1"/>
  <c r="BZ721" i="674"/>
  <c r="CA721" i="674" s="1"/>
  <c r="BR721" i="674"/>
  <c r="BS721" i="674" s="1"/>
  <c r="BJ721" i="674"/>
  <c r="BK721" i="674" s="1"/>
  <c r="BB721" i="674"/>
  <c r="BC721" i="674" s="1"/>
  <c r="AT721" i="674"/>
  <c r="AU721" i="674" s="1"/>
  <c r="AL721" i="674"/>
  <c r="AM721" i="674" s="1"/>
  <c r="AD721" i="674"/>
  <c r="AE721" i="674" s="1"/>
  <c r="V721" i="674"/>
  <c r="W721" i="674" s="1"/>
  <c r="N721" i="674"/>
  <c r="O721" i="674" s="1"/>
  <c r="CX720" i="674"/>
  <c r="CY720" i="674" s="1"/>
  <c r="CP720" i="674"/>
  <c r="CQ720" i="674" s="1"/>
  <c r="CH720" i="674"/>
  <c r="CI720" i="674" s="1"/>
  <c r="BZ720" i="674"/>
  <c r="CA720" i="674" s="1"/>
  <c r="BR720" i="674"/>
  <c r="BS720" i="674" s="1"/>
  <c r="BJ720" i="674"/>
  <c r="BK720" i="674" s="1"/>
  <c r="BB720" i="674"/>
  <c r="BC720" i="674" s="1"/>
  <c r="AT720" i="674"/>
  <c r="AU720" i="674" s="1"/>
  <c r="AL720" i="674"/>
  <c r="AM720" i="674" s="1"/>
  <c r="AD720" i="674"/>
  <c r="AE720" i="674" s="1"/>
  <c r="V720" i="674"/>
  <c r="W720" i="674" s="1"/>
  <c r="N720" i="674"/>
  <c r="O720" i="674" s="1"/>
  <c r="CX719" i="674"/>
  <c r="CY719" i="674" s="1"/>
  <c r="CP719" i="674"/>
  <c r="CQ719" i="674" s="1"/>
  <c r="CH719" i="674"/>
  <c r="CI719" i="674" s="1"/>
  <c r="BZ719" i="674"/>
  <c r="CA719" i="674" s="1"/>
  <c r="BR719" i="674"/>
  <c r="BS719" i="674" s="1"/>
  <c r="BJ719" i="674"/>
  <c r="BK719" i="674" s="1"/>
  <c r="BB719" i="674"/>
  <c r="BC719" i="674" s="1"/>
  <c r="AT719" i="674"/>
  <c r="AU719" i="674" s="1"/>
  <c r="AL719" i="674"/>
  <c r="AM719" i="674" s="1"/>
  <c r="AD719" i="674"/>
  <c r="AE719" i="674" s="1"/>
  <c r="V719" i="674"/>
  <c r="W719" i="674" s="1"/>
  <c r="N719" i="674"/>
  <c r="O719" i="674" s="1"/>
  <c r="CX718" i="674"/>
  <c r="CY718" i="674" s="1"/>
  <c r="CP718" i="674"/>
  <c r="CQ718" i="674" s="1"/>
  <c r="CH718" i="674"/>
  <c r="CI718" i="674" s="1"/>
  <c r="BZ718" i="674"/>
  <c r="CA718" i="674" s="1"/>
  <c r="BR718" i="674"/>
  <c r="BS718" i="674" s="1"/>
  <c r="BJ718" i="674"/>
  <c r="BK718" i="674" s="1"/>
  <c r="BB718" i="674"/>
  <c r="BC718" i="674" s="1"/>
  <c r="AT718" i="674"/>
  <c r="AU718" i="674" s="1"/>
  <c r="AL718" i="674"/>
  <c r="AM718" i="674" s="1"/>
  <c r="AD718" i="674"/>
  <c r="AE718" i="674" s="1"/>
  <c r="V718" i="674"/>
  <c r="W718" i="674" s="1"/>
  <c r="N718" i="674"/>
  <c r="O718" i="674" s="1"/>
  <c r="CX717" i="674"/>
  <c r="CY717" i="674" s="1"/>
  <c r="CP717" i="674"/>
  <c r="CQ717" i="674" s="1"/>
  <c r="CH717" i="674"/>
  <c r="CI717" i="674" s="1"/>
  <c r="BZ717" i="674"/>
  <c r="CA717" i="674" s="1"/>
  <c r="BR717" i="674"/>
  <c r="BS717" i="674" s="1"/>
  <c r="BJ717" i="674"/>
  <c r="BK717" i="674" s="1"/>
  <c r="BB717" i="674"/>
  <c r="BC717" i="674" s="1"/>
  <c r="AT717" i="674"/>
  <c r="AU717" i="674" s="1"/>
  <c r="AL717" i="674"/>
  <c r="AM717" i="674" s="1"/>
  <c r="AD717" i="674"/>
  <c r="AE717" i="674" s="1"/>
  <c r="V717" i="674"/>
  <c r="W717" i="674" s="1"/>
  <c r="N717" i="674"/>
  <c r="O717" i="674" s="1"/>
  <c r="CX716" i="674"/>
  <c r="CY716" i="674" s="1"/>
  <c r="CP716" i="674"/>
  <c r="CQ716" i="674" s="1"/>
  <c r="CH716" i="674"/>
  <c r="CI716" i="674" s="1"/>
  <c r="BZ716" i="674"/>
  <c r="CA716" i="674" s="1"/>
  <c r="BR716" i="674"/>
  <c r="BS716" i="674" s="1"/>
  <c r="BJ716" i="674"/>
  <c r="BK716" i="674" s="1"/>
  <c r="BB716" i="674"/>
  <c r="BC716" i="674" s="1"/>
  <c r="AT716" i="674"/>
  <c r="AU716" i="674" s="1"/>
  <c r="AL716" i="674"/>
  <c r="AM716" i="674" s="1"/>
  <c r="AD716" i="674"/>
  <c r="AE716" i="674" s="1"/>
  <c r="V716" i="674"/>
  <c r="W716" i="674" s="1"/>
  <c r="N716" i="674"/>
  <c r="O716" i="674" s="1"/>
  <c r="CX715" i="674"/>
  <c r="CY715" i="674" s="1"/>
  <c r="CP715" i="674"/>
  <c r="CQ715" i="674" s="1"/>
  <c r="CH715" i="674"/>
  <c r="CI715" i="674" s="1"/>
  <c r="BZ715" i="674"/>
  <c r="CA715" i="674" s="1"/>
  <c r="BR715" i="674"/>
  <c r="BS715" i="674" s="1"/>
  <c r="BJ715" i="674"/>
  <c r="BK715" i="674" s="1"/>
  <c r="BB715" i="674"/>
  <c r="BC715" i="674" s="1"/>
  <c r="AT715" i="674"/>
  <c r="AU715" i="674" s="1"/>
  <c r="AL715" i="674"/>
  <c r="AM715" i="674" s="1"/>
  <c r="AD715" i="674"/>
  <c r="AE715" i="674" s="1"/>
  <c r="V715" i="674"/>
  <c r="W715" i="674" s="1"/>
  <c r="N715" i="674"/>
  <c r="O715" i="674" s="1"/>
  <c r="CX714" i="674"/>
  <c r="CY714" i="674" s="1"/>
  <c r="CP714" i="674"/>
  <c r="CQ714" i="674" s="1"/>
  <c r="CH714" i="674"/>
  <c r="CI714" i="674" s="1"/>
  <c r="BZ714" i="674"/>
  <c r="CA714" i="674" s="1"/>
  <c r="BR714" i="674"/>
  <c r="BS714" i="674" s="1"/>
  <c r="BJ714" i="674"/>
  <c r="BK714" i="674" s="1"/>
  <c r="BB714" i="674"/>
  <c r="BC714" i="674" s="1"/>
  <c r="AT714" i="674"/>
  <c r="AU714" i="674" s="1"/>
  <c r="AL714" i="674"/>
  <c r="AM714" i="674" s="1"/>
  <c r="AD714" i="674"/>
  <c r="AE714" i="674" s="1"/>
  <c r="V714" i="674"/>
  <c r="W714" i="674" s="1"/>
  <c r="N714" i="674"/>
  <c r="O714" i="674" s="1"/>
  <c r="CX713" i="674"/>
  <c r="CY713" i="674" s="1"/>
  <c r="CP713" i="674"/>
  <c r="CQ713" i="674" s="1"/>
  <c r="CH713" i="674"/>
  <c r="CI713" i="674" s="1"/>
  <c r="BZ713" i="674"/>
  <c r="CA713" i="674" s="1"/>
  <c r="BR713" i="674"/>
  <c r="BS713" i="674" s="1"/>
  <c r="BJ713" i="674"/>
  <c r="BK713" i="674" s="1"/>
  <c r="BB713" i="674"/>
  <c r="BC713" i="674" s="1"/>
  <c r="AT713" i="674"/>
  <c r="AU713" i="674" s="1"/>
  <c r="AL713" i="674"/>
  <c r="AM713" i="674" s="1"/>
  <c r="AD713" i="674"/>
  <c r="AE713" i="674" s="1"/>
  <c r="V713" i="674"/>
  <c r="W713" i="674" s="1"/>
  <c r="N713" i="674"/>
  <c r="O713" i="674" s="1"/>
  <c r="CX712" i="674"/>
  <c r="CY712" i="674" s="1"/>
  <c r="CP712" i="674"/>
  <c r="CQ712" i="674" s="1"/>
  <c r="CH712" i="674"/>
  <c r="CI712" i="674" s="1"/>
  <c r="BZ712" i="674"/>
  <c r="CA712" i="674" s="1"/>
  <c r="BR712" i="674"/>
  <c r="BS712" i="674" s="1"/>
  <c r="BJ712" i="674"/>
  <c r="BK712" i="674" s="1"/>
  <c r="BB712" i="674"/>
  <c r="BC712" i="674" s="1"/>
  <c r="AT712" i="674"/>
  <c r="AU712" i="674" s="1"/>
  <c r="AL712" i="674"/>
  <c r="AM712" i="674" s="1"/>
  <c r="AD712" i="674"/>
  <c r="AE712" i="674" s="1"/>
  <c r="V712" i="674"/>
  <c r="W712" i="674" s="1"/>
  <c r="N712" i="674"/>
  <c r="O712" i="674" s="1"/>
  <c r="CX711" i="674"/>
  <c r="CY711" i="674" s="1"/>
  <c r="CP711" i="674"/>
  <c r="CQ711" i="674" s="1"/>
  <c r="CH711" i="674"/>
  <c r="CI711" i="674" s="1"/>
  <c r="BZ711" i="674"/>
  <c r="CA711" i="674" s="1"/>
  <c r="BR711" i="674"/>
  <c r="BS711" i="674" s="1"/>
  <c r="BJ711" i="674"/>
  <c r="BK711" i="674" s="1"/>
  <c r="BB711" i="674"/>
  <c r="BC711" i="674" s="1"/>
  <c r="AT711" i="674"/>
  <c r="AU711" i="674" s="1"/>
  <c r="AL711" i="674"/>
  <c r="AM711" i="674" s="1"/>
  <c r="AD711" i="674"/>
  <c r="AE711" i="674" s="1"/>
  <c r="V711" i="674"/>
  <c r="W711" i="674" s="1"/>
  <c r="N711" i="674"/>
  <c r="O711" i="674" s="1"/>
  <c r="CX710" i="674"/>
  <c r="CY710" i="674" s="1"/>
  <c r="CP710" i="674"/>
  <c r="CQ710" i="674" s="1"/>
  <c r="CH710" i="674"/>
  <c r="CI710" i="674" s="1"/>
  <c r="BZ710" i="674"/>
  <c r="CA710" i="674" s="1"/>
  <c r="BR710" i="674"/>
  <c r="BS710" i="674" s="1"/>
  <c r="BJ710" i="674"/>
  <c r="BK710" i="674" s="1"/>
  <c r="BB710" i="674"/>
  <c r="BC710" i="674" s="1"/>
  <c r="AT710" i="674"/>
  <c r="AU710" i="674" s="1"/>
  <c r="AL710" i="674"/>
  <c r="AM710" i="674" s="1"/>
  <c r="AD710" i="674"/>
  <c r="AE710" i="674" s="1"/>
  <c r="V710" i="674"/>
  <c r="W710" i="674" s="1"/>
  <c r="N710" i="674"/>
  <c r="O710" i="674" s="1"/>
  <c r="CX709" i="674"/>
  <c r="CY709" i="674" s="1"/>
  <c r="CP709" i="674"/>
  <c r="CQ709" i="674" s="1"/>
  <c r="CH709" i="674"/>
  <c r="CI709" i="674" s="1"/>
  <c r="BZ709" i="674"/>
  <c r="CA709" i="674" s="1"/>
  <c r="BR709" i="674"/>
  <c r="BS709" i="674" s="1"/>
  <c r="BJ709" i="674"/>
  <c r="BK709" i="674" s="1"/>
  <c r="BB709" i="674"/>
  <c r="BC709" i="674" s="1"/>
  <c r="AT709" i="674"/>
  <c r="AU709" i="674" s="1"/>
  <c r="AL709" i="674"/>
  <c r="AM709" i="674" s="1"/>
  <c r="AD709" i="674"/>
  <c r="AE709" i="674" s="1"/>
  <c r="V709" i="674"/>
  <c r="W709" i="674" s="1"/>
  <c r="N709" i="674"/>
  <c r="O709" i="674" s="1"/>
  <c r="CX708" i="674"/>
  <c r="CY708" i="674" s="1"/>
  <c r="CP708" i="674"/>
  <c r="CQ708" i="674" s="1"/>
  <c r="CH708" i="674"/>
  <c r="CI708" i="674" s="1"/>
  <c r="BZ708" i="674"/>
  <c r="CA708" i="674" s="1"/>
  <c r="BR708" i="674"/>
  <c r="BS708" i="674" s="1"/>
  <c r="BJ708" i="674"/>
  <c r="BK708" i="674" s="1"/>
  <c r="BB708" i="674"/>
  <c r="BC708" i="674" s="1"/>
  <c r="AT708" i="674"/>
  <c r="AU708" i="674" s="1"/>
  <c r="AL708" i="674"/>
  <c r="AM708" i="674" s="1"/>
  <c r="AD708" i="674"/>
  <c r="AE708" i="674" s="1"/>
  <c r="V708" i="674"/>
  <c r="W708" i="674" s="1"/>
  <c r="N708" i="674"/>
  <c r="O708" i="674" s="1"/>
  <c r="CX707" i="674"/>
  <c r="CY707" i="674" s="1"/>
  <c r="CP707" i="674"/>
  <c r="CQ707" i="674" s="1"/>
  <c r="CH707" i="674"/>
  <c r="CI707" i="674" s="1"/>
  <c r="BZ707" i="674"/>
  <c r="CA707" i="674" s="1"/>
  <c r="BR707" i="674"/>
  <c r="BS707" i="674" s="1"/>
  <c r="BJ707" i="674"/>
  <c r="BK707" i="674" s="1"/>
  <c r="BB707" i="674"/>
  <c r="BC707" i="674" s="1"/>
  <c r="AT707" i="674"/>
  <c r="AU707" i="674" s="1"/>
  <c r="AL707" i="674"/>
  <c r="AM707" i="674" s="1"/>
  <c r="AD707" i="674"/>
  <c r="AE707" i="674" s="1"/>
  <c r="V707" i="674"/>
  <c r="W707" i="674" s="1"/>
  <c r="N707" i="674"/>
  <c r="O707" i="674" s="1"/>
  <c r="CX706" i="674"/>
  <c r="CY706" i="674" s="1"/>
  <c r="CP706" i="674"/>
  <c r="CQ706" i="674" s="1"/>
  <c r="CH706" i="674"/>
  <c r="CI706" i="674" s="1"/>
  <c r="BZ706" i="674"/>
  <c r="CA706" i="674" s="1"/>
  <c r="BR706" i="674"/>
  <c r="BS706" i="674" s="1"/>
  <c r="BJ706" i="674"/>
  <c r="BK706" i="674" s="1"/>
  <c r="BB706" i="674"/>
  <c r="BC706" i="674" s="1"/>
  <c r="AT706" i="674"/>
  <c r="AU706" i="674" s="1"/>
  <c r="AL706" i="674"/>
  <c r="AM706" i="674" s="1"/>
  <c r="AD706" i="674"/>
  <c r="AE706" i="674" s="1"/>
  <c r="V706" i="674"/>
  <c r="W706" i="674" s="1"/>
  <c r="N706" i="674"/>
  <c r="O706" i="674" s="1"/>
  <c r="CX705" i="674"/>
  <c r="CY705" i="674" s="1"/>
  <c r="CP705" i="674"/>
  <c r="CQ705" i="674" s="1"/>
  <c r="CH705" i="674"/>
  <c r="CI705" i="674" s="1"/>
  <c r="BZ705" i="674"/>
  <c r="CA705" i="674" s="1"/>
  <c r="BR705" i="674"/>
  <c r="BS705" i="674" s="1"/>
  <c r="BJ705" i="674"/>
  <c r="BK705" i="674" s="1"/>
  <c r="BB705" i="674"/>
  <c r="BC705" i="674" s="1"/>
  <c r="AT705" i="674"/>
  <c r="AU705" i="674" s="1"/>
  <c r="AL705" i="674"/>
  <c r="AM705" i="674" s="1"/>
  <c r="AD705" i="674"/>
  <c r="AE705" i="674" s="1"/>
  <c r="V705" i="674"/>
  <c r="W705" i="674" s="1"/>
  <c r="N705" i="674"/>
  <c r="O705" i="674" s="1"/>
  <c r="CX704" i="674"/>
  <c r="CY704" i="674" s="1"/>
  <c r="CP704" i="674"/>
  <c r="CQ704" i="674" s="1"/>
  <c r="CH704" i="674"/>
  <c r="CI704" i="674" s="1"/>
  <c r="BZ704" i="674"/>
  <c r="CA704" i="674" s="1"/>
  <c r="BR704" i="674"/>
  <c r="BS704" i="674" s="1"/>
  <c r="BJ704" i="674"/>
  <c r="BK704" i="674" s="1"/>
  <c r="BB704" i="674"/>
  <c r="BC704" i="674" s="1"/>
  <c r="AT704" i="674"/>
  <c r="AU704" i="674" s="1"/>
  <c r="AL704" i="674"/>
  <c r="AM704" i="674" s="1"/>
  <c r="AD704" i="674"/>
  <c r="AE704" i="674" s="1"/>
  <c r="V704" i="674"/>
  <c r="W704" i="674" s="1"/>
  <c r="N704" i="674"/>
  <c r="O704" i="674" s="1"/>
  <c r="CX703" i="674"/>
  <c r="CY703" i="674" s="1"/>
  <c r="CP703" i="674"/>
  <c r="CQ703" i="674" s="1"/>
  <c r="CH703" i="674"/>
  <c r="CI703" i="674" s="1"/>
  <c r="BZ703" i="674"/>
  <c r="CA703" i="674" s="1"/>
  <c r="BR703" i="674"/>
  <c r="BS703" i="674" s="1"/>
  <c r="BJ703" i="674"/>
  <c r="BK703" i="674" s="1"/>
  <c r="BB703" i="674"/>
  <c r="BC703" i="674" s="1"/>
  <c r="AT703" i="674"/>
  <c r="AU703" i="674" s="1"/>
  <c r="AL703" i="674"/>
  <c r="AM703" i="674" s="1"/>
  <c r="AD703" i="674"/>
  <c r="AE703" i="674" s="1"/>
  <c r="V703" i="674"/>
  <c r="W703" i="674" s="1"/>
  <c r="N703" i="674"/>
  <c r="O703" i="674" s="1"/>
  <c r="CX702" i="674"/>
  <c r="CY702" i="674" s="1"/>
  <c r="CP702" i="674"/>
  <c r="CQ702" i="674" s="1"/>
  <c r="CH702" i="674"/>
  <c r="CI702" i="674" s="1"/>
  <c r="BZ702" i="674"/>
  <c r="CA702" i="674" s="1"/>
  <c r="BR702" i="674"/>
  <c r="BS702" i="674" s="1"/>
  <c r="BJ702" i="674"/>
  <c r="BK702" i="674" s="1"/>
  <c r="BB702" i="674"/>
  <c r="BC702" i="674" s="1"/>
  <c r="AT702" i="674"/>
  <c r="AU702" i="674" s="1"/>
  <c r="AL702" i="674"/>
  <c r="AM702" i="674" s="1"/>
  <c r="AD702" i="674"/>
  <c r="AE702" i="674" s="1"/>
  <c r="V702" i="674"/>
  <c r="W702" i="674" s="1"/>
  <c r="N702" i="674"/>
  <c r="O702" i="674" s="1"/>
  <c r="CX701" i="674"/>
  <c r="CY701" i="674" s="1"/>
  <c r="CP701" i="674"/>
  <c r="CQ701" i="674" s="1"/>
  <c r="CH701" i="674"/>
  <c r="CI701" i="674" s="1"/>
  <c r="BZ701" i="674"/>
  <c r="CA701" i="674" s="1"/>
  <c r="BR701" i="674"/>
  <c r="BS701" i="674" s="1"/>
  <c r="BJ701" i="674"/>
  <c r="BK701" i="674" s="1"/>
  <c r="BB701" i="674"/>
  <c r="BC701" i="674" s="1"/>
  <c r="AT701" i="674"/>
  <c r="AU701" i="674" s="1"/>
  <c r="AL701" i="674"/>
  <c r="AM701" i="674" s="1"/>
  <c r="AD701" i="674"/>
  <c r="AE701" i="674" s="1"/>
  <c r="V701" i="674"/>
  <c r="W701" i="674" s="1"/>
  <c r="N701" i="674"/>
  <c r="O701" i="674" s="1"/>
  <c r="CX700" i="674"/>
  <c r="CY700" i="674" s="1"/>
  <c r="CP700" i="674"/>
  <c r="CQ700" i="674" s="1"/>
  <c r="CH700" i="674"/>
  <c r="CI700" i="674" s="1"/>
  <c r="BZ700" i="674"/>
  <c r="CA700" i="674" s="1"/>
  <c r="BR700" i="674"/>
  <c r="BS700" i="674" s="1"/>
  <c r="BJ700" i="674"/>
  <c r="BK700" i="674" s="1"/>
  <c r="BB700" i="674"/>
  <c r="BC700" i="674" s="1"/>
  <c r="AT700" i="674"/>
  <c r="AU700" i="674" s="1"/>
  <c r="AL700" i="674"/>
  <c r="AM700" i="674" s="1"/>
  <c r="AD700" i="674"/>
  <c r="AE700" i="674" s="1"/>
  <c r="V700" i="674"/>
  <c r="W700" i="674" s="1"/>
  <c r="N700" i="674"/>
  <c r="O700" i="674" s="1"/>
  <c r="B700" i="674"/>
  <c r="B701" i="674" s="1"/>
  <c r="B702" i="674" s="1"/>
  <c r="B703" i="674" s="1"/>
  <c r="B704" i="674" s="1"/>
  <c r="B705" i="674" s="1"/>
  <c r="B706" i="674" s="1"/>
  <c r="B707" i="674" s="1"/>
  <c r="B708" i="674" s="1"/>
  <c r="B709" i="674" s="1"/>
  <c r="B710" i="674" s="1"/>
  <c r="B711" i="674" s="1"/>
  <c r="B712" i="674" s="1"/>
  <c r="B713" i="674" s="1"/>
  <c r="B714" i="674" s="1"/>
  <c r="B715" i="674" s="1"/>
  <c r="B716" i="674" s="1"/>
  <c r="B717" i="674" s="1"/>
  <c r="B718" i="674" s="1"/>
  <c r="B719" i="674" s="1"/>
  <c r="B720" i="674" s="1"/>
  <c r="B721" i="674" s="1"/>
  <c r="B722" i="674" s="1"/>
  <c r="B723" i="674" s="1"/>
  <c r="B724" i="674" s="1"/>
  <c r="B725" i="674" s="1"/>
  <c r="B726" i="674" s="1"/>
  <c r="B727" i="674" s="1"/>
  <c r="B728" i="674" s="1"/>
  <c r="B729" i="674" s="1"/>
  <c r="B730" i="674" s="1"/>
  <c r="B731" i="674" s="1"/>
  <c r="B732" i="674" s="1"/>
  <c r="B733" i="674" s="1"/>
  <c r="B734" i="674" s="1"/>
  <c r="B735" i="674" s="1"/>
  <c r="B736" i="674" s="1"/>
  <c r="B737" i="674" s="1"/>
  <c r="B738" i="674" s="1"/>
  <c r="B739" i="674" s="1"/>
  <c r="B740" i="674" s="1"/>
  <c r="B741" i="674" s="1"/>
  <c r="CX699" i="674"/>
  <c r="CY699" i="674" s="1"/>
  <c r="CP699" i="674"/>
  <c r="CQ699" i="674" s="1"/>
  <c r="CH699" i="674"/>
  <c r="BZ699" i="674"/>
  <c r="BR699" i="674"/>
  <c r="BS699" i="674" s="1"/>
  <c r="BJ699" i="674"/>
  <c r="BK699" i="674" s="1"/>
  <c r="BB699" i="674"/>
  <c r="AT699" i="674"/>
  <c r="AL699" i="674"/>
  <c r="AM699" i="674" s="1"/>
  <c r="AD699" i="674"/>
  <c r="AE699" i="674" s="1"/>
  <c r="V699" i="674"/>
  <c r="N699" i="674"/>
  <c r="CW697" i="674"/>
  <c r="CT697" i="674"/>
  <c r="CS697" i="674"/>
  <c r="CR697" i="674"/>
  <c r="CO697" i="674"/>
  <c r="CL697" i="674"/>
  <c r="CK697" i="674"/>
  <c r="CJ697" i="674"/>
  <c r="CG697" i="674"/>
  <c r="CD697" i="674"/>
  <c r="CC697" i="674"/>
  <c r="CB697" i="674"/>
  <c r="BY697" i="674"/>
  <c r="BV697" i="674"/>
  <c r="BU697" i="674"/>
  <c r="BT697" i="674"/>
  <c r="BQ697" i="674"/>
  <c r="BN697" i="674"/>
  <c r="BM697" i="674"/>
  <c r="BL697" i="674"/>
  <c r="BI697" i="674"/>
  <c r="BF697" i="674"/>
  <c r="BE697" i="674"/>
  <c r="BD697" i="674"/>
  <c r="BA697" i="674"/>
  <c r="AX697" i="674"/>
  <c r="AW697" i="674"/>
  <c r="AV697" i="674"/>
  <c r="AS697" i="674"/>
  <c r="AP697" i="674"/>
  <c r="AO697" i="674"/>
  <c r="AN697" i="674"/>
  <c r="AK697" i="674"/>
  <c r="AH697" i="674"/>
  <c r="AG697" i="674"/>
  <c r="AF697" i="674"/>
  <c r="AC697" i="674"/>
  <c r="Z697" i="674"/>
  <c r="Y697" i="674"/>
  <c r="X697" i="674"/>
  <c r="U697" i="674"/>
  <c r="R697" i="674"/>
  <c r="Q697" i="674"/>
  <c r="P697" i="674"/>
  <c r="M697" i="674"/>
  <c r="J697" i="674"/>
  <c r="I697" i="674"/>
  <c r="H697" i="674"/>
  <c r="G697" i="674"/>
  <c r="CX696" i="674"/>
  <c r="CY696" i="674" s="1"/>
  <c r="CP696" i="674"/>
  <c r="CQ696" i="674" s="1"/>
  <c r="CH696" i="674"/>
  <c r="CI696" i="674" s="1"/>
  <c r="BZ696" i="674"/>
  <c r="CA696" i="674" s="1"/>
  <c r="BR696" i="674"/>
  <c r="BS696" i="674" s="1"/>
  <c r="BJ696" i="674"/>
  <c r="BK696" i="674" s="1"/>
  <c r="BB696" i="674"/>
  <c r="BC696" i="674" s="1"/>
  <c r="AT696" i="674"/>
  <c r="AU696" i="674" s="1"/>
  <c r="AL696" i="674"/>
  <c r="AM696" i="674" s="1"/>
  <c r="AD696" i="674"/>
  <c r="AE696" i="674" s="1"/>
  <c r="V696" i="674"/>
  <c r="W696" i="674" s="1"/>
  <c r="N696" i="674"/>
  <c r="O696" i="674" s="1"/>
  <c r="CX695" i="674"/>
  <c r="CY695" i="674" s="1"/>
  <c r="CP695" i="674"/>
  <c r="CQ695" i="674" s="1"/>
  <c r="CH695" i="674"/>
  <c r="CI695" i="674" s="1"/>
  <c r="BZ695" i="674"/>
  <c r="CA695" i="674" s="1"/>
  <c r="BR695" i="674"/>
  <c r="BS695" i="674" s="1"/>
  <c r="BJ695" i="674"/>
  <c r="BK695" i="674" s="1"/>
  <c r="BB695" i="674"/>
  <c r="BC695" i="674" s="1"/>
  <c r="AT695" i="674"/>
  <c r="AU695" i="674" s="1"/>
  <c r="AL695" i="674"/>
  <c r="AM695" i="674" s="1"/>
  <c r="AD695" i="674"/>
  <c r="AE695" i="674" s="1"/>
  <c r="V695" i="674"/>
  <c r="W695" i="674" s="1"/>
  <c r="N695" i="674"/>
  <c r="O695" i="674" s="1"/>
  <c r="CX694" i="674"/>
  <c r="CY694" i="674" s="1"/>
  <c r="CP694" i="674"/>
  <c r="CQ694" i="674" s="1"/>
  <c r="CH694" i="674"/>
  <c r="CI694" i="674" s="1"/>
  <c r="BZ694" i="674"/>
  <c r="CA694" i="674" s="1"/>
  <c r="BR694" i="674"/>
  <c r="BS694" i="674" s="1"/>
  <c r="BJ694" i="674"/>
  <c r="BK694" i="674" s="1"/>
  <c r="BB694" i="674"/>
  <c r="BC694" i="674" s="1"/>
  <c r="AT694" i="674"/>
  <c r="AU694" i="674" s="1"/>
  <c r="AL694" i="674"/>
  <c r="AM694" i="674" s="1"/>
  <c r="AD694" i="674"/>
  <c r="AE694" i="674" s="1"/>
  <c r="V694" i="674"/>
  <c r="W694" i="674" s="1"/>
  <c r="N694" i="674"/>
  <c r="O694" i="674" s="1"/>
  <c r="CX693" i="674"/>
  <c r="CY693" i="674" s="1"/>
  <c r="CP693" i="674"/>
  <c r="CQ693" i="674" s="1"/>
  <c r="CH693" i="674"/>
  <c r="CI693" i="674" s="1"/>
  <c r="BZ693" i="674"/>
  <c r="CA693" i="674" s="1"/>
  <c r="BR693" i="674"/>
  <c r="BS693" i="674" s="1"/>
  <c r="BJ693" i="674"/>
  <c r="BK693" i="674" s="1"/>
  <c r="BB693" i="674"/>
  <c r="BC693" i="674" s="1"/>
  <c r="AT693" i="674"/>
  <c r="AU693" i="674" s="1"/>
  <c r="AD693" i="674"/>
  <c r="AE693" i="674" s="1"/>
  <c r="V693" i="674"/>
  <c r="W693" i="674" s="1"/>
  <c r="N693" i="674"/>
  <c r="O693" i="674" s="1"/>
  <c r="CX692" i="674"/>
  <c r="CY692" i="674" s="1"/>
  <c r="CP692" i="674"/>
  <c r="CQ692" i="674" s="1"/>
  <c r="CH692" i="674"/>
  <c r="CI692" i="674" s="1"/>
  <c r="BZ692" i="674"/>
  <c r="CA692" i="674" s="1"/>
  <c r="BR692" i="674"/>
  <c r="BS692" i="674" s="1"/>
  <c r="BJ692" i="674"/>
  <c r="BK692" i="674" s="1"/>
  <c r="BB692" i="674"/>
  <c r="BC692" i="674" s="1"/>
  <c r="AT692" i="674"/>
  <c r="AU692" i="674" s="1"/>
  <c r="AL692" i="674"/>
  <c r="AM692" i="674" s="1"/>
  <c r="AD692" i="674"/>
  <c r="AE692" i="674" s="1"/>
  <c r="V692" i="674"/>
  <c r="W692" i="674" s="1"/>
  <c r="N692" i="674"/>
  <c r="O692" i="674" s="1"/>
  <c r="CX691" i="674"/>
  <c r="CY691" i="674" s="1"/>
  <c r="CP691" i="674"/>
  <c r="CQ691" i="674" s="1"/>
  <c r="CH691" i="674"/>
  <c r="CI691" i="674" s="1"/>
  <c r="BZ691" i="674"/>
  <c r="CA691" i="674" s="1"/>
  <c r="BR691" i="674"/>
  <c r="BS691" i="674" s="1"/>
  <c r="BJ691" i="674"/>
  <c r="BK691" i="674" s="1"/>
  <c r="BB691" i="674"/>
  <c r="BC691" i="674" s="1"/>
  <c r="AT691" i="674"/>
  <c r="AU691" i="674" s="1"/>
  <c r="AL691" i="674"/>
  <c r="AM691" i="674" s="1"/>
  <c r="AD691" i="674"/>
  <c r="AE691" i="674" s="1"/>
  <c r="V691" i="674"/>
  <c r="W691" i="674" s="1"/>
  <c r="N691" i="674"/>
  <c r="O691" i="674" s="1"/>
  <c r="CX690" i="674"/>
  <c r="CY690" i="674" s="1"/>
  <c r="CP690" i="674"/>
  <c r="CQ690" i="674" s="1"/>
  <c r="CH690" i="674"/>
  <c r="CI690" i="674" s="1"/>
  <c r="BZ690" i="674"/>
  <c r="CA690" i="674" s="1"/>
  <c r="BR690" i="674"/>
  <c r="BS690" i="674" s="1"/>
  <c r="BJ690" i="674"/>
  <c r="BK690" i="674" s="1"/>
  <c r="BB690" i="674"/>
  <c r="BC690" i="674" s="1"/>
  <c r="AT690" i="674"/>
  <c r="AU690" i="674" s="1"/>
  <c r="AL690" i="674"/>
  <c r="AM690" i="674" s="1"/>
  <c r="AD690" i="674"/>
  <c r="AE690" i="674" s="1"/>
  <c r="V690" i="674"/>
  <c r="W690" i="674" s="1"/>
  <c r="N690" i="674"/>
  <c r="O690" i="674" s="1"/>
  <c r="CX689" i="674"/>
  <c r="CY689" i="674" s="1"/>
  <c r="CP689" i="674"/>
  <c r="CQ689" i="674" s="1"/>
  <c r="CH689" i="674"/>
  <c r="CI689" i="674" s="1"/>
  <c r="BZ689" i="674"/>
  <c r="CA689" i="674" s="1"/>
  <c r="BR689" i="674"/>
  <c r="BS689" i="674" s="1"/>
  <c r="BJ689" i="674"/>
  <c r="BK689" i="674" s="1"/>
  <c r="BB689" i="674"/>
  <c r="BC689" i="674" s="1"/>
  <c r="AT689" i="674"/>
  <c r="AU689" i="674" s="1"/>
  <c r="AL689" i="674"/>
  <c r="AM689" i="674" s="1"/>
  <c r="AD689" i="674"/>
  <c r="AE689" i="674" s="1"/>
  <c r="V689" i="674"/>
  <c r="W689" i="674" s="1"/>
  <c r="N689" i="674"/>
  <c r="O689" i="674" s="1"/>
  <c r="CX688" i="674"/>
  <c r="CY688" i="674" s="1"/>
  <c r="CP688" i="674"/>
  <c r="CQ688" i="674" s="1"/>
  <c r="CH688" i="674"/>
  <c r="CI688" i="674" s="1"/>
  <c r="BZ688" i="674"/>
  <c r="CA688" i="674" s="1"/>
  <c r="BR688" i="674"/>
  <c r="BS688" i="674" s="1"/>
  <c r="BJ688" i="674"/>
  <c r="BK688" i="674" s="1"/>
  <c r="BB688" i="674"/>
  <c r="BC688" i="674" s="1"/>
  <c r="AT688" i="674"/>
  <c r="AU688" i="674" s="1"/>
  <c r="AL688" i="674"/>
  <c r="AM688" i="674" s="1"/>
  <c r="AD688" i="674"/>
  <c r="AE688" i="674" s="1"/>
  <c r="V688" i="674"/>
  <c r="W688" i="674" s="1"/>
  <c r="N688" i="674"/>
  <c r="O688" i="674" s="1"/>
  <c r="CX687" i="674"/>
  <c r="CY687" i="674" s="1"/>
  <c r="CP687" i="674"/>
  <c r="CQ687" i="674" s="1"/>
  <c r="CH687" i="674"/>
  <c r="CI687" i="674" s="1"/>
  <c r="BZ687" i="674"/>
  <c r="CA687" i="674" s="1"/>
  <c r="BR687" i="674"/>
  <c r="BS687" i="674" s="1"/>
  <c r="BJ687" i="674"/>
  <c r="BK687" i="674" s="1"/>
  <c r="BB687" i="674"/>
  <c r="BC687" i="674" s="1"/>
  <c r="AT687" i="674"/>
  <c r="AU687" i="674" s="1"/>
  <c r="AL687" i="674"/>
  <c r="AM687" i="674" s="1"/>
  <c r="AD687" i="674"/>
  <c r="AE687" i="674" s="1"/>
  <c r="V687" i="674"/>
  <c r="W687" i="674" s="1"/>
  <c r="N687" i="674"/>
  <c r="O687" i="674" s="1"/>
  <c r="CX686" i="674"/>
  <c r="CY686" i="674" s="1"/>
  <c r="CP686" i="674"/>
  <c r="CQ686" i="674" s="1"/>
  <c r="CH686" i="674"/>
  <c r="CI686" i="674" s="1"/>
  <c r="BZ686" i="674"/>
  <c r="CA686" i="674" s="1"/>
  <c r="BR686" i="674"/>
  <c r="BS686" i="674" s="1"/>
  <c r="BJ686" i="674"/>
  <c r="BK686" i="674" s="1"/>
  <c r="BB686" i="674"/>
  <c r="BC686" i="674" s="1"/>
  <c r="AT686" i="674"/>
  <c r="AU686" i="674" s="1"/>
  <c r="AL686" i="674"/>
  <c r="AM686" i="674" s="1"/>
  <c r="AD686" i="674"/>
  <c r="AE686" i="674" s="1"/>
  <c r="V686" i="674"/>
  <c r="W686" i="674" s="1"/>
  <c r="N686" i="674"/>
  <c r="O686" i="674" s="1"/>
  <c r="CX685" i="674"/>
  <c r="CY685" i="674" s="1"/>
  <c r="CP685" i="674"/>
  <c r="CQ685" i="674" s="1"/>
  <c r="CH685" i="674"/>
  <c r="CI685" i="674" s="1"/>
  <c r="BZ685" i="674"/>
  <c r="CA685" i="674" s="1"/>
  <c r="BR685" i="674"/>
  <c r="BS685" i="674" s="1"/>
  <c r="BJ685" i="674"/>
  <c r="BK685" i="674" s="1"/>
  <c r="BB685" i="674"/>
  <c r="BC685" i="674" s="1"/>
  <c r="AT685" i="674"/>
  <c r="AU685" i="674" s="1"/>
  <c r="AL685" i="674"/>
  <c r="AM685" i="674" s="1"/>
  <c r="AD685" i="674"/>
  <c r="AE685" i="674" s="1"/>
  <c r="V685" i="674"/>
  <c r="W685" i="674" s="1"/>
  <c r="N685" i="674"/>
  <c r="O685" i="674" s="1"/>
  <c r="CX684" i="674"/>
  <c r="CY684" i="674" s="1"/>
  <c r="CP684" i="674"/>
  <c r="CQ684" i="674" s="1"/>
  <c r="CH684" i="674"/>
  <c r="CI684" i="674" s="1"/>
  <c r="BZ684" i="674"/>
  <c r="CA684" i="674" s="1"/>
  <c r="BR684" i="674"/>
  <c r="BS684" i="674" s="1"/>
  <c r="BJ684" i="674"/>
  <c r="BK684" i="674" s="1"/>
  <c r="BB684" i="674"/>
  <c r="BC684" i="674" s="1"/>
  <c r="AT684" i="674"/>
  <c r="AU684" i="674" s="1"/>
  <c r="AL684" i="674"/>
  <c r="AM684" i="674" s="1"/>
  <c r="AD684" i="674"/>
  <c r="AE684" i="674" s="1"/>
  <c r="V684" i="674"/>
  <c r="W684" i="674" s="1"/>
  <c r="N684" i="674"/>
  <c r="O684" i="674" s="1"/>
  <c r="CX683" i="674"/>
  <c r="CY683" i="674" s="1"/>
  <c r="CP683" i="674"/>
  <c r="CQ683" i="674" s="1"/>
  <c r="CH683" i="674"/>
  <c r="CI683" i="674" s="1"/>
  <c r="BZ683" i="674"/>
  <c r="CA683" i="674" s="1"/>
  <c r="BR683" i="674"/>
  <c r="BS683" i="674" s="1"/>
  <c r="BJ683" i="674"/>
  <c r="BK683" i="674" s="1"/>
  <c r="BB683" i="674"/>
  <c r="BC683" i="674" s="1"/>
  <c r="AT683" i="674"/>
  <c r="AU683" i="674" s="1"/>
  <c r="AL683" i="674"/>
  <c r="AM683" i="674" s="1"/>
  <c r="AD683" i="674"/>
  <c r="AE683" i="674" s="1"/>
  <c r="V683" i="674"/>
  <c r="W683" i="674" s="1"/>
  <c r="N683" i="674"/>
  <c r="O683" i="674" s="1"/>
  <c r="CX682" i="674"/>
  <c r="CY682" i="674" s="1"/>
  <c r="CP682" i="674"/>
  <c r="CQ682" i="674" s="1"/>
  <c r="CH682" i="674"/>
  <c r="CI682" i="674" s="1"/>
  <c r="BZ682" i="674"/>
  <c r="CA682" i="674" s="1"/>
  <c r="BR682" i="674"/>
  <c r="BS682" i="674" s="1"/>
  <c r="BJ682" i="674"/>
  <c r="BK682" i="674" s="1"/>
  <c r="BB682" i="674"/>
  <c r="BC682" i="674" s="1"/>
  <c r="AT682" i="674"/>
  <c r="AU682" i="674" s="1"/>
  <c r="AL682" i="674"/>
  <c r="AM682" i="674" s="1"/>
  <c r="AD682" i="674"/>
  <c r="AE682" i="674" s="1"/>
  <c r="V682" i="674"/>
  <c r="W682" i="674" s="1"/>
  <c r="N682" i="674"/>
  <c r="O682" i="674" s="1"/>
  <c r="CX681" i="674"/>
  <c r="CY681" i="674" s="1"/>
  <c r="CP681" i="674"/>
  <c r="CQ681" i="674" s="1"/>
  <c r="CH681" i="674"/>
  <c r="CI681" i="674" s="1"/>
  <c r="BZ681" i="674"/>
  <c r="CA681" i="674" s="1"/>
  <c r="BR681" i="674"/>
  <c r="BS681" i="674" s="1"/>
  <c r="BJ681" i="674"/>
  <c r="BK681" i="674" s="1"/>
  <c r="BB681" i="674"/>
  <c r="BC681" i="674" s="1"/>
  <c r="AT681" i="674"/>
  <c r="AU681" i="674" s="1"/>
  <c r="AL681" i="674"/>
  <c r="AM681" i="674" s="1"/>
  <c r="AD681" i="674"/>
  <c r="AE681" i="674" s="1"/>
  <c r="V681" i="674"/>
  <c r="W681" i="674" s="1"/>
  <c r="N681" i="674"/>
  <c r="O681" i="674" s="1"/>
  <c r="CX680" i="674"/>
  <c r="CY680" i="674" s="1"/>
  <c r="CP680" i="674"/>
  <c r="CQ680" i="674" s="1"/>
  <c r="CH680" i="674"/>
  <c r="CI680" i="674" s="1"/>
  <c r="BZ680" i="674"/>
  <c r="CA680" i="674" s="1"/>
  <c r="BR680" i="674"/>
  <c r="BS680" i="674" s="1"/>
  <c r="BJ680" i="674"/>
  <c r="BK680" i="674" s="1"/>
  <c r="BB680" i="674"/>
  <c r="BC680" i="674" s="1"/>
  <c r="AT680" i="674"/>
  <c r="AU680" i="674" s="1"/>
  <c r="AL680" i="674"/>
  <c r="AM680" i="674" s="1"/>
  <c r="AD680" i="674"/>
  <c r="AE680" i="674" s="1"/>
  <c r="V680" i="674"/>
  <c r="W680" i="674" s="1"/>
  <c r="N680" i="674"/>
  <c r="O680" i="674" s="1"/>
  <c r="CX679" i="674"/>
  <c r="CY679" i="674" s="1"/>
  <c r="CP679" i="674"/>
  <c r="CQ679" i="674" s="1"/>
  <c r="CH679" i="674"/>
  <c r="CI679" i="674" s="1"/>
  <c r="BZ679" i="674"/>
  <c r="CA679" i="674" s="1"/>
  <c r="BR679" i="674"/>
  <c r="BS679" i="674" s="1"/>
  <c r="BJ679" i="674"/>
  <c r="BK679" i="674" s="1"/>
  <c r="BB679" i="674"/>
  <c r="BC679" i="674" s="1"/>
  <c r="AT679" i="674"/>
  <c r="AU679" i="674" s="1"/>
  <c r="AL679" i="674"/>
  <c r="AM679" i="674" s="1"/>
  <c r="AD679" i="674"/>
  <c r="AE679" i="674" s="1"/>
  <c r="V679" i="674"/>
  <c r="W679" i="674" s="1"/>
  <c r="N679" i="674"/>
  <c r="O679" i="674" s="1"/>
  <c r="CX678" i="674"/>
  <c r="CY678" i="674" s="1"/>
  <c r="CP678" i="674"/>
  <c r="CQ678" i="674" s="1"/>
  <c r="CH678" i="674"/>
  <c r="CI678" i="674" s="1"/>
  <c r="BZ678" i="674"/>
  <c r="CA678" i="674" s="1"/>
  <c r="BR678" i="674"/>
  <c r="BS678" i="674" s="1"/>
  <c r="BJ678" i="674"/>
  <c r="BK678" i="674" s="1"/>
  <c r="BB678" i="674"/>
  <c r="BC678" i="674" s="1"/>
  <c r="AT678" i="674"/>
  <c r="AU678" i="674" s="1"/>
  <c r="AL678" i="674"/>
  <c r="AM678" i="674" s="1"/>
  <c r="AD678" i="674"/>
  <c r="AE678" i="674" s="1"/>
  <c r="V678" i="674"/>
  <c r="W678" i="674" s="1"/>
  <c r="N678" i="674"/>
  <c r="O678" i="674" s="1"/>
  <c r="CX677" i="674"/>
  <c r="CY677" i="674" s="1"/>
  <c r="CP677" i="674"/>
  <c r="CQ677" i="674" s="1"/>
  <c r="CH677" i="674"/>
  <c r="CI677" i="674" s="1"/>
  <c r="BZ677" i="674"/>
  <c r="CA677" i="674" s="1"/>
  <c r="BR677" i="674"/>
  <c r="BS677" i="674" s="1"/>
  <c r="BJ677" i="674"/>
  <c r="BK677" i="674" s="1"/>
  <c r="BB677" i="674"/>
  <c r="BC677" i="674" s="1"/>
  <c r="AT677" i="674"/>
  <c r="AU677" i="674" s="1"/>
  <c r="AL677" i="674"/>
  <c r="AM677" i="674" s="1"/>
  <c r="AD677" i="674"/>
  <c r="AE677" i="674" s="1"/>
  <c r="V677" i="674"/>
  <c r="W677" i="674" s="1"/>
  <c r="N677" i="674"/>
  <c r="O677" i="674" s="1"/>
  <c r="CX676" i="674"/>
  <c r="CY676" i="674" s="1"/>
  <c r="CP676" i="674"/>
  <c r="CQ676" i="674" s="1"/>
  <c r="CH676" i="674"/>
  <c r="CI676" i="674" s="1"/>
  <c r="BZ676" i="674"/>
  <c r="CA676" i="674" s="1"/>
  <c r="BR676" i="674"/>
  <c r="BS676" i="674" s="1"/>
  <c r="BJ676" i="674"/>
  <c r="BK676" i="674" s="1"/>
  <c r="BB676" i="674"/>
  <c r="BC676" i="674" s="1"/>
  <c r="AT676" i="674"/>
  <c r="AU676" i="674" s="1"/>
  <c r="AL676" i="674"/>
  <c r="AM676" i="674" s="1"/>
  <c r="AD676" i="674"/>
  <c r="AE676" i="674" s="1"/>
  <c r="V676" i="674"/>
  <c r="W676" i="674" s="1"/>
  <c r="N676" i="674"/>
  <c r="O676" i="674" s="1"/>
  <c r="CX675" i="674"/>
  <c r="CY675" i="674" s="1"/>
  <c r="CP675" i="674"/>
  <c r="CQ675" i="674" s="1"/>
  <c r="CH675" i="674"/>
  <c r="CI675" i="674" s="1"/>
  <c r="BZ675" i="674"/>
  <c r="CA675" i="674" s="1"/>
  <c r="BR675" i="674"/>
  <c r="BS675" i="674" s="1"/>
  <c r="BJ675" i="674"/>
  <c r="BK675" i="674" s="1"/>
  <c r="BB675" i="674"/>
  <c r="BC675" i="674" s="1"/>
  <c r="AT675" i="674"/>
  <c r="AU675" i="674" s="1"/>
  <c r="AL675" i="674"/>
  <c r="AM675" i="674" s="1"/>
  <c r="AD675" i="674"/>
  <c r="AE675" i="674" s="1"/>
  <c r="V675" i="674"/>
  <c r="W675" i="674" s="1"/>
  <c r="N675" i="674"/>
  <c r="O675" i="674" s="1"/>
  <c r="CX674" i="674"/>
  <c r="CY674" i="674" s="1"/>
  <c r="CP674" i="674"/>
  <c r="CQ674" i="674" s="1"/>
  <c r="CH674" i="674"/>
  <c r="CI674" i="674" s="1"/>
  <c r="BZ674" i="674"/>
  <c r="CA674" i="674" s="1"/>
  <c r="BR674" i="674"/>
  <c r="BS674" i="674" s="1"/>
  <c r="BJ674" i="674"/>
  <c r="BK674" i="674" s="1"/>
  <c r="BB674" i="674"/>
  <c r="BC674" i="674" s="1"/>
  <c r="AT674" i="674"/>
  <c r="AU674" i="674" s="1"/>
  <c r="AL674" i="674"/>
  <c r="AM674" i="674" s="1"/>
  <c r="AD674" i="674"/>
  <c r="AE674" i="674" s="1"/>
  <c r="V674" i="674"/>
  <c r="W674" i="674" s="1"/>
  <c r="N674" i="674"/>
  <c r="O674" i="674" s="1"/>
  <c r="CX673" i="674"/>
  <c r="CY673" i="674" s="1"/>
  <c r="CP673" i="674"/>
  <c r="CQ673" i="674" s="1"/>
  <c r="CH673" i="674"/>
  <c r="CI673" i="674" s="1"/>
  <c r="BZ673" i="674"/>
  <c r="CA673" i="674" s="1"/>
  <c r="BR673" i="674"/>
  <c r="BS673" i="674" s="1"/>
  <c r="BJ673" i="674"/>
  <c r="BK673" i="674" s="1"/>
  <c r="BB673" i="674"/>
  <c r="BC673" i="674" s="1"/>
  <c r="AT673" i="674"/>
  <c r="AU673" i="674" s="1"/>
  <c r="AL673" i="674"/>
  <c r="AM673" i="674" s="1"/>
  <c r="AD673" i="674"/>
  <c r="AE673" i="674" s="1"/>
  <c r="V673" i="674"/>
  <c r="W673" i="674" s="1"/>
  <c r="N673" i="674"/>
  <c r="O673" i="674" s="1"/>
  <c r="CX672" i="674"/>
  <c r="CY672" i="674" s="1"/>
  <c r="CP672" i="674"/>
  <c r="CQ672" i="674" s="1"/>
  <c r="CH672" i="674"/>
  <c r="CI672" i="674" s="1"/>
  <c r="BZ672" i="674"/>
  <c r="CA672" i="674" s="1"/>
  <c r="BR672" i="674"/>
  <c r="BS672" i="674" s="1"/>
  <c r="BJ672" i="674"/>
  <c r="BK672" i="674" s="1"/>
  <c r="BB672" i="674"/>
  <c r="BC672" i="674" s="1"/>
  <c r="AT672" i="674"/>
  <c r="AU672" i="674" s="1"/>
  <c r="AL672" i="674"/>
  <c r="AM672" i="674" s="1"/>
  <c r="AD672" i="674"/>
  <c r="AE672" i="674" s="1"/>
  <c r="V672" i="674"/>
  <c r="W672" i="674" s="1"/>
  <c r="N672" i="674"/>
  <c r="O672" i="674" s="1"/>
  <c r="CX671" i="674"/>
  <c r="CY671" i="674" s="1"/>
  <c r="CP671" i="674"/>
  <c r="CQ671" i="674" s="1"/>
  <c r="CH671" i="674"/>
  <c r="CI671" i="674" s="1"/>
  <c r="BZ671" i="674"/>
  <c r="CA671" i="674" s="1"/>
  <c r="BR671" i="674"/>
  <c r="BS671" i="674" s="1"/>
  <c r="BJ671" i="674"/>
  <c r="BK671" i="674" s="1"/>
  <c r="BB671" i="674"/>
  <c r="BC671" i="674" s="1"/>
  <c r="AT671" i="674"/>
  <c r="AU671" i="674" s="1"/>
  <c r="AL671" i="674"/>
  <c r="AM671" i="674" s="1"/>
  <c r="AD671" i="674"/>
  <c r="AE671" i="674" s="1"/>
  <c r="V671" i="674"/>
  <c r="W671" i="674" s="1"/>
  <c r="N671" i="674"/>
  <c r="O671" i="674" s="1"/>
  <c r="CX670" i="674"/>
  <c r="CY670" i="674" s="1"/>
  <c r="CP670" i="674"/>
  <c r="CQ670" i="674" s="1"/>
  <c r="CH670" i="674"/>
  <c r="CI670" i="674" s="1"/>
  <c r="BZ670" i="674"/>
  <c r="CA670" i="674" s="1"/>
  <c r="BR670" i="674"/>
  <c r="BS670" i="674" s="1"/>
  <c r="BJ670" i="674"/>
  <c r="BK670" i="674" s="1"/>
  <c r="BB670" i="674"/>
  <c r="BC670" i="674" s="1"/>
  <c r="AT670" i="674"/>
  <c r="AU670" i="674" s="1"/>
  <c r="AL670" i="674"/>
  <c r="AM670" i="674" s="1"/>
  <c r="AD670" i="674"/>
  <c r="AE670" i="674" s="1"/>
  <c r="V670" i="674"/>
  <c r="W670" i="674" s="1"/>
  <c r="N670" i="674"/>
  <c r="O670" i="674" s="1"/>
  <c r="CX669" i="674"/>
  <c r="CY669" i="674" s="1"/>
  <c r="CP669" i="674"/>
  <c r="CQ669" i="674" s="1"/>
  <c r="CH669" i="674"/>
  <c r="CI669" i="674" s="1"/>
  <c r="BZ669" i="674"/>
  <c r="CA669" i="674" s="1"/>
  <c r="BR669" i="674"/>
  <c r="BS669" i="674" s="1"/>
  <c r="BJ669" i="674"/>
  <c r="BK669" i="674" s="1"/>
  <c r="BB669" i="674"/>
  <c r="BC669" i="674" s="1"/>
  <c r="AT669" i="674"/>
  <c r="AU669" i="674" s="1"/>
  <c r="AL669" i="674"/>
  <c r="AM669" i="674" s="1"/>
  <c r="AD669" i="674"/>
  <c r="AE669" i="674" s="1"/>
  <c r="V669" i="674"/>
  <c r="W669" i="674" s="1"/>
  <c r="N669" i="674"/>
  <c r="O669" i="674" s="1"/>
  <c r="CX668" i="674"/>
  <c r="CY668" i="674" s="1"/>
  <c r="CP668" i="674"/>
  <c r="CQ668" i="674" s="1"/>
  <c r="CH668" i="674"/>
  <c r="CI668" i="674" s="1"/>
  <c r="BZ668" i="674"/>
  <c r="CA668" i="674" s="1"/>
  <c r="BR668" i="674"/>
  <c r="BS668" i="674" s="1"/>
  <c r="BJ668" i="674"/>
  <c r="BK668" i="674" s="1"/>
  <c r="BB668" i="674"/>
  <c r="BC668" i="674" s="1"/>
  <c r="AT668" i="674"/>
  <c r="AU668" i="674" s="1"/>
  <c r="AL668" i="674"/>
  <c r="AM668" i="674" s="1"/>
  <c r="AD668" i="674"/>
  <c r="AE668" i="674" s="1"/>
  <c r="V668" i="674"/>
  <c r="W668" i="674" s="1"/>
  <c r="N668" i="674"/>
  <c r="O668" i="674" s="1"/>
  <c r="CX667" i="674"/>
  <c r="CY667" i="674" s="1"/>
  <c r="CP667" i="674"/>
  <c r="CQ667" i="674" s="1"/>
  <c r="CH667" i="674"/>
  <c r="CI667" i="674" s="1"/>
  <c r="BZ667" i="674"/>
  <c r="CA667" i="674" s="1"/>
  <c r="BR667" i="674"/>
  <c r="BS667" i="674" s="1"/>
  <c r="BJ667" i="674"/>
  <c r="BK667" i="674" s="1"/>
  <c r="BB667" i="674"/>
  <c r="BC667" i="674" s="1"/>
  <c r="AT667" i="674"/>
  <c r="AU667" i="674" s="1"/>
  <c r="AL667" i="674"/>
  <c r="AM667" i="674" s="1"/>
  <c r="AD667" i="674"/>
  <c r="AE667" i="674" s="1"/>
  <c r="V667" i="674"/>
  <c r="W667" i="674" s="1"/>
  <c r="N667" i="674"/>
  <c r="O667" i="674" s="1"/>
  <c r="CX666" i="674"/>
  <c r="CY666" i="674" s="1"/>
  <c r="CP666" i="674"/>
  <c r="CQ666" i="674" s="1"/>
  <c r="CH666" i="674"/>
  <c r="CI666" i="674" s="1"/>
  <c r="BZ666" i="674"/>
  <c r="CA666" i="674" s="1"/>
  <c r="BR666" i="674"/>
  <c r="BS666" i="674" s="1"/>
  <c r="BJ666" i="674"/>
  <c r="BK666" i="674" s="1"/>
  <c r="BB666" i="674"/>
  <c r="BC666" i="674" s="1"/>
  <c r="AT666" i="674"/>
  <c r="AU666" i="674" s="1"/>
  <c r="AL666" i="674"/>
  <c r="AM666" i="674" s="1"/>
  <c r="AD666" i="674"/>
  <c r="AE666" i="674" s="1"/>
  <c r="V666" i="674"/>
  <c r="W666" i="674" s="1"/>
  <c r="N666" i="674"/>
  <c r="O666" i="674" s="1"/>
  <c r="CX665" i="674"/>
  <c r="CY665" i="674" s="1"/>
  <c r="CP665" i="674"/>
  <c r="CQ665" i="674" s="1"/>
  <c r="CH665" i="674"/>
  <c r="CI665" i="674" s="1"/>
  <c r="BZ665" i="674"/>
  <c r="CA665" i="674" s="1"/>
  <c r="BR665" i="674"/>
  <c r="BS665" i="674" s="1"/>
  <c r="BJ665" i="674"/>
  <c r="BK665" i="674" s="1"/>
  <c r="BB665" i="674"/>
  <c r="BC665" i="674" s="1"/>
  <c r="AT665" i="674"/>
  <c r="AU665" i="674" s="1"/>
  <c r="AL665" i="674"/>
  <c r="AM665" i="674" s="1"/>
  <c r="AD665" i="674"/>
  <c r="AE665" i="674" s="1"/>
  <c r="V665" i="674"/>
  <c r="W665" i="674" s="1"/>
  <c r="N665" i="674"/>
  <c r="O665" i="674" s="1"/>
  <c r="CX664" i="674"/>
  <c r="CY664" i="674" s="1"/>
  <c r="CP664" i="674"/>
  <c r="CQ664" i="674" s="1"/>
  <c r="CH664" i="674"/>
  <c r="CI664" i="674" s="1"/>
  <c r="BZ664" i="674"/>
  <c r="CA664" i="674" s="1"/>
  <c r="BR664" i="674"/>
  <c r="BS664" i="674" s="1"/>
  <c r="BJ664" i="674"/>
  <c r="BK664" i="674" s="1"/>
  <c r="BB664" i="674"/>
  <c r="BC664" i="674" s="1"/>
  <c r="AT664" i="674"/>
  <c r="AU664" i="674" s="1"/>
  <c r="AL664" i="674"/>
  <c r="AM664" i="674" s="1"/>
  <c r="AD664" i="674"/>
  <c r="AE664" i="674" s="1"/>
  <c r="V664" i="674"/>
  <c r="W664" i="674" s="1"/>
  <c r="N664" i="674"/>
  <c r="O664" i="674" s="1"/>
  <c r="CX663" i="674"/>
  <c r="CY663" i="674" s="1"/>
  <c r="CP663" i="674"/>
  <c r="CQ663" i="674" s="1"/>
  <c r="CH663" i="674"/>
  <c r="CI663" i="674" s="1"/>
  <c r="BZ663" i="674"/>
  <c r="CA663" i="674" s="1"/>
  <c r="BR663" i="674"/>
  <c r="BS663" i="674" s="1"/>
  <c r="BJ663" i="674"/>
  <c r="BK663" i="674" s="1"/>
  <c r="BB663" i="674"/>
  <c r="BC663" i="674" s="1"/>
  <c r="AT663" i="674"/>
  <c r="AU663" i="674" s="1"/>
  <c r="AL663" i="674"/>
  <c r="AM663" i="674" s="1"/>
  <c r="AD663" i="674"/>
  <c r="AE663" i="674" s="1"/>
  <c r="V663" i="674"/>
  <c r="W663" i="674" s="1"/>
  <c r="N663" i="674"/>
  <c r="O663" i="674" s="1"/>
  <c r="CX662" i="674"/>
  <c r="CY662" i="674" s="1"/>
  <c r="CP662" i="674"/>
  <c r="CQ662" i="674" s="1"/>
  <c r="CH662" i="674"/>
  <c r="CI662" i="674" s="1"/>
  <c r="BZ662" i="674"/>
  <c r="CA662" i="674" s="1"/>
  <c r="BR662" i="674"/>
  <c r="BS662" i="674" s="1"/>
  <c r="BJ662" i="674"/>
  <c r="BK662" i="674" s="1"/>
  <c r="BB662" i="674"/>
  <c r="BC662" i="674" s="1"/>
  <c r="AT662" i="674"/>
  <c r="AU662" i="674" s="1"/>
  <c r="AL662" i="674"/>
  <c r="AM662" i="674" s="1"/>
  <c r="AD662" i="674"/>
  <c r="AE662" i="674" s="1"/>
  <c r="V662" i="674"/>
  <c r="W662" i="674" s="1"/>
  <c r="N662" i="674"/>
  <c r="O662" i="674" s="1"/>
  <c r="CX661" i="674"/>
  <c r="CY661" i="674" s="1"/>
  <c r="CP661" i="674"/>
  <c r="CQ661" i="674" s="1"/>
  <c r="CH661" i="674"/>
  <c r="CI661" i="674" s="1"/>
  <c r="BZ661" i="674"/>
  <c r="CA661" i="674" s="1"/>
  <c r="BR661" i="674"/>
  <c r="BS661" i="674" s="1"/>
  <c r="BJ661" i="674"/>
  <c r="BK661" i="674" s="1"/>
  <c r="BB661" i="674"/>
  <c r="BC661" i="674" s="1"/>
  <c r="AT661" i="674"/>
  <c r="AU661" i="674" s="1"/>
  <c r="AL661" i="674"/>
  <c r="AM661" i="674" s="1"/>
  <c r="AD661" i="674"/>
  <c r="AE661" i="674" s="1"/>
  <c r="V661" i="674"/>
  <c r="W661" i="674" s="1"/>
  <c r="N661" i="674"/>
  <c r="O661" i="674" s="1"/>
  <c r="CX660" i="674"/>
  <c r="CY660" i="674" s="1"/>
  <c r="CP660" i="674"/>
  <c r="CQ660" i="674" s="1"/>
  <c r="CH660" i="674"/>
  <c r="CI660" i="674" s="1"/>
  <c r="BZ660" i="674"/>
  <c r="CA660" i="674" s="1"/>
  <c r="BR660" i="674"/>
  <c r="BS660" i="674" s="1"/>
  <c r="BJ660" i="674"/>
  <c r="BK660" i="674" s="1"/>
  <c r="BB660" i="674"/>
  <c r="BC660" i="674" s="1"/>
  <c r="AT660" i="674"/>
  <c r="AU660" i="674" s="1"/>
  <c r="AL660" i="674"/>
  <c r="AM660" i="674" s="1"/>
  <c r="AD660" i="674"/>
  <c r="AE660" i="674" s="1"/>
  <c r="V660" i="674"/>
  <c r="W660" i="674" s="1"/>
  <c r="N660" i="674"/>
  <c r="O660" i="674" s="1"/>
  <c r="CX659" i="674"/>
  <c r="CY659" i="674" s="1"/>
  <c r="CP659" i="674"/>
  <c r="CQ659" i="674" s="1"/>
  <c r="CH659" i="674"/>
  <c r="CI659" i="674" s="1"/>
  <c r="BZ659" i="674"/>
  <c r="CA659" i="674" s="1"/>
  <c r="BR659" i="674"/>
  <c r="BS659" i="674" s="1"/>
  <c r="BJ659" i="674"/>
  <c r="BK659" i="674" s="1"/>
  <c r="BB659" i="674"/>
  <c r="BC659" i="674" s="1"/>
  <c r="AT659" i="674"/>
  <c r="AU659" i="674" s="1"/>
  <c r="AL659" i="674"/>
  <c r="AM659" i="674" s="1"/>
  <c r="AD659" i="674"/>
  <c r="AE659" i="674" s="1"/>
  <c r="V659" i="674"/>
  <c r="W659" i="674" s="1"/>
  <c r="N659" i="674"/>
  <c r="O659" i="674" s="1"/>
  <c r="CX658" i="674"/>
  <c r="CY658" i="674" s="1"/>
  <c r="CP658" i="674"/>
  <c r="CQ658" i="674" s="1"/>
  <c r="CH658" i="674"/>
  <c r="CI658" i="674" s="1"/>
  <c r="BZ658" i="674"/>
  <c r="CA658" i="674" s="1"/>
  <c r="BR658" i="674"/>
  <c r="BS658" i="674" s="1"/>
  <c r="BJ658" i="674"/>
  <c r="BK658" i="674" s="1"/>
  <c r="BB658" i="674"/>
  <c r="BC658" i="674" s="1"/>
  <c r="AT658" i="674"/>
  <c r="AU658" i="674" s="1"/>
  <c r="AL658" i="674"/>
  <c r="AM658" i="674" s="1"/>
  <c r="AD658" i="674"/>
  <c r="AE658" i="674" s="1"/>
  <c r="V658" i="674"/>
  <c r="W658" i="674" s="1"/>
  <c r="N658" i="674"/>
  <c r="O658" i="674" s="1"/>
  <c r="CX657" i="674"/>
  <c r="CY657" i="674" s="1"/>
  <c r="CP657" i="674"/>
  <c r="CQ657" i="674" s="1"/>
  <c r="CH657" i="674"/>
  <c r="CI657" i="674" s="1"/>
  <c r="BZ657" i="674"/>
  <c r="CA657" i="674" s="1"/>
  <c r="BR657" i="674"/>
  <c r="BS657" i="674" s="1"/>
  <c r="BJ657" i="674"/>
  <c r="BK657" i="674" s="1"/>
  <c r="BB657" i="674"/>
  <c r="BC657" i="674" s="1"/>
  <c r="AT657" i="674"/>
  <c r="AU657" i="674" s="1"/>
  <c r="AL657" i="674"/>
  <c r="AM657" i="674" s="1"/>
  <c r="AD657" i="674"/>
  <c r="AE657" i="674" s="1"/>
  <c r="V657" i="674"/>
  <c r="W657" i="674" s="1"/>
  <c r="N657" i="674"/>
  <c r="O657" i="674" s="1"/>
  <c r="B657" i="674"/>
  <c r="B658" i="674" s="1"/>
  <c r="B659" i="674" s="1"/>
  <c r="B660" i="674" s="1"/>
  <c r="B661" i="674" s="1"/>
  <c r="B662" i="674" s="1"/>
  <c r="B663" i="674" s="1"/>
  <c r="B664" i="674" s="1"/>
  <c r="B665" i="674" s="1"/>
  <c r="B666" i="674" s="1"/>
  <c r="B667" i="674" s="1"/>
  <c r="B668" i="674" s="1"/>
  <c r="B669" i="674" s="1"/>
  <c r="B670" i="674" s="1"/>
  <c r="B671" i="674" s="1"/>
  <c r="B672" i="674" s="1"/>
  <c r="B673" i="674" s="1"/>
  <c r="B674" i="674" s="1"/>
  <c r="B675" i="674" s="1"/>
  <c r="B676" i="674" s="1"/>
  <c r="B677" i="674" s="1"/>
  <c r="B678" i="674" s="1"/>
  <c r="B679" i="674" s="1"/>
  <c r="B680" i="674" s="1"/>
  <c r="B681" i="674" s="1"/>
  <c r="B682" i="674" s="1"/>
  <c r="B683" i="674" s="1"/>
  <c r="B684" i="674" s="1"/>
  <c r="B685" i="674" s="1"/>
  <c r="B686" i="674" s="1"/>
  <c r="B687" i="674" s="1"/>
  <c r="B688" i="674" s="1"/>
  <c r="B689" i="674" s="1"/>
  <c r="B690" i="674" s="1"/>
  <c r="B691" i="674" s="1"/>
  <c r="B692" i="674" s="1"/>
  <c r="B693" i="674" s="1"/>
  <c r="B694" i="674" s="1"/>
  <c r="B695" i="674" s="1"/>
  <c r="B696" i="674" s="1"/>
  <c r="B697" i="674" s="1"/>
  <c r="CX656" i="674"/>
  <c r="CY656" i="674" s="1"/>
  <c r="CP656" i="674"/>
  <c r="CH656" i="674"/>
  <c r="CI656" i="674" s="1"/>
  <c r="BZ656" i="674"/>
  <c r="BR656" i="674"/>
  <c r="BS656" i="674" s="1"/>
  <c r="BJ656" i="674"/>
  <c r="BK656" i="674" s="1"/>
  <c r="BB656" i="674"/>
  <c r="BC656" i="674" s="1"/>
  <c r="AT656" i="674"/>
  <c r="AL656" i="674"/>
  <c r="AM656" i="674" s="1"/>
  <c r="AD656" i="674"/>
  <c r="AE656" i="674" s="1"/>
  <c r="V656" i="674"/>
  <c r="W656" i="674" s="1"/>
  <c r="N656" i="674"/>
  <c r="CW654" i="674"/>
  <c r="CV654" i="674"/>
  <c r="CV697" i="674" s="1"/>
  <c r="CU654" i="674"/>
  <c r="CU697" i="674" s="1"/>
  <c r="CU742" i="674" s="1"/>
  <c r="CT654" i="674"/>
  <c r="CS654" i="674"/>
  <c r="CR654" i="674"/>
  <c r="CO654" i="674"/>
  <c r="CN654" i="674"/>
  <c r="CN697" i="674" s="1"/>
  <c r="CM654" i="674"/>
  <c r="CM697" i="674" s="1"/>
  <c r="CM742" i="674" s="1"/>
  <c r="CL654" i="674"/>
  <c r="CK654" i="674"/>
  <c r="CJ654" i="674"/>
  <c r="CG654" i="674"/>
  <c r="CF654" i="674"/>
  <c r="CF697" i="674" s="1"/>
  <c r="CE654" i="674"/>
  <c r="CE697" i="674" s="1"/>
  <c r="CE742" i="674" s="1"/>
  <c r="CD654" i="674"/>
  <c r="CC654" i="674"/>
  <c r="CB654" i="674"/>
  <c r="BY654" i="674"/>
  <c r="BX654" i="674"/>
  <c r="BX697" i="674" s="1"/>
  <c r="BW654" i="674"/>
  <c r="BW697" i="674" s="1"/>
  <c r="BW742" i="674" s="1"/>
  <c r="BV654" i="674"/>
  <c r="BU654" i="674"/>
  <c r="BT654" i="674"/>
  <c r="BQ654" i="674"/>
  <c r="BP654" i="674"/>
  <c r="BP697" i="674" s="1"/>
  <c r="BO654" i="674"/>
  <c r="BO697" i="674" s="1"/>
  <c r="BO742" i="674" s="1"/>
  <c r="BN654" i="674"/>
  <c r="BM654" i="674"/>
  <c r="BL654" i="674"/>
  <c r="BI654" i="674"/>
  <c r="BH654" i="674"/>
  <c r="BH697" i="674" s="1"/>
  <c r="BG654" i="674"/>
  <c r="BG697" i="674" s="1"/>
  <c r="BG742" i="674" s="1"/>
  <c r="BF654" i="674"/>
  <c r="BE654" i="674"/>
  <c r="BD654" i="674"/>
  <c r="BA654" i="674"/>
  <c r="AZ654" i="674"/>
  <c r="AZ697" i="674" s="1"/>
  <c r="AY654" i="674"/>
  <c r="AY697" i="674" s="1"/>
  <c r="AY742" i="674" s="1"/>
  <c r="AX654" i="674"/>
  <c r="AW654" i="674"/>
  <c r="AV654" i="674"/>
  <c r="AS654" i="674"/>
  <c r="AR654" i="674"/>
  <c r="AR697" i="674" s="1"/>
  <c r="AQ654" i="674"/>
  <c r="AQ697" i="674" s="1"/>
  <c r="AQ742" i="674" s="1"/>
  <c r="AP654" i="674"/>
  <c r="AO654" i="674"/>
  <c r="AN654" i="674"/>
  <c r="AK654" i="674"/>
  <c r="AJ654" i="674"/>
  <c r="AJ697" i="674" s="1"/>
  <c r="AI654" i="674"/>
  <c r="AI697" i="674" s="1"/>
  <c r="AI742" i="674" s="1"/>
  <c r="AH654" i="674"/>
  <c r="AG654" i="674"/>
  <c r="AF654" i="674"/>
  <c r="AC654" i="674"/>
  <c r="AB654" i="674"/>
  <c r="AB697" i="674" s="1"/>
  <c r="AA654" i="674"/>
  <c r="AA697" i="674" s="1"/>
  <c r="AA742" i="674" s="1"/>
  <c r="Z654" i="674"/>
  <c r="Y654" i="674"/>
  <c r="X654" i="674"/>
  <c r="U654" i="674"/>
  <c r="T654" i="674"/>
  <c r="T697" i="674" s="1"/>
  <c r="S654" i="674"/>
  <c r="S697" i="674" s="1"/>
  <c r="S742" i="674" s="1"/>
  <c r="R654" i="674"/>
  <c r="Q654" i="674"/>
  <c r="P654" i="674"/>
  <c r="M654" i="674"/>
  <c r="L654" i="674"/>
  <c r="L697" i="674" s="1"/>
  <c r="K654" i="674"/>
  <c r="K697" i="674" s="1"/>
  <c r="K742" i="674" s="1"/>
  <c r="J654" i="674"/>
  <c r="I654" i="674"/>
  <c r="H654" i="674"/>
  <c r="G654" i="674"/>
  <c r="CX653" i="674"/>
  <c r="CY653" i="674" s="1"/>
  <c r="CP653" i="674"/>
  <c r="CQ653" i="674" s="1"/>
  <c r="CH653" i="674"/>
  <c r="CI653" i="674" s="1"/>
  <c r="BZ653" i="674"/>
  <c r="CA653" i="674" s="1"/>
  <c r="BR653" i="674"/>
  <c r="BS653" i="674" s="1"/>
  <c r="BJ653" i="674"/>
  <c r="BK653" i="674" s="1"/>
  <c r="BB653" i="674"/>
  <c r="BC653" i="674" s="1"/>
  <c r="AT653" i="674"/>
  <c r="AU653" i="674" s="1"/>
  <c r="AL653" i="674"/>
  <c r="AM653" i="674" s="1"/>
  <c r="AD653" i="674"/>
  <c r="AE653" i="674" s="1"/>
  <c r="V653" i="674"/>
  <c r="W653" i="674" s="1"/>
  <c r="N653" i="674"/>
  <c r="O653" i="674" s="1"/>
  <c r="CX652" i="674"/>
  <c r="CY652" i="674" s="1"/>
  <c r="CP652" i="674"/>
  <c r="CQ652" i="674" s="1"/>
  <c r="CH652" i="674"/>
  <c r="CI652" i="674" s="1"/>
  <c r="BZ652" i="674"/>
  <c r="CA652" i="674" s="1"/>
  <c r="BR652" i="674"/>
  <c r="BS652" i="674" s="1"/>
  <c r="BJ652" i="674"/>
  <c r="BK652" i="674" s="1"/>
  <c r="BB652" i="674"/>
  <c r="BC652" i="674" s="1"/>
  <c r="AT652" i="674"/>
  <c r="AU652" i="674" s="1"/>
  <c r="AL652" i="674"/>
  <c r="AM652" i="674" s="1"/>
  <c r="AD652" i="674"/>
  <c r="AE652" i="674" s="1"/>
  <c r="V652" i="674"/>
  <c r="W652" i="674" s="1"/>
  <c r="N652" i="674"/>
  <c r="O652" i="674" s="1"/>
  <c r="CX651" i="674"/>
  <c r="CY651" i="674" s="1"/>
  <c r="CP651" i="674"/>
  <c r="CQ651" i="674" s="1"/>
  <c r="CH651" i="674"/>
  <c r="CI651" i="674" s="1"/>
  <c r="BZ651" i="674"/>
  <c r="CA651" i="674" s="1"/>
  <c r="BR651" i="674"/>
  <c r="BS651" i="674" s="1"/>
  <c r="BJ651" i="674"/>
  <c r="BK651" i="674" s="1"/>
  <c r="BB651" i="674"/>
  <c r="BC651" i="674" s="1"/>
  <c r="AT651" i="674"/>
  <c r="AU651" i="674" s="1"/>
  <c r="AL651" i="674"/>
  <c r="AM651" i="674" s="1"/>
  <c r="AD651" i="674"/>
  <c r="AE651" i="674" s="1"/>
  <c r="V651" i="674"/>
  <c r="W651" i="674" s="1"/>
  <c r="N651" i="674"/>
  <c r="O651" i="674" s="1"/>
  <c r="CX650" i="674"/>
  <c r="CY650" i="674" s="1"/>
  <c r="CP650" i="674"/>
  <c r="CQ650" i="674" s="1"/>
  <c r="CH650" i="674"/>
  <c r="CI650" i="674" s="1"/>
  <c r="BZ650" i="674"/>
  <c r="CA650" i="674" s="1"/>
  <c r="BR650" i="674"/>
  <c r="BS650" i="674" s="1"/>
  <c r="BJ650" i="674"/>
  <c r="BK650" i="674" s="1"/>
  <c r="BB650" i="674"/>
  <c r="BC650" i="674" s="1"/>
  <c r="AT650" i="674"/>
  <c r="AU650" i="674" s="1"/>
  <c r="AL650" i="674"/>
  <c r="AM650" i="674" s="1"/>
  <c r="AD650" i="674"/>
  <c r="AE650" i="674" s="1"/>
  <c r="V650" i="674"/>
  <c r="W650" i="674" s="1"/>
  <c r="N650" i="674"/>
  <c r="O650" i="674" s="1"/>
  <c r="CX649" i="674"/>
  <c r="CY649" i="674" s="1"/>
  <c r="CP649" i="674"/>
  <c r="CQ649" i="674" s="1"/>
  <c r="CH649" i="674"/>
  <c r="CI649" i="674" s="1"/>
  <c r="BZ649" i="674"/>
  <c r="CA649" i="674" s="1"/>
  <c r="BR649" i="674"/>
  <c r="BS649" i="674" s="1"/>
  <c r="BJ649" i="674"/>
  <c r="BK649" i="674" s="1"/>
  <c r="BB649" i="674"/>
  <c r="BC649" i="674" s="1"/>
  <c r="AT649" i="674"/>
  <c r="AU649" i="674" s="1"/>
  <c r="AL649" i="674"/>
  <c r="AM649" i="674" s="1"/>
  <c r="AD649" i="674"/>
  <c r="AE649" i="674" s="1"/>
  <c r="V649" i="674"/>
  <c r="W649" i="674" s="1"/>
  <c r="N649" i="674"/>
  <c r="O649" i="674" s="1"/>
  <c r="CX648" i="674"/>
  <c r="CY648" i="674" s="1"/>
  <c r="CP648" i="674"/>
  <c r="CQ648" i="674" s="1"/>
  <c r="CH648" i="674"/>
  <c r="CI648" i="674" s="1"/>
  <c r="BZ648" i="674"/>
  <c r="CA648" i="674" s="1"/>
  <c r="BR648" i="674"/>
  <c r="BS648" i="674" s="1"/>
  <c r="BJ648" i="674"/>
  <c r="BK648" i="674" s="1"/>
  <c r="BB648" i="674"/>
  <c r="BC648" i="674" s="1"/>
  <c r="AT648" i="674"/>
  <c r="AU648" i="674" s="1"/>
  <c r="AL648" i="674"/>
  <c r="AM648" i="674" s="1"/>
  <c r="AD648" i="674"/>
  <c r="AE648" i="674" s="1"/>
  <c r="V648" i="674"/>
  <c r="W648" i="674" s="1"/>
  <c r="N648" i="674"/>
  <c r="O648" i="674" s="1"/>
  <c r="CX647" i="674"/>
  <c r="CY647" i="674" s="1"/>
  <c r="CP647" i="674"/>
  <c r="CQ647" i="674" s="1"/>
  <c r="CH647" i="674"/>
  <c r="CI647" i="674" s="1"/>
  <c r="BZ647" i="674"/>
  <c r="CA647" i="674" s="1"/>
  <c r="BR647" i="674"/>
  <c r="BS647" i="674" s="1"/>
  <c r="BJ647" i="674"/>
  <c r="BK647" i="674" s="1"/>
  <c r="BB647" i="674"/>
  <c r="BC647" i="674" s="1"/>
  <c r="AT647" i="674"/>
  <c r="AU647" i="674" s="1"/>
  <c r="AL647" i="674"/>
  <c r="AM647" i="674" s="1"/>
  <c r="AD647" i="674"/>
  <c r="AE647" i="674" s="1"/>
  <c r="V647" i="674"/>
  <c r="W647" i="674" s="1"/>
  <c r="N647" i="674"/>
  <c r="O647" i="674" s="1"/>
  <c r="CX646" i="674"/>
  <c r="CY646" i="674" s="1"/>
  <c r="CP646" i="674"/>
  <c r="CQ646" i="674" s="1"/>
  <c r="CH646" i="674"/>
  <c r="CI646" i="674" s="1"/>
  <c r="BZ646" i="674"/>
  <c r="CA646" i="674" s="1"/>
  <c r="BR646" i="674"/>
  <c r="BS646" i="674" s="1"/>
  <c r="BJ646" i="674"/>
  <c r="BK646" i="674" s="1"/>
  <c r="BB646" i="674"/>
  <c r="BC646" i="674" s="1"/>
  <c r="AT646" i="674"/>
  <c r="AU646" i="674" s="1"/>
  <c r="AL646" i="674"/>
  <c r="AM646" i="674" s="1"/>
  <c r="AD646" i="674"/>
  <c r="AE646" i="674" s="1"/>
  <c r="V646" i="674"/>
  <c r="W646" i="674" s="1"/>
  <c r="N646" i="674"/>
  <c r="O646" i="674" s="1"/>
  <c r="CX645" i="674"/>
  <c r="CY645" i="674" s="1"/>
  <c r="CP645" i="674"/>
  <c r="CQ645" i="674" s="1"/>
  <c r="CH645" i="674"/>
  <c r="CI645" i="674" s="1"/>
  <c r="BZ645" i="674"/>
  <c r="CA645" i="674" s="1"/>
  <c r="BR645" i="674"/>
  <c r="BS645" i="674" s="1"/>
  <c r="BJ645" i="674"/>
  <c r="BK645" i="674" s="1"/>
  <c r="BB645" i="674"/>
  <c r="BC645" i="674" s="1"/>
  <c r="AT645" i="674"/>
  <c r="AU645" i="674" s="1"/>
  <c r="AL645" i="674"/>
  <c r="AM645" i="674" s="1"/>
  <c r="AD645" i="674"/>
  <c r="AE645" i="674" s="1"/>
  <c r="V645" i="674"/>
  <c r="W645" i="674" s="1"/>
  <c r="N645" i="674"/>
  <c r="O645" i="674" s="1"/>
  <c r="CX644" i="674"/>
  <c r="CY644" i="674" s="1"/>
  <c r="CP644" i="674"/>
  <c r="CQ644" i="674" s="1"/>
  <c r="CH644" i="674"/>
  <c r="CI644" i="674" s="1"/>
  <c r="BZ644" i="674"/>
  <c r="CA644" i="674" s="1"/>
  <c r="BR644" i="674"/>
  <c r="BS644" i="674" s="1"/>
  <c r="BJ644" i="674"/>
  <c r="BK644" i="674" s="1"/>
  <c r="BB644" i="674"/>
  <c r="BC644" i="674" s="1"/>
  <c r="AT644" i="674"/>
  <c r="AU644" i="674" s="1"/>
  <c r="AL644" i="674"/>
  <c r="AM644" i="674" s="1"/>
  <c r="AD644" i="674"/>
  <c r="AE644" i="674" s="1"/>
  <c r="V644" i="674"/>
  <c r="W644" i="674" s="1"/>
  <c r="N644" i="674"/>
  <c r="O644" i="674" s="1"/>
  <c r="CX643" i="674"/>
  <c r="CY643" i="674" s="1"/>
  <c r="CP643" i="674"/>
  <c r="CQ643" i="674" s="1"/>
  <c r="CH643" i="674"/>
  <c r="CI643" i="674" s="1"/>
  <c r="BZ643" i="674"/>
  <c r="CA643" i="674" s="1"/>
  <c r="BR643" i="674"/>
  <c r="BS643" i="674" s="1"/>
  <c r="BJ643" i="674"/>
  <c r="BK643" i="674" s="1"/>
  <c r="BB643" i="674"/>
  <c r="BC643" i="674" s="1"/>
  <c r="AT643" i="674"/>
  <c r="AU643" i="674" s="1"/>
  <c r="AL643" i="674"/>
  <c r="AM643" i="674" s="1"/>
  <c r="AD643" i="674"/>
  <c r="AE643" i="674" s="1"/>
  <c r="V643" i="674"/>
  <c r="W643" i="674" s="1"/>
  <c r="N643" i="674"/>
  <c r="O643" i="674" s="1"/>
  <c r="CX642" i="674"/>
  <c r="CY642" i="674" s="1"/>
  <c r="CP642" i="674"/>
  <c r="CQ642" i="674" s="1"/>
  <c r="CH642" i="674"/>
  <c r="CI642" i="674" s="1"/>
  <c r="BZ642" i="674"/>
  <c r="CA642" i="674" s="1"/>
  <c r="BR642" i="674"/>
  <c r="BS642" i="674" s="1"/>
  <c r="BJ642" i="674"/>
  <c r="BK642" i="674" s="1"/>
  <c r="BB642" i="674"/>
  <c r="BC642" i="674" s="1"/>
  <c r="AT642" i="674"/>
  <c r="AU642" i="674" s="1"/>
  <c r="AL642" i="674"/>
  <c r="AM642" i="674" s="1"/>
  <c r="AD642" i="674"/>
  <c r="AE642" i="674" s="1"/>
  <c r="V642" i="674"/>
  <c r="W642" i="674" s="1"/>
  <c r="N642" i="674"/>
  <c r="O642" i="674" s="1"/>
  <c r="CX641" i="674"/>
  <c r="CY641" i="674" s="1"/>
  <c r="CP641" i="674"/>
  <c r="CQ641" i="674" s="1"/>
  <c r="CH641" i="674"/>
  <c r="CI641" i="674" s="1"/>
  <c r="BZ641" i="674"/>
  <c r="CA641" i="674" s="1"/>
  <c r="BR641" i="674"/>
  <c r="BS641" i="674" s="1"/>
  <c r="BJ641" i="674"/>
  <c r="BK641" i="674" s="1"/>
  <c r="BB641" i="674"/>
  <c r="BC641" i="674" s="1"/>
  <c r="AT641" i="674"/>
  <c r="AU641" i="674" s="1"/>
  <c r="AL641" i="674"/>
  <c r="AM641" i="674" s="1"/>
  <c r="AD641" i="674"/>
  <c r="AE641" i="674" s="1"/>
  <c r="V641" i="674"/>
  <c r="W641" i="674" s="1"/>
  <c r="N641" i="674"/>
  <c r="O641" i="674" s="1"/>
  <c r="CX640" i="674"/>
  <c r="CY640" i="674" s="1"/>
  <c r="CP640" i="674"/>
  <c r="CQ640" i="674" s="1"/>
  <c r="CH640" i="674"/>
  <c r="CI640" i="674" s="1"/>
  <c r="BZ640" i="674"/>
  <c r="CA640" i="674" s="1"/>
  <c r="BR640" i="674"/>
  <c r="BS640" i="674" s="1"/>
  <c r="BJ640" i="674"/>
  <c r="BK640" i="674" s="1"/>
  <c r="BB640" i="674"/>
  <c r="BC640" i="674" s="1"/>
  <c r="AT640" i="674"/>
  <c r="AU640" i="674" s="1"/>
  <c r="AL640" i="674"/>
  <c r="AM640" i="674" s="1"/>
  <c r="AD640" i="674"/>
  <c r="AE640" i="674" s="1"/>
  <c r="V640" i="674"/>
  <c r="W640" i="674" s="1"/>
  <c r="N640" i="674"/>
  <c r="O640" i="674" s="1"/>
  <c r="CX639" i="674"/>
  <c r="CY639" i="674" s="1"/>
  <c r="CP639" i="674"/>
  <c r="CQ639" i="674" s="1"/>
  <c r="CH639" i="674"/>
  <c r="CI639" i="674" s="1"/>
  <c r="BZ639" i="674"/>
  <c r="CA639" i="674" s="1"/>
  <c r="BR639" i="674"/>
  <c r="BS639" i="674" s="1"/>
  <c r="BJ639" i="674"/>
  <c r="BK639" i="674" s="1"/>
  <c r="BB639" i="674"/>
  <c r="BC639" i="674" s="1"/>
  <c r="AT639" i="674"/>
  <c r="AU639" i="674" s="1"/>
  <c r="AL639" i="674"/>
  <c r="AM639" i="674" s="1"/>
  <c r="AD639" i="674"/>
  <c r="AE639" i="674" s="1"/>
  <c r="V639" i="674"/>
  <c r="W639" i="674" s="1"/>
  <c r="N639" i="674"/>
  <c r="O639" i="674" s="1"/>
  <c r="CX638" i="674"/>
  <c r="CY638" i="674" s="1"/>
  <c r="CP638" i="674"/>
  <c r="CQ638" i="674" s="1"/>
  <c r="CH638" i="674"/>
  <c r="CI638" i="674" s="1"/>
  <c r="BZ638" i="674"/>
  <c r="CA638" i="674" s="1"/>
  <c r="BR638" i="674"/>
  <c r="BS638" i="674" s="1"/>
  <c r="BJ638" i="674"/>
  <c r="BK638" i="674" s="1"/>
  <c r="BB638" i="674"/>
  <c r="BC638" i="674" s="1"/>
  <c r="AT638" i="674"/>
  <c r="AU638" i="674" s="1"/>
  <c r="AL638" i="674"/>
  <c r="AM638" i="674" s="1"/>
  <c r="AD638" i="674"/>
  <c r="AE638" i="674" s="1"/>
  <c r="V638" i="674"/>
  <c r="W638" i="674" s="1"/>
  <c r="N638" i="674"/>
  <c r="O638" i="674" s="1"/>
  <c r="CX637" i="674"/>
  <c r="CY637" i="674" s="1"/>
  <c r="CP637" i="674"/>
  <c r="CQ637" i="674" s="1"/>
  <c r="CH637" i="674"/>
  <c r="CI637" i="674" s="1"/>
  <c r="BZ637" i="674"/>
  <c r="CA637" i="674" s="1"/>
  <c r="BR637" i="674"/>
  <c r="BS637" i="674" s="1"/>
  <c r="BJ637" i="674"/>
  <c r="BK637" i="674" s="1"/>
  <c r="BB637" i="674"/>
  <c r="BC637" i="674" s="1"/>
  <c r="AT637" i="674"/>
  <c r="AU637" i="674" s="1"/>
  <c r="AL637" i="674"/>
  <c r="AM637" i="674" s="1"/>
  <c r="AD637" i="674"/>
  <c r="AE637" i="674" s="1"/>
  <c r="V637" i="674"/>
  <c r="W637" i="674" s="1"/>
  <c r="N637" i="674"/>
  <c r="O637" i="674" s="1"/>
  <c r="CX636" i="674"/>
  <c r="CY636" i="674" s="1"/>
  <c r="CP636" i="674"/>
  <c r="CQ636" i="674" s="1"/>
  <c r="CH636" i="674"/>
  <c r="CI636" i="674" s="1"/>
  <c r="BZ636" i="674"/>
  <c r="CA636" i="674" s="1"/>
  <c r="BR636" i="674"/>
  <c r="BS636" i="674" s="1"/>
  <c r="BJ636" i="674"/>
  <c r="BK636" i="674" s="1"/>
  <c r="BB636" i="674"/>
  <c r="BC636" i="674" s="1"/>
  <c r="AT636" i="674"/>
  <c r="AU636" i="674" s="1"/>
  <c r="AL636" i="674"/>
  <c r="AM636" i="674" s="1"/>
  <c r="AD636" i="674"/>
  <c r="AE636" i="674" s="1"/>
  <c r="V636" i="674"/>
  <c r="W636" i="674" s="1"/>
  <c r="N636" i="674"/>
  <c r="O636" i="674" s="1"/>
  <c r="CX635" i="674"/>
  <c r="CY635" i="674" s="1"/>
  <c r="CP635" i="674"/>
  <c r="CQ635" i="674" s="1"/>
  <c r="CH635" i="674"/>
  <c r="CI635" i="674" s="1"/>
  <c r="BZ635" i="674"/>
  <c r="CA635" i="674" s="1"/>
  <c r="BR635" i="674"/>
  <c r="BS635" i="674" s="1"/>
  <c r="BJ635" i="674"/>
  <c r="BK635" i="674" s="1"/>
  <c r="BB635" i="674"/>
  <c r="BC635" i="674" s="1"/>
  <c r="AT635" i="674"/>
  <c r="AU635" i="674" s="1"/>
  <c r="AL635" i="674"/>
  <c r="AM635" i="674" s="1"/>
  <c r="AD635" i="674"/>
  <c r="AE635" i="674" s="1"/>
  <c r="V635" i="674"/>
  <c r="W635" i="674" s="1"/>
  <c r="N635" i="674"/>
  <c r="O635" i="674" s="1"/>
  <c r="CX634" i="674"/>
  <c r="CY634" i="674" s="1"/>
  <c r="CP634" i="674"/>
  <c r="CQ634" i="674" s="1"/>
  <c r="CH634" i="674"/>
  <c r="CI634" i="674" s="1"/>
  <c r="BZ634" i="674"/>
  <c r="CA634" i="674" s="1"/>
  <c r="BR634" i="674"/>
  <c r="BS634" i="674" s="1"/>
  <c r="BJ634" i="674"/>
  <c r="BK634" i="674" s="1"/>
  <c r="BB634" i="674"/>
  <c r="BC634" i="674" s="1"/>
  <c r="AT634" i="674"/>
  <c r="AU634" i="674" s="1"/>
  <c r="AL634" i="674"/>
  <c r="AM634" i="674" s="1"/>
  <c r="AD634" i="674"/>
  <c r="AE634" i="674" s="1"/>
  <c r="V634" i="674"/>
  <c r="W634" i="674" s="1"/>
  <c r="N634" i="674"/>
  <c r="O634" i="674" s="1"/>
  <c r="CX633" i="674"/>
  <c r="CY633" i="674" s="1"/>
  <c r="CP633" i="674"/>
  <c r="CQ633" i="674" s="1"/>
  <c r="CH633" i="674"/>
  <c r="CI633" i="674" s="1"/>
  <c r="BZ633" i="674"/>
  <c r="CA633" i="674" s="1"/>
  <c r="BR633" i="674"/>
  <c r="BS633" i="674" s="1"/>
  <c r="BJ633" i="674"/>
  <c r="BK633" i="674" s="1"/>
  <c r="BB633" i="674"/>
  <c r="BC633" i="674" s="1"/>
  <c r="AT633" i="674"/>
  <c r="AU633" i="674" s="1"/>
  <c r="AL633" i="674"/>
  <c r="AM633" i="674" s="1"/>
  <c r="AD633" i="674"/>
  <c r="AE633" i="674" s="1"/>
  <c r="V633" i="674"/>
  <c r="W633" i="674" s="1"/>
  <c r="N633" i="674"/>
  <c r="O633" i="674" s="1"/>
  <c r="CX632" i="674"/>
  <c r="CY632" i="674" s="1"/>
  <c r="CP632" i="674"/>
  <c r="CQ632" i="674" s="1"/>
  <c r="CH632" i="674"/>
  <c r="CI632" i="674" s="1"/>
  <c r="BZ632" i="674"/>
  <c r="CA632" i="674" s="1"/>
  <c r="BR632" i="674"/>
  <c r="BS632" i="674" s="1"/>
  <c r="BJ632" i="674"/>
  <c r="BK632" i="674" s="1"/>
  <c r="BB632" i="674"/>
  <c r="BC632" i="674" s="1"/>
  <c r="AT632" i="674"/>
  <c r="AU632" i="674" s="1"/>
  <c r="AL632" i="674"/>
  <c r="AM632" i="674" s="1"/>
  <c r="AD632" i="674"/>
  <c r="AE632" i="674" s="1"/>
  <c r="V632" i="674"/>
  <c r="W632" i="674" s="1"/>
  <c r="N632" i="674"/>
  <c r="O632" i="674" s="1"/>
  <c r="CX631" i="674"/>
  <c r="CY631" i="674" s="1"/>
  <c r="CP631" i="674"/>
  <c r="CQ631" i="674" s="1"/>
  <c r="CH631" i="674"/>
  <c r="CI631" i="674" s="1"/>
  <c r="BZ631" i="674"/>
  <c r="CA631" i="674" s="1"/>
  <c r="BR631" i="674"/>
  <c r="BS631" i="674" s="1"/>
  <c r="BJ631" i="674"/>
  <c r="BK631" i="674" s="1"/>
  <c r="BB631" i="674"/>
  <c r="BC631" i="674" s="1"/>
  <c r="AT631" i="674"/>
  <c r="AU631" i="674" s="1"/>
  <c r="AL631" i="674"/>
  <c r="AM631" i="674" s="1"/>
  <c r="AD631" i="674"/>
  <c r="AE631" i="674" s="1"/>
  <c r="V631" i="674"/>
  <c r="W631" i="674" s="1"/>
  <c r="N631" i="674"/>
  <c r="O631" i="674" s="1"/>
  <c r="CX630" i="674"/>
  <c r="CY630" i="674" s="1"/>
  <c r="CP630" i="674"/>
  <c r="CQ630" i="674" s="1"/>
  <c r="CH630" i="674"/>
  <c r="CI630" i="674" s="1"/>
  <c r="BZ630" i="674"/>
  <c r="CA630" i="674" s="1"/>
  <c r="BR630" i="674"/>
  <c r="BS630" i="674" s="1"/>
  <c r="BJ630" i="674"/>
  <c r="BK630" i="674" s="1"/>
  <c r="BB630" i="674"/>
  <c r="BC630" i="674" s="1"/>
  <c r="AT630" i="674"/>
  <c r="AU630" i="674" s="1"/>
  <c r="AL630" i="674"/>
  <c r="AM630" i="674" s="1"/>
  <c r="AD630" i="674"/>
  <c r="AE630" i="674" s="1"/>
  <c r="V630" i="674"/>
  <c r="W630" i="674" s="1"/>
  <c r="N630" i="674"/>
  <c r="O630" i="674" s="1"/>
  <c r="CX629" i="674"/>
  <c r="CY629" i="674" s="1"/>
  <c r="CP629" i="674"/>
  <c r="CQ629" i="674" s="1"/>
  <c r="CH629" i="674"/>
  <c r="CI629" i="674" s="1"/>
  <c r="BZ629" i="674"/>
  <c r="CA629" i="674" s="1"/>
  <c r="BR629" i="674"/>
  <c r="BS629" i="674" s="1"/>
  <c r="BJ629" i="674"/>
  <c r="BK629" i="674" s="1"/>
  <c r="BB629" i="674"/>
  <c r="BC629" i="674" s="1"/>
  <c r="AT629" i="674"/>
  <c r="AU629" i="674" s="1"/>
  <c r="AL629" i="674"/>
  <c r="AM629" i="674" s="1"/>
  <c r="AD629" i="674"/>
  <c r="AE629" i="674" s="1"/>
  <c r="V629" i="674"/>
  <c r="W629" i="674" s="1"/>
  <c r="N629" i="674"/>
  <c r="O629" i="674" s="1"/>
  <c r="CX628" i="674"/>
  <c r="CY628" i="674" s="1"/>
  <c r="CP628" i="674"/>
  <c r="CQ628" i="674" s="1"/>
  <c r="CH628" i="674"/>
  <c r="CI628" i="674" s="1"/>
  <c r="BZ628" i="674"/>
  <c r="CA628" i="674" s="1"/>
  <c r="BR628" i="674"/>
  <c r="BS628" i="674" s="1"/>
  <c r="BJ628" i="674"/>
  <c r="BK628" i="674" s="1"/>
  <c r="BB628" i="674"/>
  <c r="BC628" i="674" s="1"/>
  <c r="AT628" i="674"/>
  <c r="AU628" i="674" s="1"/>
  <c r="AL628" i="674"/>
  <c r="AM628" i="674" s="1"/>
  <c r="AD628" i="674"/>
  <c r="AE628" i="674" s="1"/>
  <c r="V628" i="674"/>
  <c r="W628" i="674" s="1"/>
  <c r="N628" i="674"/>
  <c r="O628" i="674" s="1"/>
  <c r="CX627" i="674"/>
  <c r="CY627" i="674" s="1"/>
  <c r="CP627" i="674"/>
  <c r="CQ627" i="674" s="1"/>
  <c r="CH627" i="674"/>
  <c r="CI627" i="674" s="1"/>
  <c r="BZ627" i="674"/>
  <c r="CA627" i="674" s="1"/>
  <c r="BR627" i="674"/>
  <c r="BS627" i="674" s="1"/>
  <c r="BJ627" i="674"/>
  <c r="BK627" i="674" s="1"/>
  <c r="BB627" i="674"/>
  <c r="BC627" i="674" s="1"/>
  <c r="AT627" i="674"/>
  <c r="AU627" i="674" s="1"/>
  <c r="AL627" i="674"/>
  <c r="AM627" i="674" s="1"/>
  <c r="AD627" i="674"/>
  <c r="AE627" i="674" s="1"/>
  <c r="V627" i="674"/>
  <c r="W627" i="674" s="1"/>
  <c r="N627" i="674"/>
  <c r="O627" i="674" s="1"/>
  <c r="CX626" i="674"/>
  <c r="CY626" i="674" s="1"/>
  <c r="CP626" i="674"/>
  <c r="CQ626" i="674" s="1"/>
  <c r="CH626" i="674"/>
  <c r="CI626" i="674" s="1"/>
  <c r="BZ626" i="674"/>
  <c r="CA626" i="674" s="1"/>
  <c r="BR626" i="674"/>
  <c r="BS626" i="674" s="1"/>
  <c r="BJ626" i="674"/>
  <c r="BK626" i="674" s="1"/>
  <c r="BB626" i="674"/>
  <c r="BC626" i="674" s="1"/>
  <c r="AT626" i="674"/>
  <c r="AU626" i="674" s="1"/>
  <c r="AL626" i="674"/>
  <c r="AM626" i="674" s="1"/>
  <c r="AD626" i="674"/>
  <c r="AE626" i="674" s="1"/>
  <c r="V626" i="674"/>
  <c r="W626" i="674" s="1"/>
  <c r="N626" i="674"/>
  <c r="O626" i="674" s="1"/>
  <c r="CX625" i="674"/>
  <c r="CY625" i="674" s="1"/>
  <c r="CP625" i="674"/>
  <c r="CQ625" i="674" s="1"/>
  <c r="CH625" i="674"/>
  <c r="CI625" i="674" s="1"/>
  <c r="BZ625" i="674"/>
  <c r="CA625" i="674" s="1"/>
  <c r="BR625" i="674"/>
  <c r="BS625" i="674" s="1"/>
  <c r="BJ625" i="674"/>
  <c r="BK625" i="674" s="1"/>
  <c r="BB625" i="674"/>
  <c r="BC625" i="674" s="1"/>
  <c r="AT625" i="674"/>
  <c r="AU625" i="674" s="1"/>
  <c r="AL625" i="674"/>
  <c r="AM625" i="674" s="1"/>
  <c r="AD625" i="674"/>
  <c r="AE625" i="674" s="1"/>
  <c r="V625" i="674"/>
  <c r="W625" i="674" s="1"/>
  <c r="N625" i="674"/>
  <c r="O625" i="674" s="1"/>
  <c r="CX624" i="674"/>
  <c r="CY624" i="674" s="1"/>
  <c r="CP624" i="674"/>
  <c r="CQ624" i="674" s="1"/>
  <c r="CH624" i="674"/>
  <c r="CI624" i="674" s="1"/>
  <c r="BZ624" i="674"/>
  <c r="CA624" i="674" s="1"/>
  <c r="BR624" i="674"/>
  <c r="BS624" i="674" s="1"/>
  <c r="BJ624" i="674"/>
  <c r="BK624" i="674" s="1"/>
  <c r="BB624" i="674"/>
  <c r="BC624" i="674" s="1"/>
  <c r="AT624" i="674"/>
  <c r="AU624" i="674" s="1"/>
  <c r="AL624" i="674"/>
  <c r="AM624" i="674" s="1"/>
  <c r="AD624" i="674"/>
  <c r="AE624" i="674" s="1"/>
  <c r="V624" i="674"/>
  <c r="W624" i="674" s="1"/>
  <c r="N624" i="674"/>
  <c r="O624" i="674" s="1"/>
  <c r="CX623" i="674"/>
  <c r="CY623" i="674" s="1"/>
  <c r="CP623" i="674"/>
  <c r="CQ623" i="674" s="1"/>
  <c r="CH623" i="674"/>
  <c r="CI623" i="674" s="1"/>
  <c r="BZ623" i="674"/>
  <c r="CA623" i="674" s="1"/>
  <c r="BR623" i="674"/>
  <c r="BS623" i="674" s="1"/>
  <c r="BJ623" i="674"/>
  <c r="BK623" i="674" s="1"/>
  <c r="BB623" i="674"/>
  <c r="BC623" i="674" s="1"/>
  <c r="AT623" i="674"/>
  <c r="AU623" i="674" s="1"/>
  <c r="AL623" i="674"/>
  <c r="AM623" i="674" s="1"/>
  <c r="AD623" i="674"/>
  <c r="AE623" i="674" s="1"/>
  <c r="V623" i="674"/>
  <c r="W623" i="674" s="1"/>
  <c r="N623" i="674"/>
  <c r="O623" i="674" s="1"/>
  <c r="CX622" i="674"/>
  <c r="CY622" i="674" s="1"/>
  <c r="CP622" i="674"/>
  <c r="CQ622" i="674" s="1"/>
  <c r="CH622" i="674"/>
  <c r="CI622" i="674" s="1"/>
  <c r="BZ622" i="674"/>
  <c r="CA622" i="674" s="1"/>
  <c r="BR622" i="674"/>
  <c r="BS622" i="674" s="1"/>
  <c r="BJ622" i="674"/>
  <c r="BK622" i="674" s="1"/>
  <c r="BB622" i="674"/>
  <c r="BC622" i="674" s="1"/>
  <c r="AT622" i="674"/>
  <c r="AU622" i="674" s="1"/>
  <c r="AL622" i="674"/>
  <c r="AM622" i="674" s="1"/>
  <c r="AD622" i="674"/>
  <c r="AE622" i="674" s="1"/>
  <c r="V622" i="674"/>
  <c r="W622" i="674" s="1"/>
  <c r="N622" i="674"/>
  <c r="O622" i="674" s="1"/>
  <c r="CX621" i="674"/>
  <c r="CY621" i="674" s="1"/>
  <c r="CP621" i="674"/>
  <c r="CQ621" i="674" s="1"/>
  <c r="CH621" i="674"/>
  <c r="CI621" i="674" s="1"/>
  <c r="BZ621" i="674"/>
  <c r="CA621" i="674" s="1"/>
  <c r="BR621" i="674"/>
  <c r="BS621" i="674" s="1"/>
  <c r="BJ621" i="674"/>
  <c r="BK621" i="674" s="1"/>
  <c r="BB621" i="674"/>
  <c r="BC621" i="674" s="1"/>
  <c r="AT621" i="674"/>
  <c r="AU621" i="674" s="1"/>
  <c r="AL621" i="674"/>
  <c r="AM621" i="674" s="1"/>
  <c r="AD621" i="674"/>
  <c r="AE621" i="674" s="1"/>
  <c r="V621" i="674"/>
  <c r="W621" i="674" s="1"/>
  <c r="N621" i="674"/>
  <c r="O621" i="674" s="1"/>
  <c r="CX620" i="674"/>
  <c r="CY620" i="674" s="1"/>
  <c r="CP620" i="674"/>
  <c r="CQ620" i="674" s="1"/>
  <c r="CH620" i="674"/>
  <c r="CI620" i="674" s="1"/>
  <c r="BZ620" i="674"/>
  <c r="CA620" i="674" s="1"/>
  <c r="BR620" i="674"/>
  <c r="BS620" i="674" s="1"/>
  <c r="BJ620" i="674"/>
  <c r="BK620" i="674" s="1"/>
  <c r="BB620" i="674"/>
  <c r="BC620" i="674" s="1"/>
  <c r="AT620" i="674"/>
  <c r="AU620" i="674" s="1"/>
  <c r="AL620" i="674"/>
  <c r="AM620" i="674" s="1"/>
  <c r="AD620" i="674"/>
  <c r="AE620" i="674" s="1"/>
  <c r="V620" i="674"/>
  <c r="W620" i="674" s="1"/>
  <c r="N620" i="674"/>
  <c r="O620" i="674" s="1"/>
  <c r="CX619" i="674"/>
  <c r="CY619" i="674" s="1"/>
  <c r="CP619" i="674"/>
  <c r="CQ619" i="674" s="1"/>
  <c r="CH619" i="674"/>
  <c r="CI619" i="674" s="1"/>
  <c r="BZ619" i="674"/>
  <c r="CA619" i="674" s="1"/>
  <c r="BR619" i="674"/>
  <c r="BS619" i="674" s="1"/>
  <c r="BJ619" i="674"/>
  <c r="BK619" i="674" s="1"/>
  <c r="BB619" i="674"/>
  <c r="BC619" i="674" s="1"/>
  <c r="AT619" i="674"/>
  <c r="AU619" i="674" s="1"/>
  <c r="AL619" i="674"/>
  <c r="AM619" i="674" s="1"/>
  <c r="AD619" i="674"/>
  <c r="AE619" i="674" s="1"/>
  <c r="V619" i="674"/>
  <c r="W619" i="674" s="1"/>
  <c r="N619" i="674"/>
  <c r="O619" i="674" s="1"/>
  <c r="CX618" i="674"/>
  <c r="CY618" i="674" s="1"/>
  <c r="CP618" i="674"/>
  <c r="CQ618" i="674" s="1"/>
  <c r="CH618" i="674"/>
  <c r="CI618" i="674" s="1"/>
  <c r="BZ618" i="674"/>
  <c r="CA618" i="674" s="1"/>
  <c r="BR618" i="674"/>
  <c r="BS618" i="674" s="1"/>
  <c r="BJ618" i="674"/>
  <c r="BK618" i="674" s="1"/>
  <c r="BB618" i="674"/>
  <c r="BC618" i="674" s="1"/>
  <c r="AT618" i="674"/>
  <c r="AU618" i="674" s="1"/>
  <c r="AL618" i="674"/>
  <c r="AM618" i="674" s="1"/>
  <c r="AD618" i="674"/>
  <c r="AE618" i="674" s="1"/>
  <c r="V618" i="674"/>
  <c r="W618" i="674" s="1"/>
  <c r="N618" i="674"/>
  <c r="O618" i="674" s="1"/>
  <c r="CX617" i="674"/>
  <c r="CY617" i="674" s="1"/>
  <c r="CP617" i="674"/>
  <c r="CQ617" i="674" s="1"/>
  <c r="CH617" i="674"/>
  <c r="CI617" i="674" s="1"/>
  <c r="BZ617" i="674"/>
  <c r="CA617" i="674" s="1"/>
  <c r="BR617" i="674"/>
  <c r="BS617" i="674" s="1"/>
  <c r="BJ617" i="674"/>
  <c r="BK617" i="674" s="1"/>
  <c r="BB617" i="674"/>
  <c r="BC617" i="674" s="1"/>
  <c r="AT617" i="674"/>
  <c r="AU617" i="674" s="1"/>
  <c r="AL617" i="674"/>
  <c r="AM617" i="674" s="1"/>
  <c r="AD617" i="674"/>
  <c r="AE617" i="674" s="1"/>
  <c r="V617" i="674"/>
  <c r="W617" i="674" s="1"/>
  <c r="N617" i="674"/>
  <c r="O617" i="674" s="1"/>
  <c r="CX616" i="674"/>
  <c r="CY616" i="674" s="1"/>
  <c r="CP616" i="674"/>
  <c r="CQ616" i="674" s="1"/>
  <c r="CH616" i="674"/>
  <c r="CI616" i="674" s="1"/>
  <c r="BZ616" i="674"/>
  <c r="CA616" i="674" s="1"/>
  <c r="BR616" i="674"/>
  <c r="BS616" i="674" s="1"/>
  <c r="BJ616" i="674"/>
  <c r="BK616" i="674" s="1"/>
  <c r="BB616" i="674"/>
  <c r="BC616" i="674" s="1"/>
  <c r="AT616" i="674"/>
  <c r="AU616" i="674" s="1"/>
  <c r="AL616" i="674"/>
  <c r="AM616" i="674" s="1"/>
  <c r="AD616" i="674"/>
  <c r="AE616" i="674" s="1"/>
  <c r="V616" i="674"/>
  <c r="W616" i="674" s="1"/>
  <c r="N616" i="674"/>
  <c r="O616" i="674" s="1"/>
  <c r="CX615" i="674"/>
  <c r="CY615" i="674" s="1"/>
  <c r="CP615" i="674"/>
  <c r="CQ615" i="674" s="1"/>
  <c r="CH615" i="674"/>
  <c r="CI615" i="674" s="1"/>
  <c r="BZ615" i="674"/>
  <c r="CA615" i="674" s="1"/>
  <c r="BR615" i="674"/>
  <c r="BS615" i="674" s="1"/>
  <c r="BJ615" i="674"/>
  <c r="BK615" i="674" s="1"/>
  <c r="BB615" i="674"/>
  <c r="BC615" i="674" s="1"/>
  <c r="AT615" i="674"/>
  <c r="AU615" i="674" s="1"/>
  <c r="AL615" i="674"/>
  <c r="AM615" i="674" s="1"/>
  <c r="AD615" i="674"/>
  <c r="AE615" i="674" s="1"/>
  <c r="V615" i="674"/>
  <c r="W615" i="674" s="1"/>
  <c r="N615" i="674"/>
  <c r="O615" i="674" s="1"/>
  <c r="CX614" i="674"/>
  <c r="CY614" i="674" s="1"/>
  <c r="CP614" i="674"/>
  <c r="CQ614" i="674" s="1"/>
  <c r="CH614" i="674"/>
  <c r="CI614" i="674" s="1"/>
  <c r="BZ614" i="674"/>
  <c r="CA614" i="674" s="1"/>
  <c r="BR614" i="674"/>
  <c r="BS614" i="674" s="1"/>
  <c r="BJ614" i="674"/>
  <c r="BK614" i="674" s="1"/>
  <c r="BB614" i="674"/>
  <c r="BC614" i="674" s="1"/>
  <c r="AT614" i="674"/>
  <c r="AU614" i="674" s="1"/>
  <c r="AL614" i="674"/>
  <c r="AM614" i="674" s="1"/>
  <c r="AD614" i="674"/>
  <c r="AE614" i="674" s="1"/>
  <c r="V614" i="674"/>
  <c r="W614" i="674" s="1"/>
  <c r="N614" i="674"/>
  <c r="O614" i="674" s="1"/>
  <c r="CX613" i="674"/>
  <c r="CY613" i="674" s="1"/>
  <c r="CP613" i="674"/>
  <c r="CQ613" i="674" s="1"/>
  <c r="CH613" i="674"/>
  <c r="CI613" i="674" s="1"/>
  <c r="BZ613" i="674"/>
  <c r="CA613" i="674" s="1"/>
  <c r="BR613" i="674"/>
  <c r="BS613" i="674" s="1"/>
  <c r="BJ613" i="674"/>
  <c r="BK613" i="674" s="1"/>
  <c r="BB613" i="674"/>
  <c r="BC613" i="674" s="1"/>
  <c r="AT613" i="674"/>
  <c r="AU613" i="674" s="1"/>
  <c r="AL613" i="674"/>
  <c r="AM613" i="674" s="1"/>
  <c r="AD613" i="674"/>
  <c r="AE613" i="674" s="1"/>
  <c r="V613" i="674"/>
  <c r="W613" i="674" s="1"/>
  <c r="N613" i="674"/>
  <c r="O613" i="674" s="1"/>
  <c r="CX612" i="674"/>
  <c r="CY612" i="674" s="1"/>
  <c r="CP612" i="674"/>
  <c r="CQ612" i="674" s="1"/>
  <c r="CH612" i="674"/>
  <c r="CI612" i="674" s="1"/>
  <c r="BZ612" i="674"/>
  <c r="CA612" i="674" s="1"/>
  <c r="BR612" i="674"/>
  <c r="BS612" i="674" s="1"/>
  <c r="BJ612" i="674"/>
  <c r="BK612" i="674" s="1"/>
  <c r="BB612" i="674"/>
  <c r="BC612" i="674" s="1"/>
  <c r="AT612" i="674"/>
  <c r="AU612" i="674" s="1"/>
  <c r="AL612" i="674"/>
  <c r="AM612" i="674" s="1"/>
  <c r="AD612" i="674"/>
  <c r="AE612" i="674" s="1"/>
  <c r="V612" i="674"/>
  <c r="W612" i="674" s="1"/>
  <c r="N612" i="674"/>
  <c r="O612" i="674" s="1"/>
  <c r="CX611" i="674"/>
  <c r="CY611" i="674" s="1"/>
  <c r="CP611" i="674"/>
  <c r="CQ611" i="674" s="1"/>
  <c r="CH611" i="674"/>
  <c r="CI611" i="674" s="1"/>
  <c r="BZ611" i="674"/>
  <c r="CA611" i="674" s="1"/>
  <c r="BR611" i="674"/>
  <c r="BS611" i="674" s="1"/>
  <c r="BJ611" i="674"/>
  <c r="BK611" i="674" s="1"/>
  <c r="BB611" i="674"/>
  <c r="BC611" i="674" s="1"/>
  <c r="AT611" i="674"/>
  <c r="AU611" i="674" s="1"/>
  <c r="AL611" i="674"/>
  <c r="AM611" i="674" s="1"/>
  <c r="AD611" i="674"/>
  <c r="AE611" i="674" s="1"/>
  <c r="V611" i="674"/>
  <c r="W611" i="674" s="1"/>
  <c r="N611" i="674"/>
  <c r="O611" i="674" s="1"/>
  <c r="CX610" i="674"/>
  <c r="CY610" i="674" s="1"/>
  <c r="CP610" i="674"/>
  <c r="CQ610" i="674" s="1"/>
  <c r="CH610" i="674"/>
  <c r="CI610" i="674" s="1"/>
  <c r="BZ610" i="674"/>
  <c r="CA610" i="674" s="1"/>
  <c r="BR610" i="674"/>
  <c r="BS610" i="674" s="1"/>
  <c r="BJ610" i="674"/>
  <c r="BK610" i="674" s="1"/>
  <c r="BB610" i="674"/>
  <c r="BC610" i="674" s="1"/>
  <c r="AT610" i="674"/>
  <c r="AU610" i="674" s="1"/>
  <c r="AL610" i="674"/>
  <c r="AM610" i="674" s="1"/>
  <c r="AD610" i="674"/>
  <c r="AE610" i="674" s="1"/>
  <c r="V610" i="674"/>
  <c r="W610" i="674" s="1"/>
  <c r="N610" i="674"/>
  <c r="O610" i="674" s="1"/>
  <c r="CX609" i="674"/>
  <c r="CY609" i="674" s="1"/>
  <c r="CP609" i="674"/>
  <c r="CQ609" i="674" s="1"/>
  <c r="CH609" i="674"/>
  <c r="CI609" i="674" s="1"/>
  <c r="BZ609" i="674"/>
  <c r="CA609" i="674" s="1"/>
  <c r="BR609" i="674"/>
  <c r="BS609" i="674" s="1"/>
  <c r="BJ609" i="674"/>
  <c r="BK609" i="674" s="1"/>
  <c r="BB609" i="674"/>
  <c r="BC609" i="674" s="1"/>
  <c r="AT609" i="674"/>
  <c r="AU609" i="674" s="1"/>
  <c r="AL609" i="674"/>
  <c r="AM609" i="674" s="1"/>
  <c r="AD609" i="674"/>
  <c r="AE609" i="674" s="1"/>
  <c r="V609" i="674"/>
  <c r="W609" i="674" s="1"/>
  <c r="N609" i="674"/>
  <c r="O609" i="674" s="1"/>
  <c r="CX608" i="674"/>
  <c r="CY608" i="674" s="1"/>
  <c r="CP608" i="674"/>
  <c r="CQ608" i="674" s="1"/>
  <c r="CH608" i="674"/>
  <c r="CI608" i="674" s="1"/>
  <c r="BZ608" i="674"/>
  <c r="CA608" i="674" s="1"/>
  <c r="BR608" i="674"/>
  <c r="BS608" i="674" s="1"/>
  <c r="BJ608" i="674"/>
  <c r="BK608" i="674" s="1"/>
  <c r="BB608" i="674"/>
  <c r="BC608" i="674" s="1"/>
  <c r="AT608" i="674"/>
  <c r="AU608" i="674" s="1"/>
  <c r="AL608" i="674"/>
  <c r="AM608" i="674" s="1"/>
  <c r="AD608" i="674"/>
  <c r="AE608" i="674" s="1"/>
  <c r="V608" i="674"/>
  <c r="W608" i="674" s="1"/>
  <c r="N608" i="674"/>
  <c r="O608" i="674" s="1"/>
  <c r="CX607" i="674"/>
  <c r="CY607" i="674" s="1"/>
  <c r="CP607" i="674"/>
  <c r="CQ607" i="674" s="1"/>
  <c r="CH607" i="674"/>
  <c r="CI607" i="674" s="1"/>
  <c r="BZ607" i="674"/>
  <c r="CA607" i="674" s="1"/>
  <c r="BR607" i="674"/>
  <c r="BS607" i="674" s="1"/>
  <c r="BJ607" i="674"/>
  <c r="BK607" i="674" s="1"/>
  <c r="BB607" i="674"/>
  <c r="BC607" i="674" s="1"/>
  <c r="AT607" i="674"/>
  <c r="AU607" i="674" s="1"/>
  <c r="AL607" i="674"/>
  <c r="AM607" i="674" s="1"/>
  <c r="AD607" i="674"/>
  <c r="AE607" i="674" s="1"/>
  <c r="V607" i="674"/>
  <c r="W607" i="674" s="1"/>
  <c r="N607" i="674"/>
  <c r="O607" i="674" s="1"/>
  <c r="CX606" i="674"/>
  <c r="CY606" i="674" s="1"/>
  <c r="CP606" i="674"/>
  <c r="CQ606" i="674" s="1"/>
  <c r="CH606" i="674"/>
  <c r="CI606" i="674" s="1"/>
  <c r="BZ606" i="674"/>
  <c r="CA606" i="674" s="1"/>
  <c r="BR606" i="674"/>
  <c r="BS606" i="674" s="1"/>
  <c r="BJ606" i="674"/>
  <c r="BK606" i="674" s="1"/>
  <c r="BB606" i="674"/>
  <c r="BC606" i="674" s="1"/>
  <c r="AT606" i="674"/>
  <c r="AU606" i="674" s="1"/>
  <c r="AL606" i="674"/>
  <c r="AM606" i="674" s="1"/>
  <c r="AD606" i="674"/>
  <c r="AE606" i="674" s="1"/>
  <c r="V606" i="674"/>
  <c r="W606" i="674" s="1"/>
  <c r="N606" i="674"/>
  <c r="O606" i="674" s="1"/>
  <c r="CX605" i="674"/>
  <c r="CY605" i="674" s="1"/>
  <c r="CP605" i="674"/>
  <c r="CQ605" i="674" s="1"/>
  <c r="CH605" i="674"/>
  <c r="CI605" i="674" s="1"/>
  <c r="BZ605" i="674"/>
  <c r="CA605" i="674" s="1"/>
  <c r="BR605" i="674"/>
  <c r="BS605" i="674" s="1"/>
  <c r="BJ605" i="674"/>
  <c r="BK605" i="674" s="1"/>
  <c r="BB605" i="674"/>
  <c r="BC605" i="674" s="1"/>
  <c r="AT605" i="674"/>
  <c r="AU605" i="674" s="1"/>
  <c r="AL605" i="674"/>
  <c r="AM605" i="674" s="1"/>
  <c r="AD605" i="674"/>
  <c r="AE605" i="674" s="1"/>
  <c r="V605" i="674"/>
  <c r="W605" i="674" s="1"/>
  <c r="N605" i="674"/>
  <c r="O605" i="674" s="1"/>
  <c r="CX604" i="674"/>
  <c r="CY604" i="674" s="1"/>
  <c r="CP604" i="674"/>
  <c r="CQ604" i="674" s="1"/>
  <c r="CH604" i="674"/>
  <c r="CI604" i="674" s="1"/>
  <c r="BZ604" i="674"/>
  <c r="CA604" i="674" s="1"/>
  <c r="BR604" i="674"/>
  <c r="BS604" i="674" s="1"/>
  <c r="BJ604" i="674"/>
  <c r="BK604" i="674" s="1"/>
  <c r="BB604" i="674"/>
  <c r="BC604" i="674" s="1"/>
  <c r="AT604" i="674"/>
  <c r="AU604" i="674" s="1"/>
  <c r="AL604" i="674"/>
  <c r="AM604" i="674" s="1"/>
  <c r="AD604" i="674"/>
  <c r="AE604" i="674" s="1"/>
  <c r="V604" i="674"/>
  <c r="W604" i="674" s="1"/>
  <c r="N604" i="674"/>
  <c r="O604" i="674" s="1"/>
  <c r="CX603" i="674"/>
  <c r="CY603" i="674" s="1"/>
  <c r="CP603" i="674"/>
  <c r="CQ603" i="674" s="1"/>
  <c r="CH603" i="674"/>
  <c r="CI603" i="674" s="1"/>
  <c r="BZ603" i="674"/>
  <c r="CA603" i="674" s="1"/>
  <c r="BR603" i="674"/>
  <c r="BS603" i="674" s="1"/>
  <c r="BJ603" i="674"/>
  <c r="BK603" i="674" s="1"/>
  <c r="BB603" i="674"/>
  <c r="BC603" i="674" s="1"/>
  <c r="AT603" i="674"/>
  <c r="AU603" i="674" s="1"/>
  <c r="AL603" i="674"/>
  <c r="AM603" i="674" s="1"/>
  <c r="AD603" i="674"/>
  <c r="AE603" i="674" s="1"/>
  <c r="V603" i="674"/>
  <c r="W603" i="674" s="1"/>
  <c r="N603" i="674"/>
  <c r="O603" i="674" s="1"/>
  <c r="CX602" i="674"/>
  <c r="CY602" i="674" s="1"/>
  <c r="CP602" i="674"/>
  <c r="CQ602" i="674" s="1"/>
  <c r="CH602" i="674"/>
  <c r="CI602" i="674" s="1"/>
  <c r="BZ602" i="674"/>
  <c r="CA602" i="674" s="1"/>
  <c r="BR602" i="674"/>
  <c r="BS602" i="674" s="1"/>
  <c r="BJ602" i="674"/>
  <c r="BK602" i="674" s="1"/>
  <c r="BB602" i="674"/>
  <c r="BC602" i="674" s="1"/>
  <c r="AT602" i="674"/>
  <c r="AU602" i="674" s="1"/>
  <c r="AL602" i="674"/>
  <c r="AM602" i="674" s="1"/>
  <c r="AD602" i="674"/>
  <c r="AE602" i="674" s="1"/>
  <c r="V602" i="674"/>
  <c r="W602" i="674" s="1"/>
  <c r="N602" i="674"/>
  <c r="O602" i="674" s="1"/>
  <c r="CX601" i="674"/>
  <c r="CY601" i="674" s="1"/>
  <c r="CP601" i="674"/>
  <c r="CQ601" i="674" s="1"/>
  <c r="CH601" i="674"/>
  <c r="CI601" i="674" s="1"/>
  <c r="BZ601" i="674"/>
  <c r="CA601" i="674" s="1"/>
  <c r="BR601" i="674"/>
  <c r="BS601" i="674" s="1"/>
  <c r="BJ601" i="674"/>
  <c r="BK601" i="674" s="1"/>
  <c r="BB601" i="674"/>
  <c r="BC601" i="674" s="1"/>
  <c r="AT601" i="674"/>
  <c r="AU601" i="674" s="1"/>
  <c r="AL601" i="674"/>
  <c r="AM601" i="674" s="1"/>
  <c r="AD601" i="674"/>
  <c r="AE601" i="674" s="1"/>
  <c r="V601" i="674"/>
  <c r="W601" i="674" s="1"/>
  <c r="N601" i="674"/>
  <c r="O601" i="674" s="1"/>
  <c r="CX600" i="674"/>
  <c r="CY600" i="674" s="1"/>
  <c r="CP600" i="674"/>
  <c r="CQ600" i="674" s="1"/>
  <c r="CH600" i="674"/>
  <c r="CI600" i="674" s="1"/>
  <c r="BZ600" i="674"/>
  <c r="CA600" i="674" s="1"/>
  <c r="BR600" i="674"/>
  <c r="BS600" i="674" s="1"/>
  <c r="BJ600" i="674"/>
  <c r="BK600" i="674" s="1"/>
  <c r="BB600" i="674"/>
  <c r="BC600" i="674" s="1"/>
  <c r="AT600" i="674"/>
  <c r="AU600" i="674" s="1"/>
  <c r="AL600" i="674"/>
  <c r="AM600" i="674" s="1"/>
  <c r="AD600" i="674"/>
  <c r="AE600" i="674" s="1"/>
  <c r="V600" i="674"/>
  <c r="W600" i="674" s="1"/>
  <c r="N600" i="674"/>
  <c r="O600" i="674" s="1"/>
  <c r="CX599" i="674"/>
  <c r="CY599" i="674" s="1"/>
  <c r="CP599" i="674"/>
  <c r="CQ599" i="674" s="1"/>
  <c r="CH599" i="674"/>
  <c r="CI599" i="674" s="1"/>
  <c r="BZ599" i="674"/>
  <c r="CA599" i="674" s="1"/>
  <c r="BR599" i="674"/>
  <c r="BS599" i="674" s="1"/>
  <c r="BJ599" i="674"/>
  <c r="BK599" i="674" s="1"/>
  <c r="BB599" i="674"/>
  <c r="BC599" i="674" s="1"/>
  <c r="AT599" i="674"/>
  <c r="AU599" i="674" s="1"/>
  <c r="AL599" i="674"/>
  <c r="AM599" i="674" s="1"/>
  <c r="AD599" i="674"/>
  <c r="AE599" i="674" s="1"/>
  <c r="V599" i="674"/>
  <c r="W599" i="674" s="1"/>
  <c r="N599" i="674"/>
  <c r="O599" i="674" s="1"/>
  <c r="CX598" i="674"/>
  <c r="CY598" i="674" s="1"/>
  <c r="CP598" i="674"/>
  <c r="CQ598" i="674" s="1"/>
  <c r="CH598" i="674"/>
  <c r="CI598" i="674" s="1"/>
  <c r="BZ598" i="674"/>
  <c r="CA598" i="674" s="1"/>
  <c r="BR598" i="674"/>
  <c r="BS598" i="674" s="1"/>
  <c r="BJ598" i="674"/>
  <c r="BK598" i="674" s="1"/>
  <c r="BB598" i="674"/>
  <c r="BC598" i="674" s="1"/>
  <c r="AT598" i="674"/>
  <c r="AU598" i="674" s="1"/>
  <c r="AL598" i="674"/>
  <c r="AM598" i="674" s="1"/>
  <c r="AD598" i="674"/>
  <c r="AE598" i="674" s="1"/>
  <c r="V598" i="674"/>
  <c r="W598" i="674" s="1"/>
  <c r="N598" i="674"/>
  <c r="O598" i="674" s="1"/>
  <c r="CX597" i="674"/>
  <c r="CY597" i="674" s="1"/>
  <c r="CP597" i="674"/>
  <c r="CQ597" i="674" s="1"/>
  <c r="CH597" i="674"/>
  <c r="CI597" i="674" s="1"/>
  <c r="BZ597" i="674"/>
  <c r="CA597" i="674" s="1"/>
  <c r="BR597" i="674"/>
  <c r="BS597" i="674" s="1"/>
  <c r="BJ597" i="674"/>
  <c r="BK597" i="674" s="1"/>
  <c r="BB597" i="674"/>
  <c r="BC597" i="674" s="1"/>
  <c r="AT597" i="674"/>
  <c r="AU597" i="674" s="1"/>
  <c r="AL597" i="674"/>
  <c r="AM597" i="674" s="1"/>
  <c r="AD597" i="674"/>
  <c r="AE597" i="674" s="1"/>
  <c r="V597" i="674"/>
  <c r="W597" i="674" s="1"/>
  <c r="N597" i="674"/>
  <c r="O597" i="674" s="1"/>
  <c r="CX596" i="674"/>
  <c r="CY596" i="674" s="1"/>
  <c r="CP596" i="674"/>
  <c r="CQ596" i="674" s="1"/>
  <c r="CH596" i="674"/>
  <c r="CI596" i="674" s="1"/>
  <c r="BZ596" i="674"/>
  <c r="CA596" i="674" s="1"/>
  <c r="BR596" i="674"/>
  <c r="BS596" i="674" s="1"/>
  <c r="BJ596" i="674"/>
  <c r="BK596" i="674" s="1"/>
  <c r="BB596" i="674"/>
  <c r="BC596" i="674" s="1"/>
  <c r="AT596" i="674"/>
  <c r="AU596" i="674" s="1"/>
  <c r="AL596" i="674"/>
  <c r="AM596" i="674" s="1"/>
  <c r="AD596" i="674"/>
  <c r="AE596" i="674" s="1"/>
  <c r="V596" i="674"/>
  <c r="W596" i="674" s="1"/>
  <c r="N596" i="674"/>
  <c r="O596" i="674" s="1"/>
  <c r="CX595" i="674"/>
  <c r="CY595" i="674" s="1"/>
  <c r="CP595" i="674"/>
  <c r="CQ595" i="674" s="1"/>
  <c r="CH595" i="674"/>
  <c r="CI595" i="674" s="1"/>
  <c r="BZ595" i="674"/>
  <c r="CA595" i="674" s="1"/>
  <c r="BR595" i="674"/>
  <c r="BS595" i="674" s="1"/>
  <c r="BJ595" i="674"/>
  <c r="BK595" i="674" s="1"/>
  <c r="BB595" i="674"/>
  <c r="BC595" i="674" s="1"/>
  <c r="AT595" i="674"/>
  <c r="AU595" i="674" s="1"/>
  <c r="AL595" i="674"/>
  <c r="AM595" i="674" s="1"/>
  <c r="AD595" i="674"/>
  <c r="AE595" i="674" s="1"/>
  <c r="V595" i="674"/>
  <c r="W595" i="674" s="1"/>
  <c r="N595" i="674"/>
  <c r="O595" i="674" s="1"/>
  <c r="CX594" i="674"/>
  <c r="CY594" i="674" s="1"/>
  <c r="CP594" i="674"/>
  <c r="CQ594" i="674" s="1"/>
  <c r="CH594" i="674"/>
  <c r="CI594" i="674" s="1"/>
  <c r="BZ594" i="674"/>
  <c r="CA594" i="674" s="1"/>
  <c r="BR594" i="674"/>
  <c r="BS594" i="674" s="1"/>
  <c r="BJ594" i="674"/>
  <c r="BK594" i="674" s="1"/>
  <c r="BB594" i="674"/>
  <c r="BC594" i="674" s="1"/>
  <c r="AT594" i="674"/>
  <c r="AU594" i="674" s="1"/>
  <c r="AL594" i="674"/>
  <c r="AM594" i="674" s="1"/>
  <c r="AD594" i="674"/>
  <c r="AE594" i="674" s="1"/>
  <c r="V594" i="674"/>
  <c r="W594" i="674" s="1"/>
  <c r="N594" i="674"/>
  <c r="O594" i="674" s="1"/>
  <c r="CX593" i="674"/>
  <c r="CY593" i="674" s="1"/>
  <c r="CP593" i="674"/>
  <c r="CQ593" i="674" s="1"/>
  <c r="CH593" i="674"/>
  <c r="CI593" i="674" s="1"/>
  <c r="BZ593" i="674"/>
  <c r="CA593" i="674" s="1"/>
  <c r="BR593" i="674"/>
  <c r="BS593" i="674" s="1"/>
  <c r="BJ593" i="674"/>
  <c r="BK593" i="674" s="1"/>
  <c r="BB593" i="674"/>
  <c r="BC593" i="674" s="1"/>
  <c r="AT593" i="674"/>
  <c r="AU593" i="674" s="1"/>
  <c r="AL593" i="674"/>
  <c r="AM593" i="674" s="1"/>
  <c r="AD593" i="674"/>
  <c r="AE593" i="674" s="1"/>
  <c r="V593" i="674"/>
  <c r="W593" i="674" s="1"/>
  <c r="N593" i="674"/>
  <c r="O593" i="674" s="1"/>
  <c r="CX592" i="674"/>
  <c r="CY592" i="674" s="1"/>
  <c r="CP592" i="674"/>
  <c r="CQ592" i="674" s="1"/>
  <c r="CH592" i="674"/>
  <c r="CI592" i="674" s="1"/>
  <c r="BZ592" i="674"/>
  <c r="CA592" i="674" s="1"/>
  <c r="BR592" i="674"/>
  <c r="BS592" i="674" s="1"/>
  <c r="BJ592" i="674"/>
  <c r="BK592" i="674" s="1"/>
  <c r="BB592" i="674"/>
  <c r="BC592" i="674" s="1"/>
  <c r="AT592" i="674"/>
  <c r="AU592" i="674" s="1"/>
  <c r="AL592" i="674"/>
  <c r="AM592" i="674" s="1"/>
  <c r="AD592" i="674"/>
  <c r="AE592" i="674" s="1"/>
  <c r="V592" i="674"/>
  <c r="W592" i="674" s="1"/>
  <c r="N592" i="674"/>
  <c r="O592" i="674" s="1"/>
  <c r="CX591" i="674"/>
  <c r="CY591" i="674" s="1"/>
  <c r="CP591" i="674"/>
  <c r="CQ591" i="674" s="1"/>
  <c r="CH591" i="674"/>
  <c r="CI591" i="674" s="1"/>
  <c r="BZ591" i="674"/>
  <c r="CA591" i="674" s="1"/>
  <c r="BR591" i="674"/>
  <c r="BS591" i="674" s="1"/>
  <c r="BJ591" i="674"/>
  <c r="BK591" i="674" s="1"/>
  <c r="BB591" i="674"/>
  <c r="BC591" i="674" s="1"/>
  <c r="AT591" i="674"/>
  <c r="AU591" i="674" s="1"/>
  <c r="AL591" i="674"/>
  <c r="AM591" i="674" s="1"/>
  <c r="AD591" i="674"/>
  <c r="AE591" i="674" s="1"/>
  <c r="V591" i="674"/>
  <c r="W591" i="674" s="1"/>
  <c r="N591" i="674"/>
  <c r="O591" i="674" s="1"/>
  <c r="CX590" i="674"/>
  <c r="CY590" i="674" s="1"/>
  <c r="CP590" i="674"/>
  <c r="CQ590" i="674" s="1"/>
  <c r="CH590" i="674"/>
  <c r="CI590" i="674" s="1"/>
  <c r="BZ590" i="674"/>
  <c r="CA590" i="674" s="1"/>
  <c r="BR590" i="674"/>
  <c r="BS590" i="674" s="1"/>
  <c r="BJ590" i="674"/>
  <c r="BK590" i="674" s="1"/>
  <c r="BB590" i="674"/>
  <c r="BC590" i="674" s="1"/>
  <c r="AT590" i="674"/>
  <c r="AU590" i="674" s="1"/>
  <c r="AL590" i="674"/>
  <c r="AM590" i="674" s="1"/>
  <c r="AD590" i="674"/>
  <c r="AE590" i="674" s="1"/>
  <c r="V590" i="674"/>
  <c r="W590" i="674" s="1"/>
  <c r="N590" i="674"/>
  <c r="O590" i="674" s="1"/>
  <c r="CX589" i="674"/>
  <c r="CY589" i="674" s="1"/>
  <c r="CP589" i="674"/>
  <c r="CQ589" i="674" s="1"/>
  <c r="CH589" i="674"/>
  <c r="CI589" i="674" s="1"/>
  <c r="BZ589" i="674"/>
  <c r="CA589" i="674" s="1"/>
  <c r="BR589" i="674"/>
  <c r="BS589" i="674" s="1"/>
  <c r="BJ589" i="674"/>
  <c r="BK589" i="674" s="1"/>
  <c r="BB589" i="674"/>
  <c r="BC589" i="674" s="1"/>
  <c r="AT589" i="674"/>
  <c r="AU589" i="674" s="1"/>
  <c r="AL589" i="674"/>
  <c r="AM589" i="674" s="1"/>
  <c r="AD589" i="674"/>
  <c r="AE589" i="674" s="1"/>
  <c r="V589" i="674"/>
  <c r="W589" i="674" s="1"/>
  <c r="N589" i="674"/>
  <c r="O589" i="674" s="1"/>
  <c r="CX588" i="674"/>
  <c r="CY588" i="674" s="1"/>
  <c r="CP588" i="674"/>
  <c r="CQ588" i="674" s="1"/>
  <c r="CH588" i="674"/>
  <c r="CI588" i="674" s="1"/>
  <c r="BZ588" i="674"/>
  <c r="CA588" i="674" s="1"/>
  <c r="BR588" i="674"/>
  <c r="BS588" i="674" s="1"/>
  <c r="BJ588" i="674"/>
  <c r="BK588" i="674" s="1"/>
  <c r="BB588" i="674"/>
  <c r="BC588" i="674" s="1"/>
  <c r="AT588" i="674"/>
  <c r="AU588" i="674" s="1"/>
  <c r="AL588" i="674"/>
  <c r="AM588" i="674" s="1"/>
  <c r="AD588" i="674"/>
  <c r="AE588" i="674" s="1"/>
  <c r="V588" i="674"/>
  <c r="W588" i="674" s="1"/>
  <c r="N588" i="674"/>
  <c r="O588" i="674" s="1"/>
  <c r="CX587" i="674"/>
  <c r="CY587" i="674" s="1"/>
  <c r="CP587" i="674"/>
  <c r="CQ587" i="674" s="1"/>
  <c r="CH587" i="674"/>
  <c r="CI587" i="674" s="1"/>
  <c r="BZ587" i="674"/>
  <c r="CA587" i="674" s="1"/>
  <c r="BR587" i="674"/>
  <c r="BS587" i="674" s="1"/>
  <c r="BJ587" i="674"/>
  <c r="BK587" i="674" s="1"/>
  <c r="BB587" i="674"/>
  <c r="BC587" i="674" s="1"/>
  <c r="AT587" i="674"/>
  <c r="AU587" i="674" s="1"/>
  <c r="AL587" i="674"/>
  <c r="AM587" i="674" s="1"/>
  <c r="AD587" i="674"/>
  <c r="AE587" i="674" s="1"/>
  <c r="V587" i="674"/>
  <c r="W587" i="674" s="1"/>
  <c r="N587" i="674"/>
  <c r="O587" i="674" s="1"/>
  <c r="CX586" i="674"/>
  <c r="CY586" i="674" s="1"/>
  <c r="CP586" i="674"/>
  <c r="CQ586" i="674" s="1"/>
  <c r="CH586" i="674"/>
  <c r="CI586" i="674" s="1"/>
  <c r="BZ586" i="674"/>
  <c r="CA586" i="674" s="1"/>
  <c r="BR586" i="674"/>
  <c r="BS586" i="674" s="1"/>
  <c r="BJ586" i="674"/>
  <c r="BK586" i="674" s="1"/>
  <c r="BB586" i="674"/>
  <c r="BC586" i="674" s="1"/>
  <c r="AT586" i="674"/>
  <c r="AU586" i="674" s="1"/>
  <c r="AL586" i="674"/>
  <c r="AM586" i="674" s="1"/>
  <c r="AD586" i="674"/>
  <c r="AE586" i="674" s="1"/>
  <c r="V586" i="674"/>
  <c r="W586" i="674" s="1"/>
  <c r="N586" i="674"/>
  <c r="O586" i="674" s="1"/>
  <c r="CX585" i="674"/>
  <c r="CY585" i="674" s="1"/>
  <c r="CP585" i="674"/>
  <c r="CQ585" i="674" s="1"/>
  <c r="CH585" i="674"/>
  <c r="CI585" i="674" s="1"/>
  <c r="BZ585" i="674"/>
  <c r="CA585" i="674" s="1"/>
  <c r="BR585" i="674"/>
  <c r="BS585" i="674" s="1"/>
  <c r="BJ585" i="674"/>
  <c r="BK585" i="674" s="1"/>
  <c r="BB585" i="674"/>
  <c r="BC585" i="674" s="1"/>
  <c r="AT585" i="674"/>
  <c r="AU585" i="674" s="1"/>
  <c r="AL585" i="674"/>
  <c r="AM585" i="674" s="1"/>
  <c r="AD585" i="674"/>
  <c r="AE585" i="674" s="1"/>
  <c r="V585" i="674"/>
  <c r="W585" i="674" s="1"/>
  <c r="N585" i="674"/>
  <c r="O585" i="674" s="1"/>
  <c r="CX584" i="674"/>
  <c r="CY584" i="674" s="1"/>
  <c r="CP584" i="674"/>
  <c r="CQ584" i="674" s="1"/>
  <c r="CH584" i="674"/>
  <c r="CI584" i="674" s="1"/>
  <c r="BZ584" i="674"/>
  <c r="CA584" i="674" s="1"/>
  <c r="BR584" i="674"/>
  <c r="BS584" i="674" s="1"/>
  <c r="BJ584" i="674"/>
  <c r="BK584" i="674" s="1"/>
  <c r="BB584" i="674"/>
  <c r="BC584" i="674" s="1"/>
  <c r="AT584" i="674"/>
  <c r="AU584" i="674" s="1"/>
  <c r="AL584" i="674"/>
  <c r="AM584" i="674" s="1"/>
  <c r="AD584" i="674"/>
  <c r="AE584" i="674" s="1"/>
  <c r="V584" i="674"/>
  <c r="W584" i="674" s="1"/>
  <c r="N584" i="674"/>
  <c r="O584" i="674" s="1"/>
  <c r="CX583" i="674"/>
  <c r="CY583" i="674" s="1"/>
  <c r="CP583" i="674"/>
  <c r="CQ583" i="674" s="1"/>
  <c r="CH583" i="674"/>
  <c r="CI583" i="674" s="1"/>
  <c r="BZ583" i="674"/>
  <c r="CA583" i="674" s="1"/>
  <c r="BR583" i="674"/>
  <c r="BS583" i="674" s="1"/>
  <c r="BJ583" i="674"/>
  <c r="BK583" i="674" s="1"/>
  <c r="BB583" i="674"/>
  <c r="BC583" i="674" s="1"/>
  <c r="AT583" i="674"/>
  <c r="AU583" i="674" s="1"/>
  <c r="AL583" i="674"/>
  <c r="AM583" i="674" s="1"/>
  <c r="AD583" i="674"/>
  <c r="AE583" i="674" s="1"/>
  <c r="V583" i="674"/>
  <c r="W583" i="674" s="1"/>
  <c r="N583" i="674"/>
  <c r="O583" i="674" s="1"/>
  <c r="CX582" i="674"/>
  <c r="CY582" i="674" s="1"/>
  <c r="CP582" i="674"/>
  <c r="CQ582" i="674" s="1"/>
  <c r="CH582" i="674"/>
  <c r="CI582" i="674" s="1"/>
  <c r="BZ582" i="674"/>
  <c r="CA582" i="674" s="1"/>
  <c r="BR582" i="674"/>
  <c r="BS582" i="674" s="1"/>
  <c r="BJ582" i="674"/>
  <c r="BK582" i="674" s="1"/>
  <c r="BB582" i="674"/>
  <c r="BC582" i="674" s="1"/>
  <c r="AT582" i="674"/>
  <c r="AU582" i="674" s="1"/>
  <c r="AL582" i="674"/>
  <c r="AM582" i="674" s="1"/>
  <c r="AD582" i="674"/>
  <c r="AE582" i="674" s="1"/>
  <c r="V582" i="674"/>
  <c r="W582" i="674" s="1"/>
  <c r="N582" i="674"/>
  <c r="O582" i="674" s="1"/>
  <c r="CX581" i="674"/>
  <c r="CY581" i="674" s="1"/>
  <c r="CP581" i="674"/>
  <c r="CQ581" i="674" s="1"/>
  <c r="CH581" i="674"/>
  <c r="CI581" i="674" s="1"/>
  <c r="BZ581" i="674"/>
  <c r="CA581" i="674" s="1"/>
  <c r="BR581" i="674"/>
  <c r="BS581" i="674" s="1"/>
  <c r="BJ581" i="674"/>
  <c r="BK581" i="674" s="1"/>
  <c r="BB581" i="674"/>
  <c r="BC581" i="674" s="1"/>
  <c r="AT581" i="674"/>
  <c r="AU581" i="674" s="1"/>
  <c r="AL581" i="674"/>
  <c r="AM581" i="674" s="1"/>
  <c r="AD581" i="674"/>
  <c r="AE581" i="674" s="1"/>
  <c r="V581" i="674"/>
  <c r="W581" i="674" s="1"/>
  <c r="N581" i="674"/>
  <c r="O581" i="674" s="1"/>
  <c r="CX580" i="674"/>
  <c r="CY580" i="674" s="1"/>
  <c r="CP580" i="674"/>
  <c r="CQ580" i="674" s="1"/>
  <c r="CH580" i="674"/>
  <c r="CI580" i="674" s="1"/>
  <c r="BZ580" i="674"/>
  <c r="CA580" i="674" s="1"/>
  <c r="BR580" i="674"/>
  <c r="BS580" i="674" s="1"/>
  <c r="BJ580" i="674"/>
  <c r="BK580" i="674" s="1"/>
  <c r="BB580" i="674"/>
  <c r="BC580" i="674" s="1"/>
  <c r="AT580" i="674"/>
  <c r="AU580" i="674" s="1"/>
  <c r="AL580" i="674"/>
  <c r="AM580" i="674" s="1"/>
  <c r="AD580" i="674"/>
  <c r="AE580" i="674" s="1"/>
  <c r="V580" i="674"/>
  <c r="W580" i="674" s="1"/>
  <c r="N580" i="674"/>
  <c r="O580" i="674" s="1"/>
  <c r="CX579" i="674"/>
  <c r="CY579" i="674" s="1"/>
  <c r="CP579" i="674"/>
  <c r="CQ579" i="674" s="1"/>
  <c r="CH579" i="674"/>
  <c r="CI579" i="674" s="1"/>
  <c r="BZ579" i="674"/>
  <c r="CA579" i="674" s="1"/>
  <c r="BR579" i="674"/>
  <c r="BS579" i="674" s="1"/>
  <c r="BJ579" i="674"/>
  <c r="BK579" i="674" s="1"/>
  <c r="BB579" i="674"/>
  <c r="BC579" i="674" s="1"/>
  <c r="AT579" i="674"/>
  <c r="AU579" i="674" s="1"/>
  <c r="AL579" i="674"/>
  <c r="AM579" i="674" s="1"/>
  <c r="AD579" i="674"/>
  <c r="AE579" i="674" s="1"/>
  <c r="V579" i="674"/>
  <c r="W579" i="674" s="1"/>
  <c r="N579" i="674"/>
  <c r="O579" i="674" s="1"/>
  <c r="CX578" i="674"/>
  <c r="CY578" i="674" s="1"/>
  <c r="CP578" i="674"/>
  <c r="CQ578" i="674" s="1"/>
  <c r="CH578" i="674"/>
  <c r="CI578" i="674" s="1"/>
  <c r="BZ578" i="674"/>
  <c r="CA578" i="674" s="1"/>
  <c r="BR578" i="674"/>
  <c r="BS578" i="674" s="1"/>
  <c r="BJ578" i="674"/>
  <c r="BK578" i="674" s="1"/>
  <c r="BB578" i="674"/>
  <c r="BC578" i="674" s="1"/>
  <c r="AT578" i="674"/>
  <c r="AU578" i="674" s="1"/>
  <c r="AL578" i="674"/>
  <c r="AM578" i="674" s="1"/>
  <c r="AD578" i="674"/>
  <c r="AE578" i="674" s="1"/>
  <c r="V578" i="674"/>
  <c r="W578" i="674" s="1"/>
  <c r="N578" i="674"/>
  <c r="O578" i="674" s="1"/>
  <c r="CX577" i="674"/>
  <c r="CY577" i="674" s="1"/>
  <c r="CP577" i="674"/>
  <c r="CQ577" i="674" s="1"/>
  <c r="CH577" i="674"/>
  <c r="CI577" i="674" s="1"/>
  <c r="BZ577" i="674"/>
  <c r="CA577" i="674" s="1"/>
  <c r="BR577" i="674"/>
  <c r="BS577" i="674" s="1"/>
  <c r="BJ577" i="674"/>
  <c r="BK577" i="674" s="1"/>
  <c r="BB577" i="674"/>
  <c r="BC577" i="674" s="1"/>
  <c r="AT577" i="674"/>
  <c r="AU577" i="674" s="1"/>
  <c r="AL577" i="674"/>
  <c r="AM577" i="674" s="1"/>
  <c r="AD577" i="674"/>
  <c r="AE577" i="674" s="1"/>
  <c r="V577" i="674"/>
  <c r="W577" i="674" s="1"/>
  <c r="N577" i="674"/>
  <c r="O577" i="674" s="1"/>
  <c r="CX576" i="674"/>
  <c r="CY576" i="674" s="1"/>
  <c r="CP576" i="674"/>
  <c r="CQ576" i="674" s="1"/>
  <c r="CH576" i="674"/>
  <c r="CI576" i="674" s="1"/>
  <c r="BZ576" i="674"/>
  <c r="CA576" i="674" s="1"/>
  <c r="BR576" i="674"/>
  <c r="BS576" i="674" s="1"/>
  <c r="BJ576" i="674"/>
  <c r="BK576" i="674" s="1"/>
  <c r="BB576" i="674"/>
  <c r="BC576" i="674" s="1"/>
  <c r="AT576" i="674"/>
  <c r="AU576" i="674" s="1"/>
  <c r="AD576" i="674"/>
  <c r="AE576" i="674" s="1"/>
  <c r="V576" i="674"/>
  <c r="W576" i="674" s="1"/>
  <c r="N576" i="674"/>
  <c r="O576" i="674" s="1"/>
  <c r="CX575" i="674"/>
  <c r="CY575" i="674" s="1"/>
  <c r="CP575" i="674"/>
  <c r="CQ575" i="674" s="1"/>
  <c r="CH575" i="674"/>
  <c r="CI575" i="674" s="1"/>
  <c r="BZ575" i="674"/>
  <c r="CA575" i="674" s="1"/>
  <c r="BR575" i="674"/>
  <c r="BS575" i="674" s="1"/>
  <c r="BJ575" i="674"/>
  <c r="BK575" i="674" s="1"/>
  <c r="BB575" i="674"/>
  <c r="BC575" i="674" s="1"/>
  <c r="AT575" i="674"/>
  <c r="AU575" i="674" s="1"/>
  <c r="AL575" i="674"/>
  <c r="AM575" i="674" s="1"/>
  <c r="AD575" i="674"/>
  <c r="AE575" i="674" s="1"/>
  <c r="V575" i="674"/>
  <c r="W575" i="674" s="1"/>
  <c r="N575" i="674"/>
  <c r="O575" i="674" s="1"/>
  <c r="CX574" i="674"/>
  <c r="CY574" i="674" s="1"/>
  <c r="CP574" i="674"/>
  <c r="CQ574" i="674" s="1"/>
  <c r="CH574" i="674"/>
  <c r="CI574" i="674" s="1"/>
  <c r="BZ574" i="674"/>
  <c r="CA574" i="674" s="1"/>
  <c r="BR574" i="674"/>
  <c r="BS574" i="674" s="1"/>
  <c r="BJ574" i="674"/>
  <c r="BK574" i="674" s="1"/>
  <c r="BB574" i="674"/>
  <c r="BC574" i="674" s="1"/>
  <c r="AT574" i="674"/>
  <c r="AU574" i="674" s="1"/>
  <c r="AL574" i="674"/>
  <c r="AM574" i="674" s="1"/>
  <c r="AD574" i="674"/>
  <c r="AE574" i="674" s="1"/>
  <c r="V574" i="674"/>
  <c r="W574" i="674" s="1"/>
  <c r="N574" i="674"/>
  <c r="O574" i="674" s="1"/>
  <c r="CX573" i="674"/>
  <c r="CY573" i="674" s="1"/>
  <c r="CP573" i="674"/>
  <c r="CQ573" i="674" s="1"/>
  <c r="CH573" i="674"/>
  <c r="CI573" i="674" s="1"/>
  <c r="BZ573" i="674"/>
  <c r="CA573" i="674" s="1"/>
  <c r="BR573" i="674"/>
  <c r="BS573" i="674" s="1"/>
  <c r="BJ573" i="674"/>
  <c r="BK573" i="674" s="1"/>
  <c r="BB573" i="674"/>
  <c r="BC573" i="674" s="1"/>
  <c r="AT573" i="674"/>
  <c r="AU573" i="674" s="1"/>
  <c r="AL573" i="674"/>
  <c r="AM573" i="674" s="1"/>
  <c r="AD573" i="674"/>
  <c r="AE573" i="674" s="1"/>
  <c r="V573" i="674"/>
  <c r="W573" i="674" s="1"/>
  <c r="N573" i="674"/>
  <c r="O573" i="674" s="1"/>
  <c r="CX572" i="674"/>
  <c r="CY572" i="674" s="1"/>
  <c r="CP572" i="674"/>
  <c r="CQ572" i="674" s="1"/>
  <c r="CH572" i="674"/>
  <c r="CI572" i="674" s="1"/>
  <c r="BZ572" i="674"/>
  <c r="CA572" i="674" s="1"/>
  <c r="BR572" i="674"/>
  <c r="BS572" i="674" s="1"/>
  <c r="BJ572" i="674"/>
  <c r="BK572" i="674" s="1"/>
  <c r="BB572" i="674"/>
  <c r="BC572" i="674" s="1"/>
  <c r="AT572" i="674"/>
  <c r="AU572" i="674" s="1"/>
  <c r="AL572" i="674"/>
  <c r="AM572" i="674" s="1"/>
  <c r="AD572" i="674"/>
  <c r="AE572" i="674" s="1"/>
  <c r="V572" i="674"/>
  <c r="W572" i="674" s="1"/>
  <c r="N572" i="674"/>
  <c r="O572" i="674" s="1"/>
  <c r="CX571" i="674"/>
  <c r="CY571" i="674" s="1"/>
  <c r="CP571" i="674"/>
  <c r="CQ571" i="674" s="1"/>
  <c r="CH571" i="674"/>
  <c r="CI571" i="674" s="1"/>
  <c r="BZ571" i="674"/>
  <c r="CA571" i="674" s="1"/>
  <c r="BR571" i="674"/>
  <c r="BS571" i="674" s="1"/>
  <c r="BJ571" i="674"/>
  <c r="BK571" i="674" s="1"/>
  <c r="BB571" i="674"/>
  <c r="BC571" i="674" s="1"/>
  <c r="AT571" i="674"/>
  <c r="AU571" i="674" s="1"/>
  <c r="AL571" i="674"/>
  <c r="AM571" i="674" s="1"/>
  <c r="AD571" i="674"/>
  <c r="AE571" i="674" s="1"/>
  <c r="V571" i="674"/>
  <c r="W571" i="674" s="1"/>
  <c r="N571" i="674"/>
  <c r="O571" i="674" s="1"/>
  <c r="CX570" i="674"/>
  <c r="CY570" i="674" s="1"/>
  <c r="CP570" i="674"/>
  <c r="CQ570" i="674" s="1"/>
  <c r="CH570" i="674"/>
  <c r="CI570" i="674" s="1"/>
  <c r="BZ570" i="674"/>
  <c r="CA570" i="674" s="1"/>
  <c r="BR570" i="674"/>
  <c r="BS570" i="674" s="1"/>
  <c r="BJ570" i="674"/>
  <c r="BK570" i="674" s="1"/>
  <c r="BB570" i="674"/>
  <c r="BC570" i="674" s="1"/>
  <c r="AT570" i="674"/>
  <c r="AU570" i="674" s="1"/>
  <c r="AL570" i="674"/>
  <c r="AM570" i="674" s="1"/>
  <c r="AD570" i="674"/>
  <c r="AE570" i="674" s="1"/>
  <c r="V570" i="674"/>
  <c r="W570" i="674" s="1"/>
  <c r="N570" i="674"/>
  <c r="O570" i="674" s="1"/>
  <c r="CX569" i="674"/>
  <c r="CY569" i="674" s="1"/>
  <c r="CP569" i="674"/>
  <c r="CQ569" i="674" s="1"/>
  <c r="CH569" i="674"/>
  <c r="CI569" i="674" s="1"/>
  <c r="BZ569" i="674"/>
  <c r="CA569" i="674" s="1"/>
  <c r="BR569" i="674"/>
  <c r="BS569" i="674" s="1"/>
  <c r="BJ569" i="674"/>
  <c r="BK569" i="674" s="1"/>
  <c r="BB569" i="674"/>
  <c r="BC569" i="674" s="1"/>
  <c r="AT569" i="674"/>
  <c r="AU569" i="674" s="1"/>
  <c r="AL569" i="674"/>
  <c r="AM569" i="674" s="1"/>
  <c r="AD569" i="674"/>
  <c r="AE569" i="674" s="1"/>
  <c r="V569" i="674"/>
  <c r="W569" i="674" s="1"/>
  <c r="N569" i="674"/>
  <c r="O569" i="674" s="1"/>
  <c r="CX568" i="674"/>
  <c r="CY568" i="674" s="1"/>
  <c r="CP568" i="674"/>
  <c r="CQ568" i="674" s="1"/>
  <c r="CH568" i="674"/>
  <c r="CI568" i="674" s="1"/>
  <c r="BZ568" i="674"/>
  <c r="CA568" i="674" s="1"/>
  <c r="BR568" i="674"/>
  <c r="BS568" i="674" s="1"/>
  <c r="BJ568" i="674"/>
  <c r="BK568" i="674" s="1"/>
  <c r="BB568" i="674"/>
  <c r="BC568" i="674" s="1"/>
  <c r="AT568" i="674"/>
  <c r="AU568" i="674" s="1"/>
  <c r="AL568" i="674"/>
  <c r="AM568" i="674" s="1"/>
  <c r="AD568" i="674"/>
  <c r="AE568" i="674" s="1"/>
  <c r="V568" i="674"/>
  <c r="W568" i="674" s="1"/>
  <c r="N568" i="674"/>
  <c r="O568" i="674" s="1"/>
  <c r="CX567" i="674"/>
  <c r="CY567" i="674" s="1"/>
  <c r="CP567" i="674"/>
  <c r="CQ567" i="674" s="1"/>
  <c r="CH567" i="674"/>
  <c r="CI567" i="674" s="1"/>
  <c r="BZ567" i="674"/>
  <c r="CA567" i="674" s="1"/>
  <c r="BR567" i="674"/>
  <c r="BS567" i="674" s="1"/>
  <c r="BJ567" i="674"/>
  <c r="BK567" i="674" s="1"/>
  <c r="BB567" i="674"/>
  <c r="BC567" i="674" s="1"/>
  <c r="AT567" i="674"/>
  <c r="AU567" i="674" s="1"/>
  <c r="AL567" i="674"/>
  <c r="AM567" i="674" s="1"/>
  <c r="AD567" i="674"/>
  <c r="AE567" i="674" s="1"/>
  <c r="V567" i="674"/>
  <c r="W567" i="674" s="1"/>
  <c r="N567" i="674"/>
  <c r="O567" i="674" s="1"/>
  <c r="CX566" i="674"/>
  <c r="CY566" i="674" s="1"/>
  <c r="CP566" i="674"/>
  <c r="CQ566" i="674" s="1"/>
  <c r="CH566" i="674"/>
  <c r="CI566" i="674" s="1"/>
  <c r="BZ566" i="674"/>
  <c r="CA566" i="674" s="1"/>
  <c r="BR566" i="674"/>
  <c r="BS566" i="674" s="1"/>
  <c r="BJ566" i="674"/>
  <c r="BK566" i="674" s="1"/>
  <c r="BB566" i="674"/>
  <c r="BC566" i="674" s="1"/>
  <c r="AT566" i="674"/>
  <c r="AU566" i="674" s="1"/>
  <c r="AL566" i="674"/>
  <c r="AM566" i="674" s="1"/>
  <c r="AD566" i="674"/>
  <c r="AE566" i="674" s="1"/>
  <c r="V566" i="674"/>
  <c r="W566" i="674" s="1"/>
  <c r="N566" i="674"/>
  <c r="O566" i="674" s="1"/>
  <c r="CX565" i="674"/>
  <c r="CY565" i="674" s="1"/>
  <c r="CP565" i="674"/>
  <c r="CQ565" i="674" s="1"/>
  <c r="CH565" i="674"/>
  <c r="CI565" i="674" s="1"/>
  <c r="BZ565" i="674"/>
  <c r="CA565" i="674" s="1"/>
  <c r="BR565" i="674"/>
  <c r="BS565" i="674" s="1"/>
  <c r="BJ565" i="674"/>
  <c r="BK565" i="674" s="1"/>
  <c r="BB565" i="674"/>
  <c r="BC565" i="674" s="1"/>
  <c r="AT565" i="674"/>
  <c r="AU565" i="674" s="1"/>
  <c r="AL565" i="674"/>
  <c r="AM565" i="674" s="1"/>
  <c r="AD565" i="674"/>
  <c r="AE565" i="674" s="1"/>
  <c r="V565" i="674"/>
  <c r="W565" i="674" s="1"/>
  <c r="N565" i="674"/>
  <c r="O565" i="674" s="1"/>
  <c r="CX564" i="674"/>
  <c r="CY564" i="674" s="1"/>
  <c r="CP564" i="674"/>
  <c r="CQ564" i="674" s="1"/>
  <c r="CH564" i="674"/>
  <c r="CI564" i="674" s="1"/>
  <c r="BZ564" i="674"/>
  <c r="CA564" i="674" s="1"/>
  <c r="BR564" i="674"/>
  <c r="BS564" i="674" s="1"/>
  <c r="BJ564" i="674"/>
  <c r="BK564" i="674" s="1"/>
  <c r="BB564" i="674"/>
  <c r="BC564" i="674" s="1"/>
  <c r="AT564" i="674"/>
  <c r="AU564" i="674" s="1"/>
  <c r="AL564" i="674"/>
  <c r="AM564" i="674" s="1"/>
  <c r="AD564" i="674"/>
  <c r="AE564" i="674" s="1"/>
  <c r="V564" i="674"/>
  <c r="W564" i="674" s="1"/>
  <c r="N564" i="674"/>
  <c r="O564" i="674" s="1"/>
  <c r="CX563" i="674"/>
  <c r="CY563" i="674" s="1"/>
  <c r="CP563" i="674"/>
  <c r="CQ563" i="674" s="1"/>
  <c r="CH563" i="674"/>
  <c r="CI563" i="674" s="1"/>
  <c r="BZ563" i="674"/>
  <c r="CA563" i="674" s="1"/>
  <c r="BR563" i="674"/>
  <c r="BS563" i="674" s="1"/>
  <c r="BJ563" i="674"/>
  <c r="BK563" i="674" s="1"/>
  <c r="BB563" i="674"/>
  <c r="BC563" i="674" s="1"/>
  <c r="AT563" i="674"/>
  <c r="AU563" i="674" s="1"/>
  <c r="AL563" i="674"/>
  <c r="AM563" i="674" s="1"/>
  <c r="AD563" i="674"/>
  <c r="AE563" i="674" s="1"/>
  <c r="V563" i="674"/>
  <c r="W563" i="674" s="1"/>
  <c r="N563" i="674"/>
  <c r="O563" i="674" s="1"/>
  <c r="CX562" i="674"/>
  <c r="CY562" i="674" s="1"/>
  <c r="CP562" i="674"/>
  <c r="CQ562" i="674" s="1"/>
  <c r="CH562" i="674"/>
  <c r="CI562" i="674" s="1"/>
  <c r="BZ562" i="674"/>
  <c r="CA562" i="674" s="1"/>
  <c r="BR562" i="674"/>
  <c r="BS562" i="674" s="1"/>
  <c r="BJ562" i="674"/>
  <c r="BK562" i="674" s="1"/>
  <c r="BB562" i="674"/>
  <c r="BC562" i="674" s="1"/>
  <c r="AT562" i="674"/>
  <c r="AU562" i="674" s="1"/>
  <c r="AL562" i="674"/>
  <c r="AM562" i="674" s="1"/>
  <c r="AD562" i="674"/>
  <c r="AE562" i="674" s="1"/>
  <c r="V562" i="674"/>
  <c r="W562" i="674" s="1"/>
  <c r="N562" i="674"/>
  <c r="O562" i="674" s="1"/>
  <c r="CX561" i="674"/>
  <c r="CY561" i="674" s="1"/>
  <c r="CP561" i="674"/>
  <c r="CQ561" i="674" s="1"/>
  <c r="CH561" i="674"/>
  <c r="CI561" i="674" s="1"/>
  <c r="BZ561" i="674"/>
  <c r="CA561" i="674" s="1"/>
  <c r="BR561" i="674"/>
  <c r="BS561" i="674" s="1"/>
  <c r="BJ561" i="674"/>
  <c r="BK561" i="674" s="1"/>
  <c r="BB561" i="674"/>
  <c r="BC561" i="674" s="1"/>
  <c r="AT561" i="674"/>
  <c r="AU561" i="674" s="1"/>
  <c r="AL561" i="674"/>
  <c r="AM561" i="674" s="1"/>
  <c r="AD561" i="674"/>
  <c r="AE561" i="674" s="1"/>
  <c r="V561" i="674"/>
  <c r="W561" i="674" s="1"/>
  <c r="N561" i="674"/>
  <c r="O561" i="674" s="1"/>
  <c r="CX560" i="674"/>
  <c r="CY560" i="674" s="1"/>
  <c r="CP560" i="674"/>
  <c r="CQ560" i="674" s="1"/>
  <c r="CH560" i="674"/>
  <c r="CI560" i="674" s="1"/>
  <c r="BZ560" i="674"/>
  <c r="CA560" i="674" s="1"/>
  <c r="BR560" i="674"/>
  <c r="BS560" i="674" s="1"/>
  <c r="BJ560" i="674"/>
  <c r="BK560" i="674" s="1"/>
  <c r="BB560" i="674"/>
  <c r="BC560" i="674" s="1"/>
  <c r="AT560" i="674"/>
  <c r="AU560" i="674" s="1"/>
  <c r="AL560" i="674"/>
  <c r="AM560" i="674" s="1"/>
  <c r="AD560" i="674"/>
  <c r="AE560" i="674" s="1"/>
  <c r="V560" i="674"/>
  <c r="W560" i="674" s="1"/>
  <c r="N560" i="674"/>
  <c r="O560" i="674" s="1"/>
  <c r="CX559" i="674"/>
  <c r="CY559" i="674" s="1"/>
  <c r="CP559" i="674"/>
  <c r="CQ559" i="674" s="1"/>
  <c r="CH559" i="674"/>
  <c r="CI559" i="674" s="1"/>
  <c r="BZ559" i="674"/>
  <c r="CA559" i="674" s="1"/>
  <c r="BR559" i="674"/>
  <c r="BS559" i="674" s="1"/>
  <c r="BJ559" i="674"/>
  <c r="BK559" i="674" s="1"/>
  <c r="BB559" i="674"/>
  <c r="BC559" i="674" s="1"/>
  <c r="AT559" i="674"/>
  <c r="AU559" i="674" s="1"/>
  <c r="AL559" i="674"/>
  <c r="AM559" i="674" s="1"/>
  <c r="AD559" i="674"/>
  <c r="AE559" i="674" s="1"/>
  <c r="V559" i="674"/>
  <c r="W559" i="674" s="1"/>
  <c r="N559" i="674"/>
  <c r="O559" i="674" s="1"/>
  <c r="CX558" i="674"/>
  <c r="CY558" i="674" s="1"/>
  <c r="CP558" i="674"/>
  <c r="CQ558" i="674" s="1"/>
  <c r="CH558" i="674"/>
  <c r="CI558" i="674" s="1"/>
  <c r="BZ558" i="674"/>
  <c r="CA558" i="674" s="1"/>
  <c r="BR558" i="674"/>
  <c r="BS558" i="674" s="1"/>
  <c r="BJ558" i="674"/>
  <c r="BK558" i="674" s="1"/>
  <c r="BB558" i="674"/>
  <c r="BC558" i="674" s="1"/>
  <c r="AT558" i="674"/>
  <c r="AU558" i="674" s="1"/>
  <c r="AL558" i="674"/>
  <c r="AM558" i="674" s="1"/>
  <c r="AD558" i="674"/>
  <c r="AE558" i="674" s="1"/>
  <c r="V558" i="674"/>
  <c r="W558" i="674" s="1"/>
  <c r="N558" i="674"/>
  <c r="O558" i="674" s="1"/>
  <c r="CX557" i="674"/>
  <c r="CY557" i="674" s="1"/>
  <c r="CP557" i="674"/>
  <c r="CQ557" i="674" s="1"/>
  <c r="CH557" i="674"/>
  <c r="CI557" i="674" s="1"/>
  <c r="BZ557" i="674"/>
  <c r="CA557" i="674" s="1"/>
  <c r="BR557" i="674"/>
  <c r="BS557" i="674" s="1"/>
  <c r="BJ557" i="674"/>
  <c r="BK557" i="674" s="1"/>
  <c r="BB557" i="674"/>
  <c r="BC557" i="674" s="1"/>
  <c r="AT557" i="674"/>
  <c r="AU557" i="674" s="1"/>
  <c r="AL557" i="674"/>
  <c r="AM557" i="674" s="1"/>
  <c r="AD557" i="674"/>
  <c r="AE557" i="674" s="1"/>
  <c r="V557" i="674"/>
  <c r="W557" i="674" s="1"/>
  <c r="N557" i="674"/>
  <c r="O557" i="674" s="1"/>
  <c r="CX556" i="674"/>
  <c r="CY556" i="674" s="1"/>
  <c r="CP556" i="674"/>
  <c r="CQ556" i="674" s="1"/>
  <c r="CH556" i="674"/>
  <c r="CI556" i="674" s="1"/>
  <c r="BZ556" i="674"/>
  <c r="CA556" i="674" s="1"/>
  <c r="BR556" i="674"/>
  <c r="BS556" i="674" s="1"/>
  <c r="BJ556" i="674"/>
  <c r="BK556" i="674" s="1"/>
  <c r="BB556" i="674"/>
  <c r="BC556" i="674" s="1"/>
  <c r="AT556" i="674"/>
  <c r="AU556" i="674" s="1"/>
  <c r="AL556" i="674"/>
  <c r="AM556" i="674" s="1"/>
  <c r="AD556" i="674"/>
  <c r="AE556" i="674" s="1"/>
  <c r="V556" i="674"/>
  <c r="W556" i="674" s="1"/>
  <c r="N556" i="674"/>
  <c r="O556" i="674" s="1"/>
  <c r="CX555" i="674"/>
  <c r="CY555" i="674" s="1"/>
  <c r="CP555" i="674"/>
  <c r="CQ555" i="674" s="1"/>
  <c r="CH555" i="674"/>
  <c r="CI555" i="674" s="1"/>
  <c r="BZ555" i="674"/>
  <c r="CA555" i="674" s="1"/>
  <c r="BR555" i="674"/>
  <c r="BS555" i="674" s="1"/>
  <c r="BJ555" i="674"/>
  <c r="BK555" i="674" s="1"/>
  <c r="BB555" i="674"/>
  <c r="BC555" i="674" s="1"/>
  <c r="AT555" i="674"/>
  <c r="AU555" i="674" s="1"/>
  <c r="AL555" i="674"/>
  <c r="AM555" i="674" s="1"/>
  <c r="AD555" i="674"/>
  <c r="AE555" i="674" s="1"/>
  <c r="V555" i="674"/>
  <c r="W555" i="674" s="1"/>
  <c r="N555" i="674"/>
  <c r="O555" i="674" s="1"/>
  <c r="CX554" i="674"/>
  <c r="CY554" i="674" s="1"/>
  <c r="CP554" i="674"/>
  <c r="CQ554" i="674" s="1"/>
  <c r="CH554" i="674"/>
  <c r="CI554" i="674" s="1"/>
  <c r="BZ554" i="674"/>
  <c r="CA554" i="674" s="1"/>
  <c r="BR554" i="674"/>
  <c r="BS554" i="674" s="1"/>
  <c r="BJ554" i="674"/>
  <c r="BK554" i="674" s="1"/>
  <c r="BB554" i="674"/>
  <c r="BC554" i="674" s="1"/>
  <c r="AT554" i="674"/>
  <c r="AU554" i="674" s="1"/>
  <c r="AL554" i="674"/>
  <c r="AM554" i="674" s="1"/>
  <c r="AD554" i="674"/>
  <c r="AE554" i="674" s="1"/>
  <c r="V554" i="674"/>
  <c r="W554" i="674" s="1"/>
  <c r="N554" i="674"/>
  <c r="O554" i="674" s="1"/>
  <c r="CX553" i="674"/>
  <c r="CY553" i="674" s="1"/>
  <c r="CP553" i="674"/>
  <c r="CQ553" i="674" s="1"/>
  <c r="CH553" i="674"/>
  <c r="CI553" i="674" s="1"/>
  <c r="BZ553" i="674"/>
  <c r="CA553" i="674" s="1"/>
  <c r="BR553" i="674"/>
  <c r="BS553" i="674" s="1"/>
  <c r="BJ553" i="674"/>
  <c r="BK553" i="674" s="1"/>
  <c r="BB553" i="674"/>
  <c r="BC553" i="674" s="1"/>
  <c r="AT553" i="674"/>
  <c r="AU553" i="674" s="1"/>
  <c r="AL553" i="674"/>
  <c r="AM553" i="674" s="1"/>
  <c r="AD553" i="674"/>
  <c r="AE553" i="674" s="1"/>
  <c r="V553" i="674"/>
  <c r="W553" i="674" s="1"/>
  <c r="N553" i="674"/>
  <c r="O553" i="674" s="1"/>
  <c r="CX552" i="674"/>
  <c r="CY552" i="674" s="1"/>
  <c r="CP552" i="674"/>
  <c r="CQ552" i="674" s="1"/>
  <c r="CH552" i="674"/>
  <c r="CI552" i="674" s="1"/>
  <c r="BZ552" i="674"/>
  <c r="CA552" i="674" s="1"/>
  <c r="BR552" i="674"/>
  <c r="BS552" i="674" s="1"/>
  <c r="BJ552" i="674"/>
  <c r="BK552" i="674" s="1"/>
  <c r="BB552" i="674"/>
  <c r="BC552" i="674" s="1"/>
  <c r="AT552" i="674"/>
  <c r="AU552" i="674" s="1"/>
  <c r="AL552" i="674"/>
  <c r="AM552" i="674" s="1"/>
  <c r="AD552" i="674"/>
  <c r="AE552" i="674" s="1"/>
  <c r="V552" i="674"/>
  <c r="W552" i="674" s="1"/>
  <c r="N552" i="674"/>
  <c r="O552" i="674" s="1"/>
  <c r="CX551" i="674"/>
  <c r="CY551" i="674" s="1"/>
  <c r="CP551" i="674"/>
  <c r="CQ551" i="674" s="1"/>
  <c r="CH551" i="674"/>
  <c r="CI551" i="674" s="1"/>
  <c r="BZ551" i="674"/>
  <c r="CA551" i="674" s="1"/>
  <c r="BR551" i="674"/>
  <c r="BS551" i="674" s="1"/>
  <c r="BJ551" i="674"/>
  <c r="BK551" i="674" s="1"/>
  <c r="BB551" i="674"/>
  <c r="BC551" i="674" s="1"/>
  <c r="AT551" i="674"/>
  <c r="AU551" i="674" s="1"/>
  <c r="AL551" i="674"/>
  <c r="AM551" i="674" s="1"/>
  <c r="AD551" i="674"/>
  <c r="AE551" i="674" s="1"/>
  <c r="V551" i="674"/>
  <c r="W551" i="674" s="1"/>
  <c r="N551" i="674"/>
  <c r="O551" i="674" s="1"/>
  <c r="CX550" i="674"/>
  <c r="CY550" i="674" s="1"/>
  <c r="CP550" i="674"/>
  <c r="CQ550" i="674" s="1"/>
  <c r="CH550" i="674"/>
  <c r="CI550" i="674" s="1"/>
  <c r="BZ550" i="674"/>
  <c r="CA550" i="674" s="1"/>
  <c r="BR550" i="674"/>
  <c r="BS550" i="674" s="1"/>
  <c r="BJ550" i="674"/>
  <c r="BK550" i="674" s="1"/>
  <c r="BB550" i="674"/>
  <c r="BC550" i="674" s="1"/>
  <c r="AT550" i="674"/>
  <c r="AU550" i="674" s="1"/>
  <c r="AL550" i="674"/>
  <c r="AM550" i="674" s="1"/>
  <c r="AD550" i="674"/>
  <c r="AE550" i="674" s="1"/>
  <c r="V550" i="674"/>
  <c r="W550" i="674" s="1"/>
  <c r="N550" i="674"/>
  <c r="O550" i="674" s="1"/>
  <c r="CX549" i="674"/>
  <c r="CY549" i="674" s="1"/>
  <c r="CP549" i="674"/>
  <c r="CQ549" i="674" s="1"/>
  <c r="CH549" i="674"/>
  <c r="CI549" i="674" s="1"/>
  <c r="BZ549" i="674"/>
  <c r="CA549" i="674" s="1"/>
  <c r="BR549" i="674"/>
  <c r="BS549" i="674" s="1"/>
  <c r="BJ549" i="674"/>
  <c r="BK549" i="674" s="1"/>
  <c r="BB549" i="674"/>
  <c r="BC549" i="674" s="1"/>
  <c r="AT549" i="674"/>
  <c r="AU549" i="674" s="1"/>
  <c r="AL549" i="674"/>
  <c r="AM549" i="674" s="1"/>
  <c r="AD549" i="674"/>
  <c r="AE549" i="674" s="1"/>
  <c r="V549" i="674"/>
  <c r="W549" i="674" s="1"/>
  <c r="N549" i="674"/>
  <c r="O549" i="674" s="1"/>
  <c r="CX548" i="674"/>
  <c r="CY548" i="674" s="1"/>
  <c r="CP548" i="674"/>
  <c r="CQ548" i="674" s="1"/>
  <c r="CH548" i="674"/>
  <c r="CI548" i="674" s="1"/>
  <c r="BZ548" i="674"/>
  <c r="CA548" i="674" s="1"/>
  <c r="BR548" i="674"/>
  <c r="BS548" i="674" s="1"/>
  <c r="BJ548" i="674"/>
  <c r="BK548" i="674" s="1"/>
  <c r="BB548" i="674"/>
  <c r="BC548" i="674" s="1"/>
  <c r="AT548" i="674"/>
  <c r="AU548" i="674" s="1"/>
  <c r="AL548" i="674"/>
  <c r="AM548" i="674" s="1"/>
  <c r="AD548" i="674"/>
  <c r="AE548" i="674" s="1"/>
  <c r="V548" i="674"/>
  <c r="W548" i="674" s="1"/>
  <c r="N548" i="674"/>
  <c r="O548" i="674" s="1"/>
  <c r="CX547" i="674"/>
  <c r="CY547" i="674" s="1"/>
  <c r="CP547" i="674"/>
  <c r="CQ547" i="674" s="1"/>
  <c r="CH547" i="674"/>
  <c r="CI547" i="674" s="1"/>
  <c r="BZ547" i="674"/>
  <c r="CA547" i="674" s="1"/>
  <c r="BR547" i="674"/>
  <c r="BS547" i="674" s="1"/>
  <c r="BJ547" i="674"/>
  <c r="BK547" i="674" s="1"/>
  <c r="BB547" i="674"/>
  <c r="BC547" i="674" s="1"/>
  <c r="AT547" i="674"/>
  <c r="AU547" i="674" s="1"/>
  <c r="AL547" i="674"/>
  <c r="AM547" i="674" s="1"/>
  <c r="AD547" i="674"/>
  <c r="AE547" i="674" s="1"/>
  <c r="V547" i="674"/>
  <c r="W547" i="674" s="1"/>
  <c r="N547" i="674"/>
  <c r="O547" i="674" s="1"/>
  <c r="CX546" i="674"/>
  <c r="CY546" i="674" s="1"/>
  <c r="CP546" i="674"/>
  <c r="CQ546" i="674" s="1"/>
  <c r="CH546" i="674"/>
  <c r="CI546" i="674" s="1"/>
  <c r="BZ546" i="674"/>
  <c r="CA546" i="674" s="1"/>
  <c r="BR546" i="674"/>
  <c r="BS546" i="674" s="1"/>
  <c r="BJ546" i="674"/>
  <c r="BK546" i="674" s="1"/>
  <c r="BB546" i="674"/>
  <c r="BC546" i="674" s="1"/>
  <c r="AT546" i="674"/>
  <c r="AU546" i="674" s="1"/>
  <c r="AL546" i="674"/>
  <c r="AM546" i="674" s="1"/>
  <c r="AD546" i="674"/>
  <c r="AE546" i="674" s="1"/>
  <c r="V546" i="674"/>
  <c r="W546" i="674" s="1"/>
  <c r="N546" i="674"/>
  <c r="O546" i="674" s="1"/>
  <c r="CX545" i="674"/>
  <c r="CY545" i="674" s="1"/>
  <c r="CP545" i="674"/>
  <c r="CQ545" i="674" s="1"/>
  <c r="CH545" i="674"/>
  <c r="CI545" i="674" s="1"/>
  <c r="BZ545" i="674"/>
  <c r="CA545" i="674" s="1"/>
  <c r="BR545" i="674"/>
  <c r="BS545" i="674" s="1"/>
  <c r="BJ545" i="674"/>
  <c r="BK545" i="674" s="1"/>
  <c r="BB545" i="674"/>
  <c r="BC545" i="674" s="1"/>
  <c r="AT545" i="674"/>
  <c r="AU545" i="674" s="1"/>
  <c r="AL545" i="674"/>
  <c r="AM545" i="674" s="1"/>
  <c r="AD545" i="674"/>
  <c r="AE545" i="674" s="1"/>
  <c r="V545" i="674"/>
  <c r="W545" i="674" s="1"/>
  <c r="N545" i="674"/>
  <c r="O545" i="674" s="1"/>
  <c r="CX544" i="674"/>
  <c r="CY544" i="674" s="1"/>
  <c r="CP544" i="674"/>
  <c r="CQ544" i="674" s="1"/>
  <c r="CH544" i="674"/>
  <c r="CI544" i="674" s="1"/>
  <c r="BZ544" i="674"/>
  <c r="CA544" i="674" s="1"/>
  <c r="BR544" i="674"/>
  <c r="BS544" i="674" s="1"/>
  <c r="BJ544" i="674"/>
  <c r="BK544" i="674" s="1"/>
  <c r="BB544" i="674"/>
  <c r="BC544" i="674" s="1"/>
  <c r="AT544" i="674"/>
  <c r="AU544" i="674" s="1"/>
  <c r="AL544" i="674"/>
  <c r="AM544" i="674" s="1"/>
  <c r="AD544" i="674"/>
  <c r="AE544" i="674" s="1"/>
  <c r="V544" i="674"/>
  <c r="W544" i="674" s="1"/>
  <c r="N544" i="674"/>
  <c r="O544" i="674" s="1"/>
  <c r="CX543" i="674"/>
  <c r="CY543" i="674" s="1"/>
  <c r="CP543" i="674"/>
  <c r="CQ543" i="674" s="1"/>
  <c r="CH543" i="674"/>
  <c r="CI543" i="674" s="1"/>
  <c r="BZ543" i="674"/>
  <c r="CA543" i="674" s="1"/>
  <c r="BR543" i="674"/>
  <c r="BS543" i="674" s="1"/>
  <c r="BJ543" i="674"/>
  <c r="BK543" i="674" s="1"/>
  <c r="BB543" i="674"/>
  <c r="BC543" i="674" s="1"/>
  <c r="AT543" i="674"/>
  <c r="AU543" i="674" s="1"/>
  <c r="AL543" i="674"/>
  <c r="AM543" i="674" s="1"/>
  <c r="AD543" i="674"/>
  <c r="AE543" i="674" s="1"/>
  <c r="V543" i="674"/>
  <c r="W543" i="674" s="1"/>
  <c r="N543" i="674"/>
  <c r="O543" i="674" s="1"/>
  <c r="CX542" i="674"/>
  <c r="CY542" i="674" s="1"/>
  <c r="CP542" i="674"/>
  <c r="CQ542" i="674" s="1"/>
  <c r="CH542" i="674"/>
  <c r="CI542" i="674" s="1"/>
  <c r="BZ542" i="674"/>
  <c r="CA542" i="674" s="1"/>
  <c r="BR542" i="674"/>
  <c r="BS542" i="674" s="1"/>
  <c r="BJ542" i="674"/>
  <c r="BK542" i="674" s="1"/>
  <c r="BB542" i="674"/>
  <c r="BC542" i="674" s="1"/>
  <c r="AT542" i="674"/>
  <c r="AU542" i="674" s="1"/>
  <c r="AL542" i="674"/>
  <c r="AM542" i="674" s="1"/>
  <c r="AD542" i="674"/>
  <c r="AE542" i="674" s="1"/>
  <c r="V542" i="674"/>
  <c r="W542" i="674" s="1"/>
  <c r="N542" i="674"/>
  <c r="O542" i="674" s="1"/>
  <c r="CX541" i="674"/>
  <c r="CY541" i="674" s="1"/>
  <c r="CP541" i="674"/>
  <c r="CQ541" i="674" s="1"/>
  <c r="CH541" i="674"/>
  <c r="CI541" i="674" s="1"/>
  <c r="BZ541" i="674"/>
  <c r="CA541" i="674" s="1"/>
  <c r="BR541" i="674"/>
  <c r="BS541" i="674" s="1"/>
  <c r="BJ541" i="674"/>
  <c r="BK541" i="674" s="1"/>
  <c r="BB541" i="674"/>
  <c r="BC541" i="674" s="1"/>
  <c r="AT541" i="674"/>
  <c r="AU541" i="674" s="1"/>
  <c r="AL541" i="674"/>
  <c r="AM541" i="674" s="1"/>
  <c r="AD541" i="674"/>
  <c r="AE541" i="674" s="1"/>
  <c r="V541" i="674"/>
  <c r="W541" i="674" s="1"/>
  <c r="N541" i="674"/>
  <c r="O541" i="674" s="1"/>
  <c r="CX540" i="674"/>
  <c r="CY540" i="674" s="1"/>
  <c r="CP540" i="674"/>
  <c r="CQ540" i="674" s="1"/>
  <c r="CH540" i="674"/>
  <c r="CI540" i="674" s="1"/>
  <c r="BZ540" i="674"/>
  <c r="CA540" i="674" s="1"/>
  <c r="BR540" i="674"/>
  <c r="BS540" i="674" s="1"/>
  <c r="BJ540" i="674"/>
  <c r="BK540" i="674" s="1"/>
  <c r="BB540" i="674"/>
  <c r="BC540" i="674" s="1"/>
  <c r="AT540" i="674"/>
  <c r="AU540" i="674" s="1"/>
  <c r="AL540" i="674"/>
  <c r="AM540" i="674" s="1"/>
  <c r="AD540" i="674"/>
  <c r="AE540" i="674" s="1"/>
  <c r="V540" i="674"/>
  <c r="W540" i="674" s="1"/>
  <c r="N540" i="674"/>
  <c r="O540" i="674" s="1"/>
  <c r="CX539" i="674"/>
  <c r="CY539" i="674" s="1"/>
  <c r="CP539" i="674"/>
  <c r="CQ539" i="674" s="1"/>
  <c r="CH539" i="674"/>
  <c r="CI539" i="674" s="1"/>
  <c r="BZ539" i="674"/>
  <c r="CA539" i="674" s="1"/>
  <c r="BR539" i="674"/>
  <c r="BS539" i="674" s="1"/>
  <c r="BJ539" i="674"/>
  <c r="BK539" i="674" s="1"/>
  <c r="BB539" i="674"/>
  <c r="BC539" i="674" s="1"/>
  <c r="AT539" i="674"/>
  <c r="AU539" i="674" s="1"/>
  <c r="AL539" i="674"/>
  <c r="AM539" i="674" s="1"/>
  <c r="AD539" i="674"/>
  <c r="AE539" i="674" s="1"/>
  <c r="V539" i="674"/>
  <c r="W539" i="674" s="1"/>
  <c r="N539" i="674"/>
  <c r="O539" i="674" s="1"/>
  <c r="CX538" i="674"/>
  <c r="CY538" i="674" s="1"/>
  <c r="CP538" i="674"/>
  <c r="CQ538" i="674" s="1"/>
  <c r="CH538" i="674"/>
  <c r="CI538" i="674" s="1"/>
  <c r="BZ538" i="674"/>
  <c r="CA538" i="674" s="1"/>
  <c r="BR538" i="674"/>
  <c r="BS538" i="674" s="1"/>
  <c r="BJ538" i="674"/>
  <c r="BK538" i="674" s="1"/>
  <c r="BB538" i="674"/>
  <c r="BC538" i="674" s="1"/>
  <c r="AT538" i="674"/>
  <c r="AU538" i="674" s="1"/>
  <c r="AL538" i="674"/>
  <c r="AM538" i="674" s="1"/>
  <c r="AD538" i="674"/>
  <c r="AE538" i="674" s="1"/>
  <c r="V538" i="674"/>
  <c r="W538" i="674" s="1"/>
  <c r="N538" i="674"/>
  <c r="O538" i="674" s="1"/>
  <c r="CX537" i="674"/>
  <c r="CY537" i="674" s="1"/>
  <c r="CP537" i="674"/>
  <c r="CQ537" i="674" s="1"/>
  <c r="CH537" i="674"/>
  <c r="CI537" i="674" s="1"/>
  <c r="BZ537" i="674"/>
  <c r="CA537" i="674" s="1"/>
  <c r="BR537" i="674"/>
  <c r="BS537" i="674" s="1"/>
  <c r="BJ537" i="674"/>
  <c r="BK537" i="674" s="1"/>
  <c r="BB537" i="674"/>
  <c r="BC537" i="674" s="1"/>
  <c r="AT537" i="674"/>
  <c r="AU537" i="674" s="1"/>
  <c r="AL537" i="674"/>
  <c r="AM537" i="674" s="1"/>
  <c r="AD537" i="674"/>
  <c r="AE537" i="674" s="1"/>
  <c r="V537" i="674"/>
  <c r="W537" i="674" s="1"/>
  <c r="N537" i="674"/>
  <c r="O537" i="674" s="1"/>
  <c r="CX536" i="674"/>
  <c r="CY536" i="674" s="1"/>
  <c r="CP536" i="674"/>
  <c r="CQ536" i="674" s="1"/>
  <c r="CH536" i="674"/>
  <c r="CI536" i="674" s="1"/>
  <c r="BZ536" i="674"/>
  <c r="CA536" i="674" s="1"/>
  <c r="BR536" i="674"/>
  <c r="BS536" i="674" s="1"/>
  <c r="BJ536" i="674"/>
  <c r="BK536" i="674" s="1"/>
  <c r="BB536" i="674"/>
  <c r="BC536" i="674" s="1"/>
  <c r="AT536" i="674"/>
  <c r="AU536" i="674" s="1"/>
  <c r="AL536" i="674"/>
  <c r="AM536" i="674" s="1"/>
  <c r="AD536" i="674"/>
  <c r="AE536" i="674" s="1"/>
  <c r="V536" i="674"/>
  <c r="W536" i="674" s="1"/>
  <c r="N536" i="674"/>
  <c r="O536" i="674" s="1"/>
  <c r="CX535" i="674"/>
  <c r="CY535" i="674" s="1"/>
  <c r="CP535" i="674"/>
  <c r="CQ535" i="674" s="1"/>
  <c r="CH535" i="674"/>
  <c r="CI535" i="674" s="1"/>
  <c r="BZ535" i="674"/>
  <c r="CA535" i="674" s="1"/>
  <c r="BR535" i="674"/>
  <c r="BS535" i="674" s="1"/>
  <c r="BJ535" i="674"/>
  <c r="BK535" i="674" s="1"/>
  <c r="BB535" i="674"/>
  <c r="BC535" i="674" s="1"/>
  <c r="AT535" i="674"/>
  <c r="AU535" i="674" s="1"/>
  <c r="AL535" i="674"/>
  <c r="AM535" i="674" s="1"/>
  <c r="AD535" i="674"/>
  <c r="AE535" i="674" s="1"/>
  <c r="V535" i="674"/>
  <c r="W535" i="674" s="1"/>
  <c r="N535" i="674"/>
  <c r="O535" i="674" s="1"/>
  <c r="CX534" i="674"/>
  <c r="CY534" i="674" s="1"/>
  <c r="CP534" i="674"/>
  <c r="CQ534" i="674" s="1"/>
  <c r="CH534" i="674"/>
  <c r="CI534" i="674" s="1"/>
  <c r="BZ534" i="674"/>
  <c r="CA534" i="674" s="1"/>
  <c r="BR534" i="674"/>
  <c r="BS534" i="674" s="1"/>
  <c r="BJ534" i="674"/>
  <c r="BK534" i="674" s="1"/>
  <c r="BB534" i="674"/>
  <c r="BC534" i="674" s="1"/>
  <c r="AT534" i="674"/>
  <c r="AU534" i="674" s="1"/>
  <c r="AL534" i="674"/>
  <c r="AM534" i="674" s="1"/>
  <c r="AD534" i="674"/>
  <c r="AE534" i="674" s="1"/>
  <c r="V534" i="674"/>
  <c r="W534" i="674" s="1"/>
  <c r="N534" i="674"/>
  <c r="O534" i="674" s="1"/>
  <c r="CX533" i="674"/>
  <c r="CY533" i="674" s="1"/>
  <c r="CP533" i="674"/>
  <c r="CQ533" i="674" s="1"/>
  <c r="CH533" i="674"/>
  <c r="CI533" i="674" s="1"/>
  <c r="BZ533" i="674"/>
  <c r="CA533" i="674" s="1"/>
  <c r="BR533" i="674"/>
  <c r="BS533" i="674" s="1"/>
  <c r="BJ533" i="674"/>
  <c r="BK533" i="674" s="1"/>
  <c r="BB533" i="674"/>
  <c r="BC533" i="674" s="1"/>
  <c r="AT533" i="674"/>
  <c r="AU533" i="674" s="1"/>
  <c r="AL533" i="674"/>
  <c r="AM533" i="674" s="1"/>
  <c r="AD533" i="674"/>
  <c r="AE533" i="674" s="1"/>
  <c r="V533" i="674"/>
  <c r="W533" i="674" s="1"/>
  <c r="N533" i="674"/>
  <c r="O533" i="674" s="1"/>
  <c r="CX532" i="674"/>
  <c r="CY532" i="674" s="1"/>
  <c r="CP532" i="674"/>
  <c r="CQ532" i="674" s="1"/>
  <c r="CH532" i="674"/>
  <c r="CI532" i="674" s="1"/>
  <c r="BZ532" i="674"/>
  <c r="CA532" i="674" s="1"/>
  <c r="BR532" i="674"/>
  <c r="BS532" i="674" s="1"/>
  <c r="BJ532" i="674"/>
  <c r="BK532" i="674" s="1"/>
  <c r="BB532" i="674"/>
  <c r="BC532" i="674" s="1"/>
  <c r="AT532" i="674"/>
  <c r="AU532" i="674" s="1"/>
  <c r="AL532" i="674"/>
  <c r="AM532" i="674" s="1"/>
  <c r="AD532" i="674"/>
  <c r="AE532" i="674" s="1"/>
  <c r="V532" i="674"/>
  <c r="W532" i="674" s="1"/>
  <c r="N532" i="674"/>
  <c r="O532" i="674" s="1"/>
  <c r="CX531" i="674"/>
  <c r="CY531" i="674" s="1"/>
  <c r="CP531" i="674"/>
  <c r="CQ531" i="674" s="1"/>
  <c r="CH531" i="674"/>
  <c r="CI531" i="674" s="1"/>
  <c r="BZ531" i="674"/>
  <c r="CA531" i="674" s="1"/>
  <c r="BR531" i="674"/>
  <c r="BS531" i="674" s="1"/>
  <c r="BJ531" i="674"/>
  <c r="BK531" i="674" s="1"/>
  <c r="BB531" i="674"/>
  <c r="BC531" i="674" s="1"/>
  <c r="AT531" i="674"/>
  <c r="AU531" i="674" s="1"/>
  <c r="AL531" i="674"/>
  <c r="AM531" i="674" s="1"/>
  <c r="AD531" i="674"/>
  <c r="AE531" i="674" s="1"/>
  <c r="V531" i="674"/>
  <c r="W531" i="674" s="1"/>
  <c r="N531" i="674"/>
  <c r="O531" i="674" s="1"/>
  <c r="CX530" i="674"/>
  <c r="CY530" i="674" s="1"/>
  <c r="CP530" i="674"/>
  <c r="CQ530" i="674" s="1"/>
  <c r="CH530" i="674"/>
  <c r="CI530" i="674" s="1"/>
  <c r="BZ530" i="674"/>
  <c r="CA530" i="674" s="1"/>
  <c r="BR530" i="674"/>
  <c r="BS530" i="674" s="1"/>
  <c r="BJ530" i="674"/>
  <c r="BK530" i="674" s="1"/>
  <c r="BB530" i="674"/>
  <c r="BC530" i="674" s="1"/>
  <c r="AT530" i="674"/>
  <c r="AU530" i="674" s="1"/>
  <c r="AL530" i="674"/>
  <c r="AM530" i="674" s="1"/>
  <c r="AD530" i="674"/>
  <c r="AE530" i="674" s="1"/>
  <c r="V530" i="674"/>
  <c r="W530" i="674" s="1"/>
  <c r="N530" i="674"/>
  <c r="O530" i="674" s="1"/>
  <c r="CX529" i="674"/>
  <c r="CY529" i="674" s="1"/>
  <c r="CP529" i="674"/>
  <c r="CQ529" i="674" s="1"/>
  <c r="CH529" i="674"/>
  <c r="CI529" i="674" s="1"/>
  <c r="BZ529" i="674"/>
  <c r="CA529" i="674" s="1"/>
  <c r="BR529" i="674"/>
  <c r="BS529" i="674" s="1"/>
  <c r="BJ529" i="674"/>
  <c r="BK529" i="674" s="1"/>
  <c r="BB529" i="674"/>
  <c r="BC529" i="674" s="1"/>
  <c r="AT529" i="674"/>
  <c r="AU529" i="674" s="1"/>
  <c r="AL529" i="674"/>
  <c r="AM529" i="674" s="1"/>
  <c r="AD529" i="674"/>
  <c r="AE529" i="674" s="1"/>
  <c r="V529" i="674"/>
  <c r="W529" i="674" s="1"/>
  <c r="N529" i="674"/>
  <c r="O529" i="674" s="1"/>
  <c r="CX528" i="674"/>
  <c r="CY528" i="674" s="1"/>
  <c r="CP528" i="674"/>
  <c r="CQ528" i="674" s="1"/>
  <c r="CH528" i="674"/>
  <c r="CI528" i="674" s="1"/>
  <c r="BZ528" i="674"/>
  <c r="CA528" i="674" s="1"/>
  <c r="BR528" i="674"/>
  <c r="BS528" i="674" s="1"/>
  <c r="BJ528" i="674"/>
  <c r="BK528" i="674" s="1"/>
  <c r="BB528" i="674"/>
  <c r="BC528" i="674" s="1"/>
  <c r="AT528" i="674"/>
  <c r="AU528" i="674" s="1"/>
  <c r="AL528" i="674"/>
  <c r="AM528" i="674" s="1"/>
  <c r="AD528" i="674"/>
  <c r="AE528" i="674" s="1"/>
  <c r="V528" i="674"/>
  <c r="W528" i="674" s="1"/>
  <c r="N528" i="674"/>
  <c r="O528" i="674" s="1"/>
  <c r="CX527" i="674"/>
  <c r="CY527" i="674" s="1"/>
  <c r="CP527" i="674"/>
  <c r="CQ527" i="674" s="1"/>
  <c r="CH527" i="674"/>
  <c r="CI527" i="674" s="1"/>
  <c r="BZ527" i="674"/>
  <c r="CA527" i="674" s="1"/>
  <c r="BR527" i="674"/>
  <c r="BS527" i="674" s="1"/>
  <c r="BJ527" i="674"/>
  <c r="BK527" i="674" s="1"/>
  <c r="BB527" i="674"/>
  <c r="BC527" i="674" s="1"/>
  <c r="AT527" i="674"/>
  <c r="AU527" i="674" s="1"/>
  <c r="AD527" i="674"/>
  <c r="AE527" i="674" s="1"/>
  <c r="V527" i="674"/>
  <c r="W527" i="674" s="1"/>
  <c r="N527" i="674"/>
  <c r="O527" i="674" s="1"/>
  <c r="CX526" i="674"/>
  <c r="CY526" i="674" s="1"/>
  <c r="CP526" i="674"/>
  <c r="CQ526" i="674" s="1"/>
  <c r="CH526" i="674"/>
  <c r="CI526" i="674" s="1"/>
  <c r="BZ526" i="674"/>
  <c r="CA526" i="674" s="1"/>
  <c r="BR526" i="674"/>
  <c r="BS526" i="674" s="1"/>
  <c r="BJ526" i="674"/>
  <c r="BK526" i="674" s="1"/>
  <c r="BB526" i="674"/>
  <c r="BC526" i="674" s="1"/>
  <c r="AT526" i="674"/>
  <c r="AU526" i="674" s="1"/>
  <c r="AL526" i="674"/>
  <c r="AM526" i="674" s="1"/>
  <c r="AD526" i="674"/>
  <c r="AE526" i="674" s="1"/>
  <c r="V526" i="674"/>
  <c r="W526" i="674" s="1"/>
  <c r="N526" i="674"/>
  <c r="O526" i="674" s="1"/>
  <c r="CX525" i="674"/>
  <c r="CY525" i="674" s="1"/>
  <c r="CP525" i="674"/>
  <c r="CQ525" i="674" s="1"/>
  <c r="CH525" i="674"/>
  <c r="CI525" i="674" s="1"/>
  <c r="BZ525" i="674"/>
  <c r="CA525" i="674" s="1"/>
  <c r="BR525" i="674"/>
  <c r="BS525" i="674" s="1"/>
  <c r="BJ525" i="674"/>
  <c r="BK525" i="674" s="1"/>
  <c r="BB525" i="674"/>
  <c r="BC525" i="674" s="1"/>
  <c r="AT525" i="674"/>
  <c r="AU525" i="674" s="1"/>
  <c r="AL525" i="674"/>
  <c r="AM525" i="674" s="1"/>
  <c r="AD525" i="674"/>
  <c r="AE525" i="674" s="1"/>
  <c r="V525" i="674"/>
  <c r="W525" i="674" s="1"/>
  <c r="N525" i="674"/>
  <c r="O525" i="674" s="1"/>
  <c r="CX524" i="674"/>
  <c r="CY524" i="674" s="1"/>
  <c r="CP524" i="674"/>
  <c r="CQ524" i="674" s="1"/>
  <c r="CH524" i="674"/>
  <c r="CI524" i="674" s="1"/>
  <c r="BZ524" i="674"/>
  <c r="CA524" i="674" s="1"/>
  <c r="BR524" i="674"/>
  <c r="BS524" i="674" s="1"/>
  <c r="BJ524" i="674"/>
  <c r="BK524" i="674" s="1"/>
  <c r="BB524" i="674"/>
  <c r="BC524" i="674" s="1"/>
  <c r="AT524" i="674"/>
  <c r="AU524" i="674" s="1"/>
  <c r="AL524" i="674"/>
  <c r="AM524" i="674" s="1"/>
  <c r="AD524" i="674"/>
  <c r="AE524" i="674" s="1"/>
  <c r="V524" i="674"/>
  <c r="W524" i="674" s="1"/>
  <c r="N524" i="674"/>
  <c r="O524" i="674" s="1"/>
  <c r="CX523" i="674"/>
  <c r="CY523" i="674" s="1"/>
  <c r="CP523" i="674"/>
  <c r="CQ523" i="674" s="1"/>
  <c r="CH523" i="674"/>
  <c r="CI523" i="674" s="1"/>
  <c r="BZ523" i="674"/>
  <c r="CA523" i="674" s="1"/>
  <c r="BR523" i="674"/>
  <c r="BS523" i="674" s="1"/>
  <c r="BJ523" i="674"/>
  <c r="BK523" i="674" s="1"/>
  <c r="BB523" i="674"/>
  <c r="BC523" i="674" s="1"/>
  <c r="AT523" i="674"/>
  <c r="AU523" i="674" s="1"/>
  <c r="AL523" i="674"/>
  <c r="AM523" i="674" s="1"/>
  <c r="AD523" i="674"/>
  <c r="AE523" i="674" s="1"/>
  <c r="V523" i="674"/>
  <c r="W523" i="674" s="1"/>
  <c r="N523" i="674"/>
  <c r="O523" i="674" s="1"/>
  <c r="CX522" i="674"/>
  <c r="CY522" i="674" s="1"/>
  <c r="CP522" i="674"/>
  <c r="CQ522" i="674" s="1"/>
  <c r="CH522" i="674"/>
  <c r="CI522" i="674" s="1"/>
  <c r="BZ522" i="674"/>
  <c r="CA522" i="674" s="1"/>
  <c r="BR522" i="674"/>
  <c r="BS522" i="674" s="1"/>
  <c r="BJ522" i="674"/>
  <c r="BK522" i="674" s="1"/>
  <c r="BB522" i="674"/>
  <c r="BC522" i="674" s="1"/>
  <c r="AT522" i="674"/>
  <c r="AU522" i="674" s="1"/>
  <c r="AL522" i="674"/>
  <c r="AM522" i="674" s="1"/>
  <c r="AD522" i="674"/>
  <c r="AE522" i="674" s="1"/>
  <c r="V522" i="674"/>
  <c r="W522" i="674" s="1"/>
  <c r="N522" i="674"/>
  <c r="O522" i="674" s="1"/>
  <c r="CX521" i="674"/>
  <c r="CY521" i="674" s="1"/>
  <c r="CP521" i="674"/>
  <c r="CQ521" i="674" s="1"/>
  <c r="CH521" i="674"/>
  <c r="CI521" i="674" s="1"/>
  <c r="BZ521" i="674"/>
  <c r="CA521" i="674" s="1"/>
  <c r="BR521" i="674"/>
  <c r="BS521" i="674" s="1"/>
  <c r="BJ521" i="674"/>
  <c r="BK521" i="674" s="1"/>
  <c r="BB521" i="674"/>
  <c r="BC521" i="674" s="1"/>
  <c r="AT521" i="674"/>
  <c r="AU521" i="674" s="1"/>
  <c r="AD521" i="674"/>
  <c r="AE521" i="674" s="1"/>
  <c r="V521" i="674"/>
  <c r="W521" i="674" s="1"/>
  <c r="N521" i="674"/>
  <c r="O521" i="674" s="1"/>
  <c r="CX520" i="674"/>
  <c r="CY520" i="674" s="1"/>
  <c r="CP520" i="674"/>
  <c r="CQ520" i="674" s="1"/>
  <c r="CH520" i="674"/>
  <c r="CI520" i="674" s="1"/>
  <c r="BZ520" i="674"/>
  <c r="CA520" i="674" s="1"/>
  <c r="BR520" i="674"/>
  <c r="BS520" i="674" s="1"/>
  <c r="BJ520" i="674"/>
  <c r="BK520" i="674" s="1"/>
  <c r="BB520" i="674"/>
  <c r="BC520" i="674" s="1"/>
  <c r="AT520" i="674"/>
  <c r="AU520" i="674" s="1"/>
  <c r="AL520" i="674"/>
  <c r="AM520" i="674" s="1"/>
  <c r="AD520" i="674"/>
  <c r="AE520" i="674" s="1"/>
  <c r="V520" i="674"/>
  <c r="W520" i="674" s="1"/>
  <c r="N520" i="674"/>
  <c r="O520" i="674" s="1"/>
  <c r="CX519" i="674"/>
  <c r="CY519" i="674" s="1"/>
  <c r="CP519" i="674"/>
  <c r="CQ519" i="674" s="1"/>
  <c r="CH519" i="674"/>
  <c r="CI519" i="674" s="1"/>
  <c r="BZ519" i="674"/>
  <c r="CA519" i="674" s="1"/>
  <c r="BR519" i="674"/>
  <c r="BS519" i="674" s="1"/>
  <c r="BJ519" i="674"/>
  <c r="BK519" i="674" s="1"/>
  <c r="BB519" i="674"/>
  <c r="BC519" i="674" s="1"/>
  <c r="AT519" i="674"/>
  <c r="AU519" i="674" s="1"/>
  <c r="AL519" i="674"/>
  <c r="AM519" i="674" s="1"/>
  <c r="AD519" i="674"/>
  <c r="AE519" i="674" s="1"/>
  <c r="V519" i="674"/>
  <c r="W519" i="674" s="1"/>
  <c r="N519" i="674"/>
  <c r="O519" i="674" s="1"/>
  <c r="CX518" i="674"/>
  <c r="CY518" i="674" s="1"/>
  <c r="CP518" i="674"/>
  <c r="CQ518" i="674" s="1"/>
  <c r="CH518" i="674"/>
  <c r="CI518" i="674" s="1"/>
  <c r="BZ518" i="674"/>
  <c r="CA518" i="674" s="1"/>
  <c r="BR518" i="674"/>
  <c r="BS518" i="674" s="1"/>
  <c r="BJ518" i="674"/>
  <c r="BK518" i="674" s="1"/>
  <c r="BB518" i="674"/>
  <c r="BC518" i="674" s="1"/>
  <c r="AT518" i="674"/>
  <c r="AU518" i="674" s="1"/>
  <c r="AL518" i="674"/>
  <c r="AM518" i="674" s="1"/>
  <c r="AD518" i="674"/>
  <c r="AE518" i="674" s="1"/>
  <c r="V518" i="674"/>
  <c r="W518" i="674" s="1"/>
  <c r="N518" i="674"/>
  <c r="O518" i="674" s="1"/>
  <c r="CX517" i="674"/>
  <c r="CY517" i="674" s="1"/>
  <c r="CP517" i="674"/>
  <c r="CQ517" i="674" s="1"/>
  <c r="CH517" i="674"/>
  <c r="CI517" i="674" s="1"/>
  <c r="BZ517" i="674"/>
  <c r="CA517" i="674" s="1"/>
  <c r="BR517" i="674"/>
  <c r="BS517" i="674" s="1"/>
  <c r="BJ517" i="674"/>
  <c r="BK517" i="674" s="1"/>
  <c r="BB517" i="674"/>
  <c r="BC517" i="674" s="1"/>
  <c r="AT517" i="674"/>
  <c r="AU517" i="674" s="1"/>
  <c r="AL517" i="674"/>
  <c r="AM517" i="674" s="1"/>
  <c r="AD517" i="674"/>
  <c r="AE517" i="674" s="1"/>
  <c r="V517" i="674"/>
  <c r="W517" i="674" s="1"/>
  <c r="N517" i="674"/>
  <c r="O517" i="674" s="1"/>
  <c r="CX516" i="674"/>
  <c r="CY516" i="674" s="1"/>
  <c r="CP516" i="674"/>
  <c r="CQ516" i="674" s="1"/>
  <c r="CH516" i="674"/>
  <c r="CI516" i="674" s="1"/>
  <c r="BZ516" i="674"/>
  <c r="CA516" i="674" s="1"/>
  <c r="BR516" i="674"/>
  <c r="BS516" i="674" s="1"/>
  <c r="BJ516" i="674"/>
  <c r="BK516" i="674" s="1"/>
  <c r="BB516" i="674"/>
  <c r="BC516" i="674" s="1"/>
  <c r="AT516" i="674"/>
  <c r="AU516" i="674" s="1"/>
  <c r="AL516" i="674"/>
  <c r="AM516" i="674" s="1"/>
  <c r="AD516" i="674"/>
  <c r="AE516" i="674" s="1"/>
  <c r="V516" i="674"/>
  <c r="W516" i="674" s="1"/>
  <c r="N516" i="674"/>
  <c r="O516" i="674" s="1"/>
  <c r="CX515" i="674"/>
  <c r="CY515" i="674" s="1"/>
  <c r="CP515" i="674"/>
  <c r="CQ515" i="674" s="1"/>
  <c r="CH515" i="674"/>
  <c r="CI515" i="674" s="1"/>
  <c r="BZ515" i="674"/>
  <c r="CA515" i="674" s="1"/>
  <c r="BR515" i="674"/>
  <c r="BS515" i="674" s="1"/>
  <c r="BJ515" i="674"/>
  <c r="BK515" i="674" s="1"/>
  <c r="BB515" i="674"/>
  <c r="BC515" i="674" s="1"/>
  <c r="AT515" i="674"/>
  <c r="AU515" i="674" s="1"/>
  <c r="AL515" i="674"/>
  <c r="AM515" i="674" s="1"/>
  <c r="AD515" i="674"/>
  <c r="AE515" i="674" s="1"/>
  <c r="V515" i="674"/>
  <c r="W515" i="674" s="1"/>
  <c r="N515" i="674"/>
  <c r="O515" i="674" s="1"/>
  <c r="CX514" i="674"/>
  <c r="CY514" i="674" s="1"/>
  <c r="CP514" i="674"/>
  <c r="CQ514" i="674" s="1"/>
  <c r="CH514" i="674"/>
  <c r="CI514" i="674" s="1"/>
  <c r="BZ514" i="674"/>
  <c r="CA514" i="674" s="1"/>
  <c r="BR514" i="674"/>
  <c r="BS514" i="674" s="1"/>
  <c r="BJ514" i="674"/>
  <c r="BK514" i="674" s="1"/>
  <c r="BB514" i="674"/>
  <c r="BC514" i="674" s="1"/>
  <c r="AT514" i="674"/>
  <c r="AU514" i="674" s="1"/>
  <c r="AL514" i="674"/>
  <c r="AM514" i="674" s="1"/>
  <c r="AD514" i="674"/>
  <c r="AE514" i="674" s="1"/>
  <c r="V514" i="674"/>
  <c r="W514" i="674" s="1"/>
  <c r="N514" i="674"/>
  <c r="O514" i="674" s="1"/>
  <c r="CX513" i="674"/>
  <c r="CY513" i="674" s="1"/>
  <c r="CP513" i="674"/>
  <c r="CQ513" i="674" s="1"/>
  <c r="CH513" i="674"/>
  <c r="CI513" i="674" s="1"/>
  <c r="BZ513" i="674"/>
  <c r="CA513" i="674" s="1"/>
  <c r="BR513" i="674"/>
  <c r="BS513" i="674" s="1"/>
  <c r="BJ513" i="674"/>
  <c r="BK513" i="674" s="1"/>
  <c r="BB513" i="674"/>
  <c r="BC513" i="674" s="1"/>
  <c r="AT513" i="674"/>
  <c r="AU513" i="674" s="1"/>
  <c r="AL513" i="674"/>
  <c r="AM513" i="674" s="1"/>
  <c r="AD513" i="674"/>
  <c r="AE513" i="674" s="1"/>
  <c r="V513" i="674"/>
  <c r="W513" i="674" s="1"/>
  <c r="N513" i="674"/>
  <c r="O513" i="674" s="1"/>
  <c r="CX512" i="674"/>
  <c r="CY512" i="674" s="1"/>
  <c r="CP512" i="674"/>
  <c r="CQ512" i="674" s="1"/>
  <c r="CH512" i="674"/>
  <c r="CI512" i="674" s="1"/>
  <c r="BZ512" i="674"/>
  <c r="CA512" i="674" s="1"/>
  <c r="BR512" i="674"/>
  <c r="BS512" i="674" s="1"/>
  <c r="BJ512" i="674"/>
  <c r="BK512" i="674" s="1"/>
  <c r="BB512" i="674"/>
  <c r="BC512" i="674" s="1"/>
  <c r="AT512" i="674"/>
  <c r="AU512" i="674" s="1"/>
  <c r="AL512" i="674"/>
  <c r="AM512" i="674" s="1"/>
  <c r="AD512" i="674"/>
  <c r="AE512" i="674" s="1"/>
  <c r="V512" i="674"/>
  <c r="W512" i="674" s="1"/>
  <c r="N512" i="674"/>
  <c r="O512" i="674" s="1"/>
  <c r="CX511" i="674"/>
  <c r="CY511" i="674" s="1"/>
  <c r="CP511" i="674"/>
  <c r="CQ511" i="674" s="1"/>
  <c r="CH511" i="674"/>
  <c r="CI511" i="674" s="1"/>
  <c r="BZ511" i="674"/>
  <c r="CA511" i="674" s="1"/>
  <c r="BR511" i="674"/>
  <c r="BS511" i="674" s="1"/>
  <c r="BJ511" i="674"/>
  <c r="BK511" i="674" s="1"/>
  <c r="BB511" i="674"/>
  <c r="BC511" i="674" s="1"/>
  <c r="AT511" i="674"/>
  <c r="AU511" i="674" s="1"/>
  <c r="AL511" i="674"/>
  <c r="AM511" i="674" s="1"/>
  <c r="AD511" i="674"/>
  <c r="AE511" i="674" s="1"/>
  <c r="V511" i="674"/>
  <c r="W511" i="674" s="1"/>
  <c r="N511" i="674"/>
  <c r="O511" i="674" s="1"/>
  <c r="CX510" i="674"/>
  <c r="CY510" i="674" s="1"/>
  <c r="CP510" i="674"/>
  <c r="CQ510" i="674" s="1"/>
  <c r="CH510" i="674"/>
  <c r="CI510" i="674" s="1"/>
  <c r="BZ510" i="674"/>
  <c r="CA510" i="674" s="1"/>
  <c r="BR510" i="674"/>
  <c r="BS510" i="674" s="1"/>
  <c r="BJ510" i="674"/>
  <c r="BK510" i="674" s="1"/>
  <c r="BB510" i="674"/>
  <c r="BC510" i="674" s="1"/>
  <c r="AT510" i="674"/>
  <c r="AU510" i="674" s="1"/>
  <c r="AL510" i="674"/>
  <c r="AM510" i="674" s="1"/>
  <c r="AD510" i="674"/>
  <c r="AE510" i="674" s="1"/>
  <c r="V510" i="674"/>
  <c r="W510" i="674" s="1"/>
  <c r="N510" i="674"/>
  <c r="O510" i="674" s="1"/>
  <c r="CX509" i="674"/>
  <c r="CY509" i="674" s="1"/>
  <c r="CP509" i="674"/>
  <c r="CQ509" i="674" s="1"/>
  <c r="CH509" i="674"/>
  <c r="CI509" i="674" s="1"/>
  <c r="BZ509" i="674"/>
  <c r="CA509" i="674" s="1"/>
  <c r="BR509" i="674"/>
  <c r="BS509" i="674" s="1"/>
  <c r="BJ509" i="674"/>
  <c r="BK509" i="674" s="1"/>
  <c r="BB509" i="674"/>
  <c r="BC509" i="674" s="1"/>
  <c r="AT509" i="674"/>
  <c r="AU509" i="674" s="1"/>
  <c r="AL509" i="674"/>
  <c r="AM509" i="674" s="1"/>
  <c r="AD509" i="674"/>
  <c r="AE509" i="674" s="1"/>
  <c r="V509" i="674"/>
  <c r="W509" i="674" s="1"/>
  <c r="N509" i="674"/>
  <c r="O509" i="674" s="1"/>
  <c r="CX508" i="674"/>
  <c r="CY508" i="674" s="1"/>
  <c r="CP508" i="674"/>
  <c r="CQ508" i="674" s="1"/>
  <c r="CH508" i="674"/>
  <c r="CI508" i="674" s="1"/>
  <c r="BZ508" i="674"/>
  <c r="CA508" i="674" s="1"/>
  <c r="BR508" i="674"/>
  <c r="BS508" i="674" s="1"/>
  <c r="BJ508" i="674"/>
  <c r="BK508" i="674" s="1"/>
  <c r="BB508" i="674"/>
  <c r="BC508" i="674" s="1"/>
  <c r="AT508" i="674"/>
  <c r="AU508" i="674" s="1"/>
  <c r="AL508" i="674"/>
  <c r="AM508" i="674" s="1"/>
  <c r="AD508" i="674"/>
  <c r="AE508" i="674" s="1"/>
  <c r="V508" i="674"/>
  <c r="W508" i="674" s="1"/>
  <c r="N508" i="674"/>
  <c r="O508" i="674" s="1"/>
  <c r="CX507" i="674"/>
  <c r="CY507" i="674" s="1"/>
  <c r="CP507" i="674"/>
  <c r="CQ507" i="674" s="1"/>
  <c r="CH507" i="674"/>
  <c r="CI507" i="674" s="1"/>
  <c r="BZ507" i="674"/>
  <c r="CA507" i="674" s="1"/>
  <c r="BR507" i="674"/>
  <c r="BS507" i="674" s="1"/>
  <c r="BJ507" i="674"/>
  <c r="BK507" i="674" s="1"/>
  <c r="BB507" i="674"/>
  <c r="BC507" i="674" s="1"/>
  <c r="AT507" i="674"/>
  <c r="AU507" i="674" s="1"/>
  <c r="AL507" i="674"/>
  <c r="AM507" i="674" s="1"/>
  <c r="AD507" i="674"/>
  <c r="AE507" i="674" s="1"/>
  <c r="V507" i="674"/>
  <c r="W507" i="674" s="1"/>
  <c r="N507" i="674"/>
  <c r="O507" i="674" s="1"/>
  <c r="CX506" i="674"/>
  <c r="CY506" i="674" s="1"/>
  <c r="CP506" i="674"/>
  <c r="CQ506" i="674" s="1"/>
  <c r="CH506" i="674"/>
  <c r="CI506" i="674" s="1"/>
  <c r="BZ506" i="674"/>
  <c r="CA506" i="674" s="1"/>
  <c r="BR506" i="674"/>
  <c r="BS506" i="674" s="1"/>
  <c r="BJ506" i="674"/>
  <c r="BK506" i="674" s="1"/>
  <c r="BB506" i="674"/>
  <c r="BC506" i="674" s="1"/>
  <c r="AT506" i="674"/>
  <c r="AU506" i="674" s="1"/>
  <c r="AD506" i="674"/>
  <c r="AE506" i="674" s="1"/>
  <c r="V506" i="674"/>
  <c r="W506" i="674" s="1"/>
  <c r="N506" i="674"/>
  <c r="O506" i="674" s="1"/>
  <c r="CX505" i="674"/>
  <c r="CY505" i="674" s="1"/>
  <c r="CP505" i="674"/>
  <c r="CQ505" i="674" s="1"/>
  <c r="CH505" i="674"/>
  <c r="CI505" i="674" s="1"/>
  <c r="BZ505" i="674"/>
  <c r="CA505" i="674" s="1"/>
  <c r="BR505" i="674"/>
  <c r="BS505" i="674" s="1"/>
  <c r="BJ505" i="674"/>
  <c r="BK505" i="674" s="1"/>
  <c r="BB505" i="674"/>
  <c r="BC505" i="674" s="1"/>
  <c r="AT505" i="674"/>
  <c r="AU505" i="674" s="1"/>
  <c r="AL505" i="674"/>
  <c r="AM505" i="674" s="1"/>
  <c r="AD505" i="674"/>
  <c r="AE505" i="674" s="1"/>
  <c r="V505" i="674"/>
  <c r="W505" i="674" s="1"/>
  <c r="N505" i="674"/>
  <c r="O505" i="674" s="1"/>
  <c r="CX504" i="674"/>
  <c r="CY504" i="674" s="1"/>
  <c r="CP504" i="674"/>
  <c r="CQ504" i="674" s="1"/>
  <c r="CH504" i="674"/>
  <c r="CI504" i="674" s="1"/>
  <c r="BZ504" i="674"/>
  <c r="CA504" i="674" s="1"/>
  <c r="BR504" i="674"/>
  <c r="BS504" i="674" s="1"/>
  <c r="BJ504" i="674"/>
  <c r="BK504" i="674" s="1"/>
  <c r="BB504" i="674"/>
  <c r="BC504" i="674" s="1"/>
  <c r="AT504" i="674"/>
  <c r="AU504" i="674" s="1"/>
  <c r="AL504" i="674"/>
  <c r="AM504" i="674" s="1"/>
  <c r="AD504" i="674"/>
  <c r="AE504" i="674" s="1"/>
  <c r="V504" i="674"/>
  <c r="W504" i="674" s="1"/>
  <c r="N504" i="674"/>
  <c r="O504" i="674" s="1"/>
  <c r="CX503" i="674"/>
  <c r="CY503" i="674" s="1"/>
  <c r="CP503" i="674"/>
  <c r="CQ503" i="674" s="1"/>
  <c r="CH503" i="674"/>
  <c r="CI503" i="674" s="1"/>
  <c r="BZ503" i="674"/>
  <c r="CA503" i="674" s="1"/>
  <c r="BR503" i="674"/>
  <c r="BS503" i="674" s="1"/>
  <c r="BJ503" i="674"/>
  <c r="BK503" i="674" s="1"/>
  <c r="BB503" i="674"/>
  <c r="BC503" i="674" s="1"/>
  <c r="AT503" i="674"/>
  <c r="AU503" i="674" s="1"/>
  <c r="AL503" i="674"/>
  <c r="AM503" i="674" s="1"/>
  <c r="AD503" i="674"/>
  <c r="AE503" i="674" s="1"/>
  <c r="V503" i="674"/>
  <c r="W503" i="674" s="1"/>
  <c r="N503" i="674"/>
  <c r="O503" i="674" s="1"/>
  <c r="CX502" i="674"/>
  <c r="CY502" i="674" s="1"/>
  <c r="CP502" i="674"/>
  <c r="CQ502" i="674" s="1"/>
  <c r="CH502" i="674"/>
  <c r="CI502" i="674" s="1"/>
  <c r="BZ502" i="674"/>
  <c r="CA502" i="674" s="1"/>
  <c r="BR502" i="674"/>
  <c r="BS502" i="674" s="1"/>
  <c r="BJ502" i="674"/>
  <c r="BK502" i="674" s="1"/>
  <c r="BB502" i="674"/>
  <c r="BC502" i="674" s="1"/>
  <c r="AT502" i="674"/>
  <c r="AU502" i="674" s="1"/>
  <c r="AL502" i="674"/>
  <c r="AM502" i="674" s="1"/>
  <c r="AD502" i="674"/>
  <c r="AE502" i="674" s="1"/>
  <c r="V502" i="674"/>
  <c r="W502" i="674" s="1"/>
  <c r="N502" i="674"/>
  <c r="O502" i="674" s="1"/>
  <c r="CX501" i="674"/>
  <c r="CY501" i="674" s="1"/>
  <c r="CP501" i="674"/>
  <c r="CQ501" i="674" s="1"/>
  <c r="CH501" i="674"/>
  <c r="CI501" i="674" s="1"/>
  <c r="BZ501" i="674"/>
  <c r="CA501" i="674" s="1"/>
  <c r="BR501" i="674"/>
  <c r="BS501" i="674" s="1"/>
  <c r="BJ501" i="674"/>
  <c r="BK501" i="674" s="1"/>
  <c r="BB501" i="674"/>
  <c r="BC501" i="674" s="1"/>
  <c r="AT501" i="674"/>
  <c r="AU501" i="674" s="1"/>
  <c r="AL501" i="674"/>
  <c r="AM501" i="674" s="1"/>
  <c r="AD501" i="674"/>
  <c r="AE501" i="674" s="1"/>
  <c r="V501" i="674"/>
  <c r="W501" i="674" s="1"/>
  <c r="N501" i="674"/>
  <c r="O501" i="674" s="1"/>
  <c r="CX500" i="674"/>
  <c r="CY500" i="674" s="1"/>
  <c r="CP500" i="674"/>
  <c r="CQ500" i="674" s="1"/>
  <c r="CH500" i="674"/>
  <c r="CI500" i="674" s="1"/>
  <c r="BZ500" i="674"/>
  <c r="CA500" i="674" s="1"/>
  <c r="BR500" i="674"/>
  <c r="BS500" i="674" s="1"/>
  <c r="BJ500" i="674"/>
  <c r="BK500" i="674" s="1"/>
  <c r="BB500" i="674"/>
  <c r="BC500" i="674" s="1"/>
  <c r="AT500" i="674"/>
  <c r="AU500" i="674" s="1"/>
  <c r="AL500" i="674"/>
  <c r="AM500" i="674" s="1"/>
  <c r="AD500" i="674"/>
  <c r="AE500" i="674" s="1"/>
  <c r="V500" i="674"/>
  <c r="W500" i="674" s="1"/>
  <c r="N500" i="674"/>
  <c r="O500" i="674" s="1"/>
  <c r="CX499" i="674"/>
  <c r="CY499" i="674" s="1"/>
  <c r="CP499" i="674"/>
  <c r="CQ499" i="674" s="1"/>
  <c r="CH499" i="674"/>
  <c r="CI499" i="674" s="1"/>
  <c r="BZ499" i="674"/>
  <c r="CA499" i="674" s="1"/>
  <c r="BR499" i="674"/>
  <c r="BS499" i="674" s="1"/>
  <c r="BJ499" i="674"/>
  <c r="BK499" i="674" s="1"/>
  <c r="BB499" i="674"/>
  <c r="BC499" i="674" s="1"/>
  <c r="AT499" i="674"/>
  <c r="AU499" i="674" s="1"/>
  <c r="AL499" i="674"/>
  <c r="AM499" i="674" s="1"/>
  <c r="AD499" i="674"/>
  <c r="AE499" i="674" s="1"/>
  <c r="V499" i="674"/>
  <c r="W499" i="674" s="1"/>
  <c r="N499" i="674"/>
  <c r="O499" i="674" s="1"/>
  <c r="CX498" i="674"/>
  <c r="CY498" i="674" s="1"/>
  <c r="CP498" i="674"/>
  <c r="CQ498" i="674" s="1"/>
  <c r="CH498" i="674"/>
  <c r="CI498" i="674" s="1"/>
  <c r="BZ498" i="674"/>
  <c r="CA498" i="674" s="1"/>
  <c r="BR498" i="674"/>
  <c r="BS498" i="674" s="1"/>
  <c r="BJ498" i="674"/>
  <c r="BK498" i="674" s="1"/>
  <c r="BB498" i="674"/>
  <c r="BC498" i="674" s="1"/>
  <c r="AT498" i="674"/>
  <c r="AU498" i="674" s="1"/>
  <c r="AL498" i="674"/>
  <c r="AM498" i="674" s="1"/>
  <c r="AD498" i="674"/>
  <c r="AE498" i="674" s="1"/>
  <c r="V498" i="674"/>
  <c r="W498" i="674" s="1"/>
  <c r="N498" i="674"/>
  <c r="O498" i="674" s="1"/>
  <c r="CX497" i="674"/>
  <c r="CY497" i="674" s="1"/>
  <c r="CP497" i="674"/>
  <c r="CQ497" i="674" s="1"/>
  <c r="CH497" i="674"/>
  <c r="CI497" i="674" s="1"/>
  <c r="BZ497" i="674"/>
  <c r="CA497" i="674" s="1"/>
  <c r="BR497" i="674"/>
  <c r="BS497" i="674" s="1"/>
  <c r="BJ497" i="674"/>
  <c r="BK497" i="674" s="1"/>
  <c r="BB497" i="674"/>
  <c r="BC497" i="674" s="1"/>
  <c r="AT497" i="674"/>
  <c r="AU497" i="674" s="1"/>
  <c r="AL497" i="674"/>
  <c r="AM497" i="674" s="1"/>
  <c r="AD497" i="674"/>
  <c r="AE497" i="674" s="1"/>
  <c r="V497" i="674"/>
  <c r="W497" i="674" s="1"/>
  <c r="N497" i="674"/>
  <c r="O497" i="674" s="1"/>
  <c r="CX496" i="674"/>
  <c r="CY496" i="674" s="1"/>
  <c r="CP496" i="674"/>
  <c r="CQ496" i="674" s="1"/>
  <c r="CH496" i="674"/>
  <c r="CI496" i="674" s="1"/>
  <c r="BZ496" i="674"/>
  <c r="CA496" i="674" s="1"/>
  <c r="BR496" i="674"/>
  <c r="BS496" i="674" s="1"/>
  <c r="BJ496" i="674"/>
  <c r="BK496" i="674" s="1"/>
  <c r="BB496" i="674"/>
  <c r="BC496" i="674" s="1"/>
  <c r="AT496" i="674"/>
  <c r="AU496" i="674" s="1"/>
  <c r="AL496" i="674"/>
  <c r="AM496" i="674" s="1"/>
  <c r="AD496" i="674"/>
  <c r="AE496" i="674" s="1"/>
  <c r="V496" i="674"/>
  <c r="W496" i="674" s="1"/>
  <c r="N496" i="674"/>
  <c r="O496" i="674" s="1"/>
  <c r="CX495" i="674"/>
  <c r="CY495" i="674" s="1"/>
  <c r="CP495" i="674"/>
  <c r="CQ495" i="674" s="1"/>
  <c r="CH495" i="674"/>
  <c r="CI495" i="674" s="1"/>
  <c r="BZ495" i="674"/>
  <c r="CA495" i="674" s="1"/>
  <c r="BR495" i="674"/>
  <c r="BS495" i="674" s="1"/>
  <c r="BJ495" i="674"/>
  <c r="BK495" i="674" s="1"/>
  <c r="BB495" i="674"/>
  <c r="BC495" i="674" s="1"/>
  <c r="AT495" i="674"/>
  <c r="AU495" i="674" s="1"/>
  <c r="AL495" i="674"/>
  <c r="AM495" i="674" s="1"/>
  <c r="AD495" i="674"/>
  <c r="AE495" i="674" s="1"/>
  <c r="V495" i="674"/>
  <c r="W495" i="674" s="1"/>
  <c r="N495" i="674"/>
  <c r="O495" i="674" s="1"/>
  <c r="CX494" i="674"/>
  <c r="CY494" i="674" s="1"/>
  <c r="CP494" i="674"/>
  <c r="CQ494" i="674" s="1"/>
  <c r="CH494" i="674"/>
  <c r="CI494" i="674" s="1"/>
  <c r="BZ494" i="674"/>
  <c r="CA494" i="674" s="1"/>
  <c r="BR494" i="674"/>
  <c r="BS494" i="674" s="1"/>
  <c r="BJ494" i="674"/>
  <c r="BK494" i="674" s="1"/>
  <c r="BB494" i="674"/>
  <c r="BC494" i="674" s="1"/>
  <c r="AT494" i="674"/>
  <c r="AU494" i="674" s="1"/>
  <c r="AL494" i="674"/>
  <c r="AM494" i="674" s="1"/>
  <c r="AD494" i="674"/>
  <c r="AE494" i="674" s="1"/>
  <c r="V494" i="674"/>
  <c r="W494" i="674" s="1"/>
  <c r="N494" i="674"/>
  <c r="O494" i="674" s="1"/>
  <c r="CX493" i="674"/>
  <c r="CY493" i="674" s="1"/>
  <c r="CP493" i="674"/>
  <c r="CQ493" i="674" s="1"/>
  <c r="CH493" i="674"/>
  <c r="CI493" i="674" s="1"/>
  <c r="BZ493" i="674"/>
  <c r="CA493" i="674" s="1"/>
  <c r="BR493" i="674"/>
  <c r="BS493" i="674" s="1"/>
  <c r="BJ493" i="674"/>
  <c r="BK493" i="674" s="1"/>
  <c r="BB493" i="674"/>
  <c r="BC493" i="674" s="1"/>
  <c r="AT493" i="674"/>
  <c r="AU493" i="674" s="1"/>
  <c r="AL493" i="674"/>
  <c r="AM493" i="674" s="1"/>
  <c r="AD493" i="674"/>
  <c r="AE493" i="674" s="1"/>
  <c r="V493" i="674"/>
  <c r="W493" i="674" s="1"/>
  <c r="N493" i="674"/>
  <c r="O493" i="674" s="1"/>
  <c r="CX492" i="674"/>
  <c r="CY492" i="674" s="1"/>
  <c r="CP492" i="674"/>
  <c r="CQ492" i="674" s="1"/>
  <c r="CH492" i="674"/>
  <c r="CI492" i="674" s="1"/>
  <c r="BZ492" i="674"/>
  <c r="CA492" i="674" s="1"/>
  <c r="BR492" i="674"/>
  <c r="BS492" i="674" s="1"/>
  <c r="BJ492" i="674"/>
  <c r="BK492" i="674" s="1"/>
  <c r="BB492" i="674"/>
  <c r="BC492" i="674" s="1"/>
  <c r="AT492" i="674"/>
  <c r="AU492" i="674" s="1"/>
  <c r="AL492" i="674"/>
  <c r="AM492" i="674" s="1"/>
  <c r="AD492" i="674"/>
  <c r="AE492" i="674" s="1"/>
  <c r="V492" i="674"/>
  <c r="W492" i="674" s="1"/>
  <c r="N492" i="674"/>
  <c r="O492" i="674" s="1"/>
  <c r="CX491" i="674"/>
  <c r="CY491" i="674" s="1"/>
  <c r="CP491" i="674"/>
  <c r="CQ491" i="674" s="1"/>
  <c r="CH491" i="674"/>
  <c r="CI491" i="674" s="1"/>
  <c r="BZ491" i="674"/>
  <c r="CA491" i="674" s="1"/>
  <c r="BR491" i="674"/>
  <c r="BS491" i="674" s="1"/>
  <c r="BJ491" i="674"/>
  <c r="BK491" i="674" s="1"/>
  <c r="BB491" i="674"/>
  <c r="BC491" i="674" s="1"/>
  <c r="AT491" i="674"/>
  <c r="AU491" i="674" s="1"/>
  <c r="AL491" i="674"/>
  <c r="AM491" i="674" s="1"/>
  <c r="AD491" i="674"/>
  <c r="AE491" i="674" s="1"/>
  <c r="V491" i="674"/>
  <c r="W491" i="674" s="1"/>
  <c r="N491" i="674"/>
  <c r="O491" i="674" s="1"/>
  <c r="CX490" i="674"/>
  <c r="CY490" i="674" s="1"/>
  <c r="CP490" i="674"/>
  <c r="CQ490" i="674" s="1"/>
  <c r="CH490" i="674"/>
  <c r="CI490" i="674" s="1"/>
  <c r="BZ490" i="674"/>
  <c r="CA490" i="674" s="1"/>
  <c r="BR490" i="674"/>
  <c r="BS490" i="674" s="1"/>
  <c r="BJ490" i="674"/>
  <c r="BK490" i="674" s="1"/>
  <c r="BB490" i="674"/>
  <c r="BC490" i="674" s="1"/>
  <c r="AT490" i="674"/>
  <c r="AU490" i="674" s="1"/>
  <c r="AL490" i="674"/>
  <c r="AM490" i="674" s="1"/>
  <c r="AD490" i="674"/>
  <c r="AE490" i="674" s="1"/>
  <c r="V490" i="674"/>
  <c r="W490" i="674" s="1"/>
  <c r="N490" i="674"/>
  <c r="O490" i="674" s="1"/>
  <c r="CX489" i="674"/>
  <c r="CY489" i="674" s="1"/>
  <c r="CP489" i="674"/>
  <c r="CQ489" i="674" s="1"/>
  <c r="CH489" i="674"/>
  <c r="CI489" i="674" s="1"/>
  <c r="BZ489" i="674"/>
  <c r="CA489" i="674" s="1"/>
  <c r="BR489" i="674"/>
  <c r="BS489" i="674" s="1"/>
  <c r="BJ489" i="674"/>
  <c r="BK489" i="674" s="1"/>
  <c r="BB489" i="674"/>
  <c r="BC489" i="674" s="1"/>
  <c r="AT489" i="674"/>
  <c r="AU489" i="674" s="1"/>
  <c r="AL489" i="674"/>
  <c r="AM489" i="674" s="1"/>
  <c r="AD489" i="674"/>
  <c r="AE489" i="674" s="1"/>
  <c r="V489" i="674"/>
  <c r="W489" i="674" s="1"/>
  <c r="N489" i="674"/>
  <c r="O489" i="674" s="1"/>
  <c r="CX488" i="674"/>
  <c r="CY488" i="674" s="1"/>
  <c r="CP488" i="674"/>
  <c r="CQ488" i="674" s="1"/>
  <c r="CH488" i="674"/>
  <c r="CI488" i="674" s="1"/>
  <c r="BZ488" i="674"/>
  <c r="CA488" i="674" s="1"/>
  <c r="BR488" i="674"/>
  <c r="BS488" i="674" s="1"/>
  <c r="BJ488" i="674"/>
  <c r="BK488" i="674" s="1"/>
  <c r="BB488" i="674"/>
  <c r="BC488" i="674" s="1"/>
  <c r="AT488" i="674"/>
  <c r="AU488" i="674" s="1"/>
  <c r="AD488" i="674"/>
  <c r="AE488" i="674" s="1"/>
  <c r="V488" i="674"/>
  <c r="W488" i="674" s="1"/>
  <c r="N488" i="674"/>
  <c r="O488" i="674" s="1"/>
  <c r="CX487" i="674"/>
  <c r="CY487" i="674" s="1"/>
  <c r="CP487" i="674"/>
  <c r="CQ487" i="674" s="1"/>
  <c r="CH487" i="674"/>
  <c r="CI487" i="674" s="1"/>
  <c r="BZ487" i="674"/>
  <c r="CA487" i="674" s="1"/>
  <c r="BR487" i="674"/>
  <c r="BS487" i="674" s="1"/>
  <c r="BJ487" i="674"/>
  <c r="BK487" i="674" s="1"/>
  <c r="BB487" i="674"/>
  <c r="BC487" i="674" s="1"/>
  <c r="AT487" i="674"/>
  <c r="AU487" i="674" s="1"/>
  <c r="AL487" i="674"/>
  <c r="AM487" i="674" s="1"/>
  <c r="AD487" i="674"/>
  <c r="AE487" i="674" s="1"/>
  <c r="V487" i="674"/>
  <c r="W487" i="674" s="1"/>
  <c r="N487" i="674"/>
  <c r="O487" i="674" s="1"/>
  <c r="CX486" i="674"/>
  <c r="CY486" i="674" s="1"/>
  <c r="CP486" i="674"/>
  <c r="CQ486" i="674" s="1"/>
  <c r="CH486" i="674"/>
  <c r="CI486" i="674" s="1"/>
  <c r="BZ486" i="674"/>
  <c r="CA486" i="674" s="1"/>
  <c r="BR486" i="674"/>
  <c r="BS486" i="674" s="1"/>
  <c r="BJ486" i="674"/>
  <c r="BK486" i="674" s="1"/>
  <c r="BB486" i="674"/>
  <c r="BC486" i="674" s="1"/>
  <c r="AT486" i="674"/>
  <c r="AU486" i="674" s="1"/>
  <c r="AL486" i="674"/>
  <c r="AM486" i="674" s="1"/>
  <c r="AD486" i="674"/>
  <c r="AE486" i="674" s="1"/>
  <c r="V486" i="674"/>
  <c r="W486" i="674" s="1"/>
  <c r="N486" i="674"/>
  <c r="O486" i="674" s="1"/>
  <c r="CX485" i="674"/>
  <c r="CY485" i="674" s="1"/>
  <c r="CP485" i="674"/>
  <c r="CQ485" i="674" s="1"/>
  <c r="CH485" i="674"/>
  <c r="CI485" i="674" s="1"/>
  <c r="BZ485" i="674"/>
  <c r="CA485" i="674" s="1"/>
  <c r="BR485" i="674"/>
  <c r="BS485" i="674" s="1"/>
  <c r="BJ485" i="674"/>
  <c r="BK485" i="674" s="1"/>
  <c r="BB485" i="674"/>
  <c r="BC485" i="674" s="1"/>
  <c r="AT485" i="674"/>
  <c r="AU485" i="674" s="1"/>
  <c r="AL485" i="674"/>
  <c r="AM485" i="674" s="1"/>
  <c r="AD485" i="674"/>
  <c r="AE485" i="674" s="1"/>
  <c r="V485" i="674"/>
  <c r="W485" i="674" s="1"/>
  <c r="N485" i="674"/>
  <c r="O485" i="674" s="1"/>
  <c r="CX484" i="674"/>
  <c r="CY484" i="674" s="1"/>
  <c r="CP484" i="674"/>
  <c r="CQ484" i="674" s="1"/>
  <c r="CH484" i="674"/>
  <c r="CI484" i="674" s="1"/>
  <c r="BZ484" i="674"/>
  <c r="CA484" i="674" s="1"/>
  <c r="BR484" i="674"/>
  <c r="BS484" i="674" s="1"/>
  <c r="BJ484" i="674"/>
  <c r="BK484" i="674" s="1"/>
  <c r="BB484" i="674"/>
  <c r="BC484" i="674" s="1"/>
  <c r="AT484" i="674"/>
  <c r="AU484" i="674" s="1"/>
  <c r="AL484" i="674"/>
  <c r="AM484" i="674" s="1"/>
  <c r="AD484" i="674"/>
  <c r="AE484" i="674" s="1"/>
  <c r="V484" i="674"/>
  <c r="W484" i="674" s="1"/>
  <c r="N484" i="674"/>
  <c r="O484" i="674" s="1"/>
  <c r="CX483" i="674"/>
  <c r="CY483" i="674" s="1"/>
  <c r="CP483" i="674"/>
  <c r="CQ483" i="674" s="1"/>
  <c r="CH483" i="674"/>
  <c r="CI483" i="674" s="1"/>
  <c r="BZ483" i="674"/>
  <c r="CA483" i="674" s="1"/>
  <c r="BR483" i="674"/>
  <c r="BS483" i="674" s="1"/>
  <c r="BJ483" i="674"/>
  <c r="BK483" i="674" s="1"/>
  <c r="BB483" i="674"/>
  <c r="BC483" i="674" s="1"/>
  <c r="AT483" i="674"/>
  <c r="AU483" i="674" s="1"/>
  <c r="AL483" i="674"/>
  <c r="AM483" i="674" s="1"/>
  <c r="AD483" i="674"/>
  <c r="AE483" i="674" s="1"/>
  <c r="V483" i="674"/>
  <c r="W483" i="674" s="1"/>
  <c r="N483" i="674"/>
  <c r="O483" i="674" s="1"/>
  <c r="CX482" i="674"/>
  <c r="CY482" i="674" s="1"/>
  <c r="CP482" i="674"/>
  <c r="CQ482" i="674" s="1"/>
  <c r="CH482" i="674"/>
  <c r="CI482" i="674" s="1"/>
  <c r="BZ482" i="674"/>
  <c r="CA482" i="674" s="1"/>
  <c r="BR482" i="674"/>
  <c r="BS482" i="674" s="1"/>
  <c r="BJ482" i="674"/>
  <c r="BK482" i="674" s="1"/>
  <c r="BB482" i="674"/>
  <c r="BC482" i="674" s="1"/>
  <c r="AT482" i="674"/>
  <c r="AU482" i="674" s="1"/>
  <c r="AL482" i="674"/>
  <c r="AM482" i="674" s="1"/>
  <c r="AD482" i="674"/>
  <c r="AE482" i="674" s="1"/>
  <c r="V482" i="674"/>
  <c r="W482" i="674" s="1"/>
  <c r="N482" i="674"/>
  <c r="O482" i="674" s="1"/>
  <c r="CX481" i="674"/>
  <c r="CY481" i="674" s="1"/>
  <c r="CP481" i="674"/>
  <c r="CQ481" i="674" s="1"/>
  <c r="CH481" i="674"/>
  <c r="CI481" i="674" s="1"/>
  <c r="BZ481" i="674"/>
  <c r="CA481" i="674" s="1"/>
  <c r="BR481" i="674"/>
  <c r="BS481" i="674" s="1"/>
  <c r="BJ481" i="674"/>
  <c r="BK481" i="674" s="1"/>
  <c r="BB481" i="674"/>
  <c r="BC481" i="674" s="1"/>
  <c r="AT481" i="674"/>
  <c r="AU481" i="674" s="1"/>
  <c r="AL481" i="674"/>
  <c r="AM481" i="674" s="1"/>
  <c r="AD481" i="674"/>
  <c r="AE481" i="674" s="1"/>
  <c r="V481" i="674"/>
  <c r="W481" i="674" s="1"/>
  <c r="N481" i="674"/>
  <c r="O481" i="674" s="1"/>
  <c r="CX480" i="674"/>
  <c r="CY480" i="674" s="1"/>
  <c r="CP480" i="674"/>
  <c r="CQ480" i="674" s="1"/>
  <c r="CH480" i="674"/>
  <c r="CI480" i="674" s="1"/>
  <c r="BZ480" i="674"/>
  <c r="CA480" i="674" s="1"/>
  <c r="BR480" i="674"/>
  <c r="BS480" i="674" s="1"/>
  <c r="BJ480" i="674"/>
  <c r="BK480" i="674" s="1"/>
  <c r="BB480" i="674"/>
  <c r="BC480" i="674" s="1"/>
  <c r="AT480" i="674"/>
  <c r="AU480" i="674" s="1"/>
  <c r="AL480" i="674"/>
  <c r="AM480" i="674" s="1"/>
  <c r="AD480" i="674"/>
  <c r="AE480" i="674" s="1"/>
  <c r="V480" i="674"/>
  <c r="W480" i="674" s="1"/>
  <c r="N480" i="674"/>
  <c r="O480" i="674" s="1"/>
  <c r="CX479" i="674"/>
  <c r="CY479" i="674" s="1"/>
  <c r="CP479" i="674"/>
  <c r="CQ479" i="674" s="1"/>
  <c r="CH479" i="674"/>
  <c r="CI479" i="674" s="1"/>
  <c r="BZ479" i="674"/>
  <c r="CA479" i="674" s="1"/>
  <c r="BR479" i="674"/>
  <c r="BS479" i="674" s="1"/>
  <c r="BJ479" i="674"/>
  <c r="BK479" i="674" s="1"/>
  <c r="BB479" i="674"/>
  <c r="BC479" i="674" s="1"/>
  <c r="AT479" i="674"/>
  <c r="AU479" i="674" s="1"/>
  <c r="AL479" i="674"/>
  <c r="AM479" i="674" s="1"/>
  <c r="AD479" i="674"/>
  <c r="AE479" i="674" s="1"/>
  <c r="V479" i="674"/>
  <c r="W479" i="674" s="1"/>
  <c r="N479" i="674"/>
  <c r="O479" i="674" s="1"/>
  <c r="CX478" i="674"/>
  <c r="CY478" i="674" s="1"/>
  <c r="CP478" i="674"/>
  <c r="CQ478" i="674" s="1"/>
  <c r="CH478" i="674"/>
  <c r="CI478" i="674" s="1"/>
  <c r="BZ478" i="674"/>
  <c r="CA478" i="674" s="1"/>
  <c r="BR478" i="674"/>
  <c r="BS478" i="674" s="1"/>
  <c r="BJ478" i="674"/>
  <c r="BK478" i="674" s="1"/>
  <c r="BB478" i="674"/>
  <c r="BC478" i="674" s="1"/>
  <c r="AT478" i="674"/>
  <c r="AU478" i="674" s="1"/>
  <c r="AL478" i="674"/>
  <c r="AM478" i="674" s="1"/>
  <c r="AD478" i="674"/>
  <c r="AE478" i="674" s="1"/>
  <c r="V478" i="674"/>
  <c r="W478" i="674" s="1"/>
  <c r="N478" i="674"/>
  <c r="O478" i="674" s="1"/>
  <c r="CX477" i="674"/>
  <c r="CY477" i="674" s="1"/>
  <c r="CP477" i="674"/>
  <c r="CQ477" i="674" s="1"/>
  <c r="CH477" i="674"/>
  <c r="CI477" i="674" s="1"/>
  <c r="BZ477" i="674"/>
  <c r="CA477" i="674" s="1"/>
  <c r="BR477" i="674"/>
  <c r="BS477" i="674" s="1"/>
  <c r="BJ477" i="674"/>
  <c r="BK477" i="674" s="1"/>
  <c r="BB477" i="674"/>
  <c r="BC477" i="674" s="1"/>
  <c r="AT477" i="674"/>
  <c r="AU477" i="674" s="1"/>
  <c r="AL477" i="674"/>
  <c r="AM477" i="674" s="1"/>
  <c r="AD477" i="674"/>
  <c r="AE477" i="674" s="1"/>
  <c r="V477" i="674"/>
  <c r="W477" i="674" s="1"/>
  <c r="N477" i="674"/>
  <c r="O477" i="674" s="1"/>
  <c r="CX476" i="674"/>
  <c r="CY476" i="674" s="1"/>
  <c r="CP476" i="674"/>
  <c r="CQ476" i="674" s="1"/>
  <c r="CH476" i="674"/>
  <c r="CI476" i="674" s="1"/>
  <c r="BZ476" i="674"/>
  <c r="CA476" i="674" s="1"/>
  <c r="BR476" i="674"/>
  <c r="BS476" i="674" s="1"/>
  <c r="BJ476" i="674"/>
  <c r="BK476" i="674" s="1"/>
  <c r="BB476" i="674"/>
  <c r="BC476" i="674" s="1"/>
  <c r="AT476" i="674"/>
  <c r="AU476" i="674" s="1"/>
  <c r="AL476" i="674"/>
  <c r="AM476" i="674" s="1"/>
  <c r="AD476" i="674"/>
  <c r="AE476" i="674" s="1"/>
  <c r="V476" i="674"/>
  <c r="W476" i="674" s="1"/>
  <c r="N476" i="674"/>
  <c r="O476" i="674" s="1"/>
  <c r="CX475" i="674"/>
  <c r="CY475" i="674" s="1"/>
  <c r="CP475" i="674"/>
  <c r="CQ475" i="674" s="1"/>
  <c r="CH475" i="674"/>
  <c r="CI475" i="674" s="1"/>
  <c r="BZ475" i="674"/>
  <c r="CA475" i="674" s="1"/>
  <c r="BR475" i="674"/>
  <c r="BS475" i="674" s="1"/>
  <c r="BJ475" i="674"/>
  <c r="BK475" i="674" s="1"/>
  <c r="BB475" i="674"/>
  <c r="BC475" i="674" s="1"/>
  <c r="AT475" i="674"/>
  <c r="AU475" i="674" s="1"/>
  <c r="AL475" i="674"/>
  <c r="AM475" i="674" s="1"/>
  <c r="AD475" i="674"/>
  <c r="AE475" i="674" s="1"/>
  <c r="V475" i="674"/>
  <c r="W475" i="674" s="1"/>
  <c r="N475" i="674"/>
  <c r="O475" i="674" s="1"/>
  <c r="CX474" i="674"/>
  <c r="CY474" i="674" s="1"/>
  <c r="CP474" i="674"/>
  <c r="CQ474" i="674" s="1"/>
  <c r="CH474" i="674"/>
  <c r="CI474" i="674" s="1"/>
  <c r="BZ474" i="674"/>
  <c r="CA474" i="674" s="1"/>
  <c r="BR474" i="674"/>
  <c r="BS474" i="674" s="1"/>
  <c r="BJ474" i="674"/>
  <c r="BK474" i="674" s="1"/>
  <c r="BB474" i="674"/>
  <c r="BC474" i="674" s="1"/>
  <c r="AT474" i="674"/>
  <c r="AU474" i="674" s="1"/>
  <c r="AL474" i="674"/>
  <c r="AM474" i="674" s="1"/>
  <c r="AD474" i="674"/>
  <c r="AE474" i="674" s="1"/>
  <c r="V474" i="674"/>
  <c r="W474" i="674" s="1"/>
  <c r="N474" i="674"/>
  <c r="O474" i="674" s="1"/>
  <c r="CX473" i="674"/>
  <c r="CY473" i="674" s="1"/>
  <c r="CP473" i="674"/>
  <c r="CQ473" i="674" s="1"/>
  <c r="CH473" i="674"/>
  <c r="CI473" i="674" s="1"/>
  <c r="BZ473" i="674"/>
  <c r="CA473" i="674" s="1"/>
  <c r="BR473" i="674"/>
  <c r="BS473" i="674" s="1"/>
  <c r="BJ473" i="674"/>
  <c r="BK473" i="674" s="1"/>
  <c r="BB473" i="674"/>
  <c r="BC473" i="674" s="1"/>
  <c r="AT473" i="674"/>
  <c r="AU473" i="674" s="1"/>
  <c r="AL473" i="674"/>
  <c r="AM473" i="674" s="1"/>
  <c r="AD473" i="674"/>
  <c r="AE473" i="674" s="1"/>
  <c r="V473" i="674"/>
  <c r="W473" i="674" s="1"/>
  <c r="N473" i="674"/>
  <c r="O473" i="674" s="1"/>
  <c r="CX472" i="674"/>
  <c r="CY472" i="674" s="1"/>
  <c r="CP472" i="674"/>
  <c r="CQ472" i="674" s="1"/>
  <c r="CH472" i="674"/>
  <c r="CI472" i="674" s="1"/>
  <c r="BZ472" i="674"/>
  <c r="CA472" i="674" s="1"/>
  <c r="BR472" i="674"/>
  <c r="BS472" i="674" s="1"/>
  <c r="BJ472" i="674"/>
  <c r="BK472" i="674" s="1"/>
  <c r="BB472" i="674"/>
  <c r="BC472" i="674" s="1"/>
  <c r="AT472" i="674"/>
  <c r="AU472" i="674" s="1"/>
  <c r="AL472" i="674"/>
  <c r="AM472" i="674" s="1"/>
  <c r="AD472" i="674"/>
  <c r="AE472" i="674" s="1"/>
  <c r="V472" i="674"/>
  <c r="W472" i="674" s="1"/>
  <c r="N472" i="674"/>
  <c r="O472" i="674" s="1"/>
  <c r="CX471" i="674"/>
  <c r="CY471" i="674" s="1"/>
  <c r="CP471" i="674"/>
  <c r="CQ471" i="674" s="1"/>
  <c r="CH471" i="674"/>
  <c r="CI471" i="674" s="1"/>
  <c r="BZ471" i="674"/>
  <c r="CA471" i="674" s="1"/>
  <c r="BR471" i="674"/>
  <c r="BS471" i="674" s="1"/>
  <c r="BJ471" i="674"/>
  <c r="BK471" i="674" s="1"/>
  <c r="BB471" i="674"/>
  <c r="BC471" i="674" s="1"/>
  <c r="AT471" i="674"/>
  <c r="AU471" i="674" s="1"/>
  <c r="AL471" i="674"/>
  <c r="AM471" i="674" s="1"/>
  <c r="AD471" i="674"/>
  <c r="AE471" i="674" s="1"/>
  <c r="V471" i="674"/>
  <c r="W471" i="674" s="1"/>
  <c r="N471" i="674"/>
  <c r="O471" i="674" s="1"/>
  <c r="CX470" i="674"/>
  <c r="CY470" i="674" s="1"/>
  <c r="CP470" i="674"/>
  <c r="CQ470" i="674" s="1"/>
  <c r="CH470" i="674"/>
  <c r="CI470" i="674" s="1"/>
  <c r="BZ470" i="674"/>
  <c r="CA470" i="674" s="1"/>
  <c r="BR470" i="674"/>
  <c r="BS470" i="674" s="1"/>
  <c r="BJ470" i="674"/>
  <c r="BK470" i="674" s="1"/>
  <c r="BB470" i="674"/>
  <c r="BC470" i="674" s="1"/>
  <c r="AT470" i="674"/>
  <c r="AU470" i="674" s="1"/>
  <c r="AL470" i="674"/>
  <c r="AM470" i="674" s="1"/>
  <c r="AD470" i="674"/>
  <c r="AE470" i="674" s="1"/>
  <c r="V470" i="674"/>
  <c r="W470" i="674" s="1"/>
  <c r="N470" i="674"/>
  <c r="O470" i="674" s="1"/>
  <c r="CX469" i="674"/>
  <c r="CY469" i="674" s="1"/>
  <c r="CP469" i="674"/>
  <c r="CQ469" i="674" s="1"/>
  <c r="CH469" i="674"/>
  <c r="CI469" i="674" s="1"/>
  <c r="BZ469" i="674"/>
  <c r="CA469" i="674" s="1"/>
  <c r="BR469" i="674"/>
  <c r="BS469" i="674" s="1"/>
  <c r="BJ469" i="674"/>
  <c r="BK469" i="674" s="1"/>
  <c r="BB469" i="674"/>
  <c r="BC469" i="674" s="1"/>
  <c r="AT469" i="674"/>
  <c r="AU469" i="674" s="1"/>
  <c r="AL469" i="674"/>
  <c r="AM469" i="674" s="1"/>
  <c r="AD469" i="674"/>
  <c r="AE469" i="674" s="1"/>
  <c r="V469" i="674"/>
  <c r="W469" i="674" s="1"/>
  <c r="N469" i="674"/>
  <c r="O469" i="674" s="1"/>
  <c r="CX468" i="674"/>
  <c r="CY468" i="674" s="1"/>
  <c r="CP468" i="674"/>
  <c r="CQ468" i="674" s="1"/>
  <c r="CH468" i="674"/>
  <c r="CI468" i="674" s="1"/>
  <c r="BZ468" i="674"/>
  <c r="CA468" i="674" s="1"/>
  <c r="BR468" i="674"/>
  <c r="BS468" i="674" s="1"/>
  <c r="BJ468" i="674"/>
  <c r="BK468" i="674" s="1"/>
  <c r="BB468" i="674"/>
  <c r="BC468" i="674" s="1"/>
  <c r="AT468" i="674"/>
  <c r="AU468" i="674" s="1"/>
  <c r="AL468" i="674"/>
  <c r="AM468" i="674" s="1"/>
  <c r="AD468" i="674"/>
  <c r="AE468" i="674" s="1"/>
  <c r="V468" i="674"/>
  <c r="W468" i="674" s="1"/>
  <c r="N468" i="674"/>
  <c r="O468" i="674" s="1"/>
  <c r="CX467" i="674"/>
  <c r="CY467" i="674" s="1"/>
  <c r="CP467" i="674"/>
  <c r="CQ467" i="674" s="1"/>
  <c r="CH467" i="674"/>
  <c r="CI467" i="674" s="1"/>
  <c r="BZ467" i="674"/>
  <c r="CA467" i="674" s="1"/>
  <c r="BR467" i="674"/>
  <c r="BS467" i="674" s="1"/>
  <c r="BJ467" i="674"/>
  <c r="BK467" i="674" s="1"/>
  <c r="BB467" i="674"/>
  <c r="BC467" i="674" s="1"/>
  <c r="AT467" i="674"/>
  <c r="AU467" i="674" s="1"/>
  <c r="AL467" i="674"/>
  <c r="AM467" i="674" s="1"/>
  <c r="AD467" i="674"/>
  <c r="AE467" i="674" s="1"/>
  <c r="V467" i="674"/>
  <c r="W467" i="674" s="1"/>
  <c r="N467" i="674"/>
  <c r="O467" i="674" s="1"/>
  <c r="CX466" i="674"/>
  <c r="CY466" i="674" s="1"/>
  <c r="CP466" i="674"/>
  <c r="CQ466" i="674" s="1"/>
  <c r="CH466" i="674"/>
  <c r="CI466" i="674" s="1"/>
  <c r="BZ466" i="674"/>
  <c r="CA466" i="674" s="1"/>
  <c r="BR466" i="674"/>
  <c r="BS466" i="674" s="1"/>
  <c r="BJ466" i="674"/>
  <c r="BK466" i="674" s="1"/>
  <c r="BB466" i="674"/>
  <c r="BC466" i="674" s="1"/>
  <c r="AT466" i="674"/>
  <c r="AU466" i="674" s="1"/>
  <c r="AL466" i="674"/>
  <c r="AM466" i="674" s="1"/>
  <c r="AD466" i="674"/>
  <c r="AE466" i="674" s="1"/>
  <c r="V466" i="674"/>
  <c r="W466" i="674" s="1"/>
  <c r="N466" i="674"/>
  <c r="O466" i="674" s="1"/>
  <c r="CX465" i="674"/>
  <c r="CY465" i="674" s="1"/>
  <c r="CP465" i="674"/>
  <c r="CQ465" i="674" s="1"/>
  <c r="CH465" i="674"/>
  <c r="CI465" i="674" s="1"/>
  <c r="BZ465" i="674"/>
  <c r="CA465" i="674" s="1"/>
  <c r="BR465" i="674"/>
  <c r="BS465" i="674" s="1"/>
  <c r="BJ465" i="674"/>
  <c r="BK465" i="674" s="1"/>
  <c r="BB465" i="674"/>
  <c r="BC465" i="674" s="1"/>
  <c r="AT465" i="674"/>
  <c r="AU465" i="674" s="1"/>
  <c r="AL465" i="674"/>
  <c r="AM465" i="674" s="1"/>
  <c r="AD465" i="674"/>
  <c r="AE465" i="674" s="1"/>
  <c r="V465" i="674"/>
  <c r="W465" i="674" s="1"/>
  <c r="N465" i="674"/>
  <c r="O465" i="674" s="1"/>
  <c r="CX464" i="674"/>
  <c r="CY464" i="674" s="1"/>
  <c r="CP464" i="674"/>
  <c r="CQ464" i="674" s="1"/>
  <c r="CH464" i="674"/>
  <c r="CI464" i="674" s="1"/>
  <c r="BZ464" i="674"/>
  <c r="CA464" i="674" s="1"/>
  <c r="BR464" i="674"/>
  <c r="BS464" i="674" s="1"/>
  <c r="BJ464" i="674"/>
  <c r="BK464" i="674" s="1"/>
  <c r="BB464" i="674"/>
  <c r="BC464" i="674" s="1"/>
  <c r="AT464" i="674"/>
  <c r="AU464" i="674" s="1"/>
  <c r="AL464" i="674"/>
  <c r="AM464" i="674" s="1"/>
  <c r="AD464" i="674"/>
  <c r="AE464" i="674" s="1"/>
  <c r="V464" i="674"/>
  <c r="W464" i="674" s="1"/>
  <c r="N464" i="674"/>
  <c r="O464" i="674" s="1"/>
  <c r="CX463" i="674"/>
  <c r="CY463" i="674" s="1"/>
  <c r="CP463" i="674"/>
  <c r="CQ463" i="674" s="1"/>
  <c r="CH463" i="674"/>
  <c r="CI463" i="674" s="1"/>
  <c r="BZ463" i="674"/>
  <c r="CA463" i="674" s="1"/>
  <c r="BR463" i="674"/>
  <c r="BS463" i="674" s="1"/>
  <c r="BJ463" i="674"/>
  <c r="BK463" i="674" s="1"/>
  <c r="BB463" i="674"/>
  <c r="BC463" i="674" s="1"/>
  <c r="AT463" i="674"/>
  <c r="AU463" i="674" s="1"/>
  <c r="AL463" i="674"/>
  <c r="AM463" i="674" s="1"/>
  <c r="AD463" i="674"/>
  <c r="AE463" i="674" s="1"/>
  <c r="V463" i="674"/>
  <c r="W463" i="674" s="1"/>
  <c r="N463" i="674"/>
  <c r="O463" i="674" s="1"/>
  <c r="CX462" i="674"/>
  <c r="CY462" i="674" s="1"/>
  <c r="CP462" i="674"/>
  <c r="CQ462" i="674" s="1"/>
  <c r="CH462" i="674"/>
  <c r="CI462" i="674" s="1"/>
  <c r="BZ462" i="674"/>
  <c r="CA462" i="674" s="1"/>
  <c r="BR462" i="674"/>
  <c r="BS462" i="674" s="1"/>
  <c r="BJ462" i="674"/>
  <c r="BK462" i="674" s="1"/>
  <c r="BB462" i="674"/>
  <c r="BC462" i="674" s="1"/>
  <c r="AT462" i="674"/>
  <c r="AU462" i="674" s="1"/>
  <c r="AL462" i="674"/>
  <c r="AM462" i="674" s="1"/>
  <c r="AD462" i="674"/>
  <c r="AE462" i="674" s="1"/>
  <c r="V462" i="674"/>
  <c r="W462" i="674" s="1"/>
  <c r="N462" i="674"/>
  <c r="O462" i="674" s="1"/>
  <c r="CX461" i="674"/>
  <c r="CY461" i="674" s="1"/>
  <c r="CP461" i="674"/>
  <c r="CQ461" i="674" s="1"/>
  <c r="CH461" i="674"/>
  <c r="CI461" i="674" s="1"/>
  <c r="BZ461" i="674"/>
  <c r="CA461" i="674" s="1"/>
  <c r="BR461" i="674"/>
  <c r="BS461" i="674" s="1"/>
  <c r="BJ461" i="674"/>
  <c r="BK461" i="674" s="1"/>
  <c r="BB461" i="674"/>
  <c r="BC461" i="674" s="1"/>
  <c r="AT461" i="674"/>
  <c r="AU461" i="674" s="1"/>
  <c r="AL461" i="674"/>
  <c r="AM461" i="674" s="1"/>
  <c r="AD461" i="674"/>
  <c r="AE461" i="674" s="1"/>
  <c r="V461" i="674"/>
  <c r="W461" i="674" s="1"/>
  <c r="N461" i="674"/>
  <c r="O461" i="674" s="1"/>
  <c r="CX460" i="674"/>
  <c r="CY460" i="674" s="1"/>
  <c r="CP460" i="674"/>
  <c r="CQ460" i="674" s="1"/>
  <c r="CH460" i="674"/>
  <c r="CI460" i="674" s="1"/>
  <c r="BZ460" i="674"/>
  <c r="CA460" i="674" s="1"/>
  <c r="BR460" i="674"/>
  <c r="BS460" i="674" s="1"/>
  <c r="BJ460" i="674"/>
  <c r="BK460" i="674" s="1"/>
  <c r="BB460" i="674"/>
  <c r="BC460" i="674" s="1"/>
  <c r="AT460" i="674"/>
  <c r="AU460" i="674" s="1"/>
  <c r="AL460" i="674"/>
  <c r="AM460" i="674" s="1"/>
  <c r="AD460" i="674"/>
  <c r="AE460" i="674" s="1"/>
  <c r="V460" i="674"/>
  <c r="W460" i="674" s="1"/>
  <c r="N460" i="674"/>
  <c r="O460" i="674" s="1"/>
  <c r="CX459" i="674"/>
  <c r="CY459" i="674" s="1"/>
  <c r="CP459" i="674"/>
  <c r="CQ459" i="674" s="1"/>
  <c r="CH459" i="674"/>
  <c r="CI459" i="674" s="1"/>
  <c r="BZ459" i="674"/>
  <c r="CA459" i="674" s="1"/>
  <c r="BR459" i="674"/>
  <c r="BS459" i="674" s="1"/>
  <c r="BJ459" i="674"/>
  <c r="BK459" i="674" s="1"/>
  <c r="BB459" i="674"/>
  <c r="BC459" i="674" s="1"/>
  <c r="AT459" i="674"/>
  <c r="AU459" i="674" s="1"/>
  <c r="AL459" i="674"/>
  <c r="AM459" i="674" s="1"/>
  <c r="AD459" i="674"/>
  <c r="AE459" i="674" s="1"/>
  <c r="V459" i="674"/>
  <c r="W459" i="674" s="1"/>
  <c r="N459" i="674"/>
  <c r="O459" i="674" s="1"/>
  <c r="CX458" i="674"/>
  <c r="CY458" i="674" s="1"/>
  <c r="CP458" i="674"/>
  <c r="CQ458" i="674" s="1"/>
  <c r="CH458" i="674"/>
  <c r="CI458" i="674" s="1"/>
  <c r="BZ458" i="674"/>
  <c r="CA458" i="674" s="1"/>
  <c r="BR458" i="674"/>
  <c r="BS458" i="674" s="1"/>
  <c r="BJ458" i="674"/>
  <c r="BK458" i="674" s="1"/>
  <c r="BB458" i="674"/>
  <c r="BC458" i="674" s="1"/>
  <c r="AT458" i="674"/>
  <c r="AU458" i="674" s="1"/>
  <c r="AL458" i="674"/>
  <c r="AM458" i="674" s="1"/>
  <c r="AD458" i="674"/>
  <c r="AE458" i="674" s="1"/>
  <c r="V458" i="674"/>
  <c r="W458" i="674" s="1"/>
  <c r="N458" i="674"/>
  <c r="O458" i="674" s="1"/>
  <c r="CX457" i="674"/>
  <c r="CY457" i="674" s="1"/>
  <c r="CP457" i="674"/>
  <c r="CQ457" i="674" s="1"/>
  <c r="CH457" i="674"/>
  <c r="CI457" i="674" s="1"/>
  <c r="BZ457" i="674"/>
  <c r="CA457" i="674" s="1"/>
  <c r="BR457" i="674"/>
  <c r="BS457" i="674" s="1"/>
  <c r="BJ457" i="674"/>
  <c r="BK457" i="674" s="1"/>
  <c r="BB457" i="674"/>
  <c r="BC457" i="674" s="1"/>
  <c r="AT457" i="674"/>
  <c r="AU457" i="674" s="1"/>
  <c r="AL457" i="674"/>
  <c r="AM457" i="674" s="1"/>
  <c r="AD457" i="674"/>
  <c r="AE457" i="674" s="1"/>
  <c r="V457" i="674"/>
  <c r="W457" i="674" s="1"/>
  <c r="N457" i="674"/>
  <c r="O457" i="674" s="1"/>
  <c r="CX456" i="674"/>
  <c r="CY456" i="674" s="1"/>
  <c r="CP456" i="674"/>
  <c r="CQ456" i="674" s="1"/>
  <c r="CH456" i="674"/>
  <c r="CI456" i="674" s="1"/>
  <c r="BZ456" i="674"/>
  <c r="CA456" i="674" s="1"/>
  <c r="BR456" i="674"/>
  <c r="BS456" i="674" s="1"/>
  <c r="BJ456" i="674"/>
  <c r="BK456" i="674" s="1"/>
  <c r="BB456" i="674"/>
  <c r="BC456" i="674" s="1"/>
  <c r="AT456" i="674"/>
  <c r="AU456" i="674" s="1"/>
  <c r="AL456" i="674"/>
  <c r="AM456" i="674" s="1"/>
  <c r="AD456" i="674"/>
  <c r="AE456" i="674" s="1"/>
  <c r="V456" i="674"/>
  <c r="W456" i="674" s="1"/>
  <c r="N456" i="674"/>
  <c r="O456" i="674" s="1"/>
  <c r="CX455" i="674"/>
  <c r="CY455" i="674" s="1"/>
  <c r="CP455" i="674"/>
  <c r="CQ455" i="674" s="1"/>
  <c r="CH455" i="674"/>
  <c r="CI455" i="674" s="1"/>
  <c r="BZ455" i="674"/>
  <c r="CA455" i="674" s="1"/>
  <c r="BR455" i="674"/>
  <c r="BS455" i="674" s="1"/>
  <c r="BJ455" i="674"/>
  <c r="BK455" i="674" s="1"/>
  <c r="BB455" i="674"/>
  <c r="BC455" i="674" s="1"/>
  <c r="AT455" i="674"/>
  <c r="AU455" i="674" s="1"/>
  <c r="AL455" i="674"/>
  <c r="AM455" i="674" s="1"/>
  <c r="AD455" i="674"/>
  <c r="AE455" i="674" s="1"/>
  <c r="V455" i="674"/>
  <c r="W455" i="674" s="1"/>
  <c r="N455" i="674"/>
  <c r="O455" i="674" s="1"/>
  <c r="CX454" i="674"/>
  <c r="CY454" i="674" s="1"/>
  <c r="CP454" i="674"/>
  <c r="CQ454" i="674" s="1"/>
  <c r="CH454" i="674"/>
  <c r="CI454" i="674" s="1"/>
  <c r="BZ454" i="674"/>
  <c r="CA454" i="674" s="1"/>
  <c r="BR454" i="674"/>
  <c r="BS454" i="674" s="1"/>
  <c r="BJ454" i="674"/>
  <c r="BK454" i="674" s="1"/>
  <c r="BB454" i="674"/>
  <c r="BC454" i="674" s="1"/>
  <c r="AT454" i="674"/>
  <c r="AU454" i="674" s="1"/>
  <c r="AL454" i="674"/>
  <c r="AM454" i="674" s="1"/>
  <c r="AD454" i="674"/>
  <c r="AE454" i="674" s="1"/>
  <c r="V454" i="674"/>
  <c r="W454" i="674" s="1"/>
  <c r="N454" i="674"/>
  <c r="O454" i="674" s="1"/>
  <c r="CX453" i="674"/>
  <c r="CY453" i="674" s="1"/>
  <c r="CP453" i="674"/>
  <c r="CQ453" i="674" s="1"/>
  <c r="CH453" i="674"/>
  <c r="CI453" i="674" s="1"/>
  <c r="BZ453" i="674"/>
  <c r="CA453" i="674" s="1"/>
  <c r="BR453" i="674"/>
  <c r="BS453" i="674" s="1"/>
  <c r="BJ453" i="674"/>
  <c r="BK453" i="674" s="1"/>
  <c r="BB453" i="674"/>
  <c r="BC453" i="674" s="1"/>
  <c r="AT453" i="674"/>
  <c r="AU453" i="674" s="1"/>
  <c r="AL453" i="674"/>
  <c r="AM453" i="674" s="1"/>
  <c r="AD453" i="674"/>
  <c r="AE453" i="674" s="1"/>
  <c r="V453" i="674"/>
  <c r="W453" i="674" s="1"/>
  <c r="N453" i="674"/>
  <c r="O453" i="674" s="1"/>
  <c r="CX452" i="674"/>
  <c r="CY452" i="674" s="1"/>
  <c r="CP452" i="674"/>
  <c r="CQ452" i="674" s="1"/>
  <c r="CH452" i="674"/>
  <c r="CI452" i="674" s="1"/>
  <c r="BZ452" i="674"/>
  <c r="CA452" i="674" s="1"/>
  <c r="BR452" i="674"/>
  <c r="BS452" i="674" s="1"/>
  <c r="BJ452" i="674"/>
  <c r="BK452" i="674" s="1"/>
  <c r="BB452" i="674"/>
  <c r="BC452" i="674" s="1"/>
  <c r="AT452" i="674"/>
  <c r="AU452" i="674" s="1"/>
  <c r="AL452" i="674"/>
  <c r="AM452" i="674" s="1"/>
  <c r="AD452" i="674"/>
  <c r="AE452" i="674" s="1"/>
  <c r="V452" i="674"/>
  <c r="W452" i="674" s="1"/>
  <c r="N452" i="674"/>
  <c r="O452" i="674" s="1"/>
  <c r="CX451" i="674"/>
  <c r="CY451" i="674" s="1"/>
  <c r="CP451" i="674"/>
  <c r="CQ451" i="674" s="1"/>
  <c r="CH451" i="674"/>
  <c r="CI451" i="674" s="1"/>
  <c r="BZ451" i="674"/>
  <c r="CA451" i="674" s="1"/>
  <c r="BR451" i="674"/>
  <c r="BS451" i="674" s="1"/>
  <c r="BJ451" i="674"/>
  <c r="BK451" i="674" s="1"/>
  <c r="BB451" i="674"/>
  <c r="BC451" i="674" s="1"/>
  <c r="AT451" i="674"/>
  <c r="AU451" i="674" s="1"/>
  <c r="AL451" i="674"/>
  <c r="AM451" i="674" s="1"/>
  <c r="AD451" i="674"/>
  <c r="AE451" i="674" s="1"/>
  <c r="V451" i="674"/>
  <c r="W451" i="674" s="1"/>
  <c r="N451" i="674"/>
  <c r="O451" i="674" s="1"/>
  <c r="CX450" i="674"/>
  <c r="CY450" i="674" s="1"/>
  <c r="CP450" i="674"/>
  <c r="CQ450" i="674" s="1"/>
  <c r="CH450" i="674"/>
  <c r="CI450" i="674" s="1"/>
  <c r="BZ450" i="674"/>
  <c r="CA450" i="674" s="1"/>
  <c r="BR450" i="674"/>
  <c r="BS450" i="674" s="1"/>
  <c r="BJ450" i="674"/>
  <c r="BK450" i="674" s="1"/>
  <c r="BB450" i="674"/>
  <c r="BC450" i="674" s="1"/>
  <c r="AT450" i="674"/>
  <c r="AU450" i="674" s="1"/>
  <c r="AL450" i="674"/>
  <c r="AM450" i="674" s="1"/>
  <c r="AD450" i="674"/>
  <c r="AE450" i="674" s="1"/>
  <c r="V450" i="674"/>
  <c r="W450" i="674" s="1"/>
  <c r="N450" i="674"/>
  <c r="O450" i="674" s="1"/>
  <c r="CX449" i="674"/>
  <c r="CY449" i="674" s="1"/>
  <c r="CP449" i="674"/>
  <c r="CQ449" i="674" s="1"/>
  <c r="CH449" i="674"/>
  <c r="CI449" i="674" s="1"/>
  <c r="BZ449" i="674"/>
  <c r="CA449" i="674" s="1"/>
  <c r="BR449" i="674"/>
  <c r="BS449" i="674" s="1"/>
  <c r="BJ449" i="674"/>
  <c r="BK449" i="674" s="1"/>
  <c r="BB449" i="674"/>
  <c r="BC449" i="674" s="1"/>
  <c r="AT449" i="674"/>
  <c r="AU449" i="674" s="1"/>
  <c r="AL449" i="674"/>
  <c r="AM449" i="674" s="1"/>
  <c r="AD449" i="674"/>
  <c r="AE449" i="674" s="1"/>
  <c r="V449" i="674"/>
  <c r="W449" i="674" s="1"/>
  <c r="N449" i="674"/>
  <c r="O449" i="674" s="1"/>
  <c r="CX448" i="674"/>
  <c r="CY448" i="674" s="1"/>
  <c r="CP448" i="674"/>
  <c r="CQ448" i="674" s="1"/>
  <c r="CH448" i="674"/>
  <c r="CI448" i="674" s="1"/>
  <c r="BZ448" i="674"/>
  <c r="CA448" i="674" s="1"/>
  <c r="BR448" i="674"/>
  <c r="BS448" i="674" s="1"/>
  <c r="BJ448" i="674"/>
  <c r="BK448" i="674" s="1"/>
  <c r="BB448" i="674"/>
  <c r="BC448" i="674" s="1"/>
  <c r="AT448" i="674"/>
  <c r="AU448" i="674" s="1"/>
  <c r="AL448" i="674"/>
  <c r="AM448" i="674" s="1"/>
  <c r="AD448" i="674"/>
  <c r="AE448" i="674" s="1"/>
  <c r="V448" i="674"/>
  <c r="W448" i="674" s="1"/>
  <c r="N448" i="674"/>
  <c r="O448" i="674" s="1"/>
  <c r="CX447" i="674"/>
  <c r="CY447" i="674" s="1"/>
  <c r="CP447" i="674"/>
  <c r="CQ447" i="674" s="1"/>
  <c r="CH447" i="674"/>
  <c r="CI447" i="674" s="1"/>
  <c r="BZ447" i="674"/>
  <c r="CA447" i="674" s="1"/>
  <c r="BR447" i="674"/>
  <c r="BS447" i="674" s="1"/>
  <c r="BJ447" i="674"/>
  <c r="BK447" i="674" s="1"/>
  <c r="BB447" i="674"/>
  <c r="BC447" i="674" s="1"/>
  <c r="AT447" i="674"/>
  <c r="AU447" i="674" s="1"/>
  <c r="AL447" i="674"/>
  <c r="AM447" i="674" s="1"/>
  <c r="AD447" i="674"/>
  <c r="AE447" i="674" s="1"/>
  <c r="V447" i="674"/>
  <c r="W447" i="674" s="1"/>
  <c r="N447" i="674"/>
  <c r="O447" i="674" s="1"/>
  <c r="CX446" i="674"/>
  <c r="CY446" i="674" s="1"/>
  <c r="CP446" i="674"/>
  <c r="CQ446" i="674" s="1"/>
  <c r="CH446" i="674"/>
  <c r="CI446" i="674" s="1"/>
  <c r="BZ446" i="674"/>
  <c r="CA446" i="674" s="1"/>
  <c r="BR446" i="674"/>
  <c r="BS446" i="674" s="1"/>
  <c r="BJ446" i="674"/>
  <c r="BK446" i="674" s="1"/>
  <c r="BB446" i="674"/>
  <c r="BC446" i="674" s="1"/>
  <c r="AT446" i="674"/>
  <c r="AU446" i="674" s="1"/>
  <c r="AL446" i="674"/>
  <c r="AM446" i="674" s="1"/>
  <c r="AD446" i="674"/>
  <c r="AE446" i="674" s="1"/>
  <c r="V446" i="674"/>
  <c r="W446" i="674" s="1"/>
  <c r="N446" i="674"/>
  <c r="O446" i="674" s="1"/>
  <c r="CX445" i="674"/>
  <c r="CY445" i="674" s="1"/>
  <c r="CP445" i="674"/>
  <c r="CQ445" i="674" s="1"/>
  <c r="CH445" i="674"/>
  <c r="CI445" i="674" s="1"/>
  <c r="BZ445" i="674"/>
  <c r="CA445" i="674" s="1"/>
  <c r="BR445" i="674"/>
  <c r="BS445" i="674" s="1"/>
  <c r="BJ445" i="674"/>
  <c r="BK445" i="674" s="1"/>
  <c r="BB445" i="674"/>
  <c r="BC445" i="674" s="1"/>
  <c r="AT445" i="674"/>
  <c r="AU445" i="674" s="1"/>
  <c r="AL445" i="674"/>
  <c r="AM445" i="674" s="1"/>
  <c r="AD445" i="674"/>
  <c r="AE445" i="674" s="1"/>
  <c r="V445" i="674"/>
  <c r="W445" i="674" s="1"/>
  <c r="N445" i="674"/>
  <c r="O445" i="674" s="1"/>
  <c r="CX444" i="674"/>
  <c r="CY444" i="674" s="1"/>
  <c r="CP444" i="674"/>
  <c r="CQ444" i="674" s="1"/>
  <c r="CH444" i="674"/>
  <c r="CI444" i="674" s="1"/>
  <c r="BZ444" i="674"/>
  <c r="CA444" i="674" s="1"/>
  <c r="BR444" i="674"/>
  <c r="BS444" i="674" s="1"/>
  <c r="BJ444" i="674"/>
  <c r="BK444" i="674" s="1"/>
  <c r="BB444" i="674"/>
  <c r="BC444" i="674" s="1"/>
  <c r="AT444" i="674"/>
  <c r="AU444" i="674" s="1"/>
  <c r="AL444" i="674"/>
  <c r="AM444" i="674" s="1"/>
  <c r="AD444" i="674"/>
  <c r="AE444" i="674" s="1"/>
  <c r="V444" i="674"/>
  <c r="W444" i="674" s="1"/>
  <c r="N444" i="674"/>
  <c r="O444" i="674" s="1"/>
  <c r="CX443" i="674"/>
  <c r="CY443" i="674" s="1"/>
  <c r="CP443" i="674"/>
  <c r="CQ443" i="674" s="1"/>
  <c r="CH443" i="674"/>
  <c r="CI443" i="674" s="1"/>
  <c r="BZ443" i="674"/>
  <c r="CA443" i="674" s="1"/>
  <c r="BR443" i="674"/>
  <c r="BS443" i="674" s="1"/>
  <c r="BJ443" i="674"/>
  <c r="BK443" i="674" s="1"/>
  <c r="BB443" i="674"/>
  <c r="BC443" i="674" s="1"/>
  <c r="AT443" i="674"/>
  <c r="AU443" i="674" s="1"/>
  <c r="AL443" i="674"/>
  <c r="AM443" i="674" s="1"/>
  <c r="AD443" i="674"/>
  <c r="AE443" i="674" s="1"/>
  <c r="V443" i="674"/>
  <c r="W443" i="674" s="1"/>
  <c r="N443" i="674"/>
  <c r="O443" i="674" s="1"/>
  <c r="CX442" i="674"/>
  <c r="CY442" i="674" s="1"/>
  <c r="CP442" i="674"/>
  <c r="CQ442" i="674" s="1"/>
  <c r="CH442" i="674"/>
  <c r="CI442" i="674" s="1"/>
  <c r="BZ442" i="674"/>
  <c r="CA442" i="674" s="1"/>
  <c r="BR442" i="674"/>
  <c r="BS442" i="674" s="1"/>
  <c r="BJ442" i="674"/>
  <c r="BK442" i="674" s="1"/>
  <c r="BB442" i="674"/>
  <c r="BC442" i="674" s="1"/>
  <c r="AT442" i="674"/>
  <c r="AU442" i="674" s="1"/>
  <c r="AL442" i="674"/>
  <c r="AM442" i="674" s="1"/>
  <c r="AD442" i="674"/>
  <c r="AE442" i="674" s="1"/>
  <c r="V442" i="674"/>
  <c r="W442" i="674" s="1"/>
  <c r="N442" i="674"/>
  <c r="O442" i="674" s="1"/>
  <c r="CX441" i="674"/>
  <c r="CY441" i="674" s="1"/>
  <c r="CP441" i="674"/>
  <c r="CQ441" i="674" s="1"/>
  <c r="CH441" i="674"/>
  <c r="CI441" i="674" s="1"/>
  <c r="BZ441" i="674"/>
  <c r="CA441" i="674" s="1"/>
  <c r="BR441" i="674"/>
  <c r="BS441" i="674" s="1"/>
  <c r="BJ441" i="674"/>
  <c r="BK441" i="674" s="1"/>
  <c r="BB441" i="674"/>
  <c r="BC441" i="674" s="1"/>
  <c r="AT441" i="674"/>
  <c r="AU441" i="674" s="1"/>
  <c r="AL441" i="674"/>
  <c r="AM441" i="674" s="1"/>
  <c r="AD441" i="674"/>
  <c r="AE441" i="674" s="1"/>
  <c r="V441" i="674"/>
  <c r="W441" i="674" s="1"/>
  <c r="N441" i="674"/>
  <c r="O441" i="674" s="1"/>
  <c r="CX440" i="674"/>
  <c r="CY440" i="674" s="1"/>
  <c r="CP440" i="674"/>
  <c r="CQ440" i="674" s="1"/>
  <c r="CH440" i="674"/>
  <c r="CI440" i="674" s="1"/>
  <c r="BZ440" i="674"/>
  <c r="CA440" i="674" s="1"/>
  <c r="BR440" i="674"/>
  <c r="BS440" i="674" s="1"/>
  <c r="BJ440" i="674"/>
  <c r="BK440" i="674" s="1"/>
  <c r="BB440" i="674"/>
  <c r="BC440" i="674" s="1"/>
  <c r="AT440" i="674"/>
  <c r="AU440" i="674" s="1"/>
  <c r="AL440" i="674"/>
  <c r="AM440" i="674" s="1"/>
  <c r="AD440" i="674"/>
  <c r="AE440" i="674" s="1"/>
  <c r="V440" i="674"/>
  <c r="W440" i="674" s="1"/>
  <c r="N440" i="674"/>
  <c r="O440" i="674" s="1"/>
  <c r="CX439" i="674"/>
  <c r="CY439" i="674" s="1"/>
  <c r="CP439" i="674"/>
  <c r="CQ439" i="674" s="1"/>
  <c r="CH439" i="674"/>
  <c r="CI439" i="674" s="1"/>
  <c r="BZ439" i="674"/>
  <c r="CA439" i="674" s="1"/>
  <c r="BR439" i="674"/>
  <c r="BS439" i="674" s="1"/>
  <c r="BJ439" i="674"/>
  <c r="BK439" i="674" s="1"/>
  <c r="BB439" i="674"/>
  <c r="BC439" i="674" s="1"/>
  <c r="AT439" i="674"/>
  <c r="AU439" i="674" s="1"/>
  <c r="AL439" i="674"/>
  <c r="AM439" i="674" s="1"/>
  <c r="AD439" i="674"/>
  <c r="AE439" i="674" s="1"/>
  <c r="V439" i="674"/>
  <c r="W439" i="674" s="1"/>
  <c r="N439" i="674"/>
  <c r="O439" i="674" s="1"/>
  <c r="CX438" i="674"/>
  <c r="CY438" i="674" s="1"/>
  <c r="CP438" i="674"/>
  <c r="CQ438" i="674" s="1"/>
  <c r="CH438" i="674"/>
  <c r="CI438" i="674" s="1"/>
  <c r="BZ438" i="674"/>
  <c r="CA438" i="674" s="1"/>
  <c r="BR438" i="674"/>
  <c r="BS438" i="674" s="1"/>
  <c r="BJ438" i="674"/>
  <c r="BK438" i="674" s="1"/>
  <c r="BB438" i="674"/>
  <c r="BC438" i="674" s="1"/>
  <c r="AT438" i="674"/>
  <c r="AU438" i="674" s="1"/>
  <c r="AL438" i="674"/>
  <c r="AM438" i="674" s="1"/>
  <c r="AD438" i="674"/>
  <c r="AE438" i="674" s="1"/>
  <c r="V438" i="674"/>
  <c r="W438" i="674" s="1"/>
  <c r="N438" i="674"/>
  <c r="O438" i="674" s="1"/>
  <c r="CX437" i="674"/>
  <c r="CY437" i="674" s="1"/>
  <c r="CP437" i="674"/>
  <c r="CQ437" i="674" s="1"/>
  <c r="CH437" i="674"/>
  <c r="CI437" i="674" s="1"/>
  <c r="BZ437" i="674"/>
  <c r="CA437" i="674" s="1"/>
  <c r="BR437" i="674"/>
  <c r="BS437" i="674" s="1"/>
  <c r="BJ437" i="674"/>
  <c r="BK437" i="674" s="1"/>
  <c r="BB437" i="674"/>
  <c r="BC437" i="674" s="1"/>
  <c r="AT437" i="674"/>
  <c r="AU437" i="674" s="1"/>
  <c r="AL437" i="674"/>
  <c r="AM437" i="674" s="1"/>
  <c r="AD437" i="674"/>
  <c r="AE437" i="674" s="1"/>
  <c r="V437" i="674"/>
  <c r="W437" i="674" s="1"/>
  <c r="N437" i="674"/>
  <c r="O437" i="674" s="1"/>
  <c r="CX436" i="674"/>
  <c r="CY436" i="674" s="1"/>
  <c r="CP436" i="674"/>
  <c r="CQ436" i="674" s="1"/>
  <c r="CH436" i="674"/>
  <c r="CI436" i="674" s="1"/>
  <c r="BZ436" i="674"/>
  <c r="CA436" i="674" s="1"/>
  <c r="BR436" i="674"/>
  <c r="BS436" i="674" s="1"/>
  <c r="BJ436" i="674"/>
  <c r="BK436" i="674" s="1"/>
  <c r="BB436" i="674"/>
  <c r="BC436" i="674" s="1"/>
  <c r="AT436" i="674"/>
  <c r="AU436" i="674" s="1"/>
  <c r="AL436" i="674"/>
  <c r="AM436" i="674" s="1"/>
  <c r="AD436" i="674"/>
  <c r="AE436" i="674" s="1"/>
  <c r="V436" i="674"/>
  <c r="W436" i="674" s="1"/>
  <c r="N436" i="674"/>
  <c r="O436" i="674" s="1"/>
  <c r="CX435" i="674"/>
  <c r="CY435" i="674" s="1"/>
  <c r="CP435" i="674"/>
  <c r="CQ435" i="674" s="1"/>
  <c r="CH435" i="674"/>
  <c r="CI435" i="674" s="1"/>
  <c r="BZ435" i="674"/>
  <c r="CA435" i="674" s="1"/>
  <c r="BR435" i="674"/>
  <c r="BS435" i="674" s="1"/>
  <c r="BJ435" i="674"/>
  <c r="BK435" i="674" s="1"/>
  <c r="BB435" i="674"/>
  <c r="BC435" i="674" s="1"/>
  <c r="AT435" i="674"/>
  <c r="AU435" i="674" s="1"/>
  <c r="AL435" i="674"/>
  <c r="AM435" i="674" s="1"/>
  <c r="AD435" i="674"/>
  <c r="AE435" i="674" s="1"/>
  <c r="V435" i="674"/>
  <c r="W435" i="674" s="1"/>
  <c r="N435" i="674"/>
  <c r="O435" i="674" s="1"/>
  <c r="CX434" i="674"/>
  <c r="CY434" i="674" s="1"/>
  <c r="CP434" i="674"/>
  <c r="CQ434" i="674" s="1"/>
  <c r="CH434" i="674"/>
  <c r="CI434" i="674" s="1"/>
  <c r="BZ434" i="674"/>
  <c r="CA434" i="674" s="1"/>
  <c r="BR434" i="674"/>
  <c r="BS434" i="674" s="1"/>
  <c r="BJ434" i="674"/>
  <c r="BK434" i="674" s="1"/>
  <c r="BB434" i="674"/>
  <c r="BC434" i="674" s="1"/>
  <c r="AT434" i="674"/>
  <c r="AU434" i="674" s="1"/>
  <c r="AL434" i="674"/>
  <c r="AM434" i="674" s="1"/>
  <c r="AD434" i="674"/>
  <c r="AE434" i="674" s="1"/>
  <c r="V434" i="674"/>
  <c r="W434" i="674" s="1"/>
  <c r="N434" i="674"/>
  <c r="O434" i="674" s="1"/>
  <c r="CX433" i="674"/>
  <c r="CY433" i="674" s="1"/>
  <c r="CP433" i="674"/>
  <c r="CQ433" i="674" s="1"/>
  <c r="CH433" i="674"/>
  <c r="CI433" i="674" s="1"/>
  <c r="BZ433" i="674"/>
  <c r="CA433" i="674" s="1"/>
  <c r="BR433" i="674"/>
  <c r="BS433" i="674" s="1"/>
  <c r="BJ433" i="674"/>
  <c r="BK433" i="674" s="1"/>
  <c r="BB433" i="674"/>
  <c r="BC433" i="674" s="1"/>
  <c r="AT433" i="674"/>
  <c r="AU433" i="674" s="1"/>
  <c r="AL433" i="674"/>
  <c r="AM433" i="674" s="1"/>
  <c r="AD433" i="674"/>
  <c r="AE433" i="674" s="1"/>
  <c r="V433" i="674"/>
  <c r="W433" i="674" s="1"/>
  <c r="N433" i="674"/>
  <c r="O433" i="674" s="1"/>
  <c r="CX432" i="674"/>
  <c r="CY432" i="674" s="1"/>
  <c r="CP432" i="674"/>
  <c r="CQ432" i="674" s="1"/>
  <c r="CH432" i="674"/>
  <c r="CI432" i="674" s="1"/>
  <c r="BZ432" i="674"/>
  <c r="CA432" i="674" s="1"/>
  <c r="BR432" i="674"/>
  <c r="BS432" i="674" s="1"/>
  <c r="BJ432" i="674"/>
  <c r="BK432" i="674" s="1"/>
  <c r="BB432" i="674"/>
  <c r="BC432" i="674" s="1"/>
  <c r="AT432" i="674"/>
  <c r="AU432" i="674" s="1"/>
  <c r="AL432" i="674"/>
  <c r="AM432" i="674" s="1"/>
  <c r="AD432" i="674"/>
  <c r="AE432" i="674" s="1"/>
  <c r="V432" i="674"/>
  <c r="W432" i="674" s="1"/>
  <c r="N432" i="674"/>
  <c r="O432" i="674" s="1"/>
  <c r="CX431" i="674"/>
  <c r="CY431" i="674" s="1"/>
  <c r="CP431" i="674"/>
  <c r="CQ431" i="674" s="1"/>
  <c r="CH431" i="674"/>
  <c r="CI431" i="674" s="1"/>
  <c r="BZ431" i="674"/>
  <c r="CA431" i="674" s="1"/>
  <c r="BR431" i="674"/>
  <c r="BS431" i="674" s="1"/>
  <c r="BJ431" i="674"/>
  <c r="BK431" i="674" s="1"/>
  <c r="BB431" i="674"/>
  <c r="BC431" i="674" s="1"/>
  <c r="AT431" i="674"/>
  <c r="AU431" i="674" s="1"/>
  <c r="AL431" i="674"/>
  <c r="AM431" i="674" s="1"/>
  <c r="AD431" i="674"/>
  <c r="AE431" i="674" s="1"/>
  <c r="V431" i="674"/>
  <c r="W431" i="674" s="1"/>
  <c r="N431" i="674"/>
  <c r="O431" i="674" s="1"/>
  <c r="CX430" i="674"/>
  <c r="CY430" i="674" s="1"/>
  <c r="CP430" i="674"/>
  <c r="CQ430" i="674" s="1"/>
  <c r="CH430" i="674"/>
  <c r="CI430" i="674" s="1"/>
  <c r="BZ430" i="674"/>
  <c r="CA430" i="674" s="1"/>
  <c r="BR430" i="674"/>
  <c r="BS430" i="674" s="1"/>
  <c r="BJ430" i="674"/>
  <c r="BK430" i="674" s="1"/>
  <c r="BB430" i="674"/>
  <c r="BC430" i="674" s="1"/>
  <c r="AT430" i="674"/>
  <c r="AU430" i="674" s="1"/>
  <c r="AL430" i="674"/>
  <c r="AM430" i="674" s="1"/>
  <c r="AD430" i="674"/>
  <c r="AE430" i="674" s="1"/>
  <c r="V430" i="674"/>
  <c r="W430" i="674" s="1"/>
  <c r="N430" i="674"/>
  <c r="O430" i="674" s="1"/>
  <c r="CX429" i="674"/>
  <c r="CY429" i="674" s="1"/>
  <c r="CP429" i="674"/>
  <c r="CQ429" i="674" s="1"/>
  <c r="CH429" i="674"/>
  <c r="CI429" i="674" s="1"/>
  <c r="BZ429" i="674"/>
  <c r="CA429" i="674" s="1"/>
  <c r="BR429" i="674"/>
  <c r="BS429" i="674" s="1"/>
  <c r="BJ429" i="674"/>
  <c r="BK429" i="674" s="1"/>
  <c r="BB429" i="674"/>
  <c r="BC429" i="674" s="1"/>
  <c r="AT429" i="674"/>
  <c r="AU429" i="674" s="1"/>
  <c r="AL429" i="674"/>
  <c r="AM429" i="674" s="1"/>
  <c r="AD429" i="674"/>
  <c r="AE429" i="674" s="1"/>
  <c r="V429" i="674"/>
  <c r="W429" i="674" s="1"/>
  <c r="N429" i="674"/>
  <c r="O429" i="674" s="1"/>
  <c r="CX428" i="674"/>
  <c r="CY428" i="674" s="1"/>
  <c r="CP428" i="674"/>
  <c r="CQ428" i="674" s="1"/>
  <c r="CH428" i="674"/>
  <c r="CI428" i="674" s="1"/>
  <c r="BZ428" i="674"/>
  <c r="CA428" i="674" s="1"/>
  <c r="BR428" i="674"/>
  <c r="BS428" i="674" s="1"/>
  <c r="BJ428" i="674"/>
  <c r="BK428" i="674" s="1"/>
  <c r="BB428" i="674"/>
  <c r="BC428" i="674" s="1"/>
  <c r="AT428" i="674"/>
  <c r="AU428" i="674" s="1"/>
  <c r="AL428" i="674"/>
  <c r="AM428" i="674" s="1"/>
  <c r="AD428" i="674"/>
  <c r="AE428" i="674" s="1"/>
  <c r="V428" i="674"/>
  <c r="W428" i="674" s="1"/>
  <c r="N428" i="674"/>
  <c r="O428" i="674" s="1"/>
  <c r="CX427" i="674"/>
  <c r="CY427" i="674" s="1"/>
  <c r="CP427" i="674"/>
  <c r="CQ427" i="674" s="1"/>
  <c r="CH427" i="674"/>
  <c r="CI427" i="674" s="1"/>
  <c r="BZ427" i="674"/>
  <c r="CA427" i="674" s="1"/>
  <c r="BR427" i="674"/>
  <c r="BS427" i="674" s="1"/>
  <c r="BJ427" i="674"/>
  <c r="BK427" i="674" s="1"/>
  <c r="BB427" i="674"/>
  <c r="BC427" i="674" s="1"/>
  <c r="AT427" i="674"/>
  <c r="AU427" i="674" s="1"/>
  <c r="AL427" i="674"/>
  <c r="AM427" i="674" s="1"/>
  <c r="AD427" i="674"/>
  <c r="AE427" i="674" s="1"/>
  <c r="V427" i="674"/>
  <c r="W427" i="674" s="1"/>
  <c r="N427" i="674"/>
  <c r="O427" i="674" s="1"/>
  <c r="CX426" i="674"/>
  <c r="CY426" i="674" s="1"/>
  <c r="CP426" i="674"/>
  <c r="CQ426" i="674" s="1"/>
  <c r="CH426" i="674"/>
  <c r="CI426" i="674" s="1"/>
  <c r="BZ426" i="674"/>
  <c r="CA426" i="674" s="1"/>
  <c r="BR426" i="674"/>
  <c r="BS426" i="674" s="1"/>
  <c r="BJ426" i="674"/>
  <c r="BK426" i="674" s="1"/>
  <c r="BB426" i="674"/>
  <c r="BC426" i="674" s="1"/>
  <c r="AT426" i="674"/>
  <c r="AU426" i="674" s="1"/>
  <c r="AL426" i="674"/>
  <c r="AM426" i="674" s="1"/>
  <c r="AD426" i="674"/>
  <c r="AE426" i="674" s="1"/>
  <c r="V426" i="674"/>
  <c r="W426" i="674" s="1"/>
  <c r="N426" i="674"/>
  <c r="O426" i="674" s="1"/>
  <c r="CX425" i="674"/>
  <c r="CY425" i="674" s="1"/>
  <c r="CP425" i="674"/>
  <c r="CQ425" i="674" s="1"/>
  <c r="CH425" i="674"/>
  <c r="CI425" i="674" s="1"/>
  <c r="BZ425" i="674"/>
  <c r="CA425" i="674" s="1"/>
  <c r="BR425" i="674"/>
  <c r="BS425" i="674" s="1"/>
  <c r="BJ425" i="674"/>
  <c r="BK425" i="674" s="1"/>
  <c r="BB425" i="674"/>
  <c r="BC425" i="674" s="1"/>
  <c r="AT425" i="674"/>
  <c r="AU425" i="674" s="1"/>
  <c r="AL425" i="674"/>
  <c r="AM425" i="674" s="1"/>
  <c r="AD425" i="674"/>
  <c r="AE425" i="674" s="1"/>
  <c r="V425" i="674"/>
  <c r="W425" i="674" s="1"/>
  <c r="N425" i="674"/>
  <c r="O425" i="674" s="1"/>
  <c r="CX424" i="674"/>
  <c r="CY424" i="674" s="1"/>
  <c r="CP424" i="674"/>
  <c r="CQ424" i="674" s="1"/>
  <c r="CH424" i="674"/>
  <c r="CI424" i="674" s="1"/>
  <c r="BZ424" i="674"/>
  <c r="CA424" i="674" s="1"/>
  <c r="BR424" i="674"/>
  <c r="BS424" i="674" s="1"/>
  <c r="BJ424" i="674"/>
  <c r="BK424" i="674" s="1"/>
  <c r="BB424" i="674"/>
  <c r="BC424" i="674" s="1"/>
  <c r="AT424" i="674"/>
  <c r="AU424" i="674" s="1"/>
  <c r="AL424" i="674"/>
  <c r="AM424" i="674" s="1"/>
  <c r="AD424" i="674"/>
  <c r="AE424" i="674" s="1"/>
  <c r="V424" i="674"/>
  <c r="W424" i="674" s="1"/>
  <c r="N424" i="674"/>
  <c r="O424" i="674" s="1"/>
  <c r="CX423" i="674"/>
  <c r="CY423" i="674" s="1"/>
  <c r="CP423" i="674"/>
  <c r="CQ423" i="674" s="1"/>
  <c r="CH423" i="674"/>
  <c r="CI423" i="674" s="1"/>
  <c r="BZ423" i="674"/>
  <c r="CA423" i="674" s="1"/>
  <c r="BR423" i="674"/>
  <c r="BS423" i="674" s="1"/>
  <c r="BJ423" i="674"/>
  <c r="BK423" i="674" s="1"/>
  <c r="BB423" i="674"/>
  <c r="BC423" i="674" s="1"/>
  <c r="AT423" i="674"/>
  <c r="AU423" i="674" s="1"/>
  <c r="AL423" i="674"/>
  <c r="AM423" i="674" s="1"/>
  <c r="AD423" i="674"/>
  <c r="AE423" i="674" s="1"/>
  <c r="V423" i="674"/>
  <c r="W423" i="674" s="1"/>
  <c r="N423" i="674"/>
  <c r="O423" i="674" s="1"/>
  <c r="CX422" i="674"/>
  <c r="CY422" i="674" s="1"/>
  <c r="CP422" i="674"/>
  <c r="CQ422" i="674" s="1"/>
  <c r="CH422" i="674"/>
  <c r="CI422" i="674" s="1"/>
  <c r="BZ422" i="674"/>
  <c r="CA422" i="674" s="1"/>
  <c r="BR422" i="674"/>
  <c r="BS422" i="674" s="1"/>
  <c r="BJ422" i="674"/>
  <c r="BK422" i="674" s="1"/>
  <c r="BB422" i="674"/>
  <c r="BC422" i="674" s="1"/>
  <c r="AT422" i="674"/>
  <c r="AU422" i="674" s="1"/>
  <c r="AL422" i="674"/>
  <c r="AM422" i="674" s="1"/>
  <c r="AD422" i="674"/>
  <c r="AE422" i="674" s="1"/>
  <c r="V422" i="674"/>
  <c r="W422" i="674" s="1"/>
  <c r="N422" i="674"/>
  <c r="O422" i="674" s="1"/>
  <c r="CX421" i="674"/>
  <c r="CY421" i="674" s="1"/>
  <c r="CP421" i="674"/>
  <c r="CQ421" i="674" s="1"/>
  <c r="CH421" i="674"/>
  <c r="CI421" i="674" s="1"/>
  <c r="BZ421" i="674"/>
  <c r="CA421" i="674" s="1"/>
  <c r="BR421" i="674"/>
  <c r="BS421" i="674" s="1"/>
  <c r="BJ421" i="674"/>
  <c r="BK421" i="674" s="1"/>
  <c r="BB421" i="674"/>
  <c r="BC421" i="674" s="1"/>
  <c r="AT421" i="674"/>
  <c r="AU421" i="674" s="1"/>
  <c r="AL421" i="674"/>
  <c r="AM421" i="674" s="1"/>
  <c r="AD421" i="674"/>
  <c r="AE421" i="674" s="1"/>
  <c r="V421" i="674"/>
  <c r="W421" i="674" s="1"/>
  <c r="N421" i="674"/>
  <c r="O421" i="674" s="1"/>
  <c r="CX420" i="674"/>
  <c r="CY420" i="674" s="1"/>
  <c r="CP420" i="674"/>
  <c r="CQ420" i="674" s="1"/>
  <c r="CH420" i="674"/>
  <c r="CI420" i="674" s="1"/>
  <c r="BZ420" i="674"/>
  <c r="CA420" i="674" s="1"/>
  <c r="BR420" i="674"/>
  <c r="BS420" i="674" s="1"/>
  <c r="BJ420" i="674"/>
  <c r="BK420" i="674" s="1"/>
  <c r="BB420" i="674"/>
  <c r="BC420" i="674" s="1"/>
  <c r="AT420" i="674"/>
  <c r="AU420" i="674" s="1"/>
  <c r="AL420" i="674"/>
  <c r="AM420" i="674" s="1"/>
  <c r="AD420" i="674"/>
  <c r="AE420" i="674" s="1"/>
  <c r="V420" i="674"/>
  <c r="W420" i="674" s="1"/>
  <c r="N420" i="674"/>
  <c r="O420" i="674" s="1"/>
  <c r="CX419" i="674"/>
  <c r="CY419" i="674" s="1"/>
  <c r="CP419" i="674"/>
  <c r="CQ419" i="674" s="1"/>
  <c r="CH419" i="674"/>
  <c r="CI419" i="674" s="1"/>
  <c r="BZ419" i="674"/>
  <c r="CA419" i="674" s="1"/>
  <c r="BR419" i="674"/>
  <c r="BS419" i="674" s="1"/>
  <c r="BJ419" i="674"/>
  <c r="BK419" i="674" s="1"/>
  <c r="BB419" i="674"/>
  <c r="BC419" i="674" s="1"/>
  <c r="AT419" i="674"/>
  <c r="AU419" i="674" s="1"/>
  <c r="AL419" i="674"/>
  <c r="AM419" i="674" s="1"/>
  <c r="AD419" i="674"/>
  <c r="AE419" i="674" s="1"/>
  <c r="V419" i="674"/>
  <c r="W419" i="674" s="1"/>
  <c r="N419" i="674"/>
  <c r="O419" i="674" s="1"/>
  <c r="CX418" i="674"/>
  <c r="CY418" i="674" s="1"/>
  <c r="CP418" i="674"/>
  <c r="CQ418" i="674" s="1"/>
  <c r="CH418" i="674"/>
  <c r="CI418" i="674" s="1"/>
  <c r="BZ418" i="674"/>
  <c r="CA418" i="674" s="1"/>
  <c r="BR418" i="674"/>
  <c r="BS418" i="674" s="1"/>
  <c r="BJ418" i="674"/>
  <c r="BK418" i="674" s="1"/>
  <c r="BB418" i="674"/>
  <c r="BC418" i="674" s="1"/>
  <c r="AT418" i="674"/>
  <c r="AU418" i="674" s="1"/>
  <c r="AL418" i="674"/>
  <c r="AM418" i="674" s="1"/>
  <c r="AD418" i="674"/>
  <c r="AE418" i="674" s="1"/>
  <c r="V418" i="674"/>
  <c r="W418" i="674" s="1"/>
  <c r="N418" i="674"/>
  <c r="O418" i="674" s="1"/>
  <c r="CX417" i="674"/>
  <c r="CY417" i="674" s="1"/>
  <c r="CP417" i="674"/>
  <c r="CQ417" i="674" s="1"/>
  <c r="CH417" i="674"/>
  <c r="CI417" i="674" s="1"/>
  <c r="BZ417" i="674"/>
  <c r="CA417" i="674" s="1"/>
  <c r="BR417" i="674"/>
  <c r="BS417" i="674" s="1"/>
  <c r="BJ417" i="674"/>
  <c r="BK417" i="674" s="1"/>
  <c r="BB417" i="674"/>
  <c r="BC417" i="674" s="1"/>
  <c r="AT417" i="674"/>
  <c r="AU417" i="674" s="1"/>
  <c r="AL417" i="674"/>
  <c r="AM417" i="674" s="1"/>
  <c r="AD417" i="674"/>
  <c r="AE417" i="674" s="1"/>
  <c r="V417" i="674"/>
  <c r="W417" i="674" s="1"/>
  <c r="N417" i="674"/>
  <c r="O417" i="674" s="1"/>
  <c r="CX416" i="674"/>
  <c r="CY416" i="674" s="1"/>
  <c r="CP416" i="674"/>
  <c r="CQ416" i="674" s="1"/>
  <c r="CH416" i="674"/>
  <c r="CI416" i="674" s="1"/>
  <c r="BZ416" i="674"/>
  <c r="CA416" i="674" s="1"/>
  <c r="BR416" i="674"/>
  <c r="BS416" i="674" s="1"/>
  <c r="BJ416" i="674"/>
  <c r="BK416" i="674" s="1"/>
  <c r="BB416" i="674"/>
  <c r="BC416" i="674" s="1"/>
  <c r="AT416" i="674"/>
  <c r="AU416" i="674" s="1"/>
  <c r="AL416" i="674"/>
  <c r="AM416" i="674" s="1"/>
  <c r="AD416" i="674"/>
  <c r="AE416" i="674" s="1"/>
  <c r="V416" i="674"/>
  <c r="W416" i="674" s="1"/>
  <c r="N416" i="674"/>
  <c r="O416" i="674" s="1"/>
  <c r="CX415" i="674"/>
  <c r="CY415" i="674" s="1"/>
  <c r="CP415" i="674"/>
  <c r="CQ415" i="674" s="1"/>
  <c r="CH415" i="674"/>
  <c r="CI415" i="674" s="1"/>
  <c r="BZ415" i="674"/>
  <c r="CA415" i="674" s="1"/>
  <c r="BR415" i="674"/>
  <c r="BS415" i="674" s="1"/>
  <c r="BJ415" i="674"/>
  <c r="BK415" i="674" s="1"/>
  <c r="BB415" i="674"/>
  <c r="BC415" i="674" s="1"/>
  <c r="AT415" i="674"/>
  <c r="AU415" i="674" s="1"/>
  <c r="AL415" i="674"/>
  <c r="AM415" i="674" s="1"/>
  <c r="AD415" i="674"/>
  <c r="AE415" i="674" s="1"/>
  <c r="V415" i="674"/>
  <c r="W415" i="674" s="1"/>
  <c r="N415" i="674"/>
  <c r="O415" i="674" s="1"/>
  <c r="CX414" i="674"/>
  <c r="CY414" i="674" s="1"/>
  <c r="CP414" i="674"/>
  <c r="CQ414" i="674" s="1"/>
  <c r="CH414" i="674"/>
  <c r="CI414" i="674" s="1"/>
  <c r="BZ414" i="674"/>
  <c r="CA414" i="674" s="1"/>
  <c r="BR414" i="674"/>
  <c r="BS414" i="674" s="1"/>
  <c r="BJ414" i="674"/>
  <c r="BK414" i="674" s="1"/>
  <c r="BB414" i="674"/>
  <c r="BC414" i="674" s="1"/>
  <c r="AT414" i="674"/>
  <c r="AU414" i="674" s="1"/>
  <c r="AL414" i="674"/>
  <c r="AM414" i="674" s="1"/>
  <c r="AD414" i="674"/>
  <c r="AE414" i="674" s="1"/>
  <c r="V414" i="674"/>
  <c r="W414" i="674" s="1"/>
  <c r="N414" i="674"/>
  <c r="O414" i="674" s="1"/>
  <c r="CX413" i="674"/>
  <c r="CY413" i="674" s="1"/>
  <c r="CP413" i="674"/>
  <c r="CQ413" i="674" s="1"/>
  <c r="CH413" i="674"/>
  <c r="CI413" i="674" s="1"/>
  <c r="BZ413" i="674"/>
  <c r="CA413" i="674" s="1"/>
  <c r="BR413" i="674"/>
  <c r="BS413" i="674" s="1"/>
  <c r="BJ413" i="674"/>
  <c r="BK413" i="674" s="1"/>
  <c r="BB413" i="674"/>
  <c r="BC413" i="674" s="1"/>
  <c r="AT413" i="674"/>
  <c r="AU413" i="674" s="1"/>
  <c r="AL413" i="674"/>
  <c r="AM413" i="674" s="1"/>
  <c r="AD413" i="674"/>
  <c r="AE413" i="674" s="1"/>
  <c r="V413" i="674"/>
  <c r="W413" i="674" s="1"/>
  <c r="N413" i="674"/>
  <c r="O413" i="674" s="1"/>
  <c r="CX412" i="674"/>
  <c r="CY412" i="674" s="1"/>
  <c r="CP412" i="674"/>
  <c r="CQ412" i="674" s="1"/>
  <c r="CH412" i="674"/>
  <c r="CI412" i="674" s="1"/>
  <c r="BZ412" i="674"/>
  <c r="CA412" i="674" s="1"/>
  <c r="BR412" i="674"/>
  <c r="BS412" i="674" s="1"/>
  <c r="BJ412" i="674"/>
  <c r="BK412" i="674" s="1"/>
  <c r="BB412" i="674"/>
  <c r="BC412" i="674" s="1"/>
  <c r="AT412" i="674"/>
  <c r="AU412" i="674" s="1"/>
  <c r="AL412" i="674"/>
  <c r="AM412" i="674" s="1"/>
  <c r="AD412" i="674"/>
  <c r="AE412" i="674" s="1"/>
  <c r="V412" i="674"/>
  <c r="W412" i="674" s="1"/>
  <c r="N412" i="674"/>
  <c r="O412" i="674" s="1"/>
  <c r="CX411" i="674"/>
  <c r="CY411" i="674" s="1"/>
  <c r="CP411" i="674"/>
  <c r="CQ411" i="674" s="1"/>
  <c r="CH411" i="674"/>
  <c r="CI411" i="674" s="1"/>
  <c r="BZ411" i="674"/>
  <c r="CA411" i="674" s="1"/>
  <c r="BR411" i="674"/>
  <c r="BS411" i="674" s="1"/>
  <c r="BJ411" i="674"/>
  <c r="BK411" i="674" s="1"/>
  <c r="BB411" i="674"/>
  <c r="BC411" i="674" s="1"/>
  <c r="AT411" i="674"/>
  <c r="AU411" i="674" s="1"/>
  <c r="AL411" i="674"/>
  <c r="AM411" i="674" s="1"/>
  <c r="AD411" i="674"/>
  <c r="AE411" i="674" s="1"/>
  <c r="V411" i="674"/>
  <c r="W411" i="674" s="1"/>
  <c r="N411" i="674"/>
  <c r="O411" i="674" s="1"/>
  <c r="CX410" i="674"/>
  <c r="CY410" i="674" s="1"/>
  <c r="CP410" i="674"/>
  <c r="CQ410" i="674" s="1"/>
  <c r="CH410" i="674"/>
  <c r="CI410" i="674" s="1"/>
  <c r="BZ410" i="674"/>
  <c r="CA410" i="674" s="1"/>
  <c r="BR410" i="674"/>
  <c r="BS410" i="674" s="1"/>
  <c r="BJ410" i="674"/>
  <c r="BK410" i="674" s="1"/>
  <c r="BB410" i="674"/>
  <c r="BC410" i="674" s="1"/>
  <c r="AT410" i="674"/>
  <c r="AU410" i="674" s="1"/>
  <c r="AL410" i="674"/>
  <c r="AM410" i="674" s="1"/>
  <c r="AD410" i="674"/>
  <c r="AE410" i="674" s="1"/>
  <c r="V410" i="674"/>
  <c r="W410" i="674" s="1"/>
  <c r="N410" i="674"/>
  <c r="O410" i="674" s="1"/>
  <c r="CX409" i="674"/>
  <c r="CY409" i="674" s="1"/>
  <c r="CP409" i="674"/>
  <c r="CQ409" i="674" s="1"/>
  <c r="CH409" i="674"/>
  <c r="CI409" i="674" s="1"/>
  <c r="BZ409" i="674"/>
  <c r="CA409" i="674" s="1"/>
  <c r="BR409" i="674"/>
  <c r="BS409" i="674" s="1"/>
  <c r="BJ409" i="674"/>
  <c r="BK409" i="674" s="1"/>
  <c r="BB409" i="674"/>
  <c r="BC409" i="674" s="1"/>
  <c r="AT409" i="674"/>
  <c r="AU409" i="674" s="1"/>
  <c r="AL409" i="674"/>
  <c r="AM409" i="674" s="1"/>
  <c r="AD409" i="674"/>
  <c r="AE409" i="674" s="1"/>
  <c r="V409" i="674"/>
  <c r="W409" i="674" s="1"/>
  <c r="N409" i="674"/>
  <c r="O409" i="674" s="1"/>
  <c r="CX408" i="674"/>
  <c r="CY408" i="674" s="1"/>
  <c r="CP408" i="674"/>
  <c r="CQ408" i="674" s="1"/>
  <c r="CH408" i="674"/>
  <c r="CI408" i="674" s="1"/>
  <c r="BZ408" i="674"/>
  <c r="CA408" i="674" s="1"/>
  <c r="BR408" i="674"/>
  <c r="BS408" i="674" s="1"/>
  <c r="BJ408" i="674"/>
  <c r="BK408" i="674" s="1"/>
  <c r="BB408" i="674"/>
  <c r="BC408" i="674" s="1"/>
  <c r="AT408" i="674"/>
  <c r="AU408" i="674" s="1"/>
  <c r="AL408" i="674"/>
  <c r="AM408" i="674" s="1"/>
  <c r="AD408" i="674"/>
  <c r="AE408" i="674" s="1"/>
  <c r="V408" i="674"/>
  <c r="W408" i="674" s="1"/>
  <c r="N408" i="674"/>
  <c r="O408" i="674" s="1"/>
  <c r="CX407" i="674"/>
  <c r="CY407" i="674" s="1"/>
  <c r="CP407" i="674"/>
  <c r="CQ407" i="674" s="1"/>
  <c r="CH407" i="674"/>
  <c r="CI407" i="674" s="1"/>
  <c r="BZ407" i="674"/>
  <c r="CA407" i="674" s="1"/>
  <c r="BR407" i="674"/>
  <c r="BS407" i="674" s="1"/>
  <c r="BJ407" i="674"/>
  <c r="BK407" i="674" s="1"/>
  <c r="BB407" i="674"/>
  <c r="BC407" i="674" s="1"/>
  <c r="AT407" i="674"/>
  <c r="AU407" i="674" s="1"/>
  <c r="AL407" i="674"/>
  <c r="AM407" i="674" s="1"/>
  <c r="AD407" i="674"/>
  <c r="AE407" i="674" s="1"/>
  <c r="V407" i="674"/>
  <c r="W407" i="674" s="1"/>
  <c r="N407" i="674"/>
  <c r="O407" i="674" s="1"/>
  <c r="CX406" i="674"/>
  <c r="CY406" i="674" s="1"/>
  <c r="CP406" i="674"/>
  <c r="CQ406" i="674" s="1"/>
  <c r="CH406" i="674"/>
  <c r="CI406" i="674" s="1"/>
  <c r="BZ406" i="674"/>
  <c r="CA406" i="674" s="1"/>
  <c r="BR406" i="674"/>
  <c r="BS406" i="674" s="1"/>
  <c r="BJ406" i="674"/>
  <c r="BK406" i="674" s="1"/>
  <c r="BB406" i="674"/>
  <c r="BC406" i="674" s="1"/>
  <c r="AT406" i="674"/>
  <c r="AU406" i="674" s="1"/>
  <c r="AL406" i="674"/>
  <c r="AM406" i="674" s="1"/>
  <c r="AD406" i="674"/>
  <c r="AE406" i="674" s="1"/>
  <c r="V406" i="674"/>
  <c r="W406" i="674" s="1"/>
  <c r="N406" i="674"/>
  <c r="O406" i="674" s="1"/>
  <c r="CX405" i="674"/>
  <c r="CY405" i="674" s="1"/>
  <c r="CP405" i="674"/>
  <c r="CQ405" i="674" s="1"/>
  <c r="CH405" i="674"/>
  <c r="CI405" i="674" s="1"/>
  <c r="BZ405" i="674"/>
  <c r="CA405" i="674" s="1"/>
  <c r="BR405" i="674"/>
  <c r="BS405" i="674" s="1"/>
  <c r="BJ405" i="674"/>
  <c r="BK405" i="674" s="1"/>
  <c r="BB405" i="674"/>
  <c r="BC405" i="674" s="1"/>
  <c r="AT405" i="674"/>
  <c r="AU405" i="674" s="1"/>
  <c r="AL405" i="674"/>
  <c r="AM405" i="674" s="1"/>
  <c r="AD405" i="674"/>
  <c r="AE405" i="674" s="1"/>
  <c r="V405" i="674"/>
  <c r="W405" i="674" s="1"/>
  <c r="N405" i="674"/>
  <c r="O405" i="674" s="1"/>
  <c r="CX404" i="674"/>
  <c r="CY404" i="674" s="1"/>
  <c r="CP404" i="674"/>
  <c r="CQ404" i="674" s="1"/>
  <c r="CH404" i="674"/>
  <c r="CI404" i="674" s="1"/>
  <c r="BZ404" i="674"/>
  <c r="CA404" i="674" s="1"/>
  <c r="BR404" i="674"/>
  <c r="BS404" i="674" s="1"/>
  <c r="BJ404" i="674"/>
  <c r="BK404" i="674" s="1"/>
  <c r="BB404" i="674"/>
  <c r="BC404" i="674" s="1"/>
  <c r="AT404" i="674"/>
  <c r="AU404" i="674" s="1"/>
  <c r="AL404" i="674"/>
  <c r="AM404" i="674" s="1"/>
  <c r="AD404" i="674"/>
  <c r="AE404" i="674" s="1"/>
  <c r="V404" i="674"/>
  <c r="W404" i="674" s="1"/>
  <c r="N404" i="674"/>
  <c r="O404" i="674" s="1"/>
  <c r="CX403" i="674"/>
  <c r="CY403" i="674" s="1"/>
  <c r="CP403" i="674"/>
  <c r="CQ403" i="674" s="1"/>
  <c r="CH403" i="674"/>
  <c r="CI403" i="674" s="1"/>
  <c r="BZ403" i="674"/>
  <c r="CA403" i="674" s="1"/>
  <c r="BR403" i="674"/>
  <c r="BS403" i="674" s="1"/>
  <c r="BJ403" i="674"/>
  <c r="BK403" i="674" s="1"/>
  <c r="BB403" i="674"/>
  <c r="BC403" i="674" s="1"/>
  <c r="AT403" i="674"/>
  <c r="AU403" i="674" s="1"/>
  <c r="AL403" i="674"/>
  <c r="AM403" i="674" s="1"/>
  <c r="AD403" i="674"/>
  <c r="AE403" i="674" s="1"/>
  <c r="V403" i="674"/>
  <c r="W403" i="674" s="1"/>
  <c r="N403" i="674"/>
  <c r="O403" i="674" s="1"/>
  <c r="CX402" i="674"/>
  <c r="CY402" i="674" s="1"/>
  <c r="CP402" i="674"/>
  <c r="CQ402" i="674" s="1"/>
  <c r="CH402" i="674"/>
  <c r="CI402" i="674" s="1"/>
  <c r="BZ402" i="674"/>
  <c r="CA402" i="674" s="1"/>
  <c r="BR402" i="674"/>
  <c r="BS402" i="674" s="1"/>
  <c r="BJ402" i="674"/>
  <c r="BK402" i="674" s="1"/>
  <c r="BB402" i="674"/>
  <c r="BC402" i="674" s="1"/>
  <c r="AT402" i="674"/>
  <c r="AU402" i="674" s="1"/>
  <c r="AL402" i="674"/>
  <c r="AM402" i="674" s="1"/>
  <c r="AD402" i="674"/>
  <c r="AE402" i="674" s="1"/>
  <c r="V402" i="674"/>
  <c r="W402" i="674" s="1"/>
  <c r="N402" i="674"/>
  <c r="O402" i="674" s="1"/>
  <c r="CX401" i="674"/>
  <c r="CY401" i="674" s="1"/>
  <c r="CP401" i="674"/>
  <c r="CQ401" i="674" s="1"/>
  <c r="CH401" i="674"/>
  <c r="CI401" i="674" s="1"/>
  <c r="BZ401" i="674"/>
  <c r="CA401" i="674" s="1"/>
  <c r="BR401" i="674"/>
  <c r="BS401" i="674" s="1"/>
  <c r="BJ401" i="674"/>
  <c r="BK401" i="674" s="1"/>
  <c r="BB401" i="674"/>
  <c r="BC401" i="674" s="1"/>
  <c r="AT401" i="674"/>
  <c r="AU401" i="674" s="1"/>
  <c r="AL401" i="674"/>
  <c r="AM401" i="674" s="1"/>
  <c r="AD401" i="674"/>
  <c r="AE401" i="674" s="1"/>
  <c r="V401" i="674"/>
  <c r="W401" i="674" s="1"/>
  <c r="N401" i="674"/>
  <c r="O401" i="674" s="1"/>
  <c r="CX400" i="674"/>
  <c r="CY400" i="674" s="1"/>
  <c r="CP400" i="674"/>
  <c r="CQ400" i="674" s="1"/>
  <c r="CH400" i="674"/>
  <c r="CI400" i="674" s="1"/>
  <c r="BZ400" i="674"/>
  <c r="CA400" i="674" s="1"/>
  <c r="BR400" i="674"/>
  <c r="BS400" i="674" s="1"/>
  <c r="BJ400" i="674"/>
  <c r="BK400" i="674" s="1"/>
  <c r="BB400" i="674"/>
  <c r="BC400" i="674" s="1"/>
  <c r="AT400" i="674"/>
  <c r="AU400" i="674" s="1"/>
  <c r="AL400" i="674"/>
  <c r="AM400" i="674" s="1"/>
  <c r="AD400" i="674"/>
  <c r="AE400" i="674" s="1"/>
  <c r="V400" i="674"/>
  <c r="W400" i="674" s="1"/>
  <c r="N400" i="674"/>
  <c r="O400" i="674" s="1"/>
  <c r="CX399" i="674"/>
  <c r="CY399" i="674" s="1"/>
  <c r="CP399" i="674"/>
  <c r="CQ399" i="674" s="1"/>
  <c r="CH399" i="674"/>
  <c r="CI399" i="674" s="1"/>
  <c r="BZ399" i="674"/>
  <c r="CA399" i="674" s="1"/>
  <c r="BR399" i="674"/>
  <c r="BS399" i="674" s="1"/>
  <c r="BJ399" i="674"/>
  <c r="BK399" i="674" s="1"/>
  <c r="BB399" i="674"/>
  <c r="BC399" i="674" s="1"/>
  <c r="AT399" i="674"/>
  <c r="AU399" i="674" s="1"/>
  <c r="AL399" i="674"/>
  <c r="AM399" i="674" s="1"/>
  <c r="AD399" i="674"/>
  <c r="AE399" i="674" s="1"/>
  <c r="V399" i="674"/>
  <c r="W399" i="674" s="1"/>
  <c r="N399" i="674"/>
  <c r="O399" i="674" s="1"/>
  <c r="CX398" i="674"/>
  <c r="CY398" i="674" s="1"/>
  <c r="CP398" i="674"/>
  <c r="CQ398" i="674" s="1"/>
  <c r="CH398" i="674"/>
  <c r="CI398" i="674" s="1"/>
  <c r="BZ398" i="674"/>
  <c r="CA398" i="674" s="1"/>
  <c r="BR398" i="674"/>
  <c r="BS398" i="674" s="1"/>
  <c r="BJ398" i="674"/>
  <c r="BK398" i="674" s="1"/>
  <c r="BB398" i="674"/>
  <c r="BC398" i="674" s="1"/>
  <c r="AT398" i="674"/>
  <c r="AU398" i="674" s="1"/>
  <c r="AL398" i="674"/>
  <c r="AM398" i="674" s="1"/>
  <c r="AD398" i="674"/>
  <c r="AE398" i="674" s="1"/>
  <c r="V398" i="674"/>
  <c r="W398" i="674" s="1"/>
  <c r="N398" i="674"/>
  <c r="O398" i="674" s="1"/>
  <c r="CX397" i="674"/>
  <c r="CY397" i="674" s="1"/>
  <c r="CP397" i="674"/>
  <c r="CQ397" i="674" s="1"/>
  <c r="CH397" i="674"/>
  <c r="CI397" i="674" s="1"/>
  <c r="BZ397" i="674"/>
  <c r="CA397" i="674" s="1"/>
  <c r="BR397" i="674"/>
  <c r="BS397" i="674" s="1"/>
  <c r="BJ397" i="674"/>
  <c r="BK397" i="674" s="1"/>
  <c r="BB397" i="674"/>
  <c r="BC397" i="674" s="1"/>
  <c r="AT397" i="674"/>
  <c r="AU397" i="674" s="1"/>
  <c r="AL397" i="674"/>
  <c r="AM397" i="674" s="1"/>
  <c r="AD397" i="674"/>
  <c r="AE397" i="674" s="1"/>
  <c r="V397" i="674"/>
  <c r="W397" i="674" s="1"/>
  <c r="N397" i="674"/>
  <c r="O397" i="674" s="1"/>
  <c r="CX396" i="674"/>
  <c r="CY396" i="674" s="1"/>
  <c r="CP396" i="674"/>
  <c r="CQ396" i="674" s="1"/>
  <c r="CH396" i="674"/>
  <c r="CI396" i="674" s="1"/>
  <c r="BZ396" i="674"/>
  <c r="CA396" i="674" s="1"/>
  <c r="BR396" i="674"/>
  <c r="BS396" i="674" s="1"/>
  <c r="BJ396" i="674"/>
  <c r="BK396" i="674" s="1"/>
  <c r="BB396" i="674"/>
  <c r="BC396" i="674" s="1"/>
  <c r="AT396" i="674"/>
  <c r="AU396" i="674" s="1"/>
  <c r="AL396" i="674"/>
  <c r="AM396" i="674" s="1"/>
  <c r="AD396" i="674"/>
  <c r="AE396" i="674" s="1"/>
  <c r="V396" i="674"/>
  <c r="W396" i="674" s="1"/>
  <c r="N396" i="674"/>
  <c r="O396" i="674" s="1"/>
  <c r="CX395" i="674"/>
  <c r="CY395" i="674" s="1"/>
  <c r="CP395" i="674"/>
  <c r="CQ395" i="674" s="1"/>
  <c r="CH395" i="674"/>
  <c r="CI395" i="674" s="1"/>
  <c r="BZ395" i="674"/>
  <c r="CA395" i="674" s="1"/>
  <c r="BR395" i="674"/>
  <c r="BS395" i="674" s="1"/>
  <c r="BJ395" i="674"/>
  <c r="BK395" i="674" s="1"/>
  <c r="BB395" i="674"/>
  <c r="BC395" i="674" s="1"/>
  <c r="AT395" i="674"/>
  <c r="AU395" i="674" s="1"/>
  <c r="AL395" i="674"/>
  <c r="AM395" i="674" s="1"/>
  <c r="AD395" i="674"/>
  <c r="AE395" i="674" s="1"/>
  <c r="V395" i="674"/>
  <c r="W395" i="674" s="1"/>
  <c r="N395" i="674"/>
  <c r="O395" i="674" s="1"/>
  <c r="CX394" i="674"/>
  <c r="CY394" i="674" s="1"/>
  <c r="CP394" i="674"/>
  <c r="CQ394" i="674" s="1"/>
  <c r="CH394" i="674"/>
  <c r="CI394" i="674" s="1"/>
  <c r="BZ394" i="674"/>
  <c r="CA394" i="674" s="1"/>
  <c r="BR394" i="674"/>
  <c r="BS394" i="674" s="1"/>
  <c r="BJ394" i="674"/>
  <c r="BK394" i="674" s="1"/>
  <c r="BB394" i="674"/>
  <c r="BC394" i="674" s="1"/>
  <c r="AT394" i="674"/>
  <c r="AU394" i="674" s="1"/>
  <c r="AL394" i="674"/>
  <c r="AM394" i="674" s="1"/>
  <c r="AD394" i="674"/>
  <c r="AE394" i="674" s="1"/>
  <c r="V394" i="674"/>
  <c r="W394" i="674" s="1"/>
  <c r="N394" i="674"/>
  <c r="O394" i="674" s="1"/>
  <c r="CX393" i="674"/>
  <c r="CY393" i="674" s="1"/>
  <c r="CP393" i="674"/>
  <c r="CQ393" i="674" s="1"/>
  <c r="CH393" i="674"/>
  <c r="CI393" i="674" s="1"/>
  <c r="BZ393" i="674"/>
  <c r="CA393" i="674" s="1"/>
  <c r="BR393" i="674"/>
  <c r="BS393" i="674" s="1"/>
  <c r="BJ393" i="674"/>
  <c r="BK393" i="674" s="1"/>
  <c r="BB393" i="674"/>
  <c r="BC393" i="674" s="1"/>
  <c r="AT393" i="674"/>
  <c r="AU393" i="674" s="1"/>
  <c r="AL393" i="674"/>
  <c r="AM393" i="674" s="1"/>
  <c r="AD393" i="674"/>
  <c r="AE393" i="674" s="1"/>
  <c r="V393" i="674"/>
  <c r="W393" i="674" s="1"/>
  <c r="N393" i="674"/>
  <c r="O393" i="674" s="1"/>
  <c r="CX392" i="674"/>
  <c r="CY392" i="674" s="1"/>
  <c r="CP392" i="674"/>
  <c r="CQ392" i="674" s="1"/>
  <c r="CH392" i="674"/>
  <c r="CI392" i="674" s="1"/>
  <c r="BZ392" i="674"/>
  <c r="CA392" i="674" s="1"/>
  <c r="BR392" i="674"/>
  <c r="BS392" i="674" s="1"/>
  <c r="BJ392" i="674"/>
  <c r="BK392" i="674" s="1"/>
  <c r="BB392" i="674"/>
  <c r="BC392" i="674" s="1"/>
  <c r="AT392" i="674"/>
  <c r="AU392" i="674" s="1"/>
  <c r="AL392" i="674"/>
  <c r="AM392" i="674" s="1"/>
  <c r="AD392" i="674"/>
  <c r="AE392" i="674" s="1"/>
  <c r="V392" i="674"/>
  <c r="W392" i="674" s="1"/>
  <c r="N392" i="674"/>
  <c r="O392" i="674" s="1"/>
  <c r="CX391" i="674"/>
  <c r="CY391" i="674" s="1"/>
  <c r="CP391" i="674"/>
  <c r="CQ391" i="674" s="1"/>
  <c r="CH391" i="674"/>
  <c r="CI391" i="674" s="1"/>
  <c r="BZ391" i="674"/>
  <c r="CA391" i="674" s="1"/>
  <c r="BR391" i="674"/>
  <c r="BS391" i="674" s="1"/>
  <c r="BJ391" i="674"/>
  <c r="BK391" i="674" s="1"/>
  <c r="BB391" i="674"/>
  <c r="BC391" i="674" s="1"/>
  <c r="AT391" i="674"/>
  <c r="AU391" i="674" s="1"/>
  <c r="AL391" i="674"/>
  <c r="AM391" i="674" s="1"/>
  <c r="AD391" i="674"/>
  <c r="AE391" i="674" s="1"/>
  <c r="V391" i="674"/>
  <c r="W391" i="674" s="1"/>
  <c r="N391" i="674"/>
  <c r="O391" i="674" s="1"/>
  <c r="CX390" i="674"/>
  <c r="CY390" i="674" s="1"/>
  <c r="CP390" i="674"/>
  <c r="CQ390" i="674" s="1"/>
  <c r="CH390" i="674"/>
  <c r="CI390" i="674" s="1"/>
  <c r="BZ390" i="674"/>
  <c r="CA390" i="674" s="1"/>
  <c r="BR390" i="674"/>
  <c r="BS390" i="674" s="1"/>
  <c r="BJ390" i="674"/>
  <c r="BK390" i="674" s="1"/>
  <c r="BB390" i="674"/>
  <c r="BC390" i="674" s="1"/>
  <c r="AT390" i="674"/>
  <c r="AU390" i="674" s="1"/>
  <c r="AL390" i="674"/>
  <c r="AM390" i="674" s="1"/>
  <c r="AD390" i="674"/>
  <c r="AE390" i="674" s="1"/>
  <c r="V390" i="674"/>
  <c r="W390" i="674" s="1"/>
  <c r="N390" i="674"/>
  <c r="O390" i="674" s="1"/>
  <c r="CX389" i="674"/>
  <c r="CY389" i="674" s="1"/>
  <c r="CP389" i="674"/>
  <c r="CQ389" i="674" s="1"/>
  <c r="CH389" i="674"/>
  <c r="CI389" i="674" s="1"/>
  <c r="BZ389" i="674"/>
  <c r="CA389" i="674" s="1"/>
  <c r="BR389" i="674"/>
  <c r="BS389" i="674" s="1"/>
  <c r="BJ389" i="674"/>
  <c r="BK389" i="674" s="1"/>
  <c r="BB389" i="674"/>
  <c r="BC389" i="674" s="1"/>
  <c r="AT389" i="674"/>
  <c r="AU389" i="674" s="1"/>
  <c r="AL389" i="674"/>
  <c r="AM389" i="674" s="1"/>
  <c r="AD389" i="674"/>
  <c r="AE389" i="674" s="1"/>
  <c r="V389" i="674"/>
  <c r="W389" i="674" s="1"/>
  <c r="N389" i="674"/>
  <c r="O389" i="674" s="1"/>
  <c r="CX388" i="674"/>
  <c r="CY388" i="674" s="1"/>
  <c r="CP388" i="674"/>
  <c r="CQ388" i="674" s="1"/>
  <c r="CH388" i="674"/>
  <c r="CI388" i="674" s="1"/>
  <c r="BZ388" i="674"/>
  <c r="CA388" i="674" s="1"/>
  <c r="BR388" i="674"/>
  <c r="BS388" i="674" s="1"/>
  <c r="BJ388" i="674"/>
  <c r="BK388" i="674" s="1"/>
  <c r="BB388" i="674"/>
  <c r="BC388" i="674" s="1"/>
  <c r="AT388" i="674"/>
  <c r="AU388" i="674" s="1"/>
  <c r="AL388" i="674"/>
  <c r="AM388" i="674" s="1"/>
  <c r="AD388" i="674"/>
  <c r="AE388" i="674" s="1"/>
  <c r="V388" i="674"/>
  <c r="W388" i="674" s="1"/>
  <c r="N388" i="674"/>
  <c r="O388" i="674" s="1"/>
  <c r="CX387" i="674"/>
  <c r="CY387" i="674" s="1"/>
  <c r="CP387" i="674"/>
  <c r="CQ387" i="674" s="1"/>
  <c r="CH387" i="674"/>
  <c r="CI387" i="674" s="1"/>
  <c r="BZ387" i="674"/>
  <c r="CA387" i="674" s="1"/>
  <c r="BR387" i="674"/>
  <c r="BS387" i="674" s="1"/>
  <c r="BJ387" i="674"/>
  <c r="BK387" i="674" s="1"/>
  <c r="BB387" i="674"/>
  <c r="BC387" i="674" s="1"/>
  <c r="AT387" i="674"/>
  <c r="AU387" i="674" s="1"/>
  <c r="AL387" i="674"/>
  <c r="AM387" i="674" s="1"/>
  <c r="AD387" i="674"/>
  <c r="AE387" i="674" s="1"/>
  <c r="V387" i="674"/>
  <c r="W387" i="674" s="1"/>
  <c r="N387" i="674"/>
  <c r="O387" i="674" s="1"/>
  <c r="CX386" i="674"/>
  <c r="CY386" i="674" s="1"/>
  <c r="CP386" i="674"/>
  <c r="CQ386" i="674" s="1"/>
  <c r="CH386" i="674"/>
  <c r="CI386" i="674" s="1"/>
  <c r="BZ386" i="674"/>
  <c r="CA386" i="674" s="1"/>
  <c r="BR386" i="674"/>
  <c r="BS386" i="674" s="1"/>
  <c r="BJ386" i="674"/>
  <c r="BK386" i="674" s="1"/>
  <c r="BB386" i="674"/>
  <c r="BC386" i="674" s="1"/>
  <c r="AT386" i="674"/>
  <c r="AU386" i="674" s="1"/>
  <c r="AL386" i="674"/>
  <c r="AM386" i="674" s="1"/>
  <c r="AD386" i="674"/>
  <c r="AE386" i="674" s="1"/>
  <c r="V386" i="674"/>
  <c r="W386" i="674" s="1"/>
  <c r="N386" i="674"/>
  <c r="O386" i="674" s="1"/>
  <c r="CX385" i="674"/>
  <c r="CY385" i="674" s="1"/>
  <c r="CP385" i="674"/>
  <c r="CQ385" i="674" s="1"/>
  <c r="CH385" i="674"/>
  <c r="CI385" i="674" s="1"/>
  <c r="BZ385" i="674"/>
  <c r="CA385" i="674" s="1"/>
  <c r="BR385" i="674"/>
  <c r="BS385" i="674" s="1"/>
  <c r="BJ385" i="674"/>
  <c r="BK385" i="674" s="1"/>
  <c r="BB385" i="674"/>
  <c r="BC385" i="674" s="1"/>
  <c r="AT385" i="674"/>
  <c r="AU385" i="674" s="1"/>
  <c r="AL385" i="674"/>
  <c r="AM385" i="674" s="1"/>
  <c r="AD385" i="674"/>
  <c r="AE385" i="674" s="1"/>
  <c r="V385" i="674"/>
  <c r="W385" i="674" s="1"/>
  <c r="N385" i="674"/>
  <c r="O385" i="674" s="1"/>
  <c r="CX384" i="674"/>
  <c r="CY384" i="674" s="1"/>
  <c r="CP384" i="674"/>
  <c r="CQ384" i="674" s="1"/>
  <c r="CH384" i="674"/>
  <c r="CI384" i="674" s="1"/>
  <c r="BZ384" i="674"/>
  <c r="CA384" i="674" s="1"/>
  <c r="BR384" i="674"/>
  <c r="BS384" i="674" s="1"/>
  <c r="BJ384" i="674"/>
  <c r="BK384" i="674" s="1"/>
  <c r="BB384" i="674"/>
  <c r="BC384" i="674" s="1"/>
  <c r="AT384" i="674"/>
  <c r="AU384" i="674" s="1"/>
  <c r="AL384" i="674"/>
  <c r="AM384" i="674" s="1"/>
  <c r="AD384" i="674"/>
  <c r="AE384" i="674" s="1"/>
  <c r="V384" i="674"/>
  <c r="W384" i="674" s="1"/>
  <c r="N384" i="674"/>
  <c r="O384" i="674" s="1"/>
  <c r="CX383" i="674"/>
  <c r="CY383" i="674" s="1"/>
  <c r="CP383" i="674"/>
  <c r="CQ383" i="674" s="1"/>
  <c r="CH383" i="674"/>
  <c r="CI383" i="674" s="1"/>
  <c r="BZ383" i="674"/>
  <c r="CA383" i="674" s="1"/>
  <c r="BR383" i="674"/>
  <c r="BS383" i="674" s="1"/>
  <c r="BJ383" i="674"/>
  <c r="BK383" i="674" s="1"/>
  <c r="BB383" i="674"/>
  <c r="BC383" i="674" s="1"/>
  <c r="AT383" i="674"/>
  <c r="AU383" i="674" s="1"/>
  <c r="AL383" i="674"/>
  <c r="AM383" i="674" s="1"/>
  <c r="AD383" i="674"/>
  <c r="AE383" i="674" s="1"/>
  <c r="V383" i="674"/>
  <c r="W383" i="674" s="1"/>
  <c r="N383" i="674"/>
  <c r="O383" i="674" s="1"/>
  <c r="CX382" i="674"/>
  <c r="CY382" i="674" s="1"/>
  <c r="CP382" i="674"/>
  <c r="CQ382" i="674" s="1"/>
  <c r="CH382" i="674"/>
  <c r="CI382" i="674" s="1"/>
  <c r="BZ382" i="674"/>
  <c r="CA382" i="674" s="1"/>
  <c r="BR382" i="674"/>
  <c r="BS382" i="674" s="1"/>
  <c r="BJ382" i="674"/>
  <c r="BK382" i="674" s="1"/>
  <c r="BB382" i="674"/>
  <c r="BC382" i="674" s="1"/>
  <c r="AT382" i="674"/>
  <c r="AU382" i="674" s="1"/>
  <c r="AL382" i="674"/>
  <c r="AM382" i="674" s="1"/>
  <c r="AD382" i="674"/>
  <c r="AE382" i="674" s="1"/>
  <c r="V382" i="674"/>
  <c r="W382" i="674" s="1"/>
  <c r="N382" i="674"/>
  <c r="O382" i="674" s="1"/>
  <c r="CX381" i="674"/>
  <c r="CY381" i="674" s="1"/>
  <c r="CP381" i="674"/>
  <c r="CQ381" i="674" s="1"/>
  <c r="CH381" i="674"/>
  <c r="CI381" i="674" s="1"/>
  <c r="BZ381" i="674"/>
  <c r="CA381" i="674" s="1"/>
  <c r="BR381" i="674"/>
  <c r="BS381" i="674" s="1"/>
  <c r="BJ381" i="674"/>
  <c r="BK381" i="674" s="1"/>
  <c r="BB381" i="674"/>
  <c r="BC381" i="674" s="1"/>
  <c r="AT381" i="674"/>
  <c r="AU381" i="674" s="1"/>
  <c r="AL381" i="674"/>
  <c r="AM381" i="674" s="1"/>
  <c r="AD381" i="674"/>
  <c r="AE381" i="674" s="1"/>
  <c r="V381" i="674"/>
  <c r="W381" i="674" s="1"/>
  <c r="N381" i="674"/>
  <c r="O381" i="674" s="1"/>
  <c r="CX380" i="674"/>
  <c r="CY380" i="674" s="1"/>
  <c r="CP380" i="674"/>
  <c r="CQ380" i="674" s="1"/>
  <c r="CH380" i="674"/>
  <c r="CI380" i="674" s="1"/>
  <c r="BZ380" i="674"/>
  <c r="CA380" i="674" s="1"/>
  <c r="BR380" i="674"/>
  <c r="BS380" i="674" s="1"/>
  <c r="BJ380" i="674"/>
  <c r="BK380" i="674" s="1"/>
  <c r="BB380" i="674"/>
  <c r="BC380" i="674" s="1"/>
  <c r="AT380" i="674"/>
  <c r="AU380" i="674" s="1"/>
  <c r="AL380" i="674"/>
  <c r="AM380" i="674" s="1"/>
  <c r="AD380" i="674"/>
  <c r="AE380" i="674" s="1"/>
  <c r="V380" i="674"/>
  <c r="W380" i="674" s="1"/>
  <c r="N380" i="674"/>
  <c r="O380" i="674" s="1"/>
  <c r="CX379" i="674"/>
  <c r="CY379" i="674" s="1"/>
  <c r="CP379" i="674"/>
  <c r="CQ379" i="674" s="1"/>
  <c r="CH379" i="674"/>
  <c r="CI379" i="674" s="1"/>
  <c r="BZ379" i="674"/>
  <c r="CA379" i="674" s="1"/>
  <c r="BR379" i="674"/>
  <c r="BS379" i="674" s="1"/>
  <c r="BJ379" i="674"/>
  <c r="BK379" i="674" s="1"/>
  <c r="BB379" i="674"/>
  <c r="BC379" i="674" s="1"/>
  <c r="AT379" i="674"/>
  <c r="AU379" i="674" s="1"/>
  <c r="AL379" i="674"/>
  <c r="AM379" i="674" s="1"/>
  <c r="AD379" i="674"/>
  <c r="AE379" i="674" s="1"/>
  <c r="V379" i="674"/>
  <c r="W379" i="674" s="1"/>
  <c r="N379" i="674"/>
  <c r="O379" i="674" s="1"/>
  <c r="CX378" i="674"/>
  <c r="CY378" i="674" s="1"/>
  <c r="CP378" i="674"/>
  <c r="CQ378" i="674" s="1"/>
  <c r="CH378" i="674"/>
  <c r="CI378" i="674" s="1"/>
  <c r="BZ378" i="674"/>
  <c r="CA378" i="674" s="1"/>
  <c r="BR378" i="674"/>
  <c r="BS378" i="674" s="1"/>
  <c r="BJ378" i="674"/>
  <c r="BK378" i="674" s="1"/>
  <c r="BB378" i="674"/>
  <c r="BC378" i="674" s="1"/>
  <c r="AT378" i="674"/>
  <c r="AU378" i="674" s="1"/>
  <c r="AL378" i="674"/>
  <c r="AM378" i="674" s="1"/>
  <c r="AD378" i="674"/>
  <c r="AE378" i="674" s="1"/>
  <c r="V378" i="674"/>
  <c r="W378" i="674" s="1"/>
  <c r="N378" i="674"/>
  <c r="O378" i="674" s="1"/>
  <c r="CX377" i="674"/>
  <c r="CY377" i="674" s="1"/>
  <c r="CP377" i="674"/>
  <c r="CQ377" i="674" s="1"/>
  <c r="CH377" i="674"/>
  <c r="CI377" i="674" s="1"/>
  <c r="BZ377" i="674"/>
  <c r="CA377" i="674" s="1"/>
  <c r="BR377" i="674"/>
  <c r="BS377" i="674" s="1"/>
  <c r="BJ377" i="674"/>
  <c r="BK377" i="674" s="1"/>
  <c r="BB377" i="674"/>
  <c r="BC377" i="674" s="1"/>
  <c r="AT377" i="674"/>
  <c r="AU377" i="674" s="1"/>
  <c r="AL377" i="674"/>
  <c r="AM377" i="674" s="1"/>
  <c r="AD377" i="674"/>
  <c r="AE377" i="674" s="1"/>
  <c r="V377" i="674"/>
  <c r="W377" i="674" s="1"/>
  <c r="N377" i="674"/>
  <c r="O377" i="674" s="1"/>
  <c r="CX376" i="674"/>
  <c r="CY376" i="674" s="1"/>
  <c r="CP376" i="674"/>
  <c r="CQ376" i="674" s="1"/>
  <c r="CH376" i="674"/>
  <c r="CI376" i="674" s="1"/>
  <c r="BZ376" i="674"/>
  <c r="CA376" i="674" s="1"/>
  <c r="BR376" i="674"/>
  <c r="BS376" i="674" s="1"/>
  <c r="BJ376" i="674"/>
  <c r="BK376" i="674" s="1"/>
  <c r="BB376" i="674"/>
  <c r="BC376" i="674" s="1"/>
  <c r="AT376" i="674"/>
  <c r="AU376" i="674" s="1"/>
  <c r="AL376" i="674"/>
  <c r="AM376" i="674" s="1"/>
  <c r="AD376" i="674"/>
  <c r="AE376" i="674" s="1"/>
  <c r="V376" i="674"/>
  <c r="W376" i="674" s="1"/>
  <c r="N376" i="674"/>
  <c r="O376" i="674" s="1"/>
  <c r="CX375" i="674"/>
  <c r="CY375" i="674" s="1"/>
  <c r="CP375" i="674"/>
  <c r="CQ375" i="674" s="1"/>
  <c r="CH375" i="674"/>
  <c r="CI375" i="674" s="1"/>
  <c r="BZ375" i="674"/>
  <c r="CA375" i="674" s="1"/>
  <c r="BR375" i="674"/>
  <c r="BS375" i="674" s="1"/>
  <c r="BJ375" i="674"/>
  <c r="BK375" i="674" s="1"/>
  <c r="BB375" i="674"/>
  <c r="BC375" i="674" s="1"/>
  <c r="AT375" i="674"/>
  <c r="AU375" i="674" s="1"/>
  <c r="AL375" i="674"/>
  <c r="AM375" i="674" s="1"/>
  <c r="AD375" i="674"/>
  <c r="AE375" i="674" s="1"/>
  <c r="V375" i="674"/>
  <c r="W375" i="674" s="1"/>
  <c r="N375" i="674"/>
  <c r="O375" i="674" s="1"/>
  <c r="CX374" i="674"/>
  <c r="CY374" i="674" s="1"/>
  <c r="CP374" i="674"/>
  <c r="CQ374" i="674" s="1"/>
  <c r="CH374" i="674"/>
  <c r="CI374" i="674" s="1"/>
  <c r="BZ374" i="674"/>
  <c r="CA374" i="674" s="1"/>
  <c r="BR374" i="674"/>
  <c r="BS374" i="674" s="1"/>
  <c r="BJ374" i="674"/>
  <c r="BK374" i="674" s="1"/>
  <c r="BB374" i="674"/>
  <c r="BC374" i="674" s="1"/>
  <c r="AT374" i="674"/>
  <c r="AU374" i="674" s="1"/>
  <c r="AL374" i="674"/>
  <c r="AM374" i="674" s="1"/>
  <c r="AD374" i="674"/>
  <c r="AE374" i="674" s="1"/>
  <c r="V374" i="674"/>
  <c r="W374" i="674" s="1"/>
  <c r="N374" i="674"/>
  <c r="O374" i="674" s="1"/>
  <c r="CX373" i="674"/>
  <c r="CY373" i="674" s="1"/>
  <c r="CP373" i="674"/>
  <c r="CQ373" i="674" s="1"/>
  <c r="CH373" i="674"/>
  <c r="CI373" i="674" s="1"/>
  <c r="BZ373" i="674"/>
  <c r="CA373" i="674" s="1"/>
  <c r="BR373" i="674"/>
  <c r="BS373" i="674" s="1"/>
  <c r="BJ373" i="674"/>
  <c r="BK373" i="674" s="1"/>
  <c r="BB373" i="674"/>
  <c r="BC373" i="674" s="1"/>
  <c r="AT373" i="674"/>
  <c r="AU373" i="674" s="1"/>
  <c r="AL373" i="674"/>
  <c r="AM373" i="674" s="1"/>
  <c r="AD373" i="674"/>
  <c r="AE373" i="674" s="1"/>
  <c r="V373" i="674"/>
  <c r="W373" i="674" s="1"/>
  <c r="N373" i="674"/>
  <c r="O373" i="674" s="1"/>
  <c r="CX372" i="674"/>
  <c r="CY372" i="674" s="1"/>
  <c r="CP372" i="674"/>
  <c r="CQ372" i="674" s="1"/>
  <c r="CH372" i="674"/>
  <c r="CI372" i="674" s="1"/>
  <c r="BZ372" i="674"/>
  <c r="CA372" i="674" s="1"/>
  <c r="BR372" i="674"/>
  <c r="BS372" i="674" s="1"/>
  <c r="BJ372" i="674"/>
  <c r="BK372" i="674" s="1"/>
  <c r="BB372" i="674"/>
  <c r="BC372" i="674" s="1"/>
  <c r="AT372" i="674"/>
  <c r="AU372" i="674" s="1"/>
  <c r="AL372" i="674"/>
  <c r="AM372" i="674" s="1"/>
  <c r="AD372" i="674"/>
  <c r="AE372" i="674" s="1"/>
  <c r="V372" i="674"/>
  <c r="W372" i="674" s="1"/>
  <c r="N372" i="674"/>
  <c r="O372" i="674" s="1"/>
  <c r="CX371" i="674"/>
  <c r="CY371" i="674" s="1"/>
  <c r="CP371" i="674"/>
  <c r="CQ371" i="674" s="1"/>
  <c r="CH371" i="674"/>
  <c r="CI371" i="674" s="1"/>
  <c r="BZ371" i="674"/>
  <c r="CA371" i="674" s="1"/>
  <c r="BR371" i="674"/>
  <c r="BS371" i="674" s="1"/>
  <c r="BJ371" i="674"/>
  <c r="BK371" i="674" s="1"/>
  <c r="BB371" i="674"/>
  <c r="BC371" i="674" s="1"/>
  <c r="AT371" i="674"/>
  <c r="AU371" i="674" s="1"/>
  <c r="AL371" i="674"/>
  <c r="AM371" i="674" s="1"/>
  <c r="AD371" i="674"/>
  <c r="AE371" i="674" s="1"/>
  <c r="V371" i="674"/>
  <c r="W371" i="674" s="1"/>
  <c r="N371" i="674"/>
  <c r="O371" i="674" s="1"/>
  <c r="CX370" i="674"/>
  <c r="CY370" i="674" s="1"/>
  <c r="CP370" i="674"/>
  <c r="CQ370" i="674" s="1"/>
  <c r="CH370" i="674"/>
  <c r="CI370" i="674" s="1"/>
  <c r="BZ370" i="674"/>
  <c r="CA370" i="674" s="1"/>
  <c r="BR370" i="674"/>
  <c r="BS370" i="674" s="1"/>
  <c r="BJ370" i="674"/>
  <c r="BK370" i="674" s="1"/>
  <c r="BB370" i="674"/>
  <c r="BC370" i="674" s="1"/>
  <c r="AT370" i="674"/>
  <c r="AU370" i="674" s="1"/>
  <c r="AL370" i="674"/>
  <c r="AM370" i="674" s="1"/>
  <c r="AD370" i="674"/>
  <c r="AE370" i="674" s="1"/>
  <c r="V370" i="674"/>
  <c r="W370" i="674" s="1"/>
  <c r="N370" i="674"/>
  <c r="O370" i="674" s="1"/>
  <c r="CX369" i="674"/>
  <c r="CY369" i="674" s="1"/>
  <c r="CP369" i="674"/>
  <c r="CQ369" i="674" s="1"/>
  <c r="CH369" i="674"/>
  <c r="CI369" i="674" s="1"/>
  <c r="BZ369" i="674"/>
  <c r="CA369" i="674" s="1"/>
  <c r="BR369" i="674"/>
  <c r="BS369" i="674" s="1"/>
  <c r="BJ369" i="674"/>
  <c r="BK369" i="674" s="1"/>
  <c r="BB369" i="674"/>
  <c r="BC369" i="674" s="1"/>
  <c r="AT369" i="674"/>
  <c r="AU369" i="674" s="1"/>
  <c r="AL369" i="674"/>
  <c r="AM369" i="674" s="1"/>
  <c r="AD369" i="674"/>
  <c r="AE369" i="674" s="1"/>
  <c r="V369" i="674"/>
  <c r="W369" i="674" s="1"/>
  <c r="N369" i="674"/>
  <c r="O369" i="674" s="1"/>
  <c r="CX368" i="674"/>
  <c r="CY368" i="674" s="1"/>
  <c r="CP368" i="674"/>
  <c r="CQ368" i="674" s="1"/>
  <c r="CH368" i="674"/>
  <c r="CI368" i="674" s="1"/>
  <c r="BZ368" i="674"/>
  <c r="CA368" i="674" s="1"/>
  <c r="BR368" i="674"/>
  <c r="BS368" i="674" s="1"/>
  <c r="BJ368" i="674"/>
  <c r="BK368" i="674" s="1"/>
  <c r="BB368" i="674"/>
  <c r="BC368" i="674" s="1"/>
  <c r="AT368" i="674"/>
  <c r="AU368" i="674" s="1"/>
  <c r="AL368" i="674"/>
  <c r="AM368" i="674" s="1"/>
  <c r="AD368" i="674"/>
  <c r="AE368" i="674" s="1"/>
  <c r="V368" i="674"/>
  <c r="W368" i="674" s="1"/>
  <c r="N368" i="674"/>
  <c r="O368" i="674" s="1"/>
  <c r="CX367" i="674"/>
  <c r="CY367" i="674" s="1"/>
  <c r="CP367" i="674"/>
  <c r="CQ367" i="674" s="1"/>
  <c r="CH367" i="674"/>
  <c r="CI367" i="674" s="1"/>
  <c r="BZ367" i="674"/>
  <c r="CA367" i="674" s="1"/>
  <c r="BR367" i="674"/>
  <c r="BS367" i="674" s="1"/>
  <c r="BJ367" i="674"/>
  <c r="BK367" i="674" s="1"/>
  <c r="BB367" i="674"/>
  <c r="BC367" i="674" s="1"/>
  <c r="AT367" i="674"/>
  <c r="AU367" i="674" s="1"/>
  <c r="AL367" i="674"/>
  <c r="AM367" i="674" s="1"/>
  <c r="AD367" i="674"/>
  <c r="AE367" i="674" s="1"/>
  <c r="V367" i="674"/>
  <c r="W367" i="674" s="1"/>
  <c r="N367" i="674"/>
  <c r="O367" i="674" s="1"/>
  <c r="CX366" i="674"/>
  <c r="CY366" i="674" s="1"/>
  <c r="CP366" i="674"/>
  <c r="CQ366" i="674" s="1"/>
  <c r="CH366" i="674"/>
  <c r="CI366" i="674" s="1"/>
  <c r="BZ366" i="674"/>
  <c r="CA366" i="674" s="1"/>
  <c r="BR366" i="674"/>
  <c r="BS366" i="674" s="1"/>
  <c r="BJ366" i="674"/>
  <c r="BK366" i="674" s="1"/>
  <c r="BB366" i="674"/>
  <c r="BC366" i="674" s="1"/>
  <c r="AT366" i="674"/>
  <c r="AU366" i="674" s="1"/>
  <c r="AL366" i="674"/>
  <c r="AM366" i="674" s="1"/>
  <c r="AD366" i="674"/>
  <c r="AE366" i="674" s="1"/>
  <c r="V366" i="674"/>
  <c r="W366" i="674" s="1"/>
  <c r="N366" i="674"/>
  <c r="O366" i="674" s="1"/>
  <c r="CX365" i="674"/>
  <c r="CY365" i="674" s="1"/>
  <c r="CP365" i="674"/>
  <c r="CQ365" i="674" s="1"/>
  <c r="CH365" i="674"/>
  <c r="CI365" i="674" s="1"/>
  <c r="BZ365" i="674"/>
  <c r="CA365" i="674" s="1"/>
  <c r="BR365" i="674"/>
  <c r="BS365" i="674" s="1"/>
  <c r="BJ365" i="674"/>
  <c r="BK365" i="674" s="1"/>
  <c r="BB365" i="674"/>
  <c r="BC365" i="674" s="1"/>
  <c r="AT365" i="674"/>
  <c r="AU365" i="674" s="1"/>
  <c r="AL365" i="674"/>
  <c r="AM365" i="674" s="1"/>
  <c r="AD365" i="674"/>
  <c r="AE365" i="674" s="1"/>
  <c r="V365" i="674"/>
  <c r="W365" i="674" s="1"/>
  <c r="N365" i="674"/>
  <c r="O365" i="674" s="1"/>
  <c r="CX364" i="674"/>
  <c r="CY364" i="674" s="1"/>
  <c r="CP364" i="674"/>
  <c r="CQ364" i="674" s="1"/>
  <c r="CH364" i="674"/>
  <c r="CI364" i="674" s="1"/>
  <c r="BZ364" i="674"/>
  <c r="CA364" i="674" s="1"/>
  <c r="BR364" i="674"/>
  <c r="BS364" i="674" s="1"/>
  <c r="BJ364" i="674"/>
  <c r="BK364" i="674" s="1"/>
  <c r="BB364" i="674"/>
  <c r="BC364" i="674" s="1"/>
  <c r="AT364" i="674"/>
  <c r="AU364" i="674" s="1"/>
  <c r="AL364" i="674"/>
  <c r="AM364" i="674" s="1"/>
  <c r="AD364" i="674"/>
  <c r="AE364" i="674" s="1"/>
  <c r="V364" i="674"/>
  <c r="W364" i="674" s="1"/>
  <c r="N364" i="674"/>
  <c r="O364" i="674" s="1"/>
  <c r="CX363" i="674"/>
  <c r="CY363" i="674" s="1"/>
  <c r="CP363" i="674"/>
  <c r="CQ363" i="674" s="1"/>
  <c r="CH363" i="674"/>
  <c r="CI363" i="674" s="1"/>
  <c r="BZ363" i="674"/>
  <c r="CA363" i="674" s="1"/>
  <c r="BR363" i="674"/>
  <c r="BS363" i="674" s="1"/>
  <c r="BJ363" i="674"/>
  <c r="BK363" i="674" s="1"/>
  <c r="BB363" i="674"/>
  <c r="BC363" i="674" s="1"/>
  <c r="AT363" i="674"/>
  <c r="AU363" i="674" s="1"/>
  <c r="AL363" i="674"/>
  <c r="AM363" i="674" s="1"/>
  <c r="AD363" i="674"/>
  <c r="AE363" i="674" s="1"/>
  <c r="V363" i="674"/>
  <c r="W363" i="674" s="1"/>
  <c r="N363" i="674"/>
  <c r="O363" i="674" s="1"/>
  <c r="CX362" i="674"/>
  <c r="CY362" i="674" s="1"/>
  <c r="CP362" i="674"/>
  <c r="CQ362" i="674" s="1"/>
  <c r="CH362" i="674"/>
  <c r="CI362" i="674" s="1"/>
  <c r="BZ362" i="674"/>
  <c r="CA362" i="674" s="1"/>
  <c r="BR362" i="674"/>
  <c r="BS362" i="674" s="1"/>
  <c r="BJ362" i="674"/>
  <c r="BK362" i="674" s="1"/>
  <c r="BB362" i="674"/>
  <c r="BC362" i="674" s="1"/>
  <c r="AT362" i="674"/>
  <c r="AU362" i="674" s="1"/>
  <c r="AL362" i="674"/>
  <c r="AM362" i="674" s="1"/>
  <c r="AD362" i="674"/>
  <c r="AE362" i="674" s="1"/>
  <c r="V362" i="674"/>
  <c r="W362" i="674" s="1"/>
  <c r="N362" i="674"/>
  <c r="O362" i="674" s="1"/>
  <c r="CX361" i="674"/>
  <c r="CY361" i="674" s="1"/>
  <c r="CP361" i="674"/>
  <c r="CQ361" i="674" s="1"/>
  <c r="CH361" i="674"/>
  <c r="CI361" i="674" s="1"/>
  <c r="BZ361" i="674"/>
  <c r="CA361" i="674" s="1"/>
  <c r="BR361" i="674"/>
  <c r="BS361" i="674" s="1"/>
  <c r="BJ361" i="674"/>
  <c r="BK361" i="674" s="1"/>
  <c r="BB361" i="674"/>
  <c r="BC361" i="674" s="1"/>
  <c r="AT361" i="674"/>
  <c r="AU361" i="674" s="1"/>
  <c r="AL361" i="674"/>
  <c r="AM361" i="674" s="1"/>
  <c r="AD361" i="674"/>
  <c r="AE361" i="674" s="1"/>
  <c r="V361" i="674"/>
  <c r="W361" i="674" s="1"/>
  <c r="N361" i="674"/>
  <c r="O361" i="674" s="1"/>
  <c r="CX360" i="674"/>
  <c r="CY360" i="674" s="1"/>
  <c r="CP360" i="674"/>
  <c r="CQ360" i="674" s="1"/>
  <c r="CH360" i="674"/>
  <c r="CI360" i="674" s="1"/>
  <c r="BZ360" i="674"/>
  <c r="CA360" i="674" s="1"/>
  <c r="BR360" i="674"/>
  <c r="BS360" i="674" s="1"/>
  <c r="BJ360" i="674"/>
  <c r="BK360" i="674" s="1"/>
  <c r="BB360" i="674"/>
  <c r="BC360" i="674" s="1"/>
  <c r="AT360" i="674"/>
  <c r="AU360" i="674" s="1"/>
  <c r="AL360" i="674"/>
  <c r="AM360" i="674" s="1"/>
  <c r="AD360" i="674"/>
  <c r="AE360" i="674" s="1"/>
  <c r="V360" i="674"/>
  <c r="W360" i="674" s="1"/>
  <c r="N360" i="674"/>
  <c r="O360" i="674" s="1"/>
  <c r="CX359" i="674"/>
  <c r="CY359" i="674" s="1"/>
  <c r="CP359" i="674"/>
  <c r="CQ359" i="674" s="1"/>
  <c r="CH359" i="674"/>
  <c r="CI359" i="674" s="1"/>
  <c r="BZ359" i="674"/>
  <c r="CA359" i="674" s="1"/>
  <c r="BR359" i="674"/>
  <c r="BS359" i="674" s="1"/>
  <c r="BJ359" i="674"/>
  <c r="BK359" i="674" s="1"/>
  <c r="BB359" i="674"/>
  <c r="BC359" i="674" s="1"/>
  <c r="AT359" i="674"/>
  <c r="AU359" i="674" s="1"/>
  <c r="AL359" i="674"/>
  <c r="AM359" i="674" s="1"/>
  <c r="AD359" i="674"/>
  <c r="AE359" i="674" s="1"/>
  <c r="V359" i="674"/>
  <c r="W359" i="674" s="1"/>
  <c r="N359" i="674"/>
  <c r="O359" i="674" s="1"/>
  <c r="CX358" i="674"/>
  <c r="CY358" i="674" s="1"/>
  <c r="CP358" i="674"/>
  <c r="CQ358" i="674" s="1"/>
  <c r="CH358" i="674"/>
  <c r="CI358" i="674" s="1"/>
  <c r="BZ358" i="674"/>
  <c r="CA358" i="674" s="1"/>
  <c r="BR358" i="674"/>
  <c r="BS358" i="674" s="1"/>
  <c r="BJ358" i="674"/>
  <c r="BK358" i="674" s="1"/>
  <c r="BB358" i="674"/>
  <c r="BC358" i="674" s="1"/>
  <c r="AT358" i="674"/>
  <c r="AU358" i="674" s="1"/>
  <c r="AL358" i="674"/>
  <c r="AM358" i="674" s="1"/>
  <c r="AD358" i="674"/>
  <c r="AE358" i="674" s="1"/>
  <c r="V358" i="674"/>
  <c r="W358" i="674" s="1"/>
  <c r="N358" i="674"/>
  <c r="O358" i="674" s="1"/>
  <c r="CX357" i="674"/>
  <c r="CY357" i="674" s="1"/>
  <c r="CP357" i="674"/>
  <c r="CQ357" i="674" s="1"/>
  <c r="CH357" i="674"/>
  <c r="CI357" i="674" s="1"/>
  <c r="BZ357" i="674"/>
  <c r="CA357" i="674" s="1"/>
  <c r="BR357" i="674"/>
  <c r="BS357" i="674" s="1"/>
  <c r="BJ357" i="674"/>
  <c r="BK357" i="674" s="1"/>
  <c r="BB357" i="674"/>
  <c r="BC357" i="674" s="1"/>
  <c r="AT357" i="674"/>
  <c r="AU357" i="674" s="1"/>
  <c r="AL357" i="674"/>
  <c r="AM357" i="674" s="1"/>
  <c r="AD357" i="674"/>
  <c r="AE357" i="674" s="1"/>
  <c r="V357" i="674"/>
  <c r="W357" i="674" s="1"/>
  <c r="N357" i="674"/>
  <c r="O357" i="674" s="1"/>
  <c r="CX356" i="674"/>
  <c r="CY356" i="674" s="1"/>
  <c r="CP356" i="674"/>
  <c r="CQ356" i="674" s="1"/>
  <c r="CH356" i="674"/>
  <c r="CI356" i="674" s="1"/>
  <c r="BZ356" i="674"/>
  <c r="CA356" i="674" s="1"/>
  <c r="BR356" i="674"/>
  <c r="BS356" i="674" s="1"/>
  <c r="BJ356" i="674"/>
  <c r="BK356" i="674" s="1"/>
  <c r="BB356" i="674"/>
  <c r="BC356" i="674" s="1"/>
  <c r="AT356" i="674"/>
  <c r="AU356" i="674" s="1"/>
  <c r="AL356" i="674"/>
  <c r="AM356" i="674" s="1"/>
  <c r="AD356" i="674"/>
  <c r="AE356" i="674" s="1"/>
  <c r="V356" i="674"/>
  <c r="W356" i="674" s="1"/>
  <c r="N356" i="674"/>
  <c r="O356" i="674" s="1"/>
  <c r="CX355" i="674"/>
  <c r="CY355" i="674" s="1"/>
  <c r="CP355" i="674"/>
  <c r="CQ355" i="674" s="1"/>
  <c r="CH355" i="674"/>
  <c r="CI355" i="674" s="1"/>
  <c r="BZ355" i="674"/>
  <c r="CA355" i="674" s="1"/>
  <c r="BR355" i="674"/>
  <c r="BS355" i="674" s="1"/>
  <c r="BJ355" i="674"/>
  <c r="BK355" i="674" s="1"/>
  <c r="BB355" i="674"/>
  <c r="BC355" i="674" s="1"/>
  <c r="AT355" i="674"/>
  <c r="AU355" i="674" s="1"/>
  <c r="AL355" i="674"/>
  <c r="AM355" i="674" s="1"/>
  <c r="AD355" i="674"/>
  <c r="AE355" i="674" s="1"/>
  <c r="V355" i="674"/>
  <c r="W355" i="674" s="1"/>
  <c r="N355" i="674"/>
  <c r="O355" i="674" s="1"/>
  <c r="CX354" i="674"/>
  <c r="CY354" i="674" s="1"/>
  <c r="CP354" i="674"/>
  <c r="CQ354" i="674" s="1"/>
  <c r="CH354" i="674"/>
  <c r="CI354" i="674" s="1"/>
  <c r="BZ354" i="674"/>
  <c r="CA354" i="674" s="1"/>
  <c r="BR354" i="674"/>
  <c r="BS354" i="674" s="1"/>
  <c r="BJ354" i="674"/>
  <c r="BK354" i="674" s="1"/>
  <c r="BB354" i="674"/>
  <c r="BC354" i="674" s="1"/>
  <c r="AT354" i="674"/>
  <c r="AU354" i="674" s="1"/>
  <c r="AL354" i="674"/>
  <c r="AM354" i="674" s="1"/>
  <c r="AD354" i="674"/>
  <c r="AE354" i="674" s="1"/>
  <c r="V354" i="674"/>
  <c r="W354" i="674" s="1"/>
  <c r="N354" i="674"/>
  <c r="O354" i="674" s="1"/>
  <c r="CX353" i="674"/>
  <c r="CY353" i="674" s="1"/>
  <c r="CP353" i="674"/>
  <c r="CQ353" i="674" s="1"/>
  <c r="CH353" i="674"/>
  <c r="CI353" i="674" s="1"/>
  <c r="BZ353" i="674"/>
  <c r="CA353" i="674" s="1"/>
  <c r="BR353" i="674"/>
  <c r="BS353" i="674" s="1"/>
  <c r="BJ353" i="674"/>
  <c r="BK353" i="674" s="1"/>
  <c r="BB353" i="674"/>
  <c r="BC353" i="674" s="1"/>
  <c r="AT353" i="674"/>
  <c r="AU353" i="674" s="1"/>
  <c r="AL353" i="674"/>
  <c r="AM353" i="674" s="1"/>
  <c r="AD353" i="674"/>
  <c r="AE353" i="674" s="1"/>
  <c r="V353" i="674"/>
  <c r="W353" i="674" s="1"/>
  <c r="N353" i="674"/>
  <c r="O353" i="674" s="1"/>
  <c r="CX352" i="674"/>
  <c r="CY352" i="674" s="1"/>
  <c r="CP352" i="674"/>
  <c r="CQ352" i="674" s="1"/>
  <c r="CH352" i="674"/>
  <c r="CI352" i="674" s="1"/>
  <c r="BZ352" i="674"/>
  <c r="CA352" i="674" s="1"/>
  <c r="BR352" i="674"/>
  <c r="BS352" i="674" s="1"/>
  <c r="BJ352" i="674"/>
  <c r="BK352" i="674" s="1"/>
  <c r="BB352" i="674"/>
  <c r="BC352" i="674" s="1"/>
  <c r="AT352" i="674"/>
  <c r="AU352" i="674" s="1"/>
  <c r="AL352" i="674"/>
  <c r="AM352" i="674" s="1"/>
  <c r="AD352" i="674"/>
  <c r="AE352" i="674" s="1"/>
  <c r="V352" i="674"/>
  <c r="W352" i="674" s="1"/>
  <c r="N352" i="674"/>
  <c r="O352" i="674" s="1"/>
  <c r="CX351" i="674"/>
  <c r="CY351" i="674" s="1"/>
  <c r="CP351" i="674"/>
  <c r="CQ351" i="674" s="1"/>
  <c r="CH351" i="674"/>
  <c r="CI351" i="674" s="1"/>
  <c r="BZ351" i="674"/>
  <c r="CA351" i="674" s="1"/>
  <c r="BR351" i="674"/>
  <c r="BS351" i="674" s="1"/>
  <c r="BJ351" i="674"/>
  <c r="BK351" i="674" s="1"/>
  <c r="BB351" i="674"/>
  <c r="BC351" i="674" s="1"/>
  <c r="AT351" i="674"/>
  <c r="AU351" i="674" s="1"/>
  <c r="AL351" i="674"/>
  <c r="AM351" i="674" s="1"/>
  <c r="AD351" i="674"/>
  <c r="AE351" i="674" s="1"/>
  <c r="V351" i="674"/>
  <c r="W351" i="674" s="1"/>
  <c r="N351" i="674"/>
  <c r="O351" i="674" s="1"/>
  <c r="CX350" i="674"/>
  <c r="CY350" i="674" s="1"/>
  <c r="CP350" i="674"/>
  <c r="CQ350" i="674" s="1"/>
  <c r="CH350" i="674"/>
  <c r="CI350" i="674" s="1"/>
  <c r="BZ350" i="674"/>
  <c r="CA350" i="674" s="1"/>
  <c r="BR350" i="674"/>
  <c r="BS350" i="674" s="1"/>
  <c r="BJ350" i="674"/>
  <c r="BK350" i="674" s="1"/>
  <c r="BB350" i="674"/>
  <c r="BC350" i="674" s="1"/>
  <c r="AT350" i="674"/>
  <c r="AU350" i="674" s="1"/>
  <c r="AL350" i="674"/>
  <c r="AM350" i="674" s="1"/>
  <c r="AD350" i="674"/>
  <c r="AE350" i="674" s="1"/>
  <c r="V350" i="674"/>
  <c r="W350" i="674" s="1"/>
  <c r="N350" i="674"/>
  <c r="O350" i="674" s="1"/>
  <c r="CX349" i="674"/>
  <c r="CY349" i="674" s="1"/>
  <c r="CP349" i="674"/>
  <c r="CQ349" i="674" s="1"/>
  <c r="CH349" i="674"/>
  <c r="CI349" i="674" s="1"/>
  <c r="BZ349" i="674"/>
  <c r="CA349" i="674" s="1"/>
  <c r="BR349" i="674"/>
  <c r="BS349" i="674" s="1"/>
  <c r="BJ349" i="674"/>
  <c r="BK349" i="674" s="1"/>
  <c r="BB349" i="674"/>
  <c r="BC349" i="674" s="1"/>
  <c r="AT349" i="674"/>
  <c r="AU349" i="674" s="1"/>
  <c r="AL349" i="674"/>
  <c r="AM349" i="674" s="1"/>
  <c r="AD349" i="674"/>
  <c r="AE349" i="674" s="1"/>
  <c r="V349" i="674"/>
  <c r="W349" i="674" s="1"/>
  <c r="N349" i="674"/>
  <c r="O349" i="674" s="1"/>
  <c r="CX348" i="674"/>
  <c r="CY348" i="674" s="1"/>
  <c r="CP348" i="674"/>
  <c r="CQ348" i="674" s="1"/>
  <c r="CH348" i="674"/>
  <c r="CI348" i="674" s="1"/>
  <c r="BZ348" i="674"/>
  <c r="CA348" i="674" s="1"/>
  <c r="BR348" i="674"/>
  <c r="BS348" i="674" s="1"/>
  <c r="BJ348" i="674"/>
  <c r="BK348" i="674" s="1"/>
  <c r="BB348" i="674"/>
  <c r="BC348" i="674" s="1"/>
  <c r="AT348" i="674"/>
  <c r="AU348" i="674" s="1"/>
  <c r="AL348" i="674"/>
  <c r="AM348" i="674" s="1"/>
  <c r="AD348" i="674"/>
  <c r="AE348" i="674" s="1"/>
  <c r="V348" i="674"/>
  <c r="W348" i="674" s="1"/>
  <c r="N348" i="674"/>
  <c r="O348" i="674" s="1"/>
  <c r="CX347" i="674"/>
  <c r="CY347" i="674" s="1"/>
  <c r="CP347" i="674"/>
  <c r="CQ347" i="674" s="1"/>
  <c r="CH347" i="674"/>
  <c r="CI347" i="674" s="1"/>
  <c r="BZ347" i="674"/>
  <c r="CA347" i="674" s="1"/>
  <c r="BR347" i="674"/>
  <c r="BS347" i="674" s="1"/>
  <c r="BJ347" i="674"/>
  <c r="BK347" i="674" s="1"/>
  <c r="BB347" i="674"/>
  <c r="BC347" i="674" s="1"/>
  <c r="AT347" i="674"/>
  <c r="AU347" i="674" s="1"/>
  <c r="AL347" i="674"/>
  <c r="AM347" i="674" s="1"/>
  <c r="AD347" i="674"/>
  <c r="AE347" i="674" s="1"/>
  <c r="V347" i="674"/>
  <c r="W347" i="674" s="1"/>
  <c r="N347" i="674"/>
  <c r="O347" i="674" s="1"/>
  <c r="CX346" i="674"/>
  <c r="CY346" i="674" s="1"/>
  <c r="CP346" i="674"/>
  <c r="CQ346" i="674" s="1"/>
  <c r="CH346" i="674"/>
  <c r="CI346" i="674" s="1"/>
  <c r="BZ346" i="674"/>
  <c r="CA346" i="674" s="1"/>
  <c r="BR346" i="674"/>
  <c r="BS346" i="674" s="1"/>
  <c r="BJ346" i="674"/>
  <c r="BK346" i="674" s="1"/>
  <c r="BB346" i="674"/>
  <c r="BC346" i="674" s="1"/>
  <c r="AT346" i="674"/>
  <c r="AU346" i="674" s="1"/>
  <c r="AL346" i="674"/>
  <c r="AM346" i="674" s="1"/>
  <c r="AD346" i="674"/>
  <c r="AE346" i="674" s="1"/>
  <c r="V346" i="674"/>
  <c r="W346" i="674" s="1"/>
  <c r="N346" i="674"/>
  <c r="O346" i="674" s="1"/>
  <c r="CX345" i="674"/>
  <c r="CY345" i="674" s="1"/>
  <c r="CP345" i="674"/>
  <c r="CQ345" i="674" s="1"/>
  <c r="CH345" i="674"/>
  <c r="CI345" i="674" s="1"/>
  <c r="BZ345" i="674"/>
  <c r="CA345" i="674" s="1"/>
  <c r="BR345" i="674"/>
  <c r="BS345" i="674" s="1"/>
  <c r="BJ345" i="674"/>
  <c r="BK345" i="674" s="1"/>
  <c r="BB345" i="674"/>
  <c r="BC345" i="674" s="1"/>
  <c r="AT345" i="674"/>
  <c r="AU345" i="674" s="1"/>
  <c r="AL345" i="674"/>
  <c r="AM345" i="674" s="1"/>
  <c r="AD345" i="674"/>
  <c r="AE345" i="674" s="1"/>
  <c r="V345" i="674"/>
  <c r="W345" i="674" s="1"/>
  <c r="N345" i="674"/>
  <c r="O345" i="674" s="1"/>
  <c r="CX344" i="674"/>
  <c r="CY344" i="674" s="1"/>
  <c r="CP344" i="674"/>
  <c r="CQ344" i="674" s="1"/>
  <c r="CH344" i="674"/>
  <c r="CI344" i="674" s="1"/>
  <c r="BZ344" i="674"/>
  <c r="CA344" i="674" s="1"/>
  <c r="BR344" i="674"/>
  <c r="BS344" i="674" s="1"/>
  <c r="BJ344" i="674"/>
  <c r="BK344" i="674" s="1"/>
  <c r="BB344" i="674"/>
  <c r="BC344" i="674" s="1"/>
  <c r="AT344" i="674"/>
  <c r="AU344" i="674" s="1"/>
  <c r="AL344" i="674"/>
  <c r="AM344" i="674" s="1"/>
  <c r="AD344" i="674"/>
  <c r="AE344" i="674" s="1"/>
  <c r="V344" i="674"/>
  <c r="W344" i="674" s="1"/>
  <c r="N344" i="674"/>
  <c r="O344" i="674" s="1"/>
  <c r="CX343" i="674"/>
  <c r="CY343" i="674" s="1"/>
  <c r="CP343" i="674"/>
  <c r="CQ343" i="674" s="1"/>
  <c r="CH343" i="674"/>
  <c r="CI343" i="674" s="1"/>
  <c r="BZ343" i="674"/>
  <c r="CA343" i="674" s="1"/>
  <c r="BR343" i="674"/>
  <c r="BS343" i="674" s="1"/>
  <c r="BJ343" i="674"/>
  <c r="BK343" i="674" s="1"/>
  <c r="BB343" i="674"/>
  <c r="BC343" i="674" s="1"/>
  <c r="AT343" i="674"/>
  <c r="AU343" i="674" s="1"/>
  <c r="AL343" i="674"/>
  <c r="AM343" i="674" s="1"/>
  <c r="AD343" i="674"/>
  <c r="AE343" i="674" s="1"/>
  <c r="V343" i="674"/>
  <c r="W343" i="674" s="1"/>
  <c r="N343" i="674"/>
  <c r="O343" i="674" s="1"/>
  <c r="CX342" i="674"/>
  <c r="CY342" i="674" s="1"/>
  <c r="CP342" i="674"/>
  <c r="CQ342" i="674" s="1"/>
  <c r="CH342" i="674"/>
  <c r="CI342" i="674" s="1"/>
  <c r="BZ342" i="674"/>
  <c r="CA342" i="674" s="1"/>
  <c r="BR342" i="674"/>
  <c r="BS342" i="674" s="1"/>
  <c r="BJ342" i="674"/>
  <c r="BK342" i="674" s="1"/>
  <c r="BB342" i="674"/>
  <c r="BC342" i="674" s="1"/>
  <c r="AT342" i="674"/>
  <c r="AU342" i="674" s="1"/>
  <c r="AL342" i="674"/>
  <c r="AM342" i="674" s="1"/>
  <c r="AD342" i="674"/>
  <c r="AE342" i="674" s="1"/>
  <c r="V342" i="674"/>
  <c r="W342" i="674" s="1"/>
  <c r="N342" i="674"/>
  <c r="O342" i="674" s="1"/>
  <c r="CX341" i="674"/>
  <c r="CY341" i="674" s="1"/>
  <c r="CP341" i="674"/>
  <c r="CQ341" i="674" s="1"/>
  <c r="CH341" i="674"/>
  <c r="CI341" i="674" s="1"/>
  <c r="BZ341" i="674"/>
  <c r="CA341" i="674" s="1"/>
  <c r="BR341" i="674"/>
  <c r="BS341" i="674" s="1"/>
  <c r="BJ341" i="674"/>
  <c r="BK341" i="674" s="1"/>
  <c r="BB341" i="674"/>
  <c r="BC341" i="674" s="1"/>
  <c r="AT341" i="674"/>
  <c r="AU341" i="674" s="1"/>
  <c r="AL341" i="674"/>
  <c r="AM341" i="674" s="1"/>
  <c r="AD341" i="674"/>
  <c r="AE341" i="674" s="1"/>
  <c r="V341" i="674"/>
  <c r="W341" i="674" s="1"/>
  <c r="N341" i="674"/>
  <c r="O341" i="674" s="1"/>
  <c r="CX340" i="674"/>
  <c r="CY340" i="674" s="1"/>
  <c r="CP340" i="674"/>
  <c r="CQ340" i="674" s="1"/>
  <c r="CH340" i="674"/>
  <c r="CI340" i="674" s="1"/>
  <c r="BZ340" i="674"/>
  <c r="CA340" i="674" s="1"/>
  <c r="BR340" i="674"/>
  <c r="BS340" i="674" s="1"/>
  <c r="BJ340" i="674"/>
  <c r="BK340" i="674" s="1"/>
  <c r="BB340" i="674"/>
  <c r="BC340" i="674" s="1"/>
  <c r="AT340" i="674"/>
  <c r="AU340" i="674" s="1"/>
  <c r="AL340" i="674"/>
  <c r="AM340" i="674" s="1"/>
  <c r="AD340" i="674"/>
  <c r="AE340" i="674" s="1"/>
  <c r="V340" i="674"/>
  <c r="W340" i="674" s="1"/>
  <c r="N340" i="674"/>
  <c r="O340" i="674" s="1"/>
  <c r="CX339" i="674"/>
  <c r="CY339" i="674" s="1"/>
  <c r="CP339" i="674"/>
  <c r="CQ339" i="674" s="1"/>
  <c r="CH339" i="674"/>
  <c r="CI339" i="674" s="1"/>
  <c r="BZ339" i="674"/>
  <c r="CA339" i="674" s="1"/>
  <c r="BR339" i="674"/>
  <c r="BS339" i="674" s="1"/>
  <c r="BJ339" i="674"/>
  <c r="BK339" i="674" s="1"/>
  <c r="BB339" i="674"/>
  <c r="BC339" i="674" s="1"/>
  <c r="AT339" i="674"/>
  <c r="AU339" i="674" s="1"/>
  <c r="AL339" i="674"/>
  <c r="AM339" i="674" s="1"/>
  <c r="AD339" i="674"/>
  <c r="AE339" i="674" s="1"/>
  <c r="V339" i="674"/>
  <c r="W339" i="674" s="1"/>
  <c r="N339" i="674"/>
  <c r="O339" i="674" s="1"/>
  <c r="CX338" i="674"/>
  <c r="CY338" i="674" s="1"/>
  <c r="CP338" i="674"/>
  <c r="CQ338" i="674" s="1"/>
  <c r="CH338" i="674"/>
  <c r="CI338" i="674" s="1"/>
  <c r="BZ338" i="674"/>
  <c r="CA338" i="674" s="1"/>
  <c r="BR338" i="674"/>
  <c r="BS338" i="674" s="1"/>
  <c r="BJ338" i="674"/>
  <c r="BK338" i="674" s="1"/>
  <c r="BB338" i="674"/>
  <c r="BC338" i="674" s="1"/>
  <c r="AT338" i="674"/>
  <c r="AU338" i="674" s="1"/>
  <c r="AL338" i="674"/>
  <c r="AM338" i="674" s="1"/>
  <c r="AD338" i="674"/>
  <c r="AE338" i="674" s="1"/>
  <c r="V338" i="674"/>
  <c r="W338" i="674" s="1"/>
  <c r="N338" i="674"/>
  <c r="O338" i="674" s="1"/>
  <c r="CX337" i="674"/>
  <c r="CY337" i="674" s="1"/>
  <c r="CP337" i="674"/>
  <c r="CQ337" i="674" s="1"/>
  <c r="CH337" i="674"/>
  <c r="CI337" i="674" s="1"/>
  <c r="BZ337" i="674"/>
  <c r="CA337" i="674" s="1"/>
  <c r="BR337" i="674"/>
  <c r="BS337" i="674" s="1"/>
  <c r="BJ337" i="674"/>
  <c r="BK337" i="674" s="1"/>
  <c r="BB337" i="674"/>
  <c r="BC337" i="674" s="1"/>
  <c r="AT337" i="674"/>
  <c r="AU337" i="674" s="1"/>
  <c r="AL337" i="674"/>
  <c r="AM337" i="674" s="1"/>
  <c r="AD337" i="674"/>
  <c r="AE337" i="674" s="1"/>
  <c r="V337" i="674"/>
  <c r="W337" i="674" s="1"/>
  <c r="N337" i="674"/>
  <c r="O337" i="674" s="1"/>
  <c r="CX336" i="674"/>
  <c r="CY336" i="674" s="1"/>
  <c r="CP336" i="674"/>
  <c r="CQ336" i="674" s="1"/>
  <c r="CH336" i="674"/>
  <c r="CI336" i="674" s="1"/>
  <c r="BZ336" i="674"/>
  <c r="CA336" i="674" s="1"/>
  <c r="BR336" i="674"/>
  <c r="BS336" i="674" s="1"/>
  <c r="BJ336" i="674"/>
  <c r="BK336" i="674" s="1"/>
  <c r="BB336" i="674"/>
  <c r="BC336" i="674" s="1"/>
  <c r="AT336" i="674"/>
  <c r="AU336" i="674" s="1"/>
  <c r="AL336" i="674"/>
  <c r="AM336" i="674" s="1"/>
  <c r="AD336" i="674"/>
  <c r="AE336" i="674" s="1"/>
  <c r="V336" i="674"/>
  <c r="W336" i="674" s="1"/>
  <c r="N336" i="674"/>
  <c r="O336" i="674" s="1"/>
  <c r="CX335" i="674"/>
  <c r="CY335" i="674" s="1"/>
  <c r="CP335" i="674"/>
  <c r="CQ335" i="674" s="1"/>
  <c r="CH335" i="674"/>
  <c r="CI335" i="674" s="1"/>
  <c r="BZ335" i="674"/>
  <c r="CA335" i="674" s="1"/>
  <c r="BR335" i="674"/>
  <c r="BS335" i="674" s="1"/>
  <c r="BJ335" i="674"/>
  <c r="BK335" i="674" s="1"/>
  <c r="BB335" i="674"/>
  <c r="BC335" i="674" s="1"/>
  <c r="AT335" i="674"/>
  <c r="AU335" i="674" s="1"/>
  <c r="AL335" i="674"/>
  <c r="AM335" i="674" s="1"/>
  <c r="AD335" i="674"/>
  <c r="AE335" i="674" s="1"/>
  <c r="V335" i="674"/>
  <c r="W335" i="674" s="1"/>
  <c r="N335" i="674"/>
  <c r="O335" i="674" s="1"/>
  <c r="CX334" i="674"/>
  <c r="CY334" i="674" s="1"/>
  <c r="CP334" i="674"/>
  <c r="CQ334" i="674" s="1"/>
  <c r="CH334" i="674"/>
  <c r="CI334" i="674" s="1"/>
  <c r="BZ334" i="674"/>
  <c r="CA334" i="674" s="1"/>
  <c r="BR334" i="674"/>
  <c r="BS334" i="674" s="1"/>
  <c r="BJ334" i="674"/>
  <c r="BK334" i="674" s="1"/>
  <c r="BB334" i="674"/>
  <c r="BC334" i="674" s="1"/>
  <c r="AT334" i="674"/>
  <c r="AU334" i="674" s="1"/>
  <c r="AL334" i="674"/>
  <c r="AM334" i="674" s="1"/>
  <c r="AD334" i="674"/>
  <c r="AE334" i="674" s="1"/>
  <c r="V334" i="674"/>
  <c r="W334" i="674" s="1"/>
  <c r="N334" i="674"/>
  <c r="O334" i="674" s="1"/>
  <c r="CX333" i="674"/>
  <c r="CY333" i="674" s="1"/>
  <c r="CP333" i="674"/>
  <c r="CQ333" i="674" s="1"/>
  <c r="CH333" i="674"/>
  <c r="CI333" i="674" s="1"/>
  <c r="BZ333" i="674"/>
  <c r="CA333" i="674" s="1"/>
  <c r="BR333" i="674"/>
  <c r="BS333" i="674" s="1"/>
  <c r="BJ333" i="674"/>
  <c r="BK333" i="674" s="1"/>
  <c r="BB333" i="674"/>
  <c r="BC333" i="674" s="1"/>
  <c r="AT333" i="674"/>
  <c r="AU333" i="674" s="1"/>
  <c r="AL333" i="674"/>
  <c r="AM333" i="674" s="1"/>
  <c r="AD333" i="674"/>
  <c r="AE333" i="674" s="1"/>
  <c r="V333" i="674"/>
  <c r="W333" i="674" s="1"/>
  <c r="N333" i="674"/>
  <c r="O333" i="674" s="1"/>
  <c r="CX332" i="674"/>
  <c r="CY332" i="674" s="1"/>
  <c r="CP332" i="674"/>
  <c r="CQ332" i="674" s="1"/>
  <c r="CH332" i="674"/>
  <c r="CI332" i="674" s="1"/>
  <c r="BZ332" i="674"/>
  <c r="CA332" i="674" s="1"/>
  <c r="BR332" i="674"/>
  <c r="BS332" i="674" s="1"/>
  <c r="BJ332" i="674"/>
  <c r="BK332" i="674" s="1"/>
  <c r="BB332" i="674"/>
  <c r="BC332" i="674" s="1"/>
  <c r="AT332" i="674"/>
  <c r="AU332" i="674" s="1"/>
  <c r="AL332" i="674"/>
  <c r="AM332" i="674" s="1"/>
  <c r="AD332" i="674"/>
  <c r="AE332" i="674" s="1"/>
  <c r="V332" i="674"/>
  <c r="W332" i="674" s="1"/>
  <c r="N332" i="674"/>
  <c r="O332" i="674" s="1"/>
  <c r="CX331" i="674"/>
  <c r="CY331" i="674" s="1"/>
  <c r="CP331" i="674"/>
  <c r="CQ331" i="674" s="1"/>
  <c r="CH331" i="674"/>
  <c r="CI331" i="674" s="1"/>
  <c r="BZ331" i="674"/>
  <c r="CA331" i="674" s="1"/>
  <c r="BR331" i="674"/>
  <c r="BS331" i="674" s="1"/>
  <c r="BJ331" i="674"/>
  <c r="BK331" i="674" s="1"/>
  <c r="BB331" i="674"/>
  <c r="BC331" i="674" s="1"/>
  <c r="AT331" i="674"/>
  <c r="AU331" i="674" s="1"/>
  <c r="AL331" i="674"/>
  <c r="AM331" i="674" s="1"/>
  <c r="AD331" i="674"/>
  <c r="AE331" i="674" s="1"/>
  <c r="V331" i="674"/>
  <c r="W331" i="674" s="1"/>
  <c r="N331" i="674"/>
  <c r="O331" i="674" s="1"/>
  <c r="CX330" i="674"/>
  <c r="CY330" i="674" s="1"/>
  <c r="CP330" i="674"/>
  <c r="CQ330" i="674" s="1"/>
  <c r="CH330" i="674"/>
  <c r="CI330" i="674" s="1"/>
  <c r="BZ330" i="674"/>
  <c r="CA330" i="674" s="1"/>
  <c r="BR330" i="674"/>
  <c r="BS330" i="674" s="1"/>
  <c r="BJ330" i="674"/>
  <c r="BK330" i="674" s="1"/>
  <c r="BB330" i="674"/>
  <c r="BC330" i="674" s="1"/>
  <c r="AT330" i="674"/>
  <c r="AU330" i="674" s="1"/>
  <c r="AL330" i="674"/>
  <c r="AM330" i="674" s="1"/>
  <c r="AD330" i="674"/>
  <c r="AE330" i="674" s="1"/>
  <c r="V330" i="674"/>
  <c r="W330" i="674" s="1"/>
  <c r="N330" i="674"/>
  <c r="O330" i="674" s="1"/>
  <c r="CX329" i="674"/>
  <c r="CY329" i="674" s="1"/>
  <c r="CP329" i="674"/>
  <c r="CQ329" i="674" s="1"/>
  <c r="CH329" i="674"/>
  <c r="CI329" i="674" s="1"/>
  <c r="BZ329" i="674"/>
  <c r="CA329" i="674" s="1"/>
  <c r="BR329" i="674"/>
  <c r="BS329" i="674" s="1"/>
  <c r="BJ329" i="674"/>
  <c r="BK329" i="674" s="1"/>
  <c r="BB329" i="674"/>
  <c r="BC329" i="674" s="1"/>
  <c r="AT329" i="674"/>
  <c r="AU329" i="674" s="1"/>
  <c r="AL329" i="674"/>
  <c r="AM329" i="674" s="1"/>
  <c r="AD329" i="674"/>
  <c r="AE329" i="674" s="1"/>
  <c r="V329" i="674"/>
  <c r="W329" i="674" s="1"/>
  <c r="N329" i="674"/>
  <c r="O329" i="674" s="1"/>
  <c r="CX328" i="674"/>
  <c r="CY328" i="674" s="1"/>
  <c r="CP328" i="674"/>
  <c r="CQ328" i="674" s="1"/>
  <c r="CH328" i="674"/>
  <c r="CI328" i="674" s="1"/>
  <c r="BZ328" i="674"/>
  <c r="CA328" i="674" s="1"/>
  <c r="BR328" i="674"/>
  <c r="BS328" i="674" s="1"/>
  <c r="BJ328" i="674"/>
  <c r="BK328" i="674" s="1"/>
  <c r="BB328" i="674"/>
  <c r="BC328" i="674" s="1"/>
  <c r="AT328" i="674"/>
  <c r="AU328" i="674" s="1"/>
  <c r="AL328" i="674"/>
  <c r="AM328" i="674" s="1"/>
  <c r="AD328" i="674"/>
  <c r="AE328" i="674" s="1"/>
  <c r="V328" i="674"/>
  <c r="W328" i="674" s="1"/>
  <c r="N328" i="674"/>
  <c r="O328" i="674" s="1"/>
  <c r="CX327" i="674"/>
  <c r="CY327" i="674" s="1"/>
  <c r="CP327" i="674"/>
  <c r="CQ327" i="674" s="1"/>
  <c r="CH327" i="674"/>
  <c r="CI327" i="674" s="1"/>
  <c r="BZ327" i="674"/>
  <c r="CA327" i="674" s="1"/>
  <c r="BR327" i="674"/>
  <c r="BS327" i="674" s="1"/>
  <c r="BJ327" i="674"/>
  <c r="BK327" i="674" s="1"/>
  <c r="BB327" i="674"/>
  <c r="BC327" i="674" s="1"/>
  <c r="AT327" i="674"/>
  <c r="AU327" i="674" s="1"/>
  <c r="AL327" i="674"/>
  <c r="AM327" i="674" s="1"/>
  <c r="AD327" i="674"/>
  <c r="AE327" i="674" s="1"/>
  <c r="V327" i="674"/>
  <c r="W327" i="674" s="1"/>
  <c r="N327" i="674"/>
  <c r="O327" i="674" s="1"/>
  <c r="CX326" i="674"/>
  <c r="CY326" i="674" s="1"/>
  <c r="CP326" i="674"/>
  <c r="CQ326" i="674" s="1"/>
  <c r="CH326" i="674"/>
  <c r="CI326" i="674" s="1"/>
  <c r="BZ326" i="674"/>
  <c r="CA326" i="674" s="1"/>
  <c r="BR326" i="674"/>
  <c r="BS326" i="674" s="1"/>
  <c r="BJ326" i="674"/>
  <c r="BK326" i="674" s="1"/>
  <c r="BB326" i="674"/>
  <c r="BC326" i="674" s="1"/>
  <c r="AT326" i="674"/>
  <c r="AU326" i="674" s="1"/>
  <c r="AL326" i="674"/>
  <c r="AM326" i="674" s="1"/>
  <c r="AD326" i="674"/>
  <c r="AE326" i="674" s="1"/>
  <c r="V326" i="674"/>
  <c r="W326" i="674" s="1"/>
  <c r="N326" i="674"/>
  <c r="O326" i="674" s="1"/>
  <c r="CX325" i="674"/>
  <c r="CY325" i="674" s="1"/>
  <c r="CP325" i="674"/>
  <c r="CQ325" i="674" s="1"/>
  <c r="CH325" i="674"/>
  <c r="CI325" i="674" s="1"/>
  <c r="BZ325" i="674"/>
  <c r="CA325" i="674" s="1"/>
  <c r="BR325" i="674"/>
  <c r="BS325" i="674" s="1"/>
  <c r="BJ325" i="674"/>
  <c r="BK325" i="674" s="1"/>
  <c r="BB325" i="674"/>
  <c r="BC325" i="674" s="1"/>
  <c r="AT325" i="674"/>
  <c r="AU325" i="674" s="1"/>
  <c r="AL325" i="674"/>
  <c r="AM325" i="674" s="1"/>
  <c r="AD325" i="674"/>
  <c r="AE325" i="674" s="1"/>
  <c r="V325" i="674"/>
  <c r="W325" i="674" s="1"/>
  <c r="N325" i="674"/>
  <c r="O325" i="674" s="1"/>
  <c r="CX324" i="674"/>
  <c r="CY324" i="674" s="1"/>
  <c r="CP324" i="674"/>
  <c r="CQ324" i="674" s="1"/>
  <c r="CH324" i="674"/>
  <c r="CI324" i="674" s="1"/>
  <c r="BZ324" i="674"/>
  <c r="CA324" i="674" s="1"/>
  <c r="BR324" i="674"/>
  <c r="BS324" i="674" s="1"/>
  <c r="BJ324" i="674"/>
  <c r="BK324" i="674" s="1"/>
  <c r="BB324" i="674"/>
  <c r="BC324" i="674" s="1"/>
  <c r="AT324" i="674"/>
  <c r="AU324" i="674" s="1"/>
  <c r="AL324" i="674"/>
  <c r="AM324" i="674" s="1"/>
  <c r="AD324" i="674"/>
  <c r="AE324" i="674" s="1"/>
  <c r="V324" i="674"/>
  <c r="W324" i="674" s="1"/>
  <c r="N324" i="674"/>
  <c r="O324" i="674" s="1"/>
  <c r="CX323" i="674"/>
  <c r="CY323" i="674" s="1"/>
  <c r="CP323" i="674"/>
  <c r="CQ323" i="674" s="1"/>
  <c r="CH323" i="674"/>
  <c r="CI323" i="674" s="1"/>
  <c r="BZ323" i="674"/>
  <c r="CA323" i="674" s="1"/>
  <c r="BR323" i="674"/>
  <c r="BS323" i="674" s="1"/>
  <c r="BJ323" i="674"/>
  <c r="BK323" i="674" s="1"/>
  <c r="BB323" i="674"/>
  <c r="BC323" i="674" s="1"/>
  <c r="AT323" i="674"/>
  <c r="AU323" i="674" s="1"/>
  <c r="AL323" i="674"/>
  <c r="AM323" i="674" s="1"/>
  <c r="AD323" i="674"/>
  <c r="AE323" i="674" s="1"/>
  <c r="V323" i="674"/>
  <c r="W323" i="674" s="1"/>
  <c r="N323" i="674"/>
  <c r="O323" i="674" s="1"/>
  <c r="CX322" i="674"/>
  <c r="CY322" i="674" s="1"/>
  <c r="CP322" i="674"/>
  <c r="CQ322" i="674" s="1"/>
  <c r="CH322" i="674"/>
  <c r="CI322" i="674" s="1"/>
  <c r="BZ322" i="674"/>
  <c r="CA322" i="674" s="1"/>
  <c r="BR322" i="674"/>
  <c r="BS322" i="674" s="1"/>
  <c r="BJ322" i="674"/>
  <c r="BK322" i="674" s="1"/>
  <c r="BB322" i="674"/>
  <c r="BC322" i="674" s="1"/>
  <c r="AT322" i="674"/>
  <c r="AU322" i="674" s="1"/>
  <c r="AL322" i="674"/>
  <c r="AM322" i="674" s="1"/>
  <c r="AD322" i="674"/>
  <c r="AE322" i="674" s="1"/>
  <c r="V322" i="674"/>
  <c r="W322" i="674" s="1"/>
  <c r="N322" i="674"/>
  <c r="O322" i="674" s="1"/>
  <c r="CX321" i="674"/>
  <c r="CY321" i="674" s="1"/>
  <c r="CP321" i="674"/>
  <c r="CQ321" i="674" s="1"/>
  <c r="CH321" i="674"/>
  <c r="CI321" i="674" s="1"/>
  <c r="BZ321" i="674"/>
  <c r="CA321" i="674" s="1"/>
  <c r="BR321" i="674"/>
  <c r="BS321" i="674" s="1"/>
  <c r="BJ321" i="674"/>
  <c r="BK321" i="674" s="1"/>
  <c r="BB321" i="674"/>
  <c r="BC321" i="674" s="1"/>
  <c r="AT321" i="674"/>
  <c r="AU321" i="674" s="1"/>
  <c r="AL321" i="674"/>
  <c r="AM321" i="674" s="1"/>
  <c r="AD321" i="674"/>
  <c r="AE321" i="674" s="1"/>
  <c r="V321" i="674"/>
  <c r="W321" i="674" s="1"/>
  <c r="N321" i="674"/>
  <c r="O321" i="674" s="1"/>
  <c r="CX320" i="674"/>
  <c r="CY320" i="674" s="1"/>
  <c r="CP320" i="674"/>
  <c r="CQ320" i="674" s="1"/>
  <c r="CH320" i="674"/>
  <c r="CI320" i="674" s="1"/>
  <c r="BZ320" i="674"/>
  <c r="CA320" i="674" s="1"/>
  <c r="BR320" i="674"/>
  <c r="BS320" i="674" s="1"/>
  <c r="BJ320" i="674"/>
  <c r="BK320" i="674" s="1"/>
  <c r="BB320" i="674"/>
  <c r="BC320" i="674" s="1"/>
  <c r="AT320" i="674"/>
  <c r="AU320" i="674" s="1"/>
  <c r="AL320" i="674"/>
  <c r="AM320" i="674" s="1"/>
  <c r="AD320" i="674"/>
  <c r="AE320" i="674" s="1"/>
  <c r="V320" i="674"/>
  <c r="W320" i="674" s="1"/>
  <c r="N320" i="674"/>
  <c r="O320" i="674" s="1"/>
  <c r="CX319" i="674"/>
  <c r="CY319" i="674" s="1"/>
  <c r="CP319" i="674"/>
  <c r="CQ319" i="674" s="1"/>
  <c r="CH319" i="674"/>
  <c r="CI319" i="674" s="1"/>
  <c r="BZ319" i="674"/>
  <c r="CA319" i="674" s="1"/>
  <c r="BR319" i="674"/>
  <c r="BS319" i="674" s="1"/>
  <c r="BJ319" i="674"/>
  <c r="BK319" i="674" s="1"/>
  <c r="BB319" i="674"/>
  <c r="BC319" i="674" s="1"/>
  <c r="AT319" i="674"/>
  <c r="AU319" i="674" s="1"/>
  <c r="AL319" i="674"/>
  <c r="AM319" i="674" s="1"/>
  <c r="AD319" i="674"/>
  <c r="AE319" i="674" s="1"/>
  <c r="V319" i="674"/>
  <c r="W319" i="674" s="1"/>
  <c r="N319" i="674"/>
  <c r="O319" i="674" s="1"/>
  <c r="CX318" i="674"/>
  <c r="CY318" i="674" s="1"/>
  <c r="CP318" i="674"/>
  <c r="CQ318" i="674" s="1"/>
  <c r="CH318" i="674"/>
  <c r="CI318" i="674" s="1"/>
  <c r="BZ318" i="674"/>
  <c r="CA318" i="674" s="1"/>
  <c r="BR318" i="674"/>
  <c r="BS318" i="674" s="1"/>
  <c r="BJ318" i="674"/>
  <c r="BK318" i="674" s="1"/>
  <c r="BB318" i="674"/>
  <c r="BC318" i="674" s="1"/>
  <c r="AT318" i="674"/>
  <c r="AU318" i="674" s="1"/>
  <c r="AL318" i="674"/>
  <c r="AM318" i="674" s="1"/>
  <c r="AD318" i="674"/>
  <c r="AE318" i="674" s="1"/>
  <c r="V318" i="674"/>
  <c r="W318" i="674" s="1"/>
  <c r="N318" i="674"/>
  <c r="O318" i="674" s="1"/>
  <c r="CX317" i="674"/>
  <c r="CY317" i="674" s="1"/>
  <c r="CP317" i="674"/>
  <c r="CQ317" i="674" s="1"/>
  <c r="CH317" i="674"/>
  <c r="CI317" i="674" s="1"/>
  <c r="BZ317" i="674"/>
  <c r="CA317" i="674" s="1"/>
  <c r="BR317" i="674"/>
  <c r="BS317" i="674" s="1"/>
  <c r="BJ317" i="674"/>
  <c r="BK317" i="674" s="1"/>
  <c r="BB317" i="674"/>
  <c r="BC317" i="674" s="1"/>
  <c r="AT317" i="674"/>
  <c r="AU317" i="674" s="1"/>
  <c r="AL317" i="674"/>
  <c r="AM317" i="674" s="1"/>
  <c r="AD317" i="674"/>
  <c r="AE317" i="674" s="1"/>
  <c r="V317" i="674"/>
  <c r="W317" i="674" s="1"/>
  <c r="N317" i="674"/>
  <c r="O317" i="674" s="1"/>
  <c r="CX316" i="674"/>
  <c r="CY316" i="674" s="1"/>
  <c r="CP316" i="674"/>
  <c r="CQ316" i="674" s="1"/>
  <c r="CH316" i="674"/>
  <c r="CI316" i="674" s="1"/>
  <c r="BZ316" i="674"/>
  <c r="CA316" i="674" s="1"/>
  <c r="BR316" i="674"/>
  <c r="BS316" i="674" s="1"/>
  <c r="BJ316" i="674"/>
  <c r="BK316" i="674" s="1"/>
  <c r="BB316" i="674"/>
  <c r="BC316" i="674" s="1"/>
  <c r="AT316" i="674"/>
  <c r="AU316" i="674" s="1"/>
  <c r="AL316" i="674"/>
  <c r="AM316" i="674" s="1"/>
  <c r="AD316" i="674"/>
  <c r="AE316" i="674" s="1"/>
  <c r="V316" i="674"/>
  <c r="W316" i="674" s="1"/>
  <c r="N316" i="674"/>
  <c r="O316" i="674" s="1"/>
  <c r="CX315" i="674"/>
  <c r="CY315" i="674" s="1"/>
  <c r="CP315" i="674"/>
  <c r="CQ315" i="674" s="1"/>
  <c r="CH315" i="674"/>
  <c r="CI315" i="674" s="1"/>
  <c r="BZ315" i="674"/>
  <c r="CA315" i="674" s="1"/>
  <c r="BR315" i="674"/>
  <c r="BS315" i="674" s="1"/>
  <c r="BJ315" i="674"/>
  <c r="BK315" i="674" s="1"/>
  <c r="BB315" i="674"/>
  <c r="BC315" i="674" s="1"/>
  <c r="AT315" i="674"/>
  <c r="AU315" i="674" s="1"/>
  <c r="AL315" i="674"/>
  <c r="AM315" i="674" s="1"/>
  <c r="AD315" i="674"/>
  <c r="AE315" i="674" s="1"/>
  <c r="V315" i="674"/>
  <c r="W315" i="674" s="1"/>
  <c r="N315" i="674"/>
  <c r="O315" i="674" s="1"/>
  <c r="CX314" i="674"/>
  <c r="CY314" i="674" s="1"/>
  <c r="CP314" i="674"/>
  <c r="CQ314" i="674" s="1"/>
  <c r="CH314" i="674"/>
  <c r="CI314" i="674" s="1"/>
  <c r="BZ314" i="674"/>
  <c r="CA314" i="674" s="1"/>
  <c r="BR314" i="674"/>
  <c r="BS314" i="674" s="1"/>
  <c r="BJ314" i="674"/>
  <c r="BK314" i="674" s="1"/>
  <c r="BB314" i="674"/>
  <c r="BC314" i="674" s="1"/>
  <c r="AT314" i="674"/>
  <c r="AU314" i="674" s="1"/>
  <c r="AL314" i="674"/>
  <c r="AM314" i="674" s="1"/>
  <c r="AD314" i="674"/>
  <c r="AE314" i="674" s="1"/>
  <c r="V314" i="674"/>
  <c r="W314" i="674" s="1"/>
  <c r="N314" i="674"/>
  <c r="O314" i="674" s="1"/>
  <c r="CX313" i="674"/>
  <c r="CY313" i="674" s="1"/>
  <c r="CP313" i="674"/>
  <c r="CQ313" i="674" s="1"/>
  <c r="CH313" i="674"/>
  <c r="CI313" i="674" s="1"/>
  <c r="BZ313" i="674"/>
  <c r="CA313" i="674" s="1"/>
  <c r="BR313" i="674"/>
  <c r="BS313" i="674" s="1"/>
  <c r="BJ313" i="674"/>
  <c r="BK313" i="674" s="1"/>
  <c r="BB313" i="674"/>
  <c r="BC313" i="674" s="1"/>
  <c r="AT313" i="674"/>
  <c r="AU313" i="674" s="1"/>
  <c r="AL313" i="674"/>
  <c r="AM313" i="674" s="1"/>
  <c r="AD313" i="674"/>
  <c r="AE313" i="674" s="1"/>
  <c r="V313" i="674"/>
  <c r="W313" i="674" s="1"/>
  <c r="N313" i="674"/>
  <c r="O313" i="674" s="1"/>
  <c r="CX312" i="674"/>
  <c r="CY312" i="674" s="1"/>
  <c r="CP312" i="674"/>
  <c r="CQ312" i="674" s="1"/>
  <c r="CH312" i="674"/>
  <c r="CI312" i="674" s="1"/>
  <c r="BZ312" i="674"/>
  <c r="CA312" i="674" s="1"/>
  <c r="BR312" i="674"/>
  <c r="BS312" i="674" s="1"/>
  <c r="BJ312" i="674"/>
  <c r="BK312" i="674" s="1"/>
  <c r="BB312" i="674"/>
  <c r="BC312" i="674" s="1"/>
  <c r="AT312" i="674"/>
  <c r="AU312" i="674" s="1"/>
  <c r="AL312" i="674"/>
  <c r="AM312" i="674" s="1"/>
  <c r="AD312" i="674"/>
  <c r="AE312" i="674" s="1"/>
  <c r="V312" i="674"/>
  <c r="W312" i="674" s="1"/>
  <c r="N312" i="674"/>
  <c r="O312" i="674" s="1"/>
  <c r="CX311" i="674"/>
  <c r="CY311" i="674" s="1"/>
  <c r="CP311" i="674"/>
  <c r="CQ311" i="674" s="1"/>
  <c r="CH311" i="674"/>
  <c r="CI311" i="674" s="1"/>
  <c r="BZ311" i="674"/>
  <c r="CA311" i="674" s="1"/>
  <c r="BR311" i="674"/>
  <c r="BS311" i="674" s="1"/>
  <c r="BJ311" i="674"/>
  <c r="BK311" i="674" s="1"/>
  <c r="BB311" i="674"/>
  <c r="BC311" i="674" s="1"/>
  <c r="AT311" i="674"/>
  <c r="AU311" i="674" s="1"/>
  <c r="AL311" i="674"/>
  <c r="AM311" i="674" s="1"/>
  <c r="AD311" i="674"/>
  <c r="AE311" i="674" s="1"/>
  <c r="V311" i="674"/>
  <c r="W311" i="674" s="1"/>
  <c r="N311" i="674"/>
  <c r="O311" i="674" s="1"/>
  <c r="CX310" i="674"/>
  <c r="CY310" i="674" s="1"/>
  <c r="CP310" i="674"/>
  <c r="CQ310" i="674" s="1"/>
  <c r="CH310" i="674"/>
  <c r="CI310" i="674" s="1"/>
  <c r="BZ310" i="674"/>
  <c r="CA310" i="674" s="1"/>
  <c r="BR310" i="674"/>
  <c r="BS310" i="674" s="1"/>
  <c r="BJ310" i="674"/>
  <c r="BK310" i="674" s="1"/>
  <c r="BB310" i="674"/>
  <c r="BC310" i="674" s="1"/>
  <c r="AT310" i="674"/>
  <c r="AU310" i="674" s="1"/>
  <c r="AL310" i="674"/>
  <c r="AM310" i="674" s="1"/>
  <c r="AD310" i="674"/>
  <c r="AE310" i="674" s="1"/>
  <c r="V310" i="674"/>
  <c r="W310" i="674" s="1"/>
  <c r="N310" i="674"/>
  <c r="O310" i="674" s="1"/>
  <c r="CX309" i="674"/>
  <c r="CY309" i="674" s="1"/>
  <c r="CP309" i="674"/>
  <c r="CQ309" i="674" s="1"/>
  <c r="CH309" i="674"/>
  <c r="CI309" i="674" s="1"/>
  <c r="BZ309" i="674"/>
  <c r="CA309" i="674" s="1"/>
  <c r="BR309" i="674"/>
  <c r="BS309" i="674" s="1"/>
  <c r="BJ309" i="674"/>
  <c r="BK309" i="674" s="1"/>
  <c r="BB309" i="674"/>
  <c r="BC309" i="674" s="1"/>
  <c r="AT309" i="674"/>
  <c r="AU309" i="674" s="1"/>
  <c r="AL309" i="674"/>
  <c r="AM309" i="674" s="1"/>
  <c r="AD309" i="674"/>
  <c r="AE309" i="674" s="1"/>
  <c r="V309" i="674"/>
  <c r="W309" i="674" s="1"/>
  <c r="N309" i="674"/>
  <c r="O309" i="674" s="1"/>
  <c r="CX308" i="674"/>
  <c r="CY308" i="674" s="1"/>
  <c r="CP308" i="674"/>
  <c r="CQ308" i="674" s="1"/>
  <c r="CH308" i="674"/>
  <c r="CI308" i="674" s="1"/>
  <c r="BZ308" i="674"/>
  <c r="CA308" i="674" s="1"/>
  <c r="BR308" i="674"/>
  <c r="BS308" i="674" s="1"/>
  <c r="BJ308" i="674"/>
  <c r="BK308" i="674" s="1"/>
  <c r="BB308" i="674"/>
  <c r="BC308" i="674" s="1"/>
  <c r="AT308" i="674"/>
  <c r="AU308" i="674" s="1"/>
  <c r="AL308" i="674"/>
  <c r="AM308" i="674" s="1"/>
  <c r="AD308" i="674"/>
  <c r="AE308" i="674" s="1"/>
  <c r="V308" i="674"/>
  <c r="W308" i="674" s="1"/>
  <c r="N308" i="674"/>
  <c r="O308" i="674" s="1"/>
  <c r="CX307" i="674"/>
  <c r="CY307" i="674" s="1"/>
  <c r="CP307" i="674"/>
  <c r="CQ307" i="674" s="1"/>
  <c r="CH307" i="674"/>
  <c r="CI307" i="674" s="1"/>
  <c r="BZ307" i="674"/>
  <c r="CA307" i="674" s="1"/>
  <c r="BR307" i="674"/>
  <c r="BS307" i="674" s="1"/>
  <c r="BJ307" i="674"/>
  <c r="BK307" i="674" s="1"/>
  <c r="BB307" i="674"/>
  <c r="BC307" i="674" s="1"/>
  <c r="AT307" i="674"/>
  <c r="AU307" i="674" s="1"/>
  <c r="AL307" i="674"/>
  <c r="AM307" i="674" s="1"/>
  <c r="AD307" i="674"/>
  <c r="AE307" i="674" s="1"/>
  <c r="V307" i="674"/>
  <c r="W307" i="674" s="1"/>
  <c r="N307" i="674"/>
  <c r="O307" i="674" s="1"/>
  <c r="CX306" i="674"/>
  <c r="CY306" i="674" s="1"/>
  <c r="CP306" i="674"/>
  <c r="CQ306" i="674" s="1"/>
  <c r="CH306" i="674"/>
  <c r="CI306" i="674" s="1"/>
  <c r="BZ306" i="674"/>
  <c r="CA306" i="674" s="1"/>
  <c r="BR306" i="674"/>
  <c r="BS306" i="674" s="1"/>
  <c r="BJ306" i="674"/>
  <c r="BK306" i="674" s="1"/>
  <c r="BB306" i="674"/>
  <c r="BC306" i="674" s="1"/>
  <c r="AT306" i="674"/>
  <c r="AU306" i="674" s="1"/>
  <c r="AL306" i="674"/>
  <c r="AM306" i="674" s="1"/>
  <c r="AD306" i="674"/>
  <c r="AE306" i="674" s="1"/>
  <c r="V306" i="674"/>
  <c r="W306" i="674" s="1"/>
  <c r="N306" i="674"/>
  <c r="O306" i="674" s="1"/>
  <c r="CX305" i="674"/>
  <c r="CY305" i="674" s="1"/>
  <c r="CP305" i="674"/>
  <c r="CQ305" i="674" s="1"/>
  <c r="CH305" i="674"/>
  <c r="CI305" i="674" s="1"/>
  <c r="BZ305" i="674"/>
  <c r="CA305" i="674" s="1"/>
  <c r="BR305" i="674"/>
  <c r="BS305" i="674" s="1"/>
  <c r="BJ305" i="674"/>
  <c r="BK305" i="674" s="1"/>
  <c r="BB305" i="674"/>
  <c r="BC305" i="674" s="1"/>
  <c r="AT305" i="674"/>
  <c r="AU305" i="674" s="1"/>
  <c r="AL305" i="674"/>
  <c r="AM305" i="674" s="1"/>
  <c r="AD305" i="674"/>
  <c r="AE305" i="674" s="1"/>
  <c r="V305" i="674"/>
  <c r="W305" i="674" s="1"/>
  <c r="N305" i="674"/>
  <c r="O305" i="674" s="1"/>
  <c r="CX304" i="674"/>
  <c r="CY304" i="674" s="1"/>
  <c r="CP304" i="674"/>
  <c r="CQ304" i="674" s="1"/>
  <c r="CH304" i="674"/>
  <c r="CI304" i="674" s="1"/>
  <c r="BZ304" i="674"/>
  <c r="CA304" i="674" s="1"/>
  <c r="BR304" i="674"/>
  <c r="BS304" i="674" s="1"/>
  <c r="BJ304" i="674"/>
  <c r="BK304" i="674" s="1"/>
  <c r="BB304" i="674"/>
  <c r="BC304" i="674" s="1"/>
  <c r="AT304" i="674"/>
  <c r="AU304" i="674" s="1"/>
  <c r="AL304" i="674"/>
  <c r="AM304" i="674" s="1"/>
  <c r="AD304" i="674"/>
  <c r="AE304" i="674" s="1"/>
  <c r="V304" i="674"/>
  <c r="W304" i="674" s="1"/>
  <c r="N304" i="674"/>
  <c r="O304" i="674" s="1"/>
  <c r="CX303" i="674"/>
  <c r="CY303" i="674" s="1"/>
  <c r="CP303" i="674"/>
  <c r="CQ303" i="674" s="1"/>
  <c r="CH303" i="674"/>
  <c r="CI303" i="674" s="1"/>
  <c r="BZ303" i="674"/>
  <c r="CA303" i="674" s="1"/>
  <c r="BR303" i="674"/>
  <c r="BS303" i="674" s="1"/>
  <c r="BJ303" i="674"/>
  <c r="BK303" i="674" s="1"/>
  <c r="BB303" i="674"/>
  <c r="BC303" i="674" s="1"/>
  <c r="AT303" i="674"/>
  <c r="AU303" i="674" s="1"/>
  <c r="AL303" i="674"/>
  <c r="AM303" i="674" s="1"/>
  <c r="AD303" i="674"/>
  <c r="AE303" i="674" s="1"/>
  <c r="V303" i="674"/>
  <c r="W303" i="674" s="1"/>
  <c r="N303" i="674"/>
  <c r="O303" i="674" s="1"/>
  <c r="CX302" i="674"/>
  <c r="CY302" i="674" s="1"/>
  <c r="CP302" i="674"/>
  <c r="CQ302" i="674" s="1"/>
  <c r="CH302" i="674"/>
  <c r="CI302" i="674" s="1"/>
  <c r="BZ302" i="674"/>
  <c r="CA302" i="674" s="1"/>
  <c r="BR302" i="674"/>
  <c r="BS302" i="674" s="1"/>
  <c r="BJ302" i="674"/>
  <c r="BK302" i="674" s="1"/>
  <c r="BB302" i="674"/>
  <c r="BC302" i="674" s="1"/>
  <c r="AT302" i="674"/>
  <c r="AU302" i="674" s="1"/>
  <c r="AL302" i="674"/>
  <c r="AM302" i="674" s="1"/>
  <c r="AD302" i="674"/>
  <c r="AE302" i="674" s="1"/>
  <c r="V302" i="674"/>
  <c r="W302" i="674" s="1"/>
  <c r="N302" i="674"/>
  <c r="O302" i="674" s="1"/>
  <c r="CX301" i="674"/>
  <c r="CY301" i="674" s="1"/>
  <c r="CP301" i="674"/>
  <c r="CQ301" i="674" s="1"/>
  <c r="CH301" i="674"/>
  <c r="CI301" i="674" s="1"/>
  <c r="BZ301" i="674"/>
  <c r="CA301" i="674" s="1"/>
  <c r="BR301" i="674"/>
  <c r="BS301" i="674" s="1"/>
  <c r="BJ301" i="674"/>
  <c r="BK301" i="674" s="1"/>
  <c r="BB301" i="674"/>
  <c r="BC301" i="674" s="1"/>
  <c r="AT301" i="674"/>
  <c r="AU301" i="674" s="1"/>
  <c r="AL301" i="674"/>
  <c r="AM301" i="674" s="1"/>
  <c r="AD301" i="674"/>
  <c r="AE301" i="674" s="1"/>
  <c r="V301" i="674"/>
  <c r="W301" i="674" s="1"/>
  <c r="N301" i="674"/>
  <c r="O301" i="674" s="1"/>
  <c r="CX300" i="674"/>
  <c r="CY300" i="674" s="1"/>
  <c r="CP300" i="674"/>
  <c r="CQ300" i="674" s="1"/>
  <c r="CH300" i="674"/>
  <c r="CI300" i="674" s="1"/>
  <c r="BZ300" i="674"/>
  <c r="CA300" i="674" s="1"/>
  <c r="BR300" i="674"/>
  <c r="BS300" i="674" s="1"/>
  <c r="BJ300" i="674"/>
  <c r="BK300" i="674" s="1"/>
  <c r="BB300" i="674"/>
  <c r="BC300" i="674" s="1"/>
  <c r="AT300" i="674"/>
  <c r="AU300" i="674" s="1"/>
  <c r="AL300" i="674"/>
  <c r="AM300" i="674" s="1"/>
  <c r="AD300" i="674"/>
  <c r="AE300" i="674" s="1"/>
  <c r="V300" i="674"/>
  <c r="W300" i="674" s="1"/>
  <c r="N300" i="674"/>
  <c r="O300" i="674" s="1"/>
  <c r="CX299" i="674"/>
  <c r="CY299" i="674" s="1"/>
  <c r="CP299" i="674"/>
  <c r="CQ299" i="674" s="1"/>
  <c r="CH299" i="674"/>
  <c r="CI299" i="674" s="1"/>
  <c r="BZ299" i="674"/>
  <c r="CA299" i="674" s="1"/>
  <c r="BR299" i="674"/>
  <c r="BS299" i="674" s="1"/>
  <c r="BJ299" i="674"/>
  <c r="BK299" i="674" s="1"/>
  <c r="BB299" i="674"/>
  <c r="BC299" i="674" s="1"/>
  <c r="AT299" i="674"/>
  <c r="AU299" i="674" s="1"/>
  <c r="AL299" i="674"/>
  <c r="AM299" i="674" s="1"/>
  <c r="AD299" i="674"/>
  <c r="AE299" i="674" s="1"/>
  <c r="V299" i="674"/>
  <c r="W299" i="674" s="1"/>
  <c r="N299" i="674"/>
  <c r="O299" i="674" s="1"/>
  <c r="CX298" i="674"/>
  <c r="CY298" i="674" s="1"/>
  <c r="CP298" i="674"/>
  <c r="CQ298" i="674" s="1"/>
  <c r="CH298" i="674"/>
  <c r="CI298" i="674" s="1"/>
  <c r="BZ298" i="674"/>
  <c r="CA298" i="674" s="1"/>
  <c r="BR298" i="674"/>
  <c r="BS298" i="674" s="1"/>
  <c r="BJ298" i="674"/>
  <c r="BK298" i="674" s="1"/>
  <c r="BB298" i="674"/>
  <c r="BC298" i="674" s="1"/>
  <c r="AT298" i="674"/>
  <c r="AU298" i="674" s="1"/>
  <c r="AL298" i="674"/>
  <c r="AM298" i="674" s="1"/>
  <c r="AD298" i="674"/>
  <c r="AE298" i="674" s="1"/>
  <c r="V298" i="674"/>
  <c r="W298" i="674" s="1"/>
  <c r="N298" i="674"/>
  <c r="O298" i="674" s="1"/>
  <c r="CX297" i="674"/>
  <c r="CY297" i="674" s="1"/>
  <c r="CP297" i="674"/>
  <c r="CQ297" i="674" s="1"/>
  <c r="CH297" i="674"/>
  <c r="CI297" i="674" s="1"/>
  <c r="BZ297" i="674"/>
  <c r="CA297" i="674" s="1"/>
  <c r="BR297" i="674"/>
  <c r="BS297" i="674" s="1"/>
  <c r="BJ297" i="674"/>
  <c r="BK297" i="674" s="1"/>
  <c r="BB297" i="674"/>
  <c r="BC297" i="674" s="1"/>
  <c r="AT297" i="674"/>
  <c r="AU297" i="674" s="1"/>
  <c r="AL297" i="674"/>
  <c r="AM297" i="674" s="1"/>
  <c r="AD297" i="674"/>
  <c r="AE297" i="674" s="1"/>
  <c r="V297" i="674"/>
  <c r="W297" i="674" s="1"/>
  <c r="N297" i="674"/>
  <c r="O297" i="674" s="1"/>
  <c r="CX296" i="674"/>
  <c r="CY296" i="674" s="1"/>
  <c r="CP296" i="674"/>
  <c r="CQ296" i="674" s="1"/>
  <c r="CH296" i="674"/>
  <c r="CI296" i="674" s="1"/>
  <c r="BZ296" i="674"/>
  <c r="CA296" i="674" s="1"/>
  <c r="BR296" i="674"/>
  <c r="BS296" i="674" s="1"/>
  <c r="BJ296" i="674"/>
  <c r="BK296" i="674" s="1"/>
  <c r="BB296" i="674"/>
  <c r="BC296" i="674" s="1"/>
  <c r="AT296" i="674"/>
  <c r="AU296" i="674" s="1"/>
  <c r="AL296" i="674"/>
  <c r="AM296" i="674" s="1"/>
  <c r="AD296" i="674"/>
  <c r="AE296" i="674" s="1"/>
  <c r="V296" i="674"/>
  <c r="W296" i="674" s="1"/>
  <c r="N296" i="674"/>
  <c r="O296" i="674" s="1"/>
  <c r="CX295" i="674"/>
  <c r="CY295" i="674" s="1"/>
  <c r="CP295" i="674"/>
  <c r="CQ295" i="674" s="1"/>
  <c r="CH295" i="674"/>
  <c r="CI295" i="674" s="1"/>
  <c r="BZ295" i="674"/>
  <c r="CA295" i="674" s="1"/>
  <c r="BR295" i="674"/>
  <c r="BS295" i="674" s="1"/>
  <c r="BJ295" i="674"/>
  <c r="BK295" i="674" s="1"/>
  <c r="BB295" i="674"/>
  <c r="BC295" i="674" s="1"/>
  <c r="AT295" i="674"/>
  <c r="AU295" i="674" s="1"/>
  <c r="AL295" i="674"/>
  <c r="AM295" i="674" s="1"/>
  <c r="AD295" i="674"/>
  <c r="AE295" i="674" s="1"/>
  <c r="V295" i="674"/>
  <c r="W295" i="674" s="1"/>
  <c r="N295" i="674"/>
  <c r="O295" i="674" s="1"/>
  <c r="CX294" i="674"/>
  <c r="CY294" i="674" s="1"/>
  <c r="CP294" i="674"/>
  <c r="CQ294" i="674" s="1"/>
  <c r="CH294" i="674"/>
  <c r="CI294" i="674" s="1"/>
  <c r="BZ294" i="674"/>
  <c r="CA294" i="674" s="1"/>
  <c r="BR294" i="674"/>
  <c r="BS294" i="674" s="1"/>
  <c r="BJ294" i="674"/>
  <c r="BK294" i="674" s="1"/>
  <c r="BB294" i="674"/>
  <c r="BC294" i="674" s="1"/>
  <c r="AT294" i="674"/>
  <c r="AU294" i="674" s="1"/>
  <c r="AL294" i="674"/>
  <c r="AM294" i="674" s="1"/>
  <c r="AD294" i="674"/>
  <c r="AE294" i="674" s="1"/>
  <c r="V294" i="674"/>
  <c r="W294" i="674" s="1"/>
  <c r="N294" i="674"/>
  <c r="O294" i="674" s="1"/>
  <c r="CX293" i="674"/>
  <c r="CY293" i="674" s="1"/>
  <c r="CP293" i="674"/>
  <c r="CQ293" i="674" s="1"/>
  <c r="CH293" i="674"/>
  <c r="CI293" i="674" s="1"/>
  <c r="BZ293" i="674"/>
  <c r="CA293" i="674" s="1"/>
  <c r="BR293" i="674"/>
  <c r="BS293" i="674" s="1"/>
  <c r="BJ293" i="674"/>
  <c r="BK293" i="674" s="1"/>
  <c r="BB293" i="674"/>
  <c r="BC293" i="674" s="1"/>
  <c r="AT293" i="674"/>
  <c r="AU293" i="674" s="1"/>
  <c r="AL293" i="674"/>
  <c r="AM293" i="674" s="1"/>
  <c r="AD293" i="674"/>
  <c r="AE293" i="674" s="1"/>
  <c r="V293" i="674"/>
  <c r="W293" i="674" s="1"/>
  <c r="N293" i="674"/>
  <c r="O293" i="674" s="1"/>
  <c r="CX292" i="674"/>
  <c r="CY292" i="674" s="1"/>
  <c r="CP292" i="674"/>
  <c r="CQ292" i="674" s="1"/>
  <c r="CH292" i="674"/>
  <c r="CI292" i="674" s="1"/>
  <c r="BZ292" i="674"/>
  <c r="CA292" i="674" s="1"/>
  <c r="BR292" i="674"/>
  <c r="BS292" i="674" s="1"/>
  <c r="BJ292" i="674"/>
  <c r="BK292" i="674" s="1"/>
  <c r="BB292" i="674"/>
  <c r="BC292" i="674" s="1"/>
  <c r="AT292" i="674"/>
  <c r="AU292" i="674" s="1"/>
  <c r="AL292" i="674"/>
  <c r="AM292" i="674" s="1"/>
  <c r="AD292" i="674"/>
  <c r="AE292" i="674" s="1"/>
  <c r="V292" i="674"/>
  <c r="W292" i="674" s="1"/>
  <c r="N292" i="674"/>
  <c r="O292" i="674" s="1"/>
  <c r="CX291" i="674"/>
  <c r="CY291" i="674" s="1"/>
  <c r="CP291" i="674"/>
  <c r="CQ291" i="674" s="1"/>
  <c r="CH291" i="674"/>
  <c r="CI291" i="674" s="1"/>
  <c r="BZ291" i="674"/>
  <c r="CA291" i="674" s="1"/>
  <c r="BR291" i="674"/>
  <c r="BS291" i="674" s="1"/>
  <c r="BJ291" i="674"/>
  <c r="BK291" i="674" s="1"/>
  <c r="BB291" i="674"/>
  <c r="BC291" i="674" s="1"/>
  <c r="AT291" i="674"/>
  <c r="AU291" i="674" s="1"/>
  <c r="AL291" i="674"/>
  <c r="AM291" i="674" s="1"/>
  <c r="AD291" i="674"/>
  <c r="AE291" i="674" s="1"/>
  <c r="V291" i="674"/>
  <c r="W291" i="674" s="1"/>
  <c r="N291" i="674"/>
  <c r="O291" i="674" s="1"/>
  <c r="CX290" i="674"/>
  <c r="CY290" i="674" s="1"/>
  <c r="CP290" i="674"/>
  <c r="CQ290" i="674" s="1"/>
  <c r="CH290" i="674"/>
  <c r="CI290" i="674" s="1"/>
  <c r="BZ290" i="674"/>
  <c r="CA290" i="674" s="1"/>
  <c r="BR290" i="674"/>
  <c r="BS290" i="674" s="1"/>
  <c r="BJ290" i="674"/>
  <c r="BK290" i="674" s="1"/>
  <c r="BB290" i="674"/>
  <c r="BC290" i="674" s="1"/>
  <c r="AT290" i="674"/>
  <c r="AU290" i="674" s="1"/>
  <c r="AL290" i="674"/>
  <c r="AM290" i="674" s="1"/>
  <c r="AD290" i="674"/>
  <c r="AE290" i="674" s="1"/>
  <c r="V290" i="674"/>
  <c r="W290" i="674" s="1"/>
  <c r="N290" i="674"/>
  <c r="O290" i="674" s="1"/>
  <c r="CX289" i="674"/>
  <c r="CY289" i="674" s="1"/>
  <c r="CP289" i="674"/>
  <c r="CQ289" i="674" s="1"/>
  <c r="CH289" i="674"/>
  <c r="CI289" i="674" s="1"/>
  <c r="BZ289" i="674"/>
  <c r="CA289" i="674" s="1"/>
  <c r="BR289" i="674"/>
  <c r="BS289" i="674" s="1"/>
  <c r="BJ289" i="674"/>
  <c r="BK289" i="674" s="1"/>
  <c r="BB289" i="674"/>
  <c r="BC289" i="674" s="1"/>
  <c r="AT289" i="674"/>
  <c r="AU289" i="674" s="1"/>
  <c r="AL289" i="674"/>
  <c r="AM289" i="674" s="1"/>
  <c r="AD289" i="674"/>
  <c r="AE289" i="674" s="1"/>
  <c r="V289" i="674"/>
  <c r="W289" i="674" s="1"/>
  <c r="N289" i="674"/>
  <c r="O289" i="674" s="1"/>
  <c r="CX288" i="674"/>
  <c r="CY288" i="674" s="1"/>
  <c r="CP288" i="674"/>
  <c r="CQ288" i="674" s="1"/>
  <c r="CH288" i="674"/>
  <c r="CI288" i="674" s="1"/>
  <c r="BZ288" i="674"/>
  <c r="CA288" i="674" s="1"/>
  <c r="BR288" i="674"/>
  <c r="BS288" i="674" s="1"/>
  <c r="BJ288" i="674"/>
  <c r="BK288" i="674" s="1"/>
  <c r="BB288" i="674"/>
  <c r="BC288" i="674" s="1"/>
  <c r="AT288" i="674"/>
  <c r="AU288" i="674" s="1"/>
  <c r="AL288" i="674"/>
  <c r="AM288" i="674" s="1"/>
  <c r="AD288" i="674"/>
  <c r="AE288" i="674" s="1"/>
  <c r="V288" i="674"/>
  <c r="W288" i="674" s="1"/>
  <c r="N288" i="674"/>
  <c r="O288" i="674" s="1"/>
  <c r="CX287" i="674"/>
  <c r="CY287" i="674" s="1"/>
  <c r="CP287" i="674"/>
  <c r="CQ287" i="674" s="1"/>
  <c r="CH287" i="674"/>
  <c r="CI287" i="674" s="1"/>
  <c r="BZ287" i="674"/>
  <c r="CA287" i="674" s="1"/>
  <c r="BR287" i="674"/>
  <c r="BS287" i="674" s="1"/>
  <c r="BJ287" i="674"/>
  <c r="BK287" i="674" s="1"/>
  <c r="BB287" i="674"/>
  <c r="BC287" i="674" s="1"/>
  <c r="AT287" i="674"/>
  <c r="AU287" i="674" s="1"/>
  <c r="AL287" i="674"/>
  <c r="AM287" i="674" s="1"/>
  <c r="AD287" i="674"/>
  <c r="AE287" i="674" s="1"/>
  <c r="V287" i="674"/>
  <c r="W287" i="674" s="1"/>
  <c r="N287" i="674"/>
  <c r="O287" i="674" s="1"/>
  <c r="CX286" i="674"/>
  <c r="CY286" i="674" s="1"/>
  <c r="CP286" i="674"/>
  <c r="CQ286" i="674" s="1"/>
  <c r="CH286" i="674"/>
  <c r="CI286" i="674" s="1"/>
  <c r="BZ286" i="674"/>
  <c r="CA286" i="674" s="1"/>
  <c r="BR286" i="674"/>
  <c r="BS286" i="674" s="1"/>
  <c r="BJ286" i="674"/>
  <c r="BK286" i="674" s="1"/>
  <c r="BB286" i="674"/>
  <c r="BC286" i="674" s="1"/>
  <c r="AT286" i="674"/>
  <c r="AU286" i="674" s="1"/>
  <c r="AL286" i="674"/>
  <c r="AM286" i="674" s="1"/>
  <c r="AD286" i="674"/>
  <c r="AE286" i="674" s="1"/>
  <c r="V286" i="674"/>
  <c r="W286" i="674" s="1"/>
  <c r="N286" i="674"/>
  <c r="O286" i="674" s="1"/>
  <c r="CX285" i="674"/>
  <c r="CY285" i="674" s="1"/>
  <c r="CP285" i="674"/>
  <c r="CQ285" i="674" s="1"/>
  <c r="CH285" i="674"/>
  <c r="CI285" i="674" s="1"/>
  <c r="BZ285" i="674"/>
  <c r="CA285" i="674" s="1"/>
  <c r="BR285" i="674"/>
  <c r="BS285" i="674" s="1"/>
  <c r="BJ285" i="674"/>
  <c r="BK285" i="674" s="1"/>
  <c r="BB285" i="674"/>
  <c r="BC285" i="674" s="1"/>
  <c r="AT285" i="674"/>
  <c r="AU285" i="674" s="1"/>
  <c r="AL285" i="674"/>
  <c r="AM285" i="674" s="1"/>
  <c r="AD285" i="674"/>
  <c r="AE285" i="674" s="1"/>
  <c r="V285" i="674"/>
  <c r="W285" i="674" s="1"/>
  <c r="N285" i="674"/>
  <c r="O285" i="674" s="1"/>
  <c r="CX284" i="674"/>
  <c r="CY284" i="674" s="1"/>
  <c r="CP284" i="674"/>
  <c r="CQ284" i="674" s="1"/>
  <c r="CH284" i="674"/>
  <c r="CI284" i="674" s="1"/>
  <c r="BZ284" i="674"/>
  <c r="CA284" i="674" s="1"/>
  <c r="BR284" i="674"/>
  <c r="BS284" i="674" s="1"/>
  <c r="BJ284" i="674"/>
  <c r="BK284" i="674" s="1"/>
  <c r="BB284" i="674"/>
  <c r="BC284" i="674" s="1"/>
  <c r="AT284" i="674"/>
  <c r="AU284" i="674" s="1"/>
  <c r="AL284" i="674"/>
  <c r="AM284" i="674" s="1"/>
  <c r="AD284" i="674"/>
  <c r="AE284" i="674" s="1"/>
  <c r="V284" i="674"/>
  <c r="W284" i="674" s="1"/>
  <c r="N284" i="674"/>
  <c r="O284" i="674" s="1"/>
  <c r="CX283" i="674"/>
  <c r="CY283" i="674" s="1"/>
  <c r="CP283" i="674"/>
  <c r="CQ283" i="674" s="1"/>
  <c r="CH283" i="674"/>
  <c r="CI283" i="674" s="1"/>
  <c r="BZ283" i="674"/>
  <c r="CA283" i="674" s="1"/>
  <c r="BR283" i="674"/>
  <c r="BS283" i="674" s="1"/>
  <c r="BJ283" i="674"/>
  <c r="BK283" i="674" s="1"/>
  <c r="BB283" i="674"/>
  <c r="BC283" i="674" s="1"/>
  <c r="AT283" i="674"/>
  <c r="AU283" i="674" s="1"/>
  <c r="AL283" i="674"/>
  <c r="AM283" i="674" s="1"/>
  <c r="AD283" i="674"/>
  <c r="AE283" i="674" s="1"/>
  <c r="V283" i="674"/>
  <c r="W283" i="674" s="1"/>
  <c r="N283" i="674"/>
  <c r="O283" i="674" s="1"/>
  <c r="CX282" i="674"/>
  <c r="CY282" i="674" s="1"/>
  <c r="CP282" i="674"/>
  <c r="CQ282" i="674" s="1"/>
  <c r="CH282" i="674"/>
  <c r="CI282" i="674" s="1"/>
  <c r="BZ282" i="674"/>
  <c r="CA282" i="674" s="1"/>
  <c r="BR282" i="674"/>
  <c r="BS282" i="674" s="1"/>
  <c r="BJ282" i="674"/>
  <c r="BK282" i="674" s="1"/>
  <c r="BB282" i="674"/>
  <c r="BC282" i="674" s="1"/>
  <c r="AT282" i="674"/>
  <c r="AU282" i="674" s="1"/>
  <c r="AL282" i="674"/>
  <c r="AM282" i="674" s="1"/>
  <c r="AD282" i="674"/>
  <c r="AE282" i="674" s="1"/>
  <c r="V282" i="674"/>
  <c r="W282" i="674" s="1"/>
  <c r="N282" i="674"/>
  <c r="O282" i="674" s="1"/>
  <c r="CX281" i="674"/>
  <c r="CY281" i="674" s="1"/>
  <c r="CP281" i="674"/>
  <c r="CQ281" i="674" s="1"/>
  <c r="CH281" i="674"/>
  <c r="CI281" i="674" s="1"/>
  <c r="BZ281" i="674"/>
  <c r="CA281" i="674" s="1"/>
  <c r="BR281" i="674"/>
  <c r="BS281" i="674" s="1"/>
  <c r="BJ281" i="674"/>
  <c r="BK281" i="674" s="1"/>
  <c r="BB281" i="674"/>
  <c r="BC281" i="674" s="1"/>
  <c r="AT281" i="674"/>
  <c r="AU281" i="674" s="1"/>
  <c r="AL281" i="674"/>
  <c r="AM281" i="674" s="1"/>
  <c r="AD281" i="674"/>
  <c r="AE281" i="674" s="1"/>
  <c r="V281" i="674"/>
  <c r="W281" i="674" s="1"/>
  <c r="N281" i="674"/>
  <c r="O281" i="674" s="1"/>
  <c r="CX280" i="674"/>
  <c r="CY280" i="674" s="1"/>
  <c r="CP280" i="674"/>
  <c r="CQ280" i="674" s="1"/>
  <c r="CH280" i="674"/>
  <c r="CI280" i="674" s="1"/>
  <c r="BZ280" i="674"/>
  <c r="CA280" i="674" s="1"/>
  <c r="BR280" i="674"/>
  <c r="BS280" i="674" s="1"/>
  <c r="BJ280" i="674"/>
  <c r="BK280" i="674" s="1"/>
  <c r="BB280" i="674"/>
  <c r="BC280" i="674" s="1"/>
  <c r="AT280" i="674"/>
  <c r="AU280" i="674" s="1"/>
  <c r="AL280" i="674"/>
  <c r="AM280" i="674" s="1"/>
  <c r="AD280" i="674"/>
  <c r="AE280" i="674" s="1"/>
  <c r="V280" i="674"/>
  <c r="W280" i="674" s="1"/>
  <c r="N280" i="674"/>
  <c r="O280" i="674" s="1"/>
  <c r="CX279" i="674"/>
  <c r="CY279" i="674" s="1"/>
  <c r="CP279" i="674"/>
  <c r="CQ279" i="674" s="1"/>
  <c r="CH279" i="674"/>
  <c r="CI279" i="674" s="1"/>
  <c r="BZ279" i="674"/>
  <c r="CA279" i="674" s="1"/>
  <c r="BR279" i="674"/>
  <c r="BS279" i="674" s="1"/>
  <c r="BJ279" i="674"/>
  <c r="BK279" i="674" s="1"/>
  <c r="BB279" i="674"/>
  <c r="BC279" i="674" s="1"/>
  <c r="AT279" i="674"/>
  <c r="AU279" i="674" s="1"/>
  <c r="AL279" i="674"/>
  <c r="AM279" i="674" s="1"/>
  <c r="AD279" i="674"/>
  <c r="AE279" i="674" s="1"/>
  <c r="V279" i="674"/>
  <c r="W279" i="674" s="1"/>
  <c r="N279" i="674"/>
  <c r="O279" i="674" s="1"/>
  <c r="CX278" i="674"/>
  <c r="CY278" i="674" s="1"/>
  <c r="CP278" i="674"/>
  <c r="CQ278" i="674" s="1"/>
  <c r="CH278" i="674"/>
  <c r="CI278" i="674" s="1"/>
  <c r="BZ278" i="674"/>
  <c r="CA278" i="674" s="1"/>
  <c r="BR278" i="674"/>
  <c r="BS278" i="674" s="1"/>
  <c r="BJ278" i="674"/>
  <c r="BK278" i="674" s="1"/>
  <c r="BB278" i="674"/>
  <c r="BC278" i="674" s="1"/>
  <c r="AT278" i="674"/>
  <c r="AU278" i="674" s="1"/>
  <c r="AL278" i="674"/>
  <c r="AM278" i="674" s="1"/>
  <c r="AD278" i="674"/>
  <c r="AE278" i="674" s="1"/>
  <c r="V278" i="674"/>
  <c r="W278" i="674" s="1"/>
  <c r="N278" i="674"/>
  <c r="O278" i="674" s="1"/>
  <c r="CX277" i="674"/>
  <c r="CY277" i="674" s="1"/>
  <c r="CP277" i="674"/>
  <c r="CQ277" i="674" s="1"/>
  <c r="CH277" i="674"/>
  <c r="CI277" i="674" s="1"/>
  <c r="BZ277" i="674"/>
  <c r="CA277" i="674" s="1"/>
  <c r="BR277" i="674"/>
  <c r="BS277" i="674" s="1"/>
  <c r="BJ277" i="674"/>
  <c r="BK277" i="674" s="1"/>
  <c r="BB277" i="674"/>
  <c r="BC277" i="674" s="1"/>
  <c r="AT277" i="674"/>
  <c r="AU277" i="674" s="1"/>
  <c r="AL277" i="674"/>
  <c r="AM277" i="674" s="1"/>
  <c r="AD277" i="674"/>
  <c r="AE277" i="674" s="1"/>
  <c r="V277" i="674"/>
  <c r="W277" i="674" s="1"/>
  <c r="N277" i="674"/>
  <c r="O277" i="674" s="1"/>
  <c r="CX276" i="674"/>
  <c r="CY276" i="674" s="1"/>
  <c r="CP276" i="674"/>
  <c r="CQ276" i="674" s="1"/>
  <c r="CH276" i="674"/>
  <c r="CI276" i="674" s="1"/>
  <c r="BZ276" i="674"/>
  <c r="CA276" i="674" s="1"/>
  <c r="BR276" i="674"/>
  <c r="BS276" i="674" s="1"/>
  <c r="BJ276" i="674"/>
  <c r="BK276" i="674" s="1"/>
  <c r="BB276" i="674"/>
  <c r="BC276" i="674" s="1"/>
  <c r="AT276" i="674"/>
  <c r="AU276" i="674" s="1"/>
  <c r="AL276" i="674"/>
  <c r="AM276" i="674" s="1"/>
  <c r="AD276" i="674"/>
  <c r="AE276" i="674" s="1"/>
  <c r="V276" i="674"/>
  <c r="W276" i="674" s="1"/>
  <c r="N276" i="674"/>
  <c r="O276" i="674" s="1"/>
  <c r="CX275" i="674"/>
  <c r="CY275" i="674" s="1"/>
  <c r="CP275" i="674"/>
  <c r="CQ275" i="674" s="1"/>
  <c r="CH275" i="674"/>
  <c r="CI275" i="674" s="1"/>
  <c r="BZ275" i="674"/>
  <c r="CA275" i="674" s="1"/>
  <c r="BR275" i="674"/>
  <c r="BS275" i="674" s="1"/>
  <c r="BJ275" i="674"/>
  <c r="BK275" i="674" s="1"/>
  <c r="BB275" i="674"/>
  <c r="BC275" i="674" s="1"/>
  <c r="AT275" i="674"/>
  <c r="AU275" i="674" s="1"/>
  <c r="AL275" i="674"/>
  <c r="AM275" i="674" s="1"/>
  <c r="AD275" i="674"/>
  <c r="AE275" i="674" s="1"/>
  <c r="V275" i="674"/>
  <c r="W275" i="674" s="1"/>
  <c r="N275" i="674"/>
  <c r="O275" i="674" s="1"/>
  <c r="CX274" i="674"/>
  <c r="CY274" i="674" s="1"/>
  <c r="CP274" i="674"/>
  <c r="CQ274" i="674" s="1"/>
  <c r="CH274" i="674"/>
  <c r="CI274" i="674" s="1"/>
  <c r="BZ274" i="674"/>
  <c r="CA274" i="674" s="1"/>
  <c r="BR274" i="674"/>
  <c r="BS274" i="674" s="1"/>
  <c r="BJ274" i="674"/>
  <c r="BK274" i="674" s="1"/>
  <c r="BB274" i="674"/>
  <c r="BC274" i="674" s="1"/>
  <c r="AT274" i="674"/>
  <c r="AU274" i="674" s="1"/>
  <c r="AL274" i="674"/>
  <c r="AM274" i="674" s="1"/>
  <c r="AD274" i="674"/>
  <c r="AE274" i="674" s="1"/>
  <c r="V274" i="674"/>
  <c r="W274" i="674" s="1"/>
  <c r="N274" i="674"/>
  <c r="O274" i="674" s="1"/>
  <c r="CX273" i="674"/>
  <c r="CY273" i="674" s="1"/>
  <c r="CP273" i="674"/>
  <c r="CQ273" i="674" s="1"/>
  <c r="CH273" i="674"/>
  <c r="CI273" i="674" s="1"/>
  <c r="BZ273" i="674"/>
  <c r="CA273" i="674" s="1"/>
  <c r="BR273" i="674"/>
  <c r="BS273" i="674" s="1"/>
  <c r="BJ273" i="674"/>
  <c r="BK273" i="674" s="1"/>
  <c r="BB273" i="674"/>
  <c r="BC273" i="674" s="1"/>
  <c r="AT273" i="674"/>
  <c r="AU273" i="674" s="1"/>
  <c r="AL273" i="674"/>
  <c r="AM273" i="674" s="1"/>
  <c r="AD273" i="674"/>
  <c r="AE273" i="674" s="1"/>
  <c r="V273" i="674"/>
  <c r="W273" i="674" s="1"/>
  <c r="N273" i="674"/>
  <c r="O273" i="674" s="1"/>
  <c r="CX272" i="674"/>
  <c r="CY272" i="674" s="1"/>
  <c r="CP272" i="674"/>
  <c r="CQ272" i="674" s="1"/>
  <c r="CH272" i="674"/>
  <c r="CI272" i="674" s="1"/>
  <c r="BZ272" i="674"/>
  <c r="CA272" i="674" s="1"/>
  <c r="BR272" i="674"/>
  <c r="BS272" i="674" s="1"/>
  <c r="BJ272" i="674"/>
  <c r="BK272" i="674" s="1"/>
  <c r="BB272" i="674"/>
  <c r="BC272" i="674" s="1"/>
  <c r="AT272" i="674"/>
  <c r="AU272" i="674" s="1"/>
  <c r="AL272" i="674"/>
  <c r="AM272" i="674" s="1"/>
  <c r="AD272" i="674"/>
  <c r="AE272" i="674" s="1"/>
  <c r="V272" i="674"/>
  <c r="W272" i="674" s="1"/>
  <c r="N272" i="674"/>
  <c r="O272" i="674" s="1"/>
  <c r="CX271" i="674"/>
  <c r="CY271" i="674" s="1"/>
  <c r="CP271" i="674"/>
  <c r="CQ271" i="674" s="1"/>
  <c r="CH271" i="674"/>
  <c r="CI271" i="674" s="1"/>
  <c r="BZ271" i="674"/>
  <c r="CA271" i="674" s="1"/>
  <c r="BR271" i="674"/>
  <c r="BS271" i="674" s="1"/>
  <c r="BJ271" i="674"/>
  <c r="BK271" i="674" s="1"/>
  <c r="BB271" i="674"/>
  <c r="BC271" i="674" s="1"/>
  <c r="AT271" i="674"/>
  <c r="AU271" i="674" s="1"/>
  <c r="AL271" i="674"/>
  <c r="AM271" i="674" s="1"/>
  <c r="AD271" i="674"/>
  <c r="AE271" i="674" s="1"/>
  <c r="V271" i="674"/>
  <c r="W271" i="674" s="1"/>
  <c r="N271" i="674"/>
  <c r="O271" i="674" s="1"/>
  <c r="CX270" i="674"/>
  <c r="CY270" i="674" s="1"/>
  <c r="CP270" i="674"/>
  <c r="CQ270" i="674" s="1"/>
  <c r="CH270" i="674"/>
  <c r="CI270" i="674" s="1"/>
  <c r="BZ270" i="674"/>
  <c r="CA270" i="674" s="1"/>
  <c r="BR270" i="674"/>
  <c r="BS270" i="674" s="1"/>
  <c r="BJ270" i="674"/>
  <c r="BK270" i="674" s="1"/>
  <c r="BB270" i="674"/>
  <c r="BC270" i="674" s="1"/>
  <c r="AT270" i="674"/>
  <c r="AU270" i="674" s="1"/>
  <c r="AL270" i="674"/>
  <c r="AM270" i="674" s="1"/>
  <c r="AD270" i="674"/>
  <c r="AE270" i="674" s="1"/>
  <c r="V270" i="674"/>
  <c r="W270" i="674" s="1"/>
  <c r="N270" i="674"/>
  <c r="O270" i="674" s="1"/>
  <c r="CX269" i="674"/>
  <c r="CY269" i="674" s="1"/>
  <c r="CP269" i="674"/>
  <c r="CQ269" i="674" s="1"/>
  <c r="CH269" i="674"/>
  <c r="CI269" i="674" s="1"/>
  <c r="BZ269" i="674"/>
  <c r="CA269" i="674" s="1"/>
  <c r="BR269" i="674"/>
  <c r="BS269" i="674" s="1"/>
  <c r="BJ269" i="674"/>
  <c r="BK269" i="674" s="1"/>
  <c r="BB269" i="674"/>
  <c r="BC269" i="674" s="1"/>
  <c r="AT269" i="674"/>
  <c r="AU269" i="674" s="1"/>
  <c r="AL269" i="674"/>
  <c r="AM269" i="674" s="1"/>
  <c r="AD269" i="674"/>
  <c r="AE269" i="674" s="1"/>
  <c r="V269" i="674"/>
  <c r="W269" i="674" s="1"/>
  <c r="N269" i="674"/>
  <c r="O269" i="674" s="1"/>
  <c r="CX268" i="674"/>
  <c r="CY268" i="674" s="1"/>
  <c r="CP268" i="674"/>
  <c r="CQ268" i="674" s="1"/>
  <c r="CH268" i="674"/>
  <c r="CI268" i="674" s="1"/>
  <c r="BZ268" i="674"/>
  <c r="CA268" i="674" s="1"/>
  <c r="BR268" i="674"/>
  <c r="BS268" i="674" s="1"/>
  <c r="BJ268" i="674"/>
  <c r="BK268" i="674" s="1"/>
  <c r="BB268" i="674"/>
  <c r="BC268" i="674" s="1"/>
  <c r="AT268" i="674"/>
  <c r="AU268" i="674" s="1"/>
  <c r="AL268" i="674"/>
  <c r="AM268" i="674" s="1"/>
  <c r="AD268" i="674"/>
  <c r="AE268" i="674" s="1"/>
  <c r="V268" i="674"/>
  <c r="W268" i="674" s="1"/>
  <c r="N268" i="674"/>
  <c r="O268" i="674" s="1"/>
  <c r="CX267" i="674"/>
  <c r="CY267" i="674" s="1"/>
  <c r="CP267" i="674"/>
  <c r="CQ267" i="674" s="1"/>
  <c r="CH267" i="674"/>
  <c r="CI267" i="674" s="1"/>
  <c r="BZ267" i="674"/>
  <c r="CA267" i="674" s="1"/>
  <c r="BR267" i="674"/>
  <c r="BS267" i="674" s="1"/>
  <c r="BJ267" i="674"/>
  <c r="BK267" i="674" s="1"/>
  <c r="BB267" i="674"/>
  <c r="BC267" i="674" s="1"/>
  <c r="AT267" i="674"/>
  <c r="AU267" i="674" s="1"/>
  <c r="AL267" i="674"/>
  <c r="AM267" i="674" s="1"/>
  <c r="AD267" i="674"/>
  <c r="AE267" i="674" s="1"/>
  <c r="V267" i="674"/>
  <c r="W267" i="674" s="1"/>
  <c r="N267" i="674"/>
  <c r="O267" i="674" s="1"/>
  <c r="CX266" i="674"/>
  <c r="CY266" i="674" s="1"/>
  <c r="CP266" i="674"/>
  <c r="CQ266" i="674" s="1"/>
  <c r="CH266" i="674"/>
  <c r="CI266" i="674" s="1"/>
  <c r="BZ266" i="674"/>
  <c r="CA266" i="674" s="1"/>
  <c r="BR266" i="674"/>
  <c r="BS266" i="674" s="1"/>
  <c r="BJ266" i="674"/>
  <c r="BK266" i="674" s="1"/>
  <c r="BB266" i="674"/>
  <c r="BC266" i="674" s="1"/>
  <c r="AT266" i="674"/>
  <c r="AU266" i="674" s="1"/>
  <c r="AL266" i="674"/>
  <c r="AM266" i="674" s="1"/>
  <c r="AD266" i="674"/>
  <c r="AE266" i="674" s="1"/>
  <c r="V266" i="674"/>
  <c r="W266" i="674" s="1"/>
  <c r="N266" i="674"/>
  <c r="O266" i="674" s="1"/>
  <c r="CX265" i="674"/>
  <c r="CY265" i="674" s="1"/>
  <c r="CP265" i="674"/>
  <c r="CQ265" i="674" s="1"/>
  <c r="CH265" i="674"/>
  <c r="CI265" i="674" s="1"/>
  <c r="BZ265" i="674"/>
  <c r="CA265" i="674" s="1"/>
  <c r="BR265" i="674"/>
  <c r="BS265" i="674" s="1"/>
  <c r="BJ265" i="674"/>
  <c r="BK265" i="674" s="1"/>
  <c r="BB265" i="674"/>
  <c r="BC265" i="674" s="1"/>
  <c r="AT265" i="674"/>
  <c r="AU265" i="674" s="1"/>
  <c r="AL265" i="674"/>
  <c r="AM265" i="674" s="1"/>
  <c r="AD265" i="674"/>
  <c r="AE265" i="674" s="1"/>
  <c r="V265" i="674"/>
  <c r="W265" i="674" s="1"/>
  <c r="N265" i="674"/>
  <c r="O265" i="674" s="1"/>
  <c r="CX264" i="674"/>
  <c r="CY264" i="674" s="1"/>
  <c r="CP264" i="674"/>
  <c r="CQ264" i="674" s="1"/>
  <c r="CH264" i="674"/>
  <c r="CI264" i="674" s="1"/>
  <c r="BZ264" i="674"/>
  <c r="CA264" i="674" s="1"/>
  <c r="BR264" i="674"/>
  <c r="BS264" i="674" s="1"/>
  <c r="BJ264" i="674"/>
  <c r="BK264" i="674" s="1"/>
  <c r="BB264" i="674"/>
  <c r="BC264" i="674" s="1"/>
  <c r="AT264" i="674"/>
  <c r="AU264" i="674" s="1"/>
  <c r="AL264" i="674"/>
  <c r="AM264" i="674" s="1"/>
  <c r="AD264" i="674"/>
  <c r="AE264" i="674" s="1"/>
  <c r="V264" i="674"/>
  <c r="W264" i="674" s="1"/>
  <c r="N264" i="674"/>
  <c r="O264" i="674" s="1"/>
  <c r="CX263" i="674"/>
  <c r="CY263" i="674" s="1"/>
  <c r="CP263" i="674"/>
  <c r="CQ263" i="674" s="1"/>
  <c r="CH263" i="674"/>
  <c r="CI263" i="674" s="1"/>
  <c r="BZ263" i="674"/>
  <c r="CA263" i="674" s="1"/>
  <c r="BR263" i="674"/>
  <c r="BS263" i="674" s="1"/>
  <c r="BJ263" i="674"/>
  <c r="BK263" i="674" s="1"/>
  <c r="BB263" i="674"/>
  <c r="BC263" i="674" s="1"/>
  <c r="AT263" i="674"/>
  <c r="AU263" i="674" s="1"/>
  <c r="AL263" i="674"/>
  <c r="AM263" i="674" s="1"/>
  <c r="AD263" i="674"/>
  <c r="AE263" i="674" s="1"/>
  <c r="V263" i="674"/>
  <c r="W263" i="674" s="1"/>
  <c r="N263" i="674"/>
  <c r="O263" i="674" s="1"/>
  <c r="CX262" i="674"/>
  <c r="CY262" i="674" s="1"/>
  <c r="CP262" i="674"/>
  <c r="CQ262" i="674" s="1"/>
  <c r="CH262" i="674"/>
  <c r="CI262" i="674" s="1"/>
  <c r="BZ262" i="674"/>
  <c r="CA262" i="674" s="1"/>
  <c r="BR262" i="674"/>
  <c r="BS262" i="674" s="1"/>
  <c r="BJ262" i="674"/>
  <c r="BK262" i="674" s="1"/>
  <c r="BB262" i="674"/>
  <c r="BC262" i="674" s="1"/>
  <c r="AT262" i="674"/>
  <c r="AU262" i="674" s="1"/>
  <c r="AL262" i="674"/>
  <c r="AM262" i="674" s="1"/>
  <c r="AD262" i="674"/>
  <c r="AE262" i="674" s="1"/>
  <c r="V262" i="674"/>
  <c r="W262" i="674" s="1"/>
  <c r="N262" i="674"/>
  <c r="O262" i="674" s="1"/>
  <c r="CX261" i="674"/>
  <c r="CY261" i="674" s="1"/>
  <c r="CP261" i="674"/>
  <c r="CQ261" i="674" s="1"/>
  <c r="CH261" i="674"/>
  <c r="CI261" i="674" s="1"/>
  <c r="BZ261" i="674"/>
  <c r="CA261" i="674" s="1"/>
  <c r="BR261" i="674"/>
  <c r="BS261" i="674" s="1"/>
  <c r="BJ261" i="674"/>
  <c r="BK261" i="674" s="1"/>
  <c r="BB261" i="674"/>
  <c r="BC261" i="674" s="1"/>
  <c r="AT261" i="674"/>
  <c r="AU261" i="674" s="1"/>
  <c r="AL261" i="674"/>
  <c r="AM261" i="674" s="1"/>
  <c r="AD261" i="674"/>
  <c r="AE261" i="674" s="1"/>
  <c r="V261" i="674"/>
  <c r="W261" i="674" s="1"/>
  <c r="N261" i="674"/>
  <c r="O261" i="674" s="1"/>
  <c r="CX260" i="674"/>
  <c r="CY260" i="674" s="1"/>
  <c r="CP260" i="674"/>
  <c r="CQ260" i="674" s="1"/>
  <c r="CH260" i="674"/>
  <c r="CI260" i="674" s="1"/>
  <c r="BZ260" i="674"/>
  <c r="CA260" i="674" s="1"/>
  <c r="BR260" i="674"/>
  <c r="BS260" i="674" s="1"/>
  <c r="BJ260" i="674"/>
  <c r="BK260" i="674" s="1"/>
  <c r="BB260" i="674"/>
  <c r="BC260" i="674" s="1"/>
  <c r="AT260" i="674"/>
  <c r="AU260" i="674" s="1"/>
  <c r="AL260" i="674"/>
  <c r="AM260" i="674" s="1"/>
  <c r="AD260" i="674"/>
  <c r="AE260" i="674" s="1"/>
  <c r="V260" i="674"/>
  <c r="W260" i="674" s="1"/>
  <c r="N260" i="674"/>
  <c r="O260" i="674" s="1"/>
  <c r="CX259" i="674"/>
  <c r="CY259" i="674" s="1"/>
  <c r="CP259" i="674"/>
  <c r="CQ259" i="674" s="1"/>
  <c r="CH259" i="674"/>
  <c r="CI259" i="674" s="1"/>
  <c r="BZ259" i="674"/>
  <c r="CA259" i="674" s="1"/>
  <c r="BR259" i="674"/>
  <c r="BS259" i="674" s="1"/>
  <c r="BJ259" i="674"/>
  <c r="BK259" i="674" s="1"/>
  <c r="BB259" i="674"/>
  <c r="BC259" i="674" s="1"/>
  <c r="AT259" i="674"/>
  <c r="AU259" i="674" s="1"/>
  <c r="AL259" i="674"/>
  <c r="AM259" i="674" s="1"/>
  <c r="AD259" i="674"/>
  <c r="AE259" i="674" s="1"/>
  <c r="V259" i="674"/>
  <c r="W259" i="674" s="1"/>
  <c r="N259" i="674"/>
  <c r="O259" i="674" s="1"/>
  <c r="CX258" i="674"/>
  <c r="CY258" i="674" s="1"/>
  <c r="CP258" i="674"/>
  <c r="CQ258" i="674" s="1"/>
  <c r="CH258" i="674"/>
  <c r="CI258" i="674" s="1"/>
  <c r="BZ258" i="674"/>
  <c r="CA258" i="674" s="1"/>
  <c r="BR258" i="674"/>
  <c r="BS258" i="674" s="1"/>
  <c r="BJ258" i="674"/>
  <c r="BK258" i="674" s="1"/>
  <c r="BB258" i="674"/>
  <c r="BC258" i="674" s="1"/>
  <c r="AT258" i="674"/>
  <c r="AU258" i="674" s="1"/>
  <c r="AL258" i="674"/>
  <c r="AM258" i="674" s="1"/>
  <c r="AD258" i="674"/>
  <c r="AE258" i="674" s="1"/>
  <c r="V258" i="674"/>
  <c r="W258" i="674" s="1"/>
  <c r="N258" i="674"/>
  <c r="O258" i="674" s="1"/>
  <c r="CX257" i="674"/>
  <c r="CY257" i="674" s="1"/>
  <c r="CP257" i="674"/>
  <c r="CQ257" i="674" s="1"/>
  <c r="CH257" i="674"/>
  <c r="CI257" i="674" s="1"/>
  <c r="BZ257" i="674"/>
  <c r="CA257" i="674" s="1"/>
  <c r="BR257" i="674"/>
  <c r="BS257" i="674" s="1"/>
  <c r="BJ257" i="674"/>
  <c r="BK257" i="674" s="1"/>
  <c r="BB257" i="674"/>
  <c r="BC257" i="674" s="1"/>
  <c r="AT257" i="674"/>
  <c r="AU257" i="674" s="1"/>
  <c r="AL257" i="674"/>
  <c r="AM257" i="674" s="1"/>
  <c r="AD257" i="674"/>
  <c r="AE257" i="674" s="1"/>
  <c r="V257" i="674"/>
  <c r="W257" i="674" s="1"/>
  <c r="N257" i="674"/>
  <c r="O257" i="674" s="1"/>
  <c r="CX256" i="674"/>
  <c r="CY256" i="674" s="1"/>
  <c r="CP256" i="674"/>
  <c r="CQ256" i="674" s="1"/>
  <c r="CH256" i="674"/>
  <c r="CI256" i="674" s="1"/>
  <c r="BZ256" i="674"/>
  <c r="CA256" i="674" s="1"/>
  <c r="BR256" i="674"/>
  <c r="BS256" i="674" s="1"/>
  <c r="BJ256" i="674"/>
  <c r="BK256" i="674" s="1"/>
  <c r="BB256" i="674"/>
  <c r="BC256" i="674" s="1"/>
  <c r="AT256" i="674"/>
  <c r="AU256" i="674" s="1"/>
  <c r="AL256" i="674"/>
  <c r="AM256" i="674" s="1"/>
  <c r="AD256" i="674"/>
  <c r="AE256" i="674" s="1"/>
  <c r="V256" i="674"/>
  <c r="W256" i="674" s="1"/>
  <c r="N256" i="674"/>
  <c r="O256" i="674" s="1"/>
  <c r="CX255" i="674"/>
  <c r="CY255" i="674" s="1"/>
  <c r="CP255" i="674"/>
  <c r="CQ255" i="674" s="1"/>
  <c r="CH255" i="674"/>
  <c r="CI255" i="674" s="1"/>
  <c r="BZ255" i="674"/>
  <c r="CA255" i="674" s="1"/>
  <c r="BR255" i="674"/>
  <c r="BS255" i="674" s="1"/>
  <c r="BJ255" i="674"/>
  <c r="BK255" i="674" s="1"/>
  <c r="BB255" i="674"/>
  <c r="BC255" i="674" s="1"/>
  <c r="AT255" i="674"/>
  <c r="AU255" i="674" s="1"/>
  <c r="AL255" i="674"/>
  <c r="AM255" i="674" s="1"/>
  <c r="AD255" i="674"/>
  <c r="AE255" i="674" s="1"/>
  <c r="V255" i="674"/>
  <c r="W255" i="674" s="1"/>
  <c r="N255" i="674"/>
  <c r="O255" i="674" s="1"/>
  <c r="CX254" i="674"/>
  <c r="CY254" i="674" s="1"/>
  <c r="CP254" i="674"/>
  <c r="CQ254" i="674" s="1"/>
  <c r="CH254" i="674"/>
  <c r="CI254" i="674" s="1"/>
  <c r="BZ254" i="674"/>
  <c r="CA254" i="674" s="1"/>
  <c r="BR254" i="674"/>
  <c r="BS254" i="674" s="1"/>
  <c r="BJ254" i="674"/>
  <c r="BK254" i="674" s="1"/>
  <c r="BB254" i="674"/>
  <c r="BC254" i="674" s="1"/>
  <c r="AT254" i="674"/>
  <c r="AU254" i="674" s="1"/>
  <c r="AL254" i="674"/>
  <c r="AM254" i="674" s="1"/>
  <c r="AD254" i="674"/>
  <c r="AE254" i="674" s="1"/>
  <c r="V254" i="674"/>
  <c r="W254" i="674" s="1"/>
  <c r="N254" i="674"/>
  <c r="O254" i="674" s="1"/>
  <c r="CX253" i="674"/>
  <c r="CY253" i="674" s="1"/>
  <c r="CP253" i="674"/>
  <c r="CQ253" i="674" s="1"/>
  <c r="CH253" i="674"/>
  <c r="CI253" i="674" s="1"/>
  <c r="BZ253" i="674"/>
  <c r="CA253" i="674" s="1"/>
  <c r="BR253" i="674"/>
  <c r="BS253" i="674" s="1"/>
  <c r="BJ253" i="674"/>
  <c r="BK253" i="674" s="1"/>
  <c r="BB253" i="674"/>
  <c r="BC253" i="674" s="1"/>
  <c r="AT253" i="674"/>
  <c r="AU253" i="674" s="1"/>
  <c r="AL253" i="674"/>
  <c r="AM253" i="674" s="1"/>
  <c r="AD253" i="674"/>
  <c r="AE253" i="674" s="1"/>
  <c r="V253" i="674"/>
  <c r="W253" i="674" s="1"/>
  <c r="N253" i="674"/>
  <c r="O253" i="674" s="1"/>
  <c r="CX252" i="674"/>
  <c r="CY252" i="674" s="1"/>
  <c r="CP252" i="674"/>
  <c r="CQ252" i="674" s="1"/>
  <c r="CH252" i="674"/>
  <c r="CI252" i="674" s="1"/>
  <c r="BZ252" i="674"/>
  <c r="CA252" i="674" s="1"/>
  <c r="BR252" i="674"/>
  <c r="BS252" i="674" s="1"/>
  <c r="BJ252" i="674"/>
  <c r="BK252" i="674" s="1"/>
  <c r="BB252" i="674"/>
  <c r="BC252" i="674" s="1"/>
  <c r="AT252" i="674"/>
  <c r="AU252" i="674" s="1"/>
  <c r="AD252" i="674"/>
  <c r="AE252" i="674" s="1"/>
  <c r="V252" i="674"/>
  <c r="W252" i="674" s="1"/>
  <c r="N252" i="674"/>
  <c r="O252" i="674" s="1"/>
  <c r="CX251" i="674"/>
  <c r="CY251" i="674" s="1"/>
  <c r="CP251" i="674"/>
  <c r="CQ251" i="674" s="1"/>
  <c r="CH251" i="674"/>
  <c r="CI251" i="674" s="1"/>
  <c r="BZ251" i="674"/>
  <c r="CA251" i="674" s="1"/>
  <c r="BR251" i="674"/>
  <c r="BS251" i="674" s="1"/>
  <c r="BJ251" i="674"/>
  <c r="BK251" i="674" s="1"/>
  <c r="BB251" i="674"/>
  <c r="BC251" i="674" s="1"/>
  <c r="AT251" i="674"/>
  <c r="AU251" i="674" s="1"/>
  <c r="AL251" i="674"/>
  <c r="AM251" i="674" s="1"/>
  <c r="AD251" i="674"/>
  <c r="AE251" i="674" s="1"/>
  <c r="V251" i="674"/>
  <c r="W251" i="674" s="1"/>
  <c r="N251" i="674"/>
  <c r="O251" i="674" s="1"/>
  <c r="CX250" i="674"/>
  <c r="CY250" i="674" s="1"/>
  <c r="CP250" i="674"/>
  <c r="CQ250" i="674" s="1"/>
  <c r="CH250" i="674"/>
  <c r="CI250" i="674" s="1"/>
  <c r="BZ250" i="674"/>
  <c r="CA250" i="674" s="1"/>
  <c r="BR250" i="674"/>
  <c r="BS250" i="674" s="1"/>
  <c r="BJ250" i="674"/>
  <c r="BK250" i="674" s="1"/>
  <c r="BB250" i="674"/>
  <c r="BC250" i="674" s="1"/>
  <c r="AT250" i="674"/>
  <c r="AU250" i="674" s="1"/>
  <c r="AL250" i="674"/>
  <c r="AM250" i="674" s="1"/>
  <c r="AD250" i="674"/>
  <c r="AE250" i="674" s="1"/>
  <c r="V250" i="674"/>
  <c r="W250" i="674" s="1"/>
  <c r="N250" i="674"/>
  <c r="O250" i="674" s="1"/>
  <c r="CX249" i="674"/>
  <c r="CY249" i="674" s="1"/>
  <c r="CP249" i="674"/>
  <c r="CQ249" i="674" s="1"/>
  <c r="CH249" i="674"/>
  <c r="CI249" i="674" s="1"/>
  <c r="BZ249" i="674"/>
  <c r="CA249" i="674" s="1"/>
  <c r="BR249" i="674"/>
  <c r="BS249" i="674" s="1"/>
  <c r="BJ249" i="674"/>
  <c r="BK249" i="674" s="1"/>
  <c r="BB249" i="674"/>
  <c r="BC249" i="674" s="1"/>
  <c r="AT249" i="674"/>
  <c r="AU249" i="674" s="1"/>
  <c r="AL249" i="674"/>
  <c r="AM249" i="674" s="1"/>
  <c r="AD249" i="674"/>
  <c r="AE249" i="674" s="1"/>
  <c r="V249" i="674"/>
  <c r="W249" i="674" s="1"/>
  <c r="N249" i="674"/>
  <c r="O249" i="674" s="1"/>
  <c r="CX248" i="674"/>
  <c r="CY248" i="674" s="1"/>
  <c r="CP248" i="674"/>
  <c r="CQ248" i="674" s="1"/>
  <c r="CH248" i="674"/>
  <c r="CI248" i="674" s="1"/>
  <c r="BZ248" i="674"/>
  <c r="CA248" i="674" s="1"/>
  <c r="BR248" i="674"/>
  <c r="BS248" i="674" s="1"/>
  <c r="BJ248" i="674"/>
  <c r="BK248" i="674" s="1"/>
  <c r="BB248" i="674"/>
  <c r="BC248" i="674" s="1"/>
  <c r="AT248" i="674"/>
  <c r="AU248" i="674" s="1"/>
  <c r="AL248" i="674"/>
  <c r="AM248" i="674" s="1"/>
  <c r="AD248" i="674"/>
  <c r="AE248" i="674" s="1"/>
  <c r="V248" i="674"/>
  <c r="W248" i="674" s="1"/>
  <c r="N248" i="674"/>
  <c r="O248" i="674" s="1"/>
  <c r="CX247" i="674"/>
  <c r="CY247" i="674" s="1"/>
  <c r="CP247" i="674"/>
  <c r="CQ247" i="674" s="1"/>
  <c r="CH247" i="674"/>
  <c r="CI247" i="674" s="1"/>
  <c r="BZ247" i="674"/>
  <c r="CA247" i="674" s="1"/>
  <c r="BR247" i="674"/>
  <c r="BS247" i="674" s="1"/>
  <c r="BJ247" i="674"/>
  <c r="BK247" i="674" s="1"/>
  <c r="BB247" i="674"/>
  <c r="BC247" i="674" s="1"/>
  <c r="AT247" i="674"/>
  <c r="AU247" i="674" s="1"/>
  <c r="AL247" i="674"/>
  <c r="AM247" i="674" s="1"/>
  <c r="AD247" i="674"/>
  <c r="AE247" i="674" s="1"/>
  <c r="V247" i="674"/>
  <c r="W247" i="674" s="1"/>
  <c r="N247" i="674"/>
  <c r="O247" i="674" s="1"/>
  <c r="CX246" i="674"/>
  <c r="CY246" i="674" s="1"/>
  <c r="CP246" i="674"/>
  <c r="CQ246" i="674" s="1"/>
  <c r="CH246" i="674"/>
  <c r="CI246" i="674" s="1"/>
  <c r="BZ246" i="674"/>
  <c r="CA246" i="674" s="1"/>
  <c r="BR246" i="674"/>
  <c r="BS246" i="674" s="1"/>
  <c r="BJ246" i="674"/>
  <c r="BK246" i="674" s="1"/>
  <c r="BB246" i="674"/>
  <c r="BC246" i="674" s="1"/>
  <c r="AT246" i="674"/>
  <c r="AU246" i="674" s="1"/>
  <c r="AL246" i="674"/>
  <c r="AM246" i="674" s="1"/>
  <c r="AD246" i="674"/>
  <c r="AE246" i="674" s="1"/>
  <c r="V246" i="674"/>
  <c r="W246" i="674" s="1"/>
  <c r="N246" i="674"/>
  <c r="O246" i="674" s="1"/>
  <c r="CX245" i="674"/>
  <c r="CY245" i="674" s="1"/>
  <c r="CP245" i="674"/>
  <c r="CQ245" i="674" s="1"/>
  <c r="CH245" i="674"/>
  <c r="CI245" i="674" s="1"/>
  <c r="BZ245" i="674"/>
  <c r="CA245" i="674" s="1"/>
  <c r="BR245" i="674"/>
  <c r="BS245" i="674" s="1"/>
  <c r="BJ245" i="674"/>
  <c r="BK245" i="674" s="1"/>
  <c r="BB245" i="674"/>
  <c r="BC245" i="674" s="1"/>
  <c r="AT245" i="674"/>
  <c r="AU245" i="674" s="1"/>
  <c r="AL245" i="674"/>
  <c r="AM245" i="674" s="1"/>
  <c r="AD245" i="674"/>
  <c r="AE245" i="674" s="1"/>
  <c r="V245" i="674"/>
  <c r="W245" i="674" s="1"/>
  <c r="N245" i="674"/>
  <c r="O245" i="674" s="1"/>
  <c r="CX244" i="674"/>
  <c r="CY244" i="674" s="1"/>
  <c r="CP244" i="674"/>
  <c r="CQ244" i="674" s="1"/>
  <c r="CH244" i="674"/>
  <c r="CI244" i="674" s="1"/>
  <c r="BZ244" i="674"/>
  <c r="CA244" i="674" s="1"/>
  <c r="BR244" i="674"/>
  <c r="BS244" i="674" s="1"/>
  <c r="BJ244" i="674"/>
  <c r="BK244" i="674" s="1"/>
  <c r="BB244" i="674"/>
  <c r="BC244" i="674" s="1"/>
  <c r="AT244" i="674"/>
  <c r="AU244" i="674" s="1"/>
  <c r="AL244" i="674"/>
  <c r="AM244" i="674" s="1"/>
  <c r="AD244" i="674"/>
  <c r="AE244" i="674" s="1"/>
  <c r="V244" i="674"/>
  <c r="W244" i="674" s="1"/>
  <c r="N244" i="674"/>
  <c r="O244" i="674" s="1"/>
  <c r="CX243" i="674"/>
  <c r="CY243" i="674" s="1"/>
  <c r="CP243" i="674"/>
  <c r="CQ243" i="674" s="1"/>
  <c r="CH243" i="674"/>
  <c r="CI243" i="674" s="1"/>
  <c r="BZ243" i="674"/>
  <c r="CA243" i="674" s="1"/>
  <c r="BR243" i="674"/>
  <c r="BS243" i="674" s="1"/>
  <c r="BJ243" i="674"/>
  <c r="BK243" i="674" s="1"/>
  <c r="BB243" i="674"/>
  <c r="BC243" i="674" s="1"/>
  <c r="AT243" i="674"/>
  <c r="AU243" i="674" s="1"/>
  <c r="AL243" i="674"/>
  <c r="AM243" i="674" s="1"/>
  <c r="AD243" i="674"/>
  <c r="AE243" i="674" s="1"/>
  <c r="V243" i="674"/>
  <c r="W243" i="674" s="1"/>
  <c r="N243" i="674"/>
  <c r="O243" i="674" s="1"/>
  <c r="CX242" i="674"/>
  <c r="CY242" i="674" s="1"/>
  <c r="CP242" i="674"/>
  <c r="CQ242" i="674" s="1"/>
  <c r="CH242" i="674"/>
  <c r="CI242" i="674" s="1"/>
  <c r="BZ242" i="674"/>
  <c r="CA242" i="674" s="1"/>
  <c r="BR242" i="674"/>
  <c r="BS242" i="674" s="1"/>
  <c r="BJ242" i="674"/>
  <c r="BK242" i="674" s="1"/>
  <c r="BB242" i="674"/>
  <c r="BC242" i="674" s="1"/>
  <c r="AT242" i="674"/>
  <c r="AU242" i="674" s="1"/>
  <c r="AL242" i="674"/>
  <c r="AM242" i="674" s="1"/>
  <c r="AD242" i="674"/>
  <c r="AE242" i="674" s="1"/>
  <c r="V242" i="674"/>
  <c r="W242" i="674" s="1"/>
  <c r="N242" i="674"/>
  <c r="O242" i="674" s="1"/>
  <c r="CX241" i="674"/>
  <c r="CY241" i="674" s="1"/>
  <c r="CP241" i="674"/>
  <c r="CQ241" i="674" s="1"/>
  <c r="CH241" i="674"/>
  <c r="CI241" i="674" s="1"/>
  <c r="BZ241" i="674"/>
  <c r="CA241" i="674" s="1"/>
  <c r="BR241" i="674"/>
  <c r="BS241" i="674" s="1"/>
  <c r="BJ241" i="674"/>
  <c r="BK241" i="674" s="1"/>
  <c r="BB241" i="674"/>
  <c r="BC241" i="674" s="1"/>
  <c r="AT241" i="674"/>
  <c r="AU241" i="674" s="1"/>
  <c r="AL241" i="674"/>
  <c r="AM241" i="674" s="1"/>
  <c r="AD241" i="674"/>
  <c r="AE241" i="674" s="1"/>
  <c r="V241" i="674"/>
  <c r="W241" i="674" s="1"/>
  <c r="N241" i="674"/>
  <c r="O241" i="674" s="1"/>
  <c r="CX240" i="674"/>
  <c r="CY240" i="674" s="1"/>
  <c r="CP240" i="674"/>
  <c r="CQ240" i="674" s="1"/>
  <c r="CH240" i="674"/>
  <c r="CI240" i="674" s="1"/>
  <c r="BZ240" i="674"/>
  <c r="CA240" i="674" s="1"/>
  <c r="BR240" i="674"/>
  <c r="BS240" i="674" s="1"/>
  <c r="BJ240" i="674"/>
  <c r="BK240" i="674" s="1"/>
  <c r="BB240" i="674"/>
  <c r="BC240" i="674" s="1"/>
  <c r="AT240" i="674"/>
  <c r="AU240" i="674" s="1"/>
  <c r="AL240" i="674"/>
  <c r="AM240" i="674" s="1"/>
  <c r="AD240" i="674"/>
  <c r="AE240" i="674" s="1"/>
  <c r="V240" i="674"/>
  <c r="W240" i="674" s="1"/>
  <c r="N240" i="674"/>
  <c r="O240" i="674" s="1"/>
  <c r="CX239" i="674"/>
  <c r="CY239" i="674" s="1"/>
  <c r="CP239" i="674"/>
  <c r="CQ239" i="674" s="1"/>
  <c r="CH239" i="674"/>
  <c r="CI239" i="674" s="1"/>
  <c r="BZ239" i="674"/>
  <c r="CA239" i="674" s="1"/>
  <c r="BR239" i="674"/>
  <c r="BS239" i="674" s="1"/>
  <c r="BJ239" i="674"/>
  <c r="BK239" i="674" s="1"/>
  <c r="BB239" i="674"/>
  <c r="BC239" i="674" s="1"/>
  <c r="AT239" i="674"/>
  <c r="AU239" i="674" s="1"/>
  <c r="AL239" i="674"/>
  <c r="AM239" i="674" s="1"/>
  <c r="AD239" i="674"/>
  <c r="AE239" i="674" s="1"/>
  <c r="V239" i="674"/>
  <c r="W239" i="674" s="1"/>
  <c r="N239" i="674"/>
  <c r="O239" i="674" s="1"/>
  <c r="CX238" i="674"/>
  <c r="CY238" i="674" s="1"/>
  <c r="CP238" i="674"/>
  <c r="CQ238" i="674" s="1"/>
  <c r="CH238" i="674"/>
  <c r="CI238" i="674" s="1"/>
  <c r="BZ238" i="674"/>
  <c r="CA238" i="674" s="1"/>
  <c r="BR238" i="674"/>
  <c r="BS238" i="674" s="1"/>
  <c r="BJ238" i="674"/>
  <c r="BK238" i="674" s="1"/>
  <c r="BB238" i="674"/>
  <c r="BC238" i="674" s="1"/>
  <c r="AT238" i="674"/>
  <c r="AU238" i="674" s="1"/>
  <c r="AL238" i="674"/>
  <c r="AM238" i="674" s="1"/>
  <c r="AD238" i="674"/>
  <c r="AE238" i="674" s="1"/>
  <c r="V238" i="674"/>
  <c r="W238" i="674" s="1"/>
  <c r="N238" i="674"/>
  <c r="O238" i="674" s="1"/>
  <c r="CX237" i="674"/>
  <c r="CY237" i="674" s="1"/>
  <c r="CP237" i="674"/>
  <c r="CQ237" i="674" s="1"/>
  <c r="CH237" i="674"/>
  <c r="CI237" i="674" s="1"/>
  <c r="BZ237" i="674"/>
  <c r="CA237" i="674" s="1"/>
  <c r="BR237" i="674"/>
  <c r="BS237" i="674" s="1"/>
  <c r="BJ237" i="674"/>
  <c r="BK237" i="674" s="1"/>
  <c r="BB237" i="674"/>
  <c r="BC237" i="674" s="1"/>
  <c r="AT237" i="674"/>
  <c r="AU237" i="674" s="1"/>
  <c r="AL237" i="674"/>
  <c r="AM237" i="674" s="1"/>
  <c r="AD237" i="674"/>
  <c r="AE237" i="674" s="1"/>
  <c r="V237" i="674"/>
  <c r="W237" i="674" s="1"/>
  <c r="N237" i="674"/>
  <c r="O237" i="674" s="1"/>
  <c r="CX236" i="674"/>
  <c r="CY236" i="674" s="1"/>
  <c r="CP236" i="674"/>
  <c r="CQ236" i="674" s="1"/>
  <c r="CH236" i="674"/>
  <c r="CI236" i="674" s="1"/>
  <c r="BZ236" i="674"/>
  <c r="CA236" i="674" s="1"/>
  <c r="BR236" i="674"/>
  <c r="BS236" i="674" s="1"/>
  <c r="BJ236" i="674"/>
  <c r="BK236" i="674" s="1"/>
  <c r="BB236" i="674"/>
  <c r="BC236" i="674" s="1"/>
  <c r="AT236" i="674"/>
  <c r="AU236" i="674" s="1"/>
  <c r="AL236" i="674"/>
  <c r="AM236" i="674" s="1"/>
  <c r="AD236" i="674"/>
  <c r="AE236" i="674" s="1"/>
  <c r="V236" i="674"/>
  <c r="W236" i="674" s="1"/>
  <c r="N236" i="674"/>
  <c r="O236" i="674" s="1"/>
  <c r="CX235" i="674"/>
  <c r="CY235" i="674" s="1"/>
  <c r="CP235" i="674"/>
  <c r="CQ235" i="674" s="1"/>
  <c r="CH235" i="674"/>
  <c r="CI235" i="674" s="1"/>
  <c r="BZ235" i="674"/>
  <c r="CA235" i="674" s="1"/>
  <c r="BR235" i="674"/>
  <c r="BS235" i="674" s="1"/>
  <c r="BJ235" i="674"/>
  <c r="BK235" i="674" s="1"/>
  <c r="BB235" i="674"/>
  <c r="BC235" i="674" s="1"/>
  <c r="AT235" i="674"/>
  <c r="AU235" i="674" s="1"/>
  <c r="AL235" i="674"/>
  <c r="AM235" i="674" s="1"/>
  <c r="AD235" i="674"/>
  <c r="AE235" i="674" s="1"/>
  <c r="V235" i="674"/>
  <c r="W235" i="674" s="1"/>
  <c r="N235" i="674"/>
  <c r="O235" i="674" s="1"/>
  <c r="CX234" i="674"/>
  <c r="CY234" i="674" s="1"/>
  <c r="CP234" i="674"/>
  <c r="CQ234" i="674" s="1"/>
  <c r="CH234" i="674"/>
  <c r="CI234" i="674" s="1"/>
  <c r="BZ234" i="674"/>
  <c r="CA234" i="674" s="1"/>
  <c r="BR234" i="674"/>
  <c r="BS234" i="674" s="1"/>
  <c r="BJ234" i="674"/>
  <c r="BK234" i="674" s="1"/>
  <c r="BB234" i="674"/>
  <c r="BC234" i="674" s="1"/>
  <c r="AT234" i="674"/>
  <c r="AU234" i="674" s="1"/>
  <c r="AL234" i="674"/>
  <c r="AM234" i="674" s="1"/>
  <c r="AD234" i="674"/>
  <c r="AE234" i="674" s="1"/>
  <c r="V234" i="674"/>
  <c r="W234" i="674" s="1"/>
  <c r="N234" i="674"/>
  <c r="O234" i="674" s="1"/>
  <c r="CX233" i="674"/>
  <c r="CY233" i="674" s="1"/>
  <c r="CP233" i="674"/>
  <c r="CQ233" i="674" s="1"/>
  <c r="CH233" i="674"/>
  <c r="CI233" i="674" s="1"/>
  <c r="BZ233" i="674"/>
  <c r="CA233" i="674" s="1"/>
  <c r="BR233" i="674"/>
  <c r="BS233" i="674" s="1"/>
  <c r="BJ233" i="674"/>
  <c r="BK233" i="674" s="1"/>
  <c r="BB233" i="674"/>
  <c r="BC233" i="674" s="1"/>
  <c r="AT233" i="674"/>
  <c r="AU233" i="674" s="1"/>
  <c r="AL233" i="674"/>
  <c r="AM233" i="674" s="1"/>
  <c r="AD233" i="674"/>
  <c r="AE233" i="674" s="1"/>
  <c r="V233" i="674"/>
  <c r="W233" i="674" s="1"/>
  <c r="N233" i="674"/>
  <c r="O233" i="674" s="1"/>
  <c r="CX232" i="674"/>
  <c r="CY232" i="674" s="1"/>
  <c r="CP232" i="674"/>
  <c r="CQ232" i="674" s="1"/>
  <c r="CH232" i="674"/>
  <c r="CI232" i="674" s="1"/>
  <c r="BZ232" i="674"/>
  <c r="CA232" i="674" s="1"/>
  <c r="BR232" i="674"/>
  <c r="BS232" i="674" s="1"/>
  <c r="BJ232" i="674"/>
  <c r="BK232" i="674" s="1"/>
  <c r="BB232" i="674"/>
  <c r="BC232" i="674" s="1"/>
  <c r="AT232" i="674"/>
  <c r="AU232" i="674" s="1"/>
  <c r="AL232" i="674"/>
  <c r="AM232" i="674" s="1"/>
  <c r="AD232" i="674"/>
  <c r="AE232" i="674" s="1"/>
  <c r="V232" i="674"/>
  <c r="W232" i="674" s="1"/>
  <c r="N232" i="674"/>
  <c r="O232" i="674" s="1"/>
  <c r="CX231" i="674"/>
  <c r="CY231" i="674" s="1"/>
  <c r="CP231" i="674"/>
  <c r="CQ231" i="674" s="1"/>
  <c r="CH231" i="674"/>
  <c r="CI231" i="674" s="1"/>
  <c r="BZ231" i="674"/>
  <c r="CA231" i="674" s="1"/>
  <c r="BR231" i="674"/>
  <c r="BS231" i="674" s="1"/>
  <c r="BJ231" i="674"/>
  <c r="BK231" i="674" s="1"/>
  <c r="BB231" i="674"/>
  <c r="BC231" i="674" s="1"/>
  <c r="AT231" i="674"/>
  <c r="AU231" i="674" s="1"/>
  <c r="AL231" i="674"/>
  <c r="AM231" i="674" s="1"/>
  <c r="AD231" i="674"/>
  <c r="AE231" i="674" s="1"/>
  <c r="V231" i="674"/>
  <c r="W231" i="674" s="1"/>
  <c r="N231" i="674"/>
  <c r="O231" i="674" s="1"/>
  <c r="CX230" i="674"/>
  <c r="CY230" i="674" s="1"/>
  <c r="CP230" i="674"/>
  <c r="CQ230" i="674" s="1"/>
  <c r="CH230" i="674"/>
  <c r="CI230" i="674" s="1"/>
  <c r="BZ230" i="674"/>
  <c r="CA230" i="674" s="1"/>
  <c r="BR230" i="674"/>
  <c r="BS230" i="674" s="1"/>
  <c r="BJ230" i="674"/>
  <c r="BK230" i="674" s="1"/>
  <c r="BB230" i="674"/>
  <c r="BC230" i="674" s="1"/>
  <c r="AT230" i="674"/>
  <c r="AU230" i="674" s="1"/>
  <c r="AL230" i="674"/>
  <c r="AM230" i="674" s="1"/>
  <c r="AD230" i="674"/>
  <c r="AE230" i="674" s="1"/>
  <c r="V230" i="674"/>
  <c r="W230" i="674" s="1"/>
  <c r="N230" i="674"/>
  <c r="O230" i="674" s="1"/>
  <c r="CX229" i="674"/>
  <c r="CY229" i="674" s="1"/>
  <c r="CP229" i="674"/>
  <c r="CQ229" i="674" s="1"/>
  <c r="CH229" i="674"/>
  <c r="CI229" i="674" s="1"/>
  <c r="BZ229" i="674"/>
  <c r="CA229" i="674" s="1"/>
  <c r="BR229" i="674"/>
  <c r="BS229" i="674" s="1"/>
  <c r="BJ229" i="674"/>
  <c r="BK229" i="674" s="1"/>
  <c r="BB229" i="674"/>
  <c r="BC229" i="674" s="1"/>
  <c r="AT229" i="674"/>
  <c r="AU229" i="674" s="1"/>
  <c r="AL229" i="674"/>
  <c r="AM229" i="674" s="1"/>
  <c r="AD229" i="674"/>
  <c r="AE229" i="674" s="1"/>
  <c r="V229" i="674"/>
  <c r="W229" i="674" s="1"/>
  <c r="N229" i="674"/>
  <c r="O229" i="674" s="1"/>
  <c r="CX228" i="674"/>
  <c r="CY228" i="674" s="1"/>
  <c r="CP228" i="674"/>
  <c r="CQ228" i="674" s="1"/>
  <c r="CH228" i="674"/>
  <c r="CI228" i="674" s="1"/>
  <c r="BZ228" i="674"/>
  <c r="CA228" i="674" s="1"/>
  <c r="BR228" i="674"/>
  <c r="BS228" i="674" s="1"/>
  <c r="BJ228" i="674"/>
  <c r="BK228" i="674" s="1"/>
  <c r="BB228" i="674"/>
  <c r="BC228" i="674" s="1"/>
  <c r="AT228" i="674"/>
  <c r="AU228" i="674" s="1"/>
  <c r="AL228" i="674"/>
  <c r="AM228" i="674" s="1"/>
  <c r="AD228" i="674"/>
  <c r="AE228" i="674" s="1"/>
  <c r="V228" i="674"/>
  <c r="W228" i="674" s="1"/>
  <c r="N228" i="674"/>
  <c r="O228" i="674" s="1"/>
  <c r="CX227" i="674"/>
  <c r="CY227" i="674" s="1"/>
  <c r="CP227" i="674"/>
  <c r="CQ227" i="674" s="1"/>
  <c r="CH227" i="674"/>
  <c r="CI227" i="674" s="1"/>
  <c r="BZ227" i="674"/>
  <c r="CA227" i="674" s="1"/>
  <c r="BR227" i="674"/>
  <c r="BS227" i="674" s="1"/>
  <c r="BJ227" i="674"/>
  <c r="BK227" i="674" s="1"/>
  <c r="BB227" i="674"/>
  <c r="BC227" i="674" s="1"/>
  <c r="AT227" i="674"/>
  <c r="AU227" i="674" s="1"/>
  <c r="AL227" i="674"/>
  <c r="AM227" i="674" s="1"/>
  <c r="AD227" i="674"/>
  <c r="AE227" i="674" s="1"/>
  <c r="V227" i="674"/>
  <c r="W227" i="674" s="1"/>
  <c r="N227" i="674"/>
  <c r="O227" i="674" s="1"/>
  <c r="CX226" i="674"/>
  <c r="CY226" i="674" s="1"/>
  <c r="CP226" i="674"/>
  <c r="CQ226" i="674" s="1"/>
  <c r="CH226" i="674"/>
  <c r="CI226" i="674" s="1"/>
  <c r="BZ226" i="674"/>
  <c r="CA226" i="674" s="1"/>
  <c r="BR226" i="674"/>
  <c r="BS226" i="674" s="1"/>
  <c r="BJ226" i="674"/>
  <c r="BK226" i="674" s="1"/>
  <c r="BB226" i="674"/>
  <c r="BC226" i="674" s="1"/>
  <c r="AT226" i="674"/>
  <c r="AU226" i="674" s="1"/>
  <c r="AL226" i="674"/>
  <c r="AM226" i="674" s="1"/>
  <c r="AD226" i="674"/>
  <c r="AE226" i="674" s="1"/>
  <c r="V226" i="674"/>
  <c r="W226" i="674" s="1"/>
  <c r="N226" i="674"/>
  <c r="O226" i="674" s="1"/>
  <c r="CX225" i="674"/>
  <c r="CY225" i="674" s="1"/>
  <c r="CP225" i="674"/>
  <c r="CQ225" i="674" s="1"/>
  <c r="CH225" i="674"/>
  <c r="CI225" i="674" s="1"/>
  <c r="BZ225" i="674"/>
  <c r="CA225" i="674" s="1"/>
  <c r="BR225" i="674"/>
  <c r="BS225" i="674" s="1"/>
  <c r="BJ225" i="674"/>
  <c r="BK225" i="674" s="1"/>
  <c r="BB225" i="674"/>
  <c r="BC225" i="674" s="1"/>
  <c r="AT225" i="674"/>
  <c r="AU225" i="674" s="1"/>
  <c r="AL225" i="674"/>
  <c r="AM225" i="674" s="1"/>
  <c r="AD225" i="674"/>
  <c r="AE225" i="674" s="1"/>
  <c r="V225" i="674"/>
  <c r="W225" i="674" s="1"/>
  <c r="N225" i="674"/>
  <c r="O225" i="674" s="1"/>
  <c r="CX224" i="674"/>
  <c r="CY224" i="674" s="1"/>
  <c r="CP224" i="674"/>
  <c r="CQ224" i="674" s="1"/>
  <c r="CH224" i="674"/>
  <c r="CI224" i="674" s="1"/>
  <c r="BZ224" i="674"/>
  <c r="CA224" i="674" s="1"/>
  <c r="BR224" i="674"/>
  <c r="BS224" i="674" s="1"/>
  <c r="BJ224" i="674"/>
  <c r="BK224" i="674" s="1"/>
  <c r="BB224" i="674"/>
  <c r="BC224" i="674" s="1"/>
  <c r="AT224" i="674"/>
  <c r="AU224" i="674" s="1"/>
  <c r="AL224" i="674"/>
  <c r="AM224" i="674" s="1"/>
  <c r="AD224" i="674"/>
  <c r="AE224" i="674" s="1"/>
  <c r="V224" i="674"/>
  <c r="W224" i="674" s="1"/>
  <c r="N224" i="674"/>
  <c r="O224" i="674" s="1"/>
  <c r="CX223" i="674"/>
  <c r="CY223" i="674" s="1"/>
  <c r="CP223" i="674"/>
  <c r="CQ223" i="674" s="1"/>
  <c r="CH223" i="674"/>
  <c r="CI223" i="674" s="1"/>
  <c r="BZ223" i="674"/>
  <c r="CA223" i="674" s="1"/>
  <c r="BR223" i="674"/>
  <c r="BS223" i="674" s="1"/>
  <c r="BJ223" i="674"/>
  <c r="BK223" i="674" s="1"/>
  <c r="BB223" i="674"/>
  <c r="BC223" i="674" s="1"/>
  <c r="AT223" i="674"/>
  <c r="AU223" i="674" s="1"/>
  <c r="AL223" i="674"/>
  <c r="AM223" i="674" s="1"/>
  <c r="AD223" i="674"/>
  <c r="AE223" i="674" s="1"/>
  <c r="V223" i="674"/>
  <c r="W223" i="674" s="1"/>
  <c r="N223" i="674"/>
  <c r="O223" i="674" s="1"/>
  <c r="CX222" i="674"/>
  <c r="CY222" i="674" s="1"/>
  <c r="CP222" i="674"/>
  <c r="CQ222" i="674" s="1"/>
  <c r="CH222" i="674"/>
  <c r="CI222" i="674" s="1"/>
  <c r="BZ222" i="674"/>
  <c r="CA222" i="674" s="1"/>
  <c r="BR222" i="674"/>
  <c r="BS222" i="674" s="1"/>
  <c r="BJ222" i="674"/>
  <c r="BK222" i="674" s="1"/>
  <c r="BB222" i="674"/>
  <c r="BC222" i="674" s="1"/>
  <c r="AT222" i="674"/>
  <c r="AU222" i="674" s="1"/>
  <c r="AL222" i="674"/>
  <c r="AM222" i="674" s="1"/>
  <c r="AD222" i="674"/>
  <c r="AE222" i="674" s="1"/>
  <c r="V222" i="674"/>
  <c r="W222" i="674" s="1"/>
  <c r="N222" i="674"/>
  <c r="O222" i="674" s="1"/>
  <c r="CX221" i="674"/>
  <c r="CY221" i="674" s="1"/>
  <c r="CP221" i="674"/>
  <c r="CQ221" i="674" s="1"/>
  <c r="CH221" i="674"/>
  <c r="CI221" i="674" s="1"/>
  <c r="BZ221" i="674"/>
  <c r="CA221" i="674" s="1"/>
  <c r="BR221" i="674"/>
  <c r="BS221" i="674" s="1"/>
  <c r="BJ221" i="674"/>
  <c r="BK221" i="674" s="1"/>
  <c r="BB221" i="674"/>
  <c r="BC221" i="674" s="1"/>
  <c r="AT221" i="674"/>
  <c r="AU221" i="674" s="1"/>
  <c r="AD221" i="674"/>
  <c r="AE221" i="674" s="1"/>
  <c r="V221" i="674"/>
  <c r="W221" i="674" s="1"/>
  <c r="N221" i="674"/>
  <c r="O221" i="674" s="1"/>
  <c r="CX220" i="674"/>
  <c r="CY220" i="674" s="1"/>
  <c r="CP220" i="674"/>
  <c r="CQ220" i="674" s="1"/>
  <c r="CH220" i="674"/>
  <c r="CI220" i="674" s="1"/>
  <c r="BZ220" i="674"/>
  <c r="CA220" i="674" s="1"/>
  <c r="BR220" i="674"/>
  <c r="BS220" i="674" s="1"/>
  <c r="BJ220" i="674"/>
  <c r="BK220" i="674" s="1"/>
  <c r="BB220" i="674"/>
  <c r="BC220" i="674" s="1"/>
  <c r="AT220" i="674"/>
  <c r="AU220" i="674" s="1"/>
  <c r="AD220" i="674"/>
  <c r="AE220" i="674" s="1"/>
  <c r="V220" i="674"/>
  <c r="W220" i="674" s="1"/>
  <c r="N220" i="674"/>
  <c r="O220" i="674" s="1"/>
  <c r="CX219" i="674"/>
  <c r="CY219" i="674" s="1"/>
  <c r="CP219" i="674"/>
  <c r="CQ219" i="674" s="1"/>
  <c r="CH219" i="674"/>
  <c r="CI219" i="674" s="1"/>
  <c r="BZ219" i="674"/>
  <c r="CA219" i="674" s="1"/>
  <c r="BR219" i="674"/>
  <c r="BS219" i="674" s="1"/>
  <c r="BJ219" i="674"/>
  <c r="BK219" i="674" s="1"/>
  <c r="BB219" i="674"/>
  <c r="BC219" i="674" s="1"/>
  <c r="AT219" i="674"/>
  <c r="AU219" i="674" s="1"/>
  <c r="AL219" i="674"/>
  <c r="AM219" i="674" s="1"/>
  <c r="AD219" i="674"/>
  <c r="AE219" i="674" s="1"/>
  <c r="V219" i="674"/>
  <c r="W219" i="674" s="1"/>
  <c r="N219" i="674"/>
  <c r="O219" i="674" s="1"/>
  <c r="CX218" i="674"/>
  <c r="CY218" i="674" s="1"/>
  <c r="CP218" i="674"/>
  <c r="CQ218" i="674" s="1"/>
  <c r="CH218" i="674"/>
  <c r="CI218" i="674" s="1"/>
  <c r="BZ218" i="674"/>
  <c r="CA218" i="674" s="1"/>
  <c r="BR218" i="674"/>
  <c r="BS218" i="674" s="1"/>
  <c r="BJ218" i="674"/>
  <c r="BK218" i="674" s="1"/>
  <c r="BB218" i="674"/>
  <c r="BC218" i="674" s="1"/>
  <c r="AT218" i="674"/>
  <c r="AU218" i="674" s="1"/>
  <c r="AL218" i="674"/>
  <c r="AM218" i="674" s="1"/>
  <c r="AD218" i="674"/>
  <c r="AE218" i="674" s="1"/>
  <c r="V218" i="674"/>
  <c r="W218" i="674" s="1"/>
  <c r="N218" i="674"/>
  <c r="O218" i="674" s="1"/>
  <c r="CX217" i="674"/>
  <c r="CY217" i="674" s="1"/>
  <c r="CP217" i="674"/>
  <c r="CQ217" i="674" s="1"/>
  <c r="CH217" i="674"/>
  <c r="CI217" i="674" s="1"/>
  <c r="BZ217" i="674"/>
  <c r="CA217" i="674" s="1"/>
  <c r="BR217" i="674"/>
  <c r="BS217" i="674" s="1"/>
  <c r="BJ217" i="674"/>
  <c r="BK217" i="674" s="1"/>
  <c r="BB217" i="674"/>
  <c r="BC217" i="674" s="1"/>
  <c r="AT217" i="674"/>
  <c r="AU217" i="674" s="1"/>
  <c r="AL217" i="674"/>
  <c r="AM217" i="674" s="1"/>
  <c r="AD217" i="674"/>
  <c r="AE217" i="674" s="1"/>
  <c r="V217" i="674"/>
  <c r="W217" i="674" s="1"/>
  <c r="N217" i="674"/>
  <c r="O217" i="674" s="1"/>
  <c r="CX216" i="674"/>
  <c r="CY216" i="674" s="1"/>
  <c r="CP216" i="674"/>
  <c r="CQ216" i="674" s="1"/>
  <c r="CH216" i="674"/>
  <c r="CI216" i="674" s="1"/>
  <c r="BZ216" i="674"/>
  <c r="CA216" i="674" s="1"/>
  <c r="BR216" i="674"/>
  <c r="BS216" i="674" s="1"/>
  <c r="BJ216" i="674"/>
  <c r="BK216" i="674" s="1"/>
  <c r="BB216" i="674"/>
  <c r="BC216" i="674" s="1"/>
  <c r="AT216" i="674"/>
  <c r="AU216" i="674" s="1"/>
  <c r="AL216" i="674"/>
  <c r="AM216" i="674" s="1"/>
  <c r="AD216" i="674"/>
  <c r="AE216" i="674" s="1"/>
  <c r="V216" i="674"/>
  <c r="W216" i="674" s="1"/>
  <c r="N216" i="674"/>
  <c r="O216" i="674" s="1"/>
  <c r="CX215" i="674"/>
  <c r="CY215" i="674" s="1"/>
  <c r="CP215" i="674"/>
  <c r="CQ215" i="674" s="1"/>
  <c r="CH215" i="674"/>
  <c r="CI215" i="674" s="1"/>
  <c r="BZ215" i="674"/>
  <c r="CA215" i="674" s="1"/>
  <c r="BR215" i="674"/>
  <c r="BS215" i="674" s="1"/>
  <c r="BJ215" i="674"/>
  <c r="BK215" i="674" s="1"/>
  <c r="BB215" i="674"/>
  <c r="BC215" i="674" s="1"/>
  <c r="AT215" i="674"/>
  <c r="AU215" i="674" s="1"/>
  <c r="AL215" i="674"/>
  <c r="AM215" i="674" s="1"/>
  <c r="AD215" i="674"/>
  <c r="AE215" i="674" s="1"/>
  <c r="V215" i="674"/>
  <c r="W215" i="674" s="1"/>
  <c r="N215" i="674"/>
  <c r="O215" i="674" s="1"/>
  <c r="CX214" i="674"/>
  <c r="CY214" i="674" s="1"/>
  <c r="CP214" i="674"/>
  <c r="CQ214" i="674" s="1"/>
  <c r="CH214" i="674"/>
  <c r="CI214" i="674" s="1"/>
  <c r="BZ214" i="674"/>
  <c r="CA214" i="674" s="1"/>
  <c r="BR214" i="674"/>
  <c r="BS214" i="674" s="1"/>
  <c r="BJ214" i="674"/>
  <c r="BK214" i="674" s="1"/>
  <c r="BB214" i="674"/>
  <c r="BC214" i="674" s="1"/>
  <c r="AT214" i="674"/>
  <c r="AU214" i="674" s="1"/>
  <c r="AL214" i="674"/>
  <c r="AM214" i="674" s="1"/>
  <c r="AD214" i="674"/>
  <c r="AE214" i="674" s="1"/>
  <c r="V214" i="674"/>
  <c r="W214" i="674" s="1"/>
  <c r="N214" i="674"/>
  <c r="O214" i="674" s="1"/>
  <c r="CX213" i="674"/>
  <c r="CY213" i="674" s="1"/>
  <c r="CP213" i="674"/>
  <c r="CQ213" i="674" s="1"/>
  <c r="CH213" i="674"/>
  <c r="CI213" i="674" s="1"/>
  <c r="BZ213" i="674"/>
  <c r="CA213" i="674" s="1"/>
  <c r="BR213" i="674"/>
  <c r="BS213" i="674" s="1"/>
  <c r="BJ213" i="674"/>
  <c r="BK213" i="674" s="1"/>
  <c r="BB213" i="674"/>
  <c r="BC213" i="674" s="1"/>
  <c r="AT213" i="674"/>
  <c r="AU213" i="674" s="1"/>
  <c r="AL213" i="674"/>
  <c r="AM213" i="674" s="1"/>
  <c r="AD213" i="674"/>
  <c r="AE213" i="674" s="1"/>
  <c r="V213" i="674"/>
  <c r="W213" i="674" s="1"/>
  <c r="N213" i="674"/>
  <c r="O213" i="674" s="1"/>
  <c r="CX212" i="674"/>
  <c r="CY212" i="674" s="1"/>
  <c r="CP212" i="674"/>
  <c r="CQ212" i="674" s="1"/>
  <c r="CH212" i="674"/>
  <c r="CI212" i="674" s="1"/>
  <c r="BZ212" i="674"/>
  <c r="CA212" i="674" s="1"/>
  <c r="BR212" i="674"/>
  <c r="BS212" i="674" s="1"/>
  <c r="BJ212" i="674"/>
  <c r="BK212" i="674" s="1"/>
  <c r="BB212" i="674"/>
  <c r="BC212" i="674" s="1"/>
  <c r="AT212" i="674"/>
  <c r="AU212" i="674" s="1"/>
  <c r="AL212" i="674"/>
  <c r="AM212" i="674" s="1"/>
  <c r="AD212" i="674"/>
  <c r="AE212" i="674" s="1"/>
  <c r="V212" i="674"/>
  <c r="W212" i="674" s="1"/>
  <c r="N212" i="674"/>
  <c r="O212" i="674" s="1"/>
  <c r="CX211" i="674"/>
  <c r="CY211" i="674" s="1"/>
  <c r="CP211" i="674"/>
  <c r="CQ211" i="674" s="1"/>
  <c r="CH211" i="674"/>
  <c r="CI211" i="674" s="1"/>
  <c r="BZ211" i="674"/>
  <c r="CA211" i="674" s="1"/>
  <c r="BR211" i="674"/>
  <c r="BS211" i="674" s="1"/>
  <c r="BJ211" i="674"/>
  <c r="BK211" i="674" s="1"/>
  <c r="BB211" i="674"/>
  <c r="BC211" i="674" s="1"/>
  <c r="AT211" i="674"/>
  <c r="AU211" i="674" s="1"/>
  <c r="AL211" i="674"/>
  <c r="AM211" i="674" s="1"/>
  <c r="AD211" i="674"/>
  <c r="AE211" i="674" s="1"/>
  <c r="V211" i="674"/>
  <c r="W211" i="674" s="1"/>
  <c r="N211" i="674"/>
  <c r="O211" i="674" s="1"/>
  <c r="CX210" i="674"/>
  <c r="CY210" i="674" s="1"/>
  <c r="CP210" i="674"/>
  <c r="CQ210" i="674" s="1"/>
  <c r="CH210" i="674"/>
  <c r="CI210" i="674" s="1"/>
  <c r="BZ210" i="674"/>
  <c r="CA210" i="674" s="1"/>
  <c r="BR210" i="674"/>
  <c r="BS210" i="674" s="1"/>
  <c r="BJ210" i="674"/>
  <c r="BK210" i="674" s="1"/>
  <c r="BB210" i="674"/>
  <c r="BC210" i="674" s="1"/>
  <c r="AT210" i="674"/>
  <c r="AU210" i="674" s="1"/>
  <c r="AL210" i="674"/>
  <c r="AM210" i="674" s="1"/>
  <c r="AD210" i="674"/>
  <c r="AE210" i="674" s="1"/>
  <c r="V210" i="674"/>
  <c r="W210" i="674" s="1"/>
  <c r="N210" i="674"/>
  <c r="O210" i="674" s="1"/>
  <c r="CX209" i="674"/>
  <c r="CY209" i="674" s="1"/>
  <c r="CP209" i="674"/>
  <c r="CQ209" i="674" s="1"/>
  <c r="CH209" i="674"/>
  <c r="CI209" i="674" s="1"/>
  <c r="BZ209" i="674"/>
  <c r="CA209" i="674" s="1"/>
  <c r="BR209" i="674"/>
  <c r="BS209" i="674" s="1"/>
  <c r="BJ209" i="674"/>
  <c r="BK209" i="674" s="1"/>
  <c r="BB209" i="674"/>
  <c r="BC209" i="674" s="1"/>
  <c r="AT209" i="674"/>
  <c r="AU209" i="674" s="1"/>
  <c r="AL209" i="674"/>
  <c r="AM209" i="674" s="1"/>
  <c r="AD209" i="674"/>
  <c r="AE209" i="674" s="1"/>
  <c r="V209" i="674"/>
  <c r="W209" i="674" s="1"/>
  <c r="N209" i="674"/>
  <c r="O209" i="674" s="1"/>
  <c r="CX208" i="674"/>
  <c r="CY208" i="674" s="1"/>
  <c r="CP208" i="674"/>
  <c r="CQ208" i="674" s="1"/>
  <c r="CH208" i="674"/>
  <c r="CI208" i="674" s="1"/>
  <c r="BZ208" i="674"/>
  <c r="CA208" i="674" s="1"/>
  <c r="BR208" i="674"/>
  <c r="BS208" i="674" s="1"/>
  <c r="BJ208" i="674"/>
  <c r="BK208" i="674" s="1"/>
  <c r="BB208" i="674"/>
  <c r="BC208" i="674" s="1"/>
  <c r="AT208" i="674"/>
  <c r="AU208" i="674" s="1"/>
  <c r="AL208" i="674"/>
  <c r="AM208" i="674" s="1"/>
  <c r="AD208" i="674"/>
  <c r="AE208" i="674" s="1"/>
  <c r="V208" i="674"/>
  <c r="W208" i="674" s="1"/>
  <c r="N208" i="674"/>
  <c r="O208" i="674" s="1"/>
  <c r="CX207" i="674"/>
  <c r="CY207" i="674" s="1"/>
  <c r="CP207" i="674"/>
  <c r="CQ207" i="674" s="1"/>
  <c r="CH207" i="674"/>
  <c r="CI207" i="674" s="1"/>
  <c r="BZ207" i="674"/>
  <c r="CA207" i="674" s="1"/>
  <c r="BR207" i="674"/>
  <c r="BS207" i="674" s="1"/>
  <c r="BJ207" i="674"/>
  <c r="BK207" i="674" s="1"/>
  <c r="BB207" i="674"/>
  <c r="BC207" i="674" s="1"/>
  <c r="AT207" i="674"/>
  <c r="AU207" i="674" s="1"/>
  <c r="AL207" i="674"/>
  <c r="AM207" i="674" s="1"/>
  <c r="AD207" i="674"/>
  <c r="AE207" i="674" s="1"/>
  <c r="V207" i="674"/>
  <c r="W207" i="674" s="1"/>
  <c r="N207" i="674"/>
  <c r="O207" i="674" s="1"/>
  <c r="CX206" i="674"/>
  <c r="CY206" i="674" s="1"/>
  <c r="CP206" i="674"/>
  <c r="CQ206" i="674" s="1"/>
  <c r="CH206" i="674"/>
  <c r="CI206" i="674" s="1"/>
  <c r="BZ206" i="674"/>
  <c r="CA206" i="674" s="1"/>
  <c r="BR206" i="674"/>
  <c r="BS206" i="674" s="1"/>
  <c r="BJ206" i="674"/>
  <c r="BK206" i="674" s="1"/>
  <c r="BB206" i="674"/>
  <c r="BC206" i="674" s="1"/>
  <c r="AT206" i="674"/>
  <c r="AU206" i="674" s="1"/>
  <c r="AL206" i="674"/>
  <c r="AM206" i="674" s="1"/>
  <c r="AD206" i="674"/>
  <c r="AE206" i="674" s="1"/>
  <c r="V206" i="674"/>
  <c r="W206" i="674" s="1"/>
  <c r="N206" i="674"/>
  <c r="O206" i="674" s="1"/>
  <c r="CX205" i="674"/>
  <c r="CY205" i="674" s="1"/>
  <c r="CP205" i="674"/>
  <c r="CQ205" i="674" s="1"/>
  <c r="CH205" i="674"/>
  <c r="CI205" i="674" s="1"/>
  <c r="BZ205" i="674"/>
  <c r="CA205" i="674" s="1"/>
  <c r="BR205" i="674"/>
  <c r="BS205" i="674" s="1"/>
  <c r="BJ205" i="674"/>
  <c r="BK205" i="674" s="1"/>
  <c r="BB205" i="674"/>
  <c r="BC205" i="674" s="1"/>
  <c r="AT205" i="674"/>
  <c r="AU205" i="674" s="1"/>
  <c r="AL205" i="674"/>
  <c r="AM205" i="674" s="1"/>
  <c r="AD205" i="674"/>
  <c r="AE205" i="674" s="1"/>
  <c r="V205" i="674"/>
  <c r="W205" i="674" s="1"/>
  <c r="N205" i="674"/>
  <c r="O205" i="674" s="1"/>
  <c r="CX204" i="674"/>
  <c r="CY204" i="674" s="1"/>
  <c r="CP204" i="674"/>
  <c r="CQ204" i="674" s="1"/>
  <c r="CH204" i="674"/>
  <c r="CI204" i="674" s="1"/>
  <c r="BZ204" i="674"/>
  <c r="CA204" i="674" s="1"/>
  <c r="BR204" i="674"/>
  <c r="BS204" i="674" s="1"/>
  <c r="BJ204" i="674"/>
  <c r="BK204" i="674" s="1"/>
  <c r="BB204" i="674"/>
  <c r="BC204" i="674" s="1"/>
  <c r="AT204" i="674"/>
  <c r="AU204" i="674" s="1"/>
  <c r="AL204" i="674"/>
  <c r="AM204" i="674" s="1"/>
  <c r="AD204" i="674"/>
  <c r="AE204" i="674" s="1"/>
  <c r="V204" i="674"/>
  <c r="W204" i="674" s="1"/>
  <c r="N204" i="674"/>
  <c r="O204" i="674" s="1"/>
  <c r="CX203" i="674"/>
  <c r="CY203" i="674" s="1"/>
  <c r="CP203" i="674"/>
  <c r="CQ203" i="674" s="1"/>
  <c r="CH203" i="674"/>
  <c r="CI203" i="674" s="1"/>
  <c r="BZ203" i="674"/>
  <c r="CA203" i="674" s="1"/>
  <c r="BR203" i="674"/>
  <c r="BS203" i="674" s="1"/>
  <c r="BJ203" i="674"/>
  <c r="BK203" i="674" s="1"/>
  <c r="BB203" i="674"/>
  <c r="BC203" i="674" s="1"/>
  <c r="AT203" i="674"/>
  <c r="AU203" i="674" s="1"/>
  <c r="AL203" i="674"/>
  <c r="AM203" i="674" s="1"/>
  <c r="AD203" i="674"/>
  <c r="AE203" i="674" s="1"/>
  <c r="V203" i="674"/>
  <c r="W203" i="674" s="1"/>
  <c r="N203" i="674"/>
  <c r="O203" i="674" s="1"/>
  <c r="CX202" i="674"/>
  <c r="CY202" i="674" s="1"/>
  <c r="CP202" i="674"/>
  <c r="CQ202" i="674" s="1"/>
  <c r="CH202" i="674"/>
  <c r="CI202" i="674" s="1"/>
  <c r="BZ202" i="674"/>
  <c r="CA202" i="674" s="1"/>
  <c r="BR202" i="674"/>
  <c r="BS202" i="674" s="1"/>
  <c r="BJ202" i="674"/>
  <c r="BK202" i="674" s="1"/>
  <c r="BB202" i="674"/>
  <c r="BC202" i="674" s="1"/>
  <c r="AT202" i="674"/>
  <c r="AU202" i="674" s="1"/>
  <c r="AL202" i="674"/>
  <c r="AM202" i="674" s="1"/>
  <c r="AD202" i="674"/>
  <c r="AE202" i="674" s="1"/>
  <c r="V202" i="674"/>
  <c r="W202" i="674" s="1"/>
  <c r="N202" i="674"/>
  <c r="O202" i="674" s="1"/>
  <c r="CX201" i="674"/>
  <c r="CY201" i="674" s="1"/>
  <c r="CP201" i="674"/>
  <c r="CQ201" i="674" s="1"/>
  <c r="CH201" i="674"/>
  <c r="CI201" i="674" s="1"/>
  <c r="BZ201" i="674"/>
  <c r="CA201" i="674" s="1"/>
  <c r="BR201" i="674"/>
  <c r="BS201" i="674" s="1"/>
  <c r="BJ201" i="674"/>
  <c r="BK201" i="674" s="1"/>
  <c r="BB201" i="674"/>
  <c r="BC201" i="674" s="1"/>
  <c r="AT201" i="674"/>
  <c r="AU201" i="674" s="1"/>
  <c r="AL201" i="674"/>
  <c r="AM201" i="674" s="1"/>
  <c r="AD201" i="674"/>
  <c r="AE201" i="674" s="1"/>
  <c r="V201" i="674"/>
  <c r="W201" i="674" s="1"/>
  <c r="N201" i="674"/>
  <c r="O201" i="674" s="1"/>
  <c r="CX200" i="674"/>
  <c r="CY200" i="674" s="1"/>
  <c r="CP200" i="674"/>
  <c r="CQ200" i="674" s="1"/>
  <c r="CH200" i="674"/>
  <c r="CI200" i="674" s="1"/>
  <c r="BZ200" i="674"/>
  <c r="CA200" i="674" s="1"/>
  <c r="BR200" i="674"/>
  <c r="BS200" i="674" s="1"/>
  <c r="BJ200" i="674"/>
  <c r="BK200" i="674" s="1"/>
  <c r="BB200" i="674"/>
  <c r="BC200" i="674" s="1"/>
  <c r="AT200" i="674"/>
  <c r="AU200" i="674" s="1"/>
  <c r="AL200" i="674"/>
  <c r="AM200" i="674" s="1"/>
  <c r="AD200" i="674"/>
  <c r="AE200" i="674" s="1"/>
  <c r="V200" i="674"/>
  <c r="W200" i="674" s="1"/>
  <c r="N200" i="674"/>
  <c r="O200" i="674" s="1"/>
  <c r="CX199" i="674"/>
  <c r="CY199" i="674" s="1"/>
  <c r="CP199" i="674"/>
  <c r="CQ199" i="674" s="1"/>
  <c r="CH199" i="674"/>
  <c r="CI199" i="674" s="1"/>
  <c r="BZ199" i="674"/>
  <c r="CA199" i="674" s="1"/>
  <c r="BR199" i="674"/>
  <c r="BS199" i="674" s="1"/>
  <c r="BJ199" i="674"/>
  <c r="BK199" i="674" s="1"/>
  <c r="BB199" i="674"/>
  <c r="BC199" i="674" s="1"/>
  <c r="AT199" i="674"/>
  <c r="AU199" i="674" s="1"/>
  <c r="AL199" i="674"/>
  <c r="AM199" i="674" s="1"/>
  <c r="AD199" i="674"/>
  <c r="AE199" i="674" s="1"/>
  <c r="V199" i="674"/>
  <c r="W199" i="674" s="1"/>
  <c r="N199" i="674"/>
  <c r="O199" i="674" s="1"/>
  <c r="CX198" i="674"/>
  <c r="CY198" i="674" s="1"/>
  <c r="CP198" i="674"/>
  <c r="CQ198" i="674" s="1"/>
  <c r="CH198" i="674"/>
  <c r="CI198" i="674" s="1"/>
  <c r="BZ198" i="674"/>
  <c r="CA198" i="674" s="1"/>
  <c r="BR198" i="674"/>
  <c r="BS198" i="674" s="1"/>
  <c r="BJ198" i="674"/>
  <c r="BK198" i="674" s="1"/>
  <c r="BB198" i="674"/>
  <c r="BC198" i="674" s="1"/>
  <c r="AT198" i="674"/>
  <c r="AU198" i="674" s="1"/>
  <c r="AL198" i="674"/>
  <c r="AM198" i="674" s="1"/>
  <c r="AD198" i="674"/>
  <c r="AE198" i="674" s="1"/>
  <c r="V198" i="674"/>
  <c r="W198" i="674" s="1"/>
  <c r="N198" i="674"/>
  <c r="O198" i="674" s="1"/>
  <c r="CX197" i="674"/>
  <c r="CY197" i="674" s="1"/>
  <c r="CP197" i="674"/>
  <c r="CQ197" i="674" s="1"/>
  <c r="CH197" i="674"/>
  <c r="CI197" i="674" s="1"/>
  <c r="BZ197" i="674"/>
  <c r="CA197" i="674" s="1"/>
  <c r="BR197" i="674"/>
  <c r="BS197" i="674" s="1"/>
  <c r="BJ197" i="674"/>
  <c r="BK197" i="674" s="1"/>
  <c r="BB197" i="674"/>
  <c r="BC197" i="674" s="1"/>
  <c r="AT197" i="674"/>
  <c r="AU197" i="674" s="1"/>
  <c r="AL197" i="674"/>
  <c r="AM197" i="674" s="1"/>
  <c r="AD197" i="674"/>
  <c r="AE197" i="674" s="1"/>
  <c r="V197" i="674"/>
  <c r="W197" i="674" s="1"/>
  <c r="N197" i="674"/>
  <c r="O197" i="674" s="1"/>
  <c r="CX196" i="674"/>
  <c r="CY196" i="674" s="1"/>
  <c r="CP196" i="674"/>
  <c r="CQ196" i="674" s="1"/>
  <c r="CH196" i="674"/>
  <c r="CI196" i="674" s="1"/>
  <c r="BZ196" i="674"/>
  <c r="CA196" i="674" s="1"/>
  <c r="BR196" i="674"/>
  <c r="BS196" i="674" s="1"/>
  <c r="BJ196" i="674"/>
  <c r="BK196" i="674" s="1"/>
  <c r="BB196" i="674"/>
  <c r="BC196" i="674" s="1"/>
  <c r="AT196" i="674"/>
  <c r="AU196" i="674" s="1"/>
  <c r="AL196" i="674"/>
  <c r="AM196" i="674" s="1"/>
  <c r="AD196" i="674"/>
  <c r="AE196" i="674" s="1"/>
  <c r="V196" i="674"/>
  <c r="W196" i="674" s="1"/>
  <c r="N196" i="674"/>
  <c r="O196" i="674" s="1"/>
  <c r="CX195" i="674"/>
  <c r="CY195" i="674" s="1"/>
  <c r="CP195" i="674"/>
  <c r="CQ195" i="674" s="1"/>
  <c r="CH195" i="674"/>
  <c r="CI195" i="674" s="1"/>
  <c r="BZ195" i="674"/>
  <c r="CA195" i="674" s="1"/>
  <c r="BR195" i="674"/>
  <c r="BS195" i="674" s="1"/>
  <c r="BJ195" i="674"/>
  <c r="BK195" i="674" s="1"/>
  <c r="BB195" i="674"/>
  <c r="BC195" i="674" s="1"/>
  <c r="AT195" i="674"/>
  <c r="AU195" i="674" s="1"/>
  <c r="AL195" i="674"/>
  <c r="AM195" i="674" s="1"/>
  <c r="AD195" i="674"/>
  <c r="AE195" i="674" s="1"/>
  <c r="V195" i="674"/>
  <c r="W195" i="674" s="1"/>
  <c r="N195" i="674"/>
  <c r="O195" i="674" s="1"/>
  <c r="CX194" i="674"/>
  <c r="CY194" i="674" s="1"/>
  <c r="CP194" i="674"/>
  <c r="CQ194" i="674" s="1"/>
  <c r="CH194" i="674"/>
  <c r="CI194" i="674" s="1"/>
  <c r="BZ194" i="674"/>
  <c r="CA194" i="674" s="1"/>
  <c r="BR194" i="674"/>
  <c r="BS194" i="674" s="1"/>
  <c r="BJ194" i="674"/>
  <c r="BK194" i="674" s="1"/>
  <c r="BB194" i="674"/>
  <c r="BC194" i="674" s="1"/>
  <c r="AT194" i="674"/>
  <c r="AU194" i="674" s="1"/>
  <c r="AL194" i="674"/>
  <c r="AM194" i="674" s="1"/>
  <c r="AD194" i="674"/>
  <c r="AE194" i="674" s="1"/>
  <c r="V194" i="674"/>
  <c r="W194" i="674" s="1"/>
  <c r="N194" i="674"/>
  <c r="O194" i="674" s="1"/>
  <c r="CX193" i="674"/>
  <c r="CY193" i="674" s="1"/>
  <c r="CP193" i="674"/>
  <c r="CQ193" i="674" s="1"/>
  <c r="CH193" i="674"/>
  <c r="CI193" i="674" s="1"/>
  <c r="BZ193" i="674"/>
  <c r="CA193" i="674" s="1"/>
  <c r="BR193" i="674"/>
  <c r="BS193" i="674" s="1"/>
  <c r="BJ193" i="674"/>
  <c r="BK193" i="674" s="1"/>
  <c r="BB193" i="674"/>
  <c r="BC193" i="674" s="1"/>
  <c r="AT193" i="674"/>
  <c r="AU193" i="674" s="1"/>
  <c r="AL193" i="674"/>
  <c r="AM193" i="674" s="1"/>
  <c r="AD193" i="674"/>
  <c r="AE193" i="674" s="1"/>
  <c r="V193" i="674"/>
  <c r="W193" i="674" s="1"/>
  <c r="N193" i="674"/>
  <c r="O193" i="674" s="1"/>
  <c r="CX192" i="674"/>
  <c r="CY192" i="674" s="1"/>
  <c r="CP192" i="674"/>
  <c r="CQ192" i="674" s="1"/>
  <c r="CH192" i="674"/>
  <c r="CI192" i="674" s="1"/>
  <c r="BZ192" i="674"/>
  <c r="CA192" i="674" s="1"/>
  <c r="BR192" i="674"/>
  <c r="BS192" i="674" s="1"/>
  <c r="BJ192" i="674"/>
  <c r="BK192" i="674" s="1"/>
  <c r="BB192" i="674"/>
  <c r="BC192" i="674" s="1"/>
  <c r="AT192" i="674"/>
  <c r="AU192" i="674" s="1"/>
  <c r="AL192" i="674"/>
  <c r="AM192" i="674" s="1"/>
  <c r="AD192" i="674"/>
  <c r="AE192" i="674" s="1"/>
  <c r="V192" i="674"/>
  <c r="W192" i="674" s="1"/>
  <c r="N192" i="674"/>
  <c r="O192" i="674" s="1"/>
  <c r="CX191" i="674"/>
  <c r="CY191" i="674" s="1"/>
  <c r="CP191" i="674"/>
  <c r="CQ191" i="674" s="1"/>
  <c r="CH191" i="674"/>
  <c r="CI191" i="674" s="1"/>
  <c r="BZ191" i="674"/>
  <c r="CA191" i="674" s="1"/>
  <c r="BR191" i="674"/>
  <c r="BS191" i="674" s="1"/>
  <c r="BJ191" i="674"/>
  <c r="BK191" i="674" s="1"/>
  <c r="BB191" i="674"/>
  <c r="BC191" i="674" s="1"/>
  <c r="AT191" i="674"/>
  <c r="AU191" i="674" s="1"/>
  <c r="AL191" i="674"/>
  <c r="AM191" i="674" s="1"/>
  <c r="AD191" i="674"/>
  <c r="AE191" i="674" s="1"/>
  <c r="V191" i="674"/>
  <c r="W191" i="674" s="1"/>
  <c r="N191" i="674"/>
  <c r="O191" i="674" s="1"/>
  <c r="CX190" i="674"/>
  <c r="CY190" i="674" s="1"/>
  <c r="CP190" i="674"/>
  <c r="CQ190" i="674" s="1"/>
  <c r="CH190" i="674"/>
  <c r="CI190" i="674" s="1"/>
  <c r="BZ190" i="674"/>
  <c r="CA190" i="674" s="1"/>
  <c r="BR190" i="674"/>
  <c r="BS190" i="674" s="1"/>
  <c r="BJ190" i="674"/>
  <c r="BK190" i="674" s="1"/>
  <c r="BB190" i="674"/>
  <c r="BC190" i="674" s="1"/>
  <c r="AT190" i="674"/>
  <c r="AU190" i="674" s="1"/>
  <c r="AL190" i="674"/>
  <c r="AM190" i="674" s="1"/>
  <c r="AD190" i="674"/>
  <c r="AE190" i="674" s="1"/>
  <c r="V190" i="674"/>
  <c r="W190" i="674" s="1"/>
  <c r="N190" i="674"/>
  <c r="O190" i="674" s="1"/>
  <c r="CX189" i="674"/>
  <c r="CY189" i="674" s="1"/>
  <c r="CP189" i="674"/>
  <c r="CQ189" i="674" s="1"/>
  <c r="CH189" i="674"/>
  <c r="CI189" i="674" s="1"/>
  <c r="BZ189" i="674"/>
  <c r="CA189" i="674" s="1"/>
  <c r="BR189" i="674"/>
  <c r="BS189" i="674" s="1"/>
  <c r="BJ189" i="674"/>
  <c r="BK189" i="674" s="1"/>
  <c r="BB189" i="674"/>
  <c r="BC189" i="674" s="1"/>
  <c r="AT189" i="674"/>
  <c r="AU189" i="674" s="1"/>
  <c r="AL189" i="674"/>
  <c r="AM189" i="674" s="1"/>
  <c r="AD189" i="674"/>
  <c r="AE189" i="674" s="1"/>
  <c r="V189" i="674"/>
  <c r="W189" i="674" s="1"/>
  <c r="N189" i="674"/>
  <c r="O189" i="674" s="1"/>
  <c r="CX188" i="674"/>
  <c r="CY188" i="674" s="1"/>
  <c r="CP188" i="674"/>
  <c r="CQ188" i="674" s="1"/>
  <c r="CH188" i="674"/>
  <c r="CI188" i="674" s="1"/>
  <c r="BZ188" i="674"/>
  <c r="CA188" i="674" s="1"/>
  <c r="BR188" i="674"/>
  <c r="BS188" i="674" s="1"/>
  <c r="BJ188" i="674"/>
  <c r="BK188" i="674" s="1"/>
  <c r="BB188" i="674"/>
  <c r="BC188" i="674" s="1"/>
  <c r="AT188" i="674"/>
  <c r="AU188" i="674" s="1"/>
  <c r="AL188" i="674"/>
  <c r="AM188" i="674" s="1"/>
  <c r="AD188" i="674"/>
  <c r="AE188" i="674" s="1"/>
  <c r="V188" i="674"/>
  <c r="W188" i="674" s="1"/>
  <c r="N188" i="674"/>
  <c r="O188" i="674" s="1"/>
  <c r="CX187" i="674"/>
  <c r="CY187" i="674" s="1"/>
  <c r="CP187" i="674"/>
  <c r="CQ187" i="674" s="1"/>
  <c r="CH187" i="674"/>
  <c r="CI187" i="674" s="1"/>
  <c r="BZ187" i="674"/>
  <c r="CA187" i="674" s="1"/>
  <c r="BR187" i="674"/>
  <c r="BS187" i="674" s="1"/>
  <c r="BJ187" i="674"/>
  <c r="BK187" i="674" s="1"/>
  <c r="BB187" i="674"/>
  <c r="BC187" i="674" s="1"/>
  <c r="AT187" i="674"/>
  <c r="AU187" i="674" s="1"/>
  <c r="AL187" i="674"/>
  <c r="AM187" i="674" s="1"/>
  <c r="AD187" i="674"/>
  <c r="AE187" i="674" s="1"/>
  <c r="V187" i="674"/>
  <c r="W187" i="674" s="1"/>
  <c r="N187" i="674"/>
  <c r="O187" i="674" s="1"/>
  <c r="CX186" i="674"/>
  <c r="CY186" i="674" s="1"/>
  <c r="CP186" i="674"/>
  <c r="CQ186" i="674" s="1"/>
  <c r="CH186" i="674"/>
  <c r="CI186" i="674" s="1"/>
  <c r="BZ186" i="674"/>
  <c r="CA186" i="674" s="1"/>
  <c r="BR186" i="674"/>
  <c r="BS186" i="674" s="1"/>
  <c r="BJ186" i="674"/>
  <c r="BK186" i="674" s="1"/>
  <c r="BB186" i="674"/>
  <c r="BC186" i="674" s="1"/>
  <c r="AT186" i="674"/>
  <c r="AU186" i="674" s="1"/>
  <c r="AL186" i="674"/>
  <c r="AM186" i="674" s="1"/>
  <c r="AD186" i="674"/>
  <c r="AE186" i="674" s="1"/>
  <c r="V186" i="674"/>
  <c r="W186" i="674" s="1"/>
  <c r="N186" i="674"/>
  <c r="O186" i="674" s="1"/>
  <c r="CX185" i="674"/>
  <c r="CY185" i="674" s="1"/>
  <c r="CP185" i="674"/>
  <c r="CQ185" i="674" s="1"/>
  <c r="CH185" i="674"/>
  <c r="CI185" i="674" s="1"/>
  <c r="BZ185" i="674"/>
  <c r="CA185" i="674" s="1"/>
  <c r="BR185" i="674"/>
  <c r="BS185" i="674" s="1"/>
  <c r="BJ185" i="674"/>
  <c r="BK185" i="674" s="1"/>
  <c r="BB185" i="674"/>
  <c r="BC185" i="674" s="1"/>
  <c r="AT185" i="674"/>
  <c r="AU185" i="674" s="1"/>
  <c r="AL185" i="674"/>
  <c r="AM185" i="674" s="1"/>
  <c r="AD185" i="674"/>
  <c r="AE185" i="674" s="1"/>
  <c r="V185" i="674"/>
  <c r="W185" i="674" s="1"/>
  <c r="N185" i="674"/>
  <c r="O185" i="674" s="1"/>
  <c r="CX184" i="674"/>
  <c r="CY184" i="674" s="1"/>
  <c r="CP184" i="674"/>
  <c r="CQ184" i="674" s="1"/>
  <c r="CH184" i="674"/>
  <c r="CI184" i="674" s="1"/>
  <c r="BZ184" i="674"/>
  <c r="CA184" i="674" s="1"/>
  <c r="BR184" i="674"/>
  <c r="BS184" i="674" s="1"/>
  <c r="BJ184" i="674"/>
  <c r="BK184" i="674" s="1"/>
  <c r="BB184" i="674"/>
  <c r="BC184" i="674" s="1"/>
  <c r="AT184" i="674"/>
  <c r="AU184" i="674" s="1"/>
  <c r="AL184" i="674"/>
  <c r="AM184" i="674" s="1"/>
  <c r="AD184" i="674"/>
  <c r="AE184" i="674" s="1"/>
  <c r="V184" i="674"/>
  <c r="W184" i="674" s="1"/>
  <c r="N184" i="674"/>
  <c r="O184" i="674" s="1"/>
  <c r="CX183" i="674"/>
  <c r="CY183" i="674" s="1"/>
  <c r="CP183" i="674"/>
  <c r="CQ183" i="674" s="1"/>
  <c r="CH183" i="674"/>
  <c r="CI183" i="674" s="1"/>
  <c r="BZ183" i="674"/>
  <c r="CA183" i="674" s="1"/>
  <c r="BR183" i="674"/>
  <c r="BS183" i="674" s="1"/>
  <c r="BJ183" i="674"/>
  <c r="BK183" i="674" s="1"/>
  <c r="BB183" i="674"/>
  <c r="BC183" i="674" s="1"/>
  <c r="AT183" i="674"/>
  <c r="AU183" i="674" s="1"/>
  <c r="AL183" i="674"/>
  <c r="AM183" i="674" s="1"/>
  <c r="AD183" i="674"/>
  <c r="AE183" i="674" s="1"/>
  <c r="V183" i="674"/>
  <c r="W183" i="674" s="1"/>
  <c r="N183" i="674"/>
  <c r="O183" i="674" s="1"/>
  <c r="CX182" i="674"/>
  <c r="CY182" i="674" s="1"/>
  <c r="CP182" i="674"/>
  <c r="CQ182" i="674" s="1"/>
  <c r="CH182" i="674"/>
  <c r="CI182" i="674" s="1"/>
  <c r="BZ182" i="674"/>
  <c r="CA182" i="674" s="1"/>
  <c r="BR182" i="674"/>
  <c r="BS182" i="674" s="1"/>
  <c r="BJ182" i="674"/>
  <c r="BK182" i="674" s="1"/>
  <c r="BB182" i="674"/>
  <c r="BC182" i="674" s="1"/>
  <c r="AT182" i="674"/>
  <c r="AU182" i="674" s="1"/>
  <c r="AL182" i="674"/>
  <c r="AM182" i="674" s="1"/>
  <c r="AD182" i="674"/>
  <c r="AE182" i="674" s="1"/>
  <c r="V182" i="674"/>
  <c r="W182" i="674" s="1"/>
  <c r="N182" i="674"/>
  <c r="O182" i="674" s="1"/>
  <c r="CX181" i="674"/>
  <c r="CY181" i="674" s="1"/>
  <c r="CP181" i="674"/>
  <c r="CQ181" i="674" s="1"/>
  <c r="CH181" i="674"/>
  <c r="CI181" i="674" s="1"/>
  <c r="BZ181" i="674"/>
  <c r="CA181" i="674" s="1"/>
  <c r="BR181" i="674"/>
  <c r="BS181" i="674" s="1"/>
  <c r="BJ181" i="674"/>
  <c r="BK181" i="674" s="1"/>
  <c r="BB181" i="674"/>
  <c r="BC181" i="674" s="1"/>
  <c r="AT181" i="674"/>
  <c r="AU181" i="674" s="1"/>
  <c r="AL181" i="674"/>
  <c r="AM181" i="674" s="1"/>
  <c r="AD181" i="674"/>
  <c r="AE181" i="674" s="1"/>
  <c r="V181" i="674"/>
  <c r="W181" i="674" s="1"/>
  <c r="N181" i="674"/>
  <c r="O181" i="674" s="1"/>
  <c r="CX180" i="674"/>
  <c r="CY180" i="674" s="1"/>
  <c r="CP180" i="674"/>
  <c r="CQ180" i="674" s="1"/>
  <c r="CH180" i="674"/>
  <c r="CI180" i="674" s="1"/>
  <c r="BZ180" i="674"/>
  <c r="CA180" i="674" s="1"/>
  <c r="BR180" i="674"/>
  <c r="BS180" i="674" s="1"/>
  <c r="BJ180" i="674"/>
  <c r="BK180" i="674" s="1"/>
  <c r="BB180" i="674"/>
  <c r="BC180" i="674" s="1"/>
  <c r="AT180" i="674"/>
  <c r="AU180" i="674" s="1"/>
  <c r="AL180" i="674"/>
  <c r="AM180" i="674" s="1"/>
  <c r="AD180" i="674"/>
  <c r="AE180" i="674" s="1"/>
  <c r="V180" i="674"/>
  <c r="W180" i="674" s="1"/>
  <c r="N180" i="674"/>
  <c r="O180" i="674" s="1"/>
  <c r="CX179" i="674"/>
  <c r="CY179" i="674" s="1"/>
  <c r="CP179" i="674"/>
  <c r="CQ179" i="674" s="1"/>
  <c r="CH179" i="674"/>
  <c r="CI179" i="674" s="1"/>
  <c r="BZ179" i="674"/>
  <c r="CA179" i="674" s="1"/>
  <c r="BR179" i="674"/>
  <c r="BS179" i="674" s="1"/>
  <c r="BJ179" i="674"/>
  <c r="BK179" i="674" s="1"/>
  <c r="BB179" i="674"/>
  <c r="BC179" i="674" s="1"/>
  <c r="AT179" i="674"/>
  <c r="AU179" i="674" s="1"/>
  <c r="AL179" i="674"/>
  <c r="AM179" i="674" s="1"/>
  <c r="AD179" i="674"/>
  <c r="AE179" i="674" s="1"/>
  <c r="V179" i="674"/>
  <c r="W179" i="674" s="1"/>
  <c r="N179" i="674"/>
  <c r="O179" i="674" s="1"/>
  <c r="CX178" i="674"/>
  <c r="CY178" i="674" s="1"/>
  <c r="CP178" i="674"/>
  <c r="CQ178" i="674" s="1"/>
  <c r="CH178" i="674"/>
  <c r="CI178" i="674" s="1"/>
  <c r="BZ178" i="674"/>
  <c r="CA178" i="674" s="1"/>
  <c r="BR178" i="674"/>
  <c r="BS178" i="674" s="1"/>
  <c r="BJ178" i="674"/>
  <c r="BK178" i="674" s="1"/>
  <c r="BB178" i="674"/>
  <c r="BC178" i="674" s="1"/>
  <c r="AT178" i="674"/>
  <c r="AU178" i="674" s="1"/>
  <c r="AD178" i="674"/>
  <c r="AE178" i="674" s="1"/>
  <c r="V178" i="674"/>
  <c r="W178" i="674" s="1"/>
  <c r="N178" i="674"/>
  <c r="O178" i="674" s="1"/>
  <c r="CX177" i="674"/>
  <c r="CY177" i="674" s="1"/>
  <c r="CP177" i="674"/>
  <c r="CQ177" i="674" s="1"/>
  <c r="CH177" i="674"/>
  <c r="CI177" i="674" s="1"/>
  <c r="BZ177" i="674"/>
  <c r="CA177" i="674" s="1"/>
  <c r="BR177" i="674"/>
  <c r="BS177" i="674" s="1"/>
  <c r="BJ177" i="674"/>
  <c r="BK177" i="674" s="1"/>
  <c r="BB177" i="674"/>
  <c r="BC177" i="674" s="1"/>
  <c r="AT177" i="674"/>
  <c r="AU177" i="674" s="1"/>
  <c r="AD177" i="674"/>
  <c r="AE177" i="674" s="1"/>
  <c r="V177" i="674"/>
  <c r="W177" i="674" s="1"/>
  <c r="N177" i="674"/>
  <c r="O177" i="674" s="1"/>
  <c r="CX176" i="674"/>
  <c r="CY176" i="674" s="1"/>
  <c r="CP176" i="674"/>
  <c r="CQ176" i="674" s="1"/>
  <c r="CH176" i="674"/>
  <c r="CI176" i="674" s="1"/>
  <c r="BZ176" i="674"/>
  <c r="CA176" i="674" s="1"/>
  <c r="BR176" i="674"/>
  <c r="BS176" i="674" s="1"/>
  <c r="BJ176" i="674"/>
  <c r="BK176" i="674" s="1"/>
  <c r="BB176" i="674"/>
  <c r="BC176" i="674" s="1"/>
  <c r="AT176" i="674"/>
  <c r="AU176" i="674" s="1"/>
  <c r="AL176" i="674"/>
  <c r="AM176" i="674" s="1"/>
  <c r="AD176" i="674"/>
  <c r="AE176" i="674" s="1"/>
  <c r="V176" i="674"/>
  <c r="W176" i="674" s="1"/>
  <c r="N176" i="674"/>
  <c r="O176" i="674" s="1"/>
  <c r="CX175" i="674"/>
  <c r="CY175" i="674" s="1"/>
  <c r="CP175" i="674"/>
  <c r="CQ175" i="674" s="1"/>
  <c r="CH175" i="674"/>
  <c r="CI175" i="674" s="1"/>
  <c r="BZ175" i="674"/>
  <c r="CA175" i="674" s="1"/>
  <c r="BR175" i="674"/>
  <c r="BS175" i="674" s="1"/>
  <c r="BJ175" i="674"/>
  <c r="BK175" i="674" s="1"/>
  <c r="BB175" i="674"/>
  <c r="BC175" i="674" s="1"/>
  <c r="AT175" i="674"/>
  <c r="AU175" i="674" s="1"/>
  <c r="AL175" i="674"/>
  <c r="AM175" i="674" s="1"/>
  <c r="AD175" i="674"/>
  <c r="AE175" i="674" s="1"/>
  <c r="V175" i="674"/>
  <c r="W175" i="674" s="1"/>
  <c r="N175" i="674"/>
  <c r="O175" i="674" s="1"/>
  <c r="CX174" i="674"/>
  <c r="CY174" i="674" s="1"/>
  <c r="CP174" i="674"/>
  <c r="CQ174" i="674" s="1"/>
  <c r="CH174" i="674"/>
  <c r="CI174" i="674" s="1"/>
  <c r="BZ174" i="674"/>
  <c r="CA174" i="674" s="1"/>
  <c r="BR174" i="674"/>
  <c r="BS174" i="674" s="1"/>
  <c r="BJ174" i="674"/>
  <c r="BK174" i="674" s="1"/>
  <c r="BB174" i="674"/>
  <c r="BC174" i="674" s="1"/>
  <c r="AT174" i="674"/>
  <c r="AU174" i="674" s="1"/>
  <c r="AL174" i="674"/>
  <c r="AM174" i="674" s="1"/>
  <c r="AD174" i="674"/>
  <c r="AE174" i="674" s="1"/>
  <c r="V174" i="674"/>
  <c r="W174" i="674" s="1"/>
  <c r="N174" i="674"/>
  <c r="O174" i="674" s="1"/>
  <c r="CX173" i="674"/>
  <c r="CY173" i="674" s="1"/>
  <c r="CP173" i="674"/>
  <c r="CQ173" i="674" s="1"/>
  <c r="CH173" i="674"/>
  <c r="CI173" i="674" s="1"/>
  <c r="BZ173" i="674"/>
  <c r="CA173" i="674" s="1"/>
  <c r="BR173" i="674"/>
  <c r="BS173" i="674" s="1"/>
  <c r="BJ173" i="674"/>
  <c r="BK173" i="674" s="1"/>
  <c r="BB173" i="674"/>
  <c r="BC173" i="674" s="1"/>
  <c r="AT173" i="674"/>
  <c r="AU173" i="674" s="1"/>
  <c r="AL173" i="674"/>
  <c r="AM173" i="674" s="1"/>
  <c r="AD173" i="674"/>
  <c r="AE173" i="674" s="1"/>
  <c r="V173" i="674"/>
  <c r="W173" i="674" s="1"/>
  <c r="N173" i="674"/>
  <c r="O173" i="674" s="1"/>
  <c r="CX172" i="674"/>
  <c r="CY172" i="674" s="1"/>
  <c r="CP172" i="674"/>
  <c r="CQ172" i="674" s="1"/>
  <c r="CH172" i="674"/>
  <c r="CI172" i="674" s="1"/>
  <c r="BZ172" i="674"/>
  <c r="CA172" i="674" s="1"/>
  <c r="BR172" i="674"/>
  <c r="BS172" i="674" s="1"/>
  <c r="BJ172" i="674"/>
  <c r="BK172" i="674" s="1"/>
  <c r="BB172" i="674"/>
  <c r="BC172" i="674" s="1"/>
  <c r="AT172" i="674"/>
  <c r="AU172" i="674" s="1"/>
  <c r="AL172" i="674"/>
  <c r="AM172" i="674" s="1"/>
  <c r="AD172" i="674"/>
  <c r="AE172" i="674" s="1"/>
  <c r="V172" i="674"/>
  <c r="W172" i="674" s="1"/>
  <c r="N172" i="674"/>
  <c r="O172" i="674" s="1"/>
  <c r="CX171" i="674"/>
  <c r="CY171" i="674" s="1"/>
  <c r="CP171" i="674"/>
  <c r="CQ171" i="674" s="1"/>
  <c r="CH171" i="674"/>
  <c r="CI171" i="674" s="1"/>
  <c r="BZ171" i="674"/>
  <c r="CA171" i="674" s="1"/>
  <c r="BR171" i="674"/>
  <c r="BS171" i="674" s="1"/>
  <c r="BJ171" i="674"/>
  <c r="BK171" i="674" s="1"/>
  <c r="BB171" i="674"/>
  <c r="BC171" i="674" s="1"/>
  <c r="AT171" i="674"/>
  <c r="AU171" i="674" s="1"/>
  <c r="AL171" i="674"/>
  <c r="AM171" i="674" s="1"/>
  <c r="AD171" i="674"/>
  <c r="AE171" i="674" s="1"/>
  <c r="V171" i="674"/>
  <c r="W171" i="674" s="1"/>
  <c r="N171" i="674"/>
  <c r="O171" i="674" s="1"/>
  <c r="CX170" i="674"/>
  <c r="CY170" i="674" s="1"/>
  <c r="CP170" i="674"/>
  <c r="CQ170" i="674" s="1"/>
  <c r="CH170" i="674"/>
  <c r="CI170" i="674" s="1"/>
  <c r="BZ170" i="674"/>
  <c r="CA170" i="674" s="1"/>
  <c r="BR170" i="674"/>
  <c r="BS170" i="674" s="1"/>
  <c r="BJ170" i="674"/>
  <c r="BK170" i="674" s="1"/>
  <c r="BB170" i="674"/>
  <c r="BC170" i="674" s="1"/>
  <c r="AT170" i="674"/>
  <c r="AU170" i="674" s="1"/>
  <c r="AL170" i="674"/>
  <c r="AM170" i="674" s="1"/>
  <c r="AD170" i="674"/>
  <c r="AE170" i="674" s="1"/>
  <c r="V170" i="674"/>
  <c r="W170" i="674" s="1"/>
  <c r="N170" i="674"/>
  <c r="O170" i="674" s="1"/>
  <c r="CX169" i="674"/>
  <c r="CY169" i="674" s="1"/>
  <c r="CP169" i="674"/>
  <c r="CQ169" i="674" s="1"/>
  <c r="CH169" i="674"/>
  <c r="CI169" i="674" s="1"/>
  <c r="BZ169" i="674"/>
  <c r="CA169" i="674" s="1"/>
  <c r="BR169" i="674"/>
  <c r="BS169" i="674" s="1"/>
  <c r="BJ169" i="674"/>
  <c r="BK169" i="674" s="1"/>
  <c r="BB169" i="674"/>
  <c r="BC169" i="674" s="1"/>
  <c r="AT169" i="674"/>
  <c r="AU169" i="674" s="1"/>
  <c r="AL169" i="674"/>
  <c r="AM169" i="674" s="1"/>
  <c r="AD169" i="674"/>
  <c r="AE169" i="674" s="1"/>
  <c r="V169" i="674"/>
  <c r="W169" i="674" s="1"/>
  <c r="N169" i="674"/>
  <c r="O169" i="674" s="1"/>
  <c r="CX168" i="674"/>
  <c r="CY168" i="674" s="1"/>
  <c r="CP168" i="674"/>
  <c r="CQ168" i="674" s="1"/>
  <c r="CH168" i="674"/>
  <c r="CI168" i="674" s="1"/>
  <c r="BZ168" i="674"/>
  <c r="CA168" i="674" s="1"/>
  <c r="BR168" i="674"/>
  <c r="BS168" i="674" s="1"/>
  <c r="BJ168" i="674"/>
  <c r="BK168" i="674" s="1"/>
  <c r="BB168" i="674"/>
  <c r="BC168" i="674" s="1"/>
  <c r="AT168" i="674"/>
  <c r="AU168" i="674" s="1"/>
  <c r="AL168" i="674"/>
  <c r="AM168" i="674" s="1"/>
  <c r="AD168" i="674"/>
  <c r="AE168" i="674" s="1"/>
  <c r="V168" i="674"/>
  <c r="W168" i="674" s="1"/>
  <c r="N168" i="674"/>
  <c r="O168" i="674" s="1"/>
  <c r="CX167" i="674"/>
  <c r="CY167" i="674" s="1"/>
  <c r="CP167" i="674"/>
  <c r="CQ167" i="674" s="1"/>
  <c r="CH167" i="674"/>
  <c r="CI167" i="674" s="1"/>
  <c r="BZ167" i="674"/>
  <c r="CA167" i="674" s="1"/>
  <c r="BR167" i="674"/>
  <c r="BS167" i="674" s="1"/>
  <c r="BJ167" i="674"/>
  <c r="BK167" i="674" s="1"/>
  <c r="BB167" i="674"/>
  <c r="BC167" i="674" s="1"/>
  <c r="AT167" i="674"/>
  <c r="AU167" i="674" s="1"/>
  <c r="AL167" i="674"/>
  <c r="AM167" i="674" s="1"/>
  <c r="AD167" i="674"/>
  <c r="AE167" i="674" s="1"/>
  <c r="V167" i="674"/>
  <c r="W167" i="674" s="1"/>
  <c r="N167" i="674"/>
  <c r="O167" i="674" s="1"/>
  <c r="CX166" i="674"/>
  <c r="CY166" i="674" s="1"/>
  <c r="CP166" i="674"/>
  <c r="CQ166" i="674" s="1"/>
  <c r="CH166" i="674"/>
  <c r="CI166" i="674" s="1"/>
  <c r="BZ166" i="674"/>
  <c r="CA166" i="674" s="1"/>
  <c r="BR166" i="674"/>
  <c r="BS166" i="674" s="1"/>
  <c r="BJ166" i="674"/>
  <c r="BK166" i="674" s="1"/>
  <c r="BB166" i="674"/>
  <c r="BC166" i="674" s="1"/>
  <c r="AT166" i="674"/>
  <c r="AU166" i="674" s="1"/>
  <c r="AL166" i="674"/>
  <c r="AM166" i="674" s="1"/>
  <c r="AD166" i="674"/>
  <c r="AE166" i="674" s="1"/>
  <c r="V166" i="674"/>
  <c r="W166" i="674" s="1"/>
  <c r="N166" i="674"/>
  <c r="O166" i="674" s="1"/>
  <c r="CX165" i="674"/>
  <c r="CY165" i="674" s="1"/>
  <c r="CP165" i="674"/>
  <c r="CQ165" i="674" s="1"/>
  <c r="CH165" i="674"/>
  <c r="CI165" i="674" s="1"/>
  <c r="BZ165" i="674"/>
  <c r="CA165" i="674" s="1"/>
  <c r="BR165" i="674"/>
  <c r="BS165" i="674" s="1"/>
  <c r="BJ165" i="674"/>
  <c r="BK165" i="674" s="1"/>
  <c r="BB165" i="674"/>
  <c r="BC165" i="674" s="1"/>
  <c r="AT165" i="674"/>
  <c r="AU165" i="674" s="1"/>
  <c r="AL165" i="674"/>
  <c r="AM165" i="674" s="1"/>
  <c r="AD165" i="674"/>
  <c r="AE165" i="674" s="1"/>
  <c r="V165" i="674"/>
  <c r="W165" i="674" s="1"/>
  <c r="N165" i="674"/>
  <c r="O165" i="674" s="1"/>
  <c r="CX164" i="674"/>
  <c r="CY164" i="674" s="1"/>
  <c r="CP164" i="674"/>
  <c r="CQ164" i="674" s="1"/>
  <c r="CH164" i="674"/>
  <c r="CI164" i="674" s="1"/>
  <c r="BZ164" i="674"/>
  <c r="CA164" i="674" s="1"/>
  <c r="BR164" i="674"/>
  <c r="BS164" i="674" s="1"/>
  <c r="BJ164" i="674"/>
  <c r="BK164" i="674" s="1"/>
  <c r="BB164" i="674"/>
  <c r="BC164" i="674" s="1"/>
  <c r="AT164" i="674"/>
  <c r="AU164" i="674" s="1"/>
  <c r="AL164" i="674"/>
  <c r="AM164" i="674" s="1"/>
  <c r="AD164" i="674"/>
  <c r="AE164" i="674" s="1"/>
  <c r="V164" i="674"/>
  <c r="W164" i="674" s="1"/>
  <c r="N164" i="674"/>
  <c r="O164" i="674" s="1"/>
  <c r="CX163" i="674"/>
  <c r="CY163" i="674" s="1"/>
  <c r="CP163" i="674"/>
  <c r="CQ163" i="674" s="1"/>
  <c r="CH163" i="674"/>
  <c r="CI163" i="674" s="1"/>
  <c r="BZ163" i="674"/>
  <c r="CA163" i="674" s="1"/>
  <c r="BR163" i="674"/>
  <c r="BS163" i="674" s="1"/>
  <c r="BJ163" i="674"/>
  <c r="BK163" i="674" s="1"/>
  <c r="BB163" i="674"/>
  <c r="BC163" i="674" s="1"/>
  <c r="AT163" i="674"/>
  <c r="AU163" i="674" s="1"/>
  <c r="AL163" i="674"/>
  <c r="AM163" i="674" s="1"/>
  <c r="AD163" i="674"/>
  <c r="AE163" i="674" s="1"/>
  <c r="V163" i="674"/>
  <c r="W163" i="674" s="1"/>
  <c r="N163" i="674"/>
  <c r="O163" i="674" s="1"/>
  <c r="CX162" i="674"/>
  <c r="CY162" i="674" s="1"/>
  <c r="CP162" i="674"/>
  <c r="CQ162" i="674" s="1"/>
  <c r="CH162" i="674"/>
  <c r="CI162" i="674" s="1"/>
  <c r="BZ162" i="674"/>
  <c r="CA162" i="674" s="1"/>
  <c r="BR162" i="674"/>
  <c r="BS162" i="674" s="1"/>
  <c r="BJ162" i="674"/>
  <c r="BK162" i="674" s="1"/>
  <c r="BB162" i="674"/>
  <c r="BC162" i="674" s="1"/>
  <c r="AT162" i="674"/>
  <c r="AU162" i="674" s="1"/>
  <c r="AL162" i="674"/>
  <c r="AM162" i="674" s="1"/>
  <c r="AD162" i="674"/>
  <c r="AE162" i="674" s="1"/>
  <c r="V162" i="674"/>
  <c r="W162" i="674" s="1"/>
  <c r="N162" i="674"/>
  <c r="O162" i="674" s="1"/>
  <c r="CX161" i="674"/>
  <c r="CY161" i="674" s="1"/>
  <c r="CP161" i="674"/>
  <c r="CQ161" i="674" s="1"/>
  <c r="CH161" i="674"/>
  <c r="CI161" i="674" s="1"/>
  <c r="BZ161" i="674"/>
  <c r="CA161" i="674" s="1"/>
  <c r="BR161" i="674"/>
  <c r="BS161" i="674" s="1"/>
  <c r="BJ161" i="674"/>
  <c r="BK161" i="674" s="1"/>
  <c r="BB161" i="674"/>
  <c r="BC161" i="674" s="1"/>
  <c r="AT161" i="674"/>
  <c r="AU161" i="674" s="1"/>
  <c r="AL161" i="674"/>
  <c r="AM161" i="674" s="1"/>
  <c r="AD161" i="674"/>
  <c r="AE161" i="674" s="1"/>
  <c r="V161" i="674"/>
  <c r="W161" i="674" s="1"/>
  <c r="N161" i="674"/>
  <c r="O161" i="674" s="1"/>
  <c r="CX160" i="674"/>
  <c r="CY160" i="674" s="1"/>
  <c r="CP160" i="674"/>
  <c r="CQ160" i="674" s="1"/>
  <c r="CH160" i="674"/>
  <c r="CI160" i="674" s="1"/>
  <c r="BZ160" i="674"/>
  <c r="CA160" i="674" s="1"/>
  <c r="BR160" i="674"/>
  <c r="BS160" i="674" s="1"/>
  <c r="BJ160" i="674"/>
  <c r="BK160" i="674" s="1"/>
  <c r="BB160" i="674"/>
  <c r="BC160" i="674" s="1"/>
  <c r="AT160" i="674"/>
  <c r="AU160" i="674" s="1"/>
  <c r="AL160" i="674"/>
  <c r="AM160" i="674" s="1"/>
  <c r="AD160" i="674"/>
  <c r="AE160" i="674" s="1"/>
  <c r="V160" i="674"/>
  <c r="W160" i="674" s="1"/>
  <c r="N160" i="674"/>
  <c r="O160" i="674" s="1"/>
  <c r="CX159" i="674"/>
  <c r="CY159" i="674" s="1"/>
  <c r="CP159" i="674"/>
  <c r="CQ159" i="674" s="1"/>
  <c r="CH159" i="674"/>
  <c r="CI159" i="674" s="1"/>
  <c r="BZ159" i="674"/>
  <c r="CA159" i="674" s="1"/>
  <c r="BR159" i="674"/>
  <c r="BS159" i="674" s="1"/>
  <c r="BJ159" i="674"/>
  <c r="BK159" i="674" s="1"/>
  <c r="BB159" i="674"/>
  <c r="BC159" i="674" s="1"/>
  <c r="AT159" i="674"/>
  <c r="AU159" i="674" s="1"/>
  <c r="AL159" i="674"/>
  <c r="AM159" i="674" s="1"/>
  <c r="AD159" i="674"/>
  <c r="AE159" i="674" s="1"/>
  <c r="V159" i="674"/>
  <c r="W159" i="674" s="1"/>
  <c r="N159" i="674"/>
  <c r="O159" i="674" s="1"/>
  <c r="CX158" i="674"/>
  <c r="CY158" i="674" s="1"/>
  <c r="CP158" i="674"/>
  <c r="CQ158" i="674" s="1"/>
  <c r="CH158" i="674"/>
  <c r="CI158" i="674" s="1"/>
  <c r="BZ158" i="674"/>
  <c r="CA158" i="674" s="1"/>
  <c r="BR158" i="674"/>
  <c r="BS158" i="674" s="1"/>
  <c r="BJ158" i="674"/>
  <c r="BK158" i="674" s="1"/>
  <c r="BB158" i="674"/>
  <c r="BC158" i="674" s="1"/>
  <c r="AT158" i="674"/>
  <c r="AU158" i="674" s="1"/>
  <c r="AL158" i="674"/>
  <c r="AM158" i="674" s="1"/>
  <c r="AD158" i="674"/>
  <c r="AE158" i="674" s="1"/>
  <c r="V158" i="674"/>
  <c r="W158" i="674" s="1"/>
  <c r="N158" i="674"/>
  <c r="O158" i="674" s="1"/>
  <c r="CX157" i="674"/>
  <c r="CY157" i="674" s="1"/>
  <c r="CP157" i="674"/>
  <c r="CQ157" i="674" s="1"/>
  <c r="CH157" i="674"/>
  <c r="CI157" i="674" s="1"/>
  <c r="BZ157" i="674"/>
  <c r="CA157" i="674" s="1"/>
  <c r="BR157" i="674"/>
  <c r="BS157" i="674" s="1"/>
  <c r="BJ157" i="674"/>
  <c r="BK157" i="674" s="1"/>
  <c r="BB157" i="674"/>
  <c r="BC157" i="674" s="1"/>
  <c r="AT157" i="674"/>
  <c r="AU157" i="674" s="1"/>
  <c r="AL157" i="674"/>
  <c r="AM157" i="674" s="1"/>
  <c r="AD157" i="674"/>
  <c r="AE157" i="674" s="1"/>
  <c r="V157" i="674"/>
  <c r="W157" i="674" s="1"/>
  <c r="N157" i="674"/>
  <c r="O157" i="674" s="1"/>
  <c r="CX156" i="674"/>
  <c r="CY156" i="674" s="1"/>
  <c r="CP156" i="674"/>
  <c r="CQ156" i="674" s="1"/>
  <c r="CH156" i="674"/>
  <c r="CI156" i="674" s="1"/>
  <c r="BZ156" i="674"/>
  <c r="CA156" i="674" s="1"/>
  <c r="BR156" i="674"/>
  <c r="BS156" i="674" s="1"/>
  <c r="BJ156" i="674"/>
  <c r="BK156" i="674" s="1"/>
  <c r="BB156" i="674"/>
  <c r="BC156" i="674" s="1"/>
  <c r="AT156" i="674"/>
  <c r="AU156" i="674" s="1"/>
  <c r="AL156" i="674"/>
  <c r="AM156" i="674" s="1"/>
  <c r="AD156" i="674"/>
  <c r="AE156" i="674" s="1"/>
  <c r="V156" i="674"/>
  <c r="W156" i="674" s="1"/>
  <c r="N156" i="674"/>
  <c r="O156" i="674" s="1"/>
  <c r="CX155" i="674"/>
  <c r="CY155" i="674" s="1"/>
  <c r="CP155" i="674"/>
  <c r="CQ155" i="674" s="1"/>
  <c r="CH155" i="674"/>
  <c r="CI155" i="674" s="1"/>
  <c r="BZ155" i="674"/>
  <c r="CA155" i="674" s="1"/>
  <c r="BR155" i="674"/>
  <c r="BS155" i="674" s="1"/>
  <c r="BJ155" i="674"/>
  <c r="BK155" i="674" s="1"/>
  <c r="BB155" i="674"/>
  <c r="BC155" i="674" s="1"/>
  <c r="AT155" i="674"/>
  <c r="AU155" i="674" s="1"/>
  <c r="AL155" i="674"/>
  <c r="AM155" i="674" s="1"/>
  <c r="AD155" i="674"/>
  <c r="AE155" i="674" s="1"/>
  <c r="V155" i="674"/>
  <c r="W155" i="674" s="1"/>
  <c r="N155" i="674"/>
  <c r="O155" i="674" s="1"/>
  <c r="CX154" i="674"/>
  <c r="CY154" i="674" s="1"/>
  <c r="CP154" i="674"/>
  <c r="CQ154" i="674" s="1"/>
  <c r="CH154" i="674"/>
  <c r="CI154" i="674" s="1"/>
  <c r="BZ154" i="674"/>
  <c r="CA154" i="674" s="1"/>
  <c r="BR154" i="674"/>
  <c r="BS154" i="674" s="1"/>
  <c r="BJ154" i="674"/>
  <c r="BK154" i="674" s="1"/>
  <c r="BB154" i="674"/>
  <c r="BC154" i="674" s="1"/>
  <c r="AT154" i="674"/>
  <c r="AU154" i="674" s="1"/>
  <c r="AL154" i="674"/>
  <c r="AM154" i="674" s="1"/>
  <c r="AD154" i="674"/>
  <c r="AE154" i="674" s="1"/>
  <c r="V154" i="674"/>
  <c r="W154" i="674" s="1"/>
  <c r="N154" i="674"/>
  <c r="O154" i="674" s="1"/>
  <c r="CX153" i="674"/>
  <c r="CY153" i="674" s="1"/>
  <c r="CP153" i="674"/>
  <c r="CQ153" i="674" s="1"/>
  <c r="CH153" i="674"/>
  <c r="CI153" i="674" s="1"/>
  <c r="BZ153" i="674"/>
  <c r="CA153" i="674" s="1"/>
  <c r="BR153" i="674"/>
  <c r="BS153" i="674" s="1"/>
  <c r="BJ153" i="674"/>
  <c r="BK153" i="674" s="1"/>
  <c r="BB153" i="674"/>
  <c r="BC153" i="674" s="1"/>
  <c r="AT153" i="674"/>
  <c r="AU153" i="674" s="1"/>
  <c r="AL153" i="674"/>
  <c r="AM153" i="674" s="1"/>
  <c r="AD153" i="674"/>
  <c r="AE153" i="674" s="1"/>
  <c r="V153" i="674"/>
  <c r="W153" i="674" s="1"/>
  <c r="N153" i="674"/>
  <c r="O153" i="674" s="1"/>
  <c r="CX152" i="674"/>
  <c r="CY152" i="674" s="1"/>
  <c r="CP152" i="674"/>
  <c r="CQ152" i="674" s="1"/>
  <c r="CH152" i="674"/>
  <c r="CI152" i="674" s="1"/>
  <c r="BZ152" i="674"/>
  <c r="CA152" i="674" s="1"/>
  <c r="BR152" i="674"/>
  <c r="BS152" i="674" s="1"/>
  <c r="BJ152" i="674"/>
  <c r="BK152" i="674" s="1"/>
  <c r="BB152" i="674"/>
  <c r="BC152" i="674" s="1"/>
  <c r="AT152" i="674"/>
  <c r="AU152" i="674" s="1"/>
  <c r="AL152" i="674"/>
  <c r="AM152" i="674" s="1"/>
  <c r="AD152" i="674"/>
  <c r="AE152" i="674" s="1"/>
  <c r="V152" i="674"/>
  <c r="W152" i="674" s="1"/>
  <c r="N152" i="674"/>
  <c r="O152" i="674" s="1"/>
  <c r="CX151" i="674"/>
  <c r="CY151" i="674" s="1"/>
  <c r="CP151" i="674"/>
  <c r="CQ151" i="674" s="1"/>
  <c r="CH151" i="674"/>
  <c r="CI151" i="674" s="1"/>
  <c r="BZ151" i="674"/>
  <c r="CA151" i="674" s="1"/>
  <c r="BR151" i="674"/>
  <c r="BS151" i="674" s="1"/>
  <c r="BJ151" i="674"/>
  <c r="BK151" i="674" s="1"/>
  <c r="BB151" i="674"/>
  <c r="BC151" i="674" s="1"/>
  <c r="AT151" i="674"/>
  <c r="AU151" i="674" s="1"/>
  <c r="AL151" i="674"/>
  <c r="AM151" i="674" s="1"/>
  <c r="AD151" i="674"/>
  <c r="AE151" i="674" s="1"/>
  <c r="V151" i="674"/>
  <c r="W151" i="674" s="1"/>
  <c r="N151" i="674"/>
  <c r="O151" i="674" s="1"/>
  <c r="CX150" i="674"/>
  <c r="CY150" i="674" s="1"/>
  <c r="CP150" i="674"/>
  <c r="CQ150" i="674" s="1"/>
  <c r="CH150" i="674"/>
  <c r="CI150" i="674" s="1"/>
  <c r="BZ150" i="674"/>
  <c r="CA150" i="674" s="1"/>
  <c r="BR150" i="674"/>
  <c r="BS150" i="674" s="1"/>
  <c r="BJ150" i="674"/>
  <c r="BK150" i="674" s="1"/>
  <c r="BB150" i="674"/>
  <c r="BC150" i="674" s="1"/>
  <c r="AT150" i="674"/>
  <c r="AU150" i="674" s="1"/>
  <c r="AL150" i="674"/>
  <c r="AM150" i="674" s="1"/>
  <c r="AD150" i="674"/>
  <c r="AE150" i="674" s="1"/>
  <c r="V150" i="674"/>
  <c r="W150" i="674" s="1"/>
  <c r="N150" i="674"/>
  <c r="O150" i="674" s="1"/>
  <c r="CX149" i="674"/>
  <c r="CY149" i="674" s="1"/>
  <c r="CP149" i="674"/>
  <c r="CQ149" i="674" s="1"/>
  <c r="CH149" i="674"/>
  <c r="CI149" i="674" s="1"/>
  <c r="BZ149" i="674"/>
  <c r="CA149" i="674" s="1"/>
  <c r="BR149" i="674"/>
  <c r="BS149" i="674" s="1"/>
  <c r="BJ149" i="674"/>
  <c r="BK149" i="674" s="1"/>
  <c r="BB149" i="674"/>
  <c r="BC149" i="674" s="1"/>
  <c r="AT149" i="674"/>
  <c r="AU149" i="674" s="1"/>
  <c r="AL149" i="674"/>
  <c r="AM149" i="674" s="1"/>
  <c r="AD149" i="674"/>
  <c r="AE149" i="674" s="1"/>
  <c r="V149" i="674"/>
  <c r="W149" i="674" s="1"/>
  <c r="N149" i="674"/>
  <c r="O149" i="674" s="1"/>
  <c r="CX148" i="674"/>
  <c r="CY148" i="674" s="1"/>
  <c r="CP148" i="674"/>
  <c r="CQ148" i="674" s="1"/>
  <c r="CH148" i="674"/>
  <c r="CI148" i="674" s="1"/>
  <c r="BZ148" i="674"/>
  <c r="CA148" i="674" s="1"/>
  <c r="BR148" i="674"/>
  <c r="BS148" i="674" s="1"/>
  <c r="BJ148" i="674"/>
  <c r="BK148" i="674" s="1"/>
  <c r="BB148" i="674"/>
  <c r="BC148" i="674" s="1"/>
  <c r="AT148" i="674"/>
  <c r="AU148" i="674" s="1"/>
  <c r="AL148" i="674"/>
  <c r="AM148" i="674" s="1"/>
  <c r="AD148" i="674"/>
  <c r="AE148" i="674" s="1"/>
  <c r="V148" i="674"/>
  <c r="W148" i="674" s="1"/>
  <c r="N148" i="674"/>
  <c r="O148" i="674" s="1"/>
  <c r="CX147" i="674"/>
  <c r="CY147" i="674" s="1"/>
  <c r="CP147" i="674"/>
  <c r="CQ147" i="674" s="1"/>
  <c r="CH147" i="674"/>
  <c r="CI147" i="674" s="1"/>
  <c r="BZ147" i="674"/>
  <c r="CA147" i="674" s="1"/>
  <c r="BR147" i="674"/>
  <c r="BS147" i="674" s="1"/>
  <c r="BJ147" i="674"/>
  <c r="BK147" i="674" s="1"/>
  <c r="BB147" i="674"/>
  <c r="BC147" i="674" s="1"/>
  <c r="AT147" i="674"/>
  <c r="AU147" i="674" s="1"/>
  <c r="AD147" i="674"/>
  <c r="AE147" i="674" s="1"/>
  <c r="V147" i="674"/>
  <c r="W147" i="674" s="1"/>
  <c r="N147" i="674"/>
  <c r="O147" i="674" s="1"/>
  <c r="CX146" i="674"/>
  <c r="CY146" i="674" s="1"/>
  <c r="CP146" i="674"/>
  <c r="CQ146" i="674" s="1"/>
  <c r="CH146" i="674"/>
  <c r="CI146" i="674" s="1"/>
  <c r="BZ146" i="674"/>
  <c r="CA146" i="674" s="1"/>
  <c r="BR146" i="674"/>
  <c r="BS146" i="674" s="1"/>
  <c r="BJ146" i="674"/>
  <c r="BK146" i="674" s="1"/>
  <c r="BB146" i="674"/>
  <c r="BC146" i="674" s="1"/>
  <c r="AT146" i="674"/>
  <c r="AU146" i="674" s="1"/>
  <c r="AL146" i="674"/>
  <c r="AM146" i="674" s="1"/>
  <c r="AD146" i="674"/>
  <c r="AE146" i="674" s="1"/>
  <c r="V146" i="674"/>
  <c r="W146" i="674" s="1"/>
  <c r="N146" i="674"/>
  <c r="O146" i="674" s="1"/>
  <c r="CX145" i="674"/>
  <c r="CY145" i="674" s="1"/>
  <c r="CP145" i="674"/>
  <c r="CQ145" i="674" s="1"/>
  <c r="CH145" i="674"/>
  <c r="CI145" i="674" s="1"/>
  <c r="BZ145" i="674"/>
  <c r="CA145" i="674" s="1"/>
  <c r="BR145" i="674"/>
  <c r="BS145" i="674" s="1"/>
  <c r="BJ145" i="674"/>
  <c r="BK145" i="674" s="1"/>
  <c r="BB145" i="674"/>
  <c r="BC145" i="674" s="1"/>
  <c r="AT145" i="674"/>
  <c r="AU145" i="674" s="1"/>
  <c r="AL145" i="674"/>
  <c r="AM145" i="674" s="1"/>
  <c r="AD145" i="674"/>
  <c r="AE145" i="674" s="1"/>
  <c r="V145" i="674"/>
  <c r="W145" i="674" s="1"/>
  <c r="N145" i="674"/>
  <c r="O145" i="674" s="1"/>
  <c r="CX144" i="674"/>
  <c r="CY144" i="674" s="1"/>
  <c r="CP144" i="674"/>
  <c r="CQ144" i="674" s="1"/>
  <c r="CH144" i="674"/>
  <c r="CI144" i="674" s="1"/>
  <c r="BZ144" i="674"/>
  <c r="CA144" i="674" s="1"/>
  <c r="BR144" i="674"/>
  <c r="BS144" i="674" s="1"/>
  <c r="BJ144" i="674"/>
  <c r="BK144" i="674" s="1"/>
  <c r="BB144" i="674"/>
  <c r="BC144" i="674" s="1"/>
  <c r="AT144" i="674"/>
  <c r="AU144" i="674" s="1"/>
  <c r="AL144" i="674"/>
  <c r="AM144" i="674" s="1"/>
  <c r="AD144" i="674"/>
  <c r="AE144" i="674" s="1"/>
  <c r="V144" i="674"/>
  <c r="W144" i="674" s="1"/>
  <c r="N144" i="674"/>
  <c r="O144" i="674" s="1"/>
  <c r="CX143" i="674"/>
  <c r="CY143" i="674" s="1"/>
  <c r="CP143" i="674"/>
  <c r="CQ143" i="674" s="1"/>
  <c r="CH143" i="674"/>
  <c r="CI143" i="674" s="1"/>
  <c r="BZ143" i="674"/>
  <c r="CA143" i="674" s="1"/>
  <c r="BR143" i="674"/>
  <c r="BS143" i="674" s="1"/>
  <c r="BJ143" i="674"/>
  <c r="BK143" i="674" s="1"/>
  <c r="BB143" i="674"/>
  <c r="BC143" i="674" s="1"/>
  <c r="AT143" i="674"/>
  <c r="AU143" i="674" s="1"/>
  <c r="AL143" i="674"/>
  <c r="AM143" i="674" s="1"/>
  <c r="AD143" i="674"/>
  <c r="AE143" i="674" s="1"/>
  <c r="V143" i="674"/>
  <c r="W143" i="674" s="1"/>
  <c r="N143" i="674"/>
  <c r="O143" i="674" s="1"/>
  <c r="CX142" i="674"/>
  <c r="CY142" i="674" s="1"/>
  <c r="CP142" i="674"/>
  <c r="CQ142" i="674" s="1"/>
  <c r="CH142" i="674"/>
  <c r="CI142" i="674" s="1"/>
  <c r="BZ142" i="674"/>
  <c r="CA142" i="674" s="1"/>
  <c r="BR142" i="674"/>
  <c r="BS142" i="674" s="1"/>
  <c r="BJ142" i="674"/>
  <c r="BK142" i="674" s="1"/>
  <c r="BB142" i="674"/>
  <c r="BC142" i="674" s="1"/>
  <c r="AT142" i="674"/>
  <c r="AU142" i="674" s="1"/>
  <c r="AL142" i="674"/>
  <c r="AM142" i="674" s="1"/>
  <c r="AD142" i="674"/>
  <c r="AE142" i="674" s="1"/>
  <c r="V142" i="674"/>
  <c r="W142" i="674" s="1"/>
  <c r="N142" i="674"/>
  <c r="O142" i="674" s="1"/>
  <c r="CX141" i="674"/>
  <c r="CY141" i="674" s="1"/>
  <c r="CP141" i="674"/>
  <c r="CQ141" i="674" s="1"/>
  <c r="CH141" i="674"/>
  <c r="CI141" i="674" s="1"/>
  <c r="BZ141" i="674"/>
  <c r="CA141" i="674" s="1"/>
  <c r="BR141" i="674"/>
  <c r="BS141" i="674" s="1"/>
  <c r="BJ141" i="674"/>
  <c r="BK141" i="674" s="1"/>
  <c r="BB141" i="674"/>
  <c r="BC141" i="674" s="1"/>
  <c r="AT141" i="674"/>
  <c r="AU141" i="674" s="1"/>
  <c r="AL141" i="674"/>
  <c r="AM141" i="674" s="1"/>
  <c r="AD141" i="674"/>
  <c r="AE141" i="674" s="1"/>
  <c r="V141" i="674"/>
  <c r="W141" i="674" s="1"/>
  <c r="N141" i="674"/>
  <c r="O141" i="674" s="1"/>
  <c r="CX140" i="674"/>
  <c r="CY140" i="674" s="1"/>
  <c r="CP140" i="674"/>
  <c r="CQ140" i="674" s="1"/>
  <c r="CH140" i="674"/>
  <c r="CI140" i="674" s="1"/>
  <c r="BZ140" i="674"/>
  <c r="CA140" i="674" s="1"/>
  <c r="BR140" i="674"/>
  <c r="BS140" i="674" s="1"/>
  <c r="BJ140" i="674"/>
  <c r="BK140" i="674" s="1"/>
  <c r="BB140" i="674"/>
  <c r="BC140" i="674" s="1"/>
  <c r="AT140" i="674"/>
  <c r="AU140" i="674" s="1"/>
  <c r="AL140" i="674"/>
  <c r="AM140" i="674" s="1"/>
  <c r="AD140" i="674"/>
  <c r="AE140" i="674" s="1"/>
  <c r="V140" i="674"/>
  <c r="W140" i="674" s="1"/>
  <c r="N140" i="674"/>
  <c r="O140" i="674" s="1"/>
  <c r="CX139" i="674"/>
  <c r="CY139" i="674" s="1"/>
  <c r="CP139" i="674"/>
  <c r="CQ139" i="674" s="1"/>
  <c r="CH139" i="674"/>
  <c r="CI139" i="674" s="1"/>
  <c r="BZ139" i="674"/>
  <c r="CA139" i="674" s="1"/>
  <c r="BR139" i="674"/>
  <c r="BS139" i="674" s="1"/>
  <c r="BJ139" i="674"/>
  <c r="BK139" i="674" s="1"/>
  <c r="BB139" i="674"/>
  <c r="BC139" i="674" s="1"/>
  <c r="AT139" i="674"/>
  <c r="AU139" i="674" s="1"/>
  <c r="AL139" i="674"/>
  <c r="AM139" i="674" s="1"/>
  <c r="AD139" i="674"/>
  <c r="AE139" i="674" s="1"/>
  <c r="V139" i="674"/>
  <c r="W139" i="674" s="1"/>
  <c r="N139" i="674"/>
  <c r="O139" i="674" s="1"/>
  <c r="CX138" i="674"/>
  <c r="CY138" i="674" s="1"/>
  <c r="CP138" i="674"/>
  <c r="CQ138" i="674" s="1"/>
  <c r="CH138" i="674"/>
  <c r="CI138" i="674" s="1"/>
  <c r="BZ138" i="674"/>
  <c r="CA138" i="674" s="1"/>
  <c r="BR138" i="674"/>
  <c r="BS138" i="674" s="1"/>
  <c r="BJ138" i="674"/>
  <c r="BK138" i="674" s="1"/>
  <c r="BB138" i="674"/>
  <c r="BC138" i="674" s="1"/>
  <c r="AT138" i="674"/>
  <c r="AU138" i="674" s="1"/>
  <c r="AL138" i="674"/>
  <c r="AM138" i="674" s="1"/>
  <c r="AD138" i="674"/>
  <c r="AE138" i="674" s="1"/>
  <c r="V138" i="674"/>
  <c r="W138" i="674" s="1"/>
  <c r="N138" i="674"/>
  <c r="O138" i="674" s="1"/>
  <c r="CX137" i="674"/>
  <c r="CY137" i="674" s="1"/>
  <c r="CP137" i="674"/>
  <c r="CQ137" i="674" s="1"/>
  <c r="CH137" i="674"/>
  <c r="CI137" i="674" s="1"/>
  <c r="BZ137" i="674"/>
  <c r="CA137" i="674" s="1"/>
  <c r="BR137" i="674"/>
  <c r="BS137" i="674" s="1"/>
  <c r="BJ137" i="674"/>
  <c r="BK137" i="674" s="1"/>
  <c r="BB137" i="674"/>
  <c r="BC137" i="674" s="1"/>
  <c r="AT137" i="674"/>
  <c r="AU137" i="674" s="1"/>
  <c r="AL137" i="674"/>
  <c r="AM137" i="674" s="1"/>
  <c r="AD137" i="674"/>
  <c r="AE137" i="674" s="1"/>
  <c r="V137" i="674"/>
  <c r="W137" i="674" s="1"/>
  <c r="N137" i="674"/>
  <c r="O137" i="674" s="1"/>
  <c r="CX136" i="674"/>
  <c r="CY136" i="674" s="1"/>
  <c r="CP136" i="674"/>
  <c r="CQ136" i="674" s="1"/>
  <c r="CH136" i="674"/>
  <c r="CI136" i="674" s="1"/>
  <c r="BZ136" i="674"/>
  <c r="CA136" i="674" s="1"/>
  <c r="BR136" i="674"/>
  <c r="BS136" i="674" s="1"/>
  <c r="BJ136" i="674"/>
  <c r="BK136" i="674" s="1"/>
  <c r="BB136" i="674"/>
  <c r="BC136" i="674" s="1"/>
  <c r="AT136" i="674"/>
  <c r="AU136" i="674" s="1"/>
  <c r="AL136" i="674"/>
  <c r="AM136" i="674" s="1"/>
  <c r="AD136" i="674"/>
  <c r="AE136" i="674" s="1"/>
  <c r="V136" i="674"/>
  <c r="W136" i="674" s="1"/>
  <c r="N136" i="674"/>
  <c r="O136" i="674" s="1"/>
  <c r="CX135" i="674"/>
  <c r="CY135" i="674" s="1"/>
  <c r="CP135" i="674"/>
  <c r="CQ135" i="674" s="1"/>
  <c r="CH135" i="674"/>
  <c r="CI135" i="674" s="1"/>
  <c r="BZ135" i="674"/>
  <c r="CA135" i="674" s="1"/>
  <c r="BR135" i="674"/>
  <c r="BS135" i="674" s="1"/>
  <c r="BJ135" i="674"/>
  <c r="BK135" i="674" s="1"/>
  <c r="BB135" i="674"/>
  <c r="BC135" i="674" s="1"/>
  <c r="AT135" i="674"/>
  <c r="AU135" i="674" s="1"/>
  <c r="AL135" i="674"/>
  <c r="AM135" i="674" s="1"/>
  <c r="AD135" i="674"/>
  <c r="AE135" i="674" s="1"/>
  <c r="V135" i="674"/>
  <c r="W135" i="674" s="1"/>
  <c r="N135" i="674"/>
  <c r="O135" i="674" s="1"/>
  <c r="CX134" i="674"/>
  <c r="CY134" i="674" s="1"/>
  <c r="CP134" i="674"/>
  <c r="CQ134" i="674" s="1"/>
  <c r="CH134" i="674"/>
  <c r="CI134" i="674" s="1"/>
  <c r="BZ134" i="674"/>
  <c r="CA134" i="674" s="1"/>
  <c r="BR134" i="674"/>
  <c r="BS134" i="674" s="1"/>
  <c r="BJ134" i="674"/>
  <c r="BK134" i="674" s="1"/>
  <c r="BB134" i="674"/>
  <c r="BC134" i="674" s="1"/>
  <c r="AT134" i="674"/>
  <c r="AU134" i="674" s="1"/>
  <c r="AL134" i="674"/>
  <c r="AM134" i="674" s="1"/>
  <c r="AD134" i="674"/>
  <c r="AE134" i="674" s="1"/>
  <c r="V134" i="674"/>
  <c r="W134" i="674" s="1"/>
  <c r="N134" i="674"/>
  <c r="O134" i="674" s="1"/>
  <c r="CX133" i="674"/>
  <c r="CY133" i="674" s="1"/>
  <c r="CP133" i="674"/>
  <c r="CQ133" i="674" s="1"/>
  <c r="CH133" i="674"/>
  <c r="CI133" i="674" s="1"/>
  <c r="BZ133" i="674"/>
  <c r="CA133" i="674" s="1"/>
  <c r="BR133" i="674"/>
  <c r="BS133" i="674" s="1"/>
  <c r="BJ133" i="674"/>
  <c r="BK133" i="674" s="1"/>
  <c r="BB133" i="674"/>
  <c r="BC133" i="674" s="1"/>
  <c r="AT133" i="674"/>
  <c r="AU133" i="674" s="1"/>
  <c r="AL133" i="674"/>
  <c r="AM133" i="674" s="1"/>
  <c r="AD133" i="674"/>
  <c r="AE133" i="674" s="1"/>
  <c r="V133" i="674"/>
  <c r="W133" i="674" s="1"/>
  <c r="N133" i="674"/>
  <c r="O133" i="674" s="1"/>
  <c r="CX132" i="674"/>
  <c r="CY132" i="674" s="1"/>
  <c r="CP132" i="674"/>
  <c r="CQ132" i="674" s="1"/>
  <c r="CH132" i="674"/>
  <c r="CI132" i="674" s="1"/>
  <c r="BZ132" i="674"/>
  <c r="CA132" i="674" s="1"/>
  <c r="BR132" i="674"/>
  <c r="BS132" i="674" s="1"/>
  <c r="BJ132" i="674"/>
  <c r="BK132" i="674" s="1"/>
  <c r="BB132" i="674"/>
  <c r="BC132" i="674" s="1"/>
  <c r="AT132" i="674"/>
  <c r="AU132" i="674" s="1"/>
  <c r="AL132" i="674"/>
  <c r="AM132" i="674" s="1"/>
  <c r="AD132" i="674"/>
  <c r="AE132" i="674" s="1"/>
  <c r="V132" i="674"/>
  <c r="W132" i="674" s="1"/>
  <c r="N132" i="674"/>
  <c r="O132" i="674" s="1"/>
  <c r="CX131" i="674"/>
  <c r="CY131" i="674" s="1"/>
  <c r="CP131" i="674"/>
  <c r="CQ131" i="674" s="1"/>
  <c r="CH131" i="674"/>
  <c r="CI131" i="674" s="1"/>
  <c r="BZ131" i="674"/>
  <c r="CA131" i="674" s="1"/>
  <c r="BR131" i="674"/>
  <c r="BS131" i="674" s="1"/>
  <c r="BJ131" i="674"/>
  <c r="BK131" i="674" s="1"/>
  <c r="BB131" i="674"/>
  <c r="BC131" i="674" s="1"/>
  <c r="AT131" i="674"/>
  <c r="AU131" i="674" s="1"/>
  <c r="AL131" i="674"/>
  <c r="AM131" i="674" s="1"/>
  <c r="AD131" i="674"/>
  <c r="AE131" i="674" s="1"/>
  <c r="V131" i="674"/>
  <c r="W131" i="674" s="1"/>
  <c r="N131" i="674"/>
  <c r="O131" i="674" s="1"/>
  <c r="CX130" i="674"/>
  <c r="CY130" i="674" s="1"/>
  <c r="CP130" i="674"/>
  <c r="CQ130" i="674" s="1"/>
  <c r="CH130" i="674"/>
  <c r="CI130" i="674" s="1"/>
  <c r="BZ130" i="674"/>
  <c r="CA130" i="674" s="1"/>
  <c r="BR130" i="674"/>
  <c r="BS130" i="674" s="1"/>
  <c r="BJ130" i="674"/>
  <c r="BK130" i="674" s="1"/>
  <c r="BB130" i="674"/>
  <c r="BC130" i="674" s="1"/>
  <c r="AT130" i="674"/>
  <c r="AU130" i="674" s="1"/>
  <c r="AL130" i="674"/>
  <c r="AM130" i="674" s="1"/>
  <c r="AD130" i="674"/>
  <c r="AE130" i="674" s="1"/>
  <c r="V130" i="674"/>
  <c r="W130" i="674" s="1"/>
  <c r="N130" i="674"/>
  <c r="O130" i="674" s="1"/>
  <c r="CX129" i="674"/>
  <c r="CY129" i="674" s="1"/>
  <c r="CP129" i="674"/>
  <c r="CQ129" i="674" s="1"/>
  <c r="CH129" i="674"/>
  <c r="CI129" i="674" s="1"/>
  <c r="BZ129" i="674"/>
  <c r="CA129" i="674" s="1"/>
  <c r="BR129" i="674"/>
  <c r="BS129" i="674" s="1"/>
  <c r="BJ129" i="674"/>
  <c r="BK129" i="674" s="1"/>
  <c r="BB129" i="674"/>
  <c r="BC129" i="674" s="1"/>
  <c r="AT129" i="674"/>
  <c r="AU129" i="674" s="1"/>
  <c r="AL129" i="674"/>
  <c r="AM129" i="674" s="1"/>
  <c r="AD129" i="674"/>
  <c r="AE129" i="674" s="1"/>
  <c r="V129" i="674"/>
  <c r="W129" i="674" s="1"/>
  <c r="N129" i="674"/>
  <c r="O129" i="674" s="1"/>
  <c r="CX128" i="674"/>
  <c r="CY128" i="674" s="1"/>
  <c r="CP128" i="674"/>
  <c r="CQ128" i="674" s="1"/>
  <c r="CH128" i="674"/>
  <c r="CI128" i="674" s="1"/>
  <c r="BZ128" i="674"/>
  <c r="CA128" i="674" s="1"/>
  <c r="BR128" i="674"/>
  <c r="BS128" i="674" s="1"/>
  <c r="BJ128" i="674"/>
  <c r="BK128" i="674" s="1"/>
  <c r="BB128" i="674"/>
  <c r="BC128" i="674" s="1"/>
  <c r="AT128" i="674"/>
  <c r="AU128" i="674" s="1"/>
  <c r="AD128" i="674"/>
  <c r="AE128" i="674" s="1"/>
  <c r="V128" i="674"/>
  <c r="W128" i="674" s="1"/>
  <c r="N128" i="674"/>
  <c r="O128" i="674" s="1"/>
  <c r="CX127" i="674"/>
  <c r="CY127" i="674" s="1"/>
  <c r="CP127" i="674"/>
  <c r="CQ127" i="674" s="1"/>
  <c r="CH127" i="674"/>
  <c r="CI127" i="674" s="1"/>
  <c r="BZ127" i="674"/>
  <c r="CA127" i="674" s="1"/>
  <c r="BR127" i="674"/>
  <c r="BS127" i="674" s="1"/>
  <c r="BJ127" i="674"/>
  <c r="BK127" i="674" s="1"/>
  <c r="BB127" i="674"/>
  <c r="BC127" i="674" s="1"/>
  <c r="AT127" i="674"/>
  <c r="AU127" i="674" s="1"/>
  <c r="AL127" i="674"/>
  <c r="AM127" i="674" s="1"/>
  <c r="AD127" i="674"/>
  <c r="AE127" i="674" s="1"/>
  <c r="V127" i="674"/>
  <c r="W127" i="674" s="1"/>
  <c r="N127" i="674"/>
  <c r="O127" i="674" s="1"/>
  <c r="CX126" i="674"/>
  <c r="CY126" i="674" s="1"/>
  <c r="CP126" i="674"/>
  <c r="CQ126" i="674" s="1"/>
  <c r="CH126" i="674"/>
  <c r="CI126" i="674" s="1"/>
  <c r="BZ126" i="674"/>
  <c r="CA126" i="674" s="1"/>
  <c r="BR126" i="674"/>
  <c r="BS126" i="674" s="1"/>
  <c r="BJ126" i="674"/>
  <c r="BK126" i="674" s="1"/>
  <c r="BB126" i="674"/>
  <c r="BC126" i="674" s="1"/>
  <c r="AT126" i="674"/>
  <c r="AU126" i="674" s="1"/>
  <c r="AL126" i="674"/>
  <c r="AM126" i="674" s="1"/>
  <c r="AD126" i="674"/>
  <c r="AE126" i="674" s="1"/>
  <c r="V126" i="674"/>
  <c r="W126" i="674" s="1"/>
  <c r="N126" i="674"/>
  <c r="O126" i="674" s="1"/>
  <c r="CX125" i="674"/>
  <c r="CY125" i="674" s="1"/>
  <c r="CP125" i="674"/>
  <c r="CQ125" i="674" s="1"/>
  <c r="CH125" i="674"/>
  <c r="CI125" i="674" s="1"/>
  <c r="BZ125" i="674"/>
  <c r="CA125" i="674" s="1"/>
  <c r="BR125" i="674"/>
  <c r="BS125" i="674" s="1"/>
  <c r="BJ125" i="674"/>
  <c r="BK125" i="674" s="1"/>
  <c r="BB125" i="674"/>
  <c r="BC125" i="674" s="1"/>
  <c r="AT125" i="674"/>
  <c r="AU125" i="674" s="1"/>
  <c r="AL125" i="674"/>
  <c r="AM125" i="674" s="1"/>
  <c r="AD125" i="674"/>
  <c r="AE125" i="674" s="1"/>
  <c r="V125" i="674"/>
  <c r="W125" i="674" s="1"/>
  <c r="N125" i="674"/>
  <c r="O125" i="674" s="1"/>
  <c r="CX124" i="674"/>
  <c r="CY124" i="674" s="1"/>
  <c r="CP124" i="674"/>
  <c r="CQ124" i="674" s="1"/>
  <c r="CH124" i="674"/>
  <c r="CI124" i="674" s="1"/>
  <c r="BZ124" i="674"/>
  <c r="CA124" i="674" s="1"/>
  <c r="BR124" i="674"/>
  <c r="BS124" i="674" s="1"/>
  <c r="BJ124" i="674"/>
  <c r="BK124" i="674" s="1"/>
  <c r="BB124" i="674"/>
  <c r="BC124" i="674" s="1"/>
  <c r="AT124" i="674"/>
  <c r="AU124" i="674" s="1"/>
  <c r="AL124" i="674"/>
  <c r="AM124" i="674" s="1"/>
  <c r="AD124" i="674"/>
  <c r="AE124" i="674" s="1"/>
  <c r="V124" i="674"/>
  <c r="W124" i="674" s="1"/>
  <c r="N124" i="674"/>
  <c r="O124" i="674" s="1"/>
  <c r="CX123" i="674"/>
  <c r="CY123" i="674" s="1"/>
  <c r="CP123" i="674"/>
  <c r="CQ123" i="674" s="1"/>
  <c r="CH123" i="674"/>
  <c r="CI123" i="674" s="1"/>
  <c r="BZ123" i="674"/>
  <c r="CA123" i="674" s="1"/>
  <c r="BR123" i="674"/>
  <c r="BS123" i="674" s="1"/>
  <c r="BJ123" i="674"/>
  <c r="BK123" i="674" s="1"/>
  <c r="BB123" i="674"/>
  <c r="BC123" i="674" s="1"/>
  <c r="AT123" i="674"/>
  <c r="AU123" i="674" s="1"/>
  <c r="AL123" i="674"/>
  <c r="AM123" i="674" s="1"/>
  <c r="AD123" i="674"/>
  <c r="AE123" i="674" s="1"/>
  <c r="V123" i="674"/>
  <c r="W123" i="674" s="1"/>
  <c r="N123" i="674"/>
  <c r="O123" i="674" s="1"/>
  <c r="CX122" i="674"/>
  <c r="CY122" i="674" s="1"/>
  <c r="CP122" i="674"/>
  <c r="CQ122" i="674" s="1"/>
  <c r="CH122" i="674"/>
  <c r="CI122" i="674" s="1"/>
  <c r="BZ122" i="674"/>
  <c r="CA122" i="674" s="1"/>
  <c r="BR122" i="674"/>
  <c r="BS122" i="674" s="1"/>
  <c r="BJ122" i="674"/>
  <c r="BK122" i="674" s="1"/>
  <c r="BB122" i="674"/>
  <c r="BC122" i="674" s="1"/>
  <c r="AT122" i="674"/>
  <c r="AU122" i="674" s="1"/>
  <c r="AL122" i="674"/>
  <c r="AM122" i="674" s="1"/>
  <c r="AD122" i="674"/>
  <c r="AE122" i="674" s="1"/>
  <c r="V122" i="674"/>
  <c r="W122" i="674" s="1"/>
  <c r="N122" i="674"/>
  <c r="O122" i="674" s="1"/>
  <c r="CX121" i="674"/>
  <c r="CY121" i="674" s="1"/>
  <c r="CP121" i="674"/>
  <c r="CQ121" i="674" s="1"/>
  <c r="CH121" i="674"/>
  <c r="CI121" i="674" s="1"/>
  <c r="BZ121" i="674"/>
  <c r="CA121" i="674" s="1"/>
  <c r="BR121" i="674"/>
  <c r="BS121" i="674" s="1"/>
  <c r="BJ121" i="674"/>
  <c r="BK121" i="674" s="1"/>
  <c r="BB121" i="674"/>
  <c r="BC121" i="674" s="1"/>
  <c r="AT121" i="674"/>
  <c r="AU121" i="674" s="1"/>
  <c r="AL121" i="674"/>
  <c r="AM121" i="674" s="1"/>
  <c r="AD121" i="674"/>
  <c r="AE121" i="674" s="1"/>
  <c r="V121" i="674"/>
  <c r="W121" i="674" s="1"/>
  <c r="N121" i="674"/>
  <c r="O121" i="674" s="1"/>
  <c r="CX120" i="674"/>
  <c r="CY120" i="674" s="1"/>
  <c r="CP120" i="674"/>
  <c r="CQ120" i="674" s="1"/>
  <c r="CH120" i="674"/>
  <c r="CI120" i="674" s="1"/>
  <c r="BZ120" i="674"/>
  <c r="CA120" i="674" s="1"/>
  <c r="BR120" i="674"/>
  <c r="BS120" i="674" s="1"/>
  <c r="BJ120" i="674"/>
  <c r="BK120" i="674" s="1"/>
  <c r="BB120" i="674"/>
  <c r="BC120" i="674" s="1"/>
  <c r="AT120" i="674"/>
  <c r="AU120" i="674" s="1"/>
  <c r="AL120" i="674"/>
  <c r="AM120" i="674" s="1"/>
  <c r="AD120" i="674"/>
  <c r="AE120" i="674" s="1"/>
  <c r="V120" i="674"/>
  <c r="W120" i="674" s="1"/>
  <c r="N120" i="674"/>
  <c r="O120" i="674" s="1"/>
  <c r="CX119" i="674"/>
  <c r="CY119" i="674" s="1"/>
  <c r="CP119" i="674"/>
  <c r="CQ119" i="674" s="1"/>
  <c r="CH119" i="674"/>
  <c r="CI119" i="674" s="1"/>
  <c r="BZ119" i="674"/>
  <c r="CA119" i="674" s="1"/>
  <c r="BR119" i="674"/>
  <c r="BS119" i="674" s="1"/>
  <c r="BJ119" i="674"/>
  <c r="BK119" i="674" s="1"/>
  <c r="BB119" i="674"/>
  <c r="BC119" i="674" s="1"/>
  <c r="AT119" i="674"/>
  <c r="AU119" i="674" s="1"/>
  <c r="AL119" i="674"/>
  <c r="AM119" i="674" s="1"/>
  <c r="AD119" i="674"/>
  <c r="AE119" i="674" s="1"/>
  <c r="V119" i="674"/>
  <c r="W119" i="674" s="1"/>
  <c r="N119" i="674"/>
  <c r="O119" i="674" s="1"/>
  <c r="CX118" i="674"/>
  <c r="CY118" i="674" s="1"/>
  <c r="CP118" i="674"/>
  <c r="CQ118" i="674" s="1"/>
  <c r="CH118" i="674"/>
  <c r="CI118" i="674" s="1"/>
  <c r="BZ118" i="674"/>
  <c r="CA118" i="674" s="1"/>
  <c r="BR118" i="674"/>
  <c r="BS118" i="674" s="1"/>
  <c r="BJ118" i="674"/>
  <c r="BK118" i="674" s="1"/>
  <c r="BB118" i="674"/>
  <c r="BC118" i="674" s="1"/>
  <c r="AT118" i="674"/>
  <c r="AU118" i="674" s="1"/>
  <c r="AL118" i="674"/>
  <c r="AM118" i="674" s="1"/>
  <c r="AD118" i="674"/>
  <c r="AE118" i="674" s="1"/>
  <c r="V118" i="674"/>
  <c r="W118" i="674" s="1"/>
  <c r="N118" i="674"/>
  <c r="O118" i="674" s="1"/>
  <c r="CX117" i="674"/>
  <c r="CY117" i="674" s="1"/>
  <c r="CP117" i="674"/>
  <c r="CQ117" i="674" s="1"/>
  <c r="CH117" i="674"/>
  <c r="CI117" i="674" s="1"/>
  <c r="BZ117" i="674"/>
  <c r="CA117" i="674" s="1"/>
  <c r="BR117" i="674"/>
  <c r="BS117" i="674" s="1"/>
  <c r="BJ117" i="674"/>
  <c r="BK117" i="674" s="1"/>
  <c r="BB117" i="674"/>
  <c r="BC117" i="674" s="1"/>
  <c r="AT117" i="674"/>
  <c r="AU117" i="674" s="1"/>
  <c r="AL117" i="674"/>
  <c r="AM117" i="674" s="1"/>
  <c r="AD117" i="674"/>
  <c r="AE117" i="674" s="1"/>
  <c r="V117" i="674"/>
  <c r="W117" i="674" s="1"/>
  <c r="N117" i="674"/>
  <c r="O117" i="674" s="1"/>
  <c r="CX116" i="674"/>
  <c r="CY116" i="674" s="1"/>
  <c r="CP116" i="674"/>
  <c r="CQ116" i="674" s="1"/>
  <c r="CH116" i="674"/>
  <c r="CI116" i="674" s="1"/>
  <c r="BZ116" i="674"/>
  <c r="CA116" i="674" s="1"/>
  <c r="BR116" i="674"/>
  <c r="BS116" i="674" s="1"/>
  <c r="BJ116" i="674"/>
  <c r="BK116" i="674" s="1"/>
  <c r="BB116" i="674"/>
  <c r="BC116" i="674" s="1"/>
  <c r="AT116" i="674"/>
  <c r="AU116" i="674" s="1"/>
  <c r="AD116" i="674"/>
  <c r="AE116" i="674" s="1"/>
  <c r="V116" i="674"/>
  <c r="W116" i="674" s="1"/>
  <c r="N116" i="674"/>
  <c r="O116" i="674" s="1"/>
  <c r="CX115" i="674"/>
  <c r="CY115" i="674" s="1"/>
  <c r="CP115" i="674"/>
  <c r="CQ115" i="674" s="1"/>
  <c r="CH115" i="674"/>
  <c r="CI115" i="674" s="1"/>
  <c r="BZ115" i="674"/>
  <c r="CA115" i="674" s="1"/>
  <c r="BR115" i="674"/>
  <c r="BS115" i="674" s="1"/>
  <c r="BJ115" i="674"/>
  <c r="BK115" i="674" s="1"/>
  <c r="BB115" i="674"/>
  <c r="BC115" i="674" s="1"/>
  <c r="AT115" i="674"/>
  <c r="AU115" i="674" s="1"/>
  <c r="AL115" i="674"/>
  <c r="AM115" i="674" s="1"/>
  <c r="AD115" i="674"/>
  <c r="AE115" i="674" s="1"/>
  <c r="V115" i="674"/>
  <c r="W115" i="674" s="1"/>
  <c r="N115" i="674"/>
  <c r="O115" i="674" s="1"/>
  <c r="CX114" i="674"/>
  <c r="CY114" i="674" s="1"/>
  <c r="CP114" i="674"/>
  <c r="CQ114" i="674" s="1"/>
  <c r="CH114" i="674"/>
  <c r="CI114" i="674" s="1"/>
  <c r="BZ114" i="674"/>
  <c r="CA114" i="674" s="1"/>
  <c r="BR114" i="674"/>
  <c r="BS114" i="674" s="1"/>
  <c r="BJ114" i="674"/>
  <c r="BK114" i="674" s="1"/>
  <c r="BB114" i="674"/>
  <c r="BC114" i="674" s="1"/>
  <c r="AT114" i="674"/>
  <c r="AU114" i="674" s="1"/>
  <c r="AL114" i="674"/>
  <c r="AM114" i="674" s="1"/>
  <c r="AD114" i="674"/>
  <c r="AE114" i="674" s="1"/>
  <c r="V114" i="674"/>
  <c r="W114" i="674" s="1"/>
  <c r="N114" i="674"/>
  <c r="O114" i="674" s="1"/>
  <c r="CX113" i="674"/>
  <c r="CY113" i="674" s="1"/>
  <c r="CP113" i="674"/>
  <c r="CQ113" i="674" s="1"/>
  <c r="CH113" i="674"/>
  <c r="CI113" i="674" s="1"/>
  <c r="BZ113" i="674"/>
  <c r="CA113" i="674" s="1"/>
  <c r="BR113" i="674"/>
  <c r="BS113" i="674" s="1"/>
  <c r="BJ113" i="674"/>
  <c r="BK113" i="674" s="1"/>
  <c r="BB113" i="674"/>
  <c r="BC113" i="674" s="1"/>
  <c r="AT113" i="674"/>
  <c r="AU113" i="674" s="1"/>
  <c r="AL113" i="674"/>
  <c r="AM113" i="674" s="1"/>
  <c r="AD113" i="674"/>
  <c r="AE113" i="674" s="1"/>
  <c r="V113" i="674"/>
  <c r="W113" i="674" s="1"/>
  <c r="N113" i="674"/>
  <c r="O113" i="674" s="1"/>
  <c r="CX112" i="674"/>
  <c r="CY112" i="674" s="1"/>
  <c r="CP112" i="674"/>
  <c r="CQ112" i="674" s="1"/>
  <c r="CH112" i="674"/>
  <c r="CI112" i="674" s="1"/>
  <c r="BZ112" i="674"/>
  <c r="CA112" i="674" s="1"/>
  <c r="BR112" i="674"/>
  <c r="BS112" i="674" s="1"/>
  <c r="BJ112" i="674"/>
  <c r="BK112" i="674" s="1"/>
  <c r="BB112" i="674"/>
  <c r="BC112" i="674" s="1"/>
  <c r="AT112" i="674"/>
  <c r="AU112" i="674" s="1"/>
  <c r="AL112" i="674"/>
  <c r="AM112" i="674" s="1"/>
  <c r="AD112" i="674"/>
  <c r="AE112" i="674" s="1"/>
  <c r="V112" i="674"/>
  <c r="W112" i="674" s="1"/>
  <c r="N112" i="674"/>
  <c r="O112" i="674" s="1"/>
  <c r="CX111" i="674"/>
  <c r="CY111" i="674" s="1"/>
  <c r="CP111" i="674"/>
  <c r="CQ111" i="674" s="1"/>
  <c r="CH111" i="674"/>
  <c r="CI111" i="674" s="1"/>
  <c r="BZ111" i="674"/>
  <c r="CA111" i="674" s="1"/>
  <c r="BR111" i="674"/>
  <c r="BS111" i="674" s="1"/>
  <c r="BJ111" i="674"/>
  <c r="BK111" i="674" s="1"/>
  <c r="BB111" i="674"/>
  <c r="BC111" i="674" s="1"/>
  <c r="AT111" i="674"/>
  <c r="AU111" i="674" s="1"/>
  <c r="AL111" i="674"/>
  <c r="AM111" i="674" s="1"/>
  <c r="AD111" i="674"/>
  <c r="AE111" i="674" s="1"/>
  <c r="V111" i="674"/>
  <c r="W111" i="674" s="1"/>
  <c r="N111" i="674"/>
  <c r="O111" i="674" s="1"/>
  <c r="CX110" i="674"/>
  <c r="CY110" i="674" s="1"/>
  <c r="CP110" i="674"/>
  <c r="CQ110" i="674" s="1"/>
  <c r="CH110" i="674"/>
  <c r="CI110" i="674" s="1"/>
  <c r="BZ110" i="674"/>
  <c r="CA110" i="674" s="1"/>
  <c r="BR110" i="674"/>
  <c r="BS110" i="674" s="1"/>
  <c r="BJ110" i="674"/>
  <c r="BK110" i="674" s="1"/>
  <c r="BB110" i="674"/>
  <c r="BC110" i="674" s="1"/>
  <c r="AT110" i="674"/>
  <c r="AU110" i="674" s="1"/>
  <c r="AL110" i="674"/>
  <c r="AM110" i="674" s="1"/>
  <c r="AD110" i="674"/>
  <c r="AE110" i="674" s="1"/>
  <c r="V110" i="674"/>
  <c r="W110" i="674" s="1"/>
  <c r="N110" i="674"/>
  <c r="O110" i="674" s="1"/>
  <c r="CX109" i="674"/>
  <c r="CY109" i="674" s="1"/>
  <c r="CP109" i="674"/>
  <c r="CQ109" i="674" s="1"/>
  <c r="CH109" i="674"/>
  <c r="CI109" i="674" s="1"/>
  <c r="BZ109" i="674"/>
  <c r="CA109" i="674" s="1"/>
  <c r="BR109" i="674"/>
  <c r="BS109" i="674" s="1"/>
  <c r="BJ109" i="674"/>
  <c r="BK109" i="674" s="1"/>
  <c r="BB109" i="674"/>
  <c r="BC109" i="674" s="1"/>
  <c r="AT109" i="674"/>
  <c r="AU109" i="674" s="1"/>
  <c r="AL109" i="674"/>
  <c r="AM109" i="674" s="1"/>
  <c r="AD109" i="674"/>
  <c r="AE109" i="674" s="1"/>
  <c r="V109" i="674"/>
  <c r="W109" i="674" s="1"/>
  <c r="N109" i="674"/>
  <c r="O109" i="674" s="1"/>
  <c r="CX108" i="674"/>
  <c r="CY108" i="674" s="1"/>
  <c r="CP108" i="674"/>
  <c r="CQ108" i="674" s="1"/>
  <c r="CH108" i="674"/>
  <c r="CI108" i="674" s="1"/>
  <c r="BZ108" i="674"/>
  <c r="CA108" i="674" s="1"/>
  <c r="BR108" i="674"/>
  <c r="BS108" i="674" s="1"/>
  <c r="BJ108" i="674"/>
  <c r="BK108" i="674" s="1"/>
  <c r="BB108" i="674"/>
  <c r="BC108" i="674" s="1"/>
  <c r="AT108" i="674"/>
  <c r="AU108" i="674" s="1"/>
  <c r="AL108" i="674"/>
  <c r="AM108" i="674" s="1"/>
  <c r="AD108" i="674"/>
  <c r="AE108" i="674" s="1"/>
  <c r="V108" i="674"/>
  <c r="W108" i="674" s="1"/>
  <c r="N108" i="674"/>
  <c r="O108" i="674" s="1"/>
  <c r="CX107" i="674"/>
  <c r="CY107" i="674" s="1"/>
  <c r="CP107" i="674"/>
  <c r="CQ107" i="674" s="1"/>
  <c r="CH107" i="674"/>
  <c r="CI107" i="674" s="1"/>
  <c r="BZ107" i="674"/>
  <c r="CA107" i="674" s="1"/>
  <c r="BR107" i="674"/>
  <c r="BS107" i="674" s="1"/>
  <c r="BJ107" i="674"/>
  <c r="BK107" i="674" s="1"/>
  <c r="BB107" i="674"/>
  <c r="BC107" i="674" s="1"/>
  <c r="AT107" i="674"/>
  <c r="AU107" i="674" s="1"/>
  <c r="AL107" i="674"/>
  <c r="AM107" i="674" s="1"/>
  <c r="AD107" i="674"/>
  <c r="AE107" i="674" s="1"/>
  <c r="V107" i="674"/>
  <c r="W107" i="674" s="1"/>
  <c r="N107" i="674"/>
  <c r="O107" i="674" s="1"/>
  <c r="CX106" i="674"/>
  <c r="CY106" i="674" s="1"/>
  <c r="CP106" i="674"/>
  <c r="CQ106" i="674" s="1"/>
  <c r="CH106" i="674"/>
  <c r="CI106" i="674" s="1"/>
  <c r="BZ106" i="674"/>
  <c r="CA106" i="674" s="1"/>
  <c r="BR106" i="674"/>
  <c r="BS106" i="674" s="1"/>
  <c r="BJ106" i="674"/>
  <c r="BK106" i="674" s="1"/>
  <c r="BB106" i="674"/>
  <c r="BC106" i="674" s="1"/>
  <c r="AT106" i="674"/>
  <c r="AU106" i="674" s="1"/>
  <c r="AL106" i="674"/>
  <c r="AM106" i="674" s="1"/>
  <c r="AD106" i="674"/>
  <c r="AE106" i="674" s="1"/>
  <c r="V106" i="674"/>
  <c r="W106" i="674" s="1"/>
  <c r="N106" i="674"/>
  <c r="O106" i="674" s="1"/>
  <c r="CX105" i="674"/>
  <c r="CY105" i="674" s="1"/>
  <c r="CP105" i="674"/>
  <c r="CQ105" i="674" s="1"/>
  <c r="CH105" i="674"/>
  <c r="CI105" i="674" s="1"/>
  <c r="BZ105" i="674"/>
  <c r="CA105" i="674" s="1"/>
  <c r="BR105" i="674"/>
  <c r="BS105" i="674" s="1"/>
  <c r="BJ105" i="674"/>
  <c r="BK105" i="674" s="1"/>
  <c r="BB105" i="674"/>
  <c r="BC105" i="674" s="1"/>
  <c r="AT105" i="674"/>
  <c r="AU105" i="674" s="1"/>
  <c r="AL105" i="674"/>
  <c r="AM105" i="674" s="1"/>
  <c r="AD105" i="674"/>
  <c r="AE105" i="674" s="1"/>
  <c r="V105" i="674"/>
  <c r="W105" i="674" s="1"/>
  <c r="N105" i="674"/>
  <c r="O105" i="674" s="1"/>
  <c r="CX104" i="674"/>
  <c r="CY104" i="674" s="1"/>
  <c r="CP104" i="674"/>
  <c r="CQ104" i="674" s="1"/>
  <c r="CH104" i="674"/>
  <c r="CI104" i="674" s="1"/>
  <c r="BZ104" i="674"/>
  <c r="CA104" i="674" s="1"/>
  <c r="BR104" i="674"/>
  <c r="BS104" i="674" s="1"/>
  <c r="BJ104" i="674"/>
  <c r="BK104" i="674" s="1"/>
  <c r="BB104" i="674"/>
  <c r="BC104" i="674" s="1"/>
  <c r="AT104" i="674"/>
  <c r="AU104" i="674" s="1"/>
  <c r="AL104" i="674"/>
  <c r="AM104" i="674" s="1"/>
  <c r="AD104" i="674"/>
  <c r="AE104" i="674" s="1"/>
  <c r="V104" i="674"/>
  <c r="W104" i="674" s="1"/>
  <c r="N104" i="674"/>
  <c r="O104" i="674" s="1"/>
  <c r="CX103" i="674"/>
  <c r="CY103" i="674" s="1"/>
  <c r="CP103" i="674"/>
  <c r="CQ103" i="674" s="1"/>
  <c r="CH103" i="674"/>
  <c r="CI103" i="674" s="1"/>
  <c r="BZ103" i="674"/>
  <c r="CA103" i="674" s="1"/>
  <c r="BR103" i="674"/>
  <c r="BS103" i="674" s="1"/>
  <c r="BJ103" i="674"/>
  <c r="BK103" i="674" s="1"/>
  <c r="BB103" i="674"/>
  <c r="BC103" i="674" s="1"/>
  <c r="AT103" i="674"/>
  <c r="AU103" i="674" s="1"/>
  <c r="AL103" i="674"/>
  <c r="AM103" i="674" s="1"/>
  <c r="AD103" i="674"/>
  <c r="AE103" i="674" s="1"/>
  <c r="V103" i="674"/>
  <c r="W103" i="674" s="1"/>
  <c r="N103" i="674"/>
  <c r="O103" i="674" s="1"/>
  <c r="CX102" i="674"/>
  <c r="CY102" i="674" s="1"/>
  <c r="CP102" i="674"/>
  <c r="CQ102" i="674" s="1"/>
  <c r="CH102" i="674"/>
  <c r="CI102" i="674" s="1"/>
  <c r="BZ102" i="674"/>
  <c r="CA102" i="674" s="1"/>
  <c r="BR102" i="674"/>
  <c r="BS102" i="674" s="1"/>
  <c r="BJ102" i="674"/>
  <c r="BK102" i="674" s="1"/>
  <c r="BB102" i="674"/>
  <c r="BC102" i="674" s="1"/>
  <c r="AT102" i="674"/>
  <c r="AU102" i="674" s="1"/>
  <c r="AL102" i="674"/>
  <c r="AM102" i="674" s="1"/>
  <c r="AD102" i="674"/>
  <c r="AE102" i="674" s="1"/>
  <c r="V102" i="674"/>
  <c r="W102" i="674" s="1"/>
  <c r="N102" i="674"/>
  <c r="O102" i="674" s="1"/>
  <c r="CX101" i="674"/>
  <c r="CY101" i="674" s="1"/>
  <c r="CP101" i="674"/>
  <c r="CQ101" i="674" s="1"/>
  <c r="CH101" i="674"/>
  <c r="CI101" i="674" s="1"/>
  <c r="BZ101" i="674"/>
  <c r="CA101" i="674" s="1"/>
  <c r="BR101" i="674"/>
  <c r="BS101" i="674" s="1"/>
  <c r="BJ101" i="674"/>
  <c r="BK101" i="674" s="1"/>
  <c r="BB101" i="674"/>
  <c r="BC101" i="674" s="1"/>
  <c r="AT101" i="674"/>
  <c r="AU101" i="674" s="1"/>
  <c r="AL101" i="674"/>
  <c r="AM101" i="674" s="1"/>
  <c r="AD101" i="674"/>
  <c r="AE101" i="674" s="1"/>
  <c r="V101" i="674"/>
  <c r="W101" i="674" s="1"/>
  <c r="N101" i="674"/>
  <c r="O101" i="674" s="1"/>
  <c r="CX100" i="674"/>
  <c r="CY100" i="674" s="1"/>
  <c r="CP100" i="674"/>
  <c r="CQ100" i="674" s="1"/>
  <c r="CH100" i="674"/>
  <c r="CI100" i="674" s="1"/>
  <c r="BZ100" i="674"/>
  <c r="CA100" i="674" s="1"/>
  <c r="BR100" i="674"/>
  <c r="BS100" i="674" s="1"/>
  <c r="BJ100" i="674"/>
  <c r="BK100" i="674" s="1"/>
  <c r="BB100" i="674"/>
  <c r="BC100" i="674" s="1"/>
  <c r="AT100" i="674"/>
  <c r="AU100" i="674" s="1"/>
  <c r="AL100" i="674"/>
  <c r="AM100" i="674" s="1"/>
  <c r="AD100" i="674"/>
  <c r="AE100" i="674" s="1"/>
  <c r="V100" i="674"/>
  <c r="W100" i="674" s="1"/>
  <c r="N100" i="674"/>
  <c r="O100" i="674" s="1"/>
  <c r="CX99" i="674"/>
  <c r="CY99" i="674" s="1"/>
  <c r="CP99" i="674"/>
  <c r="CQ99" i="674" s="1"/>
  <c r="CH99" i="674"/>
  <c r="CI99" i="674" s="1"/>
  <c r="BZ99" i="674"/>
  <c r="CA99" i="674" s="1"/>
  <c r="BR99" i="674"/>
  <c r="BS99" i="674" s="1"/>
  <c r="BJ99" i="674"/>
  <c r="BK99" i="674" s="1"/>
  <c r="BB99" i="674"/>
  <c r="BC99" i="674" s="1"/>
  <c r="AT99" i="674"/>
  <c r="AU99" i="674" s="1"/>
  <c r="AL99" i="674"/>
  <c r="AM99" i="674" s="1"/>
  <c r="AD99" i="674"/>
  <c r="AE99" i="674" s="1"/>
  <c r="V99" i="674"/>
  <c r="W99" i="674" s="1"/>
  <c r="N99" i="674"/>
  <c r="O99" i="674" s="1"/>
  <c r="CX98" i="674"/>
  <c r="CY98" i="674" s="1"/>
  <c r="CP98" i="674"/>
  <c r="CQ98" i="674" s="1"/>
  <c r="CH98" i="674"/>
  <c r="CI98" i="674" s="1"/>
  <c r="BZ98" i="674"/>
  <c r="CA98" i="674" s="1"/>
  <c r="BR98" i="674"/>
  <c r="BS98" i="674" s="1"/>
  <c r="BJ98" i="674"/>
  <c r="BK98" i="674" s="1"/>
  <c r="BB98" i="674"/>
  <c r="BC98" i="674" s="1"/>
  <c r="AT98" i="674"/>
  <c r="AU98" i="674" s="1"/>
  <c r="AL98" i="674"/>
  <c r="AM98" i="674" s="1"/>
  <c r="AD98" i="674"/>
  <c r="AE98" i="674" s="1"/>
  <c r="V98" i="674"/>
  <c r="W98" i="674" s="1"/>
  <c r="N98" i="674"/>
  <c r="O98" i="674" s="1"/>
  <c r="CX97" i="674"/>
  <c r="CY97" i="674" s="1"/>
  <c r="CP97" i="674"/>
  <c r="CQ97" i="674" s="1"/>
  <c r="CH97" i="674"/>
  <c r="CI97" i="674" s="1"/>
  <c r="BZ97" i="674"/>
  <c r="CA97" i="674" s="1"/>
  <c r="BR97" i="674"/>
  <c r="BS97" i="674" s="1"/>
  <c r="BJ97" i="674"/>
  <c r="BK97" i="674" s="1"/>
  <c r="BB97" i="674"/>
  <c r="BC97" i="674" s="1"/>
  <c r="AT97" i="674"/>
  <c r="AU97" i="674" s="1"/>
  <c r="AL97" i="674"/>
  <c r="AM97" i="674" s="1"/>
  <c r="AD97" i="674"/>
  <c r="AE97" i="674" s="1"/>
  <c r="V97" i="674"/>
  <c r="W97" i="674" s="1"/>
  <c r="N97" i="674"/>
  <c r="O97" i="674" s="1"/>
  <c r="CX96" i="674"/>
  <c r="CY96" i="674" s="1"/>
  <c r="CP96" i="674"/>
  <c r="CQ96" i="674" s="1"/>
  <c r="CH96" i="674"/>
  <c r="CI96" i="674" s="1"/>
  <c r="BZ96" i="674"/>
  <c r="CA96" i="674" s="1"/>
  <c r="BR96" i="674"/>
  <c r="BS96" i="674" s="1"/>
  <c r="BJ96" i="674"/>
  <c r="BK96" i="674" s="1"/>
  <c r="BB96" i="674"/>
  <c r="BC96" i="674" s="1"/>
  <c r="AT96" i="674"/>
  <c r="AU96" i="674" s="1"/>
  <c r="AL96" i="674"/>
  <c r="AM96" i="674" s="1"/>
  <c r="AD96" i="674"/>
  <c r="AE96" i="674" s="1"/>
  <c r="V96" i="674"/>
  <c r="W96" i="674" s="1"/>
  <c r="N96" i="674"/>
  <c r="O96" i="674" s="1"/>
  <c r="CX95" i="674"/>
  <c r="CY95" i="674" s="1"/>
  <c r="CP95" i="674"/>
  <c r="CQ95" i="674" s="1"/>
  <c r="CH95" i="674"/>
  <c r="CI95" i="674" s="1"/>
  <c r="BZ95" i="674"/>
  <c r="CA95" i="674" s="1"/>
  <c r="BR95" i="674"/>
  <c r="BS95" i="674" s="1"/>
  <c r="BJ95" i="674"/>
  <c r="BK95" i="674" s="1"/>
  <c r="BB95" i="674"/>
  <c r="BC95" i="674" s="1"/>
  <c r="AT95" i="674"/>
  <c r="AU95" i="674" s="1"/>
  <c r="AL95" i="674"/>
  <c r="AM95" i="674" s="1"/>
  <c r="AD95" i="674"/>
  <c r="AE95" i="674" s="1"/>
  <c r="V95" i="674"/>
  <c r="W95" i="674" s="1"/>
  <c r="N95" i="674"/>
  <c r="O95" i="674" s="1"/>
  <c r="CX94" i="674"/>
  <c r="CY94" i="674" s="1"/>
  <c r="CP94" i="674"/>
  <c r="CQ94" i="674" s="1"/>
  <c r="CH94" i="674"/>
  <c r="CI94" i="674" s="1"/>
  <c r="BZ94" i="674"/>
  <c r="CA94" i="674" s="1"/>
  <c r="BR94" i="674"/>
  <c r="BS94" i="674" s="1"/>
  <c r="BJ94" i="674"/>
  <c r="BK94" i="674" s="1"/>
  <c r="BB94" i="674"/>
  <c r="BC94" i="674" s="1"/>
  <c r="AT94" i="674"/>
  <c r="AU94" i="674" s="1"/>
  <c r="AL94" i="674"/>
  <c r="AM94" i="674" s="1"/>
  <c r="AD94" i="674"/>
  <c r="AE94" i="674" s="1"/>
  <c r="V94" i="674"/>
  <c r="W94" i="674" s="1"/>
  <c r="N94" i="674"/>
  <c r="O94" i="674" s="1"/>
  <c r="CX93" i="674"/>
  <c r="CY93" i="674" s="1"/>
  <c r="CP93" i="674"/>
  <c r="CQ93" i="674" s="1"/>
  <c r="CH93" i="674"/>
  <c r="CI93" i="674" s="1"/>
  <c r="BZ93" i="674"/>
  <c r="CA93" i="674" s="1"/>
  <c r="BR93" i="674"/>
  <c r="BS93" i="674" s="1"/>
  <c r="BJ93" i="674"/>
  <c r="BK93" i="674" s="1"/>
  <c r="BB93" i="674"/>
  <c r="BC93" i="674" s="1"/>
  <c r="AT93" i="674"/>
  <c r="AU93" i="674" s="1"/>
  <c r="AL93" i="674"/>
  <c r="AM93" i="674" s="1"/>
  <c r="AD93" i="674"/>
  <c r="AE93" i="674" s="1"/>
  <c r="V93" i="674"/>
  <c r="W93" i="674" s="1"/>
  <c r="N93" i="674"/>
  <c r="O93" i="674" s="1"/>
  <c r="CX92" i="674"/>
  <c r="CY92" i="674" s="1"/>
  <c r="CP92" i="674"/>
  <c r="CQ92" i="674" s="1"/>
  <c r="CH92" i="674"/>
  <c r="CI92" i="674" s="1"/>
  <c r="BZ92" i="674"/>
  <c r="CA92" i="674" s="1"/>
  <c r="BR92" i="674"/>
  <c r="BS92" i="674" s="1"/>
  <c r="BJ92" i="674"/>
  <c r="BK92" i="674" s="1"/>
  <c r="BB92" i="674"/>
  <c r="BC92" i="674" s="1"/>
  <c r="AT92" i="674"/>
  <c r="AU92" i="674" s="1"/>
  <c r="AL92" i="674"/>
  <c r="AM92" i="674" s="1"/>
  <c r="AD92" i="674"/>
  <c r="AE92" i="674" s="1"/>
  <c r="V92" i="674"/>
  <c r="W92" i="674" s="1"/>
  <c r="N92" i="674"/>
  <c r="O92" i="674" s="1"/>
  <c r="CX91" i="674"/>
  <c r="CY91" i="674" s="1"/>
  <c r="CP91" i="674"/>
  <c r="CQ91" i="674" s="1"/>
  <c r="CH91" i="674"/>
  <c r="CI91" i="674" s="1"/>
  <c r="BZ91" i="674"/>
  <c r="CA91" i="674" s="1"/>
  <c r="BR91" i="674"/>
  <c r="BS91" i="674" s="1"/>
  <c r="BJ91" i="674"/>
  <c r="BK91" i="674" s="1"/>
  <c r="BB91" i="674"/>
  <c r="BC91" i="674" s="1"/>
  <c r="AT91" i="674"/>
  <c r="AU91" i="674" s="1"/>
  <c r="AD91" i="674"/>
  <c r="AE91" i="674" s="1"/>
  <c r="V91" i="674"/>
  <c r="W91" i="674" s="1"/>
  <c r="N91" i="674"/>
  <c r="O91" i="674" s="1"/>
  <c r="CX90" i="674"/>
  <c r="CY90" i="674" s="1"/>
  <c r="CP90" i="674"/>
  <c r="CQ90" i="674" s="1"/>
  <c r="CH90" i="674"/>
  <c r="CI90" i="674" s="1"/>
  <c r="BZ90" i="674"/>
  <c r="CA90" i="674" s="1"/>
  <c r="BR90" i="674"/>
  <c r="BS90" i="674" s="1"/>
  <c r="BJ90" i="674"/>
  <c r="BK90" i="674" s="1"/>
  <c r="BB90" i="674"/>
  <c r="BC90" i="674" s="1"/>
  <c r="AT90" i="674"/>
  <c r="AU90" i="674" s="1"/>
  <c r="AL90" i="674"/>
  <c r="AM90" i="674" s="1"/>
  <c r="AD90" i="674"/>
  <c r="AE90" i="674" s="1"/>
  <c r="V90" i="674"/>
  <c r="W90" i="674" s="1"/>
  <c r="N90" i="674"/>
  <c r="O90" i="674" s="1"/>
  <c r="CX89" i="674"/>
  <c r="CY89" i="674" s="1"/>
  <c r="CP89" i="674"/>
  <c r="CQ89" i="674" s="1"/>
  <c r="CH89" i="674"/>
  <c r="CI89" i="674" s="1"/>
  <c r="BZ89" i="674"/>
  <c r="CA89" i="674" s="1"/>
  <c r="BR89" i="674"/>
  <c r="BS89" i="674" s="1"/>
  <c r="BJ89" i="674"/>
  <c r="BK89" i="674" s="1"/>
  <c r="BB89" i="674"/>
  <c r="BC89" i="674" s="1"/>
  <c r="AT89" i="674"/>
  <c r="AU89" i="674" s="1"/>
  <c r="AL89" i="674"/>
  <c r="AM89" i="674" s="1"/>
  <c r="AD89" i="674"/>
  <c r="AE89" i="674" s="1"/>
  <c r="V89" i="674"/>
  <c r="W89" i="674" s="1"/>
  <c r="N89" i="674"/>
  <c r="O89" i="674" s="1"/>
  <c r="CX88" i="674"/>
  <c r="CY88" i="674" s="1"/>
  <c r="CP88" i="674"/>
  <c r="CQ88" i="674" s="1"/>
  <c r="CH88" i="674"/>
  <c r="CI88" i="674" s="1"/>
  <c r="BZ88" i="674"/>
  <c r="CA88" i="674" s="1"/>
  <c r="BR88" i="674"/>
  <c r="BS88" i="674" s="1"/>
  <c r="BJ88" i="674"/>
  <c r="BK88" i="674" s="1"/>
  <c r="BB88" i="674"/>
  <c r="BC88" i="674" s="1"/>
  <c r="AT88" i="674"/>
  <c r="AU88" i="674" s="1"/>
  <c r="AL88" i="674"/>
  <c r="AM88" i="674" s="1"/>
  <c r="AD88" i="674"/>
  <c r="AE88" i="674" s="1"/>
  <c r="V88" i="674"/>
  <c r="W88" i="674" s="1"/>
  <c r="N88" i="674"/>
  <c r="O88" i="674" s="1"/>
  <c r="CX87" i="674"/>
  <c r="CY87" i="674" s="1"/>
  <c r="CP87" i="674"/>
  <c r="CQ87" i="674" s="1"/>
  <c r="CH87" i="674"/>
  <c r="CI87" i="674" s="1"/>
  <c r="BZ87" i="674"/>
  <c r="CA87" i="674" s="1"/>
  <c r="BR87" i="674"/>
  <c r="BS87" i="674" s="1"/>
  <c r="BJ87" i="674"/>
  <c r="BK87" i="674" s="1"/>
  <c r="BB87" i="674"/>
  <c r="BC87" i="674" s="1"/>
  <c r="AT87" i="674"/>
  <c r="AU87" i="674" s="1"/>
  <c r="AL87" i="674"/>
  <c r="AM87" i="674" s="1"/>
  <c r="AD87" i="674"/>
  <c r="AE87" i="674" s="1"/>
  <c r="V87" i="674"/>
  <c r="W87" i="674" s="1"/>
  <c r="N87" i="674"/>
  <c r="O87" i="674" s="1"/>
  <c r="CX86" i="674"/>
  <c r="CY86" i="674" s="1"/>
  <c r="CP86" i="674"/>
  <c r="CQ86" i="674" s="1"/>
  <c r="CH86" i="674"/>
  <c r="CI86" i="674" s="1"/>
  <c r="BZ86" i="674"/>
  <c r="CA86" i="674" s="1"/>
  <c r="BR86" i="674"/>
  <c r="BS86" i="674" s="1"/>
  <c r="BJ86" i="674"/>
  <c r="BK86" i="674" s="1"/>
  <c r="BB86" i="674"/>
  <c r="BC86" i="674" s="1"/>
  <c r="AT86" i="674"/>
  <c r="AU86" i="674" s="1"/>
  <c r="AL86" i="674"/>
  <c r="AM86" i="674" s="1"/>
  <c r="AD86" i="674"/>
  <c r="AE86" i="674" s="1"/>
  <c r="V86" i="674"/>
  <c r="W86" i="674" s="1"/>
  <c r="N86" i="674"/>
  <c r="O86" i="674" s="1"/>
  <c r="CX85" i="674"/>
  <c r="CY85" i="674" s="1"/>
  <c r="CP85" i="674"/>
  <c r="CQ85" i="674" s="1"/>
  <c r="CH85" i="674"/>
  <c r="CI85" i="674" s="1"/>
  <c r="BZ85" i="674"/>
  <c r="CA85" i="674" s="1"/>
  <c r="BR85" i="674"/>
  <c r="BS85" i="674" s="1"/>
  <c r="BJ85" i="674"/>
  <c r="BK85" i="674" s="1"/>
  <c r="BB85" i="674"/>
  <c r="BC85" i="674" s="1"/>
  <c r="AT85" i="674"/>
  <c r="AU85" i="674" s="1"/>
  <c r="AL85" i="674"/>
  <c r="AM85" i="674" s="1"/>
  <c r="AD85" i="674"/>
  <c r="AE85" i="674" s="1"/>
  <c r="V85" i="674"/>
  <c r="W85" i="674" s="1"/>
  <c r="N85" i="674"/>
  <c r="O85" i="674" s="1"/>
  <c r="CX84" i="674"/>
  <c r="CY84" i="674" s="1"/>
  <c r="CP84" i="674"/>
  <c r="CQ84" i="674" s="1"/>
  <c r="CH84" i="674"/>
  <c r="CI84" i="674" s="1"/>
  <c r="BZ84" i="674"/>
  <c r="CA84" i="674" s="1"/>
  <c r="BR84" i="674"/>
  <c r="BS84" i="674" s="1"/>
  <c r="BJ84" i="674"/>
  <c r="BK84" i="674" s="1"/>
  <c r="BB84" i="674"/>
  <c r="BC84" i="674" s="1"/>
  <c r="AT84" i="674"/>
  <c r="AU84" i="674" s="1"/>
  <c r="AD84" i="674"/>
  <c r="AE84" i="674" s="1"/>
  <c r="V84" i="674"/>
  <c r="W84" i="674" s="1"/>
  <c r="N84" i="674"/>
  <c r="O84" i="674" s="1"/>
  <c r="CX83" i="674"/>
  <c r="CY83" i="674" s="1"/>
  <c r="CP83" i="674"/>
  <c r="CQ83" i="674" s="1"/>
  <c r="CH83" i="674"/>
  <c r="CI83" i="674" s="1"/>
  <c r="BZ83" i="674"/>
  <c r="CA83" i="674" s="1"/>
  <c r="BR83" i="674"/>
  <c r="BS83" i="674" s="1"/>
  <c r="BJ83" i="674"/>
  <c r="BK83" i="674" s="1"/>
  <c r="BB83" i="674"/>
  <c r="BC83" i="674" s="1"/>
  <c r="AT83" i="674"/>
  <c r="AU83" i="674" s="1"/>
  <c r="AL83" i="674"/>
  <c r="AM83" i="674" s="1"/>
  <c r="AD83" i="674"/>
  <c r="AE83" i="674" s="1"/>
  <c r="V83" i="674"/>
  <c r="W83" i="674" s="1"/>
  <c r="N83" i="674"/>
  <c r="O83" i="674" s="1"/>
  <c r="CX82" i="674"/>
  <c r="CY82" i="674" s="1"/>
  <c r="CP82" i="674"/>
  <c r="CQ82" i="674" s="1"/>
  <c r="CH82" i="674"/>
  <c r="CI82" i="674" s="1"/>
  <c r="BZ82" i="674"/>
  <c r="CA82" i="674" s="1"/>
  <c r="BR82" i="674"/>
  <c r="BS82" i="674" s="1"/>
  <c r="BJ82" i="674"/>
  <c r="BK82" i="674" s="1"/>
  <c r="BB82" i="674"/>
  <c r="BC82" i="674" s="1"/>
  <c r="AT82" i="674"/>
  <c r="AU82" i="674" s="1"/>
  <c r="AL82" i="674"/>
  <c r="AM82" i="674" s="1"/>
  <c r="AD82" i="674"/>
  <c r="AE82" i="674" s="1"/>
  <c r="V82" i="674"/>
  <c r="W82" i="674" s="1"/>
  <c r="N82" i="674"/>
  <c r="O82" i="674" s="1"/>
  <c r="CX81" i="674"/>
  <c r="CY81" i="674" s="1"/>
  <c r="CP81" i="674"/>
  <c r="CQ81" i="674" s="1"/>
  <c r="CH81" i="674"/>
  <c r="CI81" i="674" s="1"/>
  <c r="BZ81" i="674"/>
  <c r="CA81" i="674" s="1"/>
  <c r="BR81" i="674"/>
  <c r="BS81" i="674" s="1"/>
  <c r="BJ81" i="674"/>
  <c r="BK81" i="674" s="1"/>
  <c r="BB81" i="674"/>
  <c r="BC81" i="674" s="1"/>
  <c r="AT81" i="674"/>
  <c r="AU81" i="674" s="1"/>
  <c r="AL81" i="674"/>
  <c r="AM81" i="674" s="1"/>
  <c r="AD81" i="674"/>
  <c r="AE81" i="674" s="1"/>
  <c r="V81" i="674"/>
  <c r="W81" i="674" s="1"/>
  <c r="N81" i="674"/>
  <c r="O81" i="674" s="1"/>
  <c r="CX80" i="674"/>
  <c r="CY80" i="674" s="1"/>
  <c r="CP80" i="674"/>
  <c r="CQ80" i="674" s="1"/>
  <c r="CH80" i="674"/>
  <c r="CI80" i="674" s="1"/>
  <c r="BZ80" i="674"/>
  <c r="CA80" i="674" s="1"/>
  <c r="BR80" i="674"/>
  <c r="BS80" i="674" s="1"/>
  <c r="BJ80" i="674"/>
  <c r="BK80" i="674" s="1"/>
  <c r="BB80" i="674"/>
  <c r="BC80" i="674" s="1"/>
  <c r="AT80" i="674"/>
  <c r="AU80" i="674" s="1"/>
  <c r="AL80" i="674"/>
  <c r="AM80" i="674" s="1"/>
  <c r="AD80" i="674"/>
  <c r="AE80" i="674" s="1"/>
  <c r="V80" i="674"/>
  <c r="W80" i="674" s="1"/>
  <c r="N80" i="674"/>
  <c r="O80" i="674" s="1"/>
  <c r="CX79" i="674"/>
  <c r="CY79" i="674" s="1"/>
  <c r="CP79" i="674"/>
  <c r="CQ79" i="674" s="1"/>
  <c r="CH79" i="674"/>
  <c r="CI79" i="674" s="1"/>
  <c r="BZ79" i="674"/>
  <c r="CA79" i="674" s="1"/>
  <c r="BR79" i="674"/>
  <c r="BS79" i="674" s="1"/>
  <c r="BJ79" i="674"/>
  <c r="BK79" i="674" s="1"/>
  <c r="BB79" i="674"/>
  <c r="BC79" i="674" s="1"/>
  <c r="AT79" i="674"/>
  <c r="AU79" i="674" s="1"/>
  <c r="AL79" i="674"/>
  <c r="AM79" i="674" s="1"/>
  <c r="AD79" i="674"/>
  <c r="AE79" i="674" s="1"/>
  <c r="V79" i="674"/>
  <c r="W79" i="674" s="1"/>
  <c r="N79" i="674"/>
  <c r="O79" i="674" s="1"/>
  <c r="CX78" i="674"/>
  <c r="CY78" i="674" s="1"/>
  <c r="CP78" i="674"/>
  <c r="CQ78" i="674" s="1"/>
  <c r="CH78" i="674"/>
  <c r="CI78" i="674" s="1"/>
  <c r="BZ78" i="674"/>
  <c r="CA78" i="674" s="1"/>
  <c r="BR78" i="674"/>
  <c r="BS78" i="674" s="1"/>
  <c r="BJ78" i="674"/>
  <c r="BK78" i="674" s="1"/>
  <c r="BB78" i="674"/>
  <c r="BC78" i="674" s="1"/>
  <c r="AT78" i="674"/>
  <c r="AU78" i="674" s="1"/>
  <c r="AL78" i="674"/>
  <c r="AM78" i="674" s="1"/>
  <c r="AD78" i="674"/>
  <c r="AE78" i="674" s="1"/>
  <c r="V78" i="674"/>
  <c r="W78" i="674" s="1"/>
  <c r="N78" i="674"/>
  <c r="O78" i="674" s="1"/>
  <c r="CX77" i="674"/>
  <c r="CY77" i="674" s="1"/>
  <c r="CP77" i="674"/>
  <c r="CQ77" i="674" s="1"/>
  <c r="CH77" i="674"/>
  <c r="CI77" i="674" s="1"/>
  <c r="BZ77" i="674"/>
  <c r="CA77" i="674" s="1"/>
  <c r="BR77" i="674"/>
  <c r="BS77" i="674" s="1"/>
  <c r="BJ77" i="674"/>
  <c r="BK77" i="674" s="1"/>
  <c r="BB77" i="674"/>
  <c r="BC77" i="674" s="1"/>
  <c r="AT77" i="674"/>
  <c r="AU77" i="674" s="1"/>
  <c r="AL77" i="674"/>
  <c r="AM77" i="674" s="1"/>
  <c r="AD77" i="674"/>
  <c r="AE77" i="674" s="1"/>
  <c r="V77" i="674"/>
  <c r="W77" i="674" s="1"/>
  <c r="N77" i="674"/>
  <c r="O77" i="674" s="1"/>
  <c r="CX76" i="674"/>
  <c r="CY76" i="674" s="1"/>
  <c r="CP76" i="674"/>
  <c r="CQ76" i="674" s="1"/>
  <c r="CH76" i="674"/>
  <c r="CI76" i="674" s="1"/>
  <c r="BZ76" i="674"/>
  <c r="CA76" i="674" s="1"/>
  <c r="BR76" i="674"/>
  <c r="BS76" i="674" s="1"/>
  <c r="BJ76" i="674"/>
  <c r="BK76" i="674" s="1"/>
  <c r="BB76" i="674"/>
  <c r="BC76" i="674" s="1"/>
  <c r="AT76" i="674"/>
  <c r="AU76" i="674" s="1"/>
  <c r="AL76" i="674"/>
  <c r="AM76" i="674" s="1"/>
  <c r="AD76" i="674"/>
  <c r="AE76" i="674" s="1"/>
  <c r="V76" i="674"/>
  <c r="W76" i="674" s="1"/>
  <c r="N76" i="674"/>
  <c r="O76" i="674" s="1"/>
  <c r="CX75" i="674"/>
  <c r="CY75" i="674" s="1"/>
  <c r="CP75" i="674"/>
  <c r="CQ75" i="674" s="1"/>
  <c r="CH75" i="674"/>
  <c r="CI75" i="674" s="1"/>
  <c r="BZ75" i="674"/>
  <c r="CA75" i="674" s="1"/>
  <c r="BR75" i="674"/>
  <c r="BS75" i="674" s="1"/>
  <c r="BJ75" i="674"/>
  <c r="BK75" i="674" s="1"/>
  <c r="BB75" i="674"/>
  <c r="BC75" i="674" s="1"/>
  <c r="AT75" i="674"/>
  <c r="AU75" i="674" s="1"/>
  <c r="AL75" i="674"/>
  <c r="AM75" i="674" s="1"/>
  <c r="AD75" i="674"/>
  <c r="AE75" i="674" s="1"/>
  <c r="V75" i="674"/>
  <c r="W75" i="674" s="1"/>
  <c r="N75" i="674"/>
  <c r="O75" i="674" s="1"/>
  <c r="CX74" i="674"/>
  <c r="CY74" i="674" s="1"/>
  <c r="CP74" i="674"/>
  <c r="CQ74" i="674" s="1"/>
  <c r="CH74" i="674"/>
  <c r="CI74" i="674" s="1"/>
  <c r="BZ74" i="674"/>
  <c r="CA74" i="674" s="1"/>
  <c r="BR74" i="674"/>
  <c r="BS74" i="674" s="1"/>
  <c r="BJ74" i="674"/>
  <c r="BK74" i="674" s="1"/>
  <c r="BB74" i="674"/>
  <c r="BC74" i="674" s="1"/>
  <c r="AT74" i="674"/>
  <c r="AU74" i="674" s="1"/>
  <c r="AL74" i="674"/>
  <c r="AM74" i="674" s="1"/>
  <c r="AD74" i="674"/>
  <c r="AE74" i="674" s="1"/>
  <c r="V74" i="674"/>
  <c r="W74" i="674" s="1"/>
  <c r="N74" i="674"/>
  <c r="O74" i="674" s="1"/>
  <c r="CX73" i="674"/>
  <c r="CY73" i="674" s="1"/>
  <c r="CP73" i="674"/>
  <c r="CQ73" i="674" s="1"/>
  <c r="CH73" i="674"/>
  <c r="CI73" i="674" s="1"/>
  <c r="BZ73" i="674"/>
  <c r="CA73" i="674" s="1"/>
  <c r="BR73" i="674"/>
  <c r="BS73" i="674" s="1"/>
  <c r="BJ73" i="674"/>
  <c r="BK73" i="674" s="1"/>
  <c r="BB73" i="674"/>
  <c r="BC73" i="674" s="1"/>
  <c r="AT73" i="674"/>
  <c r="AU73" i="674" s="1"/>
  <c r="AL73" i="674"/>
  <c r="AM73" i="674" s="1"/>
  <c r="AD73" i="674"/>
  <c r="AE73" i="674" s="1"/>
  <c r="V73" i="674"/>
  <c r="W73" i="674" s="1"/>
  <c r="N73" i="674"/>
  <c r="O73" i="674" s="1"/>
  <c r="CX72" i="674"/>
  <c r="CY72" i="674" s="1"/>
  <c r="CP72" i="674"/>
  <c r="CQ72" i="674" s="1"/>
  <c r="CH72" i="674"/>
  <c r="CI72" i="674" s="1"/>
  <c r="BZ72" i="674"/>
  <c r="CA72" i="674" s="1"/>
  <c r="BR72" i="674"/>
  <c r="BS72" i="674" s="1"/>
  <c r="BJ72" i="674"/>
  <c r="BK72" i="674" s="1"/>
  <c r="BB72" i="674"/>
  <c r="BC72" i="674" s="1"/>
  <c r="AT72" i="674"/>
  <c r="AU72" i="674" s="1"/>
  <c r="AL72" i="674"/>
  <c r="AM72" i="674" s="1"/>
  <c r="AD72" i="674"/>
  <c r="AE72" i="674" s="1"/>
  <c r="V72" i="674"/>
  <c r="W72" i="674" s="1"/>
  <c r="N72" i="674"/>
  <c r="O72" i="674" s="1"/>
  <c r="CX71" i="674"/>
  <c r="CY71" i="674" s="1"/>
  <c r="CP71" i="674"/>
  <c r="CQ71" i="674" s="1"/>
  <c r="CH71" i="674"/>
  <c r="CI71" i="674" s="1"/>
  <c r="BZ71" i="674"/>
  <c r="CA71" i="674" s="1"/>
  <c r="BR71" i="674"/>
  <c r="BS71" i="674" s="1"/>
  <c r="BJ71" i="674"/>
  <c r="BK71" i="674" s="1"/>
  <c r="BB71" i="674"/>
  <c r="BC71" i="674" s="1"/>
  <c r="AT71" i="674"/>
  <c r="AU71" i="674" s="1"/>
  <c r="AL71" i="674"/>
  <c r="AM71" i="674" s="1"/>
  <c r="AD71" i="674"/>
  <c r="AE71" i="674" s="1"/>
  <c r="V71" i="674"/>
  <c r="W71" i="674" s="1"/>
  <c r="N71" i="674"/>
  <c r="O71" i="674" s="1"/>
  <c r="CX70" i="674"/>
  <c r="CY70" i="674" s="1"/>
  <c r="CP70" i="674"/>
  <c r="CQ70" i="674" s="1"/>
  <c r="CH70" i="674"/>
  <c r="CI70" i="674" s="1"/>
  <c r="BZ70" i="674"/>
  <c r="CA70" i="674" s="1"/>
  <c r="BR70" i="674"/>
  <c r="BS70" i="674" s="1"/>
  <c r="BJ70" i="674"/>
  <c r="BK70" i="674" s="1"/>
  <c r="BB70" i="674"/>
  <c r="BC70" i="674" s="1"/>
  <c r="AT70" i="674"/>
  <c r="AU70" i="674" s="1"/>
  <c r="AL70" i="674"/>
  <c r="AM70" i="674" s="1"/>
  <c r="AD70" i="674"/>
  <c r="AE70" i="674" s="1"/>
  <c r="V70" i="674"/>
  <c r="W70" i="674" s="1"/>
  <c r="N70" i="674"/>
  <c r="O70" i="674" s="1"/>
  <c r="CX69" i="674"/>
  <c r="CY69" i="674" s="1"/>
  <c r="CP69" i="674"/>
  <c r="CQ69" i="674" s="1"/>
  <c r="CH69" i="674"/>
  <c r="CI69" i="674" s="1"/>
  <c r="BZ69" i="674"/>
  <c r="CA69" i="674" s="1"/>
  <c r="BR69" i="674"/>
  <c r="BS69" i="674" s="1"/>
  <c r="BJ69" i="674"/>
  <c r="BK69" i="674" s="1"/>
  <c r="BB69" i="674"/>
  <c r="BC69" i="674" s="1"/>
  <c r="AT69" i="674"/>
  <c r="AU69" i="674" s="1"/>
  <c r="AL69" i="674"/>
  <c r="AM69" i="674" s="1"/>
  <c r="AD69" i="674"/>
  <c r="AE69" i="674" s="1"/>
  <c r="V69" i="674"/>
  <c r="W69" i="674" s="1"/>
  <c r="N69" i="674"/>
  <c r="O69" i="674" s="1"/>
  <c r="CX68" i="674"/>
  <c r="CY68" i="674" s="1"/>
  <c r="CP68" i="674"/>
  <c r="CQ68" i="674" s="1"/>
  <c r="CH68" i="674"/>
  <c r="CI68" i="674" s="1"/>
  <c r="BZ68" i="674"/>
  <c r="CA68" i="674" s="1"/>
  <c r="BR68" i="674"/>
  <c r="BS68" i="674" s="1"/>
  <c r="BJ68" i="674"/>
  <c r="BK68" i="674" s="1"/>
  <c r="BB68" i="674"/>
  <c r="BC68" i="674" s="1"/>
  <c r="AT68" i="674"/>
  <c r="AU68" i="674" s="1"/>
  <c r="AD68" i="674"/>
  <c r="AE68" i="674" s="1"/>
  <c r="V68" i="674"/>
  <c r="W68" i="674" s="1"/>
  <c r="N68" i="674"/>
  <c r="O68" i="674" s="1"/>
  <c r="CX67" i="674"/>
  <c r="CY67" i="674" s="1"/>
  <c r="CP67" i="674"/>
  <c r="CQ67" i="674" s="1"/>
  <c r="CH67" i="674"/>
  <c r="CI67" i="674" s="1"/>
  <c r="BZ67" i="674"/>
  <c r="CA67" i="674" s="1"/>
  <c r="BR67" i="674"/>
  <c r="BS67" i="674" s="1"/>
  <c r="BJ67" i="674"/>
  <c r="BK67" i="674" s="1"/>
  <c r="BB67" i="674"/>
  <c r="BC67" i="674" s="1"/>
  <c r="AT67" i="674"/>
  <c r="AU67" i="674" s="1"/>
  <c r="AL67" i="674"/>
  <c r="AM67" i="674" s="1"/>
  <c r="AD67" i="674"/>
  <c r="AE67" i="674" s="1"/>
  <c r="V67" i="674"/>
  <c r="W67" i="674" s="1"/>
  <c r="N67" i="674"/>
  <c r="O67" i="674" s="1"/>
  <c r="CX66" i="674"/>
  <c r="CY66" i="674" s="1"/>
  <c r="CP66" i="674"/>
  <c r="CQ66" i="674" s="1"/>
  <c r="CH66" i="674"/>
  <c r="CI66" i="674" s="1"/>
  <c r="BZ66" i="674"/>
  <c r="CA66" i="674" s="1"/>
  <c r="BR66" i="674"/>
  <c r="BS66" i="674" s="1"/>
  <c r="BJ66" i="674"/>
  <c r="BK66" i="674" s="1"/>
  <c r="BB66" i="674"/>
  <c r="BC66" i="674" s="1"/>
  <c r="AT66" i="674"/>
  <c r="AU66" i="674" s="1"/>
  <c r="AL66" i="674"/>
  <c r="AM66" i="674" s="1"/>
  <c r="AD66" i="674"/>
  <c r="AE66" i="674" s="1"/>
  <c r="V66" i="674"/>
  <c r="W66" i="674" s="1"/>
  <c r="N66" i="674"/>
  <c r="O66" i="674" s="1"/>
  <c r="CX65" i="674"/>
  <c r="CY65" i="674" s="1"/>
  <c r="CP65" i="674"/>
  <c r="CQ65" i="674" s="1"/>
  <c r="CH65" i="674"/>
  <c r="CI65" i="674" s="1"/>
  <c r="BZ65" i="674"/>
  <c r="CA65" i="674" s="1"/>
  <c r="BR65" i="674"/>
  <c r="BS65" i="674" s="1"/>
  <c r="BJ65" i="674"/>
  <c r="BK65" i="674" s="1"/>
  <c r="BB65" i="674"/>
  <c r="BC65" i="674" s="1"/>
  <c r="AT65" i="674"/>
  <c r="AU65" i="674" s="1"/>
  <c r="AL65" i="674"/>
  <c r="AM65" i="674" s="1"/>
  <c r="AD65" i="674"/>
  <c r="AE65" i="674" s="1"/>
  <c r="V65" i="674"/>
  <c r="W65" i="674" s="1"/>
  <c r="N65" i="674"/>
  <c r="O65" i="674" s="1"/>
  <c r="CX64" i="674"/>
  <c r="CY64" i="674" s="1"/>
  <c r="CP64" i="674"/>
  <c r="CQ64" i="674" s="1"/>
  <c r="CH64" i="674"/>
  <c r="CI64" i="674" s="1"/>
  <c r="BZ64" i="674"/>
  <c r="CA64" i="674" s="1"/>
  <c r="BR64" i="674"/>
  <c r="BS64" i="674" s="1"/>
  <c r="BJ64" i="674"/>
  <c r="BK64" i="674" s="1"/>
  <c r="BB64" i="674"/>
  <c r="BC64" i="674" s="1"/>
  <c r="AT64" i="674"/>
  <c r="AU64" i="674" s="1"/>
  <c r="AL64" i="674"/>
  <c r="AM64" i="674" s="1"/>
  <c r="AD64" i="674"/>
  <c r="AE64" i="674" s="1"/>
  <c r="V64" i="674"/>
  <c r="W64" i="674" s="1"/>
  <c r="N64" i="674"/>
  <c r="O64" i="674" s="1"/>
  <c r="CX63" i="674"/>
  <c r="CY63" i="674" s="1"/>
  <c r="CP63" i="674"/>
  <c r="CQ63" i="674" s="1"/>
  <c r="CH63" i="674"/>
  <c r="CI63" i="674" s="1"/>
  <c r="BZ63" i="674"/>
  <c r="CA63" i="674" s="1"/>
  <c r="BR63" i="674"/>
  <c r="BS63" i="674" s="1"/>
  <c r="BJ63" i="674"/>
  <c r="BK63" i="674" s="1"/>
  <c r="BB63" i="674"/>
  <c r="BC63" i="674" s="1"/>
  <c r="AT63" i="674"/>
  <c r="AU63" i="674" s="1"/>
  <c r="AL63" i="674"/>
  <c r="AM63" i="674" s="1"/>
  <c r="AD63" i="674"/>
  <c r="AE63" i="674" s="1"/>
  <c r="V63" i="674"/>
  <c r="W63" i="674" s="1"/>
  <c r="N63" i="674"/>
  <c r="O63" i="674" s="1"/>
  <c r="CX62" i="674"/>
  <c r="CY62" i="674" s="1"/>
  <c r="CP62" i="674"/>
  <c r="CQ62" i="674" s="1"/>
  <c r="CH62" i="674"/>
  <c r="CI62" i="674" s="1"/>
  <c r="BZ62" i="674"/>
  <c r="CA62" i="674" s="1"/>
  <c r="BR62" i="674"/>
  <c r="BS62" i="674" s="1"/>
  <c r="BJ62" i="674"/>
  <c r="BK62" i="674" s="1"/>
  <c r="BB62" i="674"/>
  <c r="BC62" i="674" s="1"/>
  <c r="AT62" i="674"/>
  <c r="AU62" i="674" s="1"/>
  <c r="AL62" i="674"/>
  <c r="AM62" i="674" s="1"/>
  <c r="AD62" i="674"/>
  <c r="AE62" i="674" s="1"/>
  <c r="V62" i="674"/>
  <c r="W62" i="674" s="1"/>
  <c r="N62" i="674"/>
  <c r="O62" i="674" s="1"/>
  <c r="CX61" i="674"/>
  <c r="CY61" i="674" s="1"/>
  <c r="CP61" i="674"/>
  <c r="CQ61" i="674" s="1"/>
  <c r="CH61" i="674"/>
  <c r="CI61" i="674" s="1"/>
  <c r="BZ61" i="674"/>
  <c r="CA61" i="674" s="1"/>
  <c r="BR61" i="674"/>
  <c r="BS61" i="674" s="1"/>
  <c r="BJ61" i="674"/>
  <c r="BK61" i="674" s="1"/>
  <c r="BB61" i="674"/>
  <c r="BC61" i="674" s="1"/>
  <c r="AT61" i="674"/>
  <c r="AU61" i="674" s="1"/>
  <c r="AL61" i="674"/>
  <c r="AM61" i="674" s="1"/>
  <c r="AD61" i="674"/>
  <c r="AE61" i="674" s="1"/>
  <c r="V61" i="674"/>
  <c r="W61" i="674" s="1"/>
  <c r="N61" i="674"/>
  <c r="O61" i="674" s="1"/>
  <c r="CX60" i="674"/>
  <c r="CY60" i="674" s="1"/>
  <c r="CP60" i="674"/>
  <c r="CQ60" i="674" s="1"/>
  <c r="CH60" i="674"/>
  <c r="CI60" i="674" s="1"/>
  <c r="BZ60" i="674"/>
  <c r="CA60" i="674" s="1"/>
  <c r="BR60" i="674"/>
  <c r="BS60" i="674" s="1"/>
  <c r="BJ60" i="674"/>
  <c r="BK60" i="674" s="1"/>
  <c r="BB60" i="674"/>
  <c r="BC60" i="674" s="1"/>
  <c r="AT60" i="674"/>
  <c r="AU60" i="674" s="1"/>
  <c r="AL60" i="674"/>
  <c r="AM60" i="674" s="1"/>
  <c r="AD60" i="674"/>
  <c r="AE60" i="674" s="1"/>
  <c r="V60" i="674"/>
  <c r="W60" i="674" s="1"/>
  <c r="N60" i="674"/>
  <c r="O60" i="674" s="1"/>
  <c r="CX59" i="674"/>
  <c r="CY59" i="674" s="1"/>
  <c r="CP59" i="674"/>
  <c r="CQ59" i="674" s="1"/>
  <c r="CH59" i="674"/>
  <c r="CI59" i="674" s="1"/>
  <c r="BZ59" i="674"/>
  <c r="CA59" i="674" s="1"/>
  <c r="BR59" i="674"/>
  <c r="BS59" i="674" s="1"/>
  <c r="BJ59" i="674"/>
  <c r="BK59" i="674" s="1"/>
  <c r="BB59" i="674"/>
  <c r="BC59" i="674" s="1"/>
  <c r="AT59" i="674"/>
  <c r="AU59" i="674" s="1"/>
  <c r="AL59" i="674"/>
  <c r="AM59" i="674" s="1"/>
  <c r="AD59" i="674"/>
  <c r="AE59" i="674" s="1"/>
  <c r="V59" i="674"/>
  <c r="W59" i="674" s="1"/>
  <c r="N59" i="674"/>
  <c r="O59" i="674" s="1"/>
  <c r="CX58" i="674"/>
  <c r="CY58" i="674" s="1"/>
  <c r="CP58" i="674"/>
  <c r="CQ58" i="674" s="1"/>
  <c r="CH58" i="674"/>
  <c r="CI58" i="674" s="1"/>
  <c r="BZ58" i="674"/>
  <c r="CA58" i="674" s="1"/>
  <c r="BR58" i="674"/>
  <c r="BS58" i="674" s="1"/>
  <c r="BJ58" i="674"/>
  <c r="BK58" i="674" s="1"/>
  <c r="BB58" i="674"/>
  <c r="BC58" i="674" s="1"/>
  <c r="AT58" i="674"/>
  <c r="AU58" i="674" s="1"/>
  <c r="AL58" i="674"/>
  <c r="AM58" i="674" s="1"/>
  <c r="AD58" i="674"/>
  <c r="AE58" i="674" s="1"/>
  <c r="V58" i="674"/>
  <c r="W58" i="674" s="1"/>
  <c r="N58" i="674"/>
  <c r="O58" i="674" s="1"/>
  <c r="CX57" i="674"/>
  <c r="CY57" i="674" s="1"/>
  <c r="CP57" i="674"/>
  <c r="CQ57" i="674" s="1"/>
  <c r="CH57" i="674"/>
  <c r="CI57" i="674" s="1"/>
  <c r="BZ57" i="674"/>
  <c r="CA57" i="674" s="1"/>
  <c r="BR57" i="674"/>
  <c r="BS57" i="674" s="1"/>
  <c r="BJ57" i="674"/>
  <c r="BK57" i="674" s="1"/>
  <c r="BB57" i="674"/>
  <c r="BC57" i="674" s="1"/>
  <c r="AT57" i="674"/>
  <c r="AU57" i="674" s="1"/>
  <c r="AL57" i="674"/>
  <c r="AM57" i="674" s="1"/>
  <c r="AD57" i="674"/>
  <c r="AE57" i="674" s="1"/>
  <c r="V57" i="674"/>
  <c r="W57" i="674" s="1"/>
  <c r="N57" i="674"/>
  <c r="O57" i="674" s="1"/>
  <c r="CX56" i="674"/>
  <c r="CY56" i="674" s="1"/>
  <c r="CP56" i="674"/>
  <c r="CQ56" i="674" s="1"/>
  <c r="CH56" i="674"/>
  <c r="CI56" i="674" s="1"/>
  <c r="BZ56" i="674"/>
  <c r="CA56" i="674" s="1"/>
  <c r="BR56" i="674"/>
  <c r="BS56" i="674" s="1"/>
  <c r="BJ56" i="674"/>
  <c r="BK56" i="674" s="1"/>
  <c r="BB56" i="674"/>
  <c r="BC56" i="674" s="1"/>
  <c r="AT56" i="674"/>
  <c r="AU56" i="674" s="1"/>
  <c r="AL56" i="674"/>
  <c r="AM56" i="674" s="1"/>
  <c r="AD56" i="674"/>
  <c r="AE56" i="674" s="1"/>
  <c r="V56" i="674"/>
  <c r="W56" i="674" s="1"/>
  <c r="N56" i="674"/>
  <c r="O56" i="674" s="1"/>
  <c r="CX55" i="674"/>
  <c r="CY55" i="674" s="1"/>
  <c r="CP55" i="674"/>
  <c r="CQ55" i="674" s="1"/>
  <c r="CH55" i="674"/>
  <c r="CI55" i="674" s="1"/>
  <c r="BZ55" i="674"/>
  <c r="CA55" i="674" s="1"/>
  <c r="BR55" i="674"/>
  <c r="BS55" i="674" s="1"/>
  <c r="BJ55" i="674"/>
  <c r="BK55" i="674" s="1"/>
  <c r="BB55" i="674"/>
  <c r="BC55" i="674" s="1"/>
  <c r="AT55" i="674"/>
  <c r="AU55" i="674" s="1"/>
  <c r="AL55" i="674"/>
  <c r="AM55" i="674" s="1"/>
  <c r="AD55" i="674"/>
  <c r="AE55" i="674" s="1"/>
  <c r="V55" i="674"/>
  <c r="W55" i="674" s="1"/>
  <c r="N55" i="674"/>
  <c r="O55" i="674" s="1"/>
  <c r="CX54" i="674"/>
  <c r="CY54" i="674" s="1"/>
  <c r="CP54" i="674"/>
  <c r="CQ54" i="674" s="1"/>
  <c r="CH54" i="674"/>
  <c r="CI54" i="674" s="1"/>
  <c r="BZ54" i="674"/>
  <c r="CA54" i="674" s="1"/>
  <c r="BR54" i="674"/>
  <c r="BS54" i="674" s="1"/>
  <c r="BJ54" i="674"/>
  <c r="BK54" i="674" s="1"/>
  <c r="BB54" i="674"/>
  <c r="BC54" i="674" s="1"/>
  <c r="AT54" i="674"/>
  <c r="AU54" i="674" s="1"/>
  <c r="AL54" i="674"/>
  <c r="AM54" i="674" s="1"/>
  <c r="AD54" i="674"/>
  <c r="AE54" i="674" s="1"/>
  <c r="V54" i="674"/>
  <c r="W54" i="674" s="1"/>
  <c r="N54" i="674"/>
  <c r="O54" i="674" s="1"/>
  <c r="CX53" i="674"/>
  <c r="CY53" i="674" s="1"/>
  <c r="CP53" i="674"/>
  <c r="CQ53" i="674" s="1"/>
  <c r="CH53" i="674"/>
  <c r="CI53" i="674" s="1"/>
  <c r="BZ53" i="674"/>
  <c r="CA53" i="674" s="1"/>
  <c r="BR53" i="674"/>
  <c r="BS53" i="674" s="1"/>
  <c r="BJ53" i="674"/>
  <c r="BK53" i="674" s="1"/>
  <c r="BB53" i="674"/>
  <c r="BC53" i="674" s="1"/>
  <c r="AT53" i="674"/>
  <c r="AU53" i="674" s="1"/>
  <c r="AL53" i="674"/>
  <c r="AM53" i="674" s="1"/>
  <c r="AD53" i="674"/>
  <c r="AE53" i="674" s="1"/>
  <c r="V53" i="674"/>
  <c r="W53" i="674" s="1"/>
  <c r="N53" i="674"/>
  <c r="O53" i="674" s="1"/>
  <c r="CX52" i="674"/>
  <c r="CY52" i="674" s="1"/>
  <c r="CP52" i="674"/>
  <c r="CQ52" i="674" s="1"/>
  <c r="CH52" i="674"/>
  <c r="CI52" i="674" s="1"/>
  <c r="BZ52" i="674"/>
  <c r="CA52" i="674" s="1"/>
  <c r="BR52" i="674"/>
  <c r="BS52" i="674" s="1"/>
  <c r="BJ52" i="674"/>
  <c r="BK52" i="674" s="1"/>
  <c r="BB52" i="674"/>
  <c r="BC52" i="674" s="1"/>
  <c r="AT52" i="674"/>
  <c r="AU52" i="674" s="1"/>
  <c r="AL52" i="674"/>
  <c r="AM52" i="674" s="1"/>
  <c r="AD52" i="674"/>
  <c r="AE52" i="674" s="1"/>
  <c r="V52" i="674"/>
  <c r="W52" i="674" s="1"/>
  <c r="N52" i="674"/>
  <c r="O52" i="674" s="1"/>
  <c r="CX51" i="674"/>
  <c r="CY51" i="674" s="1"/>
  <c r="CP51" i="674"/>
  <c r="CQ51" i="674" s="1"/>
  <c r="CH51" i="674"/>
  <c r="CI51" i="674" s="1"/>
  <c r="BZ51" i="674"/>
  <c r="CA51" i="674" s="1"/>
  <c r="BR51" i="674"/>
  <c r="BS51" i="674" s="1"/>
  <c r="BJ51" i="674"/>
  <c r="BK51" i="674" s="1"/>
  <c r="BB51" i="674"/>
  <c r="BC51" i="674" s="1"/>
  <c r="AT51" i="674"/>
  <c r="AU51" i="674" s="1"/>
  <c r="AL51" i="674"/>
  <c r="AM51" i="674" s="1"/>
  <c r="AD51" i="674"/>
  <c r="AE51" i="674" s="1"/>
  <c r="V51" i="674"/>
  <c r="W51" i="674" s="1"/>
  <c r="N51" i="674"/>
  <c r="O51" i="674" s="1"/>
  <c r="CX50" i="674"/>
  <c r="CY50" i="674" s="1"/>
  <c r="CP50" i="674"/>
  <c r="CQ50" i="674" s="1"/>
  <c r="CH50" i="674"/>
  <c r="CI50" i="674" s="1"/>
  <c r="BZ50" i="674"/>
  <c r="CA50" i="674" s="1"/>
  <c r="BR50" i="674"/>
  <c r="BS50" i="674" s="1"/>
  <c r="BJ50" i="674"/>
  <c r="BK50" i="674" s="1"/>
  <c r="BB50" i="674"/>
  <c r="BC50" i="674" s="1"/>
  <c r="AT50" i="674"/>
  <c r="AU50" i="674" s="1"/>
  <c r="AL50" i="674"/>
  <c r="AM50" i="674" s="1"/>
  <c r="AD50" i="674"/>
  <c r="AE50" i="674" s="1"/>
  <c r="V50" i="674"/>
  <c r="W50" i="674" s="1"/>
  <c r="N50" i="674"/>
  <c r="O50" i="674" s="1"/>
  <c r="CX49" i="674"/>
  <c r="CY49" i="674" s="1"/>
  <c r="CP49" i="674"/>
  <c r="CQ49" i="674" s="1"/>
  <c r="CH49" i="674"/>
  <c r="CI49" i="674" s="1"/>
  <c r="BZ49" i="674"/>
  <c r="CA49" i="674" s="1"/>
  <c r="BR49" i="674"/>
  <c r="BS49" i="674" s="1"/>
  <c r="BJ49" i="674"/>
  <c r="BK49" i="674" s="1"/>
  <c r="BB49" i="674"/>
  <c r="BC49" i="674" s="1"/>
  <c r="AT49" i="674"/>
  <c r="AU49" i="674" s="1"/>
  <c r="AL49" i="674"/>
  <c r="AM49" i="674" s="1"/>
  <c r="AD49" i="674"/>
  <c r="AE49" i="674" s="1"/>
  <c r="V49" i="674"/>
  <c r="W49" i="674" s="1"/>
  <c r="N49" i="674"/>
  <c r="O49" i="674" s="1"/>
  <c r="CX48" i="674"/>
  <c r="CY48" i="674" s="1"/>
  <c r="CP48" i="674"/>
  <c r="CQ48" i="674" s="1"/>
  <c r="CH48" i="674"/>
  <c r="CI48" i="674" s="1"/>
  <c r="BZ48" i="674"/>
  <c r="CA48" i="674" s="1"/>
  <c r="BR48" i="674"/>
  <c r="BS48" i="674" s="1"/>
  <c r="BJ48" i="674"/>
  <c r="BK48" i="674" s="1"/>
  <c r="BB48" i="674"/>
  <c r="BC48" i="674" s="1"/>
  <c r="AT48" i="674"/>
  <c r="AU48" i="674" s="1"/>
  <c r="AL48" i="674"/>
  <c r="AM48" i="674" s="1"/>
  <c r="AD48" i="674"/>
  <c r="AE48" i="674" s="1"/>
  <c r="V48" i="674"/>
  <c r="W48" i="674" s="1"/>
  <c r="N48" i="674"/>
  <c r="O48" i="674" s="1"/>
  <c r="CX47" i="674"/>
  <c r="CY47" i="674" s="1"/>
  <c r="CP47" i="674"/>
  <c r="CQ47" i="674" s="1"/>
  <c r="CH47" i="674"/>
  <c r="CI47" i="674" s="1"/>
  <c r="BZ47" i="674"/>
  <c r="CA47" i="674" s="1"/>
  <c r="BR47" i="674"/>
  <c r="BS47" i="674" s="1"/>
  <c r="BJ47" i="674"/>
  <c r="BK47" i="674" s="1"/>
  <c r="BB47" i="674"/>
  <c r="BC47" i="674" s="1"/>
  <c r="AT47" i="674"/>
  <c r="AU47" i="674" s="1"/>
  <c r="AL47" i="674"/>
  <c r="AM47" i="674" s="1"/>
  <c r="AD47" i="674"/>
  <c r="AE47" i="674" s="1"/>
  <c r="V47" i="674"/>
  <c r="W47" i="674" s="1"/>
  <c r="N47" i="674"/>
  <c r="O47" i="674" s="1"/>
  <c r="CX46" i="674"/>
  <c r="CY46" i="674" s="1"/>
  <c r="CP46" i="674"/>
  <c r="CQ46" i="674" s="1"/>
  <c r="CH46" i="674"/>
  <c r="CI46" i="674" s="1"/>
  <c r="BZ46" i="674"/>
  <c r="CA46" i="674" s="1"/>
  <c r="BR46" i="674"/>
  <c r="BS46" i="674" s="1"/>
  <c r="BJ46" i="674"/>
  <c r="BK46" i="674" s="1"/>
  <c r="BB46" i="674"/>
  <c r="BC46" i="674" s="1"/>
  <c r="AT46" i="674"/>
  <c r="AU46" i="674" s="1"/>
  <c r="AL46" i="674"/>
  <c r="AM46" i="674" s="1"/>
  <c r="AD46" i="674"/>
  <c r="AE46" i="674" s="1"/>
  <c r="V46" i="674"/>
  <c r="W46" i="674" s="1"/>
  <c r="N46" i="674"/>
  <c r="O46" i="674" s="1"/>
  <c r="CX45" i="674"/>
  <c r="CY45" i="674" s="1"/>
  <c r="CP45" i="674"/>
  <c r="CQ45" i="674" s="1"/>
  <c r="CH45" i="674"/>
  <c r="CI45" i="674" s="1"/>
  <c r="BZ45" i="674"/>
  <c r="CA45" i="674" s="1"/>
  <c r="BR45" i="674"/>
  <c r="BS45" i="674" s="1"/>
  <c r="BJ45" i="674"/>
  <c r="BK45" i="674" s="1"/>
  <c r="BB45" i="674"/>
  <c r="BC45" i="674" s="1"/>
  <c r="AT45" i="674"/>
  <c r="AU45" i="674" s="1"/>
  <c r="AL45" i="674"/>
  <c r="AM45" i="674" s="1"/>
  <c r="AD45" i="674"/>
  <c r="AE45" i="674" s="1"/>
  <c r="V45" i="674"/>
  <c r="W45" i="674" s="1"/>
  <c r="N45" i="674"/>
  <c r="O45" i="674" s="1"/>
  <c r="CX44" i="674"/>
  <c r="CY44" i="674" s="1"/>
  <c r="CP44" i="674"/>
  <c r="CQ44" i="674" s="1"/>
  <c r="CH44" i="674"/>
  <c r="CI44" i="674" s="1"/>
  <c r="BZ44" i="674"/>
  <c r="CA44" i="674" s="1"/>
  <c r="BR44" i="674"/>
  <c r="BS44" i="674" s="1"/>
  <c r="BJ44" i="674"/>
  <c r="BK44" i="674" s="1"/>
  <c r="BB44" i="674"/>
  <c r="BC44" i="674" s="1"/>
  <c r="AT44" i="674"/>
  <c r="AU44" i="674" s="1"/>
  <c r="AL44" i="674"/>
  <c r="AM44" i="674" s="1"/>
  <c r="AD44" i="674"/>
  <c r="AE44" i="674" s="1"/>
  <c r="V44" i="674"/>
  <c r="W44" i="674" s="1"/>
  <c r="N44" i="674"/>
  <c r="O44" i="674" s="1"/>
  <c r="CX43" i="674"/>
  <c r="CY43" i="674" s="1"/>
  <c r="CP43" i="674"/>
  <c r="CQ43" i="674" s="1"/>
  <c r="CH43" i="674"/>
  <c r="CI43" i="674" s="1"/>
  <c r="BZ43" i="674"/>
  <c r="CA43" i="674" s="1"/>
  <c r="BR43" i="674"/>
  <c r="BS43" i="674" s="1"/>
  <c r="BJ43" i="674"/>
  <c r="BK43" i="674" s="1"/>
  <c r="BB43" i="674"/>
  <c r="BC43" i="674" s="1"/>
  <c r="AT43" i="674"/>
  <c r="AU43" i="674" s="1"/>
  <c r="AL43" i="674"/>
  <c r="AM43" i="674" s="1"/>
  <c r="AD43" i="674"/>
  <c r="AE43" i="674" s="1"/>
  <c r="V43" i="674"/>
  <c r="W43" i="674" s="1"/>
  <c r="N43" i="674"/>
  <c r="O43" i="674" s="1"/>
  <c r="CX42" i="674"/>
  <c r="CY42" i="674" s="1"/>
  <c r="CP42" i="674"/>
  <c r="CQ42" i="674" s="1"/>
  <c r="CH42" i="674"/>
  <c r="CI42" i="674" s="1"/>
  <c r="BZ42" i="674"/>
  <c r="CA42" i="674" s="1"/>
  <c r="BR42" i="674"/>
  <c r="BS42" i="674" s="1"/>
  <c r="BJ42" i="674"/>
  <c r="BK42" i="674" s="1"/>
  <c r="BB42" i="674"/>
  <c r="BC42" i="674" s="1"/>
  <c r="AT42" i="674"/>
  <c r="AU42" i="674" s="1"/>
  <c r="AL42" i="674"/>
  <c r="AM42" i="674" s="1"/>
  <c r="AD42" i="674"/>
  <c r="AE42" i="674" s="1"/>
  <c r="V42" i="674"/>
  <c r="W42" i="674" s="1"/>
  <c r="N42" i="674"/>
  <c r="O42" i="674" s="1"/>
  <c r="CX41" i="674"/>
  <c r="CY41" i="674" s="1"/>
  <c r="CP41" i="674"/>
  <c r="CQ41" i="674" s="1"/>
  <c r="CH41" i="674"/>
  <c r="CI41" i="674" s="1"/>
  <c r="BZ41" i="674"/>
  <c r="CA41" i="674" s="1"/>
  <c r="BR41" i="674"/>
  <c r="BS41" i="674" s="1"/>
  <c r="BJ41" i="674"/>
  <c r="BK41" i="674" s="1"/>
  <c r="BB41" i="674"/>
  <c r="BC41" i="674" s="1"/>
  <c r="AT41" i="674"/>
  <c r="AU41" i="674" s="1"/>
  <c r="AL41" i="674"/>
  <c r="AM41" i="674" s="1"/>
  <c r="AD41" i="674"/>
  <c r="AE41" i="674" s="1"/>
  <c r="V41" i="674"/>
  <c r="W41" i="674" s="1"/>
  <c r="N41" i="674"/>
  <c r="O41" i="674" s="1"/>
  <c r="CX40" i="674"/>
  <c r="CY40" i="674" s="1"/>
  <c r="CP40" i="674"/>
  <c r="CQ40" i="674" s="1"/>
  <c r="CH40" i="674"/>
  <c r="CI40" i="674" s="1"/>
  <c r="BZ40" i="674"/>
  <c r="CA40" i="674" s="1"/>
  <c r="BR40" i="674"/>
  <c r="BS40" i="674" s="1"/>
  <c r="BJ40" i="674"/>
  <c r="BK40" i="674" s="1"/>
  <c r="BB40" i="674"/>
  <c r="BC40" i="674" s="1"/>
  <c r="AT40" i="674"/>
  <c r="AU40" i="674" s="1"/>
  <c r="AL40" i="674"/>
  <c r="AM40" i="674" s="1"/>
  <c r="AD40" i="674"/>
  <c r="AE40" i="674" s="1"/>
  <c r="V40" i="674"/>
  <c r="W40" i="674" s="1"/>
  <c r="N40" i="674"/>
  <c r="O40" i="674" s="1"/>
  <c r="CX39" i="674"/>
  <c r="CY39" i="674" s="1"/>
  <c r="CP39" i="674"/>
  <c r="CQ39" i="674" s="1"/>
  <c r="CH39" i="674"/>
  <c r="CI39" i="674" s="1"/>
  <c r="BZ39" i="674"/>
  <c r="CA39" i="674" s="1"/>
  <c r="BR39" i="674"/>
  <c r="BS39" i="674" s="1"/>
  <c r="BJ39" i="674"/>
  <c r="BK39" i="674" s="1"/>
  <c r="BB39" i="674"/>
  <c r="BC39" i="674" s="1"/>
  <c r="AT39" i="674"/>
  <c r="AU39" i="674" s="1"/>
  <c r="AL39" i="674"/>
  <c r="AM39" i="674" s="1"/>
  <c r="AD39" i="674"/>
  <c r="AE39" i="674" s="1"/>
  <c r="V39" i="674"/>
  <c r="W39" i="674" s="1"/>
  <c r="N39" i="674"/>
  <c r="O39" i="674" s="1"/>
  <c r="CX38" i="674"/>
  <c r="CY38" i="674" s="1"/>
  <c r="CP38" i="674"/>
  <c r="CQ38" i="674" s="1"/>
  <c r="CH38" i="674"/>
  <c r="CI38" i="674" s="1"/>
  <c r="BZ38" i="674"/>
  <c r="CA38" i="674" s="1"/>
  <c r="BR38" i="674"/>
  <c r="BS38" i="674" s="1"/>
  <c r="BJ38" i="674"/>
  <c r="BK38" i="674" s="1"/>
  <c r="BB38" i="674"/>
  <c r="BC38" i="674" s="1"/>
  <c r="AT38" i="674"/>
  <c r="AU38" i="674" s="1"/>
  <c r="AL38" i="674"/>
  <c r="AM38" i="674" s="1"/>
  <c r="AD38" i="674"/>
  <c r="AE38" i="674" s="1"/>
  <c r="V38" i="674"/>
  <c r="W38" i="674" s="1"/>
  <c r="N38" i="674"/>
  <c r="O38" i="674" s="1"/>
  <c r="CX37" i="674"/>
  <c r="CY37" i="674" s="1"/>
  <c r="CP37" i="674"/>
  <c r="CQ37" i="674" s="1"/>
  <c r="CH37" i="674"/>
  <c r="CI37" i="674" s="1"/>
  <c r="BZ37" i="674"/>
  <c r="CA37" i="674" s="1"/>
  <c r="BR37" i="674"/>
  <c r="BS37" i="674" s="1"/>
  <c r="BJ37" i="674"/>
  <c r="BK37" i="674" s="1"/>
  <c r="BB37" i="674"/>
  <c r="BC37" i="674" s="1"/>
  <c r="AT37" i="674"/>
  <c r="AU37" i="674" s="1"/>
  <c r="AL37" i="674"/>
  <c r="AM37" i="674" s="1"/>
  <c r="AD37" i="674"/>
  <c r="AE37" i="674" s="1"/>
  <c r="V37" i="674"/>
  <c r="W37" i="674" s="1"/>
  <c r="N37" i="674"/>
  <c r="O37" i="674" s="1"/>
  <c r="CX36" i="674"/>
  <c r="CY36" i="674" s="1"/>
  <c r="CP36" i="674"/>
  <c r="CQ36" i="674" s="1"/>
  <c r="CH36" i="674"/>
  <c r="CI36" i="674" s="1"/>
  <c r="BZ36" i="674"/>
  <c r="CA36" i="674" s="1"/>
  <c r="BR36" i="674"/>
  <c r="BS36" i="674" s="1"/>
  <c r="BJ36" i="674"/>
  <c r="BK36" i="674" s="1"/>
  <c r="BB36" i="674"/>
  <c r="BC36" i="674" s="1"/>
  <c r="AT36" i="674"/>
  <c r="AU36" i="674" s="1"/>
  <c r="AL36" i="674"/>
  <c r="AM36" i="674" s="1"/>
  <c r="AD36" i="674"/>
  <c r="AE36" i="674" s="1"/>
  <c r="V36" i="674"/>
  <c r="W36" i="674" s="1"/>
  <c r="N36" i="674"/>
  <c r="O36" i="674" s="1"/>
  <c r="CX35" i="674"/>
  <c r="CY35" i="674" s="1"/>
  <c r="CP35" i="674"/>
  <c r="CQ35" i="674" s="1"/>
  <c r="CH35" i="674"/>
  <c r="CI35" i="674" s="1"/>
  <c r="BZ35" i="674"/>
  <c r="CA35" i="674" s="1"/>
  <c r="BR35" i="674"/>
  <c r="BS35" i="674" s="1"/>
  <c r="BJ35" i="674"/>
  <c r="BK35" i="674" s="1"/>
  <c r="BB35" i="674"/>
  <c r="BC35" i="674" s="1"/>
  <c r="AT35" i="674"/>
  <c r="AU35" i="674" s="1"/>
  <c r="AL35" i="674"/>
  <c r="AM35" i="674" s="1"/>
  <c r="AD35" i="674"/>
  <c r="AE35" i="674" s="1"/>
  <c r="V35" i="674"/>
  <c r="W35" i="674" s="1"/>
  <c r="N35" i="674"/>
  <c r="O35" i="674" s="1"/>
  <c r="CX34" i="674"/>
  <c r="CY34" i="674" s="1"/>
  <c r="CP34" i="674"/>
  <c r="CQ34" i="674" s="1"/>
  <c r="CH34" i="674"/>
  <c r="CI34" i="674" s="1"/>
  <c r="BZ34" i="674"/>
  <c r="CA34" i="674" s="1"/>
  <c r="BR34" i="674"/>
  <c r="BS34" i="674" s="1"/>
  <c r="BJ34" i="674"/>
  <c r="BK34" i="674" s="1"/>
  <c r="BB34" i="674"/>
  <c r="BC34" i="674" s="1"/>
  <c r="AT34" i="674"/>
  <c r="AU34" i="674" s="1"/>
  <c r="AL34" i="674"/>
  <c r="AM34" i="674" s="1"/>
  <c r="AD34" i="674"/>
  <c r="AE34" i="674" s="1"/>
  <c r="V34" i="674"/>
  <c r="W34" i="674" s="1"/>
  <c r="N34" i="674"/>
  <c r="O34" i="674" s="1"/>
  <c r="CX33" i="674"/>
  <c r="CY33" i="674" s="1"/>
  <c r="CP33" i="674"/>
  <c r="CQ33" i="674" s="1"/>
  <c r="CH33" i="674"/>
  <c r="CI33" i="674" s="1"/>
  <c r="BZ33" i="674"/>
  <c r="CA33" i="674" s="1"/>
  <c r="BR33" i="674"/>
  <c r="BS33" i="674" s="1"/>
  <c r="BJ33" i="674"/>
  <c r="BK33" i="674" s="1"/>
  <c r="BB33" i="674"/>
  <c r="BC33" i="674" s="1"/>
  <c r="AT33" i="674"/>
  <c r="AU33" i="674" s="1"/>
  <c r="AL33" i="674"/>
  <c r="AM33" i="674" s="1"/>
  <c r="AD33" i="674"/>
  <c r="AE33" i="674" s="1"/>
  <c r="V33" i="674"/>
  <c r="W33" i="674" s="1"/>
  <c r="N33" i="674"/>
  <c r="O33" i="674" s="1"/>
  <c r="CX32" i="674"/>
  <c r="CY32" i="674" s="1"/>
  <c r="CP32" i="674"/>
  <c r="CQ32" i="674" s="1"/>
  <c r="CH32" i="674"/>
  <c r="CI32" i="674" s="1"/>
  <c r="BZ32" i="674"/>
  <c r="CA32" i="674" s="1"/>
  <c r="BR32" i="674"/>
  <c r="BS32" i="674" s="1"/>
  <c r="BJ32" i="674"/>
  <c r="BK32" i="674" s="1"/>
  <c r="BB32" i="674"/>
  <c r="BC32" i="674" s="1"/>
  <c r="AT32" i="674"/>
  <c r="AU32" i="674" s="1"/>
  <c r="AL32" i="674"/>
  <c r="AM32" i="674" s="1"/>
  <c r="AD32" i="674"/>
  <c r="AE32" i="674" s="1"/>
  <c r="V32" i="674"/>
  <c r="W32" i="674" s="1"/>
  <c r="N32" i="674"/>
  <c r="O32" i="674" s="1"/>
  <c r="CX31" i="674"/>
  <c r="CY31" i="674" s="1"/>
  <c r="CP31" i="674"/>
  <c r="CQ31" i="674" s="1"/>
  <c r="CH31" i="674"/>
  <c r="CI31" i="674" s="1"/>
  <c r="BZ31" i="674"/>
  <c r="CA31" i="674" s="1"/>
  <c r="BR31" i="674"/>
  <c r="BS31" i="674" s="1"/>
  <c r="BJ31" i="674"/>
  <c r="BK31" i="674" s="1"/>
  <c r="BB31" i="674"/>
  <c r="BC31" i="674" s="1"/>
  <c r="AT31" i="674"/>
  <c r="AU31" i="674" s="1"/>
  <c r="AL31" i="674"/>
  <c r="AM31" i="674" s="1"/>
  <c r="AD31" i="674"/>
  <c r="AE31" i="674" s="1"/>
  <c r="V31" i="674"/>
  <c r="W31" i="674" s="1"/>
  <c r="N31" i="674"/>
  <c r="O31" i="674" s="1"/>
  <c r="CX30" i="674"/>
  <c r="CY30" i="674" s="1"/>
  <c r="CP30" i="674"/>
  <c r="CQ30" i="674" s="1"/>
  <c r="CH30" i="674"/>
  <c r="CI30" i="674" s="1"/>
  <c r="BZ30" i="674"/>
  <c r="CA30" i="674" s="1"/>
  <c r="BR30" i="674"/>
  <c r="BS30" i="674" s="1"/>
  <c r="BJ30" i="674"/>
  <c r="BK30" i="674" s="1"/>
  <c r="BB30" i="674"/>
  <c r="BC30" i="674" s="1"/>
  <c r="AT30" i="674"/>
  <c r="AU30" i="674" s="1"/>
  <c r="AL30" i="674"/>
  <c r="AM30" i="674" s="1"/>
  <c r="AD30" i="674"/>
  <c r="AE30" i="674" s="1"/>
  <c r="V30" i="674"/>
  <c r="W30" i="674" s="1"/>
  <c r="N30" i="674"/>
  <c r="O30" i="674" s="1"/>
  <c r="CX29" i="674"/>
  <c r="CY29" i="674" s="1"/>
  <c r="CP29" i="674"/>
  <c r="CQ29" i="674" s="1"/>
  <c r="CH29" i="674"/>
  <c r="CI29" i="674" s="1"/>
  <c r="BZ29" i="674"/>
  <c r="CA29" i="674" s="1"/>
  <c r="BR29" i="674"/>
  <c r="BS29" i="674" s="1"/>
  <c r="BJ29" i="674"/>
  <c r="BK29" i="674" s="1"/>
  <c r="BB29" i="674"/>
  <c r="BC29" i="674" s="1"/>
  <c r="AT29" i="674"/>
  <c r="AU29" i="674" s="1"/>
  <c r="AL29" i="674"/>
  <c r="AM29" i="674" s="1"/>
  <c r="AD29" i="674"/>
  <c r="AE29" i="674" s="1"/>
  <c r="V29" i="674"/>
  <c r="W29" i="674" s="1"/>
  <c r="N29" i="674"/>
  <c r="O29" i="674" s="1"/>
  <c r="CX28" i="674"/>
  <c r="CY28" i="674" s="1"/>
  <c r="CP28" i="674"/>
  <c r="CQ28" i="674" s="1"/>
  <c r="CH28" i="674"/>
  <c r="CI28" i="674" s="1"/>
  <c r="BZ28" i="674"/>
  <c r="CA28" i="674" s="1"/>
  <c r="BR28" i="674"/>
  <c r="BS28" i="674" s="1"/>
  <c r="BJ28" i="674"/>
  <c r="BK28" i="674" s="1"/>
  <c r="BB28" i="674"/>
  <c r="BC28" i="674" s="1"/>
  <c r="AT28" i="674"/>
  <c r="AU28" i="674" s="1"/>
  <c r="AL28" i="674"/>
  <c r="AM28" i="674" s="1"/>
  <c r="AD28" i="674"/>
  <c r="AE28" i="674" s="1"/>
  <c r="V28" i="674"/>
  <c r="W28" i="674" s="1"/>
  <c r="N28" i="674"/>
  <c r="O28" i="674" s="1"/>
  <c r="CX27" i="674"/>
  <c r="CY27" i="674" s="1"/>
  <c r="CP27" i="674"/>
  <c r="CQ27" i="674" s="1"/>
  <c r="CH27" i="674"/>
  <c r="CI27" i="674" s="1"/>
  <c r="BZ27" i="674"/>
  <c r="CA27" i="674" s="1"/>
  <c r="BR27" i="674"/>
  <c r="BS27" i="674" s="1"/>
  <c r="BJ27" i="674"/>
  <c r="BK27" i="674" s="1"/>
  <c r="BB27" i="674"/>
  <c r="BC27" i="674" s="1"/>
  <c r="AT27" i="674"/>
  <c r="AU27" i="674" s="1"/>
  <c r="AL27" i="674"/>
  <c r="AM27" i="674" s="1"/>
  <c r="AD27" i="674"/>
  <c r="AE27" i="674" s="1"/>
  <c r="V27" i="674"/>
  <c r="W27" i="674" s="1"/>
  <c r="N27" i="674"/>
  <c r="O27" i="674" s="1"/>
  <c r="CX26" i="674"/>
  <c r="CY26" i="674" s="1"/>
  <c r="CP26" i="674"/>
  <c r="CQ26" i="674" s="1"/>
  <c r="CH26" i="674"/>
  <c r="CI26" i="674" s="1"/>
  <c r="BZ26" i="674"/>
  <c r="CA26" i="674" s="1"/>
  <c r="BR26" i="674"/>
  <c r="BS26" i="674" s="1"/>
  <c r="BJ26" i="674"/>
  <c r="BK26" i="674" s="1"/>
  <c r="BB26" i="674"/>
  <c r="BC26" i="674" s="1"/>
  <c r="AT26" i="674"/>
  <c r="AU26" i="674" s="1"/>
  <c r="AL26" i="674"/>
  <c r="AM26" i="674" s="1"/>
  <c r="AD26" i="674"/>
  <c r="AE26" i="674" s="1"/>
  <c r="V26" i="674"/>
  <c r="W26" i="674" s="1"/>
  <c r="N26" i="674"/>
  <c r="O26" i="674" s="1"/>
  <c r="CX25" i="674"/>
  <c r="CY25" i="674" s="1"/>
  <c r="CP25" i="674"/>
  <c r="CQ25" i="674" s="1"/>
  <c r="CH25" i="674"/>
  <c r="CI25" i="674" s="1"/>
  <c r="BZ25" i="674"/>
  <c r="CA25" i="674" s="1"/>
  <c r="BR25" i="674"/>
  <c r="BS25" i="674" s="1"/>
  <c r="BJ25" i="674"/>
  <c r="BK25" i="674" s="1"/>
  <c r="BB25" i="674"/>
  <c r="BC25" i="674" s="1"/>
  <c r="AT25" i="674"/>
  <c r="AU25" i="674" s="1"/>
  <c r="AL25" i="674"/>
  <c r="AM25" i="674" s="1"/>
  <c r="AD25" i="674"/>
  <c r="AE25" i="674" s="1"/>
  <c r="V25" i="674"/>
  <c r="W25" i="674" s="1"/>
  <c r="N25" i="674"/>
  <c r="O25" i="674" s="1"/>
  <c r="CX24" i="674"/>
  <c r="CY24" i="674" s="1"/>
  <c r="CP24" i="674"/>
  <c r="CQ24" i="674" s="1"/>
  <c r="CH24" i="674"/>
  <c r="CI24" i="674" s="1"/>
  <c r="BZ24" i="674"/>
  <c r="CA24" i="674" s="1"/>
  <c r="BR24" i="674"/>
  <c r="BS24" i="674" s="1"/>
  <c r="BJ24" i="674"/>
  <c r="BK24" i="674" s="1"/>
  <c r="BB24" i="674"/>
  <c r="BC24" i="674" s="1"/>
  <c r="AT24" i="674"/>
  <c r="AU24" i="674" s="1"/>
  <c r="AL24" i="674"/>
  <c r="AM24" i="674" s="1"/>
  <c r="AD24" i="674"/>
  <c r="AE24" i="674" s="1"/>
  <c r="V24" i="674"/>
  <c r="W24" i="674" s="1"/>
  <c r="N24" i="674"/>
  <c r="O24" i="674" s="1"/>
  <c r="CX23" i="674"/>
  <c r="CY23" i="674" s="1"/>
  <c r="CP23" i="674"/>
  <c r="CQ23" i="674" s="1"/>
  <c r="CH23" i="674"/>
  <c r="CI23" i="674" s="1"/>
  <c r="BZ23" i="674"/>
  <c r="CA23" i="674" s="1"/>
  <c r="BR23" i="674"/>
  <c r="BS23" i="674" s="1"/>
  <c r="BJ23" i="674"/>
  <c r="BK23" i="674" s="1"/>
  <c r="BB23" i="674"/>
  <c r="BC23" i="674" s="1"/>
  <c r="AT23" i="674"/>
  <c r="AU23" i="674" s="1"/>
  <c r="AL23" i="674"/>
  <c r="AM23" i="674" s="1"/>
  <c r="AD23" i="674"/>
  <c r="AE23" i="674" s="1"/>
  <c r="V23" i="674"/>
  <c r="W23" i="674" s="1"/>
  <c r="N23" i="674"/>
  <c r="O23" i="674" s="1"/>
  <c r="CX22" i="674"/>
  <c r="CY22" i="674" s="1"/>
  <c r="CP22" i="674"/>
  <c r="CQ22" i="674" s="1"/>
  <c r="CH22" i="674"/>
  <c r="CI22" i="674" s="1"/>
  <c r="BZ22" i="674"/>
  <c r="CA22" i="674" s="1"/>
  <c r="BR22" i="674"/>
  <c r="BS22" i="674" s="1"/>
  <c r="BJ22" i="674"/>
  <c r="BK22" i="674" s="1"/>
  <c r="BB22" i="674"/>
  <c r="BC22" i="674" s="1"/>
  <c r="AT22" i="674"/>
  <c r="AU22" i="674" s="1"/>
  <c r="AL22" i="674"/>
  <c r="AM22" i="674" s="1"/>
  <c r="AD22" i="674"/>
  <c r="AE22" i="674" s="1"/>
  <c r="V22" i="674"/>
  <c r="W22" i="674" s="1"/>
  <c r="N22" i="674"/>
  <c r="O22" i="674" s="1"/>
  <c r="CX21" i="674"/>
  <c r="CY21" i="674" s="1"/>
  <c r="CP21" i="674"/>
  <c r="CQ21" i="674" s="1"/>
  <c r="CH21" i="674"/>
  <c r="CI21" i="674" s="1"/>
  <c r="BZ21" i="674"/>
  <c r="CA21" i="674" s="1"/>
  <c r="BR21" i="674"/>
  <c r="BS21" i="674" s="1"/>
  <c r="BJ21" i="674"/>
  <c r="BK21" i="674" s="1"/>
  <c r="BB21" i="674"/>
  <c r="BC21" i="674" s="1"/>
  <c r="AT21" i="674"/>
  <c r="AU21" i="674" s="1"/>
  <c r="AL21" i="674"/>
  <c r="AM21" i="674" s="1"/>
  <c r="AD21" i="674"/>
  <c r="AE21" i="674" s="1"/>
  <c r="V21" i="674"/>
  <c r="W21" i="674" s="1"/>
  <c r="N21" i="674"/>
  <c r="O21" i="674" s="1"/>
  <c r="CX20" i="674"/>
  <c r="CY20" i="674" s="1"/>
  <c r="CP20" i="674"/>
  <c r="CQ20" i="674" s="1"/>
  <c r="CH20" i="674"/>
  <c r="CI20" i="674" s="1"/>
  <c r="BZ20" i="674"/>
  <c r="CA20" i="674" s="1"/>
  <c r="BR20" i="674"/>
  <c r="BS20" i="674" s="1"/>
  <c r="BJ20" i="674"/>
  <c r="BK20" i="674" s="1"/>
  <c r="BB20" i="674"/>
  <c r="BC20" i="674" s="1"/>
  <c r="AT20" i="674"/>
  <c r="AU20" i="674" s="1"/>
  <c r="AL20" i="674"/>
  <c r="AM20" i="674" s="1"/>
  <c r="AD20" i="674"/>
  <c r="AE20" i="674" s="1"/>
  <c r="V20" i="674"/>
  <c r="W20" i="674" s="1"/>
  <c r="N20" i="674"/>
  <c r="O20" i="674" s="1"/>
  <c r="CX19" i="674"/>
  <c r="CY19" i="674" s="1"/>
  <c r="CP19" i="674"/>
  <c r="CQ19" i="674" s="1"/>
  <c r="CH19" i="674"/>
  <c r="CI19" i="674" s="1"/>
  <c r="BZ19" i="674"/>
  <c r="CA19" i="674" s="1"/>
  <c r="BR19" i="674"/>
  <c r="BS19" i="674" s="1"/>
  <c r="BJ19" i="674"/>
  <c r="BK19" i="674" s="1"/>
  <c r="BB19" i="674"/>
  <c r="BC19" i="674" s="1"/>
  <c r="AT19" i="674"/>
  <c r="AU19" i="674" s="1"/>
  <c r="AL19" i="674"/>
  <c r="AM19" i="674" s="1"/>
  <c r="AD19" i="674"/>
  <c r="AE19" i="674" s="1"/>
  <c r="V19" i="674"/>
  <c r="W19" i="674" s="1"/>
  <c r="N19" i="674"/>
  <c r="O19" i="674" s="1"/>
  <c r="CX18" i="674"/>
  <c r="CY18" i="674" s="1"/>
  <c r="CP18" i="674"/>
  <c r="CQ18" i="674" s="1"/>
  <c r="CH18" i="674"/>
  <c r="CI18" i="674" s="1"/>
  <c r="BZ18" i="674"/>
  <c r="CA18" i="674" s="1"/>
  <c r="BR18" i="674"/>
  <c r="BS18" i="674" s="1"/>
  <c r="BJ18" i="674"/>
  <c r="BK18" i="674" s="1"/>
  <c r="BB18" i="674"/>
  <c r="BC18" i="674" s="1"/>
  <c r="AT18" i="674"/>
  <c r="AU18" i="674" s="1"/>
  <c r="AL18" i="674"/>
  <c r="AM18" i="674" s="1"/>
  <c r="AD18" i="674"/>
  <c r="AE18" i="674" s="1"/>
  <c r="V18" i="674"/>
  <c r="W18" i="674" s="1"/>
  <c r="N18" i="674"/>
  <c r="O18" i="674" s="1"/>
  <c r="CX17" i="674"/>
  <c r="CY17" i="674" s="1"/>
  <c r="CP17" i="674"/>
  <c r="CQ17" i="674" s="1"/>
  <c r="CH17" i="674"/>
  <c r="CI17" i="674" s="1"/>
  <c r="BZ17" i="674"/>
  <c r="CA17" i="674" s="1"/>
  <c r="BR17" i="674"/>
  <c r="BS17" i="674" s="1"/>
  <c r="BJ17" i="674"/>
  <c r="BK17" i="674" s="1"/>
  <c r="BB17" i="674"/>
  <c r="BC17" i="674" s="1"/>
  <c r="AT17" i="674"/>
  <c r="AU17" i="674" s="1"/>
  <c r="AL17" i="674"/>
  <c r="AM17" i="674" s="1"/>
  <c r="AD17" i="674"/>
  <c r="AE17" i="674" s="1"/>
  <c r="V17" i="674"/>
  <c r="W17" i="674" s="1"/>
  <c r="N17" i="674"/>
  <c r="O17" i="674" s="1"/>
  <c r="CX16" i="674"/>
  <c r="CY16" i="674" s="1"/>
  <c r="CP16" i="674"/>
  <c r="CQ16" i="674" s="1"/>
  <c r="CH16" i="674"/>
  <c r="CI16" i="674" s="1"/>
  <c r="BZ16" i="674"/>
  <c r="CA16" i="674" s="1"/>
  <c r="BR16" i="674"/>
  <c r="BS16" i="674" s="1"/>
  <c r="BJ16" i="674"/>
  <c r="BK16" i="674" s="1"/>
  <c r="BB16" i="674"/>
  <c r="BC16" i="674" s="1"/>
  <c r="AT16" i="674"/>
  <c r="AU16" i="674" s="1"/>
  <c r="AL16" i="674"/>
  <c r="AM16" i="674" s="1"/>
  <c r="AD16" i="674"/>
  <c r="AE16" i="674" s="1"/>
  <c r="V16" i="674"/>
  <c r="W16" i="674" s="1"/>
  <c r="N16" i="674"/>
  <c r="O16" i="674" s="1"/>
  <c r="CX15" i="674"/>
  <c r="CY15" i="674" s="1"/>
  <c r="CP15" i="674"/>
  <c r="CQ15" i="674" s="1"/>
  <c r="CH15" i="674"/>
  <c r="CI15" i="674" s="1"/>
  <c r="BZ15" i="674"/>
  <c r="CA15" i="674" s="1"/>
  <c r="BR15" i="674"/>
  <c r="BS15" i="674" s="1"/>
  <c r="BJ15" i="674"/>
  <c r="BK15" i="674" s="1"/>
  <c r="BB15" i="674"/>
  <c r="BC15" i="674" s="1"/>
  <c r="AT15" i="674"/>
  <c r="AU15" i="674" s="1"/>
  <c r="AL15" i="674"/>
  <c r="AM15" i="674" s="1"/>
  <c r="AD15" i="674"/>
  <c r="AE15" i="674" s="1"/>
  <c r="V15" i="674"/>
  <c r="W15" i="674" s="1"/>
  <c r="N15" i="674"/>
  <c r="O15" i="674" s="1"/>
  <c r="CX14" i="674"/>
  <c r="CY14" i="674" s="1"/>
  <c r="CP14" i="674"/>
  <c r="CQ14" i="674" s="1"/>
  <c r="CH14" i="674"/>
  <c r="CI14" i="674" s="1"/>
  <c r="BZ14" i="674"/>
  <c r="CA14" i="674" s="1"/>
  <c r="BR14" i="674"/>
  <c r="BS14" i="674" s="1"/>
  <c r="BJ14" i="674"/>
  <c r="BK14" i="674" s="1"/>
  <c r="BB14" i="674"/>
  <c r="BC14" i="674" s="1"/>
  <c r="AT14" i="674"/>
  <c r="AU14" i="674" s="1"/>
  <c r="AL14" i="674"/>
  <c r="AM14" i="674" s="1"/>
  <c r="AD14" i="674"/>
  <c r="AE14" i="674" s="1"/>
  <c r="V14" i="674"/>
  <c r="W14" i="674" s="1"/>
  <c r="N14" i="674"/>
  <c r="O14" i="674" s="1"/>
  <c r="DA13" i="674"/>
  <c r="CX13" i="674"/>
  <c r="CY13" i="674" s="1"/>
  <c r="CP13" i="674"/>
  <c r="CQ13" i="674" s="1"/>
  <c r="CH13" i="674"/>
  <c r="CI13" i="674" s="1"/>
  <c r="BZ13" i="674"/>
  <c r="CA13" i="674" s="1"/>
  <c r="BR13" i="674"/>
  <c r="BS13" i="674" s="1"/>
  <c r="BJ13" i="674"/>
  <c r="BK13" i="674" s="1"/>
  <c r="BB13" i="674"/>
  <c r="BC13" i="674" s="1"/>
  <c r="AT13" i="674"/>
  <c r="AU13" i="674" s="1"/>
  <c r="AL13" i="674"/>
  <c r="AM13" i="674" s="1"/>
  <c r="AD13" i="674"/>
  <c r="AE13" i="674" s="1"/>
  <c r="V13" i="674"/>
  <c r="W13" i="674" s="1"/>
  <c r="N13" i="674"/>
  <c r="O13" i="674" s="1"/>
  <c r="CX12" i="674"/>
  <c r="CY12" i="674" s="1"/>
  <c r="CP12" i="674"/>
  <c r="CQ12" i="674" s="1"/>
  <c r="CH12" i="674"/>
  <c r="CI12" i="674" s="1"/>
  <c r="BZ12" i="674"/>
  <c r="CA12" i="674" s="1"/>
  <c r="BR12" i="674"/>
  <c r="BS12" i="674" s="1"/>
  <c r="BJ12" i="674"/>
  <c r="BK12" i="674" s="1"/>
  <c r="BB12" i="674"/>
  <c r="BC12" i="674" s="1"/>
  <c r="AT12" i="674"/>
  <c r="AU12" i="674" s="1"/>
  <c r="AL12" i="674"/>
  <c r="AM12" i="674" s="1"/>
  <c r="AD12" i="674"/>
  <c r="AE12" i="674" s="1"/>
  <c r="V12" i="674"/>
  <c r="W12" i="674" s="1"/>
  <c r="N12" i="674"/>
  <c r="O12" i="674" s="1"/>
  <c r="CX11" i="674"/>
  <c r="CY11" i="674" s="1"/>
  <c r="CP11" i="674"/>
  <c r="CQ11" i="674" s="1"/>
  <c r="CH11" i="674"/>
  <c r="CI11" i="674" s="1"/>
  <c r="BZ11" i="674"/>
  <c r="CA11" i="674" s="1"/>
  <c r="BR11" i="674"/>
  <c r="BS11" i="674" s="1"/>
  <c r="BJ11" i="674"/>
  <c r="BK11" i="674" s="1"/>
  <c r="BB11" i="674"/>
  <c r="BC11" i="674" s="1"/>
  <c r="AT11" i="674"/>
  <c r="AU11" i="674" s="1"/>
  <c r="AL11" i="674"/>
  <c r="AM11" i="674" s="1"/>
  <c r="AD11" i="674"/>
  <c r="AE11" i="674" s="1"/>
  <c r="V11" i="674"/>
  <c r="W11" i="674" s="1"/>
  <c r="N11" i="674"/>
  <c r="O11" i="674" s="1"/>
  <c r="CX10" i="674"/>
  <c r="CY10" i="674" s="1"/>
  <c r="CP10" i="674"/>
  <c r="CQ10" i="674" s="1"/>
  <c r="CH10" i="674"/>
  <c r="CI10" i="674" s="1"/>
  <c r="BZ10" i="674"/>
  <c r="CA10" i="674" s="1"/>
  <c r="BR10" i="674"/>
  <c r="BS10" i="674" s="1"/>
  <c r="BJ10" i="674"/>
  <c r="BK10" i="674" s="1"/>
  <c r="BB10" i="674"/>
  <c r="BC10" i="674" s="1"/>
  <c r="AT10" i="674"/>
  <c r="AU10" i="674" s="1"/>
  <c r="AL10" i="674"/>
  <c r="AM10" i="674" s="1"/>
  <c r="AD10" i="674"/>
  <c r="AE10" i="674" s="1"/>
  <c r="V10" i="674"/>
  <c r="W10" i="674" s="1"/>
  <c r="N10" i="674"/>
  <c r="O10" i="674" s="1"/>
  <c r="CX9" i="674"/>
  <c r="CY9" i="674" s="1"/>
  <c r="CP9" i="674"/>
  <c r="CQ9" i="674" s="1"/>
  <c r="CH9" i="674"/>
  <c r="CI9" i="674" s="1"/>
  <c r="BZ9" i="674"/>
  <c r="CA9" i="674" s="1"/>
  <c r="BR9" i="674"/>
  <c r="BS9" i="674" s="1"/>
  <c r="BJ9" i="674"/>
  <c r="BK9" i="674" s="1"/>
  <c r="BB9" i="674"/>
  <c r="BC9" i="674" s="1"/>
  <c r="AT9" i="674"/>
  <c r="AU9" i="674" s="1"/>
  <c r="AL9" i="674"/>
  <c r="AM9" i="674" s="1"/>
  <c r="AD9" i="674"/>
  <c r="AE9" i="674" s="1"/>
  <c r="V9" i="674"/>
  <c r="W9" i="674" s="1"/>
  <c r="N9" i="674"/>
  <c r="O9" i="674" s="1"/>
  <c r="CX8" i="674"/>
  <c r="CY8" i="674" s="1"/>
  <c r="CP8" i="674"/>
  <c r="CQ8" i="674" s="1"/>
  <c r="CH8" i="674"/>
  <c r="CI8" i="674" s="1"/>
  <c r="BZ8" i="674"/>
  <c r="CA8" i="674" s="1"/>
  <c r="BR8" i="674"/>
  <c r="BS8" i="674" s="1"/>
  <c r="BJ8" i="674"/>
  <c r="BK8" i="674" s="1"/>
  <c r="BB8" i="674"/>
  <c r="BC8" i="674" s="1"/>
  <c r="AT8" i="674"/>
  <c r="AU8" i="674" s="1"/>
  <c r="AL8" i="674"/>
  <c r="AM8" i="674" s="1"/>
  <c r="AD8" i="674"/>
  <c r="AE8" i="674" s="1"/>
  <c r="V8" i="674"/>
  <c r="W8" i="674" s="1"/>
  <c r="N8" i="674"/>
  <c r="O8" i="674" s="1"/>
  <c r="B8" i="674"/>
  <c r="B9" i="674" s="1"/>
  <c r="B10" i="674" s="1"/>
  <c r="B11" i="674" s="1"/>
  <c r="B12" i="674" s="1"/>
  <c r="B13" i="674" s="1"/>
  <c r="B14" i="674" s="1"/>
  <c r="B15" i="674" s="1"/>
  <c r="B16" i="674" s="1"/>
  <c r="B17" i="674" s="1"/>
  <c r="B18" i="674" s="1"/>
  <c r="B19" i="674" s="1"/>
  <c r="B20" i="674" s="1"/>
  <c r="B21" i="674" s="1"/>
  <c r="B22" i="674" s="1"/>
  <c r="B23" i="674" s="1"/>
  <c r="B24" i="674" s="1"/>
  <c r="B25" i="674" s="1"/>
  <c r="B26" i="674" s="1"/>
  <c r="B27" i="674" s="1"/>
  <c r="B28" i="674" s="1"/>
  <c r="B29" i="674" s="1"/>
  <c r="B30" i="674" s="1"/>
  <c r="B31" i="674" s="1"/>
  <c r="B32" i="674" s="1"/>
  <c r="B33" i="674" s="1"/>
  <c r="B34" i="674" s="1"/>
  <c r="B35" i="674" s="1"/>
  <c r="B36" i="674" s="1"/>
  <c r="B37" i="674" s="1"/>
  <c r="B38" i="674" s="1"/>
  <c r="B39" i="674" s="1"/>
  <c r="B40" i="674" s="1"/>
  <c r="B41" i="674" s="1"/>
  <c r="B42" i="674" s="1"/>
  <c r="B43" i="674" s="1"/>
  <c r="B44" i="674" s="1"/>
  <c r="B45" i="674" s="1"/>
  <c r="B46" i="674" s="1"/>
  <c r="B47" i="674" s="1"/>
  <c r="B48" i="674" s="1"/>
  <c r="B49" i="674" s="1"/>
  <c r="B50" i="674" s="1"/>
  <c r="B51" i="674" s="1"/>
  <c r="B52" i="674" s="1"/>
  <c r="B53" i="674" s="1"/>
  <c r="B54" i="674" s="1"/>
  <c r="B55" i="674" s="1"/>
  <c r="B56" i="674" s="1"/>
  <c r="B57" i="674" s="1"/>
  <c r="B58" i="674" s="1"/>
  <c r="B59" i="674" s="1"/>
  <c r="B60" i="674" s="1"/>
  <c r="B61" i="674" s="1"/>
  <c r="B62" i="674" s="1"/>
  <c r="B63" i="674" s="1"/>
  <c r="B64" i="674" s="1"/>
  <c r="B65" i="674" s="1"/>
  <c r="B66" i="674" s="1"/>
  <c r="B67" i="674" s="1"/>
  <c r="B68" i="674" s="1"/>
  <c r="B69" i="674" s="1"/>
  <c r="B70" i="674" s="1"/>
  <c r="B71" i="674" s="1"/>
  <c r="B72" i="674" s="1"/>
  <c r="B73" i="674" s="1"/>
  <c r="B74" i="674" s="1"/>
  <c r="B75" i="674" s="1"/>
  <c r="B76" i="674" s="1"/>
  <c r="B77" i="674" s="1"/>
  <c r="B78" i="674" s="1"/>
  <c r="B79" i="674" s="1"/>
  <c r="B80" i="674" s="1"/>
  <c r="B81" i="674" s="1"/>
  <c r="B82" i="674" s="1"/>
  <c r="B83" i="674" s="1"/>
  <c r="B84" i="674" s="1"/>
  <c r="B85" i="674" s="1"/>
  <c r="B86" i="674" s="1"/>
  <c r="B87" i="674" s="1"/>
  <c r="B88" i="674" s="1"/>
  <c r="B89" i="674" s="1"/>
  <c r="B90" i="674" s="1"/>
  <c r="B91" i="674" s="1"/>
  <c r="B92" i="674" s="1"/>
  <c r="B93" i="674" s="1"/>
  <c r="B94" i="674" s="1"/>
  <c r="B95" i="674" s="1"/>
  <c r="B96" i="674" s="1"/>
  <c r="B97" i="674" s="1"/>
  <c r="B98" i="674" s="1"/>
  <c r="B99" i="674" s="1"/>
  <c r="B100" i="674" s="1"/>
  <c r="B101" i="674" s="1"/>
  <c r="B102" i="674" s="1"/>
  <c r="B103" i="674" s="1"/>
  <c r="B104" i="674" s="1"/>
  <c r="B105" i="674" s="1"/>
  <c r="B106" i="674" s="1"/>
  <c r="B107" i="674" s="1"/>
  <c r="B108" i="674" s="1"/>
  <c r="B109" i="674" s="1"/>
  <c r="B110" i="674" s="1"/>
  <c r="B111" i="674" s="1"/>
  <c r="B112" i="674" s="1"/>
  <c r="B113" i="674" s="1"/>
  <c r="B114" i="674" s="1"/>
  <c r="B115" i="674" s="1"/>
  <c r="B116" i="674" s="1"/>
  <c r="B117" i="674" s="1"/>
  <c r="B118" i="674" s="1"/>
  <c r="B119" i="674" s="1"/>
  <c r="B120" i="674" s="1"/>
  <c r="B121" i="674" s="1"/>
  <c r="B122" i="674" s="1"/>
  <c r="B123" i="674" s="1"/>
  <c r="B124" i="674" s="1"/>
  <c r="B125" i="674" s="1"/>
  <c r="B126" i="674" s="1"/>
  <c r="B127" i="674" s="1"/>
  <c r="B128" i="674" s="1"/>
  <c r="B129" i="674" s="1"/>
  <c r="B130" i="674" s="1"/>
  <c r="B131" i="674" s="1"/>
  <c r="B132" i="674" s="1"/>
  <c r="B133" i="674" s="1"/>
  <c r="B134" i="674" s="1"/>
  <c r="B135" i="674" s="1"/>
  <c r="B136" i="674" s="1"/>
  <c r="B137" i="674" s="1"/>
  <c r="B138" i="674" s="1"/>
  <c r="B139" i="674" s="1"/>
  <c r="B140" i="674" s="1"/>
  <c r="B141" i="674" s="1"/>
  <c r="B142" i="674" s="1"/>
  <c r="B143" i="674" s="1"/>
  <c r="B144" i="674" s="1"/>
  <c r="B145" i="674" s="1"/>
  <c r="B146" i="674" s="1"/>
  <c r="B147" i="674" s="1"/>
  <c r="B148" i="674" s="1"/>
  <c r="B149" i="674" s="1"/>
  <c r="B150" i="674" s="1"/>
  <c r="B151" i="674" s="1"/>
  <c r="B152" i="674" s="1"/>
  <c r="B153" i="674" s="1"/>
  <c r="B154" i="674" s="1"/>
  <c r="B155" i="674" s="1"/>
  <c r="B156" i="674" s="1"/>
  <c r="B157" i="674" s="1"/>
  <c r="B158" i="674" s="1"/>
  <c r="B159" i="674" s="1"/>
  <c r="B160" i="674" s="1"/>
  <c r="B161" i="674" s="1"/>
  <c r="B162" i="674" s="1"/>
  <c r="B163" i="674" s="1"/>
  <c r="B164" i="674" s="1"/>
  <c r="B165" i="674" s="1"/>
  <c r="B166" i="674" s="1"/>
  <c r="B167" i="674" s="1"/>
  <c r="B168" i="674" s="1"/>
  <c r="B169" i="674" s="1"/>
  <c r="B170" i="674" s="1"/>
  <c r="B171" i="674" s="1"/>
  <c r="B172" i="674" s="1"/>
  <c r="B173" i="674" s="1"/>
  <c r="B174" i="674" s="1"/>
  <c r="B175" i="674" s="1"/>
  <c r="B176" i="674" s="1"/>
  <c r="B177" i="674" s="1"/>
  <c r="B178" i="674" s="1"/>
  <c r="B179" i="674" s="1"/>
  <c r="B180" i="674" s="1"/>
  <c r="B181" i="674" s="1"/>
  <c r="B182" i="674" s="1"/>
  <c r="B183" i="674" s="1"/>
  <c r="B184" i="674" s="1"/>
  <c r="B185" i="674" s="1"/>
  <c r="B186" i="674" s="1"/>
  <c r="B187" i="674" s="1"/>
  <c r="B188" i="674" s="1"/>
  <c r="B189" i="674" s="1"/>
  <c r="B190" i="674" s="1"/>
  <c r="B191" i="674" s="1"/>
  <c r="B192" i="674" s="1"/>
  <c r="B193" i="674" s="1"/>
  <c r="B194" i="674" s="1"/>
  <c r="B195" i="674" s="1"/>
  <c r="B196" i="674" s="1"/>
  <c r="B197" i="674" s="1"/>
  <c r="B198" i="674" s="1"/>
  <c r="B199" i="674" s="1"/>
  <c r="B200" i="674" s="1"/>
  <c r="B201" i="674" s="1"/>
  <c r="B202" i="674" s="1"/>
  <c r="B203" i="674" s="1"/>
  <c r="B204" i="674" s="1"/>
  <c r="B205" i="674" s="1"/>
  <c r="B206" i="674" s="1"/>
  <c r="B207" i="674" s="1"/>
  <c r="B208" i="674" s="1"/>
  <c r="B209" i="674" s="1"/>
  <c r="B210" i="674" s="1"/>
  <c r="B211" i="674" s="1"/>
  <c r="B212" i="674" s="1"/>
  <c r="B213" i="674" s="1"/>
  <c r="B214" i="674" s="1"/>
  <c r="B215" i="674" s="1"/>
  <c r="B216" i="674" s="1"/>
  <c r="B217" i="674" s="1"/>
  <c r="B218" i="674" s="1"/>
  <c r="B219" i="674" s="1"/>
  <c r="B220" i="674" s="1"/>
  <c r="B221" i="674" s="1"/>
  <c r="B222" i="674" s="1"/>
  <c r="B223" i="674" s="1"/>
  <c r="B224" i="674" s="1"/>
  <c r="B225" i="674" s="1"/>
  <c r="B226" i="674" s="1"/>
  <c r="B227" i="674" s="1"/>
  <c r="B228" i="674" s="1"/>
  <c r="B229" i="674" s="1"/>
  <c r="B230" i="674" s="1"/>
  <c r="B231" i="674" s="1"/>
  <c r="B232" i="674" s="1"/>
  <c r="B233" i="674" s="1"/>
  <c r="B234" i="674" s="1"/>
  <c r="B235" i="674" s="1"/>
  <c r="B236" i="674" s="1"/>
  <c r="B237" i="674" s="1"/>
  <c r="B238" i="674" s="1"/>
  <c r="B239" i="674" s="1"/>
  <c r="B240" i="674" s="1"/>
  <c r="B241" i="674" s="1"/>
  <c r="B242" i="674" s="1"/>
  <c r="B243" i="674" s="1"/>
  <c r="B244" i="674" s="1"/>
  <c r="B245" i="674" s="1"/>
  <c r="B246" i="674" s="1"/>
  <c r="B247" i="674" s="1"/>
  <c r="B248" i="674" s="1"/>
  <c r="B249" i="674" s="1"/>
  <c r="B250" i="674" s="1"/>
  <c r="B251" i="674" s="1"/>
  <c r="B252" i="674" s="1"/>
  <c r="B253" i="674" s="1"/>
  <c r="B254" i="674" s="1"/>
  <c r="B255" i="674" s="1"/>
  <c r="B256" i="674" s="1"/>
  <c r="B257" i="674" s="1"/>
  <c r="B258" i="674" s="1"/>
  <c r="B259" i="674" s="1"/>
  <c r="B260" i="674" s="1"/>
  <c r="B261" i="674" s="1"/>
  <c r="B262" i="674" s="1"/>
  <c r="B263" i="674" s="1"/>
  <c r="B264" i="674" s="1"/>
  <c r="B265" i="674" s="1"/>
  <c r="B266" i="674" s="1"/>
  <c r="B267" i="674" s="1"/>
  <c r="B268" i="674" s="1"/>
  <c r="B269" i="674" s="1"/>
  <c r="B270" i="674" s="1"/>
  <c r="B271" i="674" s="1"/>
  <c r="B272" i="674" s="1"/>
  <c r="B273" i="674" s="1"/>
  <c r="B274" i="674" s="1"/>
  <c r="B275" i="674" s="1"/>
  <c r="B276" i="674" s="1"/>
  <c r="B277" i="674" s="1"/>
  <c r="B278" i="674" s="1"/>
  <c r="B279" i="674" s="1"/>
  <c r="B280" i="674" s="1"/>
  <c r="B281" i="674" s="1"/>
  <c r="B282" i="674" s="1"/>
  <c r="B283" i="674" s="1"/>
  <c r="B284" i="674" s="1"/>
  <c r="B285" i="674" s="1"/>
  <c r="B286" i="674" s="1"/>
  <c r="B287" i="674" s="1"/>
  <c r="B288" i="674" s="1"/>
  <c r="B289" i="674" s="1"/>
  <c r="B290" i="674" s="1"/>
  <c r="B291" i="674" s="1"/>
  <c r="B292" i="674" s="1"/>
  <c r="B293" i="674" s="1"/>
  <c r="B294" i="674" s="1"/>
  <c r="B295" i="674" s="1"/>
  <c r="B296" i="674" s="1"/>
  <c r="B297" i="674" s="1"/>
  <c r="B298" i="674" s="1"/>
  <c r="B299" i="674" s="1"/>
  <c r="B300" i="674" s="1"/>
  <c r="B301" i="674" s="1"/>
  <c r="B302" i="674" s="1"/>
  <c r="B303" i="674" s="1"/>
  <c r="B304" i="674" s="1"/>
  <c r="B305" i="674" s="1"/>
  <c r="B306" i="674" s="1"/>
  <c r="B307" i="674" s="1"/>
  <c r="B308" i="674" s="1"/>
  <c r="B309" i="674" s="1"/>
  <c r="B310" i="674" s="1"/>
  <c r="B311" i="674" s="1"/>
  <c r="B312" i="674" s="1"/>
  <c r="B313" i="674" s="1"/>
  <c r="B314" i="674" s="1"/>
  <c r="B315" i="674" s="1"/>
  <c r="B316" i="674" s="1"/>
  <c r="B317" i="674" s="1"/>
  <c r="B318" i="674" s="1"/>
  <c r="B319" i="674" s="1"/>
  <c r="B320" i="674" s="1"/>
  <c r="B321" i="674" s="1"/>
  <c r="B322" i="674" s="1"/>
  <c r="B323" i="674" s="1"/>
  <c r="B324" i="674" s="1"/>
  <c r="B325" i="674" s="1"/>
  <c r="B326" i="674" s="1"/>
  <c r="B327" i="674" s="1"/>
  <c r="B328" i="674" s="1"/>
  <c r="B329" i="674" s="1"/>
  <c r="B330" i="674" s="1"/>
  <c r="B331" i="674" s="1"/>
  <c r="B332" i="674" s="1"/>
  <c r="B333" i="674" s="1"/>
  <c r="B334" i="674" s="1"/>
  <c r="B335" i="674" s="1"/>
  <c r="B336" i="674" s="1"/>
  <c r="B337" i="674" s="1"/>
  <c r="B338" i="674" s="1"/>
  <c r="B339" i="674" s="1"/>
  <c r="B340" i="674" s="1"/>
  <c r="B341" i="674" s="1"/>
  <c r="B342" i="674" s="1"/>
  <c r="B343" i="674" s="1"/>
  <c r="B344" i="674" s="1"/>
  <c r="B345" i="674" s="1"/>
  <c r="B346" i="674" s="1"/>
  <c r="B347" i="674" s="1"/>
  <c r="B348" i="674" s="1"/>
  <c r="B349" i="674" s="1"/>
  <c r="B350" i="674" s="1"/>
  <c r="B351" i="674" s="1"/>
  <c r="B352" i="674" s="1"/>
  <c r="B353" i="674" s="1"/>
  <c r="B354" i="674" s="1"/>
  <c r="B355" i="674" s="1"/>
  <c r="B356" i="674" s="1"/>
  <c r="B357" i="674" s="1"/>
  <c r="B358" i="674" s="1"/>
  <c r="B359" i="674" s="1"/>
  <c r="B360" i="674" s="1"/>
  <c r="B361" i="674" s="1"/>
  <c r="B362" i="674" s="1"/>
  <c r="B363" i="674" s="1"/>
  <c r="B364" i="674" s="1"/>
  <c r="B365" i="674" s="1"/>
  <c r="B366" i="674" s="1"/>
  <c r="B367" i="674" s="1"/>
  <c r="B368" i="674" s="1"/>
  <c r="B369" i="674" s="1"/>
  <c r="B370" i="674" s="1"/>
  <c r="B371" i="674" s="1"/>
  <c r="B372" i="674" s="1"/>
  <c r="B373" i="674" s="1"/>
  <c r="B374" i="674" s="1"/>
  <c r="B375" i="674" s="1"/>
  <c r="B376" i="674" s="1"/>
  <c r="B377" i="674" s="1"/>
  <c r="B378" i="674" s="1"/>
  <c r="B379" i="674" s="1"/>
  <c r="B380" i="674" s="1"/>
  <c r="B381" i="674" s="1"/>
  <c r="B382" i="674" s="1"/>
  <c r="B383" i="674" s="1"/>
  <c r="B384" i="674" s="1"/>
  <c r="B385" i="674" s="1"/>
  <c r="B386" i="674" s="1"/>
  <c r="B387" i="674" s="1"/>
  <c r="B388" i="674" s="1"/>
  <c r="B389" i="674" s="1"/>
  <c r="B390" i="674" s="1"/>
  <c r="B391" i="674" s="1"/>
  <c r="B392" i="674" s="1"/>
  <c r="B393" i="674" s="1"/>
  <c r="B394" i="674" s="1"/>
  <c r="B395" i="674" s="1"/>
  <c r="B396" i="674" s="1"/>
  <c r="B397" i="674" s="1"/>
  <c r="B398" i="674" s="1"/>
  <c r="B399" i="674" s="1"/>
  <c r="B400" i="674" s="1"/>
  <c r="B401" i="674" s="1"/>
  <c r="B402" i="674" s="1"/>
  <c r="B403" i="674" s="1"/>
  <c r="B404" i="674" s="1"/>
  <c r="B405" i="674" s="1"/>
  <c r="B406" i="674" s="1"/>
  <c r="B407" i="674" s="1"/>
  <c r="B408" i="674" s="1"/>
  <c r="B409" i="674" s="1"/>
  <c r="B410" i="674" s="1"/>
  <c r="B411" i="674" s="1"/>
  <c r="B412" i="674" s="1"/>
  <c r="B413" i="674" s="1"/>
  <c r="B414" i="674" s="1"/>
  <c r="B415" i="674" s="1"/>
  <c r="B416" i="674" s="1"/>
  <c r="B417" i="674" s="1"/>
  <c r="B418" i="674" s="1"/>
  <c r="B419" i="674" s="1"/>
  <c r="B420" i="674" s="1"/>
  <c r="B421" i="674" s="1"/>
  <c r="B422" i="674" s="1"/>
  <c r="B423" i="674" s="1"/>
  <c r="B424" i="674" s="1"/>
  <c r="B425" i="674" s="1"/>
  <c r="B426" i="674" s="1"/>
  <c r="B427" i="674" s="1"/>
  <c r="B428" i="674" s="1"/>
  <c r="B429" i="674" s="1"/>
  <c r="B430" i="674" s="1"/>
  <c r="B431" i="674" s="1"/>
  <c r="B432" i="674" s="1"/>
  <c r="B433" i="674" s="1"/>
  <c r="B434" i="674" s="1"/>
  <c r="B435" i="674" s="1"/>
  <c r="B436" i="674" s="1"/>
  <c r="B437" i="674" s="1"/>
  <c r="B438" i="674" s="1"/>
  <c r="B439" i="674" s="1"/>
  <c r="B440" i="674" s="1"/>
  <c r="B441" i="674" s="1"/>
  <c r="B442" i="674" s="1"/>
  <c r="B443" i="674" s="1"/>
  <c r="B444" i="674" s="1"/>
  <c r="B445" i="674" s="1"/>
  <c r="B446" i="674" s="1"/>
  <c r="B447" i="674" s="1"/>
  <c r="B448" i="674" s="1"/>
  <c r="B449" i="674" s="1"/>
  <c r="B450" i="674" s="1"/>
  <c r="B451" i="674" s="1"/>
  <c r="B452" i="674" s="1"/>
  <c r="B453" i="674" s="1"/>
  <c r="B454" i="674" s="1"/>
  <c r="B455" i="674" s="1"/>
  <c r="B456" i="674" s="1"/>
  <c r="B457" i="674" s="1"/>
  <c r="B458" i="674" s="1"/>
  <c r="B459" i="674" s="1"/>
  <c r="B460" i="674" s="1"/>
  <c r="B461" i="674" s="1"/>
  <c r="B462" i="674" s="1"/>
  <c r="B463" i="674" s="1"/>
  <c r="B464" i="674" s="1"/>
  <c r="B465" i="674" s="1"/>
  <c r="B466" i="674" s="1"/>
  <c r="B467" i="674" s="1"/>
  <c r="B468" i="674" s="1"/>
  <c r="B469" i="674" s="1"/>
  <c r="B470" i="674" s="1"/>
  <c r="B471" i="674" s="1"/>
  <c r="B472" i="674" s="1"/>
  <c r="B473" i="674" s="1"/>
  <c r="B474" i="674" s="1"/>
  <c r="B475" i="674" s="1"/>
  <c r="B476" i="674" s="1"/>
  <c r="B477" i="674" s="1"/>
  <c r="B478" i="674" s="1"/>
  <c r="B479" i="674" s="1"/>
  <c r="B480" i="674" s="1"/>
  <c r="B481" i="674" s="1"/>
  <c r="B482" i="674" s="1"/>
  <c r="B483" i="674" s="1"/>
  <c r="B484" i="674" s="1"/>
  <c r="B485" i="674" s="1"/>
  <c r="B486" i="674" s="1"/>
  <c r="B487" i="674" s="1"/>
  <c r="B488" i="674" s="1"/>
  <c r="B489" i="674" s="1"/>
  <c r="B490" i="674" s="1"/>
  <c r="B491" i="674" s="1"/>
  <c r="B492" i="674" s="1"/>
  <c r="B493" i="674" s="1"/>
  <c r="B494" i="674" s="1"/>
  <c r="B495" i="674" s="1"/>
  <c r="B496" i="674" s="1"/>
  <c r="B497" i="674" s="1"/>
  <c r="B498" i="674" s="1"/>
  <c r="B499" i="674" s="1"/>
  <c r="B500" i="674" s="1"/>
  <c r="B501" i="674" s="1"/>
  <c r="B502" i="674" s="1"/>
  <c r="B503" i="674" s="1"/>
  <c r="B504" i="674" s="1"/>
  <c r="B505" i="674" s="1"/>
  <c r="B506" i="674" s="1"/>
  <c r="B507" i="674" s="1"/>
  <c r="B508" i="674" s="1"/>
  <c r="B509" i="674" s="1"/>
  <c r="B510" i="674" s="1"/>
  <c r="B511" i="674" s="1"/>
  <c r="B512" i="674" s="1"/>
  <c r="B513" i="674" s="1"/>
  <c r="B514" i="674" s="1"/>
  <c r="B515" i="674" s="1"/>
  <c r="B516" i="674" s="1"/>
  <c r="B517" i="674" s="1"/>
  <c r="B518" i="674" s="1"/>
  <c r="B519" i="674" s="1"/>
  <c r="B520" i="674" s="1"/>
  <c r="B521" i="674" s="1"/>
  <c r="B522" i="674" s="1"/>
  <c r="B523" i="674" s="1"/>
  <c r="B524" i="674" s="1"/>
  <c r="B525" i="674" s="1"/>
  <c r="B526" i="674" s="1"/>
  <c r="B527" i="674" s="1"/>
  <c r="B528" i="674" s="1"/>
  <c r="B529" i="674" s="1"/>
  <c r="B530" i="674" s="1"/>
  <c r="B531" i="674" s="1"/>
  <c r="B532" i="674" s="1"/>
  <c r="B533" i="674" s="1"/>
  <c r="B534" i="674" s="1"/>
  <c r="B535" i="674" s="1"/>
  <c r="B536" i="674" s="1"/>
  <c r="B537" i="674" s="1"/>
  <c r="B538" i="674" s="1"/>
  <c r="B539" i="674" s="1"/>
  <c r="B540" i="674" s="1"/>
  <c r="B541" i="674" s="1"/>
  <c r="B542" i="674" s="1"/>
  <c r="B543" i="674" s="1"/>
  <c r="B544" i="674" s="1"/>
  <c r="B545" i="674" s="1"/>
  <c r="B546" i="674" s="1"/>
  <c r="B547" i="674" s="1"/>
  <c r="B548" i="674" s="1"/>
  <c r="B549" i="674" s="1"/>
  <c r="B550" i="674" s="1"/>
  <c r="B551" i="674" s="1"/>
  <c r="B552" i="674" s="1"/>
  <c r="B553" i="674" s="1"/>
  <c r="B554" i="674" s="1"/>
  <c r="B555" i="674" s="1"/>
  <c r="B556" i="674" s="1"/>
  <c r="B557" i="674" s="1"/>
  <c r="B558" i="674" s="1"/>
  <c r="B559" i="674" s="1"/>
  <c r="B560" i="674" s="1"/>
  <c r="B561" i="674" s="1"/>
  <c r="B562" i="674" s="1"/>
  <c r="B563" i="674" s="1"/>
  <c r="B564" i="674" s="1"/>
  <c r="B565" i="674" s="1"/>
  <c r="B566" i="674" s="1"/>
  <c r="B567" i="674" s="1"/>
  <c r="B568" i="674" s="1"/>
  <c r="B569" i="674" s="1"/>
  <c r="B570" i="674" s="1"/>
  <c r="B571" i="674" s="1"/>
  <c r="B572" i="674" s="1"/>
  <c r="B573" i="674" s="1"/>
  <c r="B574" i="674" s="1"/>
  <c r="B575" i="674" s="1"/>
  <c r="B576" i="674" s="1"/>
  <c r="B577" i="674" s="1"/>
  <c r="B578" i="674" s="1"/>
  <c r="B579" i="674" s="1"/>
  <c r="B580" i="674" s="1"/>
  <c r="B581" i="674" s="1"/>
  <c r="B582" i="674" s="1"/>
  <c r="B583" i="674" s="1"/>
  <c r="B584" i="674" s="1"/>
  <c r="B585" i="674" s="1"/>
  <c r="B586" i="674" s="1"/>
  <c r="B587" i="674" s="1"/>
  <c r="B588" i="674" s="1"/>
  <c r="B589" i="674" s="1"/>
  <c r="B590" i="674" s="1"/>
  <c r="B591" i="674" s="1"/>
  <c r="B592" i="674" s="1"/>
  <c r="B593" i="674" s="1"/>
  <c r="B594" i="674" s="1"/>
  <c r="B595" i="674" s="1"/>
  <c r="B596" i="674" s="1"/>
  <c r="B597" i="674" s="1"/>
  <c r="B598" i="674" s="1"/>
  <c r="B599" i="674" s="1"/>
  <c r="B600" i="674" s="1"/>
  <c r="B601" i="674" s="1"/>
  <c r="B602" i="674" s="1"/>
  <c r="B603" i="674" s="1"/>
  <c r="B604" i="674" s="1"/>
  <c r="B605" i="674" s="1"/>
  <c r="B606" i="674" s="1"/>
  <c r="B607" i="674" s="1"/>
  <c r="B608" i="674" s="1"/>
  <c r="B609" i="674" s="1"/>
  <c r="B610" i="674" s="1"/>
  <c r="B611" i="674" s="1"/>
  <c r="B612" i="674" s="1"/>
  <c r="B613" i="674" s="1"/>
  <c r="B614" i="674" s="1"/>
  <c r="B615" i="674" s="1"/>
  <c r="B616" i="674" s="1"/>
  <c r="B617" i="674" s="1"/>
  <c r="B618" i="674" s="1"/>
  <c r="B619" i="674" s="1"/>
  <c r="B620" i="674" s="1"/>
  <c r="B621" i="674" s="1"/>
  <c r="B622" i="674" s="1"/>
  <c r="B623" i="674" s="1"/>
  <c r="B624" i="674" s="1"/>
  <c r="B625" i="674" s="1"/>
  <c r="B626" i="674" s="1"/>
  <c r="B627" i="674" s="1"/>
  <c r="B628" i="674" s="1"/>
  <c r="B629" i="674" s="1"/>
  <c r="B630" i="674" s="1"/>
  <c r="B631" i="674" s="1"/>
  <c r="B632" i="674" s="1"/>
  <c r="B633" i="674" s="1"/>
  <c r="B634" i="674" s="1"/>
  <c r="B635" i="674" s="1"/>
  <c r="B636" i="674" s="1"/>
  <c r="B637" i="674" s="1"/>
  <c r="B638" i="674" s="1"/>
  <c r="B639" i="674" s="1"/>
  <c r="B640" i="674" s="1"/>
  <c r="B641" i="674" s="1"/>
  <c r="B642" i="674" s="1"/>
  <c r="B643" i="674" s="1"/>
  <c r="B644" i="674" s="1"/>
  <c r="B645" i="674" s="1"/>
  <c r="B646" i="674" s="1"/>
  <c r="B647" i="674" s="1"/>
  <c r="B648" i="674" s="1"/>
  <c r="B649" i="674" s="1"/>
  <c r="B650" i="674" s="1"/>
  <c r="B651" i="674" s="1"/>
  <c r="B652" i="674" s="1"/>
  <c r="B653" i="674" s="1"/>
  <c r="B654" i="674" s="1"/>
  <c r="B742" i="674" s="1"/>
  <c r="CX7" i="674"/>
  <c r="CY7" i="674" s="1"/>
  <c r="CP7" i="674"/>
  <c r="CQ7" i="674" s="1"/>
  <c r="CH7" i="674"/>
  <c r="BZ7" i="674"/>
  <c r="BR7" i="674"/>
  <c r="BS7" i="674" s="1"/>
  <c r="BJ7" i="674"/>
  <c r="BK7" i="674" s="1"/>
  <c r="BB7" i="674"/>
  <c r="BC7" i="674" s="1"/>
  <c r="AT7" i="674"/>
  <c r="AL7" i="674"/>
  <c r="AM7" i="674" s="1"/>
  <c r="AD7" i="674"/>
  <c r="AE7" i="674" s="1"/>
  <c r="V7" i="674"/>
  <c r="N7" i="674"/>
  <c r="M775" i="673"/>
  <c r="L775" i="673"/>
  <c r="K775" i="673"/>
  <c r="J775" i="673"/>
  <c r="I775" i="673"/>
  <c r="H775" i="673"/>
  <c r="G775" i="673"/>
  <c r="M774" i="673"/>
  <c r="L774" i="673"/>
  <c r="K774" i="673"/>
  <c r="J774" i="673"/>
  <c r="I774" i="673"/>
  <c r="H774" i="673"/>
  <c r="G774" i="673"/>
  <c r="F774" i="673"/>
  <c r="A732" i="673"/>
  <c r="A733" i="673" s="1"/>
  <c r="A734" i="673" s="1"/>
  <c r="A735" i="673" s="1"/>
  <c r="A736" i="673" s="1"/>
  <c r="A737" i="673" s="1"/>
  <c r="A738" i="673" s="1"/>
  <c r="A739" i="673" s="1"/>
  <c r="A740" i="673" s="1"/>
  <c r="A741" i="673" s="1"/>
  <c r="A742" i="673" s="1"/>
  <c r="A743" i="673" s="1"/>
  <c r="A744" i="673" s="1"/>
  <c r="A745" i="673" s="1"/>
  <c r="A746" i="673" s="1"/>
  <c r="A747" i="673" s="1"/>
  <c r="A748" i="673" s="1"/>
  <c r="A749" i="673" s="1"/>
  <c r="A750" i="673" s="1"/>
  <c r="A751" i="673" s="1"/>
  <c r="A752" i="673" s="1"/>
  <c r="A753" i="673" s="1"/>
  <c r="A754" i="673" s="1"/>
  <c r="A755" i="673" s="1"/>
  <c r="A756" i="673" s="1"/>
  <c r="A757" i="673" s="1"/>
  <c r="A758" i="673" s="1"/>
  <c r="A759" i="673" s="1"/>
  <c r="A760" i="673" s="1"/>
  <c r="A761" i="673" s="1"/>
  <c r="A762" i="673" s="1"/>
  <c r="A763" i="673" s="1"/>
  <c r="A764" i="673" s="1"/>
  <c r="A765" i="673" s="1"/>
  <c r="A766" i="673" s="1"/>
  <c r="A767" i="673" s="1"/>
  <c r="A768" i="673" s="1"/>
  <c r="A769" i="673" s="1"/>
  <c r="A770" i="673" s="1"/>
  <c r="A771" i="673" s="1"/>
  <c r="A772" i="673" s="1"/>
  <c r="A773" i="673" s="1"/>
  <c r="A774" i="673" s="1"/>
  <c r="M729" i="673"/>
  <c r="L729" i="673"/>
  <c r="K729" i="673"/>
  <c r="J729" i="673"/>
  <c r="I729" i="673"/>
  <c r="H729" i="673"/>
  <c r="G729" i="673"/>
  <c r="F729" i="673"/>
  <c r="A687" i="673"/>
  <c r="A688" i="673" s="1"/>
  <c r="M684" i="673"/>
  <c r="L684" i="673"/>
  <c r="K684" i="673"/>
  <c r="J684" i="673"/>
  <c r="I684" i="673"/>
  <c r="H684" i="673"/>
  <c r="G684" i="673"/>
  <c r="F684" i="673"/>
  <c r="R544" i="673"/>
  <c r="A9" i="673"/>
  <c r="A10" i="673" s="1"/>
  <c r="A11" i="673" s="1"/>
  <c r="A12" i="673" s="1"/>
  <c r="A13" i="673" s="1"/>
  <c r="A14" i="673" s="1"/>
  <c r="A15" i="673" s="1"/>
  <c r="A16" i="673" s="1"/>
  <c r="A17" i="673" s="1"/>
  <c r="A18" i="673" s="1"/>
  <c r="A19" i="673" s="1"/>
  <c r="A20" i="673" s="1"/>
  <c r="A21" i="673" s="1"/>
  <c r="A22" i="673" s="1"/>
  <c r="A23" i="673" s="1"/>
  <c r="A24" i="673" s="1"/>
  <c r="A25" i="673" s="1"/>
  <c r="A26" i="673" s="1"/>
  <c r="A27" i="673" s="1"/>
  <c r="A28" i="673" s="1"/>
  <c r="A29" i="673" s="1"/>
  <c r="A30" i="673" s="1"/>
  <c r="A31" i="673" s="1"/>
  <c r="A32" i="673" s="1"/>
  <c r="A33" i="673" s="1"/>
  <c r="A34" i="673" s="1"/>
  <c r="A35" i="673" s="1"/>
  <c r="A36" i="673" s="1"/>
  <c r="A37" i="673" s="1"/>
  <c r="A38" i="673" s="1"/>
  <c r="A39" i="673" s="1"/>
  <c r="A40" i="673" s="1"/>
  <c r="A41" i="673" s="1"/>
  <c r="A42" i="673" s="1"/>
  <c r="A43" i="673" s="1"/>
  <c r="A44" i="673" s="1"/>
  <c r="A45" i="673" s="1"/>
  <c r="A46" i="673" s="1"/>
  <c r="A47" i="673" s="1"/>
  <c r="A48" i="673" s="1"/>
  <c r="A49" i="673" s="1"/>
  <c r="A50" i="673" s="1"/>
  <c r="A51" i="673" s="1"/>
  <c r="A52" i="673" s="1"/>
  <c r="A53" i="673" s="1"/>
  <c r="A54" i="673" s="1"/>
  <c r="A55" i="673" s="1"/>
  <c r="A56" i="673" s="1"/>
  <c r="A57" i="673" s="1"/>
  <c r="A58" i="673" s="1"/>
  <c r="A59" i="673" s="1"/>
  <c r="A60" i="673" s="1"/>
  <c r="A61" i="673" s="1"/>
  <c r="A62" i="673" s="1"/>
  <c r="A63" i="673" s="1"/>
  <c r="A64" i="673" s="1"/>
  <c r="A65" i="673" s="1"/>
  <c r="A66" i="673" s="1"/>
  <c r="A67" i="673" s="1"/>
  <c r="A68" i="673" s="1"/>
  <c r="A69" i="673" s="1"/>
  <c r="A70" i="673" s="1"/>
  <c r="A71" i="673" s="1"/>
  <c r="A72" i="673" s="1"/>
  <c r="A73" i="673" s="1"/>
  <c r="A74" i="673" s="1"/>
  <c r="A75" i="673" s="1"/>
  <c r="A76" i="673" s="1"/>
  <c r="A77" i="673" s="1"/>
  <c r="A78" i="673" s="1"/>
  <c r="A79" i="673" s="1"/>
  <c r="A80" i="673" s="1"/>
  <c r="A81" i="673" s="1"/>
  <c r="A82" i="673" s="1"/>
  <c r="A83" i="673" s="1"/>
  <c r="A84" i="673" s="1"/>
  <c r="A85" i="673" s="1"/>
  <c r="A86" i="673" s="1"/>
  <c r="A87" i="673" s="1"/>
  <c r="A88" i="673" s="1"/>
  <c r="A89" i="673" s="1"/>
  <c r="A90" i="673" s="1"/>
  <c r="A91" i="673" s="1"/>
  <c r="A92" i="673" s="1"/>
  <c r="A93" i="673" s="1"/>
  <c r="A94" i="673" s="1"/>
  <c r="A95" i="673" s="1"/>
  <c r="A96" i="673" s="1"/>
  <c r="A97" i="673" s="1"/>
  <c r="A98" i="673" s="1"/>
  <c r="A99" i="673" s="1"/>
  <c r="A100" i="673" s="1"/>
  <c r="A101" i="673" s="1"/>
  <c r="A102" i="673" s="1"/>
  <c r="A103" i="673" s="1"/>
  <c r="A104" i="673" s="1"/>
  <c r="A105" i="673" s="1"/>
  <c r="A106" i="673" s="1"/>
  <c r="A107" i="673" s="1"/>
  <c r="A108" i="673" s="1"/>
  <c r="A109" i="673" s="1"/>
  <c r="A110" i="673" s="1"/>
  <c r="A111" i="673" s="1"/>
  <c r="A112" i="673" s="1"/>
  <c r="A113" i="673" s="1"/>
  <c r="A114" i="673" s="1"/>
  <c r="A115" i="673" s="1"/>
  <c r="A116" i="673" s="1"/>
  <c r="A117" i="673" s="1"/>
  <c r="A118" i="673" s="1"/>
  <c r="A119" i="673" s="1"/>
  <c r="A120" i="673" s="1"/>
  <c r="A121" i="673" s="1"/>
  <c r="A122" i="673" s="1"/>
  <c r="A123" i="673" s="1"/>
  <c r="A124" i="673" s="1"/>
  <c r="A125" i="673" s="1"/>
  <c r="A126" i="673" s="1"/>
  <c r="A127" i="673" s="1"/>
  <c r="A128" i="673" s="1"/>
  <c r="A129" i="673" s="1"/>
  <c r="A130" i="673" s="1"/>
  <c r="A131" i="673" s="1"/>
  <c r="A132" i="673" s="1"/>
  <c r="A133" i="673" s="1"/>
  <c r="A134" i="673" s="1"/>
  <c r="A135" i="673" s="1"/>
  <c r="A136" i="673" s="1"/>
  <c r="A137" i="673" s="1"/>
  <c r="A138" i="673" s="1"/>
  <c r="A139" i="673" s="1"/>
  <c r="A140" i="673" s="1"/>
  <c r="A141" i="673" s="1"/>
  <c r="A142" i="673" s="1"/>
  <c r="A143" i="673" s="1"/>
  <c r="A144" i="673" s="1"/>
  <c r="A145" i="673" s="1"/>
  <c r="A146" i="673" s="1"/>
  <c r="A147" i="673" s="1"/>
  <c r="A148" i="673" s="1"/>
  <c r="A149" i="673" s="1"/>
  <c r="A150" i="673" s="1"/>
  <c r="A151" i="673" s="1"/>
  <c r="A152" i="673" s="1"/>
  <c r="A153" i="673" s="1"/>
  <c r="A154" i="673" s="1"/>
  <c r="A155" i="673" s="1"/>
  <c r="A156" i="673" s="1"/>
  <c r="A157" i="673" s="1"/>
  <c r="A158" i="673" s="1"/>
  <c r="A159" i="673" s="1"/>
  <c r="A160" i="673" s="1"/>
  <c r="A161" i="673" s="1"/>
  <c r="A162" i="673" s="1"/>
  <c r="A163" i="673" s="1"/>
  <c r="A164" i="673" s="1"/>
  <c r="A165" i="673" s="1"/>
  <c r="A166" i="673" s="1"/>
  <c r="A167" i="673" s="1"/>
  <c r="A168" i="673" s="1"/>
  <c r="A169" i="673" s="1"/>
  <c r="A170" i="673" s="1"/>
  <c r="A171" i="673" s="1"/>
  <c r="A172" i="673" s="1"/>
  <c r="A173" i="673" s="1"/>
  <c r="A174" i="673" s="1"/>
  <c r="A175" i="673" s="1"/>
  <c r="A176" i="673" s="1"/>
  <c r="A177" i="673" s="1"/>
  <c r="A178" i="673" s="1"/>
  <c r="A179" i="673" s="1"/>
  <c r="A180" i="673" s="1"/>
  <c r="A181" i="673" s="1"/>
  <c r="A182" i="673" s="1"/>
  <c r="A183" i="673" s="1"/>
  <c r="A184" i="673" s="1"/>
  <c r="A185" i="673" s="1"/>
  <c r="A186" i="673" s="1"/>
  <c r="A187" i="673" s="1"/>
  <c r="A188" i="673" s="1"/>
  <c r="A189" i="673" s="1"/>
  <c r="A190" i="673" s="1"/>
  <c r="A191" i="673" s="1"/>
  <c r="A192" i="673" s="1"/>
  <c r="A193" i="673" s="1"/>
  <c r="A194" i="673" s="1"/>
  <c r="A195" i="673" s="1"/>
  <c r="A196" i="673" s="1"/>
  <c r="A197" i="673" s="1"/>
  <c r="A198" i="673" s="1"/>
  <c r="A199" i="673" s="1"/>
  <c r="A200" i="673" s="1"/>
  <c r="A201" i="673" s="1"/>
  <c r="A202" i="673" s="1"/>
  <c r="A203" i="673" s="1"/>
  <c r="A204" i="673" s="1"/>
  <c r="A205" i="673" s="1"/>
  <c r="A206" i="673" s="1"/>
  <c r="A207" i="673" s="1"/>
  <c r="A208" i="673" s="1"/>
  <c r="A209" i="673" s="1"/>
  <c r="A210" i="673" s="1"/>
  <c r="A211" i="673" s="1"/>
  <c r="A212" i="673" s="1"/>
  <c r="A213" i="673" s="1"/>
  <c r="A214" i="673" s="1"/>
  <c r="A215" i="673" s="1"/>
  <c r="A216" i="673" s="1"/>
  <c r="A217" i="673" s="1"/>
  <c r="A218" i="673" s="1"/>
  <c r="A219" i="673" s="1"/>
  <c r="A220" i="673" s="1"/>
  <c r="A221" i="673" s="1"/>
  <c r="A222" i="673" s="1"/>
  <c r="A223" i="673" s="1"/>
  <c r="A224" i="673" s="1"/>
  <c r="A225" i="673" s="1"/>
  <c r="A226" i="673" s="1"/>
  <c r="A227" i="673" s="1"/>
  <c r="A228" i="673" s="1"/>
  <c r="A229" i="673" s="1"/>
  <c r="A230" i="673" s="1"/>
  <c r="A231" i="673" s="1"/>
  <c r="A232" i="673" s="1"/>
  <c r="A233" i="673" s="1"/>
  <c r="A234" i="673" s="1"/>
  <c r="A235" i="673" s="1"/>
  <c r="A236" i="673" s="1"/>
  <c r="A237" i="673" s="1"/>
  <c r="A238" i="673" s="1"/>
  <c r="A239" i="673" s="1"/>
  <c r="A240" i="673" s="1"/>
  <c r="A241" i="673" s="1"/>
  <c r="A242" i="673" s="1"/>
  <c r="A243" i="673" s="1"/>
  <c r="A244" i="673" s="1"/>
  <c r="A245" i="673" s="1"/>
  <c r="A246" i="673" s="1"/>
  <c r="A247" i="673" s="1"/>
  <c r="A248" i="673" s="1"/>
  <c r="A249" i="673" s="1"/>
  <c r="A250" i="673" s="1"/>
  <c r="A251" i="673" s="1"/>
  <c r="A252" i="673" s="1"/>
  <c r="A253" i="673" s="1"/>
  <c r="A254" i="673" s="1"/>
  <c r="A255" i="673" s="1"/>
  <c r="A256" i="673" s="1"/>
  <c r="A257" i="673" s="1"/>
  <c r="A258" i="673" s="1"/>
  <c r="A259" i="673" s="1"/>
  <c r="A260" i="673" s="1"/>
  <c r="A261" i="673" s="1"/>
  <c r="A262" i="673" s="1"/>
  <c r="A263" i="673" s="1"/>
  <c r="A264" i="673" s="1"/>
  <c r="A265" i="673" s="1"/>
  <c r="A266" i="673" s="1"/>
  <c r="A267" i="673" s="1"/>
  <c r="A268" i="673" s="1"/>
  <c r="A269" i="673" s="1"/>
  <c r="A270" i="673" s="1"/>
  <c r="A271" i="673" s="1"/>
  <c r="A272" i="673" s="1"/>
  <c r="A273" i="673" s="1"/>
  <c r="A274" i="673" s="1"/>
  <c r="A275" i="673" s="1"/>
  <c r="A276" i="673" s="1"/>
  <c r="A277" i="673" s="1"/>
  <c r="A278" i="673" s="1"/>
  <c r="A279" i="673" s="1"/>
  <c r="A280" i="673" s="1"/>
  <c r="A281" i="673" s="1"/>
  <c r="A282" i="673" s="1"/>
  <c r="A283" i="673" s="1"/>
  <c r="A284" i="673" s="1"/>
  <c r="A285" i="673" s="1"/>
  <c r="A286" i="673" s="1"/>
  <c r="A287" i="673" s="1"/>
  <c r="A288" i="673" s="1"/>
  <c r="A289" i="673" s="1"/>
  <c r="A290" i="673" s="1"/>
  <c r="A291" i="673" s="1"/>
  <c r="A292" i="673" s="1"/>
  <c r="A293" i="673" s="1"/>
  <c r="A294" i="673" s="1"/>
  <c r="A295" i="673" s="1"/>
  <c r="A296" i="673" s="1"/>
  <c r="A297" i="673" s="1"/>
  <c r="A298" i="673" s="1"/>
  <c r="A299" i="673" s="1"/>
  <c r="A300" i="673" s="1"/>
  <c r="A301" i="673" s="1"/>
  <c r="A302" i="673" s="1"/>
  <c r="A303" i="673" s="1"/>
  <c r="A304" i="673" s="1"/>
  <c r="A305" i="673" s="1"/>
  <c r="A306" i="673" s="1"/>
  <c r="A307" i="673" s="1"/>
  <c r="A308" i="673" s="1"/>
  <c r="A309" i="673" s="1"/>
  <c r="A310" i="673" s="1"/>
  <c r="A311" i="673" s="1"/>
  <c r="A312" i="673" s="1"/>
  <c r="A313" i="673" s="1"/>
  <c r="A314" i="673" s="1"/>
  <c r="A315" i="673" s="1"/>
  <c r="A316" i="673" s="1"/>
  <c r="A317" i="673" s="1"/>
  <c r="A318" i="673" s="1"/>
  <c r="A319" i="673" s="1"/>
  <c r="A320" i="673" s="1"/>
  <c r="A321" i="673" s="1"/>
  <c r="A322" i="673" s="1"/>
  <c r="A323" i="673" s="1"/>
  <c r="A324" i="673" s="1"/>
  <c r="A325" i="673" s="1"/>
  <c r="A326" i="673" s="1"/>
  <c r="A327" i="673" s="1"/>
  <c r="A328" i="673" s="1"/>
  <c r="A329" i="673" s="1"/>
  <c r="A330" i="673" s="1"/>
  <c r="A331" i="673" s="1"/>
  <c r="A332" i="673" s="1"/>
  <c r="A333" i="673" s="1"/>
  <c r="A334" i="673" s="1"/>
  <c r="A335" i="673" s="1"/>
  <c r="A336" i="673" s="1"/>
  <c r="A337" i="673" s="1"/>
  <c r="A338" i="673" s="1"/>
  <c r="A339" i="673" s="1"/>
  <c r="A340" i="673" s="1"/>
  <c r="A341" i="673" s="1"/>
  <c r="A342" i="673" s="1"/>
  <c r="A343" i="673" s="1"/>
  <c r="A344" i="673" s="1"/>
  <c r="A345" i="673" s="1"/>
  <c r="A346" i="673" s="1"/>
  <c r="A347" i="673" s="1"/>
  <c r="A348" i="673" s="1"/>
  <c r="A349" i="673" s="1"/>
  <c r="A350" i="673" s="1"/>
  <c r="A351" i="673" s="1"/>
  <c r="A352" i="673" s="1"/>
  <c r="A353" i="673" s="1"/>
  <c r="A354" i="673" s="1"/>
  <c r="A355" i="673" s="1"/>
  <c r="A356" i="673" s="1"/>
  <c r="A357" i="673" s="1"/>
  <c r="A358" i="673" s="1"/>
  <c r="A359" i="673" s="1"/>
  <c r="A360" i="673" s="1"/>
  <c r="A361" i="673" s="1"/>
  <c r="A362" i="673" s="1"/>
  <c r="A363" i="673" s="1"/>
  <c r="A364" i="673" s="1"/>
  <c r="A365" i="673" s="1"/>
  <c r="A366" i="673" s="1"/>
  <c r="A367" i="673" s="1"/>
  <c r="A368" i="673" s="1"/>
  <c r="A369" i="673" s="1"/>
  <c r="A370" i="673" s="1"/>
  <c r="A371" i="673" s="1"/>
  <c r="A372" i="673" s="1"/>
  <c r="A373" i="673" s="1"/>
  <c r="A374" i="673" s="1"/>
  <c r="A375" i="673" s="1"/>
  <c r="A376" i="673" s="1"/>
  <c r="A377" i="673" s="1"/>
  <c r="A378" i="673" s="1"/>
  <c r="A379" i="673" s="1"/>
  <c r="A380" i="673" s="1"/>
  <c r="A381" i="673" s="1"/>
  <c r="A382" i="673" s="1"/>
  <c r="A383" i="673" s="1"/>
  <c r="A384" i="673" s="1"/>
  <c r="A385" i="673" s="1"/>
  <c r="A386" i="673" s="1"/>
  <c r="A387" i="673" s="1"/>
  <c r="A388" i="673" s="1"/>
  <c r="A389" i="673" s="1"/>
  <c r="A390" i="673" s="1"/>
  <c r="A391" i="673" s="1"/>
  <c r="A392" i="673" s="1"/>
  <c r="A393" i="673" s="1"/>
  <c r="A394" i="673" s="1"/>
  <c r="A395" i="673" s="1"/>
  <c r="A396" i="673" s="1"/>
  <c r="A397" i="673" s="1"/>
  <c r="A398" i="673" s="1"/>
  <c r="A399" i="673" s="1"/>
  <c r="A400" i="673" s="1"/>
  <c r="A401" i="673" s="1"/>
  <c r="A402" i="673" s="1"/>
  <c r="A403" i="673" s="1"/>
  <c r="A404" i="673" s="1"/>
  <c r="A405" i="673" s="1"/>
  <c r="A406" i="673" s="1"/>
  <c r="A407" i="673" s="1"/>
  <c r="A408" i="673" s="1"/>
  <c r="A409" i="673" s="1"/>
  <c r="A410" i="673" s="1"/>
  <c r="A411" i="673" s="1"/>
  <c r="A412" i="673" s="1"/>
  <c r="A413" i="673" s="1"/>
  <c r="A414" i="673" s="1"/>
  <c r="A415" i="673" s="1"/>
  <c r="A416" i="673" s="1"/>
  <c r="A417" i="673" s="1"/>
  <c r="A418" i="673" s="1"/>
  <c r="A419" i="673" s="1"/>
  <c r="A420" i="673" s="1"/>
  <c r="A421" i="673" s="1"/>
  <c r="A422" i="673" s="1"/>
  <c r="A423" i="673" s="1"/>
  <c r="A424" i="673" s="1"/>
  <c r="A425" i="673" s="1"/>
  <c r="A426" i="673" s="1"/>
  <c r="A427" i="673" s="1"/>
  <c r="A428" i="673" s="1"/>
  <c r="A429" i="673" s="1"/>
  <c r="A430" i="673" s="1"/>
  <c r="A431" i="673" s="1"/>
  <c r="A432" i="673" s="1"/>
  <c r="A433" i="673" s="1"/>
  <c r="A434" i="673" s="1"/>
  <c r="A435" i="673" s="1"/>
  <c r="A436" i="673" s="1"/>
  <c r="A437" i="673" s="1"/>
  <c r="A438" i="673" s="1"/>
  <c r="A439" i="673" s="1"/>
  <c r="A440" i="673" s="1"/>
  <c r="A441" i="673" s="1"/>
  <c r="A442" i="673" s="1"/>
  <c r="A443" i="673" s="1"/>
  <c r="A444" i="673" s="1"/>
  <c r="A445" i="673" s="1"/>
  <c r="A446" i="673" s="1"/>
  <c r="A447" i="673" s="1"/>
  <c r="A448" i="673" s="1"/>
  <c r="A449" i="673" s="1"/>
  <c r="A450" i="673" s="1"/>
  <c r="A451" i="673" s="1"/>
  <c r="A452" i="673" s="1"/>
  <c r="A453" i="673" s="1"/>
  <c r="A454" i="673" s="1"/>
  <c r="A455" i="673" s="1"/>
  <c r="A456" i="673" s="1"/>
  <c r="A457" i="673" s="1"/>
  <c r="A458" i="673" s="1"/>
  <c r="A459" i="673" s="1"/>
  <c r="A460" i="673" s="1"/>
  <c r="A461" i="673" s="1"/>
  <c r="A462" i="673" s="1"/>
  <c r="A463" i="673" s="1"/>
  <c r="A464" i="673" s="1"/>
  <c r="A465" i="673" s="1"/>
  <c r="A466" i="673" s="1"/>
  <c r="A467" i="673" s="1"/>
  <c r="A468" i="673" s="1"/>
  <c r="A469" i="673" s="1"/>
  <c r="A470" i="673" s="1"/>
  <c r="A471" i="673" s="1"/>
  <c r="A472" i="673" s="1"/>
  <c r="A473" i="673" s="1"/>
  <c r="A474" i="673" s="1"/>
  <c r="A475" i="673" s="1"/>
  <c r="A476" i="673" s="1"/>
  <c r="A477" i="673" s="1"/>
  <c r="A478" i="673" s="1"/>
  <c r="A479" i="673" s="1"/>
  <c r="A480" i="673" s="1"/>
  <c r="A481" i="673" s="1"/>
  <c r="A482" i="673" s="1"/>
  <c r="A483" i="673" s="1"/>
  <c r="A484" i="673" s="1"/>
  <c r="A485" i="673" s="1"/>
  <c r="A486" i="673" s="1"/>
  <c r="A487" i="673" s="1"/>
  <c r="A488" i="673" s="1"/>
  <c r="A489" i="673" s="1"/>
  <c r="A490" i="673" s="1"/>
  <c r="A491" i="673" s="1"/>
  <c r="A492" i="673" s="1"/>
  <c r="A493" i="673" s="1"/>
  <c r="A494" i="673" s="1"/>
  <c r="A495" i="673" s="1"/>
  <c r="A496" i="673" s="1"/>
  <c r="A497" i="673" s="1"/>
  <c r="A498" i="673" s="1"/>
  <c r="A499" i="673" s="1"/>
  <c r="A500" i="673" s="1"/>
  <c r="A501" i="673" s="1"/>
  <c r="A502" i="673" s="1"/>
  <c r="A503" i="673" s="1"/>
  <c r="A504" i="673" s="1"/>
  <c r="A505" i="673" s="1"/>
  <c r="A506" i="673" s="1"/>
  <c r="A507" i="673" s="1"/>
  <c r="A508" i="673" s="1"/>
  <c r="A509" i="673" s="1"/>
  <c r="A510" i="673" s="1"/>
  <c r="A511" i="673" s="1"/>
  <c r="A512" i="673" s="1"/>
  <c r="A513" i="673" s="1"/>
  <c r="A514" i="673" s="1"/>
  <c r="A515" i="673" s="1"/>
  <c r="A516" i="673" s="1"/>
  <c r="A517" i="673" s="1"/>
  <c r="A518" i="673" s="1"/>
  <c r="A519" i="673" s="1"/>
  <c r="A520" i="673" s="1"/>
  <c r="A521" i="673" s="1"/>
  <c r="A522" i="673" s="1"/>
  <c r="A523" i="673" s="1"/>
  <c r="A524" i="673" s="1"/>
  <c r="A525" i="673" s="1"/>
  <c r="A526" i="673" s="1"/>
  <c r="A527" i="673" s="1"/>
  <c r="A528" i="673" s="1"/>
  <c r="A529" i="673" s="1"/>
  <c r="A530" i="673" s="1"/>
  <c r="A531" i="673" s="1"/>
  <c r="A532" i="673" s="1"/>
  <c r="A533" i="673" s="1"/>
  <c r="A534" i="673" s="1"/>
  <c r="A535" i="673" s="1"/>
  <c r="A536" i="673" s="1"/>
  <c r="A537" i="673" s="1"/>
  <c r="A538" i="673" s="1"/>
  <c r="A539" i="673" s="1"/>
  <c r="A540" i="673" s="1"/>
  <c r="A541" i="673" s="1"/>
  <c r="A542" i="673" s="1"/>
  <c r="A543" i="673" s="1"/>
  <c r="A544" i="673" s="1"/>
  <c r="A545" i="673" s="1"/>
  <c r="A546" i="673" s="1"/>
  <c r="A547" i="673" s="1"/>
  <c r="A548" i="673" s="1"/>
  <c r="A549" i="673" s="1"/>
  <c r="A550" i="673" s="1"/>
  <c r="A551" i="673" s="1"/>
  <c r="A552" i="673" s="1"/>
  <c r="A553" i="673" s="1"/>
  <c r="A554" i="673" s="1"/>
  <c r="A555" i="673" s="1"/>
  <c r="A556" i="673" s="1"/>
  <c r="A557" i="673" s="1"/>
  <c r="A558" i="673" s="1"/>
  <c r="A559" i="673" s="1"/>
  <c r="A560" i="673" s="1"/>
  <c r="A561" i="673" s="1"/>
  <c r="A562" i="673" s="1"/>
  <c r="A563" i="673" s="1"/>
  <c r="A564" i="673" s="1"/>
  <c r="A565" i="673" s="1"/>
  <c r="A566" i="673" s="1"/>
  <c r="A567" i="673" s="1"/>
  <c r="A568" i="673" s="1"/>
  <c r="A569" i="673" s="1"/>
  <c r="A570" i="673" s="1"/>
  <c r="A571" i="673" s="1"/>
  <c r="A572" i="673" s="1"/>
  <c r="A573" i="673" s="1"/>
  <c r="A574" i="673" s="1"/>
  <c r="A575" i="673" s="1"/>
  <c r="A576" i="673" s="1"/>
  <c r="A577" i="673" s="1"/>
  <c r="A578" i="673" s="1"/>
  <c r="A579" i="673" s="1"/>
  <c r="A580" i="673" s="1"/>
  <c r="A581" i="673" s="1"/>
  <c r="A582" i="673" s="1"/>
  <c r="A583" i="673" s="1"/>
  <c r="A584" i="673" s="1"/>
  <c r="A585" i="673" s="1"/>
  <c r="A586" i="673" s="1"/>
  <c r="A587" i="673" s="1"/>
  <c r="A588" i="673" s="1"/>
  <c r="A589" i="673" s="1"/>
  <c r="A590" i="673" s="1"/>
  <c r="A591" i="673" s="1"/>
  <c r="A592" i="673" s="1"/>
  <c r="A593" i="673" s="1"/>
  <c r="A594" i="673" s="1"/>
  <c r="A595" i="673" s="1"/>
  <c r="A596" i="673" s="1"/>
  <c r="A597" i="673" s="1"/>
  <c r="A598" i="673" s="1"/>
  <c r="A599" i="673" s="1"/>
  <c r="A600" i="673" s="1"/>
  <c r="A601" i="673" s="1"/>
  <c r="A602" i="673" s="1"/>
  <c r="A603" i="673" s="1"/>
  <c r="A604" i="673" s="1"/>
  <c r="A605" i="673" s="1"/>
  <c r="A606" i="673" s="1"/>
  <c r="A607" i="673" s="1"/>
  <c r="A608" i="673" s="1"/>
  <c r="A609" i="673" s="1"/>
  <c r="A610" i="673" s="1"/>
  <c r="A611" i="673" s="1"/>
  <c r="A612" i="673" s="1"/>
  <c r="A613" i="673" s="1"/>
  <c r="A614" i="673" s="1"/>
  <c r="A615" i="673" s="1"/>
  <c r="A616" i="673" s="1"/>
  <c r="A617" i="673" s="1"/>
  <c r="A618" i="673" s="1"/>
  <c r="A619" i="673" s="1"/>
  <c r="A620" i="673" s="1"/>
  <c r="A621" i="673" s="1"/>
  <c r="A622" i="673" s="1"/>
  <c r="A623" i="673" s="1"/>
  <c r="A624" i="673" s="1"/>
  <c r="A625" i="673" s="1"/>
  <c r="A626" i="673" s="1"/>
  <c r="A627" i="673" s="1"/>
  <c r="A628" i="673" s="1"/>
  <c r="A629" i="673" s="1"/>
  <c r="A630" i="673" s="1"/>
  <c r="A631" i="673" s="1"/>
  <c r="A632" i="673" s="1"/>
  <c r="A633" i="673" s="1"/>
  <c r="A634" i="673" s="1"/>
  <c r="A635" i="673" s="1"/>
  <c r="A636" i="673" s="1"/>
  <c r="A637" i="673" s="1"/>
  <c r="A638" i="673" s="1"/>
  <c r="A639" i="673" s="1"/>
  <c r="A640" i="673" s="1"/>
  <c r="A641" i="673" s="1"/>
  <c r="A642" i="673" s="1"/>
  <c r="A643" i="673" s="1"/>
  <c r="A644" i="673" s="1"/>
  <c r="A645" i="673" s="1"/>
  <c r="A646" i="673" s="1"/>
  <c r="A647" i="673" s="1"/>
  <c r="A648" i="673" s="1"/>
  <c r="A649" i="673" s="1"/>
  <c r="A650" i="673" s="1"/>
  <c r="A651" i="673" s="1"/>
  <c r="A652" i="673" s="1"/>
  <c r="A653" i="673" s="1"/>
  <c r="A654" i="673" s="1"/>
  <c r="A655" i="673" s="1"/>
  <c r="A656" i="673" s="1"/>
  <c r="A657" i="673" s="1"/>
  <c r="A658" i="673" s="1"/>
  <c r="A659" i="673" s="1"/>
  <c r="A660" i="673" s="1"/>
  <c r="A661" i="673" s="1"/>
  <c r="A662" i="673" s="1"/>
  <c r="A663" i="673" s="1"/>
  <c r="A664" i="673" s="1"/>
  <c r="A665" i="673" s="1"/>
  <c r="A666" i="673" s="1"/>
  <c r="A667" i="673" s="1"/>
  <c r="A668" i="673" s="1"/>
  <c r="A669" i="673" s="1"/>
  <c r="A670" i="673" s="1"/>
  <c r="A671" i="673" s="1"/>
  <c r="A672" i="673" s="1"/>
  <c r="A673" i="673" s="1"/>
  <c r="A674" i="673" s="1"/>
  <c r="A675" i="673" s="1"/>
  <c r="A676" i="673" s="1"/>
  <c r="A677" i="673" s="1"/>
  <c r="A678" i="673" s="1"/>
  <c r="A679" i="673" s="1"/>
  <c r="A680" i="673" s="1"/>
  <c r="A681" i="673" s="1"/>
  <c r="A682" i="673" s="1"/>
  <c r="A683" i="673" s="1"/>
  <c r="A684" i="673" s="1"/>
  <c r="R726" i="672"/>
  <c r="Q726" i="672"/>
  <c r="P726" i="672"/>
  <c r="O726" i="672"/>
  <c r="N726" i="672"/>
  <c r="M726" i="672"/>
  <c r="L726" i="672"/>
  <c r="K726" i="672"/>
  <c r="J726" i="672"/>
  <c r="I726" i="672"/>
  <c r="H726" i="672"/>
  <c r="G726" i="672"/>
  <c r="R725" i="672"/>
  <c r="Q725" i="672"/>
  <c r="P725" i="672"/>
  <c r="O725" i="672"/>
  <c r="N725" i="672"/>
  <c r="M725" i="672"/>
  <c r="L725" i="672"/>
  <c r="K725" i="672"/>
  <c r="J725" i="672"/>
  <c r="I725" i="672"/>
  <c r="H725" i="672"/>
  <c r="G725" i="672"/>
  <c r="F725" i="672"/>
  <c r="S724" i="672"/>
  <c r="S723" i="672"/>
  <c r="S722" i="672"/>
  <c r="S721" i="672"/>
  <c r="S720" i="672"/>
  <c r="S719" i="672"/>
  <c r="S718" i="672"/>
  <c r="S717" i="672"/>
  <c r="S716" i="672"/>
  <c r="S715" i="672"/>
  <c r="S714" i="672"/>
  <c r="S713" i="672"/>
  <c r="S712" i="672"/>
  <c r="S711" i="672"/>
  <c r="S710" i="672"/>
  <c r="S709" i="672"/>
  <c r="S708" i="672"/>
  <c r="S707" i="672"/>
  <c r="S706" i="672"/>
  <c r="S705" i="672"/>
  <c r="S704" i="672"/>
  <c r="S703" i="672"/>
  <c r="S702" i="672"/>
  <c r="S701" i="672"/>
  <c r="S700" i="672"/>
  <c r="S699" i="672"/>
  <c r="S698" i="672"/>
  <c r="S697" i="672"/>
  <c r="S696" i="672"/>
  <c r="S695" i="672"/>
  <c r="S694" i="672"/>
  <c r="S693" i="672"/>
  <c r="S692" i="672"/>
  <c r="S691" i="672"/>
  <c r="S690" i="672"/>
  <c r="S689" i="672"/>
  <c r="S688" i="672"/>
  <c r="S687" i="672"/>
  <c r="S686" i="672"/>
  <c r="S685" i="672"/>
  <c r="S684" i="672"/>
  <c r="A684" i="672"/>
  <c r="A685" i="672" s="1"/>
  <c r="A686" i="672" s="1"/>
  <c r="A687" i="672" s="1"/>
  <c r="A688" i="672" s="1"/>
  <c r="A689" i="672" s="1"/>
  <c r="A690" i="672" s="1"/>
  <c r="A691" i="672" s="1"/>
  <c r="A692" i="672" s="1"/>
  <c r="A693" i="672" s="1"/>
  <c r="A694" i="672" s="1"/>
  <c r="A695" i="672" s="1"/>
  <c r="A696" i="672" s="1"/>
  <c r="A697" i="672" s="1"/>
  <c r="A698" i="672" s="1"/>
  <c r="A699" i="672" s="1"/>
  <c r="A700" i="672" s="1"/>
  <c r="A701" i="672" s="1"/>
  <c r="A702" i="672" s="1"/>
  <c r="A703" i="672" s="1"/>
  <c r="A704" i="672" s="1"/>
  <c r="A705" i="672" s="1"/>
  <c r="A706" i="672" s="1"/>
  <c r="A707" i="672" s="1"/>
  <c r="A708" i="672" s="1"/>
  <c r="A709" i="672" s="1"/>
  <c r="A710" i="672" s="1"/>
  <c r="A711" i="672" s="1"/>
  <c r="A712" i="672" s="1"/>
  <c r="A713" i="672" s="1"/>
  <c r="A714" i="672" s="1"/>
  <c r="A715" i="672" s="1"/>
  <c r="A716" i="672" s="1"/>
  <c r="A717" i="672" s="1"/>
  <c r="A718" i="672" s="1"/>
  <c r="A719" i="672" s="1"/>
  <c r="A720" i="672" s="1"/>
  <c r="A721" i="672" s="1"/>
  <c r="A722" i="672" s="1"/>
  <c r="A723" i="672" s="1"/>
  <c r="A724" i="672" s="1"/>
  <c r="A725" i="672" s="1"/>
  <c r="S683" i="672"/>
  <c r="R681" i="672"/>
  <c r="Q681" i="672"/>
  <c r="P681" i="672"/>
  <c r="O681" i="672"/>
  <c r="N681" i="672"/>
  <c r="M681" i="672"/>
  <c r="L681" i="672"/>
  <c r="K681" i="672"/>
  <c r="J681" i="672"/>
  <c r="I681" i="672"/>
  <c r="H681" i="672"/>
  <c r="G681" i="672"/>
  <c r="F681" i="672"/>
  <c r="S680" i="672"/>
  <c r="S679" i="672"/>
  <c r="S678" i="672"/>
  <c r="S677" i="672"/>
  <c r="S676" i="672"/>
  <c r="S675" i="672"/>
  <c r="S674" i="672"/>
  <c r="S673" i="672"/>
  <c r="S672" i="672"/>
  <c r="S671" i="672"/>
  <c r="S670" i="672"/>
  <c r="S669" i="672"/>
  <c r="S668" i="672"/>
  <c r="S667" i="672"/>
  <c r="S666" i="672"/>
  <c r="S665" i="672"/>
  <c r="S664" i="672"/>
  <c r="S663" i="672"/>
  <c r="S662" i="672"/>
  <c r="S661" i="672"/>
  <c r="S660" i="672"/>
  <c r="S659" i="672"/>
  <c r="S658" i="672"/>
  <c r="S657" i="672"/>
  <c r="S656" i="672"/>
  <c r="S655" i="672"/>
  <c r="S654" i="672"/>
  <c r="S653" i="672"/>
  <c r="S652" i="672"/>
  <c r="S651" i="672"/>
  <c r="S650" i="672"/>
  <c r="S649" i="672"/>
  <c r="S648" i="672"/>
  <c r="S647" i="672"/>
  <c r="S646" i="672"/>
  <c r="S645" i="672"/>
  <c r="S644" i="672"/>
  <c r="S643" i="672"/>
  <c r="S642" i="672"/>
  <c r="A642" i="672"/>
  <c r="A643" i="672" s="1"/>
  <c r="A644" i="672" s="1"/>
  <c r="A645" i="672" s="1"/>
  <c r="A646" i="672" s="1"/>
  <c r="A647" i="672" s="1"/>
  <c r="A648" i="672" s="1"/>
  <c r="A649" i="672" s="1"/>
  <c r="A650" i="672" s="1"/>
  <c r="A651" i="672" s="1"/>
  <c r="A652" i="672" s="1"/>
  <c r="A653" i="672" s="1"/>
  <c r="A654" i="672" s="1"/>
  <c r="A655" i="672" s="1"/>
  <c r="A656" i="672" s="1"/>
  <c r="A657" i="672" s="1"/>
  <c r="A658" i="672" s="1"/>
  <c r="A659" i="672" s="1"/>
  <c r="A660" i="672" s="1"/>
  <c r="A661" i="672" s="1"/>
  <c r="A662" i="672" s="1"/>
  <c r="A663" i="672" s="1"/>
  <c r="A664" i="672" s="1"/>
  <c r="A665" i="672" s="1"/>
  <c r="A666" i="672" s="1"/>
  <c r="A667" i="672" s="1"/>
  <c r="A668" i="672" s="1"/>
  <c r="A669" i="672" s="1"/>
  <c r="A670" i="672" s="1"/>
  <c r="A671" i="672" s="1"/>
  <c r="A672" i="672" s="1"/>
  <c r="A673" i="672" s="1"/>
  <c r="A674" i="672" s="1"/>
  <c r="A675" i="672" s="1"/>
  <c r="A676" i="672" s="1"/>
  <c r="A677" i="672" s="1"/>
  <c r="A678" i="672" s="1"/>
  <c r="A679" i="672" s="1"/>
  <c r="A680" i="672" s="1"/>
  <c r="A681" i="672" s="1"/>
  <c r="S641" i="672"/>
  <c r="R639" i="672"/>
  <c r="Q639" i="672"/>
  <c r="P639" i="672"/>
  <c r="O639" i="672"/>
  <c r="N639" i="672"/>
  <c r="M639" i="672"/>
  <c r="L639" i="672"/>
  <c r="K639" i="672"/>
  <c r="J639" i="672"/>
  <c r="I639" i="672"/>
  <c r="H639" i="672"/>
  <c r="G639" i="672"/>
  <c r="F639" i="672"/>
  <c r="S638" i="672"/>
  <c r="S637" i="672"/>
  <c r="S636" i="672"/>
  <c r="S635" i="672"/>
  <c r="S634" i="672"/>
  <c r="S633" i="672"/>
  <c r="S632" i="672"/>
  <c r="S631" i="672"/>
  <c r="S630" i="672"/>
  <c r="S629" i="672"/>
  <c r="S628" i="672"/>
  <c r="S627" i="672"/>
  <c r="S626" i="672"/>
  <c r="S625" i="672"/>
  <c r="S624" i="672"/>
  <c r="S623" i="672"/>
  <c r="S622" i="672"/>
  <c r="S621" i="672"/>
  <c r="S620" i="672"/>
  <c r="S619" i="672"/>
  <c r="S618" i="672"/>
  <c r="S617" i="672"/>
  <c r="S616" i="672"/>
  <c r="S615" i="672"/>
  <c r="S614" i="672"/>
  <c r="S613" i="672"/>
  <c r="S612" i="672"/>
  <c r="S611" i="672"/>
  <c r="S610" i="672"/>
  <c r="S609" i="672"/>
  <c r="S608" i="672"/>
  <c r="S607" i="672"/>
  <c r="S606" i="672"/>
  <c r="S605" i="672"/>
  <c r="S604" i="672"/>
  <c r="S603" i="672"/>
  <c r="S602" i="672"/>
  <c r="S601" i="672"/>
  <c r="S600" i="672"/>
  <c r="S599" i="672"/>
  <c r="S598" i="672"/>
  <c r="S597" i="672"/>
  <c r="S596" i="672"/>
  <c r="S595" i="672"/>
  <c r="S594" i="672"/>
  <c r="S593" i="672"/>
  <c r="S592" i="672"/>
  <c r="S591" i="672"/>
  <c r="S590" i="672"/>
  <c r="S589" i="672"/>
  <c r="S588" i="672"/>
  <c r="S587" i="672"/>
  <c r="S586" i="672"/>
  <c r="S585" i="672"/>
  <c r="S584" i="672"/>
  <c r="S583" i="672"/>
  <c r="S582" i="672"/>
  <c r="S581" i="672"/>
  <c r="S580" i="672"/>
  <c r="S579" i="672"/>
  <c r="S578" i="672"/>
  <c r="S577" i="672"/>
  <c r="S576" i="672"/>
  <c r="S575" i="672"/>
  <c r="S574" i="672"/>
  <c r="S573" i="672"/>
  <c r="S572" i="672"/>
  <c r="S571" i="672"/>
  <c r="S570" i="672"/>
  <c r="S569" i="672"/>
  <c r="S568" i="672"/>
  <c r="S567" i="672"/>
  <c r="S566" i="672"/>
  <c r="S565" i="672"/>
  <c r="S564" i="672"/>
  <c r="S563" i="672"/>
  <c r="S562" i="672"/>
  <c r="S561" i="672"/>
  <c r="S560" i="672"/>
  <c r="S559" i="672"/>
  <c r="S558" i="672"/>
  <c r="S557" i="672"/>
  <c r="S556" i="672"/>
  <c r="S555" i="672"/>
  <c r="S554" i="672"/>
  <c r="S553" i="672"/>
  <c r="S552" i="672"/>
  <c r="S551" i="672"/>
  <c r="S550" i="672"/>
  <c r="S549" i="672"/>
  <c r="S548" i="672"/>
  <c r="S547" i="672"/>
  <c r="S546" i="672"/>
  <c r="S545" i="672"/>
  <c r="S544" i="672"/>
  <c r="S543" i="672"/>
  <c r="S542" i="672"/>
  <c r="S541" i="672"/>
  <c r="S540" i="672"/>
  <c r="S539" i="672"/>
  <c r="S538" i="672"/>
  <c r="S537" i="672"/>
  <c r="S536" i="672"/>
  <c r="S535" i="672"/>
  <c r="S534" i="672"/>
  <c r="S533" i="672"/>
  <c r="S532" i="672"/>
  <c r="S531" i="672"/>
  <c r="S530" i="672"/>
  <c r="S529" i="672"/>
  <c r="S528" i="672"/>
  <c r="S527" i="672"/>
  <c r="S526" i="672"/>
  <c r="S525" i="672"/>
  <c r="S524" i="672"/>
  <c r="S523" i="672"/>
  <c r="S522" i="672"/>
  <c r="S521" i="672"/>
  <c r="S520" i="672"/>
  <c r="S519" i="672"/>
  <c r="S518" i="672"/>
  <c r="S517" i="672"/>
  <c r="S516" i="672"/>
  <c r="S515" i="672"/>
  <c r="S514" i="672"/>
  <c r="S513" i="672"/>
  <c r="S512" i="672"/>
  <c r="S511" i="672"/>
  <c r="S510" i="672"/>
  <c r="S509" i="672"/>
  <c r="S508" i="672"/>
  <c r="S507" i="672"/>
  <c r="S506" i="672"/>
  <c r="S505" i="672"/>
  <c r="S504" i="672"/>
  <c r="S503" i="672"/>
  <c r="S502" i="672"/>
  <c r="S501" i="672"/>
  <c r="S500" i="672"/>
  <c r="S499" i="672"/>
  <c r="S498" i="672"/>
  <c r="S497" i="672"/>
  <c r="S496" i="672"/>
  <c r="S495" i="672"/>
  <c r="S494" i="672"/>
  <c r="S493" i="672"/>
  <c r="S492" i="672"/>
  <c r="S491" i="672"/>
  <c r="S490" i="672"/>
  <c r="S489" i="672"/>
  <c r="S488" i="672"/>
  <c r="S487" i="672"/>
  <c r="S486" i="672"/>
  <c r="S485" i="672"/>
  <c r="S484" i="672"/>
  <c r="S483" i="672"/>
  <c r="S482" i="672"/>
  <c r="S481" i="672"/>
  <c r="S480" i="672"/>
  <c r="S479" i="672"/>
  <c r="S478" i="672"/>
  <c r="S477" i="672"/>
  <c r="S476" i="672"/>
  <c r="S475" i="672"/>
  <c r="S474" i="672"/>
  <c r="S473" i="672"/>
  <c r="S472" i="672"/>
  <c r="S471" i="672"/>
  <c r="S470" i="672"/>
  <c r="S469" i="672"/>
  <c r="S468" i="672"/>
  <c r="S467" i="672"/>
  <c r="S466" i="672"/>
  <c r="S465" i="672"/>
  <c r="S464" i="672"/>
  <c r="S463" i="672"/>
  <c r="S462" i="672"/>
  <c r="S461" i="672"/>
  <c r="S460" i="672"/>
  <c r="S459" i="672"/>
  <c r="S458" i="672"/>
  <c r="S457" i="672"/>
  <c r="S456" i="672"/>
  <c r="S455" i="672"/>
  <c r="S454" i="672"/>
  <c r="S453" i="672"/>
  <c r="S452" i="672"/>
  <c r="S451" i="672"/>
  <c r="S450" i="672"/>
  <c r="S449" i="672"/>
  <c r="S448" i="672"/>
  <c r="S447" i="672"/>
  <c r="S446" i="672"/>
  <c r="S445" i="672"/>
  <c r="S444" i="672"/>
  <c r="S443" i="672"/>
  <c r="S442" i="672"/>
  <c r="S441" i="672"/>
  <c r="S440" i="672"/>
  <c r="S439" i="672"/>
  <c r="S438" i="672"/>
  <c r="S437" i="672"/>
  <c r="S436" i="672"/>
  <c r="S435" i="672"/>
  <c r="S434" i="672"/>
  <c r="S433" i="672"/>
  <c r="S432" i="672"/>
  <c r="S431" i="672"/>
  <c r="S430" i="672"/>
  <c r="S429" i="672"/>
  <c r="S428" i="672"/>
  <c r="S427" i="672"/>
  <c r="S426" i="672"/>
  <c r="S425" i="672"/>
  <c r="S424" i="672"/>
  <c r="S423" i="672"/>
  <c r="S422" i="672"/>
  <c r="S421" i="672"/>
  <c r="S420" i="672"/>
  <c r="S419" i="672"/>
  <c r="S418" i="672"/>
  <c r="S417" i="672"/>
  <c r="S416" i="672"/>
  <c r="S415" i="672"/>
  <c r="S414" i="672"/>
  <c r="S413" i="672"/>
  <c r="S412" i="672"/>
  <c r="S411" i="672"/>
  <c r="S410" i="672"/>
  <c r="S409" i="672"/>
  <c r="S408" i="672"/>
  <c r="S407" i="672"/>
  <c r="S406" i="672"/>
  <c r="S405" i="672"/>
  <c r="S404" i="672"/>
  <c r="S403" i="672"/>
  <c r="S402" i="672"/>
  <c r="S401" i="672"/>
  <c r="S400" i="672"/>
  <c r="S399" i="672"/>
  <c r="S398" i="672"/>
  <c r="S397" i="672"/>
  <c r="S396" i="672"/>
  <c r="S395" i="672"/>
  <c r="S394" i="672"/>
  <c r="S393" i="672"/>
  <c r="S392" i="672"/>
  <c r="S391" i="672"/>
  <c r="S390" i="672"/>
  <c r="S389" i="672"/>
  <c r="S388" i="672"/>
  <c r="S387" i="672"/>
  <c r="S386" i="672"/>
  <c r="S385" i="672"/>
  <c r="S384" i="672"/>
  <c r="S383" i="672"/>
  <c r="S382" i="672"/>
  <c r="S381" i="672"/>
  <c r="S380" i="672"/>
  <c r="S379" i="672"/>
  <c r="S378" i="672"/>
  <c r="S377" i="672"/>
  <c r="S376" i="672"/>
  <c r="S375" i="672"/>
  <c r="S374" i="672"/>
  <c r="S373" i="672"/>
  <c r="S372" i="672"/>
  <c r="S371" i="672"/>
  <c r="S370" i="672"/>
  <c r="S369" i="672"/>
  <c r="S368" i="672"/>
  <c r="S367" i="672"/>
  <c r="S366" i="672"/>
  <c r="S365" i="672"/>
  <c r="S364" i="672"/>
  <c r="S363" i="672"/>
  <c r="S362" i="672"/>
  <c r="S361" i="672"/>
  <c r="S360" i="672"/>
  <c r="S359" i="672"/>
  <c r="S358" i="672"/>
  <c r="S357" i="672"/>
  <c r="S356" i="672"/>
  <c r="S355" i="672"/>
  <c r="S354" i="672"/>
  <c r="S353" i="672"/>
  <c r="S352" i="672"/>
  <c r="S351" i="672"/>
  <c r="S350" i="672"/>
  <c r="S349" i="672"/>
  <c r="S348" i="672"/>
  <c r="S347" i="672"/>
  <c r="S346" i="672"/>
  <c r="S345" i="672"/>
  <c r="S344" i="672"/>
  <c r="S343" i="672"/>
  <c r="S342" i="672"/>
  <c r="S341" i="672"/>
  <c r="S340" i="672"/>
  <c r="S339" i="672"/>
  <c r="S338" i="672"/>
  <c r="S337" i="672"/>
  <c r="S336" i="672"/>
  <c r="S335" i="672"/>
  <c r="S334" i="672"/>
  <c r="S333" i="672"/>
  <c r="S332" i="672"/>
  <c r="S331" i="672"/>
  <c r="S330" i="672"/>
  <c r="S329" i="672"/>
  <c r="S328" i="672"/>
  <c r="S327" i="672"/>
  <c r="S326" i="672"/>
  <c r="S325" i="672"/>
  <c r="S324" i="672"/>
  <c r="S323" i="672"/>
  <c r="S322" i="672"/>
  <c r="S321" i="672"/>
  <c r="S320" i="672"/>
  <c r="S319" i="672"/>
  <c r="S318" i="672"/>
  <c r="S317" i="672"/>
  <c r="S316" i="672"/>
  <c r="S315" i="672"/>
  <c r="S314" i="672"/>
  <c r="S313" i="672"/>
  <c r="S312" i="672"/>
  <c r="S311" i="672"/>
  <c r="S310" i="672"/>
  <c r="S309" i="672"/>
  <c r="S308" i="672"/>
  <c r="S307" i="672"/>
  <c r="S306" i="672"/>
  <c r="S305" i="672"/>
  <c r="S304" i="672"/>
  <c r="S303" i="672"/>
  <c r="S302" i="672"/>
  <c r="S301" i="672"/>
  <c r="S300" i="672"/>
  <c r="S299" i="672"/>
  <c r="S298" i="672"/>
  <c r="S297" i="672"/>
  <c r="S296" i="672"/>
  <c r="S295" i="672"/>
  <c r="S294" i="672"/>
  <c r="S293" i="672"/>
  <c r="S292" i="672"/>
  <c r="S291" i="672"/>
  <c r="S290" i="672"/>
  <c r="S289" i="672"/>
  <c r="S288" i="672"/>
  <c r="S287" i="672"/>
  <c r="S286" i="672"/>
  <c r="S285" i="672"/>
  <c r="S284" i="672"/>
  <c r="S283" i="672"/>
  <c r="S282" i="672"/>
  <c r="S281" i="672"/>
  <c r="S280" i="672"/>
  <c r="S279" i="672"/>
  <c r="S278" i="672"/>
  <c r="S277" i="672"/>
  <c r="S276" i="672"/>
  <c r="S275" i="672"/>
  <c r="S274" i="672"/>
  <c r="S273" i="672"/>
  <c r="S272" i="672"/>
  <c r="S271" i="672"/>
  <c r="S270" i="672"/>
  <c r="S269" i="672"/>
  <c r="S268" i="672"/>
  <c r="S267" i="672"/>
  <c r="S266" i="672"/>
  <c r="S265" i="672"/>
  <c r="S264" i="672"/>
  <c r="S263" i="672"/>
  <c r="S262" i="672"/>
  <c r="S261" i="672"/>
  <c r="S260" i="672"/>
  <c r="S259" i="672"/>
  <c r="S258" i="672"/>
  <c r="S257" i="672"/>
  <c r="S256" i="672"/>
  <c r="S255" i="672"/>
  <c r="S254" i="672"/>
  <c r="S253" i="672"/>
  <c r="S252" i="672"/>
  <c r="S251" i="672"/>
  <c r="S250" i="672"/>
  <c r="S249" i="672"/>
  <c r="S248" i="672"/>
  <c r="S247" i="672"/>
  <c r="S246" i="672"/>
  <c r="S245" i="672"/>
  <c r="S244" i="672"/>
  <c r="S243" i="672"/>
  <c r="S242" i="672"/>
  <c r="S241" i="672"/>
  <c r="S240" i="672"/>
  <c r="S239" i="672"/>
  <c r="S238" i="672"/>
  <c r="S237" i="672"/>
  <c r="S236" i="672"/>
  <c r="S235" i="672"/>
  <c r="S234" i="672"/>
  <c r="S233" i="672"/>
  <c r="S232" i="672"/>
  <c r="S231" i="672"/>
  <c r="S230" i="672"/>
  <c r="S229" i="672"/>
  <c r="S228" i="672"/>
  <c r="S227" i="672"/>
  <c r="S226" i="672"/>
  <c r="S225" i="672"/>
  <c r="S224" i="672"/>
  <c r="S223" i="672"/>
  <c r="S222" i="672"/>
  <c r="S221" i="672"/>
  <c r="S220" i="672"/>
  <c r="S219" i="672"/>
  <c r="S218" i="672"/>
  <c r="S217" i="672"/>
  <c r="S216" i="672"/>
  <c r="S215" i="672"/>
  <c r="S214" i="672"/>
  <c r="S213" i="672"/>
  <c r="S212" i="672"/>
  <c r="S211" i="672"/>
  <c r="S210" i="672"/>
  <c r="S209" i="672"/>
  <c r="S208" i="672"/>
  <c r="S207" i="672"/>
  <c r="S206" i="672"/>
  <c r="S205" i="672"/>
  <c r="S204" i="672"/>
  <c r="S203" i="672"/>
  <c r="S202" i="672"/>
  <c r="S201" i="672"/>
  <c r="S200" i="672"/>
  <c r="S199" i="672"/>
  <c r="S198" i="672"/>
  <c r="S197" i="672"/>
  <c r="S196" i="672"/>
  <c r="S195" i="672"/>
  <c r="S194" i="672"/>
  <c r="S193" i="672"/>
  <c r="S192" i="672"/>
  <c r="S191" i="672"/>
  <c r="S190" i="672"/>
  <c r="S189" i="672"/>
  <c r="S188" i="672"/>
  <c r="S187" i="672"/>
  <c r="S186" i="672"/>
  <c r="S185" i="672"/>
  <c r="S184" i="672"/>
  <c r="S183" i="672"/>
  <c r="S182" i="672"/>
  <c r="S181" i="672"/>
  <c r="S180" i="672"/>
  <c r="S179" i="672"/>
  <c r="S178" i="672"/>
  <c r="S177" i="672"/>
  <c r="S176" i="672"/>
  <c r="S175" i="672"/>
  <c r="S174" i="672"/>
  <c r="S173" i="672"/>
  <c r="S172" i="672"/>
  <c r="S171" i="672"/>
  <c r="S170" i="672"/>
  <c r="S169" i="672"/>
  <c r="S168" i="672"/>
  <c r="S167" i="672"/>
  <c r="S166" i="672"/>
  <c r="S165" i="672"/>
  <c r="S164" i="672"/>
  <c r="S163" i="672"/>
  <c r="S162" i="672"/>
  <c r="S161" i="672"/>
  <c r="S160" i="672"/>
  <c r="S159" i="672"/>
  <c r="S158" i="672"/>
  <c r="S157" i="672"/>
  <c r="S156" i="672"/>
  <c r="S155" i="672"/>
  <c r="S154" i="672"/>
  <c r="S153" i="672"/>
  <c r="S152" i="672"/>
  <c r="S151" i="672"/>
  <c r="S150" i="672"/>
  <c r="S149" i="672"/>
  <c r="S148" i="672"/>
  <c r="S147" i="672"/>
  <c r="S146" i="672"/>
  <c r="S145" i="672"/>
  <c r="S144" i="672"/>
  <c r="S143" i="672"/>
  <c r="S142" i="672"/>
  <c r="S141" i="672"/>
  <c r="S140" i="672"/>
  <c r="S139" i="672"/>
  <c r="S138" i="672"/>
  <c r="S137" i="672"/>
  <c r="S136" i="672"/>
  <c r="S135" i="672"/>
  <c r="S134" i="672"/>
  <c r="S133" i="672"/>
  <c r="S132" i="672"/>
  <c r="S131" i="672"/>
  <c r="S130" i="672"/>
  <c r="S129" i="672"/>
  <c r="S128" i="672"/>
  <c r="S127" i="672"/>
  <c r="S126" i="672"/>
  <c r="S125" i="672"/>
  <c r="S124" i="672"/>
  <c r="S123" i="672"/>
  <c r="S122" i="672"/>
  <c r="S121" i="672"/>
  <c r="S120" i="672"/>
  <c r="S119" i="672"/>
  <c r="S118" i="672"/>
  <c r="S117" i="672"/>
  <c r="S116" i="672"/>
  <c r="S115" i="672"/>
  <c r="S114" i="672"/>
  <c r="S113" i="672"/>
  <c r="S112" i="672"/>
  <c r="S111" i="672"/>
  <c r="S110" i="672"/>
  <c r="S109" i="672"/>
  <c r="S108" i="672"/>
  <c r="S107" i="672"/>
  <c r="S106" i="672"/>
  <c r="S105" i="672"/>
  <c r="S104" i="672"/>
  <c r="S103" i="672"/>
  <c r="S102" i="672"/>
  <c r="S101" i="672"/>
  <c r="S100" i="672"/>
  <c r="S99" i="672"/>
  <c r="S98" i="672"/>
  <c r="S97" i="672"/>
  <c r="S96" i="672"/>
  <c r="S95" i="672"/>
  <c r="S94" i="672"/>
  <c r="S93" i="672"/>
  <c r="S92" i="672"/>
  <c r="S91" i="672"/>
  <c r="S90" i="672"/>
  <c r="S89" i="672"/>
  <c r="S88" i="672"/>
  <c r="S87" i="672"/>
  <c r="S86" i="672"/>
  <c r="S85" i="672"/>
  <c r="S84" i="672"/>
  <c r="S83" i="672"/>
  <c r="S82" i="672"/>
  <c r="S81" i="672"/>
  <c r="S80" i="672"/>
  <c r="S79" i="672"/>
  <c r="S78" i="672"/>
  <c r="S77" i="672"/>
  <c r="S76" i="672"/>
  <c r="S75" i="672"/>
  <c r="S74" i="672"/>
  <c r="S73" i="672"/>
  <c r="S72" i="672"/>
  <c r="S71" i="672"/>
  <c r="S70" i="672"/>
  <c r="S69" i="672"/>
  <c r="S68" i="672"/>
  <c r="S67" i="672"/>
  <c r="S66" i="672"/>
  <c r="S65" i="672"/>
  <c r="S64" i="672"/>
  <c r="S63" i="672"/>
  <c r="S62" i="672"/>
  <c r="S61" i="672"/>
  <c r="S60" i="672"/>
  <c r="S59" i="672"/>
  <c r="S58" i="672"/>
  <c r="S57" i="672"/>
  <c r="S56" i="672"/>
  <c r="S55" i="672"/>
  <c r="S54" i="672"/>
  <c r="S53" i="672"/>
  <c r="S52" i="672"/>
  <c r="S51" i="672"/>
  <c r="S50" i="672"/>
  <c r="S49" i="672"/>
  <c r="S48" i="672"/>
  <c r="S47" i="672"/>
  <c r="S46" i="672"/>
  <c r="S45" i="672"/>
  <c r="S44" i="672"/>
  <c r="S43" i="672"/>
  <c r="S42" i="672"/>
  <c r="S41" i="672"/>
  <c r="S40" i="672"/>
  <c r="S39" i="672"/>
  <c r="S38" i="672"/>
  <c r="S37" i="672"/>
  <c r="S36" i="672"/>
  <c r="S35" i="672"/>
  <c r="S34" i="672"/>
  <c r="S33" i="672"/>
  <c r="S32" i="672"/>
  <c r="S31" i="672"/>
  <c r="S30" i="672"/>
  <c r="S29" i="672"/>
  <c r="S28" i="672"/>
  <c r="S27" i="672"/>
  <c r="S26" i="672"/>
  <c r="S25" i="672"/>
  <c r="S24" i="672"/>
  <c r="S23" i="672"/>
  <c r="S22" i="672"/>
  <c r="S21" i="672"/>
  <c r="S20" i="672"/>
  <c r="S19" i="672"/>
  <c r="S18" i="672"/>
  <c r="S17" i="672"/>
  <c r="S16" i="672"/>
  <c r="S15" i="672"/>
  <c r="S14" i="672"/>
  <c r="S13" i="672"/>
  <c r="S12" i="672"/>
  <c r="S11" i="672"/>
  <c r="S10" i="672"/>
  <c r="S9" i="672"/>
  <c r="A9" i="672"/>
  <c r="A10" i="672" s="1"/>
  <c r="A11" i="672" s="1"/>
  <c r="A12" i="672" s="1"/>
  <c r="A13" i="672" s="1"/>
  <c r="A14" i="672" s="1"/>
  <c r="A15" i="672" s="1"/>
  <c r="A16" i="672" s="1"/>
  <c r="A17" i="672" s="1"/>
  <c r="A18" i="672" s="1"/>
  <c r="A19" i="672" s="1"/>
  <c r="A20" i="672" s="1"/>
  <c r="A21" i="672" s="1"/>
  <c r="A22" i="672" s="1"/>
  <c r="A23" i="672" s="1"/>
  <c r="A24" i="672" s="1"/>
  <c r="A25" i="672" s="1"/>
  <c r="A26" i="672" s="1"/>
  <c r="A27" i="672" s="1"/>
  <c r="A28" i="672" s="1"/>
  <c r="A29" i="672" s="1"/>
  <c r="A30" i="672" s="1"/>
  <c r="A31" i="672" s="1"/>
  <c r="A32" i="672" s="1"/>
  <c r="A33" i="672" s="1"/>
  <c r="A34" i="672" s="1"/>
  <c r="A35" i="672" s="1"/>
  <c r="A36" i="672" s="1"/>
  <c r="A37" i="672" s="1"/>
  <c r="A38" i="672" s="1"/>
  <c r="A39" i="672" s="1"/>
  <c r="A40" i="672" s="1"/>
  <c r="A41" i="672" s="1"/>
  <c r="A42" i="672" s="1"/>
  <c r="A43" i="672" s="1"/>
  <c r="A44" i="672" s="1"/>
  <c r="A45" i="672" s="1"/>
  <c r="A46" i="672" s="1"/>
  <c r="A47" i="672" s="1"/>
  <c r="A48" i="672" s="1"/>
  <c r="A49" i="672" s="1"/>
  <c r="A50" i="672" s="1"/>
  <c r="A51" i="672" s="1"/>
  <c r="A52" i="672" s="1"/>
  <c r="A53" i="672" s="1"/>
  <c r="A54" i="672" s="1"/>
  <c r="A55" i="672" s="1"/>
  <c r="A56" i="672" s="1"/>
  <c r="A57" i="672" s="1"/>
  <c r="A58" i="672" s="1"/>
  <c r="A59" i="672" s="1"/>
  <c r="A60" i="672" s="1"/>
  <c r="A61" i="672" s="1"/>
  <c r="A62" i="672" s="1"/>
  <c r="A63" i="672" s="1"/>
  <c r="A64" i="672" s="1"/>
  <c r="A65" i="672" s="1"/>
  <c r="A66" i="672" s="1"/>
  <c r="A67" i="672" s="1"/>
  <c r="A68" i="672" s="1"/>
  <c r="A69" i="672" s="1"/>
  <c r="A70" i="672" s="1"/>
  <c r="A71" i="672" s="1"/>
  <c r="A72" i="672" s="1"/>
  <c r="A73" i="672" s="1"/>
  <c r="A74" i="672" s="1"/>
  <c r="A75" i="672" s="1"/>
  <c r="A76" i="672" s="1"/>
  <c r="A77" i="672" s="1"/>
  <c r="A78" i="672" s="1"/>
  <c r="A79" i="672" s="1"/>
  <c r="A80" i="672" s="1"/>
  <c r="A81" i="672" s="1"/>
  <c r="A82" i="672" s="1"/>
  <c r="A83" i="672" s="1"/>
  <c r="A84" i="672" s="1"/>
  <c r="A85" i="672" s="1"/>
  <c r="A86" i="672" s="1"/>
  <c r="A87" i="672" s="1"/>
  <c r="A88" i="672" s="1"/>
  <c r="A89" i="672" s="1"/>
  <c r="A90" i="672" s="1"/>
  <c r="A91" i="672" s="1"/>
  <c r="A92" i="672" s="1"/>
  <c r="A93" i="672" s="1"/>
  <c r="A94" i="672" s="1"/>
  <c r="A95" i="672" s="1"/>
  <c r="A96" i="672" s="1"/>
  <c r="A97" i="672" s="1"/>
  <c r="A98" i="672" s="1"/>
  <c r="A99" i="672" s="1"/>
  <c r="A100" i="672" s="1"/>
  <c r="A101" i="672" s="1"/>
  <c r="A102" i="672" s="1"/>
  <c r="A103" i="672" s="1"/>
  <c r="A104" i="672" s="1"/>
  <c r="A105" i="672" s="1"/>
  <c r="A106" i="672" s="1"/>
  <c r="A107" i="672" s="1"/>
  <c r="A108" i="672" s="1"/>
  <c r="A109" i="672" s="1"/>
  <c r="A110" i="672" s="1"/>
  <c r="A111" i="672" s="1"/>
  <c r="A112" i="672" s="1"/>
  <c r="A113" i="672" s="1"/>
  <c r="A114" i="672" s="1"/>
  <c r="A115" i="672" s="1"/>
  <c r="A116" i="672" s="1"/>
  <c r="A117" i="672" s="1"/>
  <c r="A118" i="672" s="1"/>
  <c r="A119" i="672" s="1"/>
  <c r="A120" i="672" s="1"/>
  <c r="A121" i="672" s="1"/>
  <c r="A122" i="672" s="1"/>
  <c r="A123" i="672" s="1"/>
  <c r="A124" i="672" s="1"/>
  <c r="A125" i="672" s="1"/>
  <c r="A126" i="672" s="1"/>
  <c r="A127" i="672" s="1"/>
  <c r="A128" i="672" s="1"/>
  <c r="A129" i="672" s="1"/>
  <c r="A130" i="672" s="1"/>
  <c r="A131" i="672" s="1"/>
  <c r="A132" i="672" s="1"/>
  <c r="A133" i="672" s="1"/>
  <c r="A134" i="672" s="1"/>
  <c r="A135" i="672" s="1"/>
  <c r="A136" i="672" s="1"/>
  <c r="A137" i="672" s="1"/>
  <c r="A138" i="672" s="1"/>
  <c r="A139" i="672" s="1"/>
  <c r="A140" i="672" s="1"/>
  <c r="A141" i="672" s="1"/>
  <c r="A142" i="672" s="1"/>
  <c r="A143" i="672" s="1"/>
  <c r="A144" i="672" s="1"/>
  <c r="A145" i="672" s="1"/>
  <c r="A146" i="672" s="1"/>
  <c r="A147" i="672" s="1"/>
  <c r="A148" i="672" s="1"/>
  <c r="A149" i="672" s="1"/>
  <c r="A150" i="672" s="1"/>
  <c r="A151" i="672" s="1"/>
  <c r="A152" i="672" s="1"/>
  <c r="A153" i="672" s="1"/>
  <c r="A154" i="672" s="1"/>
  <c r="A155" i="672" s="1"/>
  <c r="A156" i="672" s="1"/>
  <c r="A157" i="672" s="1"/>
  <c r="A158" i="672" s="1"/>
  <c r="A159" i="672" s="1"/>
  <c r="A160" i="672" s="1"/>
  <c r="A161" i="672" s="1"/>
  <c r="A162" i="672" s="1"/>
  <c r="A163" i="672" s="1"/>
  <c r="A164" i="672" s="1"/>
  <c r="A165" i="672" s="1"/>
  <c r="A166" i="672" s="1"/>
  <c r="A167" i="672" s="1"/>
  <c r="A168" i="672" s="1"/>
  <c r="A169" i="672" s="1"/>
  <c r="A170" i="672" s="1"/>
  <c r="A171" i="672" s="1"/>
  <c r="A172" i="672" s="1"/>
  <c r="A173" i="672" s="1"/>
  <c r="A174" i="672" s="1"/>
  <c r="A175" i="672" s="1"/>
  <c r="A176" i="672" s="1"/>
  <c r="A177" i="672" s="1"/>
  <c r="A178" i="672" s="1"/>
  <c r="A179" i="672" s="1"/>
  <c r="A180" i="672" s="1"/>
  <c r="A181" i="672" s="1"/>
  <c r="A182" i="672" s="1"/>
  <c r="A183" i="672" s="1"/>
  <c r="A184" i="672" s="1"/>
  <c r="A185" i="672" s="1"/>
  <c r="A186" i="672" s="1"/>
  <c r="A187" i="672" s="1"/>
  <c r="A188" i="672" s="1"/>
  <c r="A189" i="672" s="1"/>
  <c r="A190" i="672" s="1"/>
  <c r="A191" i="672" s="1"/>
  <c r="A192" i="672" s="1"/>
  <c r="A193" i="672" s="1"/>
  <c r="A194" i="672" s="1"/>
  <c r="A195" i="672" s="1"/>
  <c r="A196" i="672" s="1"/>
  <c r="A197" i="672" s="1"/>
  <c r="A198" i="672" s="1"/>
  <c r="A199" i="672" s="1"/>
  <c r="A200" i="672" s="1"/>
  <c r="A201" i="672" s="1"/>
  <c r="A202" i="672" s="1"/>
  <c r="A203" i="672" s="1"/>
  <c r="A204" i="672" s="1"/>
  <c r="A205" i="672" s="1"/>
  <c r="A206" i="672" s="1"/>
  <c r="A207" i="672" s="1"/>
  <c r="A208" i="672" s="1"/>
  <c r="A209" i="672" s="1"/>
  <c r="A210" i="672" s="1"/>
  <c r="A211" i="672" s="1"/>
  <c r="A212" i="672" s="1"/>
  <c r="A213" i="672" s="1"/>
  <c r="A214" i="672" s="1"/>
  <c r="A215" i="672" s="1"/>
  <c r="A216" i="672" s="1"/>
  <c r="A217" i="672" s="1"/>
  <c r="A218" i="672" s="1"/>
  <c r="A219" i="672" s="1"/>
  <c r="A220" i="672" s="1"/>
  <c r="A221" i="672" s="1"/>
  <c r="A222" i="672" s="1"/>
  <c r="A223" i="672" s="1"/>
  <c r="A224" i="672" s="1"/>
  <c r="A225" i="672" s="1"/>
  <c r="A226" i="672" s="1"/>
  <c r="A227" i="672" s="1"/>
  <c r="A228" i="672" s="1"/>
  <c r="A229" i="672" s="1"/>
  <c r="A230" i="672" s="1"/>
  <c r="A231" i="672" s="1"/>
  <c r="A232" i="672" s="1"/>
  <c r="A233" i="672" s="1"/>
  <c r="A234" i="672" s="1"/>
  <c r="A235" i="672" s="1"/>
  <c r="A236" i="672" s="1"/>
  <c r="A237" i="672" s="1"/>
  <c r="A238" i="672" s="1"/>
  <c r="A239" i="672" s="1"/>
  <c r="A240" i="672" s="1"/>
  <c r="A241" i="672" s="1"/>
  <c r="A242" i="672" s="1"/>
  <c r="A243" i="672" s="1"/>
  <c r="A244" i="672" s="1"/>
  <c r="A245" i="672" s="1"/>
  <c r="A246" i="672" s="1"/>
  <c r="A247" i="672" s="1"/>
  <c r="A248" i="672" s="1"/>
  <c r="A249" i="672" s="1"/>
  <c r="A250" i="672" s="1"/>
  <c r="A251" i="672" s="1"/>
  <c r="A252" i="672" s="1"/>
  <c r="A253" i="672" s="1"/>
  <c r="A254" i="672" s="1"/>
  <c r="A255" i="672" s="1"/>
  <c r="A256" i="672" s="1"/>
  <c r="A257" i="672" s="1"/>
  <c r="A258" i="672" s="1"/>
  <c r="A259" i="672" s="1"/>
  <c r="A260" i="672" s="1"/>
  <c r="A261" i="672" s="1"/>
  <c r="A262" i="672" s="1"/>
  <c r="A263" i="672" s="1"/>
  <c r="A264" i="672" s="1"/>
  <c r="A265" i="672" s="1"/>
  <c r="A266" i="672" s="1"/>
  <c r="A267" i="672" s="1"/>
  <c r="A268" i="672" s="1"/>
  <c r="A269" i="672" s="1"/>
  <c r="A270" i="672" s="1"/>
  <c r="A271" i="672" s="1"/>
  <c r="A272" i="672" s="1"/>
  <c r="A273" i="672" s="1"/>
  <c r="A274" i="672" s="1"/>
  <c r="A275" i="672" s="1"/>
  <c r="A276" i="672" s="1"/>
  <c r="A277" i="672" s="1"/>
  <c r="A278" i="672" s="1"/>
  <c r="A279" i="672" s="1"/>
  <c r="A280" i="672" s="1"/>
  <c r="A281" i="672" s="1"/>
  <c r="A282" i="672" s="1"/>
  <c r="A283" i="672" s="1"/>
  <c r="A284" i="672" s="1"/>
  <c r="A285" i="672" s="1"/>
  <c r="A286" i="672" s="1"/>
  <c r="A287" i="672" s="1"/>
  <c r="A288" i="672" s="1"/>
  <c r="A289" i="672" s="1"/>
  <c r="A290" i="672" s="1"/>
  <c r="A291" i="672" s="1"/>
  <c r="A292" i="672" s="1"/>
  <c r="A293" i="672" s="1"/>
  <c r="A294" i="672" s="1"/>
  <c r="A295" i="672" s="1"/>
  <c r="A296" i="672" s="1"/>
  <c r="A297" i="672" s="1"/>
  <c r="A298" i="672" s="1"/>
  <c r="A299" i="672" s="1"/>
  <c r="A300" i="672" s="1"/>
  <c r="A301" i="672" s="1"/>
  <c r="A302" i="672" s="1"/>
  <c r="A303" i="672" s="1"/>
  <c r="A304" i="672" s="1"/>
  <c r="A305" i="672" s="1"/>
  <c r="A306" i="672" s="1"/>
  <c r="A307" i="672" s="1"/>
  <c r="A308" i="672" s="1"/>
  <c r="A309" i="672" s="1"/>
  <c r="A310" i="672" s="1"/>
  <c r="A311" i="672" s="1"/>
  <c r="A312" i="672" s="1"/>
  <c r="A313" i="672" s="1"/>
  <c r="A314" i="672" s="1"/>
  <c r="A315" i="672" s="1"/>
  <c r="A316" i="672" s="1"/>
  <c r="A317" i="672" s="1"/>
  <c r="A318" i="672" s="1"/>
  <c r="A319" i="672" s="1"/>
  <c r="A320" i="672" s="1"/>
  <c r="A321" i="672" s="1"/>
  <c r="A322" i="672" s="1"/>
  <c r="A323" i="672" s="1"/>
  <c r="A324" i="672" s="1"/>
  <c r="A325" i="672" s="1"/>
  <c r="A326" i="672" s="1"/>
  <c r="A327" i="672" s="1"/>
  <c r="A328" i="672" s="1"/>
  <c r="A329" i="672" s="1"/>
  <c r="A330" i="672" s="1"/>
  <c r="A331" i="672" s="1"/>
  <c r="A332" i="672" s="1"/>
  <c r="A333" i="672" s="1"/>
  <c r="A334" i="672" s="1"/>
  <c r="A335" i="672" s="1"/>
  <c r="A336" i="672" s="1"/>
  <c r="A337" i="672" s="1"/>
  <c r="A338" i="672" s="1"/>
  <c r="A339" i="672" s="1"/>
  <c r="A340" i="672" s="1"/>
  <c r="A341" i="672" s="1"/>
  <c r="A342" i="672" s="1"/>
  <c r="A343" i="672" s="1"/>
  <c r="A344" i="672" s="1"/>
  <c r="A345" i="672" s="1"/>
  <c r="A346" i="672" s="1"/>
  <c r="A347" i="672" s="1"/>
  <c r="A348" i="672" s="1"/>
  <c r="A349" i="672" s="1"/>
  <c r="A350" i="672" s="1"/>
  <c r="A351" i="672" s="1"/>
  <c r="A352" i="672" s="1"/>
  <c r="A353" i="672" s="1"/>
  <c r="A354" i="672" s="1"/>
  <c r="A355" i="672" s="1"/>
  <c r="A356" i="672" s="1"/>
  <c r="A357" i="672" s="1"/>
  <c r="A358" i="672" s="1"/>
  <c r="A359" i="672" s="1"/>
  <c r="A360" i="672" s="1"/>
  <c r="A361" i="672" s="1"/>
  <c r="A362" i="672" s="1"/>
  <c r="A363" i="672" s="1"/>
  <c r="A364" i="672" s="1"/>
  <c r="A365" i="672" s="1"/>
  <c r="A366" i="672" s="1"/>
  <c r="A367" i="672" s="1"/>
  <c r="A368" i="672" s="1"/>
  <c r="A369" i="672" s="1"/>
  <c r="A370" i="672" s="1"/>
  <c r="A371" i="672" s="1"/>
  <c r="A372" i="672" s="1"/>
  <c r="A373" i="672" s="1"/>
  <c r="A374" i="672" s="1"/>
  <c r="A375" i="672" s="1"/>
  <c r="A376" i="672" s="1"/>
  <c r="A377" i="672" s="1"/>
  <c r="A378" i="672" s="1"/>
  <c r="A379" i="672" s="1"/>
  <c r="A380" i="672" s="1"/>
  <c r="A381" i="672" s="1"/>
  <c r="A382" i="672" s="1"/>
  <c r="A383" i="672" s="1"/>
  <c r="A384" i="672" s="1"/>
  <c r="A385" i="672" s="1"/>
  <c r="A386" i="672" s="1"/>
  <c r="A387" i="672" s="1"/>
  <c r="A388" i="672" s="1"/>
  <c r="A389" i="672" s="1"/>
  <c r="A390" i="672" s="1"/>
  <c r="A391" i="672" s="1"/>
  <c r="A392" i="672" s="1"/>
  <c r="A393" i="672" s="1"/>
  <c r="A394" i="672" s="1"/>
  <c r="A395" i="672" s="1"/>
  <c r="A396" i="672" s="1"/>
  <c r="A397" i="672" s="1"/>
  <c r="A398" i="672" s="1"/>
  <c r="A399" i="672" s="1"/>
  <c r="A400" i="672" s="1"/>
  <c r="A401" i="672" s="1"/>
  <c r="A402" i="672" s="1"/>
  <c r="A403" i="672" s="1"/>
  <c r="A404" i="672" s="1"/>
  <c r="A405" i="672" s="1"/>
  <c r="A406" i="672" s="1"/>
  <c r="A407" i="672" s="1"/>
  <c r="A408" i="672" s="1"/>
  <c r="A409" i="672" s="1"/>
  <c r="A410" i="672" s="1"/>
  <c r="A411" i="672" s="1"/>
  <c r="A412" i="672" s="1"/>
  <c r="A413" i="672" s="1"/>
  <c r="A414" i="672" s="1"/>
  <c r="A415" i="672" s="1"/>
  <c r="A416" i="672" s="1"/>
  <c r="A417" i="672" s="1"/>
  <c r="A418" i="672" s="1"/>
  <c r="A419" i="672" s="1"/>
  <c r="A420" i="672" s="1"/>
  <c r="A421" i="672" s="1"/>
  <c r="A422" i="672" s="1"/>
  <c r="A423" i="672" s="1"/>
  <c r="A424" i="672" s="1"/>
  <c r="A425" i="672" s="1"/>
  <c r="A426" i="672" s="1"/>
  <c r="A427" i="672" s="1"/>
  <c r="A428" i="672" s="1"/>
  <c r="A429" i="672" s="1"/>
  <c r="A430" i="672" s="1"/>
  <c r="A431" i="672" s="1"/>
  <c r="A432" i="672" s="1"/>
  <c r="A433" i="672" s="1"/>
  <c r="A434" i="672" s="1"/>
  <c r="A435" i="672" s="1"/>
  <c r="A436" i="672" s="1"/>
  <c r="A437" i="672" s="1"/>
  <c r="A438" i="672" s="1"/>
  <c r="A439" i="672" s="1"/>
  <c r="A440" i="672" s="1"/>
  <c r="A441" i="672" s="1"/>
  <c r="A442" i="672" s="1"/>
  <c r="A443" i="672" s="1"/>
  <c r="A444" i="672" s="1"/>
  <c r="A445" i="672" s="1"/>
  <c r="A446" i="672" s="1"/>
  <c r="A447" i="672" s="1"/>
  <c r="A448" i="672" s="1"/>
  <c r="A449" i="672" s="1"/>
  <c r="A450" i="672" s="1"/>
  <c r="A451" i="672" s="1"/>
  <c r="A452" i="672" s="1"/>
  <c r="A453" i="672" s="1"/>
  <c r="A454" i="672" s="1"/>
  <c r="A455" i="672" s="1"/>
  <c r="A456" i="672" s="1"/>
  <c r="A457" i="672" s="1"/>
  <c r="A458" i="672" s="1"/>
  <c r="A459" i="672" s="1"/>
  <c r="A460" i="672" s="1"/>
  <c r="A461" i="672" s="1"/>
  <c r="A462" i="672" s="1"/>
  <c r="A463" i="672" s="1"/>
  <c r="A464" i="672" s="1"/>
  <c r="A465" i="672" s="1"/>
  <c r="A466" i="672" s="1"/>
  <c r="A467" i="672" s="1"/>
  <c r="A468" i="672" s="1"/>
  <c r="A469" i="672" s="1"/>
  <c r="A470" i="672" s="1"/>
  <c r="A471" i="672" s="1"/>
  <c r="A472" i="672" s="1"/>
  <c r="A473" i="672" s="1"/>
  <c r="A474" i="672" s="1"/>
  <c r="A475" i="672" s="1"/>
  <c r="A476" i="672" s="1"/>
  <c r="A477" i="672" s="1"/>
  <c r="A478" i="672" s="1"/>
  <c r="A479" i="672" s="1"/>
  <c r="A480" i="672" s="1"/>
  <c r="A481" i="672" s="1"/>
  <c r="A482" i="672" s="1"/>
  <c r="A483" i="672" s="1"/>
  <c r="A484" i="672" s="1"/>
  <c r="A485" i="672" s="1"/>
  <c r="A486" i="672" s="1"/>
  <c r="A487" i="672" s="1"/>
  <c r="A488" i="672" s="1"/>
  <c r="A489" i="672" s="1"/>
  <c r="A490" i="672" s="1"/>
  <c r="A491" i="672" s="1"/>
  <c r="A492" i="672" s="1"/>
  <c r="A493" i="672" s="1"/>
  <c r="A494" i="672" s="1"/>
  <c r="A495" i="672" s="1"/>
  <c r="A496" i="672" s="1"/>
  <c r="A497" i="672" s="1"/>
  <c r="A498" i="672" s="1"/>
  <c r="A499" i="672" s="1"/>
  <c r="A500" i="672" s="1"/>
  <c r="A501" i="672" s="1"/>
  <c r="A502" i="672" s="1"/>
  <c r="A503" i="672" s="1"/>
  <c r="A504" i="672" s="1"/>
  <c r="A505" i="672" s="1"/>
  <c r="A506" i="672" s="1"/>
  <c r="A507" i="672" s="1"/>
  <c r="A508" i="672" s="1"/>
  <c r="A509" i="672" s="1"/>
  <c r="A510" i="672" s="1"/>
  <c r="A511" i="672" s="1"/>
  <c r="A512" i="672" s="1"/>
  <c r="A513" i="672" s="1"/>
  <c r="A514" i="672" s="1"/>
  <c r="A515" i="672" s="1"/>
  <c r="A516" i="672" s="1"/>
  <c r="A517" i="672" s="1"/>
  <c r="A518" i="672" s="1"/>
  <c r="A519" i="672" s="1"/>
  <c r="A520" i="672" s="1"/>
  <c r="A521" i="672" s="1"/>
  <c r="A522" i="672" s="1"/>
  <c r="A523" i="672" s="1"/>
  <c r="A524" i="672" s="1"/>
  <c r="A525" i="672" s="1"/>
  <c r="A526" i="672" s="1"/>
  <c r="A527" i="672" s="1"/>
  <c r="A528" i="672" s="1"/>
  <c r="A529" i="672" s="1"/>
  <c r="A530" i="672" s="1"/>
  <c r="A531" i="672" s="1"/>
  <c r="A532" i="672" s="1"/>
  <c r="A533" i="672" s="1"/>
  <c r="A534" i="672" s="1"/>
  <c r="A535" i="672" s="1"/>
  <c r="A536" i="672" s="1"/>
  <c r="A537" i="672" s="1"/>
  <c r="A538" i="672" s="1"/>
  <c r="A539" i="672" s="1"/>
  <c r="A540" i="672" s="1"/>
  <c r="A541" i="672" s="1"/>
  <c r="A542" i="672" s="1"/>
  <c r="A543" i="672" s="1"/>
  <c r="A544" i="672" s="1"/>
  <c r="A545" i="672" s="1"/>
  <c r="A546" i="672" s="1"/>
  <c r="A547" i="672" s="1"/>
  <c r="A548" i="672" s="1"/>
  <c r="A549" i="672" s="1"/>
  <c r="A550" i="672" s="1"/>
  <c r="A551" i="672" s="1"/>
  <c r="A552" i="672" s="1"/>
  <c r="A553" i="672" s="1"/>
  <c r="A554" i="672" s="1"/>
  <c r="A555" i="672" s="1"/>
  <c r="A556" i="672" s="1"/>
  <c r="A557" i="672" s="1"/>
  <c r="A558" i="672" s="1"/>
  <c r="A559" i="672" s="1"/>
  <c r="A560" i="672" s="1"/>
  <c r="A561" i="672" s="1"/>
  <c r="A562" i="672" s="1"/>
  <c r="A563" i="672" s="1"/>
  <c r="A564" i="672" s="1"/>
  <c r="A565" i="672" s="1"/>
  <c r="A566" i="672" s="1"/>
  <c r="A567" i="672" s="1"/>
  <c r="A568" i="672" s="1"/>
  <c r="A569" i="672" s="1"/>
  <c r="A570" i="672" s="1"/>
  <c r="A571" i="672" s="1"/>
  <c r="A572" i="672" s="1"/>
  <c r="A573" i="672" s="1"/>
  <c r="A574" i="672" s="1"/>
  <c r="A575" i="672" s="1"/>
  <c r="A576" i="672" s="1"/>
  <c r="A577" i="672" s="1"/>
  <c r="A578" i="672" s="1"/>
  <c r="A579" i="672" s="1"/>
  <c r="A580" i="672" s="1"/>
  <c r="A581" i="672" s="1"/>
  <c r="A582" i="672" s="1"/>
  <c r="A583" i="672" s="1"/>
  <c r="A584" i="672" s="1"/>
  <c r="A585" i="672" s="1"/>
  <c r="A586" i="672" s="1"/>
  <c r="A587" i="672" s="1"/>
  <c r="A588" i="672" s="1"/>
  <c r="A589" i="672" s="1"/>
  <c r="A590" i="672" s="1"/>
  <c r="A591" i="672" s="1"/>
  <c r="A592" i="672" s="1"/>
  <c r="A593" i="672" s="1"/>
  <c r="A594" i="672" s="1"/>
  <c r="A595" i="672" s="1"/>
  <c r="A596" i="672" s="1"/>
  <c r="A597" i="672" s="1"/>
  <c r="A598" i="672" s="1"/>
  <c r="A599" i="672" s="1"/>
  <c r="A600" i="672" s="1"/>
  <c r="A601" i="672" s="1"/>
  <c r="A602" i="672" s="1"/>
  <c r="A603" i="672" s="1"/>
  <c r="A604" i="672" s="1"/>
  <c r="A605" i="672" s="1"/>
  <c r="A606" i="672" s="1"/>
  <c r="A607" i="672" s="1"/>
  <c r="A608" i="672" s="1"/>
  <c r="A609" i="672" s="1"/>
  <c r="A610" i="672" s="1"/>
  <c r="A611" i="672" s="1"/>
  <c r="A612" i="672" s="1"/>
  <c r="A613" i="672" s="1"/>
  <c r="A614" i="672" s="1"/>
  <c r="A615" i="672" s="1"/>
  <c r="A616" i="672" s="1"/>
  <c r="A617" i="672" s="1"/>
  <c r="A618" i="672" s="1"/>
  <c r="A619" i="672" s="1"/>
  <c r="A620" i="672" s="1"/>
  <c r="A621" i="672" s="1"/>
  <c r="A622" i="672" s="1"/>
  <c r="A623" i="672" s="1"/>
  <c r="A624" i="672" s="1"/>
  <c r="A625" i="672" s="1"/>
  <c r="A626" i="672" s="1"/>
  <c r="A627" i="672" s="1"/>
  <c r="A628" i="672" s="1"/>
  <c r="A629" i="672" s="1"/>
  <c r="A630" i="672" s="1"/>
  <c r="A631" i="672" s="1"/>
  <c r="A632" i="672" s="1"/>
  <c r="A633" i="672" s="1"/>
  <c r="A634" i="672" s="1"/>
  <c r="A635" i="672" s="1"/>
  <c r="A636" i="672" s="1"/>
  <c r="A637" i="672" s="1"/>
  <c r="A638" i="672" s="1"/>
  <c r="A639" i="672" s="1"/>
  <c r="S8" i="672"/>
  <c r="M18" i="671"/>
  <c r="L18" i="671"/>
  <c r="K18" i="671"/>
  <c r="J18" i="671"/>
  <c r="I18" i="671"/>
  <c r="H18" i="671"/>
  <c r="G18" i="671"/>
  <c r="F18" i="671"/>
  <c r="E18" i="671"/>
  <c r="D18" i="671"/>
  <c r="C18" i="671"/>
  <c r="B18" i="671"/>
  <c r="M15" i="666"/>
  <c r="L15" i="666"/>
  <c r="K15" i="666"/>
  <c r="J15" i="666"/>
  <c r="I15" i="666"/>
  <c r="H15" i="666"/>
  <c r="G15" i="666"/>
  <c r="F15" i="666"/>
  <c r="E15" i="666"/>
  <c r="D15" i="666"/>
  <c r="C15" i="666"/>
  <c r="B15" i="666"/>
  <c r="G25" i="665"/>
  <c r="F25" i="665"/>
  <c r="E25" i="665"/>
  <c r="D25" i="665"/>
  <c r="C25" i="665"/>
  <c r="B25" i="665"/>
  <c r="U117" i="664"/>
  <c r="T117" i="664"/>
  <c r="R117" i="664"/>
  <c r="Q117" i="664"/>
  <c r="P117" i="664"/>
  <c r="O117" i="664"/>
  <c r="N117" i="664"/>
  <c r="M117" i="664"/>
  <c r="L117" i="664"/>
  <c r="K117" i="664"/>
  <c r="I117" i="664"/>
  <c r="H117" i="664"/>
  <c r="G117" i="664"/>
  <c r="B117" i="664"/>
  <c r="J116" i="664"/>
  <c r="J115" i="664"/>
  <c r="J114" i="664"/>
  <c r="J113" i="664"/>
  <c r="J112" i="664"/>
  <c r="J111" i="664"/>
  <c r="J110" i="664"/>
  <c r="J109" i="664"/>
  <c r="J108" i="664"/>
  <c r="J107" i="664"/>
  <c r="J106" i="664"/>
  <c r="J105" i="664"/>
  <c r="J104" i="664"/>
  <c r="J103" i="664"/>
  <c r="J102" i="664"/>
  <c r="J101" i="664"/>
  <c r="J100" i="664"/>
  <c r="J99" i="664"/>
  <c r="J98" i="664"/>
  <c r="J97" i="664"/>
  <c r="J96" i="664"/>
  <c r="J95" i="664"/>
  <c r="J94" i="664"/>
  <c r="J93" i="664"/>
  <c r="J92" i="664"/>
  <c r="J91" i="664"/>
  <c r="J90" i="664"/>
  <c r="J89" i="664"/>
  <c r="J88" i="664"/>
  <c r="J87" i="664"/>
  <c r="J86" i="664"/>
  <c r="J85" i="664"/>
  <c r="J84" i="664"/>
  <c r="J83" i="664"/>
  <c r="J82" i="664"/>
  <c r="J81" i="664"/>
  <c r="J80" i="664"/>
  <c r="J79" i="664"/>
  <c r="J78" i="664"/>
  <c r="J77" i="664"/>
  <c r="J76" i="664"/>
  <c r="J75" i="664"/>
  <c r="J74" i="664"/>
  <c r="J73" i="664"/>
  <c r="J72" i="664"/>
  <c r="J71" i="664"/>
  <c r="J70" i="664"/>
  <c r="J69" i="664"/>
  <c r="J68" i="664"/>
  <c r="J67" i="664"/>
  <c r="J66" i="664"/>
  <c r="J65" i="664"/>
  <c r="J64" i="664"/>
  <c r="J63" i="664"/>
  <c r="J62" i="664"/>
  <c r="J61" i="664"/>
  <c r="J60" i="664"/>
  <c r="J59" i="664"/>
  <c r="J58" i="664"/>
  <c r="J57" i="664"/>
  <c r="J56" i="664"/>
  <c r="J55" i="664"/>
  <c r="J54" i="664"/>
  <c r="J53" i="664"/>
  <c r="J52" i="664"/>
  <c r="J51" i="664"/>
  <c r="J50" i="664"/>
  <c r="J49" i="664"/>
  <c r="U48" i="664"/>
  <c r="T48" i="664"/>
  <c r="R48" i="664"/>
  <c r="R118" i="664" s="1"/>
  <c r="Q48" i="664"/>
  <c r="P48" i="664"/>
  <c r="O48" i="664"/>
  <c r="N48" i="664"/>
  <c r="M48" i="664"/>
  <c r="L48" i="664"/>
  <c r="K48" i="664"/>
  <c r="I48" i="664"/>
  <c r="I118" i="664" s="1"/>
  <c r="H48" i="664"/>
  <c r="G48" i="664"/>
  <c r="B48" i="664"/>
  <c r="J47" i="664"/>
  <c r="J46" i="664"/>
  <c r="J45" i="664"/>
  <c r="J44" i="664"/>
  <c r="J43" i="664"/>
  <c r="J42" i="664"/>
  <c r="J41" i="664"/>
  <c r="J40" i="664"/>
  <c r="J39" i="664"/>
  <c r="J38" i="664"/>
  <c r="J37" i="664"/>
  <c r="J36" i="664"/>
  <c r="J35" i="664"/>
  <c r="J34" i="664"/>
  <c r="J33" i="664"/>
  <c r="J32" i="664"/>
  <c r="J31" i="664"/>
  <c r="J30" i="664"/>
  <c r="J29" i="664"/>
  <c r="J28" i="664"/>
  <c r="J27" i="664"/>
  <c r="J26" i="664"/>
  <c r="J25" i="664"/>
  <c r="J24" i="664"/>
  <c r="J23" i="664"/>
  <c r="J22" i="664"/>
  <c r="J21" i="664"/>
  <c r="J20" i="664"/>
  <c r="J19" i="664"/>
  <c r="J18" i="664"/>
  <c r="J17" i="664"/>
  <c r="J16" i="664"/>
  <c r="J15" i="664"/>
  <c r="J14" i="664"/>
  <c r="J13" i="664"/>
  <c r="J12" i="664"/>
  <c r="J11" i="664"/>
  <c r="J10" i="664"/>
  <c r="J9" i="664"/>
  <c r="J8" i="664"/>
  <c r="J7" i="664"/>
  <c r="J6" i="664"/>
  <c r="J5" i="664"/>
  <c r="J4" i="664"/>
  <c r="M118" i="664" l="1"/>
  <c r="F726" i="672"/>
  <c r="P118" i="664"/>
  <c r="Q118" i="664"/>
  <c r="B118" i="664"/>
  <c r="O118" i="664"/>
  <c r="A726" i="672"/>
  <c r="M794" i="675"/>
  <c r="Y794" i="675"/>
  <c r="AI794" i="675"/>
  <c r="AS794" i="675"/>
  <c r="G118" i="664"/>
  <c r="H118" i="664"/>
  <c r="F775" i="673"/>
  <c r="E12" i="681"/>
  <c r="F11" i="681"/>
  <c r="F12" i="681" s="1"/>
  <c r="E45" i="681"/>
  <c r="F44" i="681"/>
  <c r="F45" i="681" s="1"/>
  <c r="F57" i="681"/>
  <c r="F58" i="681" s="1"/>
  <c r="E58" i="681"/>
  <c r="E50" i="681"/>
  <c r="F49" i="681"/>
  <c r="H794" i="675"/>
  <c r="R794" i="675"/>
  <c r="AB794" i="675"/>
  <c r="F6" i="681"/>
  <c r="F7" i="681" s="1"/>
  <c r="H40" i="681"/>
  <c r="I40" i="681" s="1"/>
  <c r="I41" i="681" s="1"/>
  <c r="BH794" i="675"/>
  <c r="F36" i="681"/>
  <c r="F37" i="681" s="1"/>
  <c r="H35" i="684"/>
  <c r="H95" i="684"/>
  <c r="H155" i="684"/>
  <c r="H215" i="684"/>
  <c r="H249" i="684"/>
  <c r="H253" i="684"/>
  <c r="H257" i="684"/>
  <c r="H149" i="685"/>
  <c r="H153" i="685"/>
  <c r="H157" i="685"/>
  <c r="I35" i="684"/>
  <c r="I95" i="684"/>
  <c r="I155" i="684"/>
  <c r="I215" i="684"/>
  <c r="I249" i="684"/>
  <c r="I253" i="684"/>
  <c r="I257" i="684"/>
  <c r="I32" i="685"/>
  <c r="I41" i="685"/>
  <c r="I68" i="685"/>
  <c r="I77" i="685"/>
  <c r="I104" i="685"/>
  <c r="I113" i="685"/>
  <c r="I140" i="685"/>
  <c r="I149" i="685"/>
  <c r="I153" i="685"/>
  <c r="I157" i="685"/>
  <c r="G61" i="681"/>
  <c r="G38" i="681" s="1"/>
  <c r="G26" i="637"/>
  <c r="G143" i="661"/>
  <c r="J48" i="664"/>
  <c r="J117" i="664"/>
  <c r="K118" i="664"/>
  <c r="T118" i="664"/>
  <c r="L118" i="664"/>
  <c r="U118" i="664"/>
  <c r="N118" i="664"/>
  <c r="AD701" i="675"/>
  <c r="AE697" i="674"/>
  <c r="AM697" i="674"/>
  <c r="AT701" i="675"/>
  <c r="N701" i="675"/>
  <c r="BJ701" i="675"/>
  <c r="BC747" i="675"/>
  <c r="H50" i="684"/>
  <c r="H110" i="684"/>
  <c r="H170" i="684"/>
  <c r="H230" i="684"/>
  <c r="F260" i="684"/>
  <c r="H250" i="684"/>
  <c r="H254" i="684"/>
  <c r="H258" i="684"/>
  <c r="H23" i="685"/>
  <c r="H32" i="685"/>
  <c r="H59" i="685"/>
  <c r="H68" i="685"/>
  <c r="H95" i="685"/>
  <c r="H104" i="685"/>
  <c r="H140" i="685"/>
  <c r="F158" i="685"/>
  <c r="H154" i="685"/>
  <c r="BI794" i="675"/>
  <c r="J61" i="681"/>
  <c r="J13" i="681" s="1"/>
  <c r="I50" i="684"/>
  <c r="I110" i="684"/>
  <c r="I170" i="684"/>
  <c r="I230" i="684"/>
  <c r="G260" i="684"/>
  <c r="I250" i="684"/>
  <c r="I254" i="684"/>
  <c r="I258" i="684"/>
  <c r="G158" i="685"/>
  <c r="I154" i="685"/>
  <c r="E158" i="685"/>
  <c r="Z794" i="675"/>
  <c r="AJ794" i="675"/>
  <c r="H20" i="684"/>
  <c r="H80" i="684"/>
  <c r="H140" i="684"/>
  <c r="H200" i="684"/>
  <c r="H248" i="684"/>
  <c r="H252" i="684"/>
  <c r="H256" i="684"/>
  <c r="H14" i="685"/>
  <c r="H41" i="685"/>
  <c r="H50" i="685"/>
  <c r="H77" i="685"/>
  <c r="H86" i="685"/>
  <c r="H113" i="685"/>
  <c r="H122" i="685"/>
  <c r="H152" i="685"/>
  <c r="H156" i="685"/>
  <c r="G794" i="675"/>
  <c r="Q794" i="675"/>
  <c r="AA794" i="675"/>
  <c r="AK794" i="675"/>
  <c r="BE794" i="675"/>
  <c r="D61" i="681"/>
  <c r="D34" i="681" s="1"/>
  <c r="E20" i="681"/>
  <c r="E21" i="681" s="1"/>
  <c r="I20" i="684"/>
  <c r="I80" i="684"/>
  <c r="I140" i="684"/>
  <c r="I200" i="684"/>
  <c r="I248" i="684"/>
  <c r="I252" i="684"/>
  <c r="I256" i="684"/>
  <c r="I152" i="685"/>
  <c r="I156" i="685"/>
  <c r="AN794" i="675"/>
  <c r="BF794" i="675"/>
  <c r="H65" i="684"/>
  <c r="H125" i="684"/>
  <c r="H185" i="684"/>
  <c r="H245" i="684"/>
  <c r="D260" i="684"/>
  <c r="H251" i="684"/>
  <c r="H255" i="684"/>
  <c r="H259" i="684"/>
  <c r="H131" i="685"/>
  <c r="D158" i="685"/>
  <c r="H155" i="685"/>
  <c r="I794" i="675"/>
  <c r="S794" i="675"/>
  <c r="AC794" i="675"/>
  <c r="AO794" i="675"/>
  <c r="BG794" i="675"/>
  <c r="I65" i="684"/>
  <c r="I125" i="684"/>
  <c r="I185" i="684"/>
  <c r="I245" i="684"/>
  <c r="E260" i="684"/>
  <c r="I251" i="684"/>
  <c r="I255" i="684"/>
  <c r="I259" i="684"/>
  <c r="I14" i="685"/>
  <c r="I23" i="685"/>
  <c r="I50" i="685"/>
  <c r="I59" i="685"/>
  <c r="I86" i="685"/>
  <c r="I95" i="685"/>
  <c r="I122" i="685"/>
  <c r="I131" i="685"/>
  <c r="I155" i="685"/>
  <c r="B158" i="685"/>
  <c r="C158" i="685"/>
  <c r="C260" i="684"/>
  <c r="B260" i="684"/>
  <c r="J34" i="681"/>
  <c r="J8" i="681"/>
  <c r="J38" i="681"/>
  <c r="D59" i="681"/>
  <c r="D46" i="681"/>
  <c r="D8" i="681"/>
  <c r="D38" i="681"/>
  <c r="D13" i="681"/>
  <c r="F15" i="681"/>
  <c r="F16" i="681" s="1"/>
  <c r="F32" i="681"/>
  <c r="F33" i="681" s="1"/>
  <c r="H41" i="681"/>
  <c r="G21" i="681"/>
  <c r="O7" i="675"/>
  <c r="O701" i="675" s="1"/>
  <c r="AU7" i="675"/>
  <c r="AU701" i="675" s="1"/>
  <c r="V701" i="675"/>
  <c r="W701" i="675"/>
  <c r="AE7" i="675"/>
  <c r="AE701" i="675" s="1"/>
  <c r="BK701" i="675"/>
  <c r="AL701" i="675"/>
  <c r="AM7" i="675"/>
  <c r="AM701" i="675" s="1"/>
  <c r="AW701" i="675"/>
  <c r="AW794" i="675" s="1"/>
  <c r="BB587" i="675"/>
  <c r="BB701" i="675" s="1"/>
  <c r="O747" i="675"/>
  <c r="W747" i="675"/>
  <c r="BJ747" i="675"/>
  <c r="AD747" i="675"/>
  <c r="BK747" i="675"/>
  <c r="AL793" i="675"/>
  <c r="AM749" i="675"/>
  <c r="AM793" i="675" s="1"/>
  <c r="AE747" i="675"/>
  <c r="AL747" i="675"/>
  <c r="AM747" i="675"/>
  <c r="AT747" i="675"/>
  <c r="N747" i="675"/>
  <c r="AU747" i="675"/>
  <c r="V747" i="675"/>
  <c r="BB747" i="675"/>
  <c r="AT793" i="675"/>
  <c r="N793" i="675"/>
  <c r="AU793" i="675"/>
  <c r="O793" i="675"/>
  <c r="BB793" i="675"/>
  <c r="BC749" i="675"/>
  <c r="BC793" i="675" s="1"/>
  <c r="V793" i="675"/>
  <c r="W749" i="675"/>
  <c r="W793" i="675" s="1"/>
  <c r="BJ793" i="675"/>
  <c r="AD793" i="675"/>
  <c r="BK793" i="675"/>
  <c r="AE793" i="675"/>
  <c r="BC654" i="674"/>
  <c r="BS654" i="674"/>
  <c r="V654" i="674"/>
  <c r="AE654" i="674"/>
  <c r="BK654" i="674"/>
  <c r="AL654" i="674"/>
  <c r="BR654" i="674"/>
  <c r="CX654" i="674"/>
  <c r="CY654" i="674"/>
  <c r="N654" i="674"/>
  <c r="AT654" i="674"/>
  <c r="BZ654" i="674"/>
  <c r="O7" i="674"/>
  <c r="O654" i="674" s="1"/>
  <c r="AU7" i="674"/>
  <c r="AU654" i="674" s="1"/>
  <c r="CA7" i="674"/>
  <c r="CA654" i="674" s="1"/>
  <c r="CH654" i="674"/>
  <c r="W7" i="674"/>
  <c r="W654" i="674" s="1"/>
  <c r="CI7" i="674"/>
  <c r="CI654" i="674" s="1"/>
  <c r="BB654" i="674"/>
  <c r="AD654" i="674"/>
  <c r="BJ654" i="674"/>
  <c r="CP654" i="674"/>
  <c r="AM654" i="674"/>
  <c r="CQ654" i="674"/>
  <c r="BS697" i="674"/>
  <c r="BZ741" i="674"/>
  <c r="CA699" i="674"/>
  <c r="CA741" i="674" s="1"/>
  <c r="CY697" i="674"/>
  <c r="AN742" i="674"/>
  <c r="CI697" i="674"/>
  <c r="BC697" i="674"/>
  <c r="CP697" i="674"/>
  <c r="W697" i="674"/>
  <c r="BJ697" i="674"/>
  <c r="CQ656" i="674"/>
  <c r="CQ697" i="674" s="1"/>
  <c r="AD697" i="674"/>
  <c r="BK697" i="674"/>
  <c r="AV742" i="674"/>
  <c r="BL742" i="674"/>
  <c r="CR742" i="674"/>
  <c r="BS741" i="674"/>
  <c r="AL697" i="674"/>
  <c r="BR697" i="674"/>
  <c r="CX697" i="674"/>
  <c r="AF742" i="674"/>
  <c r="AM741" i="674"/>
  <c r="X742" i="674"/>
  <c r="CJ742" i="674"/>
  <c r="AT741" i="674"/>
  <c r="AU699" i="674"/>
  <c r="AU741" i="674" s="1"/>
  <c r="N697" i="674"/>
  <c r="AT697" i="674"/>
  <c r="BZ697" i="674"/>
  <c r="G742" i="674"/>
  <c r="P742" i="674"/>
  <c r="CB742" i="674"/>
  <c r="O656" i="674"/>
  <c r="O697" i="674" s="1"/>
  <c r="AU656" i="674"/>
  <c r="AU697" i="674" s="1"/>
  <c r="CA656" i="674"/>
  <c r="CA697" i="674" s="1"/>
  <c r="H742" i="674"/>
  <c r="BT742" i="674"/>
  <c r="N741" i="674"/>
  <c r="O699" i="674"/>
  <c r="O741" i="674" s="1"/>
  <c r="M742" i="674"/>
  <c r="Y742" i="674"/>
  <c r="AS742" i="674"/>
  <c r="BE742" i="674"/>
  <c r="BY742" i="674"/>
  <c r="CK742" i="674"/>
  <c r="V697" i="674"/>
  <c r="BB697" i="674"/>
  <c r="CH697" i="674"/>
  <c r="CY741" i="674"/>
  <c r="Z742" i="674"/>
  <c r="AJ742" i="674"/>
  <c r="BF742" i="674"/>
  <c r="BP742" i="674"/>
  <c r="CL742" i="674"/>
  <c r="CV742" i="674"/>
  <c r="BD742" i="674"/>
  <c r="Q742" i="674"/>
  <c r="AK742" i="674"/>
  <c r="AW742" i="674"/>
  <c r="BQ742" i="674"/>
  <c r="CC742" i="674"/>
  <c r="CW742" i="674"/>
  <c r="V741" i="674"/>
  <c r="BB741" i="674"/>
  <c r="CH741" i="674"/>
  <c r="R742" i="674"/>
  <c r="AB742" i="674"/>
  <c r="AX742" i="674"/>
  <c r="BH742" i="674"/>
  <c r="CD742" i="674"/>
  <c r="CN742" i="674"/>
  <c r="W699" i="674"/>
  <c r="W741" i="674" s="1"/>
  <c r="BC699" i="674"/>
  <c r="BC741" i="674" s="1"/>
  <c r="CI699" i="674"/>
  <c r="CI741" i="674" s="1"/>
  <c r="CI742" i="674" s="1"/>
  <c r="I742" i="674"/>
  <c r="AC742" i="674"/>
  <c r="AO742" i="674"/>
  <c r="BI742" i="674"/>
  <c r="BU742" i="674"/>
  <c r="CO742" i="674"/>
  <c r="AD741" i="674"/>
  <c r="BJ741" i="674"/>
  <c r="BJ742" i="674" s="1"/>
  <c r="CP741" i="674"/>
  <c r="J742" i="674"/>
  <c r="T742" i="674"/>
  <c r="AP742" i="674"/>
  <c r="AZ742" i="674"/>
  <c r="BV742" i="674"/>
  <c r="CF742" i="674"/>
  <c r="AE741" i="674"/>
  <c r="BK741" i="674"/>
  <c r="CQ741" i="674"/>
  <c r="U742" i="674"/>
  <c r="AG742" i="674"/>
  <c r="BA742" i="674"/>
  <c r="BM742" i="674"/>
  <c r="CG742" i="674"/>
  <c r="CS742" i="674"/>
  <c r="AL741" i="674"/>
  <c r="BR741" i="674"/>
  <c r="CX741" i="674"/>
  <c r="L742" i="674"/>
  <c r="AH742" i="674"/>
  <c r="AR742" i="674"/>
  <c r="BN742" i="674"/>
  <c r="BX742" i="674"/>
  <c r="CT742" i="674"/>
  <c r="A775" i="673"/>
  <c r="A689" i="673"/>
  <c r="A690" i="673" s="1"/>
  <c r="A691" i="673" s="1"/>
  <c r="A692" i="673" s="1"/>
  <c r="A693" i="673" s="1"/>
  <c r="A694" i="673" s="1"/>
  <c r="A695" i="673" s="1"/>
  <c r="A696" i="673" s="1"/>
  <c r="A697" i="673" s="1"/>
  <c r="A698" i="673" s="1"/>
  <c r="A699" i="673" s="1"/>
  <c r="A700" i="673" s="1"/>
  <c r="A701" i="673" s="1"/>
  <c r="A702" i="673" s="1"/>
  <c r="A703" i="673" s="1"/>
  <c r="A704" i="673" s="1"/>
  <c r="A705" i="673" s="1"/>
  <c r="A706" i="673" s="1"/>
  <c r="A707" i="673" s="1"/>
  <c r="A708" i="673" s="1"/>
  <c r="A709" i="673" s="1"/>
  <c r="A710" i="673" s="1"/>
  <c r="A711" i="673" s="1"/>
  <c r="A712" i="673" s="1"/>
  <c r="A713" i="673" s="1"/>
  <c r="A714" i="673" s="1"/>
  <c r="A715" i="673" s="1"/>
  <c r="A716" i="673" s="1"/>
  <c r="A717" i="673" s="1"/>
  <c r="A718" i="673" s="1"/>
  <c r="A719" i="673" s="1"/>
  <c r="A720" i="673" s="1"/>
  <c r="A721" i="673" s="1"/>
  <c r="A722" i="673" s="1"/>
  <c r="A723" i="673" s="1"/>
  <c r="A724" i="673" s="1"/>
  <c r="A725" i="673" s="1"/>
  <c r="A726" i="673" s="1"/>
  <c r="A727" i="673" s="1"/>
  <c r="A728" i="673" s="1"/>
  <c r="A729" i="673" s="1"/>
  <c r="S639" i="672"/>
  <c r="S726" i="672"/>
  <c r="S681" i="672"/>
  <c r="S725" i="672"/>
  <c r="N794" i="675" l="1"/>
  <c r="BJ794" i="675"/>
  <c r="H158" i="685"/>
  <c r="J118" i="664"/>
  <c r="G25" i="681"/>
  <c r="G17" i="681"/>
  <c r="E61" i="681"/>
  <c r="AT794" i="675"/>
  <c r="G29" i="681"/>
  <c r="G13" i="681"/>
  <c r="D29" i="681"/>
  <c r="D51" i="681"/>
  <c r="G8" i="681"/>
  <c r="D17" i="681"/>
  <c r="G59" i="681"/>
  <c r="D25" i="681"/>
  <c r="G46" i="681"/>
  <c r="W742" i="674"/>
  <c r="I260" i="684"/>
  <c r="H260" i="684"/>
  <c r="J29" i="681"/>
  <c r="V794" i="675"/>
  <c r="F50" i="681"/>
  <c r="F61" i="681" s="1"/>
  <c r="H49" i="681"/>
  <c r="CQ742" i="674"/>
  <c r="BK742" i="674"/>
  <c r="J17" i="681"/>
  <c r="I158" i="685"/>
  <c r="AE742" i="674"/>
  <c r="BZ742" i="674"/>
  <c r="G34" i="681"/>
  <c r="J59" i="681"/>
  <c r="AM742" i="674"/>
  <c r="BC587" i="675"/>
  <c r="BC701" i="675" s="1"/>
  <c r="BC794" i="675" s="1"/>
  <c r="J25" i="681"/>
  <c r="J46" i="681"/>
  <c r="BR742" i="674"/>
  <c r="AM794" i="675"/>
  <c r="BC742" i="674"/>
  <c r="AD794" i="675"/>
  <c r="AL794" i="675"/>
  <c r="J21" i="681"/>
  <c r="BB742" i="674"/>
  <c r="E59" i="681"/>
  <c r="E46" i="681"/>
  <c r="E38" i="681"/>
  <c r="E34" i="681"/>
  <c r="E25" i="681"/>
  <c r="E17" i="681"/>
  <c r="E29" i="681"/>
  <c r="E13" i="681"/>
  <c r="E51" i="681"/>
  <c r="E8" i="681"/>
  <c r="AE794" i="675"/>
  <c r="W794" i="675"/>
  <c r="BB794" i="675"/>
  <c r="BK794" i="675"/>
  <c r="AU794" i="675"/>
  <c r="O794" i="675"/>
  <c r="V742" i="674"/>
  <c r="O742" i="674"/>
  <c r="N742" i="674"/>
  <c r="CX742" i="674"/>
  <c r="AL742" i="674"/>
  <c r="CP742" i="674"/>
  <c r="CA742" i="674"/>
  <c r="AU742" i="674"/>
  <c r="AD742" i="674"/>
  <c r="CH742" i="674"/>
  <c r="CY742" i="674"/>
  <c r="AT742" i="674"/>
  <c r="BS742" i="674"/>
  <c r="C14" i="643"/>
  <c r="B14" i="566"/>
  <c r="C12" i="643"/>
  <c r="C10" i="643"/>
  <c r="C9" i="643"/>
  <c r="C8" i="643"/>
  <c r="C7" i="643"/>
  <c r="C6" i="643"/>
  <c r="F34" i="681" l="1"/>
  <c r="F8" i="681"/>
  <c r="F17" i="681"/>
  <c r="F46" i="681"/>
  <c r="F38" i="681"/>
  <c r="F25" i="681"/>
  <c r="F59" i="681"/>
  <c r="F51" i="681"/>
  <c r="F29" i="681"/>
  <c r="F13" i="681"/>
  <c r="H50" i="681"/>
  <c r="H61" i="681" s="1"/>
  <c r="I49" i="681"/>
  <c r="I50" i="681" s="1"/>
  <c r="I61" i="681" s="1"/>
  <c r="F45" i="638"/>
  <c r="E45" i="638"/>
  <c r="D45" i="638"/>
  <c r="F44" i="638"/>
  <c r="E44" i="638"/>
  <c r="D44" i="638"/>
  <c r="F43" i="638"/>
  <c r="E43" i="638"/>
  <c r="D43" i="638"/>
  <c r="I59" i="681" l="1"/>
  <c r="I21" i="681"/>
  <c r="I17" i="681"/>
  <c r="I34" i="681"/>
  <c r="I46" i="681"/>
  <c r="I25" i="681"/>
  <c r="I29" i="681"/>
  <c r="I8" i="681"/>
  <c r="I13" i="681"/>
  <c r="I38" i="681"/>
  <c r="H25" i="681"/>
  <c r="H29" i="681"/>
  <c r="H13" i="681"/>
  <c r="H21" i="681"/>
  <c r="H17" i="681"/>
  <c r="H34" i="681"/>
  <c r="H8" i="681"/>
  <c r="H59" i="681"/>
  <c r="H46" i="681"/>
  <c r="H38" i="681"/>
  <c r="J18" i="529"/>
  <c r="J21" i="529" s="1"/>
  <c r="J22" i="529" s="1"/>
  <c r="I18" i="529"/>
  <c r="I21" i="529" s="1"/>
  <c r="I22" i="529" s="1"/>
  <c r="F18" i="529"/>
  <c r="F21" i="529" s="1"/>
  <c r="F22" i="529" s="1"/>
  <c r="E18" i="529"/>
  <c r="E21" i="529" s="1"/>
  <c r="E22" i="529" s="1"/>
  <c r="H18" i="529"/>
  <c r="H21" i="529" s="1"/>
  <c r="H22" i="529" s="1"/>
  <c r="G18" i="529"/>
  <c r="G21" i="529" s="1"/>
  <c r="G22" i="529" s="1"/>
  <c r="J11" i="529"/>
  <c r="I11" i="529"/>
  <c r="H11" i="529"/>
  <c r="G11" i="529"/>
  <c r="F11" i="529"/>
  <c r="E11" i="529"/>
  <c r="J9" i="529"/>
  <c r="I9" i="529"/>
  <c r="H9" i="529"/>
  <c r="G9" i="529"/>
  <c r="F9" i="529"/>
  <c r="E9" i="529"/>
  <c r="J7" i="529"/>
  <c r="J15" i="529" s="1"/>
  <c r="J16" i="529" s="1"/>
  <c r="I7" i="529"/>
  <c r="H7" i="529"/>
  <c r="G7" i="529"/>
  <c r="F7" i="529"/>
  <c r="E7" i="529"/>
  <c r="Q20" i="528"/>
  <c r="P18" i="528"/>
  <c r="P21" i="528" s="1"/>
  <c r="P22" i="528" s="1"/>
  <c r="O18" i="528"/>
  <c r="O21" i="528" s="1"/>
  <c r="O22" i="528" s="1"/>
  <c r="M18" i="528"/>
  <c r="M21" i="528" s="1"/>
  <c r="M22" i="528" s="1"/>
  <c r="H18" i="528"/>
  <c r="H21" i="528" s="1"/>
  <c r="H22" i="528" s="1"/>
  <c r="G18" i="528"/>
  <c r="G21" i="528" s="1"/>
  <c r="G22" i="528" s="1"/>
  <c r="E18" i="528"/>
  <c r="N18" i="528"/>
  <c r="N21" i="528" s="1"/>
  <c r="N22" i="528" s="1"/>
  <c r="L18" i="528"/>
  <c r="L21" i="528" s="1"/>
  <c r="L22" i="528" s="1"/>
  <c r="K18" i="528"/>
  <c r="K21" i="528" s="1"/>
  <c r="K22" i="528" s="1"/>
  <c r="J18" i="528"/>
  <c r="J21" i="528" s="1"/>
  <c r="J22" i="528" s="1"/>
  <c r="I18" i="528"/>
  <c r="I21" i="528" s="1"/>
  <c r="I22" i="528" s="1"/>
  <c r="F18" i="528"/>
  <c r="F21" i="528" s="1"/>
  <c r="F22" i="528" s="1"/>
  <c r="Q17" i="528"/>
  <c r="Q14" i="528"/>
  <c r="Q13" i="528"/>
  <c r="O11" i="528"/>
  <c r="N11" i="528"/>
  <c r="L11" i="528"/>
  <c r="K11" i="528"/>
  <c r="G11" i="528"/>
  <c r="F11" i="528"/>
  <c r="Q12" i="528"/>
  <c r="P11" i="528"/>
  <c r="M11" i="528"/>
  <c r="J11" i="528"/>
  <c r="I11" i="528"/>
  <c r="H11" i="528"/>
  <c r="E11" i="528"/>
  <c r="Q10" i="528"/>
  <c r="P9" i="528"/>
  <c r="O9" i="528"/>
  <c r="N9" i="528"/>
  <c r="M9" i="528"/>
  <c r="L9" i="528"/>
  <c r="K9" i="528"/>
  <c r="J9" i="528"/>
  <c r="I9" i="528"/>
  <c r="H9" i="528"/>
  <c r="G9" i="528"/>
  <c r="F9" i="528"/>
  <c r="E9" i="528"/>
  <c r="Q8" i="528"/>
  <c r="P7" i="528"/>
  <c r="O7" i="528"/>
  <c r="N7" i="528"/>
  <c r="M7" i="528"/>
  <c r="L7" i="528"/>
  <c r="K7" i="528"/>
  <c r="J7" i="528"/>
  <c r="J15" i="528" s="1"/>
  <c r="J16" i="528" s="1"/>
  <c r="I7" i="528"/>
  <c r="H7" i="528"/>
  <c r="H15" i="528" s="1"/>
  <c r="H16" i="528" s="1"/>
  <c r="G7" i="528"/>
  <c r="G15" i="528" s="1"/>
  <c r="G16" i="528" s="1"/>
  <c r="F7" i="528"/>
  <c r="E7" i="528"/>
  <c r="Q6" i="528"/>
  <c r="Q5" i="528"/>
  <c r="Q4" i="528"/>
  <c r="I60" i="404"/>
  <c r="H60" i="404"/>
  <c r="G60" i="404"/>
  <c r="F60" i="404"/>
  <c r="E60" i="404"/>
  <c r="D60" i="404"/>
  <c r="I50" i="404"/>
  <c r="H50" i="404"/>
  <c r="G50" i="404"/>
  <c r="F50" i="404"/>
  <c r="E50" i="404"/>
  <c r="D50" i="404"/>
  <c r="I21" i="404"/>
  <c r="H21" i="404"/>
  <c r="G21" i="404"/>
  <c r="F21" i="404"/>
  <c r="E21" i="404"/>
  <c r="D21" i="404"/>
  <c r="I16" i="404"/>
  <c r="H16" i="404"/>
  <c r="G16" i="404"/>
  <c r="G33" i="404" s="1"/>
  <c r="F16" i="404"/>
  <c r="E16" i="404"/>
  <c r="D16" i="404"/>
  <c r="C58" i="404"/>
  <c r="C56" i="404"/>
  <c r="C55" i="404"/>
  <c r="C54" i="404"/>
  <c r="C53" i="404"/>
  <c r="C52" i="404"/>
  <c r="C48" i="404"/>
  <c r="C45" i="404"/>
  <c r="C44" i="404"/>
  <c r="C43" i="404"/>
  <c r="C41" i="404"/>
  <c r="C36" i="404"/>
  <c r="C37" i="404"/>
  <c r="C38" i="404"/>
  <c r="C39" i="404"/>
  <c r="C35" i="404"/>
  <c r="C23" i="404"/>
  <c r="C24" i="404"/>
  <c r="C25" i="404"/>
  <c r="C26" i="404"/>
  <c r="C27" i="404"/>
  <c r="C28" i="404"/>
  <c r="C29" i="404"/>
  <c r="C22" i="404"/>
  <c r="C17" i="404"/>
  <c r="C11" i="404"/>
  <c r="C10" i="404"/>
  <c r="I65" i="399"/>
  <c r="I62" i="399"/>
  <c r="F65" i="399"/>
  <c r="F62" i="399"/>
  <c r="C6" i="404" s="1"/>
  <c r="F60" i="406"/>
  <c r="E60" i="406"/>
  <c r="C60" i="406"/>
  <c r="H58" i="406"/>
  <c r="H56" i="406"/>
  <c r="H55" i="406"/>
  <c r="H54" i="406"/>
  <c r="G60" i="406"/>
  <c r="D60" i="406"/>
  <c r="H52" i="406"/>
  <c r="G50" i="406"/>
  <c r="F50" i="406"/>
  <c r="E50" i="406"/>
  <c r="D50" i="406"/>
  <c r="C50" i="406"/>
  <c r="H48" i="406"/>
  <c r="H45" i="406"/>
  <c r="H44" i="406"/>
  <c r="H43" i="406"/>
  <c r="H41" i="406"/>
  <c r="H39" i="406"/>
  <c r="H38" i="406"/>
  <c r="H37" i="406"/>
  <c r="H36" i="406"/>
  <c r="H35" i="406"/>
  <c r="G33" i="406"/>
  <c r="F33" i="406"/>
  <c r="E33" i="406"/>
  <c r="D33" i="406"/>
  <c r="C33" i="406"/>
  <c r="H29" i="406"/>
  <c r="H28" i="406"/>
  <c r="H27" i="406"/>
  <c r="H26" i="406"/>
  <c r="H25" i="406"/>
  <c r="H24" i="406"/>
  <c r="H23" i="406"/>
  <c r="H22" i="406"/>
  <c r="H17" i="406"/>
  <c r="H10" i="406"/>
  <c r="H9" i="406"/>
  <c r="E33" i="404" l="1"/>
  <c r="Q9" i="528"/>
  <c r="F33" i="404"/>
  <c r="F62" i="404" s="1"/>
  <c r="G15" i="529"/>
  <c r="G16" i="529" s="1"/>
  <c r="G62" i="404"/>
  <c r="F62" i="406"/>
  <c r="D33" i="404"/>
  <c r="D62" i="404" s="1"/>
  <c r="I15" i="529"/>
  <c r="I16" i="529" s="1"/>
  <c r="H15" i="529"/>
  <c r="H16" i="529" s="1"/>
  <c r="C62" i="406"/>
  <c r="K15" i="528"/>
  <c r="K16" i="528" s="1"/>
  <c r="H50" i="406"/>
  <c r="I33" i="404"/>
  <c r="I62" i="404" s="1"/>
  <c r="E15" i="529"/>
  <c r="E16" i="529" s="1"/>
  <c r="F15" i="529"/>
  <c r="F16" i="529" s="1"/>
  <c r="H33" i="406"/>
  <c r="H33" i="404"/>
  <c r="H62" i="404" s="1"/>
  <c r="Q7" i="528"/>
  <c r="D62" i="406"/>
  <c r="E62" i="406"/>
  <c r="E62" i="404"/>
  <c r="O15" i="528"/>
  <c r="O16" i="528" s="1"/>
  <c r="M15" i="528"/>
  <c r="M16" i="528" s="1"/>
  <c r="Q11" i="528"/>
  <c r="P15" i="528"/>
  <c r="P16" i="528" s="1"/>
  <c r="I15" i="528"/>
  <c r="I16" i="528" s="1"/>
  <c r="Q18" i="528"/>
  <c r="E21" i="528"/>
  <c r="L15" i="528"/>
  <c r="L16" i="528" s="1"/>
  <c r="F15" i="528"/>
  <c r="F16" i="528" s="1"/>
  <c r="N15" i="528"/>
  <c r="N16" i="528" s="1"/>
  <c r="E15" i="528"/>
  <c r="Q19" i="528"/>
  <c r="G62" i="406"/>
  <c r="H53" i="406"/>
  <c r="H60" i="406" s="1"/>
  <c r="C36" i="97"/>
  <c r="M23" i="628"/>
  <c r="I23" i="628"/>
  <c r="H62" i="406" l="1"/>
  <c r="H64" i="406" s="1"/>
  <c r="H65" i="406" s="1"/>
  <c r="H67" i="406" s="1"/>
  <c r="E16" i="528"/>
  <c r="Q15" i="528"/>
  <c r="Q16" i="528" s="1"/>
  <c r="Q21" i="528"/>
  <c r="Q22" i="528" s="1"/>
  <c r="E22" i="528"/>
  <c r="E18" i="628"/>
  <c r="B27" i="339" l="1"/>
  <c r="M8" i="635" l="1"/>
  <c r="C23" i="570" l="1"/>
  <c r="B23" i="570"/>
  <c r="C22" i="570"/>
  <c r="B22" i="570"/>
  <c r="B18" i="570"/>
  <c r="C16" i="570"/>
  <c r="B16" i="570"/>
  <c r="B14" i="570"/>
  <c r="C14" i="570"/>
  <c r="C11" i="570"/>
  <c r="C4" i="570"/>
  <c r="B11" i="570"/>
  <c r="B10" i="570"/>
  <c r="B4" i="570"/>
  <c r="H22" i="570"/>
  <c r="D11" i="149"/>
  <c r="D6" i="149"/>
  <c r="N20" i="635"/>
  <c r="M20" i="635"/>
  <c r="I9" i="526"/>
  <c r="C59" i="570"/>
  <c r="C57" i="570"/>
  <c r="C56" i="570"/>
  <c r="Q60" i="409"/>
  <c r="Q60" i="408"/>
  <c r="Y71" i="409" l="1"/>
  <c r="Y70" i="409"/>
  <c r="Y69" i="409"/>
  <c r="U67" i="409"/>
  <c r="S63" i="409"/>
  <c r="P62" i="409"/>
  <c r="G61" i="409"/>
  <c r="F61" i="409"/>
  <c r="T61" i="409" s="1"/>
  <c r="D61" i="409"/>
  <c r="T60" i="409"/>
  <c r="R60" i="409"/>
  <c r="AC60" i="409" s="1"/>
  <c r="G59" i="409"/>
  <c r="Q59" i="409" s="1"/>
  <c r="F59" i="409"/>
  <c r="T59" i="409" s="1"/>
  <c r="D59" i="409"/>
  <c r="G58" i="409"/>
  <c r="Q58" i="409" s="1"/>
  <c r="F58" i="409"/>
  <c r="T58" i="409" s="1"/>
  <c r="D58" i="409"/>
  <c r="E58" i="409" s="1"/>
  <c r="G57" i="409"/>
  <c r="Q57" i="409" s="1"/>
  <c r="F57" i="409"/>
  <c r="D57" i="409"/>
  <c r="E57" i="409" s="1"/>
  <c r="G56" i="409"/>
  <c r="Q56" i="409" s="1"/>
  <c r="F56" i="409"/>
  <c r="T56" i="409" s="1"/>
  <c r="D56" i="409"/>
  <c r="G55" i="409"/>
  <c r="Q55" i="409" s="1"/>
  <c r="F55" i="409"/>
  <c r="T55" i="409" s="1"/>
  <c r="D55" i="409"/>
  <c r="E55" i="409" s="1"/>
  <c r="S53" i="409"/>
  <c r="AC52" i="409"/>
  <c r="T52" i="409"/>
  <c r="Q52" i="409"/>
  <c r="G51" i="409"/>
  <c r="Q51" i="409" s="1"/>
  <c r="F51" i="409"/>
  <c r="T51" i="409" s="1"/>
  <c r="D51" i="409"/>
  <c r="E51" i="409" s="1"/>
  <c r="R51" i="409" s="1"/>
  <c r="AC51" i="409" s="1"/>
  <c r="T50" i="409"/>
  <c r="Q50" i="409"/>
  <c r="AC49" i="409"/>
  <c r="T49" i="409"/>
  <c r="Q49" i="409"/>
  <c r="G48" i="409"/>
  <c r="Q48" i="409" s="1"/>
  <c r="F48" i="409"/>
  <c r="T48" i="409" s="1"/>
  <c r="D48" i="409"/>
  <c r="E48" i="409" s="1"/>
  <c r="G47" i="409"/>
  <c r="Q47" i="409" s="1"/>
  <c r="F47" i="409"/>
  <c r="T47" i="409" s="1"/>
  <c r="D47" i="409"/>
  <c r="E47" i="409" s="1"/>
  <c r="G46" i="409"/>
  <c r="Q46" i="409" s="1"/>
  <c r="F46" i="409"/>
  <c r="T46" i="409" s="1"/>
  <c r="D46" i="409"/>
  <c r="E46" i="409" s="1"/>
  <c r="R46" i="409" s="1"/>
  <c r="AC45" i="409"/>
  <c r="T45" i="409"/>
  <c r="Q45" i="409"/>
  <c r="G44" i="409"/>
  <c r="F44" i="409"/>
  <c r="T44" i="409" s="1"/>
  <c r="D44" i="409"/>
  <c r="E44" i="409" s="1"/>
  <c r="AC43" i="409"/>
  <c r="X43" i="409"/>
  <c r="Y43" i="409" s="1"/>
  <c r="T43" i="409"/>
  <c r="Q43" i="409"/>
  <c r="G42" i="409"/>
  <c r="Q42" i="409" s="1"/>
  <c r="F42" i="409"/>
  <c r="T42" i="409" s="1"/>
  <c r="D42" i="409"/>
  <c r="T41" i="409"/>
  <c r="Q41" i="409"/>
  <c r="D41" i="409"/>
  <c r="R41" i="409" s="1"/>
  <c r="G40" i="409"/>
  <c r="Q40" i="409" s="1"/>
  <c r="F40" i="409"/>
  <c r="T40" i="409" s="1"/>
  <c r="D40" i="409"/>
  <c r="X40" i="409" s="1"/>
  <c r="Y40" i="409" s="1"/>
  <c r="G39" i="409"/>
  <c r="Q39" i="409" s="1"/>
  <c r="F39" i="409"/>
  <c r="T39" i="409" s="1"/>
  <c r="D39" i="409"/>
  <c r="X39" i="409" s="1"/>
  <c r="Y39" i="409" s="1"/>
  <c r="A39" i="409"/>
  <c r="A40" i="409" s="1"/>
  <c r="A41" i="409" s="1"/>
  <c r="A42" i="409" s="1"/>
  <c r="A43" i="409" s="1"/>
  <c r="A44" i="409" s="1"/>
  <c r="A45" i="409" s="1"/>
  <c r="A46" i="409" s="1"/>
  <c r="A47" i="409" s="1"/>
  <c r="A48" i="409" s="1"/>
  <c r="A49" i="409" s="1"/>
  <c r="A50" i="409" s="1"/>
  <c r="A51" i="409" s="1"/>
  <c r="A52" i="409" s="1"/>
  <c r="A55" i="409" s="1"/>
  <c r="A56" i="409" s="1"/>
  <c r="A57" i="409" s="1"/>
  <c r="A58" i="409" s="1"/>
  <c r="A59" i="409" s="1"/>
  <c r="A60" i="409" s="1"/>
  <c r="A61" i="409" s="1"/>
  <c r="A62" i="409" s="1"/>
  <c r="G38" i="409"/>
  <c r="Q38" i="409" s="1"/>
  <c r="F38" i="409"/>
  <c r="T38" i="409" s="1"/>
  <c r="D38" i="409"/>
  <c r="E38" i="409" s="1"/>
  <c r="G32" i="409"/>
  <c r="F32" i="409"/>
  <c r="D32" i="409"/>
  <c r="R32" i="409" s="1"/>
  <c r="G31" i="409"/>
  <c r="F31" i="409"/>
  <c r="D31" i="409"/>
  <c r="R31" i="409" s="1"/>
  <c r="G30" i="409"/>
  <c r="F30" i="409"/>
  <c r="D30" i="409"/>
  <c r="R30" i="409" s="1"/>
  <c r="G29" i="409"/>
  <c r="F29" i="409"/>
  <c r="D29" i="409"/>
  <c r="X29" i="409" s="1"/>
  <c r="Y29" i="409" s="1"/>
  <c r="G28" i="409"/>
  <c r="F28" i="409"/>
  <c r="D28" i="409"/>
  <c r="R28" i="409" s="1"/>
  <c r="AC28" i="409" s="1"/>
  <c r="G27" i="409"/>
  <c r="F27" i="409"/>
  <c r="D27" i="409"/>
  <c r="R27" i="409" s="1"/>
  <c r="G26" i="409"/>
  <c r="F26" i="409"/>
  <c r="D26" i="409"/>
  <c r="X26" i="409" s="1"/>
  <c r="Y26" i="409" s="1"/>
  <c r="A26" i="409"/>
  <c r="A27" i="409" s="1"/>
  <c r="A28" i="409" s="1"/>
  <c r="A29" i="409" s="1"/>
  <c r="A30" i="409" s="1"/>
  <c r="A31" i="409" s="1"/>
  <c r="A32" i="409" s="1"/>
  <c r="A33" i="409" s="1"/>
  <c r="A34" i="409" s="1"/>
  <c r="A35" i="409" s="1"/>
  <c r="G25" i="409"/>
  <c r="F25" i="409"/>
  <c r="D25" i="409"/>
  <c r="R25" i="409" s="1"/>
  <c r="T24" i="409"/>
  <c r="D23" i="409"/>
  <c r="R23" i="409" s="1"/>
  <c r="U23" i="409" s="1"/>
  <c r="Z23" i="409" s="1"/>
  <c r="D22" i="409"/>
  <c r="D21" i="409"/>
  <c r="R21" i="409" s="1"/>
  <c r="U21" i="409" s="1"/>
  <c r="Z21" i="409" s="1"/>
  <c r="G20" i="409"/>
  <c r="G24" i="409" s="1"/>
  <c r="F20" i="409"/>
  <c r="S20" i="409" s="1"/>
  <c r="S24" i="409" s="1"/>
  <c r="D20" i="409"/>
  <c r="X20" i="409" s="1"/>
  <c r="Y20" i="409" s="1"/>
  <c r="Y24" i="409" s="1"/>
  <c r="T19" i="409"/>
  <c r="Q19" i="409"/>
  <c r="Q36" i="409" s="1"/>
  <c r="D18" i="409"/>
  <c r="R18" i="409" s="1"/>
  <c r="U18" i="409" s="1"/>
  <c r="Z18" i="409" s="1"/>
  <c r="D17" i="409"/>
  <c r="R17" i="409" s="1"/>
  <c r="U17" i="409" s="1"/>
  <c r="Z17" i="409" s="1"/>
  <c r="D16" i="409"/>
  <c r="R16" i="409" s="1"/>
  <c r="U16" i="409" s="1"/>
  <c r="Z16" i="409" s="1"/>
  <c r="D15" i="409"/>
  <c r="R15" i="409" s="1"/>
  <c r="G14" i="409"/>
  <c r="F14" i="409"/>
  <c r="S14" i="409" s="1"/>
  <c r="U14" i="409" s="1"/>
  <c r="D14" i="409"/>
  <c r="X14" i="409" s="1"/>
  <c r="Y14" i="409" s="1"/>
  <c r="Y19" i="409" s="1"/>
  <c r="G13" i="409"/>
  <c r="F13" i="409"/>
  <c r="D13" i="409"/>
  <c r="Y71" i="408"/>
  <c r="Y70" i="408"/>
  <c r="Y69" i="408"/>
  <c r="S63" i="408"/>
  <c r="P62" i="408"/>
  <c r="G61" i="408"/>
  <c r="F61" i="408"/>
  <c r="T61" i="408" s="1"/>
  <c r="D61" i="408"/>
  <c r="T60" i="408"/>
  <c r="R60" i="408"/>
  <c r="AC60" i="408" s="1"/>
  <c r="G59" i="408"/>
  <c r="Q59" i="408" s="1"/>
  <c r="F59" i="408"/>
  <c r="T59" i="408" s="1"/>
  <c r="D59" i="408"/>
  <c r="E59" i="408" s="1"/>
  <c r="G58" i="408"/>
  <c r="Q58" i="408" s="1"/>
  <c r="F58" i="408"/>
  <c r="T58" i="408" s="1"/>
  <c r="D58" i="408"/>
  <c r="E58" i="408" s="1"/>
  <c r="G57" i="408"/>
  <c r="Q57" i="408" s="1"/>
  <c r="F57" i="408"/>
  <c r="T57" i="408" s="1"/>
  <c r="D57" i="408"/>
  <c r="E57" i="408" s="1"/>
  <c r="G56" i="408"/>
  <c r="Q56" i="408" s="1"/>
  <c r="F56" i="408"/>
  <c r="T56" i="408" s="1"/>
  <c r="D56" i="408"/>
  <c r="G55" i="408"/>
  <c r="Q55" i="408" s="1"/>
  <c r="F55" i="408"/>
  <c r="T55" i="408" s="1"/>
  <c r="D55" i="408"/>
  <c r="E55" i="408" s="1"/>
  <c r="S53" i="408"/>
  <c r="AC52" i="408"/>
  <c r="T52" i="408"/>
  <c r="Q52" i="408"/>
  <c r="G51" i="408"/>
  <c r="Q51" i="408" s="1"/>
  <c r="F51" i="408"/>
  <c r="T51" i="408" s="1"/>
  <c r="D51" i="408"/>
  <c r="T50" i="408"/>
  <c r="Q50" i="408"/>
  <c r="AC49" i="408"/>
  <c r="T49" i="408"/>
  <c r="Q49" i="408"/>
  <c r="G48" i="408"/>
  <c r="Q48" i="408" s="1"/>
  <c r="F48" i="408"/>
  <c r="T48" i="408" s="1"/>
  <c r="D48" i="408"/>
  <c r="G47" i="408"/>
  <c r="Q47" i="408" s="1"/>
  <c r="F47" i="408"/>
  <c r="T47" i="408" s="1"/>
  <c r="D47" i="408"/>
  <c r="G46" i="408"/>
  <c r="Q46" i="408" s="1"/>
  <c r="F46" i="408"/>
  <c r="T46" i="408" s="1"/>
  <c r="D46" i="408"/>
  <c r="AC45" i="408"/>
  <c r="T45" i="408"/>
  <c r="Q45" i="408"/>
  <c r="G44" i="408"/>
  <c r="Q44" i="408" s="1"/>
  <c r="F44" i="408"/>
  <c r="T44" i="408" s="1"/>
  <c r="D44" i="408"/>
  <c r="E44" i="408" s="1"/>
  <c r="AC43" i="408"/>
  <c r="X43" i="408"/>
  <c r="Y43" i="408" s="1"/>
  <c r="T43" i="408"/>
  <c r="Q43" i="408"/>
  <c r="G42" i="408"/>
  <c r="Q42" i="408" s="1"/>
  <c r="F42" i="408"/>
  <c r="T42" i="408" s="1"/>
  <c r="D42" i="408"/>
  <c r="G41" i="408"/>
  <c r="Q41" i="408" s="1"/>
  <c r="F41" i="408"/>
  <c r="T41" i="408" s="1"/>
  <c r="D41" i="408"/>
  <c r="E41" i="408" s="1"/>
  <c r="G40" i="408"/>
  <c r="Q40" i="408" s="1"/>
  <c r="F40" i="408"/>
  <c r="T40" i="408" s="1"/>
  <c r="D40" i="408"/>
  <c r="X40" i="408" s="1"/>
  <c r="Y40" i="408" s="1"/>
  <c r="G39" i="408"/>
  <c r="Q39" i="408" s="1"/>
  <c r="F39" i="408"/>
  <c r="T39" i="408" s="1"/>
  <c r="D39" i="408"/>
  <c r="X39" i="408" s="1"/>
  <c r="Y39" i="408" s="1"/>
  <c r="A39" i="408"/>
  <c r="A40" i="408" s="1"/>
  <c r="A41" i="408" s="1"/>
  <c r="A42" i="408" s="1"/>
  <c r="A43" i="408" s="1"/>
  <c r="A44" i="408" s="1"/>
  <c r="A45" i="408" s="1"/>
  <c r="A46" i="408" s="1"/>
  <c r="A47" i="408" s="1"/>
  <c r="A48" i="408" s="1"/>
  <c r="A49" i="408" s="1"/>
  <c r="A50" i="408" s="1"/>
  <c r="A51" i="408" s="1"/>
  <c r="A52" i="408" s="1"/>
  <c r="A55" i="408" s="1"/>
  <c r="A56" i="408" s="1"/>
  <c r="A57" i="408" s="1"/>
  <c r="A58" i="408" s="1"/>
  <c r="A59" i="408" s="1"/>
  <c r="A60" i="408" s="1"/>
  <c r="A61" i="408" s="1"/>
  <c r="A62" i="408" s="1"/>
  <c r="G38" i="408"/>
  <c r="Q38" i="408" s="1"/>
  <c r="F38" i="408"/>
  <c r="T38" i="408" s="1"/>
  <c r="D38" i="408"/>
  <c r="E38" i="408" s="1"/>
  <c r="G32" i="408"/>
  <c r="F32" i="408"/>
  <c r="D32" i="408"/>
  <c r="X32" i="408" s="1"/>
  <c r="Y32" i="408" s="1"/>
  <c r="G31" i="408"/>
  <c r="F31" i="408"/>
  <c r="D31" i="408"/>
  <c r="R31" i="408" s="1"/>
  <c r="AC31" i="408" s="1"/>
  <c r="G30" i="408"/>
  <c r="F30" i="408"/>
  <c r="D30" i="408"/>
  <c r="R30" i="408" s="1"/>
  <c r="AC30" i="408" s="1"/>
  <c r="G29" i="408"/>
  <c r="F29" i="408"/>
  <c r="D29" i="408"/>
  <c r="R29" i="408" s="1"/>
  <c r="AC29" i="408" s="1"/>
  <c r="G28" i="408"/>
  <c r="F28" i="408"/>
  <c r="D28" i="408"/>
  <c r="R28" i="408" s="1"/>
  <c r="AC28" i="408" s="1"/>
  <c r="G27" i="408"/>
  <c r="F27" i="408"/>
  <c r="D27" i="408"/>
  <c r="R27" i="408" s="1"/>
  <c r="G26" i="408"/>
  <c r="F26" i="408"/>
  <c r="D26" i="408"/>
  <c r="X26" i="408" s="1"/>
  <c r="Y26" i="408" s="1"/>
  <c r="A26" i="408"/>
  <c r="A27" i="408" s="1"/>
  <c r="A28" i="408" s="1"/>
  <c r="A29" i="408" s="1"/>
  <c r="A30" i="408" s="1"/>
  <c r="A31" i="408" s="1"/>
  <c r="A32" i="408" s="1"/>
  <c r="A33" i="408" s="1"/>
  <c r="A34" i="408" s="1"/>
  <c r="A35" i="408" s="1"/>
  <c r="G25" i="408"/>
  <c r="F25" i="408"/>
  <c r="D25" i="408"/>
  <c r="X25" i="408" s="1"/>
  <c r="Y25" i="408" s="1"/>
  <c r="T24" i="408"/>
  <c r="D23" i="408"/>
  <c r="R23" i="408" s="1"/>
  <c r="U23" i="408" s="1"/>
  <c r="Z23" i="408" s="1"/>
  <c r="D22" i="408"/>
  <c r="D21" i="408"/>
  <c r="R21" i="408" s="1"/>
  <c r="G20" i="408"/>
  <c r="G24" i="408" s="1"/>
  <c r="F20" i="408"/>
  <c r="F24" i="408" s="1"/>
  <c r="D20" i="408"/>
  <c r="X20" i="408" s="1"/>
  <c r="Y20" i="408" s="1"/>
  <c r="Y24" i="408" s="1"/>
  <c r="T19" i="408"/>
  <c r="Q19" i="408"/>
  <c r="Q36" i="408" s="1"/>
  <c r="D18" i="408"/>
  <c r="R18" i="408" s="1"/>
  <c r="U18" i="408" s="1"/>
  <c r="Z18" i="408" s="1"/>
  <c r="D17" i="408"/>
  <c r="R17" i="408" s="1"/>
  <c r="U17" i="408" s="1"/>
  <c r="Z17" i="408" s="1"/>
  <c r="D16" i="408"/>
  <c r="R16" i="408" s="1"/>
  <c r="D15" i="408"/>
  <c r="R15" i="408" s="1"/>
  <c r="U15" i="408" s="1"/>
  <c r="Z15" i="408" s="1"/>
  <c r="G14" i="408"/>
  <c r="H14" i="408" s="1"/>
  <c r="F14" i="408"/>
  <c r="D14" i="408"/>
  <c r="X14" i="408" s="1"/>
  <c r="Y14" i="408" s="1"/>
  <c r="Y19" i="408" s="1"/>
  <c r="G13" i="408"/>
  <c r="F13" i="408"/>
  <c r="S13" i="408" s="1"/>
  <c r="D13" i="408"/>
  <c r="A64" i="407"/>
  <c r="A65" i="407" s="1"/>
  <c r="A66" i="407" s="1"/>
  <c r="A67" i="407" s="1"/>
  <c r="F60" i="407"/>
  <c r="E60" i="407"/>
  <c r="D60" i="407"/>
  <c r="C60" i="407"/>
  <c r="H58" i="407"/>
  <c r="J58" i="407" s="1"/>
  <c r="H56" i="407"/>
  <c r="H55" i="407"/>
  <c r="H54" i="407"/>
  <c r="H53" i="407"/>
  <c r="H52" i="407"/>
  <c r="G50" i="407"/>
  <c r="F50" i="407"/>
  <c r="E50" i="407"/>
  <c r="D50" i="407"/>
  <c r="C50" i="407"/>
  <c r="H48" i="407"/>
  <c r="H45" i="407"/>
  <c r="H44" i="407"/>
  <c r="J44" i="407" s="1"/>
  <c r="H43" i="407"/>
  <c r="H41" i="407"/>
  <c r="H39" i="407"/>
  <c r="H38" i="407"/>
  <c r="H37" i="407"/>
  <c r="H36" i="407"/>
  <c r="A36" i="407"/>
  <c r="A37" i="407" s="1"/>
  <c r="A38" i="407" s="1"/>
  <c r="A39" i="407" s="1"/>
  <c r="A40" i="407" s="1"/>
  <c r="A41" i="407" s="1"/>
  <c r="A42" i="407" s="1"/>
  <c r="A43" i="407" s="1"/>
  <c r="A44" i="407" s="1"/>
  <c r="A45" i="407" s="1"/>
  <c r="A46" i="407" s="1"/>
  <c r="A47" i="407" s="1"/>
  <c r="A48" i="407" s="1"/>
  <c r="A49" i="407" s="1"/>
  <c r="A52" i="407" s="1"/>
  <c r="A53" i="407" s="1"/>
  <c r="A54" i="407" s="1"/>
  <c r="A55" i="407" s="1"/>
  <c r="A56" i="407" s="1"/>
  <c r="A57" i="407" s="1"/>
  <c r="A58" i="407" s="1"/>
  <c r="A59" i="407" s="1"/>
  <c r="H35" i="407"/>
  <c r="G33" i="407"/>
  <c r="F33" i="407"/>
  <c r="E33" i="407"/>
  <c r="D33" i="407"/>
  <c r="C33" i="407"/>
  <c r="H29" i="407"/>
  <c r="J29" i="407" s="1"/>
  <c r="H28" i="407"/>
  <c r="J28" i="407" s="1"/>
  <c r="H27" i="407"/>
  <c r="H26" i="407"/>
  <c r="H25" i="407"/>
  <c r="J25" i="407" s="1"/>
  <c r="H24" i="407"/>
  <c r="J24" i="407" s="1"/>
  <c r="H23" i="407"/>
  <c r="A23" i="407"/>
  <c r="A24" i="407" s="1"/>
  <c r="A25" i="407" s="1"/>
  <c r="A26" i="407" s="1"/>
  <c r="A27" i="407" s="1"/>
  <c r="A28" i="407" s="1"/>
  <c r="A29" i="407" s="1"/>
  <c r="A30" i="407" s="1"/>
  <c r="A31" i="407" s="1"/>
  <c r="A32" i="407" s="1"/>
  <c r="H22" i="407"/>
  <c r="H17" i="407"/>
  <c r="J17" i="407" s="1"/>
  <c r="H10" i="407"/>
  <c r="H9" i="407"/>
  <c r="A64" i="406"/>
  <c r="A65" i="406" s="1"/>
  <c r="A66" i="406" s="1"/>
  <c r="A67" i="406" s="1"/>
  <c r="I60" i="406"/>
  <c r="J58" i="406"/>
  <c r="J56" i="406"/>
  <c r="J55" i="406"/>
  <c r="J54" i="406"/>
  <c r="J53" i="406"/>
  <c r="J52" i="406"/>
  <c r="I50" i="406"/>
  <c r="J48" i="406"/>
  <c r="J45" i="406"/>
  <c r="J44" i="406"/>
  <c r="J43" i="406"/>
  <c r="J41" i="406"/>
  <c r="J39" i="406"/>
  <c r="J38" i="406"/>
  <c r="J37" i="406"/>
  <c r="J36" i="406"/>
  <c r="A36" i="406"/>
  <c r="A37" i="406" s="1"/>
  <c r="A38" i="406" s="1"/>
  <c r="A39" i="406" s="1"/>
  <c r="A40" i="406" s="1"/>
  <c r="A41" i="406" s="1"/>
  <c r="A42" i="406" s="1"/>
  <c r="A43" i="406" s="1"/>
  <c r="A44" i="406" s="1"/>
  <c r="A45" i="406" s="1"/>
  <c r="A46" i="406" s="1"/>
  <c r="A47" i="406" s="1"/>
  <c r="A48" i="406" s="1"/>
  <c r="A49" i="406" s="1"/>
  <c r="A52" i="406" s="1"/>
  <c r="A53" i="406" s="1"/>
  <c r="A54" i="406" s="1"/>
  <c r="A55" i="406" s="1"/>
  <c r="A56" i="406" s="1"/>
  <c r="A57" i="406" s="1"/>
  <c r="A58" i="406" s="1"/>
  <c r="A59" i="406" s="1"/>
  <c r="I33" i="406"/>
  <c r="J29" i="406"/>
  <c r="J28" i="406"/>
  <c r="J27" i="406"/>
  <c r="J26" i="406"/>
  <c r="J25" i="406"/>
  <c r="J24" i="406"/>
  <c r="J23" i="406"/>
  <c r="A23" i="406"/>
  <c r="A24" i="406" s="1"/>
  <c r="A25" i="406" s="1"/>
  <c r="A26" i="406" s="1"/>
  <c r="A27" i="406" s="1"/>
  <c r="A28" i="406" s="1"/>
  <c r="A29" i="406" s="1"/>
  <c r="A30" i="406" s="1"/>
  <c r="A31" i="406" s="1"/>
  <c r="A32" i="406" s="1"/>
  <c r="J22" i="406"/>
  <c r="J17" i="406"/>
  <c r="J9" i="406"/>
  <c r="I30" i="405"/>
  <c r="H30" i="405"/>
  <c r="G30" i="405"/>
  <c r="D30" i="405"/>
  <c r="C30" i="405"/>
  <c r="B30" i="405"/>
  <c r="K17" i="405"/>
  <c r="J17" i="405"/>
  <c r="I17" i="405"/>
  <c r="H17" i="405"/>
  <c r="G17" i="405"/>
  <c r="F17" i="405"/>
  <c r="E17" i="405"/>
  <c r="D17" i="405"/>
  <c r="C17" i="405"/>
  <c r="B17" i="405"/>
  <c r="M58" i="404"/>
  <c r="L58" i="404"/>
  <c r="J58" i="404"/>
  <c r="K58" i="404" s="1"/>
  <c r="M56" i="404"/>
  <c r="L56" i="404"/>
  <c r="J56" i="404"/>
  <c r="K56" i="404" s="1"/>
  <c r="M55" i="404"/>
  <c r="L55" i="404"/>
  <c r="J55" i="404"/>
  <c r="K55" i="404" s="1"/>
  <c r="M54" i="404"/>
  <c r="L54" i="404"/>
  <c r="J54" i="404"/>
  <c r="K54" i="404" s="1"/>
  <c r="M53" i="404"/>
  <c r="L53" i="404"/>
  <c r="J53" i="404"/>
  <c r="K53" i="404" s="1"/>
  <c r="M52" i="404"/>
  <c r="L52" i="404"/>
  <c r="J52" i="404"/>
  <c r="K52" i="404" s="1"/>
  <c r="M48" i="404"/>
  <c r="L48" i="404"/>
  <c r="J48" i="404"/>
  <c r="K48" i="404" s="1"/>
  <c r="M45" i="404"/>
  <c r="L45" i="404"/>
  <c r="J45" i="404"/>
  <c r="K45" i="404" s="1"/>
  <c r="M44" i="404"/>
  <c r="L44" i="404"/>
  <c r="J44" i="404"/>
  <c r="K44" i="404" s="1"/>
  <c r="M43" i="404"/>
  <c r="L43" i="404"/>
  <c r="J43" i="404"/>
  <c r="K43" i="404" s="1"/>
  <c r="M41" i="404"/>
  <c r="L41" i="404"/>
  <c r="J41" i="404"/>
  <c r="K41" i="404" s="1"/>
  <c r="M39" i="404"/>
  <c r="L39" i="404"/>
  <c r="J39" i="404"/>
  <c r="K39" i="404" s="1"/>
  <c r="M38" i="404"/>
  <c r="L38" i="404"/>
  <c r="J38" i="404"/>
  <c r="K38" i="404" s="1"/>
  <c r="M37" i="404"/>
  <c r="L37" i="404"/>
  <c r="J37" i="404"/>
  <c r="K37" i="404" s="1"/>
  <c r="M36" i="404"/>
  <c r="L36" i="404"/>
  <c r="J36" i="404"/>
  <c r="K36" i="404" s="1"/>
  <c r="A36" i="404"/>
  <c r="A37" i="404" s="1"/>
  <c r="A38" i="404" s="1"/>
  <c r="A39" i="404" s="1"/>
  <c r="A40" i="404" s="1"/>
  <c r="A41" i="404" s="1"/>
  <c r="A42" i="404" s="1"/>
  <c r="A43" i="404" s="1"/>
  <c r="A44" i="404" s="1"/>
  <c r="A45" i="404" s="1"/>
  <c r="A46" i="404" s="1"/>
  <c r="A47" i="404" s="1"/>
  <c r="A48" i="404" s="1"/>
  <c r="A49" i="404" s="1"/>
  <c r="A52" i="404" s="1"/>
  <c r="A53" i="404" s="1"/>
  <c r="A54" i="404" s="1"/>
  <c r="A55" i="404" s="1"/>
  <c r="A56" i="404" s="1"/>
  <c r="A57" i="404" s="1"/>
  <c r="A58" i="404" s="1"/>
  <c r="A59" i="404" s="1"/>
  <c r="M35" i="404"/>
  <c r="L35" i="404"/>
  <c r="J35" i="404"/>
  <c r="M29" i="404"/>
  <c r="L29" i="404"/>
  <c r="J29" i="404"/>
  <c r="K29" i="404" s="1"/>
  <c r="M28" i="404"/>
  <c r="L28" i="404"/>
  <c r="J28" i="404"/>
  <c r="K28" i="404" s="1"/>
  <c r="M27" i="404"/>
  <c r="L27" i="404"/>
  <c r="J27" i="404"/>
  <c r="K27" i="404" s="1"/>
  <c r="M26" i="404"/>
  <c r="L26" i="404"/>
  <c r="J26" i="404"/>
  <c r="K26" i="404" s="1"/>
  <c r="M25" i="404"/>
  <c r="L25" i="404"/>
  <c r="J25" i="404"/>
  <c r="K25" i="404" s="1"/>
  <c r="M24" i="404"/>
  <c r="L24" i="404"/>
  <c r="J24" i="404"/>
  <c r="K24" i="404" s="1"/>
  <c r="M23" i="404"/>
  <c r="L23" i="404"/>
  <c r="J23" i="404"/>
  <c r="K23" i="404" s="1"/>
  <c r="A23" i="404"/>
  <c r="A24" i="404" s="1"/>
  <c r="A25" i="404" s="1"/>
  <c r="A26" i="404" s="1"/>
  <c r="A27" i="404" s="1"/>
  <c r="A28" i="404" s="1"/>
  <c r="A29" i="404" s="1"/>
  <c r="A30" i="404" s="1"/>
  <c r="A31" i="404" s="1"/>
  <c r="A32" i="404" s="1"/>
  <c r="M22" i="404"/>
  <c r="L22" i="404"/>
  <c r="J22" i="404"/>
  <c r="K22" i="404" s="1"/>
  <c r="M20" i="404"/>
  <c r="L20" i="404"/>
  <c r="J20" i="404"/>
  <c r="K20" i="404" s="1"/>
  <c r="M19" i="404"/>
  <c r="L19" i="404"/>
  <c r="J19" i="404"/>
  <c r="K19" i="404" s="1"/>
  <c r="M18" i="404"/>
  <c r="L18" i="404"/>
  <c r="J18" i="404"/>
  <c r="K18" i="404" s="1"/>
  <c r="M17" i="404"/>
  <c r="M21" i="404" s="1"/>
  <c r="L17" i="404"/>
  <c r="L21" i="404" s="1"/>
  <c r="J17" i="404"/>
  <c r="J21" i="404" s="1"/>
  <c r="K21" i="404" s="1"/>
  <c r="C21" i="404"/>
  <c r="M15" i="404"/>
  <c r="L15" i="404"/>
  <c r="J15" i="404"/>
  <c r="K15" i="404" s="1"/>
  <c r="M14" i="404"/>
  <c r="L14" i="404"/>
  <c r="J14" i="404"/>
  <c r="K14" i="404" s="1"/>
  <c r="M13" i="404"/>
  <c r="L13" i="404"/>
  <c r="J13" i="404"/>
  <c r="K13" i="404" s="1"/>
  <c r="M12" i="404"/>
  <c r="L12" i="404"/>
  <c r="J12" i="404"/>
  <c r="K12" i="404" s="1"/>
  <c r="M11" i="404"/>
  <c r="L11" i="404"/>
  <c r="J11" i="404"/>
  <c r="K11" i="404" s="1"/>
  <c r="M10" i="404"/>
  <c r="L10" i="404"/>
  <c r="J10" i="404"/>
  <c r="K10" i="404" s="1"/>
  <c r="M6" i="404"/>
  <c r="L6" i="404"/>
  <c r="J6" i="404"/>
  <c r="K6" i="404" s="1"/>
  <c r="H46" i="403"/>
  <c r="G46" i="403"/>
  <c r="F46" i="403"/>
  <c r="E46" i="403"/>
  <c r="D46" i="403"/>
  <c r="C46" i="403"/>
  <c r="J45" i="403"/>
  <c r="I45" i="403"/>
  <c r="J44" i="403"/>
  <c r="I44" i="403"/>
  <c r="J43" i="403"/>
  <c r="I43" i="403"/>
  <c r="J42" i="403"/>
  <c r="I42" i="403"/>
  <c r="J41" i="403"/>
  <c r="I41" i="403"/>
  <c r="J32" i="403"/>
  <c r="G32" i="403"/>
  <c r="F32" i="403"/>
  <c r="E32" i="403"/>
  <c r="D32" i="403"/>
  <c r="C32" i="403"/>
  <c r="H31" i="403"/>
  <c r="H32" i="403" s="1"/>
  <c r="J30" i="403"/>
  <c r="G30" i="403"/>
  <c r="F30" i="403"/>
  <c r="E30" i="403"/>
  <c r="D30" i="403"/>
  <c r="C30" i="403"/>
  <c r="H29" i="403"/>
  <c r="H28" i="403"/>
  <c r="H27" i="403"/>
  <c r="H26" i="403"/>
  <c r="H25" i="403"/>
  <c r="J17" i="403"/>
  <c r="G17" i="403"/>
  <c r="F17" i="403"/>
  <c r="E17" i="403"/>
  <c r="D17" i="403"/>
  <c r="C17" i="403"/>
  <c r="H16" i="403"/>
  <c r="H17" i="403" s="1"/>
  <c r="J15" i="403"/>
  <c r="G15" i="403"/>
  <c r="F15" i="403"/>
  <c r="E15" i="403"/>
  <c r="D15" i="403"/>
  <c r="C15" i="403"/>
  <c r="H14" i="403"/>
  <c r="H13" i="403"/>
  <c r="H12" i="403"/>
  <c r="H11" i="403"/>
  <c r="H10" i="403"/>
  <c r="H55" i="401"/>
  <c r="G55" i="401"/>
  <c r="F55" i="401"/>
  <c r="E55" i="401"/>
  <c r="D55" i="401"/>
  <c r="C55" i="401"/>
  <c r="J54" i="401"/>
  <c r="I54" i="401"/>
  <c r="J53" i="401"/>
  <c r="I53" i="401"/>
  <c r="J52" i="401"/>
  <c r="I52" i="401"/>
  <c r="J51" i="401"/>
  <c r="I51" i="401"/>
  <c r="J50" i="401"/>
  <c r="I50" i="401"/>
  <c r="J48" i="401"/>
  <c r="I48" i="401"/>
  <c r="L39" i="401"/>
  <c r="K39" i="401"/>
  <c r="I39" i="401"/>
  <c r="H39" i="401"/>
  <c r="G39" i="401"/>
  <c r="F39" i="401"/>
  <c r="E39" i="401"/>
  <c r="D39" i="401"/>
  <c r="C39" i="401"/>
  <c r="J37" i="401"/>
  <c r="J39" i="401" s="1"/>
  <c r="L34" i="401"/>
  <c r="I34" i="401"/>
  <c r="I36" i="401" s="1"/>
  <c r="H34" i="401"/>
  <c r="H36" i="401" s="1"/>
  <c r="G34" i="401"/>
  <c r="G36" i="401" s="1"/>
  <c r="F34" i="401"/>
  <c r="F36" i="401" s="1"/>
  <c r="D34" i="401"/>
  <c r="D36" i="401" s="1"/>
  <c r="C34" i="401"/>
  <c r="C36" i="401" s="1"/>
  <c r="C41" i="401" s="1"/>
  <c r="J33" i="401"/>
  <c r="J32" i="401"/>
  <c r="J31" i="401"/>
  <c r="J30" i="401"/>
  <c r="J29" i="401"/>
  <c r="E34" i="401"/>
  <c r="E36" i="401" s="1"/>
  <c r="E41" i="401" s="1"/>
  <c r="L20" i="401"/>
  <c r="K20" i="401"/>
  <c r="J20" i="401"/>
  <c r="I20" i="401"/>
  <c r="H20" i="401"/>
  <c r="G20" i="401"/>
  <c r="F20" i="401"/>
  <c r="E20" i="401"/>
  <c r="D20" i="401"/>
  <c r="C20" i="401"/>
  <c r="L15" i="401"/>
  <c r="I15" i="401"/>
  <c r="I17" i="401" s="1"/>
  <c r="I22" i="401" s="1"/>
  <c r="H15" i="401"/>
  <c r="H17" i="401" s="1"/>
  <c r="H22" i="401" s="1"/>
  <c r="G15" i="401"/>
  <c r="G17" i="401" s="1"/>
  <c r="F15" i="401"/>
  <c r="D15" i="401"/>
  <c r="D17" i="401" s="1"/>
  <c r="C15" i="401"/>
  <c r="J14" i="401"/>
  <c r="J13" i="401"/>
  <c r="J12" i="401"/>
  <c r="J11" i="401"/>
  <c r="J10" i="401"/>
  <c r="A63" i="399"/>
  <c r="A64" i="399" s="1"/>
  <c r="A65" i="399" s="1"/>
  <c r="A66" i="399" s="1"/>
  <c r="R59" i="399"/>
  <c r="Q59" i="399"/>
  <c r="O59" i="399"/>
  <c r="N59" i="399"/>
  <c r="M59" i="399"/>
  <c r="K59" i="399"/>
  <c r="I59" i="399"/>
  <c r="G59" i="399"/>
  <c r="F59" i="399"/>
  <c r="E59" i="399"/>
  <c r="D59" i="399"/>
  <c r="P57" i="399"/>
  <c r="L57" i="399"/>
  <c r="P55" i="399"/>
  <c r="L55" i="399"/>
  <c r="H55" i="399"/>
  <c r="U54" i="399"/>
  <c r="T54" i="399"/>
  <c r="P54" i="399"/>
  <c r="L54" i="399"/>
  <c r="J54" i="399"/>
  <c r="P53" i="399"/>
  <c r="L53" i="399"/>
  <c r="X52" i="399"/>
  <c r="T53" i="399" s="1"/>
  <c r="P52" i="399"/>
  <c r="L52" i="399"/>
  <c r="J52" i="399"/>
  <c r="H52" i="399"/>
  <c r="P51" i="399"/>
  <c r="L51" i="399"/>
  <c r="R49" i="399"/>
  <c r="Q49" i="399"/>
  <c r="O49" i="399"/>
  <c r="N49" i="399"/>
  <c r="M49" i="399"/>
  <c r="K49" i="399"/>
  <c r="J49" i="399"/>
  <c r="I49" i="399"/>
  <c r="H49" i="399"/>
  <c r="G49" i="399"/>
  <c r="F49" i="399"/>
  <c r="E49" i="399"/>
  <c r="D49" i="399"/>
  <c r="P47" i="399"/>
  <c r="L47" i="399"/>
  <c r="P44" i="399"/>
  <c r="L44" i="399"/>
  <c r="P43" i="399"/>
  <c r="L43" i="399"/>
  <c r="P42" i="399"/>
  <c r="L42" i="399"/>
  <c r="P40" i="399"/>
  <c r="L40" i="399"/>
  <c r="P38" i="399"/>
  <c r="L38" i="399"/>
  <c r="P37" i="399"/>
  <c r="L37" i="399"/>
  <c r="P36" i="399"/>
  <c r="L36" i="399"/>
  <c r="P35" i="399"/>
  <c r="L35" i="399"/>
  <c r="A35" i="399"/>
  <c r="A36" i="399" s="1"/>
  <c r="A37" i="399" s="1"/>
  <c r="A38" i="399" s="1"/>
  <c r="A39" i="399" s="1"/>
  <c r="A40" i="399" s="1"/>
  <c r="A41" i="399" s="1"/>
  <c r="A42" i="399" s="1"/>
  <c r="A43" i="399" s="1"/>
  <c r="A44" i="399" s="1"/>
  <c r="A45" i="399" s="1"/>
  <c r="A46" i="399" s="1"/>
  <c r="A47" i="399" s="1"/>
  <c r="A48" i="399" s="1"/>
  <c r="A51" i="399" s="1"/>
  <c r="A52" i="399" s="1"/>
  <c r="A53" i="399" s="1"/>
  <c r="A54" i="399" s="1"/>
  <c r="A55" i="399" s="1"/>
  <c r="A56" i="399" s="1"/>
  <c r="A57" i="399" s="1"/>
  <c r="A58" i="399" s="1"/>
  <c r="P34" i="399"/>
  <c r="L34" i="399"/>
  <c r="R28" i="399"/>
  <c r="Q28" i="399"/>
  <c r="P28" i="399"/>
  <c r="L28" i="399"/>
  <c r="R27" i="399"/>
  <c r="Q27" i="399"/>
  <c r="P27" i="399"/>
  <c r="L27" i="399"/>
  <c r="R26" i="399"/>
  <c r="Q26" i="399"/>
  <c r="P26" i="399"/>
  <c r="L26" i="399"/>
  <c r="R25" i="399"/>
  <c r="Q25" i="399"/>
  <c r="P25" i="399"/>
  <c r="L25" i="399"/>
  <c r="R24" i="399"/>
  <c r="Q24" i="399"/>
  <c r="P24" i="399"/>
  <c r="L24" i="399"/>
  <c r="R23" i="399"/>
  <c r="Q23" i="399"/>
  <c r="P23" i="399"/>
  <c r="L23" i="399"/>
  <c r="R22" i="399"/>
  <c r="Q22" i="399"/>
  <c r="P22" i="399"/>
  <c r="L22" i="399"/>
  <c r="A22" i="399"/>
  <c r="A23" i="399" s="1"/>
  <c r="A24" i="399" s="1"/>
  <c r="A25" i="399" s="1"/>
  <c r="A26" i="399" s="1"/>
  <c r="A27" i="399" s="1"/>
  <c r="A28" i="399" s="1"/>
  <c r="A29" i="399" s="1"/>
  <c r="A30" i="399" s="1"/>
  <c r="A31" i="399" s="1"/>
  <c r="R21" i="399"/>
  <c r="Q21" i="399"/>
  <c r="P21" i="399"/>
  <c r="L21" i="399"/>
  <c r="O20" i="399"/>
  <c r="R20" i="399" s="1"/>
  <c r="N20" i="399"/>
  <c r="M20" i="399"/>
  <c r="K20" i="399"/>
  <c r="Q20" i="399" s="1"/>
  <c r="J20" i="399"/>
  <c r="I20" i="399"/>
  <c r="H20" i="399"/>
  <c r="G20" i="399"/>
  <c r="F20" i="399"/>
  <c r="E20" i="399"/>
  <c r="D20" i="399"/>
  <c r="I19" i="399"/>
  <c r="K19" i="399" s="1"/>
  <c r="Q19" i="399" s="1"/>
  <c r="I18" i="399"/>
  <c r="K18" i="399" s="1"/>
  <c r="I17" i="399"/>
  <c r="K17" i="399" s="1"/>
  <c r="Q17" i="399" s="1"/>
  <c r="R16" i="399"/>
  <c r="Q16" i="399"/>
  <c r="P16" i="399"/>
  <c r="L16" i="399"/>
  <c r="O15" i="399"/>
  <c r="O32" i="399" s="1"/>
  <c r="N15" i="399"/>
  <c r="M15" i="399"/>
  <c r="K15" i="399"/>
  <c r="Q15" i="399" s="1"/>
  <c r="J15" i="399"/>
  <c r="I15" i="399"/>
  <c r="H15" i="399"/>
  <c r="G15" i="399"/>
  <c r="F15" i="399"/>
  <c r="F32" i="399" s="1"/>
  <c r="E15" i="399"/>
  <c r="D15" i="399"/>
  <c r="I14" i="399"/>
  <c r="K14" i="399" s="1"/>
  <c r="I13" i="399"/>
  <c r="K13" i="399" s="1"/>
  <c r="I12" i="399"/>
  <c r="K12" i="399" s="1"/>
  <c r="I11" i="399"/>
  <c r="K11" i="399" s="1"/>
  <c r="Q11" i="399" s="1"/>
  <c r="R10" i="399"/>
  <c r="Q10" i="399"/>
  <c r="P10" i="399"/>
  <c r="L10" i="399"/>
  <c r="R9" i="399"/>
  <c r="Q9" i="399"/>
  <c r="P9" i="399"/>
  <c r="L9" i="399"/>
  <c r="G19" i="408" l="1"/>
  <c r="H25" i="409"/>
  <c r="S25" i="409" s="1"/>
  <c r="U25" i="409" s="1"/>
  <c r="P25" i="409" s="1"/>
  <c r="H32" i="399"/>
  <c r="D18" i="403"/>
  <c r="F61" i="399"/>
  <c r="F41" i="401"/>
  <c r="J59" i="399"/>
  <c r="U52" i="409"/>
  <c r="M32" i="399"/>
  <c r="M61" i="399" s="1"/>
  <c r="N32" i="399"/>
  <c r="N61" i="399" s="1"/>
  <c r="Y72" i="409"/>
  <c r="U49" i="408"/>
  <c r="P49" i="408" s="1"/>
  <c r="U52" i="408"/>
  <c r="P52" i="408" s="1"/>
  <c r="U45" i="409"/>
  <c r="P45" i="409" s="1"/>
  <c r="H31" i="409"/>
  <c r="S31" i="409" s="1"/>
  <c r="U31" i="409" s="1"/>
  <c r="C18" i="403"/>
  <c r="T36" i="409"/>
  <c r="U60" i="409"/>
  <c r="Z60" i="409" s="1"/>
  <c r="G41" i="401"/>
  <c r="D33" i="403"/>
  <c r="D35" i="403" s="1"/>
  <c r="F62" i="407"/>
  <c r="E32" i="399"/>
  <c r="E61" i="399" s="1"/>
  <c r="D22" i="401"/>
  <c r="E18" i="403"/>
  <c r="L59" i="399"/>
  <c r="L49" i="399"/>
  <c r="I41" i="401"/>
  <c r="I43" i="401" s="1"/>
  <c r="U45" i="408"/>
  <c r="Z45" i="408" s="1"/>
  <c r="W45" i="408" s="1"/>
  <c r="J50" i="404"/>
  <c r="K50" i="404" s="1"/>
  <c r="F33" i="403"/>
  <c r="C33" i="403"/>
  <c r="C35" i="403" s="1"/>
  <c r="E33" i="403"/>
  <c r="G33" i="403"/>
  <c r="I55" i="401"/>
  <c r="J15" i="401"/>
  <c r="J17" i="401" s="1"/>
  <c r="J22" i="401" s="1"/>
  <c r="H41" i="401"/>
  <c r="H43" i="401" s="1"/>
  <c r="J55" i="401"/>
  <c r="L17" i="401"/>
  <c r="L22" i="401" s="1"/>
  <c r="H33" i="407"/>
  <c r="J41" i="407"/>
  <c r="J48" i="407"/>
  <c r="J45" i="407"/>
  <c r="J26" i="407"/>
  <c r="J37" i="407"/>
  <c r="J43" i="407"/>
  <c r="J39" i="407"/>
  <c r="J38" i="407"/>
  <c r="D62" i="407"/>
  <c r="J23" i="407"/>
  <c r="J27" i="407"/>
  <c r="Z52" i="409"/>
  <c r="AD52" i="409" s="1"/>
  <c r="P52" i="409"/>
  <c r="H59" i="399"/>
  <c r="H61" i="399" s="1"/>
  <c r="E15" i="401"/>
  <c r="E17" i="401" s="1"/>
  <c r="E22" i="401" s="1"/>
  <c r="E43" i="401" s="1"/>
  <c r="G18" i="403"/>
  <c r="K35" i="404"/>
  <c r="J22" i="407"/>
  <c r="E62" i="407"/>
  <c r="J36" i="407"/>
  <c r="R25" i="408"/>
  <c r="AC25" i="408" s="1"/>
  <c r="U50" i="408"/>
  <c r="E56" i="409"/>
  <c r="R56" i="409" s="1"/>
  <c r="E35" i="403"/>
  <c r="I33" i="407"/>
  <c r="H60" i="407"/>
  <c r="J55" i="407"/>
  <c r="E59" i="409"/>
  <c r="R59" i="409" s="1"/>
  <c r="AC59" i="409" s="1"/>
  <c r="F18" i="403"/>
  <c r="H30" i="403"/>
  <c r="H33" i="403" s="1"/>
  <c r="I46" i="403"/>
  <c r="J16" i="404"/>
  <c r="J33" i="404" s="1"/>
  <c r="K33" i="404" s="1"/>
  <c r="I60" i="407"/>
  <c r="P49" i="399"/>
  <c r="P59" i="399"/>
  <c r="J33" i="403"/>
  <c r="J46" i="403"/>
  <c r="G60" i="407"/>
  <c r="G62" i="407" s="1"/>
  <c r="U43" i="408"/>
  <c r="Z43" i="408" s="1"/>
  <c r="G32" i="399"/>
  <c r="G61" i="399" s="1"/>
  <c r="M68" i="399" s="1"/>
  <c r="J18" i="403"/>
  <c r="J10" i="407"/>
  <c r="H50" i="407"/>
  <c r="J56" i="407"/>
  <c r="T36" i="408"/>
  <c r="H26" i="408"/>
  <c r="S26" i="408" s="1"/>
  <c r="J60" i="404"/>
  <c r="K60" i="404" s="1"/>
  <c r="J50" i="406"/>
  <c r="I50" i="407"/>
  <c r="E56" i="408"/>
  <c r="R56" i="408" s="1"/>
  <c r="R15" i="399"/>
  <c r="K15" i="401"/>
  <c r="I32" i="399"/>
  <c r="I61" i="399" s="1"/>
  <c r="I63" i="399" s="1"/>
  <c r="I64" i="399" s="1"/>
  <c r="I66" i="399" s="1"/>
  <c r="J32" i="399"/>
  <c r="P20" i="399"/>
  <c r="G22" i="401"/>
  <c r="D41" i="401"/>
  <c r="L15" i="399"/>
  <c r="D32" i="399"/>
  <c r="D61" i="399" s="1"/>
  <c r="L20" i="399"/>
  <c r="J35" i="406"/>
  <c r="C62" i="407"/>
  <c r="J54" i="407"/>
  <c r="U49" i="409"/>
  <c r="P49" i="409" s="1"/>
  <c r="R44" i="408"/>
  <c r="AC44" i="408" s="1"/>
  <c r="R26" i="408"/>
  <c r="AC26" i="408" s="1"/>
  <c r="Z14" i="409"/>
  <c r="E39" i="409"/>
  <c r="S14" i="408"/>
  <c r="U14" i="408" s="1"/>
  <c r="Z14" i="408" s="1"/>
  <c r="L16" i="404"/>
  <c r="L33" i="404" s="1"/>
  <c r="M16" i="404"/>
  <c r="M33" i="404" s="1"/>
  <c r="H27" i="408"/>
  <c r="S27" i="408" s="1"/>
  <c r="U27" i="408" s="1"/>
  <c r="Y27" i="408" s="1"/>
  <c r="Z27" i="408" s="1"/>
  <c r="D19" i="409"/>
  <c r="L50" i="404"/>
  <c r="D19" i="408"/>
  <c r="F19" i="408"/>
  <c r="F36" i="408" s="1"/>
  <c r="G36" i="408"/>
  <c r="R38" i="408"/>
  <c r="AC38" i="408" s="1"/>
  <c r="C60" i="404"/>
  <c r="R40" i="409"/>
  <c r="AC40" i="409" s="1"/>
  <c r="R57" i="409"/>
  <c r="X29" i="408"/>
  <c r="Y29" i="408" s="1"/>
  <c r="R39" i="409"/>
  <c r="AC39" i="409" s="1"/>
  <c r="L60" i="404"/>
  <c r="G19" i="409"/>
  <c r="G36" i="409" s="1"/>
  <c r="X38" i="409"/>
  <c r="Y38" i="409" s="1"/>
  <c r="H25" i="408"/>
  <c r="S25" i="408" s="1"/>
  <c r="H28" i="408"/>
  <c r="S28" i="408" s="1"/>
  <c r="U28" i="408" s="1"/>
  <c r="E40" i="409"/>
  <c r="U41" i="409"/>
  <c r="P41" i="409" s="1"/>
  <c r="AC41" i="409"/>
  <c r="R19" i="409"/>
  <c r="AC19" i="409" s="1"/>
  <c r="O19" i="399"/>
  <c r="R19" i="399" s="1"/>
  <c r="U55" i="399"/>
  <c r="M50" i="404"/>
  <c r="D24" i="408"/>
  <c r="H30" i="408"/>
  <c r="S30" i="408" s="1"/>
  <c r="U30" i="408" s="1"/>
  <c r="H32" i="408"/>
  <c r="S32" i="408" s="1"/>
  <c r="F24" i="409"/>
  <c r="H28" i="409"/>
  <c r="S28" i="409" s="1"/>
  <c r="U28" i="409" s="1"/>
  <c r="T53" i="409"/>
  <c r="R32" i="408"/>
  <c r="E51" i="408"/>
  <c r="R51" i="408" s="1"/>
  <c r="Y72" i="408"/>
  <c r="H26" i="409"/>
  <c r="S26" i="409" s="1"/>
  <c r="H32" i="409"/>
  <c r="S32" i="409" s="1"/>
  <c r="U32" i="409" s="1"/>
  <c r="R38" i="409"/>
  <c r="AC38" i="409" s="1"/>
  <c r="E41" i="409"/>
  <c r="G53" i="409"/>
  <c r="R44" i="409"/>
  <c r="AC44" i="409" s="1"/>
  <c r="C50" i="404"/>
  <c r="H31" i="408"/>
  <c r="S31" i="408" s="1"/>
  <c r="U31" i="408" s="1"/>
  <c r="G63" i="408"/>
  <c r="F19" i="409"/>
  <c r="G63" i="409"/>
  <c r="R26" i="409"/>
  <c r="AC26" i="409" s="1"/>
  <c r="X32" i="409"/>
  <c r="Y32" i="409" s="1"/>
  <c r="T55" i="399"/>
  <c r="H20" i="408"/>
  <c r="U15" i="409"/>
  <c r="Z15" i="409" s="1"/>
  <c r="M60" i="404"/>
  <c r="R41" i="408"/>
  <c r="AC41" i="408" s="1"/>
  <c r="R59" i="408"/>
  <c r="D24" i="409"/>
  <c r="R29" i="409"/>
  <c r="AC29" i="409" s="1"/>
  <c r="Q63" i="409"/>
  <c r="F63" i="409"/>
  <c r="H30" i="409"/>
  <c r="S30" i="409" s="1"/>
  <c r="U30" i="409" s="1"/>
  <c r="C16" i="404"/>
  <c r="C33" i="404" s="1"/>
  <c r="Q53" i="408"/>
  <c r="X46" i="409"/>
  <c r="Y46" i="409" s="1"/>
  <c r="AC27" i="409"/>
  <c r="AC31" i="409"/>
  <c r="AC30" i="409"/>
  <c r="P60" i="409"/>
  <c r="D53" i="409"/>
  <c r="X25" i="409"/>
  <c r="Y25" i="409" s="1"/>
  <c r="H29" i="409"/>
  <c r="S29" i="409" s="1"/>
  <c r="Q44" i="409"/>
  <c r="U46" i="409"/>
  <c r="D63" i="409"/>
  <c r="R55" i="409"/>
  <c r="R22" i="409"/>
  <c r="U22" i="409" s="1"/>
  <c r="Z22" i="409" s="1"/>
  <c r="F53" i="409"/>
  <c r="T57" i="409"/>
  <c r="U20" i="409"/>
  <c r="AC25" i="409"/>
  <c r="H27" i="409"/>
  <c r="S27" i="409" s="1"/>
  <c r="U27" i="409" s="1"/>
  <c r="S13" i="409"/>
  <c r="E42" i="409"/>
  <c r="U51" i="409"/>
  <c r="R58" i="409"/>
  <c r="AC58" i="409" s="1"/>
  <c r="E61" i="409"/>
  <c r="R61" i="409" s="1"/>
  <c r="R47" i="409"/>
  <c r="U50" i="409"/>
  <c r="R48" i="409"/>
  <c r="U43" i="409"/>
  <c r="U16" i="408"/>
  <c r="Z16" i="408" s="1"/>
  <c r="R19" i="408"/>
  <c r="Z50" i="408"/>
  <c r="W50" i="408" s="1"/>
  <c r="P50" i="408"/>
  <c r="R22" i="408"/>
  <c r="U22" i="408" s="1"/>
  <c r="Z22" i="408" s="1"/>
  <c r="AC27" i="408"/>
  <c r="E39" i="408"/>
  <c r="R58" i="408"/>
  <c r="AC58" i="408" s="1"/>
  <c r="F53" i="408"/>
  <c r="U60" i="408"/>
  <c r="T53" i="408"/>
  <c r="E40" i="408"/>
  <c r="T63" i="408"/>
  <c r="R39" i="408"/>
  <c r="E46" i="408"/>
  <c r="R46" i="408" s="1"/>
  <c r="U46" i="408" s="1"/>
  <c r="X46" i="408"/>
  <c r="Y46" i="408" s="1"/>
  <c r="G53" i="408"/>
  <c r="E61" i="408"/>
  <c r="R61" i="408" s="1"/>
  <c r="F63" i="408"/>
  <c r="U13" i="408"/>
  <c r="U21" i="408"/>
  <c r="Z21" i="408" s="1"/>
  <c r="E47" i="408"/>
  <c r="R47" i="408" s="1"/>
  <c r="AC47" i="408" s="1"/>
  <c r="E48" i="408"/>
  <c r="R48" i="408" s="1"/>
  <c r="D63" i="408"/>
  <c r="H29" i="408"/>
  <c r="S29" i="408" s="1"/>
  <c r="U29" i="408" s="1"/>
  <c r="X38" i="408"/>
  <c r="Y38" i="408" s="1"/>
  <c r="D53" i="408"/>
  <c r="R40" i="408"/>
  <c r="E42" i="408"/>
  <c r="R42" i="408" s="1"/>
  <c r="AC42" i="408" s="1"/>
  <c r="R57" i="408"/>
  <c r="U57" i="408" s="1"/>
  <c r="J53" i="407"/>
  <c r="J52" i="407"/>
  <c r="J9" i="407"/>
  <c r="J35" i="407"/>
  <c r="J10" i="406"/>
  <c r="J33" i="406"/>
  <c r="I62" i="406"/>
  <c r="K17" i="404"/>
  <c r="I17" i="403"/>
  <c r="I15" i="403"/>
  <c r="I30" i="403"/>
  <c r="I32" i="403"/>
  <c r="H15" i="403"/>
  <c r="H18" i="403" s="1"/>
  <c r="K34" i="401"/>
  <c r="C17" i="401"/>
  <c r="C22" i="401" s="1"/>
  <c r="C43" i="401" s="1"/>
  <c r="F17" i="401"/>
  <c r="F22" i="401" s="1"/>
  <c r="J34" i="401"/>
  <c r="J36" i="401" s="1"/>
  <c r="J41" i="401" s="1"/>
  <c r="L36" i="401"/>
  <c r="L41" i="401" s="1"/>
  <c r="O61" i="399"/>
  <c r="R32" i="399"/>
  <c r="Q13" i="399"/>
  <c r="O13" i="399"/>
  <c r="R13" i="399" s="1"/>
  <c r="Q18" i="399"/>
  <c r="O18" i="399"/>
  <c r="R18" i="399" s="1"/>
  <c r="O12" i="399"/>
  <c r="R12" i="399" s="1"/>
  <c r="Q12" i="399"/>
  <c r="F63" i="399"/>
  <c r="F64" i="399" s="1"/>
  <c r="F66" i="399" s="1"/>
  <c r="O14" i="399"/>
  <c r="R14" i="399" s="1"/>
  <c r="Q14" i="399"/>
  <c r="V54" i="399"/>
  <c r="O11" i="399"/>
  <c r="R11" i="399" s="1"/>
  <c r="P15" i="399"/>
  <c r="K32" i="399"/>
  <c r="P32" i="399" s="1"/>
  <c r="O17" i="399"/>
  <c r="R17" i="399" s="1"/>
  <c r="J35" i="403" l="1"/>
  <c r="U44" i="408"/>
  <c r="Y44" i="408" s="1"/>
  <c r="Z44" i="408" s="1"/>
  <c r="U44" i="409"/>
  <c r="P44" i="409" s="1"/>
  <c r="H62" i="407"/>
  <c r="F43" i="401"/>
  <c r="D43" i="401"/>
  <c r="J33" i="407"/>
  <c r="Z49" i="409"/>
  <c r="W49" i="409" s="1"/>
  <c r="J61" i="399"/>
  <c r="D36" i="409"/>
  <c r="D65" i="409" s="1"/>
  <c r="D66" i="409" s="1"/>
  <c r="W52" i="409"/>
  <c r="Z52" i="408"/>
  <c r="G35" i="403"/>
  <c r="Z49" i="408"/>
  <c r="U25" i="408"/>
  <c r="P25" i="408" s="1"/>
  <c r="Z45" i="409"/>
  <c r="W45" i="409" s="1"/>
  <c r="J43" i="401"/>
  <c r="F35" i="403"/>
  <c r="U57" i="409"/>
  <c r="P57" i="409" s="1"/>
  <c r="U29" i="409"/>
  <c r="P29" i="409" s="1"/>
  <c r="Y41" i="409"/>
  <c r="Z41" i="409" s="1"/>
  <c r="W41" i="409" s="1"/>
  <c r="U26" i="408"/>
  <c r="Z26" i="408" s="1"/>
  <c r="L62" i="404"/>
  <c r="P44" i="408"/>
  <c r="AC56" i="409"/>
  <c r="U56" i="409"/>
  <c r="Y56" i="409" s="1"/>
  <c r="Z56" i="409" s="1"/>
  <c r="P45" i="408"/>
  <c r="K16" i="404"/>
  <c r="U26" i="409"/>
  <c r="P26" i="409" s="1"/>
  <c r="AD45" i="408"/>
  <c r="U39" i="409"/>
  <c r="Z39" i="409" s="1"/>
  <c r="G43" i="401"/>
  <c r="J50" i="407"/>
  <c r="J62" i="404"/>
  <c r="K62" i="404" s="1"/>
  <c r="I18" i="403"/>
  <c r="H35" i="403"/>
  <c r="L43" i="401"/>
  <c r="I62" i="407"/>
  <c r="J62" i="407" s="1"/>
  <c r="J60" i="407"/>
  <c r="AC56" i="408"/>
  <c r="U56" i="408"/>
  <c r="P56" i="408" s="1"/>
  <c r="AD45" i="409"/>
  <c r="E53" i="409"/>
  <c r="J60" i="406"/>
  <c r="P43" i="408"/>
  <c r="U59" i="409"/>
  <c r="P59" i="409" s="1"/>
  <c r="U38" i="408"/>
  <c r="Z38" i="408" s="1"/>
  <c r="G65" i="408"/>
  <c r="S19" i="408"/>
  <c r="U32" i="408"/>
  <c r="Z32" i="408" s="1"/>
  <c r="W32" i="408" s="1"/>
  <c r="D36" i="408"/>
  <c r="D65" i="408" s="1"/>
  <c r="G65" i="409"/>
  <c r="T65" i="408"/>
  <c r="U40" i="409"/>
  <c r="Z40" i="409" s="1"/>
  <c r="P27" i="408"/>
  <c r="U58" i="408"/>
  <c r="P58" i="408" s="1"/>
  <c r="F36" i="409"/>
  <c r="F65" i="409" s="1"/>
  <c r="U41" i="408"/>
  <c r="P41" i="408" s="1"/>
  <c r="AC59" i="408"/>
  <c r="U59" i="408"/>
  <c r="P59" i="408" s="1"/>
  <c r="Z32" i="409"/>
  <c r="W32" i="409" s="1"/>
  <c r="P32" i="409"/>
  <c r="AC51" i="408"/>
  <c r="U51" i="408"/>
  <c r="Z51" i="408" s="1"/>
  <c r="AC48" i="408"/>
  <c r="U48" i="408"/>
  <c r="P48" i="408" s="1"/>
  <c r="Q53" i="409"/>
  <c r="Q65" i="409" s="1"/>
  <c r="C62" i="404"/>
  <c r="E53" i="408"/>
  <c r="M62" i="404"/>
  <c r="H24" i="408"/>
  <c r="H36" i="408" s="1"/>
  <c r="S20" i="408"/>
  <c r="Z25" i="409"/>
  <c r="AD25" i="409" s="1"/>
  <c r="U38" i="409"/>
  <c r="Y28" i="409"/>
  <c r="Z28" i="409" s="1"/>
  <c r="P28" i="409"/>
  <c r="AC61" i="409"/>
  <c r="U61" i="409"/>
  <c r="P27" i="409"/>
  <c r="Y27" i="409"/>
  <c r="Z27" i="409" s="1"/>
  <c r="Y31" i="409"/>
  <c r="Z31" i="409" s="1"/>
  <c r="P31" i="409"/>
  <c r="AC47" i="409"/>
  <c r="U47" i="409"/>
  <c r="P51" i="409"/>
  <c r="Z51" i="409"/>
  <c r="E63" i="409"/>
  <c r="U24" i="409"/>
  <c r="P24" i="409" s="1"/>
  <c r="Z20" i="409"/>
  <c r="Z24" i="409" s="1"/>
  <c r="W60" i="409"/>
  <c r="AD60" i="409"/>
  <c r="Z43" i="409"/>
  <c r="P43" i="409"/>
  <c r="U13" i="409"/>
  <c r="S19" i="409"/>
  <c r="S36" i="409" s="1"/>
  <c r="S65" i="409" s="1"/>
  <c r="R63" i="409"/>
  <c r="AC55" i="409"/>
  <c r="Y44" i="409"/>
  <c r="Z44" i="409" s="1"/>
  <c r="P50" i="409"/>
  <c r="Z50" i="409"/>
  <c r="W50" i="409" s="1"/>
  <c r="U58" i="409"/>
  <c r="AC48" i="409"/>
  <c r="U48" i="409"/>
  <c r="T63" i="409"/>
  <c r="T65" i="409" s="1"/>
  <c r="Z46" i="409"/>
  <c r="W46" i="409" s="1"/>
  <c r="P46" i="409"/>
  <c r="U55" i="409"/>
  <c r="R42" i="409"/>
  <c r="Y30" i="409"/>
  <c r="Z30" i="409" s="1"/>
  <c r="P30" i="409"/>
  <c r="R24" i="409"/>
  <c r="Z46" i="408"/>
  <c r="W46" i="408" s="1"/>
  <c r="P46" i="408"/>
  <c r="P30" i="408"/>
  <c r="Y30" i="408"/>
  <c r="Z30" i="408" s="1"/>
  <c r="W44" i="408"/>
  <c r="AD44" i="408"/>
  <c r="AC40" i="408"/>
  <c r="U40" i="408"/>
  <c r="U61" i="408"/>
  <c r="AC61" i="408"/>
  <c r="Z29" i="408"/>
  <c r="P29" i="408"/>
  <c r="U42" i="408"/>
  <c r="F65" i="408"/>
  <c r="AD49" i="408"/>
  <c r="W49" i="408"/>
  <c r="E63" i="408"/>
  <c r="R55" i="408"/>
  <c r="U55" i="408" s="1"/>
  <c r="R24" i="408"/>
  <c r="AC24" i="408" s="1"/>
  <c r="AC19" i="408"/>
  <c r="AC39" i="408"/>
  <c r="R53" i="408"/>
  <c r="Z25" i="408"/>
  <c r="P57" i="408"/>
  <c r="Y57" i="408"/>
  <c r="Z57" i="408" s="1"/>
  <c r="W57" i="408" s="1"/>
  <c r="Q63" i="408"/>
  <c r="Q65" i="408" s="1"/>
  <c r="W27" i="408"/>
  <c r="AD27" i="408"/>
  <c r="Y31" i="408"/>
  <c r="Z31" i="408" s="1"/>
  <c r="P31" i="408"/>
  <c r="AD52" i="408"/>
  <c r="W52" i="408"/>
  <c r="U39" i="408"/>
  <c r="P13" i="408"/>
  <c r="U19" i="408"/>
  <c r="Z13" i="408"/>
  <c r="W43" i="408"/>
  <c r="AD43" i="408"/>
  <c r="P60" i="408"/>
  <c r="Z60" i="408"/>
  <c r="P28" i="408"/>
  <c r="Y28" i="408"/>
  <c r="U47" i="408"/>
  <c r="H64" i="407"/>
  <c r="H65" i="407" s="1"/>
  <c r="H67" i="407" s="1"/>
  <c r="J62" i="406"/>
  <c r="I33" i="403"/>
  <c r="I35" i="403" s="1"/>
  <c r="K17" i="401"/>
  <c r="K22" i="401" s="1"/>
  <c r="K36" i="401"/>
  <c r="K41" i="401" s="1"/>
  <c r="K61" i="399"/>
  <c r="P61" i="399" s="1"/>
  <c r="L32" i="399"/>
  <c r="Q32" i="399"/>
  <c r="O63" i="399"/>
  <c r="O64" i="399" s="1"/>
  <c r="O66" i="399" s="1"/>
  <c r="Y57" i="409" l="1"/>
  <c r="Z57" i="409" s="1"/>
  <c r="W57" i="409" s="1"/>
  <c r="AD49" i="409"/>
  <c r="AD41" i="409"/>
  <c r="P26" i="408"/>
  <c r="P38" i="408"/>
  <c r="Z29" i="409"/>
  <c r="AD29" i="409" s="1"/>
  <c r="Y56" i="408"/>
  <c r="Z56" i="408" s="1"/>
  <c r="W56" i="408" s="1"/>
  <c r="P56" i="409"/>
  <c r="P32" i="408"/>
  <c r="P51" i="408"/>
  <c r="Y58" i="408"/>
  <c r="Z58" i="408" s="1"/>
  <c r="AD58" i="408" s="1"/>
  <c r="Z26" i="409"/>
  <c r="W26" i="409" s="1"/>
  <c r="P39" i="409"/>
  <c r="E65" i="408"/>
  <c r="Y59" i="409"/>
  <c r="Z59" i="409" s="1"/>
  <c r="AD59" i="409" s="1"/>
  <c r="E65" i="409"/>
  <c r="Y48" i="408"/>
  <c r="Z48" i="408" s="1"/>
  <c r="W48" i="408" s="1"/>
  <c r="R36" i="408"/>
  <c r="P40" i="409"/>
  <c r="AC36" i="408"/>
  <c r="Y59" i="408"/>
  <c r="Z59" i="408" s="1"/>
  <c r="W59" i="408" s="1"/>
  <c r="Y41" i="408"/>
  <c r="Z41" i="408" s="1"/>
  <c r="W41" i="408" s="1"/>
  <c r="P38" i="409"/>
  <c r="Z38" i="409"/>
  <c r="W25" i="409"/>
  <c r="W40" i="409"/>
  <c r="AD40" i="409"/>
  <c r="AC53" i="408"/>
  <c r="AC63" i="409"/>
  <c r="S24" i="408"/>
  <c r="S36" i="408" s="1"/>
  <c r="S65" i="408" s="1"/>
  <c r="U20" i="408"/>
  <c r="AD31" i="409"/>
  <c r="W31" i="409"/>
  <c r="W44" i="409"/>
  <c r="AD44" i="409"/>
  <c r="AD30" i="409"/>
  <c r="W30" i="409"/>
  <c r="AD56" i="409"/>
  <c r="W56" i="409"/>
  <c r="P61" i="409"/>
  <c r="Y61" i="409"/>
  <c r="Z61" i="409" s="1"/>
  <c r="AC42" i="409"/>
  <c r="AC53" i="409" s="1"/>
  <c r="U42" i="409"/>
  <c r="R53" i="409"/>
  <c r="AD51" i="409"/>
  <c r="W51" i="409"/>
  <c r="Y55" i="409"/>
  <c r="Z55" i="409" s="1"/>
  <c r="P55" i="409"/>
  <c r="U63" i="409"/>
  <c r="P63" i="409" s="1"/>
  <c r="W24" i="409"/>
  <c r="Y47" i="409"/>
  <c r="Z47" i="409" s="1"/>
  <c r="P47" i="409"/>
  <c r="P58" i="409"/>
  <c r="Y58" i="409"/>
  <c r="Z58" i="409" s="1"/>
  <c r="Y36" i="409"/>
  <c r="Z13" i="409"/>
  <c r="U19" i="409"/>
  <c r="P13" i="409"/>
  <c r="AC24" i="409"/>
  <c r="AC36" i="409" s="1"/>
  <c r="R36" i="409"/>
  <c r="W39" i="409"/>
  <c r="AD39" i="409"/>
  <c r="AD27" i="409"/>
  <c r="W27" i="409"/>
  <c r="AD28" i="409"/>
  <c r="W28" i="409"/>
  <c r="P48" i="409"/>
  <c r="Y48" i="409"/>
  <c r="Z48" i="409" s="1"/>
  <c r="W43" i="409"/>
  <c r="AD43" i="409"/>
  <c r="Y55" i="408"/>
  <c r="U63" i="408"/>
  <c r="P63" i="408" s="1"/>
  <c r="P55" i="408"/>
  <c r="W31" i="408"/>
  <c r="AD31" i="408"/>
  <c r="P47" i="408"/>
  <c r="Y47" i="408"/>
  <c r="Z47" i="408" s="1"/>
  <c r="Z39" i="408"/>
  <c r="P39" i="408"/>
  <c r="Y36" i="408"/>
  <c r="P42" i="408"/>
  <c r="Y42" i="408"/>
  <c r="Z28" i="408"/>
  <c r="AD13" i="408"/>
  <c r="W13" i="408"/>
  <c r="Z19" i="408"/>
  <c r="AD29" i="408"/>
  <c r="W29" i="408"/>
  <c r="AD30" i="408"/>
  <c r="W30" i="408"/>
  <c r="AD60" i="408"/>
  <c r="W60" i="408"/>
  <c r="R63" i="408"/>
  <c r="AC55" i="408"/>
  <c r="AC63" i="408" s="1"/>
  <c r="W26" i="408"/>
  <c r="AD26" i="408"/>
  <c r="AD38" i="408"/>
  <c r="W38" i="408"/>
  <c r="Z40" i="408"/>
  <c r="P40" i="408"/>
  <c r="P19" i="408"/>
  <c r="W25" i="408"/>
  <c r="AD25" i="408"/>
  <c r="P61" i="408"/>
  <c r="Y61" i="408"/>
  <c r="Z61" i="408" s="1"/>
  <c r="AD51" i="408"/>
  <c r="W51" i="408"/>
  <c r="U53" i="408"/>
  <c r="K43" i="401"/>
  <c r="L61" i="399"/>
  <c r="K63" i="399"/>
  <c r="K64" i="399" s="1"/>
  <c r="K66" i="399" s="1"/>
  <c r="W29" i="409" l="1"/>
  <c r="AD56" i="408"/>
  <c r="W58" i="408"/>
  <c r="AD26" i="409"/>
  <c r="R65" i="408"/>
  <c r="AD48" i="408"/>
  <c r="W59" i="409"/>
  <c r="AD59" i="408"/>
  <c r="AD41" i="408"/>
  <c r="AD24" i="409"/>
  <c r="Y63" i="408"/>
  <c r="AC65" i="408"/>
  <c r="AD38" i="409"/>
  <c r="W38" i="409"/>
  <c r="Z20" i="408"/>
  <c r="Z24" i="408" s="1"/>
  <c r="Z36" i="408" s="1"/>
  <c r="U24" i="408"/>
  <c r="R65" i="409"/>
  <c r="AD47" i="409"/>
  <c r="W47" i="409"/>
  <c r="AD58" i="409"/>
  <c r="W58" i="409"/>
  <c r="AD61" i="409"/>
  <c r="W61" i="409"/>
  <c r="Y42" i="409"/>
  <c r="Y53" i="409" s="1"/>
  <c r="P42" i="409"/>
  <c r="U53" i="409"/>
  <c r="W48" i="409"/>
  <c r="AD48" i="409"/>
  <c r="Y63" i="409"/>
  <c r="Z63" i="409"/>
  <c r="W55" i="409"/>
  <c r="AD55" i="409"/>
  <c r="AD13" i="409"/>
  <c r="Z19" i="409"/>
  <c r="W13" i="409"/>
  <c r="AC65" i="409"/>
  <c r="P19" i="409"/>
  <c r="U36" i="409"/>
  <c r="AD47" i="408"/>
  <c r="W47" i="408"/>
  <c r="AD28" i="408"/>
  <c r="W28" i="408"/>
  <c r="W39" i="408"/>
  <c r="AD39" i="408"/>
  <c r="Y53" i="408"/>
  <c r="Z53" i="408" s="1"/>
  <c r="AD40" i="408"/>
  <c r="W40" i="408"/>
  <c r="P53" i="408"/>
  <c r="Z42" i="408"/>
  <c r="AD61" i="408"/>
  <c r="W61" i="408"/>
  <c r="W19" i="408"/>
  <c r="AD19" i="408"/>
  <c r="Z55" i="408"/>
  <c r="Y65" i="409" l="1"/>
  <c r="Y65" i="408"/>
  <c r="Z42" i="409"/>
  <c r="W42" i="409" s="1"/>
  <c r="AD24" i="408"/>
  <c r="W24" i="408"/>
  <c r="P24" i="408"/>
  <c r="U36" i="408"/>
  <c r="AD63" i="409"/>
  <c r="W63" i="409"/>
  <c r="Z69" i="409"/>
  <c r="U65" i="409"/>
  <c r="P36" i="409"/>
  <c r="W19" i="409"/>
  <c r="AD19" i="409"/>
  <c r="Z36" i="409"/>
  <c r="Z53" i="409"/>
  <c r="P53" i="409"/>
  <c r="W53" i="408"/>
  <c r="Z70" i="408"/>
  <c r="AA70" i="408" s="1"/>
  <c r="AD53" i="408"/>
  <c r="AD42" i="408"/>
  <c r="W42" i="408"/>
  <c r="Z63" i="408"/>
  <c r="W55" i="408"/>
  <c r="AD55" i="408"/>
  <c r="Z71" i="408"/>
  <c r="AA71" i="408" s="1"/>
  <c r="W36" i="408"/>
  <c r="AD36" i="408"/>
  <c r="AD42" i="409" l="1"/>
  <c r="U65" i="408"/>
  <c r="P65" i="408" s="1"/>
  <c r="P36" i="408"/>
  <c r="AA69" i="409"/>
  <c r="U69" i="409"/>
  <c r="P65" i="409"/>
  <c r="AD53" i="409"/>
  <c r="W53" i="409"/>
  <c r="Z70" i="409"/>
  <c r="AA70" i="409" s="1"/>
  <c r="W36" i="409"/>
  <c r="AD36" i="409"/>
  <c r="Z71" i="409"/>
  <c r="AA71" i="409" s="1"/>
  <c r="Z65" i="409"/>
  <c r="AD63" i="408"/>
  <c r="W63" i="408"/>
  <c r="Z69" i="408"/>
  <c r="Z65" i="408"/>
  <c r="AD65" i="409" l="1"/>
  <c r="Z67" i="409"/>
  <c r="W65" i="409"/>
  <c r="Z72" i="409"/>
  <c r="AA72" i="409" s="1"/>
  <c r="AD65" i="408"/>
  <c r="W65" i="408"/>
  <c r="Z72" i="408"/>
  <c r="AA72" i="408" s="1"/>
  <c r="AA69" i="408"/>
  <c r="R15" i="8" l="1"/>
  <c r="Q15" i="8"/>
  <c r="C25" i="566"/>
  <c r="D24" i="643" s="1"/>
  <c r="J25" i="566" s="1"/>
  <c r="N40" i="627"/>
  <c r="N42" i="627" s="1"/>
  <c r="H40" i="627" s="1"/>
  <c r="I40" i="627" l="1"/>
  <c r="E10" i="644" s="1"/>
  <c r="D10" i="644"/>
  <c r="D10" i="638"/>
  <c r="B57" i="570"/>
  <c r="R35" i="8" l="1"/>
  <c r="Q35" i="8"/>
  <c r="J125" i="645"/>
  <c r="J124" i="645"/>
  <c r="I134" i="645"/>
  <c r="U19" i="661" l="1"/>
  <c r="M19" i="661"/>
  <c r="H19" i="661"/>
  <c r="U12" i="661" l="1"/>
  <c r="M12" i="661"/>
  <c r="U23" i="661"/>
  <c r="M23" i="661"/>
  <c r="U7" i="661"/>
  <c r="M7" i="661"/>
  <c r="U11" i="661"/>
  <c r="M11" i="661"/>
  <c r="U14" i="661"/>
  <c r="M14" i="661"/>
  <c r="U25" i="661"/>
  <c r="M25" i="661"/>
  <c r="U8" i="661"/>
  <c r="M8" i="661"/>
  <c r="U10" i="661"/>
  <c r="M10" i="661"/>
  <c r="B12" i="98"/>
  <c r="E16" i="628" s="1"/>
  <c r="I42" i="627" l="1"/>
  <c r="E12" i="644" s="1"/>
  <c r="H42" i="627"/>
  <c r="D12" i="644" s="1"/>
  <c r="S17" i="627"/>
  <c r="S18" i="627" s="1"/>
  <c r="H13" i="627" s="1"/>
  <c r="R17" i="627"/>
  <c r="R18" i="627" s="1"/>
  <c r="H3" i="627" l="1"/>
  <c r="G3" i="627"/>
  <c r="G5" i="627" l="1"/>
  <c r="H48" i="627" s="1"/>
  <c r="C32" i="627"/>
  <c r="H5" i="627"/>
  <c r="I48" i="627" s="1"/>
  <c r="D32" i="627"/>
  <c r="E7" i="97"/>
  <c r="G47" i="571" s="1"/>
  <c r="F7" i="97"/>
  <c r="H47" i="571" s="1"/>
  <c r="G4" i="627"/>
  <c r="G7" i="627" s="1"/>
  <c r="H4" i="627"/>
  <c r="H7" i="627" s="1"/>
  <c r="C8" i="9" l="1"/>
  <c r="H69" i="661"/>
  <c r="H138" i="661" s="1"/>
  <c r="H20" i="661"/>
  <c r="H110" i="661" s="1"/>
  <c r="U4" i="661" l="1"/>
  <c r="M4" i="661"/>
  <c r="A30" i="637"/>
  <c r="A31" i="637" s="1"/>
  <c r="A32" i="637" s="1"/>
  <c r="A33" i="637" s="1"/>
  <c r="A34" i="637" s="1"/>
  <c r="A35" i="637" s="1"/>
  <c r="A36" i="637" s="1"/>
  <c r="A16" i="637"/>
  <c r="A17" i="637" s="1"/>
  <c r="A18" i="637" s="1"/>
  <c r="A19" i="637" s="1"/>
  <c r="A20" i="637" s="1"/>
  <c r="A21" i="637" s="1"/>
  <c r="A22" i="637" s="1"/>
  <c r="A24" i="637" s="1"/>
  <c r="A25" i="637" s="1"/>
  <c r="A26" i="637" s="1"/>
  <c r="G33" i="637"/>
  <c r="G30" i="637"/>
  <c r="G35" i="637"/>
  <c r="Q36" i="637"/>
  <c r="L36" i="637"/>
  <c r="G36" i="637"/>
  <c r="G98" i="661"/>
  <c r="G97" i="661"/>
  <c r="G96" i="661"/>
  <c r="G95" i="661"/>
  <c r="F95" i="661"/>
  <c r="G94" i="661"/>
  <c r="F94" i="661"/>
  <c r="I91" i="661"/>
  <c r="J91" i="661" s="1"/>
  <c r="G90" i="661"/>
  <c r="G89" i="661"/>
  <c r="F88" i="661"/>
  <c r="H37" i="661"/>
  <c r="I37" i="661" s="1"/>
  <c r="S37" i="661" s="1"/>
  <c r="F37" i="661"/>
  <c r="H81" i="661"/>
  <c r="I81" i="661" s="1"/>
  <c r="S81" i="661" s="1"/>
  <c r="H36" i="661"/>
  <c r="I36" i="661" s="1"/>
  <c r="F36" i="661"/>
  <c r="D161" i="661" s="1"/>
  <c r="H87" i="661"/>
  <c r="I87" i="661" s="1"/>
  <c r="F87" i="661"/>
  <c r="H86" i="661"/>
  <c r="I86" i="661" s="1"/>
  <c r="S86" i="661" s="1"/>
  <c r="H85" i="661"/>
  <c r="I85" i="661" s="1"/>
  <c r="S85" i="661" s="1"/>
  <c r="H84" i="661"/>
  <c r="I84" i="661" s="1"/>
  <c r="S84" i="661" s="1"/>
  <c r="F84" i="661"/>
  <c r="F149" i="661" s="1"/>
  <c r="H79" i="661"/>
  <c r="I79" i="661" s="1"/>
  <c r="S79" i="661" s="1"/>
  <c r="H35" i="661"/>
  <c r="I35" i="661" s="1"/>
  <c r="S35" i="661" s="1"/>
  <c r="H34" i="661"/>
  <c r="I34" i="661" s="1"/>
  <c r="S34" i="661" s="1"/>
  <c r="H78" i="661"/>
  <c r="I78" i="661" s="1"/>
  <c r="S78" i="661" s="1"/>
  <c r="H77" i="661"/>
  <c r="I77" i="661" s="1"/>
  <c r="S77" i="661" s="1"/>
  <c r="H33" i="661"/>
  <c r="I33" i="661" s="1"/>
  <c r="S33" i="661" s="1"/>
  <c r="H76" i="661"/>
  <c r="I76" i="661" s="1"/>
  <c r="S76" i="661" s="1"/>
  <c r="H75" i="661"/>
  <c r="I75" i="661" s="1"/>
  <c r="S75" i="661" s="1"/>
  <c r="F75" i="661"/>
  <c r="H74" i="661"/>
  <c r="I74" i="661" s="1"/>
  <c r="S74" i="661" s="1"/>
  <c r="H32" i="661"/>
  <c r="H31" i="661"/>
  <c r="I31" i="661" s="1"/>
  <c r="H30" i="661"/>
  <c r="I30" i="661" s="1"/>
  <c r="H29" i="661"/>
  <c r="H28" i="661"/>
  <c r="I28" i="661" s="1"/>
  <c r="S28" i="661" s="1"/>
  <c r="H27" i="661"/>
  <c r="I27" i="661" s="1"/>
  <c r="S27" i="661" s="1"/>
  <c r="H26" i="661"/>
  <c r="I26" i="661" s="1"/>
  <c r="H73" i="661"/>
  <c r="I73" i="661" s="1"/>
  <c r="S73" i="661" s="1"/>
  <c r="H72" i="661"/>
  <c r="I69" i="661"/>
  <c r="F69" i="661"/>
  <c r="H68" i="661"/>
  <c r="I68" i="661" s="1"/>
  <c r="S68" i="661" s="1"/>
  <c r="H67" i="661"/>
  <c r="H66" i="661"/>
  <c r="H65" i="661"/>
  <c r="H23" i="661"/>
  <c r="H113" i="661" s="1"/>
  <c r="H22" i="661"/>
  <c r="H112" i="661" s="1"/>
  <c r="H21" i="661"/>
  <c r="I21" i="661" s="1"/>
  <c r="I20" i="661"/>
  <c r="I19" i="661"/>
  <c r="S19" i="661" s="1"/>
  <c r="H64" i="661"/>
  <c r="I64" i="661" s="1"/>
  <c r="S64" i="661" s="1"/>
  <c r="H62" i="661"/>
  <c r="I62" i="661" s="1"/>
  <c r="S62" i="661" s="1"/>
  <c r="H61" i="661"/>
  <c r="I61" i="661" s="1"/>
  <c r="H60" i="661"/>
  <c r="I60" i="661" s="1"/>
  <c r="S60" i="661" s="1"/>
  <c r="H59" i="661"/>
  <c r="I59" i="661" s="1"/>
  <c r="H57" i="661"/>
  <c r="I57" i="661" s="1"/>
  <c r="S57" i="661" s="1"/>
  <c r="I17" i="661"/>
  <c r="S17" i="661" s="1"/>
  <c r="H16" i="661"/>
  <c r="H55" i="661"/>
  <c r="I55" i="661" s="1"/>
  <c r="S55" i="661" s="1"/>
  <c r="H54" i="661"/>
  <c r="H133" i="661" s="1"/>
  <c r="H53" i="661"/>
  <c r="I53" i="661" s="1"/>
  <c r="S53" i="661" s="1"/>
  <c r="F53" i="661"/>
  <c r="F140" i="661" s="1"/>
  <c r="H15" i="661"/>
  <c r="H52" i="661"/>
  <c r="I52" i="661" s="1"/>
  <c r="S52" i="661" s="1"/>
  <c r="H14" i="661"/>
  <c r="I14" i="661" s="1"/>
  <c r="S14" i="661" s="1"/>
  <c r="H13" i="661"/>
  <c r="I13" i="661" s="1"/>
  <c r="S13" i="661" s="1"/>
  <c r="H47" i="661"/>
  <c r="H46" i="661"/>
  <c r="I46" i="661" s="1"/>
  <c r="S46" i="661" s="1"/>
  <c r="H45" i="661"/>
  <c r="H44" i="661"/>
  <c r="I44" i="661" s="1"/>
  <c r="S44" i="661" s="1"/>
  <c r="H43" i="661"/>
  <c r="I43" i="661" s="1"/>
  <c r="S43" i="661" s="1"/>
  <c r="H12" i="661"/>
  <c r="I12" i="661" s="1"/>
  <c r="S12" i="661" s="1"/>
  <c r="H11" i="661"/>
  <c r="I11" i="661" s="1"/>
  <c r="H42" i="661"/>
  <c r="I42" i="661" s="1"/>
  <c r="S42" i="661" s="1"/>
  <c r="H10" i="661"/>
  <c r="I10" i="661" s="1"/>
  <c r="S10" i="661" s="1"/>
  <c r="H41" i="661"/>
  <c r="H9" i="661"/>
  <c r="I9" i="661" s="1"/>
  <c r="S9" i="661" s="1"/>
  <c r="H8" i="661"/>
  <c r="H40" i="661"/>
  <c r="H39" i="661"/>
  <c r="M5" i="661"/>
  <c r="I4" i="661"/>
  <c r="M38" i="661"/>
  <c r="H38" i="661"/>
  <c r="H125" i="661" s="1"/>
  <c r="H3" i="661"/>
  <c r="H103" i="661" s="1"/>
  <c r="D162" i="661" l="1"/>
  <c r="D163" i="661"/>
  <c r="S36" i="661"/>
  <c r="E161" i="661"/>
  <c r="S30" i="661"/>
  <c r="S31" i="661"/>
  <c r="S26" i="661"/>
  <c r="I16" i="661"/>
  <c r="O16" i="661" s="1"/>
  <c r="H118" i="661"/>
  <c r="I29" i="661"/>
  <c r="S29" i="661" s="1"/>
  <c r="H111" i="661"/>
  <c r="I15" i="661"/>
  <c r="S15" i="661" s="1"/>
  <c r="H119" i="661"/>
  <c r="I8" i="661"/>
  <c r="S8" i="661" s="1"/>
  <c r="F150" i="661"/>
  <c r="F141" i="661" s="1"/>
  <c r="F151" i="661"/>
  <c r="F119" i="661" s="1"/>
  <c r="G38" i="637" s="1"/>
  <c r="G41" i="637"/>
  <c r="E177" i="637" s="1"/>
  <c r="S4" i="661"/>
  <c r="I104" i="661"/>
  <c r="L20" i="637" s="1"/>
  <c r="S20" i="661"/>
  <c r="I110" i="661"/>
  <c r="L24" i="637" s="1"/>
  <c r="S21" i="661"/>
  <c r="U3" i="661"/>
  <c r="U67" i="661"/>
  <c r="M67" i="661"/>
  <c r="U69" i="661"/>
  <c r="M69" i="661"/>
  <c r="U6" i="661"/>
  <c r="M6" i="661"/>
  <c r="U40" i="661"/>
  <c r="M40" i="661"/>
  <c r="U21" i="661"/>
  <c r="M21" i="661"/>
  <c r="H6" i="661"/>
  <c r="H106" i="661" s="1"/>
  <c r="H5" i="661"/>
  <c r="H105" i="661" s="1"/>
  <c r="H7" i="661"/>
  <c r="H107" i="661" s="1"/>
  <c r="O36" i="661"/>
  <c r="S61" i="661"/>
  <c r="S87" i="661"/>
  <c r="I148" i="661"/>
  <c r="I147" i="661"/>
  <c r="O34" i="661"/>
  <c r="S59" i="661"/>
  <c r="I138" i="661"/>
  <c r="S69" i="661"/>
  <c r="O10" i="661"/>
  <c r="S11" i="661"/>
  <c r="J125" i="661"/>
  <c r="U38" i="661"/>
  <c r="U5" i="661"/>
  <c r="I40" i="661"/>
  <c r="H129" i="661"/>
  <c r="J129" i="661"/>
  <c r="G32" i="637"/>
  <c r="F138" i="661"/>
  <c r="I45" i="661"/>
  <c r="E160" i="661" s="1"/>
  <c r="Q32" i="637"/>
  <c r="J138" i="661"/>
  <c r="I65" i="661"/>
  <c r="H135" i="661"/>
  <c r="I47" i="661"/>
  <c r="S47" i="661" s="1"/>
  <c r="I66" i="661"/>
  <c r="H136" i="661"/>
  <c r="F118" i="661"/>
  <c r="G39" i="637" s="1"/>
  <c r="I41" i="661"/>
  <c r="I67" i="661"/>
  <c r="H137" i="661"/>
  <c r="I39" i="661"/>
  <c r="H128" i="661"/>
  <c r="O21" i="661"/>
  <c r="J137" i="661"/>
  <c r="O37" i="661"/>
  <c r="O69" i="661"/>
  <c r="O13" i="661"/>
  <c r="O8" i="661"/>
  <c r="O11" i="661"/>
  <c r="O35" i="661"/>
  <c r="O74" i="661"/>
  <c r="O75" i="661"/>
  <c r="O14" i="661"/>
  <c r="O20" i="661"/>
  <c r="O73" i="661"/>
  <c r="O76" i="661"/>
  <c r="H88" i="661"/>
  <c r="H98" i="661" s="1"/>
  <c r="I23" i="661"/>
  <c r="G91" i="661"/>
  <c r="O64" i="661"/>
  <c r="F89" i="661"/>
  <c r="F91" i="661" s="1"/>
  <c r="O60" i="661"/>
  <c r="O42" i="661"/>
  <c r="M53" i="661"/>
  <c r="O25" i="661"/>
  <c r="O61" i="661"/>
  <c r="O68" i="661"/>
  <c r="P81" i="661"/>
  <c r="O81" i="661"/>
  <c r="M39" i="661"/>
  <c r="M42" i="661"/>
  <c r="O9" i="661"/>
  <c r="O55" i="661"/>
  <c r="M55" i="661"/>
  <c r="O27" i="661"/>
  <c r="O57" i="661"/>
  <c r="O77" i="661"/>
  <c r="P4" i="661"/>
  <c r="O4" i="661"/>
  <c r="M43" i="661"/>
  <c r="O12" i="661"/>
  <c r="M16" i="661"/>
  <c r="O28" i="661"/>
  <c r="O85" i="661"/>
  <c r="O30" i="661"/>
  <c r="O59" i="661"/>
  <c r="I38" i="661"/>
  <c r="G99" i="661"/>
  <c r="I22" i="661"/>
  <c r="I112" i="661" s="1"/>
  <c r="L25" i="637" s="1"/>
  <c r="I24" i="661"/>
  <c r="I114" i="661" s="1"/>
  <c r="L35" i="637" s="1"/>
  <c r="G121" i="661"/>
  <c r="I54" i="661"/>
  <c r="I32" i="661"/>
  <c r="H95" i="661"/>
  <c r="F96" i="661"/>
  <c r="I72" i="661"/>
  <c r="F98" i="661"/>
  <c r="I3" i="661"/>
  <c r="F97" i="661"/>
  <c r="I111" i="661" l="1"/>
  <c r="L26" i="637" s="1"/>
  <c r="S16" i="661"/>
  <c r="E162" i="661"/>
  <c r="I118" i="661"/>
  <c r="L39" i="637" s="1"/>
  <c r="O15" i="661"/>
  <c r="E158" i="661"/>
  <c r="F143" i="661"/>
  <c r="G65" i="637" s="1"/>
  <c r="O47" i="661"/>
  <c r="S3" i="661"/>
  <c r="I103" i="661"/>
  <c r="L15" i="637" s="1"/>
  <c r="S23" i="661"/>
  <c r="I113" i="661"/>
  <c r="L21" i="637" s="1"/>
  <c r="U17" i="661"/>
  <c r="M17" i="661"/>
  <c r="U73" i="661"/>
  <c r="M73" i="661"/>
  <c r="U31" i="661"/>
  <c r="M31" i="661"/>
  <c r="U36" i="661"/>
  <c r="M36" i="661"/>
  <c r="U29" i="661"/>
  <c r="M29" i="661"/>
  <c r="U20" i="661"/>
  <c r="M20" i="661"/>
  <c r="U26" i="661"/>
  <c r="M26" i="661"/>
  <c r="U37" i="661"/>
  <c r="M37" i="661"/>
  <c r="U77" i="661"/>
  <c r="M77" i="661"/>
  <c r="U30" i="661"/>
  <c r="M30" i="661"/>
  <c r="I137" i="661"/>
  <c r="S67" i="661"/>
  <c r="I129" i="661"/>
  <c r="S40" i="661"/>
  <c r="O72" i="661"/>
  <c r="S72" i="661"/>
  <c r="O24" i="661"/>
  <c r="S24" i="661"/>
  <c r="P12" i="661"/>
  <c r="U43" i="661"/>
  <c r="O41" i="661"/>
  <c r="S41" i="661"/>
  <c r="P27" i="661"/>
  <c r="U55" i="661"/>
  <c r="O45" i="661"/>
  <c r="S45" i="661"/>
  <c r="O43" i="661"/>
  <c r="S22" i="661"/>
  <c r="O62" i="661"/>
  <c r="S32" i="661"/>
  <c r="I125" i="661"/>
  <c r="S38" i="661"/>
  <c r="I136" i="661"/>
  <c r="S66" i="661"/>
  <c r="P42" i="661"/>
  <c r="U42" i="661"/>
  <c r="J128" i="661"/>
  <c r="U39" i="661"/>
  <c r="I128" i="661"/>
  <c r="S39" i="661"/>
  <c r="I133" i="661"/>
  <c r="S54" i="661"/>
  <c r="P28" i="661"/>
  <c r="U16" i="661"/>
  <c r="P25" i="661"/>
  <c r="U53" i="661"/>
  <c r="I135" i="661"/>
  <c r="S65" i="661"/>
  <c r="O40" i="661"/>
  <c r="O67" i="661"/>
  <c r="O66" i="661"/>
  <c r="M45" i="661"/>
  <c r="O39" i="661"/>
  <c r="M65" i="661"/>
  <c r="M66" i="661"/>
  <c r="P14" i="661"/>
  <c r="P55" i="661"/>
  <c r="P77" i="661"/>
  <c r="I88" i="661"/>
  <c r="L41" i="637" s="1"/>
  <c r="F177" i="637" s="1"/>
  <c r="P30" i="661"/>
  <c r="O32" i="661"/>
  <c r="O23" i="661"/>
  <c r="O44" i="661"/>
  <c r="F121" i="661"/>
  <c r="O54" i="661"/>
  <c r="O84" i="661"/>
  <c r="M54" i="661"/>
  <c r="O26" i="661"/>
  <c r="O46" i="661"/>
  <c r="F99" i="661"/>
  <c r="I95" i="661"/>
  <c r="I7" i="661"/>
  <c r="I107" i="661" s="1"/>
  <c r="L29" i="637" s="1"/>
  <c r="U24" i="661" l="1"/>
  <c r="M24" i="661"/>
  <c r="U22" i="661"/>
  <c r="M22" i="661"/>
  <c r="U72" i="661"/>
  <c r="M72" i="661"/>
  <c r="I5" i="661"/>
  <c r="O5" i="661" s="1"/>
  <c r="J133" i="661"/>
  <c r="U54" i="661"/>
  <c r="J136" i="661"/>
  <c r="U66" i="661"/>
  <c r="O7" i="661"/>
  <c r="S7" i="661"/>
  <c r="P45" i="661"/>
  <c r="U45" i="661"/>
  <c r="O88" i="661"/>
  <c r="S88" i="661"/>
  <c r="J135" i="661"/>
  <c r="U65" i="661"/>
  <c r="M88" i="661"/>
  <c r="I98" i="661"/>
  <c r="I6" i="661"/>
  <c r="I106" i="661" s="1"/>
  <c r="L18" i="637" s="1"/>
  <c r="P54" i="661"/>
  <c r="P26" i="661"/>
  <c r="P3" i="661"/>
  <c r="O3" i="661"/>
  <c r="G177" i="637"/>
  <c r="O86" i="661"/>
  <c r="O87" i="661"/>
  <c r="P43" i="661"/>
  <c r="S5" i="661" l="1"/>
  <c r="I105" i="661"/>
  <c r="L17" i="637" s="1"/>
  <c r="P88" i="661"/>
  <c r="U88" i="661"/>
  <c r="O6" i="661"/>
  <c r="S6" i="661"/>
  <c r="P49" i="627"/>
  <c r="P50" i="627" s="1"/>
  <c r="P52" i="627" s="1"/>
  <c r="S5" i="627"/>
  <c r="S48" i="627" s="1"/>
  <c r="R5" i="627"/>
  <c r="R48" i="627" s="1"/>
  <c r="S4" i="627"/>
  <c r="S7" i="627" s="1"/>
  <c r="R4" i="627"/>
  <c r="Q5" i="627"/>
  <c r="Q48" i="627" s="1"/>
  <c r="P5" i="627"/>
  <c r="Q4" i="627"/>
  <c r="Q7" i="627" s="1"/>
  <c r="P4" i="627"/>
  <c r="P7" i="627" s="1"/>
  <c r="P9" i="627" s="1"/>
  <c r="R7" i="627" l="1"/>
  <c r="Q47" i="627"/>
  <c r="Q49" i="627" s="1"/>
  <c r="Q6" i="627"/>
  <c r="P10" i="627"/>
  <c r="P14" i="627" s="1"/>
  <c r="R47" i="627" l="1"/>
  <c r="R49" i="627" s="1"/>
  <c r="S47" i="627" s="1"/>
  <c r="S49" i="627" s="1"/>
  <c r="S50" i="627" s="1"/>
  <c r="S52" i="627" s="1"/>
  <c r="S53" i="627" s="1"/>
  <c r="Q50" i="627"/>
  <c r="Q52" i="627" s="1"/>
  <c r="Q53" i="627" s="1"/>
  <c r="Q54" i="627" s="1"/>
  <c r="Q9" i="627"/>
  <c r="C20" i="638"/>
  <c r="C45" i="638" s="1"/>
  <c r="C17" i="638"/>
  <c r="C44" i="638" s="1"/>
  <c r="C21" i="638"/>
  <c r="C16" i="638"/>
  <c r="C43" i="638" s="1"/>
  <c r="R6" i="627" l="1"/>
  <c r="R9" i="627" s="1"/>
  <c r="G6" i="627"/>
  <c r="F10" i="87" s="1"/>
  <c r="B8" i="9"/>
  <c r="H47" i="627"/>
  <c r="H49" i="627" s="1"/>
  <c r="I47" i="627" s="1"/>
  <c r="I49" i="627" s="1"/>
  <c r="I50" i="627" s="1"/>
  <c r="I52" i="627" s="1"/>
  <c r="I54" i="627" s="1"/>
  <c r="S54" i="627"/>
  <c r="R50" i="627"/>
  <c r="R52" i="627" s="1"/>
  <c r="R53" i="627" s="1"/>
  <c r="H50" i="627"/>
  <c r="H52" i="627" s="1"/>
  <c r="Q10" i="627"/>
  <c r="Q14" i="627" s="1"/>
  <c r="H53" i="627" l="1"/>
  <c r="H54" i="627"/>
  <c r="R54" i="627"/>
  <c r="S6" i="627"/>
  <c r="R10" i="627"/>
  <c r="H55" i="627" l="1"/>
  <c r="S9" i="627"/>
  <c r="S10" i="627" s="1"/>
  <c r="R14" i="627"/>
  <c r="S14" i="627" l="1"/>
  <c r="N36" i="634" l="1"/>
  <c r="M36" i="634"/>
  <c r="L36" i="634"/>
  <c r="K36" i="634"/>
  <c r="J36" i="634"/>
  <c r="I36" i="634"/>
  <c r="H36" i="634"/>
  <c r="G36" i="634"/>
  <c r="F36" i="634"/>
  <c r="E36" i="634"/>
  <c r="D36" i="634"/>
  <c r="N35" i="634"/>
  <c r="M35" i="634"/>
  <c r="L35" i="634"/>
  <c r="K35" i="634"/>
  <c r="J35" i="634"/>
  <c r="I35" i="634"/>
  <c r="H35" i="634"/>
  <c r="G35" i="634"/>
  <c r="F35" i="634"/>
  <c r="E35" i="634"/>
  <c r="D35" i="634"/>
  <c r="C36" i="634"/>
  <c r="C35" i="634"/>
  <c r="M23" i="634" l="1"/>
  <c r="L23" i="634"/>
  <c r="K16" i="634"/>
  <c r="L6" i="627" l="1"/>
  <c r="L4" i="627"/>
  <c r="F138" i="637" l="1"/>
  <c r="F137" i="637"/>
  <c r="C34" i="149"/>
  <c r="C52" i="149"/>
  <c r="C51" i="149"/>
  <c r="C20" i="149"/>
  <c r="C26" i="149"/>
  <c r="C16" i="149"/>
  <c r="C33" i="149" l="1"/>
  <c r="C14" i="149" l="1"/>
  <c r="C19" i="149"/>
  <c r="C11" i="149"/>
  <c r="C12" i="149"/>
  <c r="C6" i="634"/>
  <c r="C7" i="634"/>
  <c r="O33" i="635" l="1"/>
  <c r="O31" i="635"/>
  <c r="O20" i="635"/>
  <c r="O18" i="635"/>
  <c r="O8" i="635"/>
  <c r="O7" i="635"/>
  <c r="O6" i="635"/>
  <c r="O5" i="635"/>
  <c r="G56" i="339"/>
  <c r="C56" i="339"/>
  <c r="B56" i="339"/>
  <c r="D56" i="339"/>
  <c r="G27" i="339"/>
  <c r="E27" i="339"/>
  <c r="D27" i="339"/>
  <c r="C27" i="339"/>
  <c r="H26" i="339"/>
  <c r="H25" i="339"/>
  <c r="H24" i="339"/>
  <c r="H23" i="339"/>
  <c r="H22" i="339"/>
  <c r="H21" i="339"/>
  <c r="H20" i="339"/>
  <c r="H19" i="339"/>
  <c r="H18" i="339"/>
  <c r="H17" i="339"/>
  <c r="E58" i="573"/>
  <c r="D58" i="573"/>
  <c r="C58" i="573"/>
  <c r="D40" i="573"/>
  <c r="D48" i="573" s="1"/>
  <c r="C40" i="573"/>
  <c r="C48" i="573" s="1"/>
  <c r="D39" i="573"/>
  <c r="D47" i="573" s="1"/>
  <c r="C39" i="573"/>
  <c r="C47" i="573" s="1"/>
  <c r="D38" i="573"/>
  <c r="D46" i="573" s="1"/>
  <c r="C38" i="573"/>
  <c r="C46" i="573" s="1"/>
  <c r="D37" i="573"/>
  <c r="D45" i="573" s="1"/>
  <c r="C37" i="573"/>
  <c r="C45" i="573" s="1"/>
  <c r="D35" i="573"/>
  <c r="C35" i="573"/>
  <c r="C30" i="643"/>
  <c r="C32" i="643" s="1"/>
  <c r="C13" i="643"/>
  <c r="C14" i="566" s="1"/>
  <c r="B11" i="643"/>
  <c r="B19" i="643" s="1"/>
  <c r="E35" i="636"/>
  <c r="E32" i="636"/>
  <c r="C24" i="566"/>
  <c r="E24" i="566" s="1"/>
  <c r="F24" i="566" s="1"/>
  <c r="C23" i="566"/>
  <c r="D22" i="643" s="1"/>
  <c r="J23" i="566" s="1"/>
  <c r="B33" i="566"/>
  <c r="B12" i="566"/>
  <c r="C7" i="566"/>
  <c r="D6" i="643" s="1"/>
  <c r="J7" i="566" s="1"/>
  <c r="C8" i="566"/>
  <c r="D7" i="643" s="1"/>
  <c r="J8" i="566" s="1"/>
  <c r="C9" i="566"/>
  <c r="D8" i="643" s="1"/>
  <c r="J9" i="566" s="1"/>
  <c r="C10" i="566"/>
  <c r="D9" i="643" s="1"/>
  <c r="J10" i="566" s="1"/>
  <c r="C11" i="566"/>
  <c r="D10" i="643" s="1"/>
  <c r="J11" i="566" s="1"/>
  <c r="C13" i="566"/>
  <c r="D12" i="643" s="1"/>
  <c r="J13" i="566" s="1"/>
  <c r="C15" i="566"/>
  <c r="D14" i="643" s="1"/>
  <c r="J15" i="566" s="1"/>
  <c r="C16" i="566"/>
  <c r="D15" i="643" s="1"/>
  <c r="J16" i="566" s="1"/>
  <c r="C17" i="566"/>
  <c r="D16" i="643" s="1"/>
  <c r="J17" i="566" s="1"/>
  <c r="C18" i="566"/>
  <c r="D17" i="643" s="1"/>
  <c r="J18" i="566" s="1"/>
  <c r="C19" i="566"/>
  <c r="D18" i="643" s="1"/>
  <c r="J19" i="566" s="1"/>
  <c r="C22" i="566"/>
  <c r="D21" i="643" s="1"/>
  <c r="C26" i="566"/>
  <c r="D25" i="643" s="1"/>
  <c r="J26" i="566" s="1"/>
  <c r="C27" i="566"/>
  <c r="D26" i="643" s="1"/>
  <c r="J27" i="566" s="1"/>
  <c r="C28" i="566"/>
  <c r="D27" i="643" s="1"/>
  <c r="J28" i="566" s="1"/>
  <c r="C29" i="566"/>
  <c r="D28" i="643" s="1"/>
  <c r="J29" i="566" s="1"/>
  <c r="C30" i="566"/>
  <c r="D29" i="643" s="1"/>
  <c r="J30" i="566" s="1"/>
  <c r="C31" i="566"/>
  <c r="D30" i="643" s="1"/>
  <c r="J31" i="566" s="1"/>
  <c r="C32" i="566"/>
  <c r="D24" i="566" l="1"/>
  <c r="D23" i="643"/>
  <c r="J24" i="566" s="1"/>
  <c r="J22" i="566"/>
  <c r="D32" i="566"/>
  <c r="D31" i="643"/>
  <c r="J32" i="566" s="1"/>
  <c r="D13" i="643"/>
  <c r="B33" i="643"/>
  <c r="B35" i="643" s="1"/>
  <c r="D49" i="573"/>
  <c r="B20" i="566"/>
  <c r="B34" i="566" s="1"/>
  <c r="C11" i="643"/>
  <c r="C19" i="643" s="1"/>
  <c r="C33" i="643" s="1"/>
  <c r="C35" i="643" s="1"/>
  <c r="C41" i="573"/>
  <c r="C49" i="573"/>
  <c r="C12" i="566"/>
  <c r="D41" i="573"/>
  <c r="H47" i="339"/>
  <c r="H51" i="339"/>
  <c r="H53" i="339"/>
  <c r="H49" i="339"/>
  <c r="H50" i="339"/>
  <c r="H48" i="339"/>
  <c r="H52" i="339"/>
  <c r="H54" i="339"/>
  <c r="H55" i="339"/>
  <c r="F27" i="339"/>
  <c r="H27" i="339" s="1"/>
  <c r="C33" i="566"/>
  <c r="J14" i="566" l="1"/>
  <c r="D14" i="566"/>
  <c r="C20" i="566"/>
  <c r="D11" i="643"/>
  <c r="F56" i="339"/>
  <c r="H56" i="339" s="1"/>
  <c r="H46" i="339"/>
  <c r="E56" i="339"/>
  <c r="C34" i="566" l="1"/>
  <c r="J12" i="566"/>
  <c r="D19" i="643"/>
  <c r="C99" i="637"/>
  <c r="C96" i="637"/>
  <c r="E82" i="637"/>
  <c r="C100" i="637" s="1"/>
  <c r="D82" i="637"/>
  <c r="C97" i="637" s="1"/>
  <c r="C82" i="637"/>
  <c r="C94" i="637" s="1"/>
  <c r="C81" i="637"/>
  <c r="C93" i="637" s="1"/>
  <c r="C80" i="637"/>
  <c r="C92" i="637" s="1"/>
  <c r="F41" i="637"/>
  <c r="E41" i="637"/>
  <c r="D41" i="637"/>
  <c r="C41" i="637"/>
  <c r="J20" i="566" l="1"/>
  <c r="J33" i="566"/>
  <c r="C95" i="637"/>
  <c r="C98" i="637" s="1"/>
  <c r="C101" i="637" s="1"/>
  <c r="C83" i="637"/>
  <c r="C85" i="637" s="1"/>
  <c r="C87" i="637" l="1"/>
  <c r="C63" i="645"/>
  <c r="C39" i="645" s="1"/>
  <c r="C51" i="645"/>
  <c r="C32" i="645"/>
  <c r="C31" i="645"/>
  <c r="C30" i="645"/>
  <c r="C29" i="645"/>
  <c r="C28" i="645"/>
  <c r="C26" i="645"/>
  <c r="C25" i="645"/>
  <c r="C27" i="645" l="1"/>
  <c r="C33" i="645" s="1"/>
  <c r="C45" i="645"/>
  <c r="D62" i="645" l="1"/>
  <c r="E62" i="645"/>
  <c r="D64" i="645"/>
  <c r="E64" i="645"/>
  <c r="D65" i="645"/>
  <c r="E65" i="645"/>
  <c r="D66" i="645"/>
  <c r="E66" i="645"/>
  <c r="D67" i="645"/>
  <c r="E67" i="645"/>
  <c r="F67" i="645"/>
  <c r="G67" i="645"/>
  <c r="H67" i="645"/>
  <c r="I67" i="645"/>
  <c r="J67" i="645"/>
  <c r="D68" i="645"/>
  <c r="E68" i="645"/>
  <c r="E61" i="645"/>
  <c r="D61" i="645"/>
  <c r="D50" i="645"/>
  <c r="E50" i="645"/>
  <c r="D52" i="645"/>
  <c r="E52" i="645"/>
  <c r="D53" i="645"/>
  <c r="E53" i="645"/>
  <c r="D54" i="645"/>
  <c r="E54" i="645"/>
  <c r="D55" i="645"/>
  <c r="E55" i="645"/>
  <c r="F55" i="645"/>
  <c r="G55" i="645"/>
  <c r="H55" i="645"/>
  <c r="I55" i="645"/>
  <c r="J55" i="645"/>
  <c r="D56" i="645"/>
  <c r="E56" i="645"/>
  <c r="E49" i="645"/>
  <c r="D49" i="645"/>
  <c r="E38" i="645"/>
  <c r="E39" i="645"/>
  <c r="E40" i="645"/>
  <c r="E41" i="645"/>
  <c r="E42" i="645"/>
  <c r="E43" i="645"/>
  <c r="E44" i="645"/>
  <c r="E37" i="645"/>
  <c r="D27" i="645"/>
  <c r="D28" i="645"/>
  <c r="D29" i="645"/>
  <c r="D30" i="645"/>
  <c r="D31" i="645"/>
  <c r="D26" i="645"/>
  <c r="D25" i="645"/>
  <c r="E11" i="557" l="1"/>
  <c r="D11" i="557"/>
  <c r="C5" i="557"/>
  <c r="E32" i="557"/>
  <c r="B16" i="557"/>
  <c r="B9" i="562" l="1"/>
  <c r="C9" i="562"/>
  <c r="B7" i="562"/>
  <c r="H38" i="633"/>
  <c r="H12" i="633"/>
  <c r="H10" i="633"/>
  <c r="H40" i="633"/>
  <c r="H27" i="633"/>
  <c r="H25" i="633"/>
  <c r="L79" i="660" l="1"/>
  <c r="K79" i="660"/>
  <c r="J79" i="660"/>
  <c r="G79" i="660"/>
  <c r="F79" i="660"/>
  <c r="E79" i="660"/>
  <c r="D79" i="660"/>
  <c r="C79" i="660"/>
  <c r="I78" i="660"/>
  <c r="I77" i="660"/>
  <c r="I76" i="660"/>
  <c r="I75" i="660"/>
  <c r="I74" i="660"/>
  <c r="I73" i="660"/>
  <c r="I72" i="660"/>
  <c r="I71" i="660"/>
  <c r="I70" i="660"/>
  <c r="D62" i="660"/>
  <c r="E62" i="660" s="1"/>
  <c r="E61" i="660"/>
  <c r="I61" i="660" s="1"/>
  <c r="E60" i="660"/>
  <c r="F60" i="660" s="1"/>
  <c r="J60" i="660" s="1"/>
  <c r="D59" i="660"/>
  <c r="E59" i="660" s="1"/>
  <c r="I59" i="660" s="1"/>
  <c r="E58" i="660"/>
  <c r="F58" i="660" s="1"/>
  <c r="J58" i="660" s="1"/>
  <c r="E57" i="660"/>
  <c r="F57" i="660" s="1"/>
  <c r="J57" i="660" s="1"/>
  <c r="E56" i="660"/>
  <c r="I56" i="660" s="1"/>
  <c r="E55" i="660"/>
  <c r="I55" i="660" s="1"/>
  <c r="E54" i="660"/>
  <c r="I54" i="660" s="1"/>
  <c r="E53" i="660"/>
  <c r="E52" i="660"/>
  <c r="I52" i="660" s="1"/>
  <c r="E51" i="660"/>
  <c r="I51" i="660" s="1"/>
  <c r="E50" i="660"/>
  <c r="F50" i="660" s="1"/>
  <c r="J50" i="660" s="1"/>
  <c r="E49" i="660"/>
  <c r="F49" i="660" s="1"/>
  <c r="J49" i="660" s="1"/>
  <c r="E48" i="660"/>
  <c r="I48" i="660" s="1"/>
  <c r="E47" i="660"/>
  <c r="I47" i="660" s="1"/>
  <c r="J46" i="660"/>
  <c r="J45" i="660"/>
  <c r="E45" i="660"/>
  <c r="I45" i="660" s="1"/>
  <c r="J44" i="660"/>
  <c r="J43" i="660"/>
  <c r="E43" i="660"/>
  <c r="I43" i="660" s="1"/>
  <c r="E42" i="660"/>
  <c r="I42" i="660" s="1"/>
  <c r="D41" i="660"/>
  <c r="E41" i="660" s="1"/>
  <c r="E40" i="660"/>
  <c r="I40" i="660" s="1"/>
  <c r="E39" i="660"/>
  <c r="F39" i="660" s="1"/>
  <c r="J39" i="660" s="1"/>
  <c r="E38" i="660"/>
  <c r="I38" i="660" s="1"/>
  <c r="E37" i="660"/>
  <c r="F37" i="660" s="1"/>
  <c r="J37" i="660" s="1"/>
  <c r="E36" i="660"/>
  <c r="I36" i="660" s="1"/>
  <c r="E35" i="660"/>
  <c r="F35" i="660" s="1"/>
  <c r="J35" i="660" s="1"/>
  <c r="E34" i="660"/>
  <c r="I34" i="660" s="1"/>
  <c r="E33" i="660"/>
  <c r="F33" i="660" s="1"/>
  <c r="J33" i="660" s="1"/>
  <c r="E32" i="660"/>
  <c r="I32" i="660" s="1"/>
  <c r="D31" i="660"/>
  <c r="E31" i="660" s="1"/>
  <c r="E30" i="660"/>
  <c r="I30" i="660" s="1"/>
  <c r="E29" i="660"/>
  <c r="E28" i="660"/>
  <c r="I28" i="660" s="1"/>
  <c r="E27" i="660"/>
  <c r="F27" i="660" s="1"/>
  <c r="J27" i="660" s="1"/>
  <c r="E26" i="660"/>
  <c r="I26" i="660" s="1"/>
  <c r="E25" i="660"/>
  <c r="F25" i="660" s="1"/>
  <c r="J25" i="660" s="1"/>
  <c r="E24" i="660"/>
  <c r="I24" i="660" s="1"/>
  <c r="E23" i="660"/>
  <c r="F23" i="660" s="1"/>
  <c r="J23" i="660" s="1"/>
  <c r="E22" i="660"/>
  <c r="I22" i="660" s="1"/>
  <c r="E21" i="660"/>
  <c r="F21" i="660" s="1"/>
  <c r="J21" i="660" s="1"/>
  <c r="E20" i="660"/>
  <c r="I20" i="660" s="1"/>
  <c r="E19" i="660"/>
  <c r="F19" i="660" s="1"/>
  <c r="J19" i="660" s="1"/>
  <c r="E18" i="660"/>
  <c r="I18" i="660" s="1"/>
  <c r="D17" i="660"/>
  <c r="E16" i="660"/>
  <c r="I16" i="660" s="1"/>
  <c r="E15" i="660"/>
  <c r="I15" i="660" s="1"/>
  <c r="E14" i="660"/>
  <c r="I14" i="660" s="1"/>
  <c r="E13" i="660"/>
  <c r="I13" i="660" s="1"/>
  <c r="E12" i="660"/>
  <c r="I12" i="660" s="1"/>
  <c r="D11" i="660"/>
  <c r="E11" i="660" s="1"/>
  <c r="I11" i="660" s="1"/>
  <c r="E10" i="660"/>
  <c r="I10" i="660" s="1"/>
  <c r="E9" i="660"/>
  <c r="I9" i="660" s="1"/>
  <c r="E8" i="660"/>
  <c r="F8" i="660" s="1"/>
  <c r="J8" i="660" s="1"/>
  <c r="E7" i="660"/>
  <c r="F7" i="660" s="1"/>
  <c r="J7" i="660" s="1"/>
  <c r="E6" i="660"/>
  <c r="I6" i="660" s="1"/>
  <c r="E5" i="660"/>
  <c r="I5" i="660" s="1"/>
  <c r="E4" i="660"/>
  <c r="I4" i="660" s="1"/>
  <c r="E3" i="660"/>
  <c r="F3" i="660" s="1"/>
  <c r="J3" i="660" s="1"/>
  <c r="E2" i="660"/>
  <c r="I2" i="660" s="1"/>
  <c r="G63" i="659"/>
  <c r="F63" i="659"/>
  <c r="K62" i="659"/>
  <c r="M62" i="659" s="1"/>
  <c r="J62" i="659"/>
  <c r="L62" i="659" s="1"/>
  <c r="K61" i="659"/>
  <c r="M61" i="659" s="1"/>
  <c r="J61" i="659"/>
  <c r="L61" i="659" s="1"/>
  <c r="K60" i="659"/>
  <c r="M60" i="659" s="1"/>
  <c r="J60" i="659"/>
  <c r="L60" i="659" s="1"/>
  <c r="K59" i="659"/>
  <c r="M59" i="659" s="1"/>
  <c r="J59" i="659"/>
  <c r="L59" i="659" s="1"/>
  <c r="H56" i="659"/>
  <c r="K55" i="659"/>
  <c r="M55" i="659" s="1"/>
  <c r="J55" i="659"/>
  <c r="L55" i="659" s="1"/>
  <c r="P60" i="659" s="1"/>
  <c r="K54" i="659"/>
  <c r="M54" i="659" s="1"/>
  <c r="J54" i="659"/>
  <c r="L54" i="659" s="1"/>
  <c r="D46" i="659"/>
  <c r="E46" i="659" s="1"/>
  <c r="F46" i="659" s="1"/>
  <c r="J46" i="659" s="1"/>
  <c r="E45" i="659"/>
  <c r="I45" i="659" s="1"/>
  <c r="D44" i="659"/>
  <c r="E43" i="659"/>
  <c r="E42" i="659"/>
  <c r="I42" i="659" s="1"/>
  <c r="E41" i="659"/>
  <c r="E40" i="659"/>
  <c r="I40" i="659" s="1"/>
  <c r="E39" i="659"/>
  <c r="E38" i="659"/>
  <c r="I38" i="659" s="1"/>
  <c r="E37" i="659"/>
  <c r="J36" i="659"/>
  <c r="I56" i="659" s="1"/>
  <c r="I36" i="659"/>
  <c r="J35" i="659"/>
  <c r="E35" i="659"/>
  <c r="I35" i="659" s="1"/>
  <c r="D34" i="659"/>
  <c r="E34" i="659" s="1"/>
  <c r="I34" i="659" s="1"/>
  <c r="E33" i="659"/>
  <c r="F33" i="659" s="1"/>
  <c r="J33" i="659" s="1"/>
  <c r="E32" i="659"/>
  <c r="I32" i="659" s="1"/>
  <c r="E31" i="659"/>
  <c r="F31" i="659" s="1"/>
  <c r="J31" i="659" s="1"/>
  <c r="E30" i="659"/>
  <c r="F30" i="659" s="1"/>
  <c r="J30" i="659" s="1"/>
  <c r="E29" i="659"/>
  <c r="I29" i="659" s="1"/>
  <c r="E28" i="659"/>
  <c r="I28" i="659" s="1"/>
  <c r="E27" i="659"/>
  <c r="I27" i="659" s="1"/>
  <c r="E26" i="659"/>
  <c r="I26" i="659" s="1"/>
  <c r="D25" i="659"/>
  <c r="E24" i="659"/>
  <c r="I24" i="659" s="1"/>
  <c r="E23" i="659"/>
  <c r="I23" i="659" s="1"/>
  <c r="E22" i="659"/>
  <c r="I22" i="659" s="1"/>
  <c r="E21" i="659"/>
  <c r="I21" i="659" s="1"/>
  <c r="E20" i="659"/>
  <c r="I20" i="659" s="1"/>
  <c r="E19" i="659"/>
  <c r="I19" i="659" s="1"/>
  <c r="E18" i="659"/>
  <c r="I18" i="659" s="1"/>
  <c r="E17" i="659"/>
  <c r="I17" i="659" s="1"/>
  <c r="E16" i="659"/>
  <c r="F16" i="659" s="1"/>
  <c r="J16" i="659" s="1"/>
  <c r="E15" i="659"/>
  <c r="I15" i="659" s="1"/>
  <c r="E14" i="659"/>
  <c r="I14" i="659" s="1"/>
  <c r="D13" i="659"/>
  <c r="E12" i="659"/>
  <c r="I12" i="659" s="1"/>
  <c r="E11" i="659"/>
  <c r="E10" i="659"/>
  <c r="I10" i="659" s="1"/>
  <c r="D9" i="659"/>
  <c r="E9" i="659" s="1"/>
  <c r="E8" i="659"/>
  <c r="I8" i="659" s="1"/>
  <c r="E7" i="659"/>
  <c r="F7" i="659" s="1"/>
  <c r="J7" i="659" s="1"/>
  <c r="E6" i="659"/>
  <c r="I6" i="659" s="1"/>
  <c r="E5" i="659"/>
  <c r="I5" i="659" s="1"/>
  <c r="E4" i="659"/>
  <c r="I4" i="659" s="1"/>
  <c r="E3" i="659"/>
  <c r="I3" i="659" s="1"/>
  <c r="E2" i="659"/>
  <c r="I2" i="659" s="1"/>
  <c r="N63" i="658"/>
  <c r="M63" i="658"/>
  <c r="H62" i="658"/>
  <c r="G62" i="658"/>
  <c r="N61" i="658"/>
  <c r="M61" i="658"/>
  <c r="L60" i="658"/>
  <c r="N60" i="658" s="1"/>
  <c r="K60" i="658"/>
  <c r="M60" i="658" s="1"/>
  <c r="L59" i="658"/>
  <c r="N59" i="658" s="1"/>
  <c r="K59" i="658"/>
  <c r="M59" i="658" s="1"/>
  <c r="L58" i="658"/>
  <c r="N58" i="658" s="1"/>
  <c r="K58" i="658"/>
  <c r="M58" i="658" s="1"/>
  <c r="L56" i="658"/>
  <c r="N56" i="658" s="1"/>
  <c r="K56" i="658"/>
  <c r="M56" i="658" s="1"/>
  <c r="L55" i="658"/>
  <c r="N55" i="658" s="1"/>
  <c r="K55" i="658"/>
  <c r="M55" i="658" s="1"/>
  <c r="R56" i="658" s="1"/>
  <c r="I55" i="658"/>
  <c r="J56" i="659" s="1"/>
  <c r="L56" i="659" s="1"/>
  <c r="P58" i="659" s="1"/>
  <c r="L54" i="658"/>
  <c r="N54" i="658" s="1"/>
  <c r="K54" i="658"/>
  <c r="M54" i="658" s="1"/>
  <c r="R58" i="658" s="1"/>
  <c r="L53" i="658"/>
  <c r="N53" i="658" s="1"/>
  <c r="K53" i="658"/>
  <c r="M53" i="658" s="1"/>
  <c r="L52" i="658"/>
  <c r="N52" i="658" s="1"/>
  <c r="K52" i="658"/>
  <c r="M52" i="658" s="1"/>
  <c r="R52" i="658" s="1"/>
  <c r="R50" i="658"/>
  <c r="D44" i="658"/>
  <c r="E43" i="658"/>
  <c r="I43" i="658" s="1"/>
  <c r="D42" i="658"/>
  <c r="E41" i="658"/>
  <c r="F41" i="658" s="1"/>
  <c r="J41" i="658" s="1"/>
  <c r="E40" i="658"/>
  <c r="F40" i="658" s="1"/>
  <c r="J40" i="658" s="1"/>
  <c r="E39" i="658"/>
  <c r="F39" i="658" s="1"/>
  <c r="J39" i="658" s="1"/>
  <c r="E38" i="658"/>
  <c r="F38" i="658" s="1"/>
  <c r="J38" i="658" s="1"/>
  <c r="E37" i="658"/>
  <c r="F37" i="658" s="1"/>
  <c r="J37" i="658" s="1"/>
  <c r="E36" i="658"/>
  <c r="I36" i="658" s="1"/>
  <c r="J35" i="658"/>
  <c r="J55" i="658" s="1"/>
  <c r="K56" i="659" s="1"/>
  <c r="M56" i="659" s="1"/>
  <c r="J34" i="658"/>
  <c r="E34" i="658"/>
  <c r="I34" i="658" s="1"/>
  <c r="D33" i="658"/>
  <c r="E32" i="658"/>
  <c r="F32" i="658" s="1"/>
  <c r="J32" i="658" s="1"/>
  <c r="E31" i="658"/>
  <c r="E30" i="658"/>
  <c r="F30" i="658" s="1"/>
  <c r="J30" i="658" s="1"/>
  <c r="E29" i="658"/>
  <c r="E28" i="658"/>
  <c r="F28" i="658" s="1"/>
  <c r="J28" i="658" s="1"/>
  <c r="E27" i="658"/>
  <c r="E26" i="658"/>
  <c r="F26" i="658" s="1"/>
  <c r="J26" i="658" s="1"/>
  <c r="E25" i="658"/>
  <c r="D24" i="658"/>
  <c r="E23" i="658"/>
  <c r="I23" i="658" s="1"/>
  <c r="E22" i="658"/>
  <c r="I22" i="658" s="1"/>
  <c r="E21" i="658"/>
  <c r="I21" i="658" s="1"/>
  <c r="E20" i="658"/>
  <c r="I20" i="658" s="1"/>
  <c r="E19" i="658"/>
  <c r="I19" i="658" s="1"/>
  <c r="E18" i="658"/>
  <c r="F18" i="658" s="1"/>
  <c r="J18" i="658" s="1"/>
  <c r="E17" i="658"/>
  <c r="I17" i="658" s="1"/>
  <c r="E16" i="658"/>
  <c r="I16" i="658" s="1"/>
  <c r="E15" i="658"/>
  <c r="I15" i="658" s="1"/>
  <c r="E14" i="658"/>
  <c r="I14" i="658" s="1"/>
  <c r="D13" i="658"/>
  <c r="E12" i="658"/>
  <c r="F12" i="658" s="1"/>
  <c r="J12" i="658" s="1"/>
  <c r="E11" i="658"/>
  <c r="I11" i="658" s="1"/>
  <c r="E10" i="658"/>
  <c r="I10" i="658" s="1"/>
  <c r="D9" i="658"/>
  <c r="E8" i="658"/>
  <c r="I8" i="658" s="1"/>
  <c r="E7" i="658"/>
  <c r="I7" i="658" s="1"/>
  <c r="E6" i="658"/>
  <c r="F6" i="658" s="1"/>
  <c r="J6" i="658" s="1"/>
  <c r="E5" i="658"/>
  <c r="I5" i="658" s="1"/>
  <c r="E4" i="658"/>
  <c r="I4" i="658" s="1"/>
  <c r="E3" i="658"/>
  <c r="I3" i="658" s="1"/>
  <c r="E2" i="658"/>
  <c r="I2" i="658" s="1"/>
  <c r="H62" i="657"/>
  <c r="G62" i="657"/>
  <c r="L61" i="657"/>
  <c r="N61" i="657" s="1"/>
  <c r="K61" i="657"/>
  <c r="M61" i="657" s="1"/>
  <c r="L60" i="657"/>
  <c r="N60" i="657" s="1"/>
  <c r="K60" i="657"/>
  <c r="M60" i="657" s="1"/>
  <c r="L59" i="657"/>
  <c r="N59" i="657" s="1"/>
  <c r="K59" i="657"/>
  <c r="M59" i="657" s="1"/>
  <c r="L58" i="657"/>
  <c r="N58" i="657" s="1"/>
  <c r="K56" i="657"/>
  <c r="M56" i="657" s="1"/>
  <c r="G72" i="657" s="1"/>
  <c r="L55" i="657"/>
  <c r="N55" i="657" s="1"/>
  <c r="K55" i="657"/>
  <c r="M55" i="657" s="1"/>
  <c r="G74" i="657" s="1"/>
  <c r="L54" i="657"/>
  <c r="N54" i="657" s="1"/>
  <c r="K54" i="657"/>
  <c r="M54" i="657" s="1"/>
  <c r="L53" i="657"/>
  <c r="N53" i="657" s="1"/>
  <c r="K53" i="657"/>
  <c r="M53" i="657" s="1"/>
  <c r="G68" i="657" s="1"/>
  <c r="D44" i="657"/>
  <c r="E44" i="657" s="1"/>
  <c r="F44" i="657" s="1"/>
  <c r="J44" i="657" s="1"/>
  <c r="E43" i="657"/>
  <c r="D42" i="657"/>
  <c r="E42" i="657" s="1"/>
  <c r="I42" i="657" s="1"/>
  <c r="E41" i="657"/>
  <c r="I41" i="657" s="1"/>
  <c r="E40" i="657"/>
  <c r="I40" i="657" s="1"/>
  <c r="E39" i="657"/>
  <c r="I39" i="657" s="1"/>
  <c r="E38" i="657"/>
  <c r="I38" i="657" s="1"/>
  <c r="E37" i="657"/>
  <c r="I37" i="657" s="1"/>
  <c r="J36" i="657"/>
  <c r="I36" i="657"/>
  <c r="J35" i="657"/>
  <c r="E35" i="657"/>
  <c r="I35" i="657" s="1"/>
  <c r="D34" i="657"/>
  <c r="E33" i="657"/>
  <c r="I33" i="657" s="1"/>
  <c r="E32" i="657"/>
  <c r="F32" i="657" s="1"/>
  <c r="J32" i="657" s="1"/>
  <c r="E31" i="657"/>
  <c r="I31" i="657" s="1"/>
  <c r="E30" i="657"/>
  <c r="I30" i="657" s="1"/>
  <c r="E29" i="657"/>
  <c r="I29" i="657" s="1"/>
  <c r="E28" i="657"/>
  <c r="I28" i="657" s="1"/>
  <c r="E27" i="657"/>
  <c r="I27" i="657" s="1"/>
  <c r="E26" i="657"/>
  <c r="I26" i="657" s="1"/>
  <c r="D25" i="657"/>
  <c r="E24" i="657"/>
  <c r="F24" i="657" s="1"/>
  <c r="J24" i="657" s="1"/>
  <c r="E23" i="657"/>
  <c r="E22" i="657"/>
  <c r="I22" i="657" s="1"/>
  <c r="E21" i="657"/>
  <c r="E20" i="657"/>
  <c r="I20" i="657" s="1"/>
  <c r="E19" i="657"/>
  <c r="E18" i="657"/>
  <c r="I18" i="657" s="1"/>
  <c r="E17" i="657"/>
  <c r="E16" i="657"/>
  <c r="I16" i="657" s="1"/>
  <c r="E15" i="657"/>
  <c r="E14" i="657"/>
  <c r="I14" i="657" s="1"/>
  <c r="D13" i="657"/>
  <c r="E13" i="657" s="1"/>
  <c r="E12" i="657"/>
  <c r="I12" i="657" s="1"/>
  <c r="E11" i="657"/>
  <c r="I11" i="657" s="1"/>
  <c r="E10" i="657"/>
  <c r="I10" i="657" s="1"/>
  <c r="D9" i="657"/>
  <c r="E9" i="657" s="1"/>
  <c r="I9" i="657" s="1"/>
  <c r="E8" i="657"/>
  <c r="F8" i="657" s="1"/>
  <c r="J8" i="657" s="1"/>
  <c r="E7" i="657"/>
  <c r="I7" i="657" s="1"/>
  <c r="E6" i="657"/>
  <c r="F6" i="657" s="1"/>
  <c r="J6" i="657" s="1"/>
  <c r="E5" i="657"/>
  <c r="I5" i="657" s="1"/>
  <c r="E4" i="657"/>
  <c r="F4" i="657" s="1"/>
  <c r="J4" i="657" s="1"/>
  <c r="E3" i="657"/>
  <c r="I3" i="657" s="1"/>
  <c r="E2" i="657"/>
  <c r="I2" i="657" s="1"/>
  <c r="K69" i="656"/>
  <c r="J69" i="656"/>
  <c r="G69" i="656"/>
  <c r="F69" i="656"/>
  <c r="M68" i="656"/>
  <c r="L68" i="656"/>
  <c r="M67" i="656"/>
  <c r="L67" i="656"/>
  <c r="M66" i="656"/>
  <c r="L66" i="656"/>
  <c r="M65" i="656"/>
  <c r="L65" i="656"/>
  <c r="M64" i="656"/>
  <c r="L64" i="656"/>
  <c r="M63" i="656"/>
  <c r="L63" i="656"/>
  <c r="F79" i="656" s="1"/>
  <c r="M62" i="656"/>
  <c r="L62" i="656"/>
  <c r="F81" i="656" s="1"/>
  <c r="M61" i="656"/>
  <c r="L61" i="656"/>
  <c r="M60" i="656"/>
  <c r="L60" i="656"/>
  <c r="F75" i="656" s="1"/>
  <c r="D51" i="656"/>
  <c r="E51" i="656" s="1"/>
  <c r="E50" i="656"/>
  <c r="F50" i="656" s="1"/>
  <c r="H65" i="656" s="1"/>
  <c r="K58" i="657" s="1"/>
  <c r="M58" i="657" s="1"/>
  <c r="E49" i="656"/>
  <c r="I49" i="656" s="1"/>
  <c r="D48" i="656"/>
  <c r="E48" i="656" s="1"/>
  <c r="I48" i="656" s="1"/>
  <c r="E47" i="656"/>
  <c r="F47" i="656" s="1"/>
  <c r="J47" i="656" s="1"/>
  <c r="E46" i="656"/>
  <c r="F46" i="656" s="1"/>
  <c r="J46" i="656" s="1"/>
  <c r="E45" i="656"/>
  <c r="F45" i="656" s="1"/>
  <c r="J45" i="656" s="1"/>
  <c r="E44" i="656"/>
  <c r="F44" i="656" s="1"/>
  <c r="J44" i="656" s="1"/>
  <c r="E43" i="656"/>
  <c r="I43" i="656" s="1"/>
  <c r="E42" i="656"/>
  <c r="E41" i="656"/>
  <c r="I41" i="656" s="1"/>
  <c r="E40" i="656"/>
  <c r="F40" i="656" s="1"/>
  <c r="J40" i="656" s="1"/>
  <c r="E39" i="656"/>
  <c r="F39" i="656" s="1"/>
  <c r="J38" i="656"/>
  <c r="I63" i="656" s="1"/>
  <c r="I38" i="656"/>
  <c r="J37" i="656"/>
  <c r="E37" i="656"/>
  <c r="I37" i="656" s="1"/>
  <c r="D36" i="656"/>
  <c r="E36" i="656" s="1"/>
  <c r="E35" i="656"/>
  <c r="F35" i="656" s="1"/>
  <c r="J35" i="656" s="1"/>
  <c r="E34" i="656"/>
  <c r="I34" i="656" s="1"/>
  <c r="E33" i="656"/>
  <c r="I33" i="656" s="1"/>
  <c r="E32" i="656"/>
  <c r="I32" i="656" s="1"/>
  <c r="E31" i="656"/>
  <c r="I31" i="656" s="1"/>
  <c r="E30" i="656"/>
  <c r="I30" i="656" s="1"/>
  <c r="E29" i="656"/>
  <c r="F29" i="656" s="1"/>
  <c r="J29" i="656" s="1"/>
  <c r="E28" i="656"/>
  <c r="I28" i="656" s="1"/>
  <c r="D27" i="656"/>
  <c r="E26" i="656"/>
  <c r="E25" i="656"/>
  <c r="I25" i="656" s="1"/>
  <c r="E24" i="656"/>
  <c r="E23" i="656"/>
  <c r="I23" i="656" s="1"/>
  <c r="E22" i="656"/>
  <c r="E21" i="656"/>
  <c r="I21" i="656" s="1"/>
  <c r="E20" i="656"/>
  <c r="E19" i="656"/>
  <c r="I19" i="656" s="1"/>
  <c r="E18" i="656"/>
  <c r="E17" i="656"/>
  <c r="I17" i="656" s="1"/>
  <c r="E16" i="656"/>
  <c r="E15" i="656"/>
  <c r="F15" i="656" s="1"/>
  <c r="J15" i="656" s="1"/>
  <c r="D14" i="656"/>
  <c r="E14" i="656" s="1"/>
  <c r="E13" i="656"/>
  <c r="F13" i="656" s="1"/>
  <c r="J13" i="656" s="1"/>
  <c r="E12" i="656"/>
  <c r="F12" i="656" s="1"/>
  <c r="J12" i="656" s="1"/>
  <c r="E11" i="656"/>
  <c r="I11" i="656" s="1"/>
  <c r="E10" i="656"/>
  <c r="I10" i="656" s="1"/>
  <c r="G9" i="656"/>
  <c r="D9" i="656"/>
  <c r="E8" i="656"/>
  <c r="F8" i="656" s="1"/>
  <c r="J8" i="656" s="1"/>
  <c r="E7" i="656"/>
  <c r="I7" i="656" s="1"/>
  <c r="E6" i="656"/>
  <c r="I6" i="656" s="1"/>
  <c r="E5" i="656"/>
  <c r="I5" i="656" s="1"/>
  <c r="E4" i="656"/>
  <c r="I4" i="656" s="1"/>
  <c r="E3" i="656"/>
  <c r="I3" i="656" s="1"/>
  <c r="E2" i="656"/>
  <c r="I2" i="656" s="1"/>
  <c r="C34" i="571"/>
  <c r="C33" i="571"/>
  <c r="C32" i="571"/>
  <c r="C30" i="571"/>
  <c r="C26" i="571"/>
  <c r="B34" i="571"/>
  <c r="B33" i="571"/>
  <c r="B32" i="571"/>
  <c r="B30" i="571"/>
  <c r="B26" i="571"/>
  <c r="B19" i="571"/>
  <c r="B6" i="571"/>
  <c r="B5" i="571"/>
  <c r="B4" i="571"/>
  <c r="B3" i="571"/>
  <c r="Z78" i="571"/>
  <c r="F42" i="656" l="1"/>
  <c r="J42" i="656" s="1"/>
  <c r="I42" i="656"/>
  <c r="F29" i="660"/>
  <c r="J29" i="660" s="1"/>
  <c r="I29" i="660"/>
  <c r="I53" i="660"/>
  <c r="F53" i="660"/>
  <c r="J53" i="660" s="1"/>
  <c r="I32" i="658"/>
  <c r="F10" i="656"/>
  <c r="J10" i="656" s="1"/>
  <c r="I23" i="660"/>
  <c r="I58" i="660"/>
  <c r="F41" i="656"/>
  <c r="J41" i="656" s="1"/>
  <c r="F26" i="659"/>
  <c r="J26" i="659" s="1"/>
  <c r="P62" i="659"/>
  <c r="F2" i="660"/>
  <c r="J2" i="660" s="1"/>
  <c r="I3" i="660"/>
  <c r="F61" i="660"/>
  <c r="J61" i="660" s="1"/>
  <c r="I45" i="656"/>
  <c r="F85" i="656"/>
  <c r="G76" i="657"/>
  <c r="F21" i="658"/>
  <c r="J21" i="658" s="1"/>
  <c r="I44" i="656"/>
  <c r="F8" i="658"/>
  <c r="J8" i="658" s="1"/>
  <c r="I40" i="658"/>
  <c r="F3" i="659"/>
  <c r="J3" i="659" s="1"/>
  <c r="I37" i="660"/>
  <c r="I60" i="660"/>
  <c r="I12" i="658"/>
  <c r="I33" i="659"/>
  <c r="I25" i="660"/>
  <c r="F49" i="656"/>
  <c r="J49" i="656" s="1"/>
  <c r="I49" i="660"/>
  <c r="F83" i="656"/>
  <c r="F18" i="659"/>
  <c r="J18" i="659" s="1"/>
  <c r="I30" i="659"/>
  <c r="I7" i="660"/>
  <c r="F52" i="660"/>
  <c r="J52" i="660" s="1"/>
  <c r="I57" i="660"/>
  <c r="I7" i="659"/>
  <c r="F2" i="656"/>
  <c r="J2" i="656" s="1"/>
  <c r="I37" i="658"/>
  <c r="F7" i="657"/>
  <c r="J7" i="657" s="1"/>
  <c r="F6" i="659"/>
  <c r="J6" i="659" s="1"/>
  <c r="I8" i="660"/>
  <c r="I35" i="660"/>
  <c r="I79" i="660"/>
  <c r="I81" i="660" s="1"/>
  <c r="I82" i="660" s="1"/>
  <c r="F3" i="656"/>
  <c r="J3" i="656" s="1"/>
  <c r="E9" i="656"/>
  <c r="I9" i="656" s="1"/>
  <c r="I12" i="656"/>
  <c r="I32" i="657"/>
  <c r="I6" i="658"/>
  <c r="F20" i="658"/>
  <c r="J20" i="658" s="1"/>
  <c r="I38" i="658"/>
  <c r="I31" i="659"/>
  <c r="I21" i="660"/>
  <c r="F77" i="656"/>
  <c r="F11" i="658"/>
  <c r="J11" i="658" s="1"/>
  <c r="F4" i="659"/>
  <c r="J4" i="659" s="1"/>
  <c r="I16" i="659"/>
  <c r="F10" i="660"/>
  <c r="J10" i="660" s="1"/>
  <c r="I27" i="660"/>
  <c r="I33" i="660"/>
  <c r="I50" i="660"/>
  <c r="I15" i="656"/>
  <c r="I29" i="656"/>
  <c r="B35" i="571"/>
  <c r="I13" i="656"/>
  <c r="F2" i="658"/>
  <c r="J2" i="658" s="1"/>
  <c r="F17" i="658"/>
  <c r="J17" i="658" s="1"/>
  <c r="R62" i="658"/>
  <c r="D63" i="660"/>
  <c r="E63" i="660" s="1"/>
  <c r="I39" i="660"/>
  <c r="I18" i="658"/>
  <c r="I19" i="660"/>
  <c r="R60" i="658"/>
  <c r="F41" i="660"/>
  <c r="J41" i="660" s="1"/>
  <c r="I41" i="660"/>
  <c r="I14" i="656"/>
  <c r="F14" i="656"/>
  <c r="G14" i="656" s="1"/>
  <c r="F31" i="660"/>
  <c r="J31" i="660" s="1"/>
  <c r="I31" i="660"/>
  <c r="I62" i="660"/>
  <c r="F62" i="660"/>
  <c r="J62" i="660" s="1"/>
  <c r="F7" i="656"/>
  <c r="J7" i="656" s="1"/>
  <c r="F25" i="656"/>
  <c r="J25" i="656" s="1"/>
  <c r="F28" i="656"/>
  <c r="J28" i="656" s="1"/>
  <c r="F31" i="656"/>
  <c r="J31" i="656" s="1"/>
  <c r="F34" i="656"/>
  <c r="J34" i="656" s="1"/>
  <c r="F12" i="657"/>
  <c r="J12" i="657" s="1"/>
  <c r="F15" i="658"/>
  <c r="J15" i="658" s="1"/>
  <c r="F23" i="658"/>
  <c r="J23" i="658" s="1"/>
  <c r="I28" i="658"/>
  <c r="L34" i="658"/>
  <c r="F22" i="659"/>
  <c r="J22" i="659" s="1"/>
  <c r="F28" i="659"/>
  <c r="J28" i="659" s="1"/>
  <c r="F5" i="660"/>
  <c r="J5" i="660" s="1"/>
  <c r="F13" i="660"/>
  <c r="J13" i="660" s="1"/>
  <c r="F15" i="660"/>
  <c r="J15" i="660" s="1"/>
  <c r="E17" i="660"/>
  <c r="I17" i="660" s="1"/>
  <c r="F47" i="660"/>
  <c r="J47" i="660" s="1"/>
  <c r="F55" i="660"/>
  <c r="J55" i="660" s="1"/>
  <c r="F5" i="656"/>
  <c r="J5" i="656" s="1"/>
  <c r="F38" i="657"/>
  <c r="J38" i="657" s="1"/>
  <c r="I41" i="658"/>
  <c r="M69" i="656"/>
  <c r="F32" i="656"/>
  <c r="J32" i="656" s="1"/>
  <c r="I4" i="657"/>
  <c r="F30" i="657"/>
  <c r="J30" i="657" s="1"/>
  <c r="F10" i="658"/>
  <c r="J10" i="658" s="1"/>
  <c r="F16" i="658"/>
  <c r="J16" i="658" s="1"/>
  <c r="I30" i="658"/>
  <c r="F20" i="659"/>
  <c r="J20" i="659" s="1"/>
  <c r="F29" i="659"/>
  <c r="J29" i="659" s="1"/>
  <c r="F6" i="660"/>
  <c r="J6" i="660" s="1"/>
  <c r="F48" i="660"/>
  <c r="J48" i="660" s="1"/>
  <c r="F56" i="660"/>
  <c r="J56" i="660" s="1"/>
  <c r="F39" i="657"/>
  <c r="J39" i="657" s="1"/>
  <c r="F6" i="656"/>
  <c r="J6" i="656" s="1"/>
  <c r="I8" i="656"/>
  <c r="I50" i="656"/>
  <c r="F4" i="658"/>
  <c r="J4" i="658" s="1"/>
  <c r="F19" i="658"/>
  <c r="J19" i="658" s="1"/>
  <c r="F36" i="658"/>
  <c r="J36" i="658" s="1"/>
  <c r="J56" i="658" s="1"/>
  <c r="K57" i="659" s="1"/>
  <c r="M57" i="659" s="1"/>
  <c r="I39" i="658"/>
  <c r="F43" i="658"/>
  <c r="J43" i="658" s="1"/>
  <c r="J57" i="658" s="1"/>
  <c r="K58" i="659" s="1"/>
  <c r="M58" i="659" s="1"/>
  <c r="F5" i="659"/>
  <c r="J5" i="659" s="1"/>
  <c r="F8" i="659"/>
  <c r="J8" i="659" s="1"/>
  <c r="F14" i="659"/>
  <c r="J14" i="659" s="1"/>
  <c r="F32" i="659"/>
  <c r="J32" i="659" s="1"/>
  <c r="F9" i="660"/>
  <c r="J9" i="660" s="1"/>
  <c r="F12" i="660"/>
  <c r="J12" i="660" s="1"/>
  <c r="F14" i="660"/>
  <c r="J14" i="660" s="1"/>
  <c r="F16" i="660"/>
  <c r="J16" i="660" s="1"/>
  <c r="F51" i="660"/>
  <c r="J51" i="660" s="1"/>
  <c r="F23" i="656"/>
  <c r="J23" i="656" s="1"/>
  <c r="I35" i="656"/>
  <c r="F43" i="656"/>
  <c r="J43" i="656" s="1"/>
  <c r="F4" i="656"/>
  <c r="J4" i="656" s="1"/>
  <c r="F19" i="656"/>
  <c r="J19" i="656" s="1"/>
  <c r="E27" i="656"/>
  <c r="I27" i="656" s="1"/>
  <c r="F30" i="656"/>
  <c r="J30" i="656" s="1"/>
  <c r="F33" i="656"/>
  <c r="J33" i="656" s="1"/>
  <c r="I40" i="656"/>
  <c r="I46" i="656"/>
  <c r="F10" i="657"/>
  <c r="J10" i="657" s="1"/>
  <c r="F14" i="658"/>
  <c r="J14" i="658" s="1"/>
  <c r="F22" i="658"/>
  <c r="J22" i="658" s="1"/>
  <c r="I26" i="658"/>
  <c r="F2" i="659"/>
  <c r="F24" i="659"/>
  <c r="J24" i="659" s="1"/>
  <c r="F27" i="659"/>
  <c r="J27" i="659" s="1"/>
  <c r="F4" i="660"/>
  <c r="J4" i="660" s="1"/>
  <c r="F18" i="660"/>
  <c r="J18" i="660" s="1"/>
  <c r="F20" i="660"/>
  <c r="J20" i="660" s="1"/>
  <c r="F22" i="660"/>
  <c r="J22" i="660" s="1"/>
  <c r="F24" i="660"/>
  <c r="J24" i="660" s="1"/>
  <c r="F26" i="660"/>
  <c r="J26" i="660" s="1"/>
  <c r="F28" i="660"/>
  <c r="J28" i="660" s="1"/>
  <c r="F30" i="660"/>
  <c r="J30" i="660" s="1"/>
  <c r="F32" i="660"/>
  <c r="J32" i="660" s="1"/>
  <c r="F34" i="660"/>
  <c r="J34" i="660" s="1"/>
  <c r="F36" i="660"/>
  <c r="J36" i="660" s="1"/>
  <c r="F38" i="660"/>
  <c r="J38" i="660" s="1"/>
  <c r="F40" i="660"/>
  <c r="J40" i="660" s="1"/>
  <c r="F42" i="660"/>
  <c r="J42" i="660" s="1"/>
  <c r="F54" i="660"/>
  <c r="J54" i="660" s="1"/>
  <c r="D52" i="656"/>
  <c r="E52" i="656" s="1"/>
  <c r="F52" i="656" s="1"/>
  <c r="F63" i="660"/>
  <c r="F11" i="660"/>
  <c r="J11" i="660" s="1"/>
  <c r="F59" i="660"/>
  <c r="J59" i="660" s="1"/>
  <c r="I6" i="657"/>
  <c r="F42" i="657"/>
  <c r="J42" i="657" s="1"/>
  <c r="F11" i="657"/>
  <c r="J11" i="657" s="1"/>
  <c r="E34" i="657"/>
  <c r="I34" i="657" s="1"/>
  <c r="F37" i="657"/>
  <c r="J37" i="657" s="1"/>
  <c r="F2" i="657"/>
  <c r="J2" i="657" s="1"/>
  <c r="F5" i="657"/>
  <c r="J5" i="657" s="1"/>
  <c r="I8" i="657"/>
  <c r="I24" i="657"/>
  <c r="F28" i="657"/>
  <c r="J28" i="657" s="1"/>
  <c r="F40" i="657"/>
  <c r="J40" i="657" s="1"/>
  <c r="D45" i="657"/>
  <c r="E45" i="657" s="1"/>
  <c r="F45" i="657" s="1"/>
  <c r="F3" i="657"/>
  <c r="J3" i="657" s="1"/>
  <c r="F9" i="657"/>
  <c r="J9" i="657" s="1"/>
  <c r="F26" i="657"/>
  <c r="J26" i="657" s="1"/>
  <c r="F41" i="657"/>
  <c r="J41" i="657" s="1"/>
  <c r="H64" i="656"/>
  <c r="J39" i="656"/>
  <c r="I18" i="656"/>
  <c r="F18" i="656"/>
  <c r="J18" i="656" s="1"/>
  <c r="L56" i="657"/>
  <c r="N56" i="657" s="1"/>
  <c r="F21" i="656"/>
  <c r="J21" i="656" s="1"/>
  <c r="I44" i="657"/>
  <c r="G70" i="657"/>
  <c r="I11" i="659"/>
  <c r="F11" i="659"/>
  <c r="J11" i="659" s="1"/>
  <c r="I41" i="659"/>
  <c r="F41" i="659"/>
  <c r="J41" i="659" s="1"/>
  <c r="I16" i="656"/>
  <c r="F16" i="656"/>
  <c r="J16" i="656" s="1"/>
  <c r="I24" i="656"/>
  <c r="F24" i="656"/>
  <c r="J24" i="656" s="1"/>
  <c r="I36" i="656"/>
  <c r="I39" i="656"/>
  <c r="I47" i="656"/>
  <c r="L69" i="656"/>
  <c r="L71" i="656" s="1"/>
  <c r="L72" i="656" s="1"/>
  <c r="I17" i="657"/>
  <c r="F17" i="657"/>
  <c r="J17" i="657" s="1"/>
  <c r="J50" i="656"/>
  <c r="I23" i="657"/>
  <c r="F23" i="657"/>
  <c r="J23" i="657" s="1"/>
  <c r="I27" i="658"/>
  <c r="F27" i="658"/>
  <c r="J27" i="658" s="1"/>
  <c r="I31" i="658"/>
  <c r="F31" i="658"/>
  <c r="J31" i="658" s="1"/>
  <c r="I37" i="659"/>
  <c r="F37" i="659"/>
  <c r="I22" i="656"/>
  <c r="F22" i="656"/>
  <c r="J22" i="656" s="1"/>
  <c r="F48" i="656"/>
  <c r="G48" i="656" s="1"/>
  <c r="F51" i="656"/>
  <c r="G51" i="656" s="1"/>
  <c r="I13" i="657"/>
  <c r="F13" i="657"/>
  <c r="J13" i="657" s="1"/>
  <c r="D47" i="659"/>
  <c r="E13" i="659"/>
  <c r="I13" i="659" s="1"/>
  <c r="I43" i="659"/>
  <c r="F43" i="659"/>
  <c r="J43" i="659" s="1"/>
  <c r="F11" i="656"/>
  <c r="J11" i="656" s="1"/>
  <c r="J14" i="656" s="1"/>
  <c r="I21" i="657"/>
  <c r="F21" i="657"/>
  <c r="J21" i="657" s="1"/>
  <c r="D45" i="658"/>
  <c r="F34" i="659"/>
  <c r="J34" i="659" s="1"/>
  <c r="I26" i="656"/>
  <c r="F26" i="656"/>
  <c r="J26" i="656" s="1"/>
  <c r="F17" i="656"/>
  <c r="J17" i="656" s="1"/>
  <c r="I51" i="656"/>
  <c r="I19" i="657"/>
  <c r="F19" i="657"/>
  <c r="J19" i="657" s="1"/>
  <c r="I20" i="656"/>
  <c r="F20" i="656"/>
  <c r="J20" i="656" s="1"/>
  <c r="I9" i="659"/>
  <c r="F9" i="659"/>
  <c r="J9" i="659" s="1"/>
  <c r="I39" i="659"/>
  <c r="F39" i="659"/>
  <c r="J39" i="659" s="1"/>
  <c r="F36" i="656"/>
  <c r="G36" i="656" s="1"/>
  <c r="I15" i="657"/>
  <c r="F15" i="657"/>
  <c r="J15" i="657" s="1"/>
  <c r="E25" i="657"/>
  <c r="I25" i="657" s="1"/>
  <c r="I43" i="657"/>
  <c r="F43" i="657"/>
  <c r="I25" i="658"/>
  <c r="F25" i="658"/>
  <c r="J25" i="658" s="1"/>
  <c r="I29" i="658"/>
  <c r="F29" i="658"/>
  <c r="J29" i="658" s="1"/>
  <c r="F27" i="657"/>
  <c r="J27" i="657" s="1"/>
  <c r="F29" i="657"/>
  <c r="J29" i="657" s="1"/>
  <c r="F31" i="657"/>
  <c r="J31" i="657" s="1"/>
  <c r="F33" i="657"/>
  <c r="J33" i="657" s="1"/>
  <c r="F3" i="658"/>
  <c r="J3" i="658" s="1"/>
  <c r="F5" i="658"/>
  <c r="J5" i="658" s="1"/>
  <c r="F7" i="658"/>
  <c r="J7" i="658" s="1"/>
  <c r="F15" i="659"/>
  <c r="J15" i="659" s="1"/>
  <c r="F17" i="659"/>
  <c r="J17" i="659" s="1"/>
  <c r="F19" i="659"/>
  <c r="J19" i="659" s="1"/>
  <c r="F21" i="659"/>
  <c r="J21" i="659" s="1"/>
  <c r="F23" i="659"/>
  <c r="J23" i="659" s="1"/>
  <c r="E25" i="659"/>
  <c r="I25" i="659" s="1"/>
  <c r="F45" i="659"/>
  <c r="F14" i="657"/>
  <c r="J14" i="657" s="1"/>
  <c r="F16" i="657"/>
  <c r="J16" i="657" s="1"/>
  <c r="F18" i="657"/>
  <c r="J18" i="657" s="1"/>
  <c r="F20" i="657"/>
  <c r="J20" i="657" s="1"/>
  <c r="F22" i="657"/>
  <c r="J22" i="657" s="1"/>
  <c r="F10" i="659"/>
  <c r="J10" i="659" s="1"/>
  <c r="F12" i="659"/>
  <c r="J12" i="659" s="1"/>
  <c r="F38" i="659"/>
  <c r="J38" i="659" s="1"/>
  <c r="F40" i="659"/>
  <c r="J40" i="659" s="1"/>
  <c r="F42" i="659"/>
  <c r="J42" i="659" s="1"/>
  <c r="E44" i="659"/>
  <c r="I44" i="659" s="1"/>
  <c r="B7" i="571"/>
  <c r="J51" i="656" l="1"/>
  <c r="F87" i="656"/>
  <c r="H53" i="659"/>
  <c r="J2" i="659"/>
  <c r="I53" i="659" s="1"/>
  <c r="I57" i="658"/>
  <c r="J58" i="659" s="1"/>
  <c r="L58" i="659" s="1"/>
  <c r="P56" i="659" s="1"/>
  <c r="G63" i="660"/>
  <c r="J9" i="656"/>
  <c r="I63" i="660"/>
  <c r="J27" i="656"/>
  <c r="J36" i="656"/>
  <c r="I45" i="658"/>
  <c r="F9" i="656"/>
  <c r="I47" i="659"/>
  <c r="I52" i="656"/>
  <c r="I56" i="658"/>
  <c r="J57" i="659" s="1"/>
  <c r="L57" i="659" s="1"/>
  <c r="P64" i="659" s="1"/>
  <c r="F17" i="660"/>
  <c r="J17" i="660" s="1"/>
  <c r="J63" i="660" s="1"/>
  <c r="F27" i="656"/>
  <c r="G27" i="656" s="1"/>
  <c r="F25" i="657"/>
  <c r="J25" i="657" s="1"/>
  <c r="I45" i="657"/>
  <c r="F34" i="657"/>
  <c r="J34" i="657" s="1"/>
  <c r="F13" i="659"/>
  <c r="J13" i="659" s="1"/>
  <c r="J45" i="658"/>
  <c r="I52" i="658"/>
  <c r="F25" i="659"/>
  <c r="J25" i="659" s="1"/>
  <c r="E45" i="658"/>
  <c r="F45" i="658" s="1"/>
  <c r="J52" i="658"/>
  <c r="J43" i="657"/>
  <c r="J58" i="657" s="1"/>
  <c r="I58" i="657"/>
  <c r="F44" i="659"/>
  <c r="J44" i="659" s="1"/>
  <c r="H57" i="659"/>
  <c r="J37" i="659"/>
  <c r="I57" i="659" s="1"/>
  <c r="I64" i="656"/>
  <c r="J48" i="656"/>
  <c r="J45" i="659"/>
  <c r="I58" i="659" s="1"/>
  <c r="H58" i="659"/>
  <c r="E47" i="659"/>
  <c r="F47" i="659" s="1"/>
  <c r="K57" i="657"/>
  <c r="M57" i="657" s="1"/>
  <c r="G78" i="657" s="1"/>
  <c r="G80" i="657" s="1"/>
  <c r="G82" i="657" s="1"/>
  <c r="G83" i="657" s="1"/>
  <c r="H69" i="656"/>
  <c r="K62" i="657" s="1"/>
  <c r="M62" i="657" s="1"/>
  <c r="J52" i="656" l="1"/>
  <c r="H63" i="659"/>
  <c r="J47" i="659"/>
  <c r="I62" i="658"/>
  <c r="J63" i="659" s="1"/>
  <c r="L63" i="659" s="1"/>
  <c r="L65" i="659" s="1"/>
  <c r="L66" i="659" s="1"/>
  <c r="J53" i="659"/>
  <c r="L53" i="659" s="1"/>
  <c r="P54" i="659" s="1"/>
  <c r="P65" i="659" s="1"/>
  <c r="L57" i="658"/>
  <c r="J62" i="657"/>
  <c r="I63" i="659"/>
  <c r="I62" i="657"/>
  <c r="K57" i="658"/>
  <c r="L57" i="657"/>
  <c r="N57" i="657" s="1"/>
  <c r="I69" i="656"/>
  <c r="L62" i="657" s="1"/>
  <c r="N62" i="657" s="1"/>
  <c r="K53" i="659"/>
  <c r="M53" i="659" s="1"/>
  <c r="J62" i="658"/>
  <c r="K63" i="659" s="1"/>
  <c r="M63" i="659" s="1"/>
  <c r="J45" i="657"/>
  <c r="M57" i="658" l="1"/>
  <c r="R54" i="658" s="1"/>
  <c r="R63" i="658" s="1"/>
  <c r="K62" i="658"/>
  <c r="M62" i="658" s="1"/>
  <c r="M64" i="658" s="1"/>
  <c r="M65" i="658" s="1"/>
  <c r="N57" i="658"/>
  <c r="L62" i="658"/>
  <c r="N62" i="658" s="1"/>
  <c r="I26" i="571" l="1"/>
  <c r="I24" i="571"/>
  <c r="I23" i="571"/>
  <c r="J20" i="571" s="1"/>
  <c r="H26" i="571"/>
  <c r="H25" i="571"/>
  <c r="H24" i="571"/>
  <c r="H23" i="571"/>
  <c r="H20" i="571" s="1"/>
  <c r="J42" i="571" s="1"/>
  <c r="R48" i="8"/>
  <c r="Q48" i="8"/>
  <c r="P48" i="8"/>
  <c r="O48" i="8"/>
  <c r="M48" i="8"/>
  <c r="L48" i="8"/>
  <c r="K48" i="8"/>
  <c r="J48" i="8"/>
  <c r="H48" i="8"/>
  <c r="G48" i="8"/>
  <c r="F48" i="8"/>
  <c r="E48" i="8"/>
  <c r="C48" i="8"/>
  <c r="R47" i="8"/>
  <c r="R51" i="8" s="1"/>
  <c r="Q47" i="8"/>
  <c r="Q52" i="8" s="1"/>
  <c r="O47" i="8"/>
  <c r="O52" i="8" s="1"/>
  <c r="M47" i="8"/>
  <c r="M52" i="8" s="1"/>
  <c r="L47" i="8"/>
  <c r="L52" i="8" s="1"/>
  <c r="H47" i="8"/>
  <c r="H51" i="8" s="1"/>
  <c r="G47" i="8"/>
  <c r="G51" i="8" s="1"/>
  <c r="C47" i="8"/>
  <c r="C52" i="8" s="1"/>
  <c r="R46" i="8"/>
  <c r="Q46" i="8"/>
  <c r="P46" i="8"/>
  <c r="O46" i="8"/>
  <c r="M46" i="8"/>
  <c r="L46" i="8"/>
  <c r="K46" i="8"/>
  <c r="J46" i="8"/>
  <c r="H46" i="8"/>
  <c r="G46" i="8"/>
  <c r="F46" i="8"/>
  <c r="E46" i="8"/>
  <c r="C46" i="8"/>
  <c r="R45" i="8"/>
  <c r="Q45" i="8"/>
  <c r="P45" i="8"/>
  <c r="O45" i="8"/>
  <c r="M45" i="8"/>
  <c r="L45" i="8"/>
  <c r="K45" i="8"/>
  <c r="J45" i="8"/>
  <c r="H45" i="8"/>
  <c r="G45" i="8"/>
  <c r="F45" i="8"/>
  <c r="E45" i="8"/>
  <c r="C45" i="8"/>
  <c r="R41" i="8"/>
  <c r="Q41" i="8"/>
  <c r="P41" i="8"/>
  <c r="O41" i="8"/>
  <c r="M41" i="8"/>
  <c r="L41" i="8"/>
  <c r="K41" i="8"/>
  <c r="J41" i="8"/>
  <c r="G41" i="8"/>
  <c r="F41" i="8"/>
  <c r="E41" i="8"/>
  <c r="C41" i="8"/>
  <c r="R40" i="8"/>
  <c r="Q40" i="8"/>
  <c r="M40" i="8"/>
  <c r="L40" i="8"/>
  <c r="G40" i="8"/>
  <c r="C40" i="8"/>
  <c r="N37" i="8"/>
  <c r="N46" i="8" s="1"/>
  <c r="N36" i="8"/>
  <c r="N48" i="8" s="1"/>
  <c r="N34" i="8"/>
  <c r="N33" i="8"/>
  <c r="N32" i="8"/>
  <c r="N31" i="8"/>
  <c r="N30" i="8"/>
  <c r="N29" i="8"/>
  <c r="N28" i="8"/>
  <c r="N27" i="8"/>
  <c r="N26" i="8"/>
  <c r="N25" i="8"/>
  <c r="N24" i="8"/>
  <c r="N23" i="8"/>
  <c r="N22" i="8"/>
  <c r="N21" i="8"/>
  <c r="N20" i="8"/>
  <c r="N19" i="8"/>
  <c r="N18" i="8"/>
  <c r="I37" i="8"/>
  <c r="C10" i="571" s="1"/>
  <c r="I36" i="8"/>
  <c r="C12" i="571" s="1"/>
  <c r="I34" i="8"/>
  <c r="I33" i="8"/>
  <c r="I32" i="8"/>
  <c r="I31" i="8"/>
  <c r="I30" i="8"/>
  <c r="I29" i="8"/>
  <c r="I28" i="8"/>
  <c r="I27" i="8"/>
  <c r="I26" i="8"/>
  <c r="I25" i="8"/>
  <c r="I24" i="8"/>
  <c r="I23" i="8"/>
  <c r="I22" i="8"/>
  <c r="I21" i="8"/>
  <c r="I20" i="8"/>
  <c r="I19" i="8"/>
  <c r="I18" i="8"/>
  <c r="D37" i="8"/>
  <c r="B10" i="571" s="1"/>
  <c r="D36" i="8"/>
  <c r="B12" i="571" s="1"/>
  <c r="B40" i="571" s="1"/>
  <c r="C6" i="571" s="1"/>
  <c r="F35" i="8"/>
  <c r="B25" i="571" s="1"/>
  <c r="E35" i="8"/>
  <c r="B18" i="571" s="1"/>
  <c r="B20" i="571" s="1"/>
  <c r="D34" i="8"/>
  <c r="D33" i="8"/>
  <c r="D32" i="8"/>
  <c r="D31" i="8"/>
  <c r="D30" i="8"/>
  <c r="D29" i="8"/>
  <c r="D28" i="8"/>
  <c r="D27" i="8"/>
  <c r="D26" i="8"/>
  <c r="D25" i="8"/>
  <c r="D24" i="8"/>
  <c r="D23" i="8"/>
  <c r="D22" i="8"/>
  <c r="D21" i="8"/>
  <c r="D20" i="8"/>
  <c r="D19" i="8"/>
  <c r="D18" i="8"/>
  <c r="P9" i="8"/>
  <c r="J15" i="8"/>
  <c r="J35" i="8" s="1"/>
  <c r="K9" i="8"/>
  <c r="K15" i="8" s="1"/>
  <c r="K35" i="8" s="1"/>
  <c r="K47" i="8" s="1"/>
  <c r="AN131" i="645"/>
  <c r="AP131" i="645"/>
  <c r="AR131" i="645"/>
  <c r="AT131" i="645"/>
  <c r="AI129" i="645"/>
  <c r="AU128" i="645"/>
  <c r="AS128" i="645"/>
  <c r="AQ128" i="645"/>
  <c r="AO128" i="645"/>
  <c r="AM128" i="645"/>
  <c r="AI128" i="645"/>
  <c r="AI127" i="645"/>
  <c r="AI126" i="645"/>
  <c r="AI124" i="645"/>
  <c r="AU123" i="645"/>
  <c r="AS123" i="645"/>
  <c r="AQ123" i="645"/>
  <c r="AO123" i="645"/>
  <c r="AM123" i="645"/>
  <c r="AI123" i="645"/>
  <c r="AU118" i="645"/>
  <c r="AS118" i="645"/>
  <c r="AQ118" i="645"/>
  <c r="AO118" i="645"/>
  <c r="AM118" i="645"/>
  <c r="AU116" i="645"/>
  <c r="AS116" i="645"/>
  <c r="AQ116" i="645"/>
  <c r="AO116" i="645"/>
  <c r="AM116" i="645"/>
  <c r="AU115" i="645"/>
  <c r="AS115" i="645"/>
  <c r="AQ115" i="645"/>
  <c r="AO115" i="645"/>
  <c r="AM115" i="645"/>
  <c r="AU114" i="645"/>
  <c r="AS114" i="645"/>
  <c r="AQ114" i="645"/>
  <c r="AO114" i="645"/>
  <c r="AM114" i="645"/>
  <c r="AU113" i="645"/>
  <c r="AS113" i="645"/>
  <c r="AQ113" i="645"/>
  <c r="AO113" i="645"/>
  <c r="AM113" i="645"/>
  <c r="AK113" i="645"/>
  <c r="AK119" i="645" s="1"/>
  <c r="AI113" i="645"/>
  <c r="AI119" i="645" s="1"/>
  <c r="AU111" i="645"/>
  <c r="AS111" i="645"/>
  <c r="AQ111" i="645"/>
  <c r="AO111" i="645"/>
  <c r="AM111" i="645"/>
  <c r="AT119" i="645"/>
  <c r="AR119" i="645"/>
  <c r="AP119" i="645"/>
  <c r="AN119" i="645"/>
  <c r="AL119" i="645"/>
  <c r="AJ119" i="645"/>
  <c r="AU104" i="645"/>
  <c r="AS104" i="645"/>
  <c r="AQ104" i="645"/>
  <c r="AO104" i="645"/>
  <c r="AM104" i="645"/>
  <c r="AK101" i="645"/>
  <c r="AI101" i="645"/>
  <c r="AU99" i="645"/>
  <c r="AS99" i="645"/>
  <c r="AQ99" i="645"/>
  <c r="AO99" i="645"/>
  <c r="AM99" i="645"/>
  <c r="AU92" i="645"/>
  <c r="AS92" i="645"/>
  <c r="AQ92" i="645"/>
  <c r="AO92" i="645"/>
  <c r="AM92" i="645"/>
  <c r="AK89" i="645"/>
  <c r="AI89" i="645"/>
  <c r="AU87" i="645"/>
  <c r="AS87" i="645"/>
  <c r="AQ87" i="645"/>
  <c r="AO87" i="645"/>
  <c r="AM87" i="645"/>
  <c r="AN107" i="645"/>
  <c r="AP107" i="645"/>
  <c r="AR107" i="645"/>
  <c r="AT107" i="645"/>
  <c r="AN95" i="645"/>
  <c r="AP95" i="645"/>
  <c r="AR95" i="645"/>
  <c r="AT95" i="645"/>
  <c r="AN83" i="645"/>
  <c r="AP83" i="645"/>
  <c r="AR83" i="645"/>
  <c r="AT83" i="645"/>
  <c r="AK82" i="645"/>
  <c r="AI82" i="645"/>
  <c r="AU81" i="645"/>
  <c r="AS81" i="645"/>
  <c r="AQ81" i="645"/>
  <c r="AO81" i="645"/>
  <c r="AM81" i="645"/>
  <c r="AK81" i="645"/>
  <c r="AK80" i="645"/>
  <c r="AK79" i="645"/>
  <c r="AK78" i="645"/>
  <c r="AK76" i="645"/>
  <c r="AK75" i="645"/>
  <c r="AL83" i="645"/>
  <c r="AS80" i="645" l="1"/>
  <c r="AQ80" i="645"/>
  <c r="AI125" i="645"/>
  <c r="B9" i="571"/>
  <c r="R52" i="8"/>
  <c r="AM75" i="645"/>
  <c r="N45" i="8"/>
  <c r="AO75" i="645"/>
  <c r="K40" i="8"/>
  <c r="F40" i="8"/>
  <c r="I45" i="8"/>
  <c r="C51" i="8"/>
  <c r="X78" i="571"/>
  <c r="C18" i="571"/>
  <c r="I35" i="8"/>
  <c r="I2" i="149" s="1"/>
  <c r="I3" i="149" s="1"/>
  <c r="I4" i="149" s="1"/>
  <c r="D14" i="149" s="1"/>
  <c r="J47" i="8"/>
  <c r="K52" i="8"/>
  <c r="K51" i="8"/>
  <c r="I44" i="8"/>
  <c r="I46" i="8"/>
  <c r="H52" i="8"/>
  <c r="D35" i="8"/>
  <c r="D41" i="8"/>
  <c r="N44" i="8"/>
  <c r="D48" i="8"/>
  <c r="L51" i="8"/>
  <c r="G52" i="8"/>
  <c r="C40" i="571"/>
  <c r="C9" i="571"/>
  <c r="J40" i="8"/>
  <c r="M51" i="8"/>
  <c r="I48" i="8"/>
  <c r="AI83" i="645"/>
  <c r="D32" i="645"/>
  <c r="AS75" i="645"/>
  <c r="E51" i="645"/>
  <c r="AM80" i="645"/>
  <c r="AI130" i="645"/>
  <c r="D45" i="8"/>
  <c r="D46" i="8"/>
  <c r="C25" i="571"/>
  <c r="C27" i="571" s="1"/>
  <c r="X77" i="571"/>
  <c r="E47" i="8"/>
  <c r="AK77" i="645"/>
  <c r="AK83" i="645" s="1"/>
  <c r="E63" i="645"/>
  <c r="E40" i="8"/>
  <c r="F47" i="8"/>
  <c r="O51" i="8"/>
  <c r="Q51" i="8"/>
  <c r="AU75" i="645"/>
  <c r="AQ75" i="645"/>
  <c r="AO80" i="645"/>
  <c r="AU80" i="645"/>
  <c r="F51" i="8" l="1"/>
  <c r="F52" i="8"/>
  <c r="B8" i="562"/>
  <c r="C11" i="571"/>
  <c r="I47" i="8"/>
  <c r="J52" i="8"/>
  <c r="J51" i="8"/>
  <c r="E52" i="8"/>
  <c r="E51" i="8"/>
  <c r="B11" i="571"/>
  <c r="B13" i="571" s="1"/>
  <c r="D40" i="8"/>
  <c r="D47" i="8"/>
  <c r="I52" i="8" l="1"/>
  <c r="I51" i="8"/>
  <c r="D52" i="8"/>
  <c r="D51" i="8"/>
  <c r="T130" i="645"/>
  <c r="D44" i="645" s="1"/>
  <c r="AA129" i="645"/>
  <c r="Y129" i="645"/>
  <c r="Y81" i="645" s="1"/>
  <c r="W129" i="645"/>
  <c r="W81" i="645" s="1"/>
  <c r="T129" i="645"/>
  <c r="D43" i="645" s="1"/>
  <c r="T128" i="645"/>
  <c r="D42" i="645" s="1"/>
  <c r="T127" i="645"/>
  <c r="D41" i="645" s="1"/>
  <c r="T126" i="645"/>
  <c r="D40" i="645" s="1"/>
  <c r="T124" i="645"/>
  <c r="D38" i="645" s="1"/>
  <c r="AE123" i="645"/>
  <c r="AC123" i="645"/>
  <c r="AA123" i="645"/>
  <c r="T123" i="645"/>
  <c r="D37" i="645" s="1"/>
  <c r="AE113" i="645"/>
  <c r="AC113" i="645"/>
  <c r="AA113" i="645"/>
  <c r="T113" i="645"/>
  <c r="D63" i="645" s="1"/>
  <c r="AE111" i="645"/>
  <c r="AC111" i="645"/>
  <c r="AA111" i="645"/>
  <c r="Y111" i="645"/>
  <c r="W111" i="645"/>
  <c r="T101" i="645"/>
  <c r="AE99" i="645"/>
  <c r="AC99" i="645"/>
  <c r="AA99" i="645"/>
  <c r="Y99" i="645"/>
  <c r="W99" i="645"/>
  <c r="T89" i="645"/>
  <c r="AE87" i="645"/>
  <c r="AC87" i="645"/>
  <c r="AA87" i="645"/>
  <c r="Y87" i="645"/>
  <c r="W87" i="645"/>
  <c r="V82" i="645"/>
  <c r="U82" i="645"/>
  <c r="E32" i="645" s="1"/>
  <c r="V81" i="645"/>
  <c r="U81" i="645"/>
  <c r="V80" i="645"/>
  <c r="U80" i="645"/>
  <c r="V79" i="645"/>
  <c r="U79" i="645"/>
  <c r="V78" i="645"/>
  <c r="U78" i="645"/>
  <c r="V77" i="645"/>
  <c r="U77" i="645"/>
  <c r="V76" i="645"/>
  <c r="U76" i="645"/>
  <c r="V75" i="645"/>
  <c r="U75" i="645"/>
  <c r="F82" i="645"/>
  <c r="D82" i="645"/>
  <c r="C82" i="645"/>
  <c r="L81" i="645"/>
  <c r="J81" i="645"/>
  <c r="H81" i="645"/>
  <c r="E33" i="639" s="1"/>
  <c r="C81" i="645"/>
  <c r="C80" i="645"/>
  <c r="D79" i="645"/>
  <c r="C79" i="645"/>
  <c r="D78" i="645"/>
  <c r="C78" i="645"/>
  <c r="C9" i="645" s="1"/>
  <c r="D77" i="645"/>
  <c r="C77" i="645"/>
  <c r="C8" i="645" s="1"/>
  <c r="F76" i="645"/>
  <c r="D76" i="645"/>
  <c r="C76" i="645"/>
  <c r="C7" i="645" s="1"/>
  <c r="P75" i="645"/>
  <c r="N75" i="645"/>
  <c r="L75" i="645"/>
  <c r="E75" i="645"/>
  <c r="G75" i="645" s="1"/>
  <c r="I75" i="645" s="1"/>
  <c r="E94" i="645"/>
  <c r="G94" i="645" s="1"/>
  <c r="I94" i="645" s="1"/>
  <c r="K94" i="645" s="1"/>
  <c r="M94" i="645" s="1"/>
  <c r="O94" i="645" s="1"/>
  <c r="Q94" i="645" s="1"/>
  <c r="E92" i="645"/>
  <c r="G92" i="645" s="1"/>
  <c r="I92" i="645" s="1"/>
  <c r="K92" i="645" s="1"/>
  <c r="M92" i="645" s="1"/>
  <c r="O92" i="645" s="1"/>
  <c r="Q92" i="645" s="1"/>
  <c r="E91" i="645"/>
  <c r="G91" i="645" s="1"/>
  <c r="I91" i="645" s="1"/>
  <c r="K91" i="645" s="1"/>
  <c r="M91" i="645" s="1"/>
  <c r="O91" i="645" s="1"/>
  <c r="Q91" i="645" s="1"/>
  <c r="E90" i="645"/>
  <c r="G90" i="645" s="1"/>
  <c r="I90" i="645" s="1"/>
  <c r="K90" i="645" s="1"/>
  <c r="M90" i="645" s="1"/>
  <c r="O90" i="645" s="1"/>
  <c r="Q90" i="645" s="1"/>
  <c r="J89" i="645"/>
  <c r="J95" i="645" s="1"/>
  <c r="H89" i="645"/>
  <c r="F89" i="645"/>
  <c r="E89" i="645"/>
  <c r="E88" i="645"/>
  <c r="G88" i="645" s="1"/>
  <c r="I88" i="645" s="1"/>
  <c r="K88" i="645" s="1"/>
  <c r="M88" i="645" s="1"/>
  <c r="O88" i="645" s="1"/>
  <c r="Q88" i="645" s="1"/>
  <c r="E87" i="645"/>
  <c r="G87" i="645" s="1"/>
  <c r="I87" i="645" s="1"/>
  <c r="K87" i="645" s="1"/>
  <c r="AB87" i="645" s="1"/>
  <c r="E106" i="645"/>
  <c r="G106" i="645" s="1"/>
  <c r="I106" i="645" s="1"/>
  <c r="K106" i="645" s="1"/>
  <c r="M106" i="645" s="1"/>
  <c r="O106" i="645" s="1"/>
  <c r="Q106" i="645" s="1"/>
  <c r="E104" i="645"/>
  <c r="G104" i="645" s="1"/>
  <c r="I104" i="645" s="1"/>
  <c r="K104" i="645" s="1"/>
  <c r="M104" i="645" s="1"/>
  <c r="O104" i="645" s="1"/>
  <c r="Q104" i="645" s="1"/>
  <c r="E103" i="645"/>
  <c r="G103" i="645" s="1"/>
  <c r="I103" i="645" s="1"/>
  <c r="K103" i="645" s="1"/>
  <c r="M103" i="645" s="1"/>
  <c r="O103" i="645" s="1"/>
  <c r="Q103" i="645" s="1"/>
  <c r="E102" i="645"/>
  <c r="G102" i="645" s="1"/>
  <c r="I102" i="645" s="1"/>
  <c r="K102" i="645" s="1"/>
  <c r="M102" i="645" s="1"/>
  <c r="O102" i="645" s="1"/>
  <c r="Q102" i="645" s="1"/>
  <c r="J101" i="645"/>
  <c r="H101" i="645"/>
  <c r="F101" i="645"/>
  <c r="E101" i="645"/>
  <c r="E100" i="645"/>
  <c r="G100" i="645" s="1"/>
  <c r="I100" i="645" s="1"/>
  <c r="K100" i="645" s="1"/>
  <c r="M100" i="645" s="1"/>
  <c r="O100" i="645" s="1"/>
  <c r="Q100" i="645" s="1"/>
  <c r="E99" i="645"/>
  <c r="G99" i="645" s="1"/>
  <c r="I99" i="645" s="1"/>
  <c r="K99" i="645" s="1"/>
  <c r="AB99" i="645" s="1"/>
  <c r="E118" i="645"/>
  <c r="G118" i="645" s="1"/>
  <c r="I118" i="645" s="1"/>
  <c r="K118" i="645" s="1"/>
  <c r="M118" i="645" s="1"/>
  <c r="O118" i="645" s="1"/>
  <c r="Q118" i="645" s="1"/>
  <c r="E116" i="645"/>
  <c r="G116" i="645" s="1"/>
  <c r="I116" i="645" s="1"/>
  <c r="K116" i="645" s="1"/>
  <c r="M116" i="645" s="1"/>
  <c r="O116" i="645" s="1"/>
  <c r="Q116" i="645" s="1"/>
  <c r="E115" i="645"/>
  <c r="G115" i="645" s="1"/>
  <c r="I115" i="645" s="1"/>
  <c r="K115" i="645" s="1"/>
  <c r="M115" i="645" s="1"/>
  <c r="O115" i="645" s="1"/>
  <c r="Q115" i="645" s="1"/>
  <c r="E114" i="645"/>
  <c r="G114" i="645" s="1"/>
  <c r="I114" i="645" s="1"/>
  <c r="K114" i="645" s="1"/>
  <c r="M114" i="645" s="1"/>
  <c r="O114" i="645" s="1"/>
  <c r="Q114" i="645" s="1"/>
  <c r="J113" i="645"/>
  <c r="J119" i="645" s="1"/>
  <c r="H113" i="645"/>
  <c r="F113" i="645"/>
  <c r="E113" i="645"/>
  <c r="E112" i="645"/>
  <c r="G112" i="645" s="1"/>
  <c r="I112" i="645" s="1"/>
  <c r="K112" i="645" s="1"/>
  <c r="M112" i="645" s="1"/>
  <c r="O112" i="645" s="1"/>
  <c r="Q112" i="645" s="1"/>
  <c r="E111" i="645"/>
  <c r="G111" i="645" s="1"/>
  <c r="I111" i="645" s="1"/>
  <c r="K111" i="645" s="1"/>
  <c r="AB111" i="645" s="1"/>
  <c r="P130" i="645"/>
  <c r="P82" i="645" s="1"/>
  <c r="N130" i="645"/>
  <c r="N82" i="645" s="1"/>
  <c r="L130" i="645"/>
  <c r="L82" i="645" s="1"/>
  <c r="J130" i="645"/>
  <c r="J82" i="645" s="1"/>
  <c r="H130" i="645"/>
  <c r="H82" i="645" s="1"/>
  <c r="E130" i="645"/>
  <c r="G130" i="645" s="1"/>
  <c r="G15" i="571" s="1"/>
  <c r="P129" i="645"/>
  <c r="P81" i="645" s="1"/>
  <c r="N129" i="645"/>
  <c r="N81" i="645" s="1"/>
  <c r="F129" i="645"/>
  <c r="F128" i="645" s="1"/>
  <c r="F80" i="645" s="1"/>
  <c r="D129" i="645"/>
  <c r="D128" i="645" s="1"/>
  <c r="E128" i="645" s="1"/>
  <c r="P128" i="645"/>
  <c r="P80" i="645" s="1"/>
  <c r="N128" i="645"/>
  <c r="N80" i="645" s="1"/>
  <c r="L128" i="645"/>
  <c r="L80" i="645" s="1"/>
  <c r="J128" i="645"/>
  <c r="J80" i="645" s="1"/>
  <c r="H128" i="645"/>
  <c r="H80" i="645" s="1"/>
  <c r="P127" i="645"/>
  <c r="P79" i="645" s="1"/>
  <c r="N127" i="645"/>
  <c r="N79" i="645" s="1"/>
  <c r="L127" i="645"/>
  <c r="L79" i="645" s="1"/>
  <c r="J127" i="645"/>
  <c r="J79" i="645" s="1"/>
  <c r="E82" i="639" s="1"/>
  <c r="H127" i="645"/>
  <c r="H79" i="645" s="1"/>
  <c r="E31" i="639" s="1"/>
  <c r="F127" i="645"/>
  <c r="F79" i="645" s="1"/>
  <c r="E127" i="645"/>
  <c r="P126" i="645"/>
  <c r="N126" i="645"/>
  <c r="N78" i="645" s="1"/>
  <c r="L126" i="645"/>
  <c r="L78" i="645" s="1"/>
  <c r="J126" i="645"/>
  <c r="J78" i="645" s="1"/>
  <c r="E83" i="639" s="1"/>
  <c r="H126" i="645"/>
  <c r="H78" i="645" s="1"/>
  <c r="E32" i="639" s="1"/>
  <c r="F126" i="645"/>
  <c r="F78" i="645" s="1"/>
  <c r="E126" i="645"/>
  <c r="P125" i="645"/>
  <c r="P77" i="645" s="1"/>
  <c r="N125" i="645"/>
  <c r="N77" i="645" s="1"/>
  <c r="L125" i="645"/>
  <c r="L77" i="645" s="1"/>
  <c r="H125" i="645"/>
  <c r="F125" i="645"/>
  <c r="E125" i="645"/>
  <c r="P124" i="645"/>
  <c r="P76" i="645" s="1"/>
  <c r="N124" i="645"/>
  <c r="L124" i="645"/>
  <c r="L76" i="645" s="1"/>
  <c r="J76" i="645"/>
  <c r="E77" i="639" s="1"/>
  <c r="H124" i="645"/>
  <c r="H76" i="645" s="1"/>
  <c r="E26" i="639" s="1"/>
  <c r="E124" i="645"/>
  <c r="G124" i="645" s="1"/>
  <c r="G11" i="571" s="1"/>
  <c r="J123" i="645"/>
  <c r="J75" i="645" s="1"/>
  <c r="H123" i="645"/>
  <c r="W123" i="645" s="1"/>
  <c r="E123" i="645"/>
  <c r="G123" i="645" s="1"/>
  <c r="P95" i="645"/>
  <c r="N95" i="645"/>
  <c r="L95" i="645"/>
  <c r="P107" i="645"/>
  <c r="N107" i="645"/>
  <c r="L107" i="645"/>
  <c r="P119" i="645"/>
  <c r="N119" i="645"/>
  <c r="L119" i="645"/>
  <c r="C6" i="645"/>
  <c r="D142" i="645"/>
  <c r="E141" i="645"/>
  <c r="D141" i="645"/>
  <c r="AC118" i="645" s="1"/>
  <c r="C141" i="645"/>
  <c r="E140" i="645"/>
  <c r="D140" i="645"/>
  <c r="AE116" i="645" s="1"/>
  <c r="E139" i="645"/>
  <c r="D139" i="645"/>
  <c r="Y115" i="645" s="1"/>
  <c r="C139" i="645"/>
  <c r="E138" i="645"/>
  <c r="D138" i="645"/>
  <c r="AA114" i="645" s="1"/>
  <c r="C138" i="645"/>
  <c r="E137" i="645"/>
  <c r="Y125" i="645" s="1"/>
  <c r="D137" i="645"/>
  <c r="AA101" i="645" s="1"/>
  <c r="C137" i="645"/>
  <c r="E136" i="645"/>
  <c r="D136" i="645"/>
  <c r="AA100" i="645" s="1"/>
  <c r="C136" i="645"/>
  <c r="E29" i="645" l="1"/>
  <c r="H31" i="639" s="1"/>
  <c r="AC75" i="645"/>
  <c r="E34" i="639"/>
  <c r="D51" i="645"/>
  <c r="D57" i="645" s="1"/>
  <c r="AC91" i="645"/>
  <c r="AA92" i="645"/>
  <c r="AE101" i="645"/>
  <c r="X87" i="645"/>
  <c r="AB103" i="645"/>
  <c r="W89" i="645"/>
  <c r="Z104" i="645"/>
  <c r="T125" i="645"/>
  <c r="D39" i="645" s="1"/>
  <c r="AE126" i="645"/>
  <c r="Y116" i="645"/>
  <c r="AC100" i="645"/>
  <c r="AU126" i="645"/>
  <c r="AU102" i="645"/>
  <c r="AO90" i="645"/>
  <c r="AS126" i="645"/>
  <c r="AM90" i="645"/>
  <c r="AS102" i="645"/>
  <c r="AQ126" i="645"/>
  <c r="AQ102" i="645"/>
  <c r="AO126" i="645"/>
  <c r="AO102" i="645"/>
  <c r="AU90" i="645"/>
  <c r="AM126" i="645"/>
  <c r="AM102" i="645"/>
  <c r="AQ90" i="645"/>
  <c r="AS90" i="645"/>
  <c r="AS78" i="645" s="1"/>
  <c r="AQ94" i="645"/>
  <c r="AU106" i="645"/>
  <c r="AO94" i="645"/>
  <c r="AS94" i="645"/>
  <c r="AS106" i="645"/>
  <c r="AM94" i="645"/>
  <c r="AQ106" i="645"/>
  <c r="AO106" i="645"/>
  <c r="AM106" i="645"/>
  <c r="AU94" i="645"/>
  <c r="W113" i="645"/>
  <c r="E30" i="639"/>
  <c r="E27" i="645"/>
  <c r="E31" i="645"/>
  <c r="H33" i="639" s="1"/>
  <c r="AC88" i="645"/>
  <c r="AE89" i="645"/>
  <c r="AD90" i="645"/>
  <c r="AB91" i="645"/>
  <c r="Z92" i="645"/>
  <c r="X94" i="645"/>
  <c r="AF94" i="645"/>
  <c r="AB100" i="645"/>
  <c r="AC101" i="645"/>
  <c r="AC102" i="645"/>
  <c r="AA103" i="645"/>
  <c r="Y104" i="645"/>
  <c r="W106" i="645"/>
  <c r="AE106" i="645"/>
  <c r="AA112" i="645"/>
  <c r="AB114" i="645"/>
  <c r="H64" i="645" s="1"/>
  <c r="Z115" i="645"/>
  <c r="G65" i="645" s="1"/>
  <c r="X116" i="645"/>
  <c r="AF116" i="645"/>
  <c r="J66" i="645" s="1"/>
  <c r="AD118" i="645"/>
  <c r="I68" i="645" s="1"/>
  <c r="X124" i="645"/>
  <c r="W90" i="645"/>
  <c r="AE90" i="645"/>
  <c r="AF106" i="645"/>
  <c r="AB112" i="645"/>
  <c r="AC114" i="645"/>
  <c r="AA115" i="645"/>
  <c r="W118" i="645"/>
  <c r="AE118" i="645"/>
  <c r="AM124" i="645"/>
  <c r="AM100" i="645"/>
  <c r="AU88" i="645"/>
  <c r="AO124" i="645"/>
  <c r="AS88" i="645"/>
  <c r="AQ124" i="645"/>
  <c r="AO100" i="645"/>
  <c r="AQ88" i="645"/>
  <c r="AS100" i="645"/>
  <c r="AM88" i="645"/>
  <c r="AQ100" i="645"/>
  <c r="AU124" i="645"/>
  <c r="AU100" i="645"/>
  <c r="AO88" i="645"/>
  <c r="AS124" i="645"/>
  <c r="W125" i="645"/>
  <c r="W101" i="645"/>
  <c r="E28" i="645"/>
  <c r="H32" i="639" s="1"/>
  <c r="W88" i="645"/>
  <c r="AE88" i="645"/>
  <c r="X90" i="645"/>
  <c r="AF90" i="645"/>
  <c r="AD91" i="645"/>
  <c r="AB92" i="645"/>
  <c r="Z94" i="645"/>
  <c r="X99" i="645"/>
  <c r="AD100" i="645"/>
  <c r="W102" i="645"/>
  <c r="AE102" i="645"/>
  <c r="AC103" i="645"/>
  <c r="AA104" i="645"/>
  <c r="Y106" i="645"/>
  <c r="AC112" i="645"/>
  <c r="AD114" i="645"/>
  <c r="AB115" i="645"/>
  <c r="Z116" i="645"/>
  <c r="X118" i="645"/>
  <c r="AF118" i="645"/>
  <c r="J107" i="645"/>
  <c r="E81" i="639"/>
  <c r="Z87" i="645"/>
  <c r="X88" i="645"/>
  <c r="AF88" i="645"/>
  <c r="Y90" i="645"/>
  <c r="W91" i="645"/>
  <c r="AE91" i="645"/>
  <c r="AC92" i="645"/>
  <c r="AA94" i="645"/>
  <c r="W100" i="645"/>
  <c r="AE100" i="645"/>
  <c r="X102" i="645"/>
  <c r="AF102" i="645"/>
  <c r="AD103" i="645"/>
  <c r="AB104" i="645"/>
  <c r="Z106" i="645"/>
  <c r="X111" i="645"/>
  <c r="F61" i="645" s="1"/>
  <c r="AD112" i="645"/>
  <c r="W114" i="645"/>
  <c r="AE114" i="645"/>
  <c r="AC115" i="645"/>
  <c r="AA116" i="645"/>
  <c r="Y118" i="645"/>
  <c r="D45" i="645"/>
  <c r="X130" i="645"/>
  <c r="C13" i="645"/>
  <c r="C148" i="645"/>
  <c r="AA81" i="645"/>
  <c r="Y88" i="645"/>
  <c r="Z90" i="645"/>
  <c r="X91" i="645"/>
  <c r="AF91" i="645"/>
  <c r="AD92" i="645"/>
  <c r="AB94" i="645"/>
  <c r="Z99" i="645"/>
  <c r="G49" i="645" s="1"/>
  <c r="X100" i="645"/>
  <c r="AF100" i="645"/>
  <c r="Y102" i="645"/>
  <c r="W103" i="645"/>
  <c r="AE103" i="645"/>
  <c r="AC104" i="645"/>
  <c r="AA106" i="645"/>
  <c r="W112" i="645"/>
  <c r="AE112" i="645"/>
  <c r="X114" i="645"/>
  <c r="AF114" i="645"/>
  <c r="AD115" i="645"/>
  <c r="AB116" i="645"/>
  <c r="Z118" i="645"/>
  <c r="AA127" i="645"/>
  <c r="AD102" i="645"/>
  <c r="Z88" i="645"/>
  <c r="AA90" i="645"/>
  <c r="Y91" i="645"/>
  <c r="W92" i="645"/>
  <c r="AE92" i="645"/>
  <c r="AC94" i="645"/>
  <c r="H49" i="645"/>
  <c r="Y100" i="645"/>
  <c r="Z102" i="645"/>
  <c r="X103" i="645"/>
  <c r="AF103" i="645"/>
  <c r="AD104" i="645"/>
  <c r="AB106" i="645"/>
  <c r="Z111" i="645"/>
  <c r="G61" i="645" s="1"/>
  <c r="X112" i="645"/>
  <c r="AF112" i="645"/>
  <c r="Y114" i="645"/>
  <c r="W115" i="645"/>
  <c r="AE115" i="645"/>
  <c r="AC116" i="645"/>
  <c r="AA118" i="645"/>
  <c r="AD88" i="645"/>
  <c r="Y94" i="645"/>
  <c r="X106" i="645"/>
  <c r="AU91" i="645"/>
  <c r="AS91" i="645"/>
  <c r="AO103" i="645"/>
  <c r="AU127" i="645"/>
  <c r="AQ91" i="645"/>
  <c r="AS127" i="645"/>
  <c r="AU103" i="645"/>
  <c r="AO91" i="645"/>
  <c r="AQ103" i="645"/>
  <c r="AQ127" i="645"/>
  <c r="AS103" i="645"/>
  <c r="AM91" i="645"/>
  <c r="AM127" i="645"/>
  <c r="AO127" i="645"/>
  <c r="AM103" i="645"/>
  <c r="C145" i="645"/>
  <c r="AO101" i="645"/>
  <c r="AM101" i="645"/>
  <c r="AU89" i="645"/>
  <c r="AS101" i="645"/>
  <c r="AS89" i="645"/>
  <c r="AM89" i="645"/>
  <c r="AQ89" i="645"/>
  <c r="AO89" i="645"/>
  <c r="AQ101" i="645"/>
  <c r="AU101" i="645"/>
  <c r="AC124" i="645"/>
  <c r="E85" i="639"/>
  <c r="E26" i="645"/>
  <c r="H26" i="639" s="1"/>
  <c r="E30" i="645"/>
  <c r="H34" i="639" s="1"/>
  <c r="AA88" i="645"/>
  <c r="AA89" i="645"/>
  <c r="AB90" i="645"/>
  <c r="Z91" i="645"/>
  <c r="X92" i="645"/>
  <c r="AF92" i="645"/>
  <c r="AD94" i="645"/>
  <c r="Z100" i="645"/>
  <c r="Y101" i="645"/>
  <c r="AA102" i="645"/>
  <c r="Y103" i="645"/>
  <c r="W104" i="645"/>
  <c r="AE104" i="645"/>
  <c r="AC106" i="645"/>
  <c r="H61" i="645"/>
  <c r="Y112" i="645"/>
  <c r="H30" i="639"/>
  <c r="H28" i="639" s="1"/>
  <c r="D69" i="645"/>
  <c r="Z114" i="645"/>
  <c r="X115" i="645"/>
  <c r="AF115" i="645"/>
  <c r="AD116" i="645"/>
  <c r="AB118" i="645"/>
  <c r="AB88" i="645"/>
  <c r="AC89" i="645"/>
  <c r="AC90" i="645"/>
  <c r="AA91" i="645"/>
  <c r="Y92" i="645"/>
  <c r="W94" i="645"/>
  <c r="AE94" i="645"/>
  <c r="AB102" i="645"/>
  <c r="Z103" i="645"/>
  <c r="X104" i="645"/>
  <c r="AF104" i="645"/>
  <c r="AD106" i="645"/>
  <c r="Z112" i="645"/>
  <c r="W116" i="645"/>
  <c r="F66" i="645" s="1"/>
  <c r="I123" i="645"/>
  <c r="K123" i="645" s="1"/>
  <c r="AB123" i="645" s="1"/>
  <c r="AB75" i="645" s="1"/>
  <c r="G126" i="645"/>
  <c r="X126" i="645" s="1"/>
  <c r="X78" i="645" s="1"/>
  <c r="Y89" i="645"/>
  <c r="X123" i="645"/>
  <c r="F37" i="645" s="1"/>
  <c r="W126" i="645"/>
  <c r="Y128" i="645"/>
  <c r="AA130" i="645"/>
  <c r="Y123" i="645"/>
  <c r="AA125" i="645"/>
  <c r="AC127" i="645"/>
  <c r="AE129" i="645"/>
  <c r="W124" i="645"/>
  <c r="AE124" i="645"/>
  <c r="Y126" i="645"/>
  <c r="AA128" i="645"/>
  <c r="AC130" i="645"/>
  <c r="AC125" i="645"/>
  <c r="W127" i="645"/>
  <c r="AE127" i="645"/>
  <c r="Y124" i="645"/>
  <c r="AA126" i="645"/>
  <c r="AC128" i="645"/>
  <c r="W130" i="645"/>
  <c r="AE130" i="645"/>
  <c r="AC129" i="645"/>
  <c r="AE125" i="645"/>
  <c r="Y127" i="645"/>
  <c r="Y113" i="645"/>
  <c r="AA124" i="645"/>
  <c r="AC126" i="645"/>
  <c r="W128" i="645"/>
  <c r="AE128" i="645"/>
  <c r="Y130" i="645"/>
  <c r="AA75" i="645"/>
  <c r="W75" i="645"/>
  <c r="AE75" i="645"/>
  <c r="G113" i="645"/>
  <c r="E79" i="645"/>
  <c r="G79" i="645" s="1"/>
  <c r="I79" i="645" s="1"/>
  <c r="K79" i="645" s="1"/>
  <c r="G89" i="645"/>
  <c r="F77" i="645"/>
  <c r="E77" i="645"/>
  <c r="D81" i="645"/>
  <c r="E81" i="645" s="1"/>
  <c r="D12" i="645" s="1"/>
  <c r="D80" i="645"/>
  <c r="E80" i="645" s="1"/>
  <c r="G80" i="645" s="1"/>
  <c r="I80" i="645" s="1"/>
  <c r="K80" i="645" s="1"/>
  <c r="E78" i="645"/>
  <c r="G78" i="645" s="1"/>
  <c r="I78" i="645" s="1"/>
  <c r="K78" i="645" s="1"/>
  <c r="H77" i="645"/>
  <c r="P131" i="645"/>
  <c r="G127" i="645"/>
  <c r="G13" i="571" s="1"/>
  <c r="K75" i="645"/>
  <c r="F81" i="645"/>
  <c r="G125" i="645"/>
  <c r="G17" i="571" s="1"/>
  <c r="I130" i="645"/>
  <c r="J77" i="645"/>
  <c r="N131" i="645"/>
  <c r="L83" i="645"/>
  <c r="C10" i="645"/>
  <c r="I124" i="645"/>
  <c r="N76" i="645"/>
  <c r="N83" i="645" s="1"/>
  <c r="L131" i="645"/>
  <c r="C11" i="645"/>
  <c r="J131" i="645"/>
  <c r="G128" i="645"/>
  <c r="G101" i="645"/>
  <c r="E76" i="645"/>
  <c r="G76" i="645" s="1"/>
  <c r="P78" i="645"/>
  <c r="P83" i="645" s="1"/>
  <c r="E82" i="645"/>
  <c r="G82" i="645" s="1"/>
  <c r="I82" i="645" s="1"/>
  <c r="K82" i="645" s="1"/>
  <c r="M87" i="645"/>
  <c r="AD87" i="645" s="1"/>
  <c r="M99" i="645"/>
  <c r="AD99" i="645" s="1"/>
  <c r="M111" i="645"/>
  <c r="AD111" i="645" s="1"/>
  <c r="I61" i="645" s="1"/>
  <c r="E129" i="645"/>
  <c r="G129" i="645" s="1"/>
  <c r="I64" i="645" l="1"/>
  <c r="AC76" i="645"/>
  <c r="Y95" i="645"/>
  <c r="Y107" i="645"/>
  <c r="AA79" i="645"/>
  <c r="I49" i="645"/>
  <c r="AC80" i="645"/>
  <c r="G66" i="645"/>
  <c r="AE95" i="645"/>
  <c r="AC95" i="645"/>
  <c r="AA77" i="645"/>
  <c r="F64" i="645"/>
  <c r="F49" i="645"/>
  <c r="H56" i="645"/>
  <c r="AE77" i="645"/>
  <c r="W77" i="645"/>
  <c r="AU78" i="645"/>
  <c r="AO78" i="645"/>
  <c r="AE76" i="645"/>
  <c r="AS79" i="645"/>
  <c r="F65" i="645"/>
  <c r="AA95" i="645"/>
  <c r="H65" i="645"/>
  <c r="M123" i="645"/>
  <c r="AD123" i="645" s="1"/>
  <c r="I37" i="645" s="1"/>
  <c r="G53" i="645"/>
  <c r="AO107" i="645"/>
  <c r="AU79" i="645"/>
  <c r="H25" i="645"/>
  <c r="F50" i="645"/>
  <c r="H50" i="645"/>
  <c r="J65" i="645"/>
  <c r="AO79" i="645"/>
  <c r="G62" i="645"/>
  <c r="I54" i="645"/>
  <c r="H62" i="645"/>
  <c r="AM79" i="645"/>
  <c r="I113" i="645"/>
  <c r="K113" i="645" s="1"/>
  <c r="B30" i="639"/>
  <c r="X113" i="645"/>
  <c r="F63" i="645" s="1"/>
  <c r="I30" i="639" s="1"/>
  <c r="Y82" i="645"/>
  <c r="AC81" i="645"/>
  <c r="AC79" i="645"/>
  <c r="F54" i="645"/>
  <c r="J50" i="645"/>
  <c r="AE107" i="645"/>
  <c r="AQ78" i="645"/>
  <c r="H52" i="645"/>
  <c r="AO95" i="645"/>
  <c r="AQ125" i="645"/>
  <c r="AQ77" i="645" s="1"/>
  <c r="AO125" i="645"/>
  <c r="AO77" i="645" s="1"/>
  <c r="AM125" i="645"/>
  <c r="AM77" i="645" s="1"/>
  <c r="AS125" i="645"/>
  <c r="AS77" i="645" s="1"/>
  <c r="AU125" i="645"/>
  <c r="AU77" i="645" s="1"/>
  <c r="G64" i="645"/>
  <c r="J53" i="645"/>
  <c r="G56" i="645"/>
  <c r="AC107" i="645"/>
  <c r="I76" i="645"/>
  <c r="K76" i="645" s="1"/>
  <c r="G7" i="645" s="1"/>
  <c r="B26" i="639"/>
  <c r="AE82" i="645"/>
  <c r="AU95" i="645"/>
  <c r="AC78" i="645"/>
  <c r="Y75" i="645"/>
  <c r="G50" i="645"/>
  <c r="F53" i="645"/>
  <c r="H54" i="645"/>
  <c r="AS107" i="645"/>
  <c r="J56" i="645"/>
  <c r="X82" i="645"/>
  <c r="AA107" i="645"/>
  <c r="AA80" i="645"/>
  <c r="X76" i="645"/>
  <c r="G52" i="645"/>
  <c r="G68" i="645"/>
  <c r="I53" i="645"/>
  <c r="AQ95" i="645"/>
  <c r="F56" i="645"/>
  <c r="E28" i="639"/>
  <c r="AM78" i="645"/>
  <c r="G16" i="571"/>
  <c r="AE80" i="645"/>
  <c r="AQ107" i="645"/>
  <c r="W82" i="645"/>
  <c r="AA76" i="645"/>
  <c r="W76" i="645"/>
  <c r="F38" i="645"/>
  <c r="AQ79" i="645"/>
  <c r="J62" i="645"/>
  <c r="H66" i="645"/>
  <c r="J52" i="645"/>
  <c r="J68" i="645"/>
  <c r="I50" i="645"/>
  <c r="G54" i="645"/>
  <c r="Y119" i="645"/>
  <c r="Y78" i="645"/>
  <c r="Z123" i="645"/>
  <c r="Z75" i="645" s="1"/>
  <c r="I65" i="645"/>
  <c r="F52" i="645"/>
  <c r="F68" i="645"/>
  <c r="H53" i="645"/>
  <c r="AU107" i="645"/>
  <c r="AA119" i="645"/>
  <c r="AC82" i="645"/>
  <c r="AA78" i="645"/>
  <c r="AA82" i="645"/>
  <c r="Y80" i="645"/>
  <c r="I89" i="645"/>
  <c r="Z89" i="645" s="1"/>
  <c r="X89" i="645"/>
  <c r="Y79" i="645"/>
  <c r="AE79" i="645"/>
  <c r="W78" i="645"/>
  <c r="F40" i="645"/>
  <c r="I56" i="645"/>
  <c r="H68" i="645"/>
  <c r="F62" i="645"/>
  <c r="AE78" i="645"/>
  <c r="W80" i="645"/>
  <c r="W79" i="645"/>
  <c r="AE81" i="645"/>
  <c r="X75" i="645"/>
  <c r="J54" i="645"/>
  <c r="I66" i="645"/>
  <c r="H37" i="645"/>
  <c r="AU130" i="645"/>
  <c r="AU131" i="645" s="1"/>
  <c r="AM112" i="645"/>
  <c r="AS112" i="645"/>
  <c r="AO112" i="645"/>
  <c r="AS130" i="645"/>
  <c r="AQ130" i="645"/>
  <c r="AQ112" i="645"/>
  <c r="AU112" i="645"/>
  <c r="AU119" i="645" s="1"/>
  <c r="AO130" i="645"/>
  <c r="AO82" i="645" s="1"/>
  <c r="AM130" i="645"/>
  <c r="AM82" i="645" s="1"/>
  <c r="AE119" i="645"/>
  <c r="J64" i="645"/>
  <c r="AC119" i="645"/>
  <c r="I62" i="645"/>
  <c r="AS95" i="645"/>
  <c r="I52" i="645"/>
  <c r="AU82" i="645"/>
  <c r="J83" i="645"/>
  <c r="E79" i="639"/>
  <c r="Y76" i="645"/>
  <c r="M75" i="645"/>
  <c r="H6" i="645" s="1"/>
  <c r="G6" i="645"/>
  <c r="M79" i="645"/>
  <c r="G10" i="645"/>
  <c r="M80" i="645"/>
  <c r="G11" i="645"/>
  <c r="M78" i="645"/>
  <c r="G9" i="645"/>
  <c r="M82" i="645"/>
  <c r="G13" i="645"/>
  <c r="G14" i="571"/>
  <c r="M76" i="645"/>
  <c r="Y77" i="645"/>
  <c r="AC131" i="645"/>
  <c r="I126" i="645"/>
  <c r="G12" i="571"/>
  <c r="K130" i="645"/>
  <c r="Z130" i="645"/>
  <c r="Z82" i="645" s="1"/>
  <c r="AA131" i="645"/>
  <c r="I129" i="645"/>
  <c r="X129" i="645"/>
  <c r="AC77" i="645"/>
  <c r="I101" i="645"/>
  <c r="X101" i="645"/>
  <c r="AD75" i="645"/>
  <c r="I25" i="645" s="1"/>
  <c r="I128" i="645"/>
  <c r="X128" i="645"/>
  <c r="X80" i="645" s="1"/>
  <c r="K124" i="645"/>
  <c r="Z124" i="645"/>
  <c r="Z76" i="645" s="1"/>
  <c r="I125" i="645"/>
  <c r="X125" i="645"/>
  <c r="F39" i="645" s="1"/>
  <c r="G77" i="645"/>
  <c r="I77" i="645" s="1"/>
  <c r="K77" i="645" s="1"/>
  <c r="AE131" i="645"/>
  <c r="Y131" i="645"/>
  <c r="I127" i="645"/>
  <c r="X127" i="645"/>
  <c r="X79" i="645" s="1"/>
  <c r="C14" i="645"/>
  <c r="G81" i="645"/>
  <c r="O87" i="645"/>
  <c r="AF87" i="645" s="1"/>
  <c r="O99" i="645"/>
  <c r="AF99" i="645" s="1"/>
  <c r="O111" i="645"/>
  <c r="AF111" i="645" s="1"/>
  <c r="J61" i="645" s="1"/>
  <c r="AE83" i="645" l="1"/>
  <c r="F44" i="645"/>
  <c r="O123" i="645"/>
  <c r="AF123" i="645" s="1"/>
  <c r="J37" i="645" s="1"/>
  <c r="AQ131" i="645"/>
  <c r="K89" i="645"/>
  <c r="AB89" i="645" s="1"/>
  <c r="AB95" i="645" s="1"/>
  <c r="Z113" i="645"/>
  <c r="Z119" i="645" s="1"/>
  <c r="AA83" i="645"/>
  <c r="AC83" i="645"/>
  <c r="F51" i="645"/>
  <c r="F32" i="645"/>
  <c r="F29" i="645"/>
  <c r="I31" i="639" s="1"/>
  <c r="F30" i="645"/>
  <c r="J49" i="645"/>
  <c r="B28" i="639"/>
  <c r="AQ76" i="645"/>
  <c r="AQ119" i="645"/>
  <c r="X81" i="645"/>
  <c r="F31" i="645" s="1"/>
  <c r="I33" i="639" s="1"/>
  <c r="K33" i="639" s="1"/>
  <c r="H84" i="639" s="1"/>
  <c r="F43" i="645"/>
  <c r="G38" i="645"/>
  <c r="AS131" i="645"/>
  <c r="AQ82" i="645"/>
  <c r="AS82" i="645"/>
  <c r="F42" i="645"/>
  <c r="AO76" i="645"/>
  <c r="AO83" i="645" s="1"/>
  <c r="AO119" i="645"/>
  <c r="G37" i="645"/>
  <c r="AU76" i="645"/>
  <c r="AU83" i="645" s="1"/>
  <c r="AO131" i="645"/>
  <c r="G44" i="645"/>
  <c r="O75" i="645"/>
  <c r="I6" i="645" s="1"/>
  <c r="I81" i="645"/>
  <c r="K81" i="645" s="1"/>
  <c r="M81" i="645" s="1"/>
  <c r="B33" i="639"/>
  <c r="D33" i="639" s="1"/>
  <c r="E12" i="645"/>
  <c r="F12" i="645"/>
  <c r="AS76" i="645"/>
  <c r="AS119" i="645"/>
  <c r="AM76" i="645"/>
  <c r="AM83" i="645" s="1"/>
  <c r="AM119" i="645"/>
  <c r="F41" i="645"/>
  <c r="F28" i="645"/>
  <c r="I32" i="639" s="1"/>
  <c r="G25" i="645"/>
  <c r="G32" i="645"/>
  <c r="Y83" i="645"/>
  <c r="O78" i="645"/>
  <c r="H9" i="645"/>
  <c r="M77" i="645"/>
  <c r="G8" i="645"/>
  <c r="O76" i="645"/>
  <c r="H7" i="645"/>
  <c r="O79" i="645"/>
  <c r="H10" i="645"/>
  <c r="O80" i="645"/>
  <c r="H11" i="645"/>
  <c r="O82" i="645"/>
  <c r="H13" i="645"/>
  <c r="X77" i="645"/>
  <c r="F27" i="645" s="1"/>
  <c r="I28" i="639" s="1"/>
  <c r="K126" i="645"/>
  <c r="Z126" i="645"/>
  <c r="K128" i="645"/>
  <c r="Z128" i="645"/>
  <c r="AF75" i="645"/>
  <c r="J25" i="645" s="1"/>
  <c r="K101" i="645"/>
  <c r="Z101" i="645"/>
  <c r="M113" i="645"/>
  <c r="AB113" i="645"/>
  <c r="K119" i="645"/>
  <c r="G19" i="645" s="1"/>
  <c r="H19" i="645" s="1"/>
  <c r="I19" i="645" s="1"/>
  <c r="J19" i="645" s="1"/>
  <c r="K125" i="645"/>
  <c r="Z125" i="645"/>
  <c r="G39" i="645" s="1"/>
  <c r="M130" i="645"/>
  <c r="AB130" i="645"/>
  <c r="Z95" i="645"/>
  <c r="K127" i="645"/>
  <c r="Z127" i="645"/>
  <c r="M124" i="645"/>
  <c r="AB124" i="645"/>
  <c r="H38" i="645" s="1"/>
  <c r="K129" i="645"/>
  <c r="Z129" i="645"/>
  <c r="M89" i="645"/>
  <c r="K95" i="645"/>
  <c r="G20" i="645" s="1"/>
  <c r="Q87" i="645"/>
  <c r="Q99" i="645"/>
  <c r="Q111" i="645"/>
  <c r="Q123" i="645"/>
  <c r="G12" i="645" l="1"/>
  <c r="G14" i="645" s="1"/>
  <c r="K83" i="645"/>
  <c r="G63" i="645"/>
  <c r="G69" i="645" s="1"/>
  <c r="I34" i="639"/>
  <c r="M83" i="645"/>
  <c r="I38" i="627"/>
  <c r="E8" i="644" s="1"/>
  <c r="D91" i="639"/>
  <c r="Z80" i="645"/>
  <c r="G30" i="645" s="1"/>
  <c r="I85" i="639" s="1"/>
  <c r="G42" i="645"/>
  <c r="AB82" i="645"/>
  <c r="H32" i="645" s="1"/>
  <c r="H44" i="645"/>
  <c r="F26" i="645"/>
  <c r="I26" i="639" s="1"/>
  <c r="Z78" i="645"/>
  <c r="G28" i="645" s="1"/>
  <c r="I83" i="639" s="1"/>
  <c r="G40" i="645"/>
  <c r="AS83" i="645"/>
  <c r="AQ83" i="645"/>
  <c r="Z81" i="645"/>
  <c r="G31" i="645" s="1"/>
  <c r="I84" i="639" s="1"/>
  <c r="K84" i="639" s="1"/>
  <c r="G43" i="645"/>
  <c r="I81" i="639"/>
  <c r="Z79" i="645"/>
  <c r="G29" i="645" s="1"/>
  <c r="I82" i="639" s="1"/>
  <c r="G41" i="645"/>
  <c r="M33" i="639"/>
  <c r="G33" i="639"/>
  <c r="Q75" i="645"/>
  <c r="J6" i="645" s="1"/>
  <c r="AB119" i="645"/>
  <c r="H63" i="645"/>
  <c r="H69" i="645" s="1"/>
  <c r="Z107" i="645"/>
  <c r="G51" i="645"/>
  <c r="G57" i="645" s="1"/>
  <c r="G26" i="645"/>
  <c r="Q82" i="645"/>
  <c r="J13" i="645" s="1"/>
  <c r="I13" i="645"/>
  <c r="Q80" i="645"/>
  <c r="J11" i="645" s="1"/>
  <c r="I11" i="645"/>
  <c r="Q79" i="645"/>
  <c r="J10" i="645" s="1"/>
  <c r="I10" i="645"/>
  <c r="O77" i="645"/>
  <c r="H8" i="645"/>
  <c r="Q76" i="645"/>
  <c r="J7" i="645" s="1"/>
  <c r="I7" i="645"/>
  <c r="O81" i="645"/>
  <c r="H12" i="645"/>
  <c r="I9" i="645"/>
  <c r="Q78" i="645"/>
  <c r="J9" i="645" s="1"/>
  <c r="AB126" i="645"/>
  <c r="M126" i="645"/>
  <c r="O130" i="645"/>
  <c r="AD130" i="645"/>
  <c r="M101" i="645"/>
  <c r="AB101" i="645"/>
  <c r="H51" i="645" s="1"/>
  <c r="H57" i="645" s="1"/>
  <c r="K107" i="645"/>
  <c r="G21" i="645" s="1"/>
  <c r="Z131" i="645"/>
  <c r="M125" i="645"/>
  <c r="AB125" i="645"/>
  <c r="H39" i="645" s="1"/>
  <c r="K131" i="645"/>
  <c r="M129" i="645"/>
  <c r="AB129" i="645"/>
  <c r="M127" i="645"/>
  <c r="AB127" i="645"/>
  <c r="O124" i="645"/>
  <c r="AD124" i="645"/>
  <c r="I38" i="645" s="1"/>
  <c r="Z77" i="645"/>
  <c r="O113" i="645"/>
  <c r="AD113" i="645"/>
  <c r="M119" i="645"/>
  <c r="M128" i="645"/>
  <c r="AB128" i="645"/>
  <c r="AB76" i="645"/>
  <c r="H26" i="645" s="1"/>
  <c r="O89" i="645"/>
  <c r="AD89" i="645"/>
  <c r="M95" i="645"/>
  <c r="H20" i="645" s="1"/>
  <c r="B19" i="98"/>
  <c r="B17" i="98"/>
  <c r="G12" i="98"/>
  <c r="B5" i="98" s="1"/>
  <c r="E29" i="628" s="1"/>
  <c r="B14" i="98"/>
  <c r="E17" i="628" s="1"/>
  <c r="B11" i="98"/>
  <c r="B9" i="98"/>
  <c r="B4" i="98"/>
  <c r="I20" i="644"/>
  <c r="K23" i="644"/>
  <c r="L23" i="644" s="1"/>
  <c r="K24" i="644"/>
  <c r="L24" i="644" s="1"/>
  <c r="F24" i="644"/>
  <c r="F23" i="644"/>
  <c r="F22" i="644"/>
  <c r="F21" i="644"/>
  <c r="F20" i="644"/>
  <c r="G45" i="645" l="1"/>
  <c r="AB80" i="645"/>
  <c r="H30" i="645" s="1"/>
  <c r="H42" i="645"/>
  <c r="AB79" i="645"/>
  <c r="H29" i="645" s="1"/>
  <c r="H41" i="645"/>
  <c r="AD82" i="645"/>
  <c r="I32" i="645" s="1"/>
  <c r="I44" i="645"/>
  <c r="AD119" i="645"/>
  <c r="I63" i="645"/>
  <c r="I69" i="645" s="1"/>
  <c r="Z83" i="645"/>
  <c r="G27" i="645"/>
  <c r="I79" i="639" s="1"/>
  <c r="L33" i="639"/>
  <c r="B84" i="639"/>
  <c r="D84" i="639" s="1"/>
  <c r="H14" i="645"/>
  <c r="AB81" i="645"/>
  <c r="H31" i="645" s="1"/>
  <c r="H43" i="645"/>
  <c r="AB78" i="645"/>
  <c r="H28" i="645" s="1"/>
  <c r="H40" i="645"/>
  <c r="G33" i="645"/>
  <c r="I77" i="639"/>
  <c r="Z133" i="645"/>
  <c r="Z134" i="645" s="1"/>
  <c r="P135" i="645"/>
  <c r="D12" i="98"/>
  <c r="Q81" i="645"/>
  <c r="J12" i="645" s="1"/>
  <c r="I12" i="645"/>
  <c r="Q77" i="645"/>
  <c r="J8" i="645" s="1"/>
  <c r="I8" i="645"/>
  <c r="O83" i="645"/>
  <c r="AB131" i="645"/>
  <c r="AB133" i="645" s="1"/>
  <c r="AB134" i="645" s="1"/>
  <c r="O126" i="645"/>
  <c r="AD126" i="645"/>
  <c r="AB77" i="645"/>
  <c r="H27" i="645" s="1"/>
  <c r="AB107" i="645"/>
  <c r="O128" i="645"/>
  <c r="AD128" i="645"/>
  <c r="O125" i="645"/>
  <c r="AD125" i="645"/>
  <c r="I39" i="645" s="1"/>
  <c r="O127" i="645"/>
  <c r="AD127" i="645"/>
  <c r="O101" i="645"/>
  <c r="AD101" i="645"/>
  <c r="M107" i="645"/>
  <c r="H21" i="645" s="1"/>
  <c r="Q124" i="645"/>
  <c r="AF124" i="645"/>
  <c r="J38" i="645" s="1"/>
  <c r="Q89" i="645"/>
  <c r="Q95" i="645" s="1"/>
  <c r="J20" i="645" s="1"/>
  <c r="AF89" i="645"/>
  <c r="AF95" i="645" s="1"/>
  <c r="O95" i="645"/>
  <c r="I20" i="645" s="1"/>
  <c r="Q113" i="645"/>
  <c r="Q119" i="645" s="1"/>
  <c r="AF113" i="645"/>
  <c r="O119" i="645"/>
  <c r="M131" i="645"/>
  <c r="O129" i="645"/>
  <c r="AD129" i="645"/>
  <c r="AD95" i="645"/>
  <c r="AD76" i="645"/>
  <c r="I26" i="645" s="1"/>
  <c r="Q130" i="645"/>
  <c r="AF130" i="645"/>
  <c r="I5" i="395"/>
  <c r="J14" i="645" l="1"/>
  <c r="H45" i="645"/>
  <c r="I14" i="645"/>
  <c r="AD80" i="645"/>
  <c r="I30" i="645" s="1"/>
  <c r="I42" i="645"/>
  <c r="AF119" i="645"/>
  <c r="J63" i="645"/>
  <c r="J69" i="645" s="1"/>
  <c r="AF82" i="645"/>
  <c r="J32" i="645" s="1"/>
  <c r="J44" i="645"/>
  <c r="H33" i="645"/>
  <c r="AD79" i="645"/>
  <c r="I29" i="645" s="1"/>
  <c r="I41" i="645"/>
  <c r="AD78" i="645"/>
  <c r="I28" i="645" s="1"/>
  <c r="I40" i="645"/>
  <c r="AB83" i="645"/>
  <c r="M84" i="639"/>
  <c r="G84" i="639"/>
  <c r="L84" i="639" s="1"/>
  <c r="AD107" i="645"/>
  <c r="I51" i="645"/>
  <c r="I57" i="645" s="1"/>
  <c r="AD81" i="645"/>
  <c r="I31" i="645" s="1"/>
  <c r="I43" i="645"/>
  <c r="Q83" i="645"/>
  <c r="AF126" i="645"/>
  <c r="Q126" i="645"/>
  <c r="AD131" i="645"/>
  <c r="AD133" i="645" s="1"/>
  <c r="AD134" i="645" s="1"/>
  <c r="Q127" i="645"/>
  <c r="AF127" i="645"/>
  <c r="AF76" i="645"/>
  <c r="J26" i="645" s="1"/>
  <c r="Q125" i="645"/>
  <c r="AF125" i="645"/>
  <c r="J39" i="645" s="1"/>
  <c r="Q128" i="645"/>
  <c r="AF128" i="645"/>
  <c r="O131" i="645"/>
  <c r="Q129" i="645"/>
  <c r="AF129" i="645"/>
  <c r="AD77" i="645"/>
  <c r="Q101" i="645"/>
  <c r="Q107" i="645" s="1"/>
  <c r="J21" i="645" s="1"/>
  <c r="AF101" i="645"/>
  <c r="O107" i="645"/>
  <c r="I21" i="645" s="1"/>
  <c r="C17" i="97"/>
  <c r="C16" i="97"/>
  <c r="C40" i="97"/>
  <c r="C41" i="97"/>
  <c r="E41" i="97" s="1"/>
  <c r="F41" i="97" s="1"/>
  <c r="C21" i="97"/>
  <c r="C10" i="97"/>
  <c r="C15" i="97"/>
  <c r="E15" i="97" s="1"/>
  <c r="F15" i="97" s="1"/>
  <c r="C37" i="97"/>
  <c r="E37" i="97" s="1"/>
  <c r="F37" i="97" s="1"/>
  <c r="C42" i="97"/>
  <c r="C39" i="97"/>
  <c r="C35" i="97"/>
  <c r="C34" i="97"/>
  <c r="C22" i="97"/>
  <c r="C24" i="97"/>
  <c r="C14" i="97"/>
  <c r="C13" i="97"/>
  <c r="D16" i="149" s="1"/>
  <c r="C9" i="97"/>
  <c r="C6" i="97"/>
  <c r="I45" i="645" l="1"/>
  <c r="AF80" i="645"/>
  <c r="J30" i="645" s="1"/>
  <c r="J42" i="645"/>
  <c r="AF107" i="645"/>
  <c r="J51" i="645"/>
  <c r="J57" i="645" s="1"/>
  <c r="AF78" i="645"/>
  <c r="J28" i="645" s="1"/>
  <c r="J40" i="645"/>
  <c r="Q131" i="645"/>
  <c r="AF81" i="645"/>
  <c r="J31" i="645" s="1"/>
  <c r="J43" i="645"/>
  <c r="AF79" i="645"/>
  <c r="J29" i="645" s="1"/>
  <c r="J41" i="645"/>
  <c r="AD83" i="645"/>
  <c r="I27" i="645"/>
  <c r="I33" i="645" s="1"/>
  <c r="AF77" i="645"/>
  <c r="J27" i="645" s="1"/>
  <c r="AF131" i="645"/>
  <c r="AF133" i="645" s="1"/>
  <c r="AF134" i="645" s="1"/>
  <c r="G11" i="395"/>
  <c r="F11" i="395"/>
  <c r="D11" i="395"/>
  <c r="G10" i="395"/>
  <c r="F10" i="395"/>
  <c r="D10" i="395"/>
  <c r="H10" i="395" s="1"/>
  <c r="I7" i="395"/>
  <c r="E7" i="395"/>
  <c r="H7" i="395" s="1"/>
  <c r="E6" i="395"/>
  <c r="H6" i="395" s="1"/>
  <c r="K6" i="395" s="1"/>
  <c r="J45" i="645" l="1"/>
  <c r="J33" i="645"/>
  <c r="H11" i="395"/>
  <c r="K7" i="395"/>
  <c r="AF83" i="645"/>
  <c r="D23" i="83"/>
  <c r="C23" i="83"/>
  <c r="C22" i="83"/>
  <c r="I59" i="570"/>
  <c r="H59" i="570"/>
  <c r="L11" i="395" l="1"/>
  <c r="L10" i="395"/>
  <c r="F18" i="648" l="1"/>
  <c r="F19" i="648"/>
  <c r="F20" i="648"/>
  <c r="F17" i="648"/>
  <c r="E18" i="648"/>
  <c r="E19" i="648"/>
  <c r="E20" i="648"/>
  <c r="E17" i="648"/>
  <c r="G37" i="637" l="1"/>
  <c r="G22" i="637"/>
  <c r="G27" i="637"/>
  <c r="G40" i="637" l="1"/>
  <c r="G42" i="637" l="1"/>
  <c r="E176" i="637"/>
  <c r="E178" i="637" s="1"/>
  <c r="I27" i="628"/>
  <c r="D34" i="648" l="1"/>
  <c r="C31" i="648"/>
  <c r="C30" i="648"/>
  <c r="C29" i="648"/>
  <c r="C28" i="648"/>
  <c r="C15" i="648"/>
  <c r="C8" i="648"/>
  <c r="C7" i="648"/>
  <c r="C27" i="149"/>
  <c r="C50" i="149"/>
  <c r="C10" i="648" l="1"/>
  <c r="C33" i="648"/>
  <c r="C53" i="149"/>
  <c r="C34" i="648" l="1"/>
  <c r="E5" i="648" s="1"/>
  <c r="C8" i="83"/>
  <c r="C9" i="83"/>
  <c r="C10" i="83"/>
  <c r="C11" i="83"/>
  <c r="C15" i="83"/>
  <c r="C16" i="83"/>
  <c r="C24" i="83"/>
  <c r="C25" i="83"/>
  <c r="C26" i="83"/>
  <c r="C30" i="83"/>
  <c r="C31" i="83"/>
  <c r="C35" i="83"/>
  <c r="C36" i="83"/>
  <c r="C37" i="83"/>
  <c r="C38" i="83"/>
  <c r="C39" i="83"/>
  <c r="C40" i="83"/>
  <c r="C41" i="83"/>
  <c r="C43" i="83"/>
  <c r="C44" i="83"/>
  <c r="C45" i="83"/>
  <c r="C48" i="83"/>
  <c r="C50" i="83"/>
  <c r="C52" i="83"/>
  <c r="C104" i="83" s="1"/>
  <c r="C56" i="83"/>
  <c r="C46" i="83"/>
  <c r="C47" i="83"/>
  <c r="C49" i="83"/>
  <c r="C53" i="83"/>
  <c r="C54" i="83"/>
  <c r="C55" i="83"/>
  <c r="C57" i="83"/>
  <c r="D8" i="83"/>
  <c r="C27" i="83" l="1"/>
  <c r="C102" i="83" s="1"/>
  <c r="Q47" i="637" l="1"/>
  <c r="P47" i="637"/>
  <c r="O47" i="637"/>
  <c r="N47" i="637"/>
  <c r="Q45" i="637"/>
  <c r="N46" i="637" s="1"/>
  <c r="L45" i="637"/>
  <c r="I46" i="637" s="1"/>
  <c r="G45" i="637"/>
  <c r="D46" i="637" s="1"/>
  <c r="H46" i="637" l="1"/>
  <c r="K46" i="637"/>
  <c r="J46" i="637"/>
  <c r="C46" i="637"/>
  <c r="M46" i="637"/>
  <c r="F46" i="637"/>
  <c r="P46" i="637"/>
  <c r="E46" i="637"/>
  <c r="O46" i="637"/>
  <c r="F39" i="7"/>
  <c r="AL131" i="645" l="1"/>
  <c r="AJ131" i="645"/>
  <c r="AI131" i="645"/>
  <c r="T131" i="645"/>
  <c r="T133" i="645" s="1"/>
  <c r="T119" i="645"/>
  <c r="H119" i="645"/>
  <c r="F119" i="645"/>
  <c r="D119" i="645"/>
  <c r="C119" i="645"/>
  <c r="C19" i="645" s="1"/>
  <c r="AL107" i="645"/>
  <c r="AJ107" i="645"/>
  <c r="AI107" i="645"/>
  <c r="T107" i="645"/>
  <c r="H107" i="645"/>
  <c r="D107" i="645"/>
  <c r="C107" i="645"/>
  <c r="C21" i="645" s="1"/>
  <c r="AL95" i="645"/>
  <c r="AJ95" i="645"/>
  <c r="AI95" i="645"/>
  <c r="T95" i="645"/>
  <c r="H95" i="645"/>
  <c r="F95" i="645"/>
  <c r="D95" i="645"/>
  <c r="C95" i="645"/>
  <c r="C20" i="645" s="1"/>
  <c r="T83" i="645"/>
  <c r="C83" i="645"/>
  <c r="D13" i="645"/>
  <c r="D83" i="645"/>
  <c r="D10" i="645"/>
  <c r="D8" i="645"/>
  <c r="D7" i="645"/>
  <c r="D6" i="645"/>
  <c r="K22" i="645"/>
  <c r="N18" i="645"/>
  <c r="M18" i="645"/>
  <c r="T134" i="645" l="1"/>
  <c r="D9" i="645"/>
  <c r="O18" i="645"/>
  <c r="U107" i="645"/>
  <c r="AJ83" i="645"/>
  <c r="U95" i="645"/>
  <c r="E107" i="645"/>
  <c r="C131" i="645"/>
  <c r="AM107" i="645"/>
  <c r="W107" i="645"/>
  <c r="F107" i="645"/>
  <c r="E10" i="645"/>
  <c r="B31" i="639" s="1"/>
  <c r="W119" i="645"/>
  <c r="D33" i="645"/>
  <c r="E6" i="645"/>
  <c r="W95" i="645"/>
  <c r="E119" i="645"/>
  <c r="D19" i="645" s="1"/>
  <c r="AK95" i="645"/>
  <c r="U119" i="645"/>
  <c r="E9" i="645"/>
  <c r="B32" i="639" s="1"/>
  <c r="E95" i="645"/>
  <c r="AK107" i="645"/>
  <c r="AM95" i="645"/>
  <c r="E13" i="645"/>
  <c r="C17" i="645" l="1"/>
  <c r="C22" i="645" s="1"/>
  <c r="C1" i="645" s="1"/>
  <c r="G18" i="645"/>
  <c r="H18" i="645"/>
  <c r="I18" i="645"/>
  <c r="J18" i="645"/>
  <c r="D11" i="645"/>
  <c r="D14" i="645" s="1"/>
  <c r="D21" i="645"/>
  <c r="D20" i="645"/>
  <c r="D131" i="645"/>
  <c r="G107" i="645"/>
  <c r="E21" i="645" s="1"/>
  <c r="G119" i="645"/>
  <c r="E19" i="645" s="1"/>
  <c r="F6" i="645"/>
  <c r="G95" i="645"/>
  <c r="E20" i="645" s="1"/>
  <c r="V107" i="645"/>
  <c r="V119" i="645"/>
  <c r="AK131" i="645"/>
  <c r="B91" i="639" s="1"/>
  <c r="F9" i="645"/>
  <c r="F13" i="645"/>
  <c r="E11" i="645"/>
  <c r="B34" i="639" s="1"/>
  <c r="E131" i="645"/>
  <c r="D18" i="645" s="1"/>
  <c r="W136" i="645"/>
  <c r="AM131" i="645"/>
  <c r="E83" i="645"/>
  <c r="C14" i="7" s="1"/>
  <c r="D17" i="645" l="1"/>
  <c r="E17" i="645" s="1"/>
  <c r="H38" i="627"/>
  <c r="D8" i="644" s="1"/>
  <c r="C91" i="639"/>
  <c r="V95" i="645"/>
  <c r="F10" i="645"/>
  <c r="K32" i="639"/>
  <c r="H83" i="639" s="1"/>
  <c r="D22" i="645"/>
  <c r="D1" i="645" s="1"/>
  <c r="E69" i="645"/>
  <c r="K31" i="639"/>
  <c r="H82" i="639" s="1"/>
  <c r="I95" i="645"/>
  <c r="F20" i="645" s="1"/>
  <c r="X95" i="645"/>
  <c r="I119" i="645"/>
  <c r="F19" i="645" s="1"/>
  <c r="I107" i="645"/>
  <c r="F21" i="645" s="1"/>
  <c r="C8" i="638" s="1"/>
  <c r="X107" i="645"/>
  <c r="X119" i="645"/>
  <c r="F69" i="645"/>
  <c r="F11" i="645"/>
  <c r="E57" i="645"/>
  <c r="F17" i="645"/>
  <c r="G17" i="645" s="1"/>
  <c r="H17" i="645" s="1"/>
  <c r="I17" i="645" s="1"/>
  <c r="J17" i="645" s="1"/>
  <c r="J22" i="645" s="1"/>
  <c r="J1" i="645" s="1"/>
  <c r="E25" i="645"/>
  <c r="V131" i="645"/>
  <c r="H22" i="645" l="1"/>
  <c r="H1" i="645" s="1"/>
  <c r="I22" i="645"/>
  <c r="I1" i="645" s="1"/>
  <c r="G22" i="645"/>
  <c r="G1" i="645" s="1"/>
  <c r="K34" i="639"/>
  <c r="V83" i="645"/>
  <c r="F25" i="645"/>
  <c r="F57" i="645"/>
  <c r="O25" i="644" l="1"/>
  <c r="J25" i="644"/>
  <c r="G25" i="644"/>
  <c r="F25" i="644"/>
  <c r="D25" i="644"/>
  <c r="C25" i="644"/>
  <c r="M24" i="644"/>
  <c r="M23" i="644"/>
  <c r="H22" i="644"/>
  <c r="K22" i="644" s="1"/>
  <c r="H21" i="644"/>
  <c r="K21" i="644" s="1"/>
  <c r="L21" i="644" s="1"/>
  <c r="H20" i="644"/>
  <c r="K20" i="644" s="1"/>
  <c r="E25" i="644"/>
  <c r="D96" i="639"/>
  <c r="C96" i="639"/>
  <c r="B96" i="639"/>
  <c r="J86" i="639"/>
  <c r="F86" i="639"/>
  <c r="L72" i="639"/>
  <c r="L71" i="639"/>
  <c r="L70" i="639"/>
  <c r="L69" i="639"/>
  <c r="L68" i="639"/>
  <c r="L67" i="639"/>
  <c r="L66" i="639"/>
  <c r="L65" i="639"/>
  <c r="L64" i="639"/>
  <c r="L63" i="639"/>
  <c r="L62" i="639"/>
  <c r="L61" i="639"/>
  <c r="L60" i="639"/>
  <c r="L59" i="639"/>
  <c r="L58" i="639"/>
  <c r="L56" i="639"/>
  <c r="J36" i="639"/>
  <c r="H36" i="639"/>
  <c r="F36" i="639"/>
  <c r="C36" i="639"/>
  <c r="D35" i="639"/>
  <c r="H85" i="639"/>
  <c r="D34" i="639"/>
  <c r="M34" i="639" s="1"/>
  <c r="K83" i="639"/>
  <c r="D32" i="639"/>
  <c r="M32" i="639" s="1"/>
  <c r="K82" i="639"/>
  <c r="D31" i="639"/>
  <c r="M31" i="639" s="1"/>
  <c r="K30" i="639"/>
  <c r="D30" i="639"/>
  <c r="K29" i="639"/>
  <c r="D29" i="639"/>
  <c r="M29" i="639" s="1"/>
  <c r="D28" i="639"/>
  <c r="M28" i="639" s="1"/>
  <c r="K27" i="639"/>
  <c r="D27" i="639"/>
  <c r="M27" i="639" s="1"/>
  <c r="D26" i="639"/>
  <c r="K25" i="639"/>
  <c r="D25" i="639"/>
  <c r="G25" i="639" s="1"/>
  <c r="K24" i="639"/>
  <c r="H74" i="639" s="1"/>
  <c r="K74" i="639" s="1"/>
  <c r="D24" i="639"/>
  <c r="M24" i="639" s="1"/>
  <c r="K23" i="639"/>
  <c r="H73" i="639" s="1"/>
  <c r="D23" i="639"/>
  <c r="G23" i="639" s="1"/>
  <c r="F33" i="638"/>
  <c r="E33" i="638"/>
  <c r="D33" i="638"/>
  <c r="C33" i="638"/>
  <c r="F23" i="638"/>
  <c r="E23" i="638"/>
  <c r="D23" i="638"/>
  <c r="C23" i="638"/>
  <c r="C10" i="638"/>
  <c r="D7" i="638"/>
  <c r="D11" i="638" s="1"/>
  <c r="G142" i="637"/>
  <c r="F142" i="637"/>
  <c r="D142" i="637"/>
  <c r="C141" i="637"/>
  <c r="C140" i="637"/>
  <c r="C139" i="637"/>
  <c r="C138" i="637"/>
  <c r="C137" i="637"/>
  <c r="C136" i="637"/>
  <c r="C135" i="637"/>
  <c r="C106" i="637"/>
  <c r="C104" i="637"/>
  <c r="G67" i="637"/>
  <c r="P41" i="637"/>
  <c r="O41" i="637"/>
  <c r="N41" i="637"/>
  <c r="M41" i="637"/>
  <c r="J41" i="637"/>
  <c r="K41" i="637"/>
  <c r="I41" i="637"/>
  <c r="C39" i="637"/>
  <c r="F38" i="637"/>
  <c r="P36" i="637"/>
  <c r="H36" i="637"/>
  <c r="F36" i="637"/>
  <c r="O35" i="637"/>
  <c r="J35" i="637"/>
  <c r="E35" i="637"/>
  <c r="P34" i="637"/>
  <c r="O34" i="637"/>
  <c r="N34" i="637"/>
  <c r="M34" i="637"/>
  <c r="K34" i="637"/>
  <c r="J34" i="637"/>
  <c r="I34" i="637"/>
  <c r="H34" i="637"/>
  <c r="F34" i="637"/>
  <c r="E34" i="637"/>
  <c r="D34" i="637"/>
  <c r="C34" i="637"/>
  <c r="F33" i="637"/>
  <c r="E33" i="637"/>
  <c r="D33" i="637"/>
  <c r="C33" i="637"/>
  <c r="M32" i="637"/>
  <c r="E32" i="637"/>
  <c r="P31" i="637"/>
  <c r="O31" i="637"/>
  <c r="N31" i="637"/>
  <c r="M31" i="637"/>
  <c r="K31" i="637"/>
  <c r="J31" i="637"/>
  <c r="I31" i="637"/>
  <c r="H31" i="637"/>
  <c r="F31" i="637"/>
  <c r="E31" i="637"/>
  <c r="D31" i="637"/>
  <c r="C31" i="637"/>
  <c r="N30" i="637"/>
  <c r="H30" i="637"/>
  <c r="E30" i="637"/>
  <c r="P29" i="637"/>
  <c r="O29" i="637"/>
  <c r="N29" i="637"/>
  <c r="M29" i="637"/>
  <c r="O26" i="637"/>
  <c r="I26" i="637"/>
  <c r="F26" i="637"/>
  <c r="P25" i="637"/>
  <c r="K25" i="637"/>
  <c r="C25" i="637"/>
  <c r="P24" i="637"/>
  <c r="O24" i="637"/>
  <c r="N24" i="637"/>
  <c r="M24" i="637"/>
  <c r="I24" i="637"/>
  <c r="J24" i="637"/>
  <c r="F24" i="637"/>
  <c r="E24" i="637"/>
  <c r="D24" i="637"/>
  <c r="C24" i="637"/>
  <c r="P21" i="637"/>
  <c r="O21" i="637"/>
  <c r="N21" i="637"/>
  <c r="M21" i="637"/>
  <c r="K21" i="637"/>
  <c r="J21" i="637"/>
  <c r="I21" i="637"/>
  <c r="H21" i="637"/>
  <c r="O20" i="637"/>
  <c r="J20" i="637"/>
  <c r="P18" i="637"/>
  <c r="O18" i="637"/>
  <c r="N18" i="637"/>
  <c r="M18" i="637"/>
  <c r="K18" i="637"/>
  <c r="J18" i="637"/>
  <c r="I18" i="637"/>
  <c r="H18" i="637"/>
  <c r="O17" i="637"/>
  <c r="P17" i="637"/>
  <c r="I17" i="637"/>
  <c r="P16" i="637"/>
  <c r="O16" i="637"/>
  <c r="N16" i="637"/>
  <c r="M16" i="637"/>
  <c r="K16" i="637"/>
  <c r="J16" i="637"/>
  <c r="I16" i="637"/>
  <c r="H16" i="637"/>
  <c r="O15" i="637"/>
  <c r="H15" i="637"/>
  <c r="E22" i="636"/>
  <c r="D22" i="636"/>
  <c r="C22" i="636"/>
  <c r="F20" i="636"/>
  <c r="F22" i="636" s="1"/>
  <c r="F13" i="636"/>
  <c r="B13" i="636"/>
  <c r="B20" i="636" s="1"/>
  <c r="F10" i="636"/>
  <c r="F7" i="636"/>
  <c r="C11" i="635"/>
  <c r="O36" i="634"/>
  <c r="O35" i="634"/>
  <c r="O24" i="634"/>
  <c r="O23" i="634"/>
  <c r="C10" i="634"/>
  <c r="G42" i="633"/>
  <c r="G29" i="633"/>
  <c r="G14" i="633"/>
  <c r="C36" i="638" l="1"/>
  <c r="C47" i="638" s="1"/>
  <c r="C46" i="638" s="1"/>
  <c r="D36" i="638"/>
  <c r="D47" i="638" s="1"/>
  <c r="D46" i="638" s="1"/>
  <c r="E12" i="628"/>
  <c r="G76" i="637"/>
  <c r="E36" i="638"/>
  <c r="E47" i="638" s="1"/>
  <c r="E46" i="638" s="1"/>
  <c r="F36" i="638"/>
  <c r="F47" i="638" s="1"/>
  <c r="F46" i="638" s="1"/>
  <c r="M20" i="644"/>
  <c r="L20" i="644"/>
  <c r="M22" i="644"/>
  <c r="L22" i="644"/>
  <c r="C107" i="637"/>
  <c r="K25" i="644"/>
  <c r="M21" i="644"/>
  <c r="B75" i="639"/>
  <c r="D75" i="639" s="1"/>
  <c r="G75" i="639" s="1"/>
  <c r="B76" i="639"/>
  <c r="H75" i="639"/>
  <c r="K75" i="639" s="1"/>
  <c r="H76" i="639"/>
  <c r="H81" i="639"/>
  <c r="K81" i="639" s="1"/>
  <c r="H78" i="639"/>
  <c r="H35" i="627"/>
  <c r="D5" i="644" s="1"/>
  <c r="I35" i="627"/>
  <c r="E5" i="644" s="1"/>
  <c r="H80" i="639"/>
  <c r="K80" i="639" s="1"/>
  <c r="C16" i="634"/>
  <c r="D5" i="634"/>
  <c r="D5" i="635"/>
  <c r="D11" i="635" s="1"/>
  <c r="G30" i="639"/>
  <c r="B81" i="639" s="1"/>
  <c r="D81" i="639" s="1"/>
  <c r="M30" i="639"/>
  <c r="M25" i="639"/>
  <c r="M13" i="628"/>
  <c r="G24" i="639"/>
  <c r="B74" i="639" s="1"/>
  <c r="D74" i="639" s="1"/>
  <c r="G74" i="639" s="1"/>
  <c r="L74" i="639" s="1"/>
  <c r="G31" i="639"/>
  <c r="B82" i="639" s="1"/>
  <c r="O11" i="635"/>
  <c r="O30" i="634"/>
  <c r="E13" i="628"/>
  <c r="D13" i="628" s="1"/>
  <c r="H25" i="644"/>
  <c r="I13" i="628"/>
  <c r="G13" i="628" s="1"/>
  <c r="H13" i="628" s="1"/>
  <c r="M23" i="639"/>
  <c r="I25" i="644"/>
  <c r="E142" i="637"/>
  <c r="C142" i="637" s="1"/>
  <c r="C144" i="637" s="1"/>
  <c r="C134" i="637"/>
  <c r="K85" i="639"/>
  <c r="L25" i="639"/>
  <c r="G34" i="639"/>
  <c r="G32" i="639"/>
  <c r="B83" i="639" s="1"/>
  <c r="D36" i="639"/>
  <c r="K26" i="637"/>
  <c r="P26" i="637"/>
  <c r="P27" i="637" s="1"/>
  <c r="I15" i="637"/>
  <c r="J15" i="637"/>
  <c r="K15" i="637"/>
  <c r="N26" i="637"/>
  <c r="H20" i="637"/>
  <c r="C32" i="637"/>
  <c r="I20" i="637"/>
  <c r="C26" i="637"/>
  <c r="C27" i="637" s="1"/>
  <c r="I30" i="637"/>
  <c r="D32" i="637"/>
  <c r="D26" i="637"/>
  <c r="E26" i="637"/>
  <c r="M36" i="637"/>
  <c r="F32" i="637"/>
  <c r="O36" i="637"/>
  <c r="J17" i="637"/>
  <c r="K35" i="637"/>
  <c r="H17" i="637"/>
  <c r="K17" i="637"/>
  <c r="M26" i="637"/>
  <c r="K20" i="637"/>
  <c r="H24" i="637"/>
  <c r="D25" i="637"/>
  <c r="N35" i="637"/>
  <c r="N15" i="637"/>
  <c r="N17" i="637"/>
  <c r="P20" i="637"/>
  <c r="K24" i="637"/>
  <c r="I25" i="637"/>
  <c r="I27" i="637" s="1"/>
  <c r="H26" i="637"/>
  <c r="F30" i="637"/>
  <c r="N32" i="637"/>
  <c r="D36" i="637"/>
  <c r="M15" i="637"/>
  <c r="M17" i="637"/>
  <c r="P15" i="637"/>
  <c r="J26" i="637"/>
  <c r="D29" i="637"/>
  <c r="G35" i="639"/>
  <c r="L35" i="639" s="1"/>
  <c r="M75" i="639"/>
  <c r="B73" i="639"/>
  <c r="L23" i="639"/>
  <c r="M26" i="639"/>
  <c r="G27" i="639"/>
  <c r="B36" i="639"/>
  <c r="K73" i="639"/>
  <c r="G29" i="639"/>
  <c r="C114" i="637"/>
  <c r="C110" i="637"/>
  <c r="F35" i="637"/>
  <c r="E25" i="637"/>
  <c r="M25" i="637"/>
  <c r="H29" i="637"/>
  <c r="J30" i="637"/>
  <c r="O32" i="637"/>
  <c r="M20" i="637"/>
  <c r="F25" i="637"/>
  <c r="F27" i="637" s="1"/>
  <c r="N25" i="637"/>
  <c r="I29" i="637"/>
  <c r="C30" i="637"/>
  <c r="K30" i="637"/>
  <c r="P32" i="637"/>
  <c r="H35" i="637"/>
  <c r="P35" i="637"/>
  <c r="I36" i="637"/>
  <c r="C38" i="637"/>
  <c r="D39" i="637"/>
  <c r="E39" i="637"/>
  <c r="N20" i="637"/>
  <c r="O25" i="637"/>
  <c r="O27" i="637" s="1"/>
  <c r="Q27" i="637"/>
  <c r="J29" i="637"/>
  <c r="D30" i="637"/>
  <c r="I35" i="637"/>
  <c r="J36" i="637"/>
  <c r="D38" i="637"/>
  <c r="H25" i="637"/>
  <c r="C29" i="637"/>
  <c r="K29" i="637"/>
  <c r="M30" i="637"/>
  <c r="C36" i="637"/>
  <c r="K36" i="637"/>
  <c r="E38" i="637"/>
  <c r="F39" i="637"/>
  <c r="C35" i="637"/>
  <c r="J25" i="637"/>
  <c r="L27" i="637"/>
  <c r="E29" i="637"/>
  <c r="O30" i="637"/>
  <c r="D35" i="637"/>
  <c r="E36" i="637"/>
  <c r="F29" i="637"/>
  <c r="P30" i="637"/>
  <c r="M35" i="637"/>
  <c r="N36" i="637"/>
  <c r="H41" i="637"/>
  <c r="D80" i="637"/>
  <c r="D83" i="637" s="1"/>
  <c r="D87" i="637" s="1"/>
  <c r="O29" i="634"/>
  <c r="I24" i="629"/>
  <c r="I19" i="629"/>
  <c r="I13" i="629"/>
  <c r="I7" i="629"/>
  <c r="D83" i="628"/>
  <c r="D80" i="628"/>
  <c r="E26" i="628"/>
  <c r="R25" i="628"/>
  <c r="M25" i="628"/>
  <c r="C22" i="629" s="1"/>
  <c r="I25" i="628"/>
  <c r="S27" i="628" s="1"/>
  <c r="T27" i="628" s="1"/>
  <c r="E25" i="628"/>
  <c r="C25" i="628" s="1"/>
  <c r="C18" i="628"/>
  <c r="S17" i="628"/>
  <c r="T17" i="628" s="1"/>
  <c r="C16" i="628"/>
  <c r="D16" i="628" s="1"/>
  <c r="R13" i="628"/>
  <c r="R15" i="628" s="1"/>
  <c r="R10" i="628"/>
  <c r="O7" i="628"/>
  <c r="O3" i="628"/>
  <c r="I64" i="627"/>
  <c r="J41" i="627"/>
  <c r="K33" i="627"/>
  <c r="J33" i="627"/>
  <c r="G24" i="627"/>
  <c r="H23" i="627"/>
  <c r="G23" i="627"/>
  <c r="H24" i="627" s="1"/>
  <c r="G21" i="627"/>
  <c r="K13" i="628" l="1"/>
  <c r="L13" i="628" s="1"/>
  <c r="C9" i="629"/>
  <c r="L75" i="639"/>
  <c r="L25" i="644"/>
  <c r="F9" i="629"/>
  <c r="E11" i="553" s="1"/>
  <c r="M25" i="644"/>
  <c r="L27" i="639"/>
  <c r="B78" i="639"/>
  <c r="C145" i="637"/>
  <c r="C146" i="637" s="1"/>
  <c r="C17" i="635"/>
  <c r="L34" i="639"/>
  <c r="B85" i="639"/>
  <c r="D85" i="639" s="1"/>
  <c r="M85" i="639" s="1"/>
  <c r="M81" i="639"/>
  <c r="L29" i="639"/>
  <c r="B80" i="639"/>
  <c r="D80" i="639" s="1"/>
  <c r="E5" i="635"/>
  <c r="E11" i="635" s="1"/>
  <c r="L30" i="639"/>
  <c r="D82" i="639"/>
  <c r="M82" i="639" s="1"/>
  <c r="L31" i="639"/>
  <c r="L32" i="639"/>
  <c r="L24" i="639"/>
  <c r="D84" i="628"/>
  <c r="M74" i="639"/>
  <c r="R29" i="628"/>
  <c r="K25" i="628"/>
  <c r="L25" i="628" s="1"/>
  <c r="C115" i="637"/>
  <c r="C113" i="637"/>
  <c r="C116" i="637" s="1"/>
  <c r="K27" i="637"/>
  <c r="G25" i="627"/>
  <c r="G26" i="627" s="1"/>
  <c r="G27" i="627" s="1"/>
  <c r="J27" i="637"/>
  <c r="D83" i="639"/>
  <c r="M83" i="639" s="1"/>
  <c r="F70" i="628"/>
  <c r="D27" i="637"/>
  <c r="M36" i="639"/>
  <c r="M27" i="637"/>
  <c r="N27" i="637"/>
  <c r="E27" i="637"/>
  <c r="H27" i="637"/>
  <c r="D37" i="637"/>
  <c r="E37" i="637"/>
  <c r="C37" i="637"/>
  <c r="G81" i="639"/>
  <c r="L81" i="639" s="1"/>
  <c r="D73" i="639"/>
  <c r="F37" i="637"/>
  <c r="E80" i="637"/>
  <c r="E83" i="637" s="1"/>
  <c r="E87" i="637" s="1"/>
  <c r="D85" i="637"/>
  <c r="G22" i="629"/>
  <c r="G21" i="629"/>
  <c r="D25" i="628"/>
  <c r="C13" i="628"/>
  <c r="G25" i="628"/>
  <c r="H25" i="628" s="1"/>
  <c r="E27" i="628"/>
  <c r="J46" i="627"/>
  <c r="G82" i="639" l="1"/>
  <c r="L82" i="639" s="1"/>
  <c r="O17" i="635"/>
  <c r="O23" i="635" s="1"/>
  <c r="C30" i="635" s="1"/>
  <c r="C23" i="635"/>
  <c r="D17" i="635" s="1"/>
  <c r="D23" i="635" s="1"/>
  <c r="E17" i="635" s="1"/>
  <c r="E23" i="635" s="1"/>
  <c r="F17" i="635" s="1"/>
  <c r="F23" i="635" s="1"/>
  <c r="F5" i="635"/>
  <c r="F11" i="635" s="1"/>
  <c r="G80" i="639"/>
  <c r="L80" i="639" s="1"/>
  <c r="M80" i="639"/>
  <c r="H21" i="627"/>
  <c r="H25" i="627" s="1"/>
  <c r="H26" i="627" s="1"/>
  <c r="H27" i="627" s="1"/>
  <c r="G83" i="639"/>
  <c r="L83" i="639" s="1"/>
  <c r="G85" i="639"/>
  <c r="L85" i="639" s="1"/>
  <c r="M73" i="639"/>
  <c r="G73" i="639"/>
  <c r="E85" i="637"/>
  <c r="I22" i="629"/>
  <c r="I21" i="629"/>
  <c r="E35" i="97" l="1"/>
  <c r="G17" i="635"/>
  <c r="G23" i="635" s="1"/>
  <c r="G5" i="635"/>
  <c r="G11" i="635" s="1"/>
  <c r="L73" i="639"/>
  <c r="O30" i="635" l="1"/>
  <c r="O36" i="635" s="1"/>
  <c r="F35" i="97" s="1"/>
  <c r="C36" i="635"/>
  <c r="H17" i="635"/>
  <c r="H23" i="635" s="1"/>
  <c r="H5" i="635"/>
  <c r="H11" i="635" s="1"/>
  <c r="D30" i="635" l="1"/>
  <c r="D36" i="635" s="1"/>
  <c r="I17" i="635"/>
  <c r="I23" i="635" s="1"/>
  <c r="I5" i="635"/>
  <c r="I11" i="635" s="1"/>
  <c r="E30" i="635" l="1"/>
  <c r="E36" i="635" s="1"/>
  <c r="J17" i="635"/>
  <c r="J23" i="635" s="1"/>
  <c r="J5" i="635"/>
  <c r="J11" i="635" s="1"/>
  <c r="F30" i="635" l="1"/>
  <c r="F36" i="635" s="1"/>
  <c r="K17" i="635"/>
  <c r="K23" i="635" s="1"/>
  <c r="K5" i="635"/>
  <c r="K11" i="635" s="1"/>
  <c r="G30" i="635" l="1"/>
  <c r="G36" i="635" s="1"/>
  <c r="H30" i="635" s="1"/>
  <c r="H36" i="635" s="1"/>
  <c r="I30" i="635" s="1"/>
  <c r="I36" i="635" s="1"/>
  <c r="J30" i="635" s="1"/>
  <c r="J36" i="635" s="1"/>
  <c r="K30" i="635" s="1"/>
  <c r="K36" i="635" s="1"/>
  <c r="L30" i="635" s="1"/>
  <c r="L17" i="635"/>
  <c r="L23" i="635" s="1"/>
  <c r="L5" i="635"/>
  <c r="L11" i="635" s="1"/>
  <c r="C17" i="628"/>
  <c r="D17" i="628" s="1"/>
  <c r="L36" i="635" l="1"/>
  <c r="M30" i="635" s="1"/>
  <c r="M17" i="635"/>
  <c r="M23" i="635" s="1"/>
  <c r="M5" i="635"/>
  <c r="M11" i="635" s="1"/>
  <c r="C29" i="83"/>
  <c r="D53" i="83"/>
  <c r="H16" i="570"/>
  <c r="D57" i="83"/>
  <c r="C58" i="83"/>
  <c r="D56" i="83"/>
  <c r="D52" i="83"/>
  <c r="D104" i="83" s="1"/>
  <c r="M36" i="635" l="1"/>
  <c r="N30" i="635" s="1"/>
  <c r="N17" i="635"/>
  <c r="N23" i="635" s="1"/>
  <c r="N5" i="635"/>
  <c r="N11" i="635" s="1"/>
  <c r="E25" i="566"/>
  <c r="N36" i="635" l="1"/>
  <c r="G45" i="97"/>
  <c r="H45" i="97"/>
  <c r="C8" i="97"/>
  <c r="C18" i="97" s="1"/>
  <c r="H44" i="97"/>
  <c r="G44" i="97"/>
  <c r="H41" i="97"/>
  <c r="G41" i="97"/>
  <c r="H38" i="97"/>
  <c r="G38" i="97"/>
  <c r="H33" i="97"/>
  <c r="G33" i="97"/>
  <c r="H25" i="97"/>
  <c r="G25" i="97"/>
  <c r="H20" i="97"/>
  <c r="G20" i="97"/>
  <c r="H19" i="97"/>
  <c r="G19" i="97"/>
  <c r="H15" i="97"/>
  <c r="G15" i="97"/>
  <c r="H12" i="97"/>
  <c r="G12" i="97"/>
  <c r="H11" i="97"/>
  <c r="G11" i="97"/>
  <c r="J32" i="402" l="1"/>
  <c r="I32" i="402"/>
  <c r="G32" i="402"/>
  <c r="F32" i="402"/>
  <c r="E32" i="402"/>
  <c r="D32" i="402"/>
  <c r="C32" i="402"/>
  <c r="J10" i="400"/>
  <c r="J11" i="400"/>
  <c r="J12" i="400"/>
  <c r="J13" i="400"/>
  <c r="J14" i="400"/>
  <c r="C15" i="400"/>
  <c r="D15" i="400"/>
  <c r="E15" i="400"/>
  <c r="F15" i="400"/>
  <c r="G15" i="400"/>
  <c r="H15" i="400"/>
  <c r="I15" i="400"/>
  <c r="K15" i="400"/>
  <c r="L15" i="400"/>
  <c r="J15" i="400" l="1"/>
  <c r="M164" i="637" l="1"/>
  <c r="B89" i="83" l="1"/>
  <c r="J4" i="627" l="1"/>
  <c r="I4" i="627"/>
  <c r="C33" i="627" l="1"/>
  <c r="C34" i="627" s="1"/>
  <c r="D33" i="627"/>
  <c r="D34" i="627" s="1"/>
  <c r="D5" i="149" l="1"/>
  <c r="F49" i="8" l="1"/>
  <c r="K49" i="8"/>
  <c r="S45" i="8"/>
  <c r="C49" i="8"/>
  <c r="E49" i="8"/>
  <c r="S48" i="8"/>
  <c r="S46" i="8"/>
  <c r="D25" i="83" l="1"/>
  <c r="D41" i="83"/>
  <c r="D12" i="149"/>
  <c r="E17" i="97" s="1"/>
  <c r="D49" i="8"/>
  <c r="I49" i="8"/>
  <c r="L5" i="627" l="1"/>
  <c r="L7" i="627" s="1"/>
  <c r="E12" i="149"/>
  <c r="F17" i="97" s="1"/>
  <c r="G49" i="8"/>
  <c r="C6" i="96"/>
  <c r="B14" i="562" l="1"/>
  <c r="L8" i="627"/>
  <c r="L9" i="627" s="1"/>
  <c r="I3" i="627"/>
  <c r="F10" i="633"/>
  <c r="E10" i="633"/>
  <c r="S34" i="8" l="1"/>
  <c r="S33" i="8"/>
  <c r="S28" i="8"/>
  <c r="F12" i="633" l="1"/>
  <c r="F14" i="633" s="1"/>
  <c r="E12" i="633"/>
  <c r="E14" i="633" s="1"/>
  <c r="H14" i="633"/>
  <c r="F5" i="395"/>
  <c r="S31" i="8" l="1"/>
  <c r="E42" i="97" l="1"/>
  <c r="G42" i="97" s="1"/>
  <c r="G37" i="97"/>
  <c r="E16" i="97"/>
  <c r="C4" i="627" s="1"/>
  <c r="E6" i="97"/>
  <c r="I18" i="628" l="1"/>
  <c r="F16" i="97"/>
  <c r="D4" i="627" s="1"/>
  <c r="G16" i="97"/>
  <c r="G18" i="628" l="1"/>
  <c r="D44" i="149"/>
  <c r="F18" i="628"/>
  <c r="F59" i="570"/>
  <c r="F58" i="570"/>
  <c r="F57" i="570"/>
  <c r="F56" i="570"/>
  <c r="E59" i="570"/>
  <c r="E58" i="570"/>
  <c r="E57" i="570"/>
  <c r="E56" i="570"/>
  <c r="F42" i="570"/>
  <c r="C21" i="570"/>
  <c r="C17" i="570"/>
  <c r="C5" i="570"/>
  <c r="F4" i="570"/>
  <c r="F8" i="83" s="1"/>
  <c r="B21" i="570"/>
  <c r="B17" i="570"/>
  <c r="B5" i="570"/>
  <c r="F14" i="570"/>
  <c r="H18" i="628" l="1"/>
  <c r="F60" i="570"/>
  <c r="C7" i="436" l="1"/>
  <c r="D55" i="83" l="1"/>
  <c r="D54" i="83"/>
  <c r="D50" i="83"/>
  <c r="D49" i="83"/>
  <c r="D48" i="83"/>
  <c r="D47" i="83"/>
  <c r="D46" i="83"/>
  <c r="D45" i="83"/>
  <c r="D44" i="83"/>
  <c r="D43" i="83"/>
  <c r="D40" i="83"/>
  <c r="D39" i="83"/>
  <c r="D38" i="83"/>
  <c r="D37" i="83"/>
  <c r="D36" i="83"/>
  <c r="D35" i="83"/>
  <c r="D31" i="83"/>
  <c r="D26" i="83"/>
  <c r="D22" i="83"/>
  <c r="D16" i="83"/>
  <c r="D15" i="83"/>
  <c r="D11" i="83"/>
  <c r="D10" i="83"/>
  <c r="D9" i="83"/>
  <c r="I48" i="570"/>
  <c r="I60" i="570"/>
  <c r="I24" i="570"/>
  <c r="I19" i="570"/>
  <c r="I12" i="570"/>
  <c r="I8" i="570"/>
  <c r="C59" i="83" l="1"/>
  <c r="I52" i="570"/>
  <c r="H12" i="570" l="1"/>
  <c r="H8" i="570"/>
  <c r="H21" i="570"/>
  <c r="D29" i="83" s="1"/>
  <c r="H60" i="570"/>
  <c r="D58" i="83"/>
  <c r="D59" i="83" s="1"/>
  <c r="D24" i="83"/>
  <c r="D30" i="83" l="1"/>
  <c r="H19" i="570"/>
  <c r="H24" i="570"/>
  <c r="H48" i="570"/>
  <c r="H52" i="570" l="1"/>
  <c r="E15" i="628"/>
  <c r="D15" i="628" s="1"/>
  <c r="E31" i="628"/>
  <c r="C50" i="570"/>
  <c r="I35" i="596" l="1"/>
  <c r="H35" i="596"/>
  <c r="K25" i="596"/>
  <c r="J25" i="596"/>
  <c r="I25" i="596"/>
  <c r="H25" i="596"/>
  <c r="H6" i="596"/>
  <c r="D51" i="573" l="1"/>
  <c r="C51" i="573"/>
  <c r="D25" i="566" l="1"/>
  <c r="F25" i="566"/>
  <c r="L32" i="21" l="1"/>
  <c r="F63" i="571" l="1"/>
  <c r="N62" i="8"/>
  <c r="O61" i="8"/>
  <c r="N61" i="8"/>
  <c r="J61" i="8"/>
  <c r="N60" i="8"/>
  <c r="J60" i="8"/>
  <c r="J59" i="8"/>
  <c r="L90" i="8"/>
  <c r="J79" i="8"/>
  <c r="E60" i="570" l="1"/>
  <c r="K20" i="529" l="1"/>
  <c r="K19" i="529"/>
  <c r="K17" i="529"/>
  <c r="K14" i="529"/>
  <c r="K13" i="529"/>
  <c r="K12" i="529"/>
  <c r="K10" i="529"/>
  <c r="K8" i="529"/>
  <c r="K6" i="529"/>
  <c r="K5" i="529"/>
  <c r="K4" i="529"/>
  <c r="D62" i="411"/>
  <c r="D61" i="411"/>
  <c r="D60" i="411"/>
  <c r="D59" i="411"/>
  <c r="D58" i="411"/>
  <c r="D57" i="411"/>
  <c r="D56" i="411"/>
  <c r="D55" i="411"/>
  <c r="D52" i="411"/>
  <c r="M32" i="21" s="1"/>
  <c r="D51" i="411"/>
  <c r="D50" i="411"/>
  <c r="D49" i="411"/>
  <c r="M29" i="21" s="1"/>
  <c r="D48" i="411"/>
  <c r="D47" i="411"/>
  <c r="D46" i="411"/>
  <c r="D45" i="411"/>
  <c r="D44" i="411"/>
  <c r="D43" i="411"/>
  <c r="D42" i="411"/>
  <c r="D41" i="411"/>
  <c r="D40" i="411"/>
  <c r="D39" i="411"/>
  <c r="D38" i="411"/>
  <c r="D35" i="411"/>
  <c r="D34" i="411"/>
  <c r="D33" i="411"/>
  <c r="D27" i="411"/>
  <c r="D28" i="411"/>
  <c r="D31" i="411"/>
  <c r="D32" i="411"/>
  <c r="B164" i="637"/>
  <c r="N164" i="637"/>
  <c r="I164" i="637"/>
  <c r="C164" i="637"/>
  <c r="C71" i="83" s="1"/>
  <c r="D13" i="411"/>
  <c r="C81" i="83" l="1"/>
  <c r="C89" i="83"/>
  <c r="B71" i="83"/>
  <c r="H164" i="637"/>
  <c r="B81" i="83" s="1"/>
  <c r="K18" i="529"/>
  <c r="D20" i="411"/>
  <c r="AJ20" i="411" s="1"/>
  <c r="D25" i="411"/>
  <c r="D29" i="411"/>
  <c r="K11" i="529"/>
  <c r="D26" i="411"/>
  <c r="D30" i="411"/>
  <c r="K9" i="529"/>
  <c r="D14" i="411"/>
  <c r="K7" i="529"/>
  <c r="H31" i="402"/>
  <c r="H29" i="402"/>
  <c r="H28" i="402"/>
  <c r="H27" i="402"/>
  <c r="H26" i="402"/>
  <c r="H25" i="402"/>
  <c r="H16" i="402"/>
  <c r="H14" i="402"/>
  <c r="H13" i="402"/>
  <c r="H12" i="402"/>
  <c r="H11" i="402"/>
  <c r="H10" i="402"/>
  <c r="C55" i="400"/>
  <c r="D55" i="400"/>
  <c r="E55" i="400"/>
  <c r="F55" i="400"/>
  <c r="G55" i="400"/>
  <c r="H55" i="400"/>
  <c r="J37" i="400"/>
  <c r="J33" i="400"/>
  <c r="J32" i="400"/>
  <c r="J31" i="400"/>
  <c r="J30" i="400"/>
  <c r="J29" i="400"/>
  <c r="K15" i="529" l="1"/>
  <c r="K16" i="529" s="1"/>
  <c r="K21" i="529"/>
  <c r="K22" i="529" s="1"/>
  <c r="D39" i="97"/>
  <c r="E52" i="556" l="1"/>
  <c r="E51" i="556"/>
  <c r="E50" i="556"/>
  <c r="E49" i="556"/>
  <c r="E48" i="556"/>
  <c r="E47" i="556"/>
  <c r="E46" i="556"/>
  <c r="E45" i="556"/>
  <c r="E44" i="556"/>
  <c r="E43" i="556"/>
  <c r="E42" i="556"/>
  <c r="E40" i="556"/>
  <c r="E39" i="556"/>
  <c r="E38" i="556"/>
  <c r="E37" i="556"/>
  <c r="E36" i="556"/>
  <c r="E35" i="556"/>
  <c r="E34" i="556"/>
  <c r="E32" i="556"/>
  <c r="E31" i="556"/>
  <c r="E30" i="556"/>
  <c r="E29" i="556"/>
  <c r="E28" i="556"/>
  <c r="E27" i="556"/>
  <c r="E26" i="556"/>
  <c r="E25" i="556"/>
  <c r="E24" i="556"/>
  <c r="E23" i="556"/>
  <c r="E22" i="556"/>
  <c r="E21" i="556"/>
  <c r="E19" i="556"/>
  <c r="E18" i="556"/>
  <c r="E17" i="556"/>
  <c r="E16" i="556"/>
  <c r="E15" i="556"/>
  <c r="E14" i="556"/>
  <c r="E12" i="556"/>
  <c r="E11" i="556"/>
  <c r="E10" i="556"/>
  <c r="E9" i="556"/>
  <c r="E8" i="556"/>
  <c r="E7" i="556"/>
  <c r="E13" i="556" l="1"/>
  <c r="E53" i="556"/>
  <c r="E20" i="556"/>
  <c r="E41" i="556"/>
  <c r="E33" i="556"/>
  <c r="H13" i="571"/>
  <c r="E54" i="556" l="1"/>
  <c r="Q35" i="571"/>
  <c r="M35" i="571"/>
  <c r="J35" i="571"/>
  <c r="I36" i="571"/>
  <c r="L36" i="571" s="1"/>
  <c r="E18" i="566" l="1"/>
  <c r="N10" i="87" l="1"/>
  <c r="C8" i="596" l="1"/>
  <c r="F22" i="83"/>
  <c r="F50" i="570"/>
  <c r="F51" i="570" s="1"/>
  <c r="E50" i="570"/>
  <c r="E64" i="83" s="1"/>
  <c r="F47" i="570"/>
  <c r="F58" i="83" s="1"/>
  <c r="E47" i="570"/>
  <c r="E58" i="83" s="1"/>
  <c r="F46" i="570"/>
  <c r="E46" i="570"/>
  <c r="E57" i="83" s="1"/>
  <c r="F45" i="570"/>
  <c r="F56" i="83" s="1"/>
  <c r="E45" i="570"/>
  <c r="E56" i="83" s="1"/>
  <c r="F44" i="570"/>
  <c r="F55" i="83" s="1"/>
  <c r="E44" i="570"/>
  <c r="E55" i="83" s="1"/>
  <c r="F43" i="570"/>
  <c r="E43" i="570"/>
  <c r="E52" i="83" s="1"/>
  <c r="E104" i="83" s="1"/>
  <c r="E42" i="570"/>
  <c r="E41" i="570"/>
  <c r="E53" i="83" s="1"/>
  <c r="F40" i="570"/>
  <c r="F50" i="83" s="1"/>
  <c r="E40" i="570"/>
  <c r="E50" i="83" s="1"/>
  <c r="F39" i="570"/>
  <c r="F47" i="83" s="1"/>
  <c r="E39" i="570"/>
  <c r="E47" i="83" s="1"/>
  <c r="F38" i="570"/>
  <c r="F49" i="83" s="1"/>
  <c r="E38" i="570"/>
  <c r="E49" i="83" s="1"/>
  <c r="F37" i="570"/>
  <c r="F48" i="83" s="1"/>
  <c r="E37" i="570"/>
  <c r="E48" i="83" s="1"/>
  <c r="F36" i="570"/>
  <c r="F46" i="83" s="1"/>
  <c r="E36" i="570"/>
  <c r="E46" i="83" s="1"/>
  <c r="F35" i="570"/>
  <c r="E35" i="570"/>
  <c r="E45" i="83" s="1"/>
  <c r="F34" i="570"/>
  <c r="F44" i="83" s="1"/>
  <c r="E34" i="570"/>
  <c r="E44" i="83" s="1"/>
  <c r="F33" i="570"/>
  <c r="F43" i="83" s="1"/>
  <c r="E33" i="570"/>
  <c r="E43" i="83" s="1"/>
  <c r="E32" i="570"/>
  <c r="E41" i="83" s="1"/>
  <c r="E31" i="570"/>
  <c r="F30" i="570"/>
  <c r="F39" i="83" s="1"/>
  <c r="E30" i="570"/>
  <c r="E39" i="83" s="1"/>
  <c r="F29" i="570"/>
  <c r="F38" i="83" s="1"/>
  <c r="E29" i="570"/>
  <c r="E38" i="83" s="1"/>
  <c r="E28" i="570"/>
  <c r="E37" i="83" s="1"/>
  <c r="F27" i="570"/>
  <c r="F36" i="83" s="1"/>
  <c r="E27" i="570"/>
  <c r="E36" i="83" s="1"/>
  <c r="F26" i="570"/>
  <c r="F35" i="83" s="1"/>
  <c r="E26" i="570"/>
  <c r="E35" i="83" s="1"/>
  <c r="E23" i="570"/>
  <c r="E31" i="83" s="1"/>
  <c r="F22" i="570"/>
  <c r="F30" i="83" s="1"/>
  <c r="E22" i="570"/>
  <c r="E30" i="83" s="1"/>
  <c r="F21" i="570"/>
  <c r="F29" i="83" s="1"/>
  <c r="E21" i="570"/>
  <c r="E29" i="83" s="1"/>
  <c r="E18" i="570"/>
  <c r="E26" i="83" s="1"/>
  <c r="F17" i="570"/>
  <c r="F25" i="83" s="1"/>
  <c r="E17" i="570"/>
  <c r="E25" i="83" s="1"/>
  <c r="E16" i="570"/>
  <c r="E24" i="83" s="1"/>
  <c r="F15" i="570"/>
  <c r="F23" i="83" s="1"/>
  <c r="E15" i="570"/>
  <c r="E23" i="83" s="1"/>
  <c r="E14" i="570"/>
  <c r="F11" i="570"/>
  <c r="F16" i="83" s="1"/>
  <c r="E11" i="570"/>
  <c r="E16" i="83" s="1"/>
  <c r="F10" i="570"/>
  <c r="E10" i="570"/>
  <c r="E7" i="570"/>
  <c r="E6" i="570"/>
  <c r="E10" i="83" s="1"/>
  <c r="E5" i="570"/>
  <c r="E9" i="83" s="1"/>
  <c r="E4" i="570"/>
  <c r="E8" i="83" s="1"/>
  <c r="B60" i="570"/>
  <c r="C60" i="570"/>
  <c r="C51" i="570"/>
  <c r="B48" i="570"/>
  <c r="F41" i="570"/>
  <c r="F32" i="570"/>
  <c r="F31" i="570"/>
  <c r="F28" i="570"/>
  <c r="F37" i="83" s="1"/>
  <c r="B24" i="570"/>
  <c r="F23" i="570"/>
  <c r="B19" i="570"/>
  <c r="F18" i="570"/>
  <c r="F26" i="83" s="1"/>
  <c r="C12" i="570"/>
  <c r="B12" i="570"/>
  <c r="B8" i="570"/>
  <c r="F7" i="570"/>
  <c r="F11" i="83" s="1"/>
  <c r="F45" i="83" l="1"/>
  <c r="F57" i="83"/>
  <c r="F12" i="570"/>
  <c r="E12" i="570"/>
  <c r="F5" i="570"/>
  <c r="F9" i="83" s="1"/>
  <c r="C8" i="570"/>
  <c r="F41" i="83"/>
  <c r="E8" i="570"/>
  <c r="E51" i="570"/>
  <c r="F15" i="83"/>
  <c r="F53" i="83"/>
  <c r="E19" i="570"/>
  <c r="E24" i="570"/>
  <c r="F52" i="83"/>
  <c r="F104" i="83" s="1"/>
  <c r="E54" i="83"/>
  <c r="E11" i="83"/>
  <c r="E15" i="83"/>
  <c r="E22" i="83"/>
  <c r="H8" i="596"/>
  <c r="F64" i="83"/>
  <c r="E48" i="570"/>
  <c r="E40" i="83"/>
  <c r="C19" i="570"/>
  <c r="F54" i="83"/>
  <c r="C48" i="570"/>
  <c r="F31" i="83"/>
  <c r="F24" i="570"/>
  <c r="F48" i="570"/>
  <c r="F40" i="83"/>
  <c r="C24" i="570"/>
  <c r="F6" i="570"/>
  <c r="F10" i="83" s="1"/>
  <c r="F16" i="570"/>
  <c r="B52" i="570"/>
  <c r="E59" i="83" l="1"/>
  <c r="F20" i="83"/>
  <c r="F101" i="83" s="1"/>
  <c r="F59" i="83"/>
  <c r="E52" i="570"/>
  <c r="E53" i="570" s="1"/>
  <c r="C52" i="570"/>
  <c r="F24" i="83"/>
  <c r="F19" i="570"/>
  <c r="F8" i="570"/>
  <c r="C37" i="566"/>
  <c r="E31" i="566"/>
  <c r="E30" i="566"/>
  <c r="E27" i="566"/>
  <c r="E26" i="566"/>
  <c r="E22" i="566"/>
  <c r="D18" i="566"/>
  <c r="F18" i="566" s="1"/>
  <c r="E17" i="566"/>
  <c r="E13" i="566"/>
  <c r="E11" i="566"/>
  <c r="E9" i="566"/>
  <c r="E8" i="566"/>
  <c r="E7" i="566"/>
  <c r="D68" i="561"/>
  <c r="K11" i="561" s="1"/>
  <c r="G67" i="561"/>
  <c r="F67" i="561"/>
  <c r="E67" i="561"/>
  <c r="H66" i="561"/>
  <c r="H65" i="561"/>
  <c r="H64" i="561"/>
  <c r="H63" i="561"/>
  <c r="H62" i="561"/>
  <c r="H61" i="561"/>
  <c r="H60" i="561"/>
  <c r="G60" i="561"/>
  <c r="F60" i="561"/>
  <c r="E60" i="561"/>
  <c r="G59" i="561"/>
  <c r="F59" i="561"/>
  <c r="E59" i="561"/>
  <c r="G58" i="561"/>
  <c r="F58" i="561"/>
  <c r="E58" i="561"/>
  <c r="H57" i="561"/>
  <c r="G57" i="561"/>
  <c r="F57" i="561"/>
  <c r="E57" i="561"/>
  <c r="G56" i="561"/>
  <c r="F56" i="561"/>
  <c r="E56" i="561"/>
  <c r="M55" i="561"/>
  <c r="L55" i="561"/>
  <c r="G55" i="561"/>
  <c r="F55" i="561"/>
  <c r="E55" i="561"/>
  <c r="H54" i="561"/>
  <c r="G54" i="561"/>
  <c r="F54" i="561"/>
  <c r="G53" i="561"/>
  <c r="F53" i="561"/>
  <c r="E53" i="561"/>
  <c r="P52" i="561"/>
  <c r="P53" i="561" s="1"/>
  <c r="G52" i="561"/>
  <c r="F52" i="561"/>
  <c r="E52" i="561"/>
  <c r="H51" i="561"/>
  <c r="G51" i="561"/>
  <c r="F51" i="561"/>
  <c r="E51" i="561"/>
  <c r="K50" i="561"/>
  <c r="H50" i="561"/>
  <c r="G50" i="561"/>
  <c r="F50" i="561"/>
  <c r="G49" i="561"/>
  <c r="F49" i="561"/>
  <c r="E49" i="561"/>
  <c r="G48" i="561"/>
  <c r="F48" i="561"/>
  <c r="E48" i="561"/>
  <c r="K47" i="561"/>
  <c r="K55" i="561" s="1"/>
  <c r="D47" i="561"/>
  <c r="K10" i="561" s="1"/>
  <c r="H46" i="561"/>
  <c r="G46" i="561"/>
  <c r="F46" i="561"/>
  <c r="E46" i="561"/>
  <c r="H45" i="561"/>
  <c r="H44" i="561"/>
  <c r="H43" i="561"/>
  <c r="H42" i="561"/>
  <c r="G42" i="561"/>
  <c r="F42" i="561"/>
  <c r="E42" i="561"/>
  <c r="G41" i="561"/>
  <c r="F41" i="561"/>
  <c r="H40" i="561"/>
  <c r="G40" i="561"/>
  <c r="F40" i="561"/>
  <c r="E40" i="561"/>
  <c r="H39" i="561"/>
  <c r="G39" i="561"/>
  <c r="F39" i="561"/>
  <c r="D38" i="561"/>
  <c r="K9" i="561" s="1"/>
  <c r="G37" i="561"/>
  <c r="F37" i="561"/>
  <c r="H36" i="561"/>
  <c r="H35" i="561"/>
  <c r="H34" i="561"/>
  <c r="H33" i="561"/>
  <c r="H32" i="561"/>
  <c r="G32" i="561"/>
  <c r="F32" i="561"/>
  <c r="G31" i="561"/>
  <c r="F31" i="561"/>
  <c r="G30" i="561"/>
  <c r="F30" i="561"/>
  <c r="H29" i="561"/>
  <c r="G29" i="561"/>
  <c r="F29" i="561"/>
  <c r="H28" i="561"/>
  <c r="G28" i="561"/>
  <c r="F28" i="561"/>
  <c r="H27" i="561"/>
  <c r="G27" i="561"/>
  <c r="F27" i="561"/>
  <c r="H26" i="561"/>
  <c r="G26" i="561"/>
  <c r="F26" i="561"/>
  <c r="H25" i="561"/>
  <c r="G25" i="561"/>
  <c r="F25" i="561"/>
  <c r="E25" i="561"/>
  <c r="H24" i="561"/>
  <c r="G24" i="561"/>
  <c r="F24" i="561"/>
  <c r="H23" i="561"/>
  <c r="G23" i="561"/>
  <c r="F23" i="561"/>
  <c r="E23" i="561"/>
  <c r="D22" i="561"/>
  <c r="K8" i="561" s="1"/>
  <c r="H21" i="561"/>
  <c r="G21" i="561"/>
  <c r="F21" i="561"/>
  <c r="E21" i="561"/>
  <c r="H20" i="561"/>
  <c r="H19" i="561"/>
  <c r="G19" i="561"/>
  <c r="F19" i="561"/>
  <c r="H18" i="561"/>
  <c r="G18" i="561"/>
  <c r="F18" i="561"/>
  <c r="E18" i="561"/>
  <c r="E22" i="561" s="1"/>
  <c r="L8" i="561" s="1"/>
  <c r="H17" i="561"/>
  <c r="H16" i="561"/>
  <c r="G16" i="561"/>
  <c r="F16" i="561"/>
  <c r="D15" i="561"/>
  <c r="K7" i="561" s="1"/>
  <c r="H14" i="561"/>
  <c r="G14" i="561"/>
  <c r="F14" i="561"/>
  <c r="H13" i="561"/>
  <c r="O12" i="561"/>
  <c r="O14" i="561" s="1"/>
  <c r="O16" i="561" s="1"/>
  <c r="H12" i="561"/>
  <c r="G12" i="561"/>
  <c r="F12" i="561"/>
  <c r="J11" i="561"/>
  <c r="J30" i="561" s="1"/>
  <c r="H11" i="561"/>
  <c r="J10" i="561"/>
  <c r="J29" i="561" s="1"/>
  <c r="H10" i="561"/>
  <c r="G10" i="561"/>
  <c r="F10" i="561"/>
  <c r="E10" i="561"/>
  <c r="J9" i="561"/>
  <c r="J28" i="561" s="1"/>
  <c r="G9" i="561"/>
  <c r="F9" i="561"/>
  <c r="E9" i="561"/>
  <c r="J8" i="561"/>
  <c r="J27" i="561" s="1"/>
  <c r="H8" i="561"/>
  <c r="J7" i="561"/>
  <c r="J26" i="561" s="1"/>
  <c r="G7" i="561"/>
  <c r="F7" i="561"/>
  <c r="J37" i="566" l="1"/>
  <c r="D32" i="643"/>
  <c r="D33" i="643" s="1"/>
  <c r="F27" i="83"/>
  <c r="F102" i="83" s="1"/>
  <c r="E15" i="561"/>
  <c r="L7" i="561" s="1"/>
  <c r="D27" i="566"/>
  <c r="F27" i="566" s="1"/>
  <c r="D30" i="566"/>
  <c r="F30" i="566" s="1"/>
  <c r="H30" i="566" s="1"/>
  <c r="E38" i="561"/>
  <c r="L9" i="561" s="1"/>
  <c r="D26" i="566"/>
  <c r="F26" i="566" s="1"/>
  <c r="D29" i="566"/>
  <c r="F29" i="566" s="1"/>
  <c r="E29" i="566"/>
  <c r="D31" i="566"/>
  <c r="F31" i="566" s="1"/>
  <c r="K12" i="561"/>
  <c r="K16" i="561" s="1"/>
  <c r="F32" i="566"/>
  <c r="E32" i="566"/>
  <c r="D28" i="566"/>
  <c r="F28" i="566" s="1"/>
  <c r="E28" i="566"/>
  <c r="G38" i="561"/>
  <c r="M9" i="561" s="1"/>
  <c r="F68" i="561"/>
  <c r="G15" i="561"/>
  <c r="M7" i="561" s="1"/>
  <c r="F22" i="561"/>
  <c r="D8" i="566"/>
  <c r="F8" i="566" s="1"/>
  <c r="D13" i="566"/>
  <c r="D19" i="566"/>
  <c r="F19" i="566" s="1"/>
  <c r="E19" i="566"/>
  <c r="D15" i="566"/>
  <c r="E15" i="566"/>
  <c r="D16" i="566"/>
  <c r="F16" i="566" s="1"/>
  <c r="E16" i="566"/>
  <c r="F14" i="566"/>
  <c r="E14" i="566"/>
  <c r="D10" i="566"/>
  <c r="E10" i="566"/>
  <c r="D11" i="566"/>
  <c r="D9" i="566"/>
  <c r="D7" i="566"/>
  <c r="D17" i="566"/>
  <c r="F17" i="566" s="1"/>
  <c r="F47" i="561"/>
  <c r="G47" i="561"/>
  <c r="M10" i="561" s="1"/>
  <c r="F15" i="561"/>
  <c r="F52" i="570"/>
  <c r="F53" i="570" s="1"/>
  <c r="H68" i="561"/>
  <c r="K30" i="561" s="1"/>
  <c r="D37" i="566"/>
  <c r="E32" i="643" s="1"/>
  <c r="G22" i="561"/>
  <c r="M8" i="561" s="1"/>
  <c r="N8" i="561" s="1"/>
  <c r="H22" i="561"/>
  <c r="K27" i="561" s="1"/>
  <c r="L27" i="561" s="1"/>
  <c r="H47" i="561"/>
  <c r="K29" i="561" s="1"/>
  <c r="L29" i="561" s="1"/>
  <c r="H15" i="561"/>
  <c r="K26" i="561" s="1"/>
  <c r="M26" i="561" s="1"/>
  <c r="K51" i="561"/>
  <c r="K52" i="561" s="1"/>
  <c r="H38" i="561"/>
  <c r="K28" i="561" s="1"/>
  <c r="D22" i="566"/>
  <c r="G68" i="561"/>
  <c r="E47" i="561"/>
  <c r="L10" i="561" s="1"/>
  <c r="E68" i="561"/>
  <c r="F38" i="561"/>
  <c r="D69" i="561"/>
  <c r="F7" i="566" l="1"/>
  <c r="E6" i="643"/>
  <c r="J34" i="566"/>
  <c r="F9" i="566"/>
  <c r="E8" i="643"/>
  <c r="F10" i="566"/>
  <c r="E9" i="643"/>
  <c r="F13" i="566"/>
  <c r="E12" i="643"/>
  <c r="F11" i="566"/>
  <c r="E10" i="643"/>
  <c r="F15" i="566"/>
  <c r="E14" i="643"/>
  <c r="N9" i="561"/>
  <c r="P9" i="561" s="1"/>
  <c r="N7" i="561"/>
  <c r="P7" i="561" s="1"/>
  <c r="N10" i="561"/>
  <c r="P10" i="561" s="1"/>
  <c r="I30" i="566"/>
  <c r="F69" i="561"/>
  <c r="M18" i="561" s="1"/>
  <c r="B15" i="562" s="1"/>
  <c r="E33" i="566"/>
  <c r="D33" i="566"/>
  <c r="F22" i="566"/>
  <c r="F33" i="566" s="1"/>
  <c r="I31" i="566"/>
  <c r="H31" i="566"/>
  <c r="M27" i="561"/>
  <c r="O27" i="561" s="1"/>
  <c r="E12" i="566"/>
  <c r="E20" i="566" s="1"/>
  <c r="D12" i="566"/>
  <c r="H19" i="566"/>
  <c r="I19" i="566"/>
  <c r="L26" i="561"/>
  <c r="O26" i="561" s="1"/>
  <c r="K31" i="561"/>
  <c r="K36" i="561" s="1"/>
  <c r="P8" i="561"/>
  <c r="M29" i="561"/>
  <c r="O29" i="561" s="1"/>
  <c r="E69" i="561"/>
  <c r="L11" i="561"/>
  <c r="G69" i="561"/>
  <c r="M19" i="561" s="1"/>
  <c r="M11" i="561"/>
  <c r="M30" i="561"/>
  <c r="L30" i="561"/>
  <c r="L28" i="561"/>
  <c r="M28" i="561"/>
  <c r="H69" i="561"/>
  <c r="F12" i="566" l="1"/>
  <c r="F20" i="566" s="1"/>
  <c r="D20" i="566"/>
  <c r="D34" i="566" s="1"/>
  <c r="E11" i="643"/>
  <c r="E19" i="643" s="1"/>
  <c r="E33" i="643" s="1"/>
  <c r="E35" i="643" s="1"/>
  <c r="N30" i="561"/>
  <c r="O30" i="561" s="1"/>
  <c r="E34" i="566"/>
  <c r="C38" i="566"/>
  <c r="C40" i="566" s="1"/>
  <c r="L38" i="561"/>
  <c r="M38" i="561" s="1"/>
  <c r="G37" i="566"/>
  <c r="L31" i="561"/>
  <c r="L39" i="561" s="1"/>
  <c r="F34" i="566"/>
  <c r="N11" i="561"/>
  <c r="N12" i="561" s="1"/>
  <c r="N14" i="561" s="1"/>
  <c r="O28" i="561"/>
  <c r="L12" i="561"/>
  <c r="L16" i="561" s="1"/>
  <c r="M31" i="561"/>
  <c r="M12" i="561"/>
  <c r="N31" i="561" l="1"/>
  <c r="N33" i="561" s="1"/>
  <c r="D38" i="566"/>
  <c r="D40" i="566" s="1"/>
  <c r="P11" i="561"/>
  <c r="P12" i="561" s="1"/>
  <c r="O31" i="561"/>
  <c r="L33" i="561"/>
  <c r="M14" i="561"/>
  <c r="P14" i="561" s="1"/>
  <c r="N18" i="561"/>
  <c r="N19" i="561"/>
  <c r="M33" i="561"/>
  <c r="M36" i="561" s="1"/>
  <c r="M45" i="561" s="1"/>
  <c r="M49" i="561" s="1"/>
  <c r="M39" i="561"/>
  <c r="D17" i="97"/>
  <c r="D16" i="97"/>
  <c r="D10" i="97"/>
  <c r="D6" i="97"/>
  <c r="D35" i="97"/>
  <c r="D24" i="97"/>
  <c r="D26" i="97" s="1"/>
  <c r="D22" i="97"/>
  <c r="D21" i="97"/>
  <c r="N39" i="561" l="1"/>
  <c r="D23" i="97"/>
  <c r="D37" i="97"/>
  <c r="D36" i="97"/>
  <c r="D8" i="97"/>
  <c r="D18" i="97" s="1"/>
  <c r="D40" i="97"/>
  <c r="D43" i="97" s="1"/>
  <c r="D49" i="97" s="1"/>
  <c r="N36" i="561"/>
  <c r="O33" i="561"/>
  <c r="M57" i="561"/>
  <c r="M56" i="561"/>
  <c r="D51" i="97" l="1"/>
  <c r="M59" i="561"/>
  <c r="K8" i="556" l="1"/>
  <c r="K9" i="556"/>
  <c r="K10" i="556"/>
  <c r="K11" i="556"/>
  <c r="K12" i="556"/>
  <c r="K14" i="556"/>
  <c r="K15" i="556"/>
  <c r="K16" i="556"/>
  <c r="K17" i="556"/>
  <c r="K18" i="556"/>
  <c r="K19" i="556"/>
  <c r="K21" i="556"/>
  <c r="K22" i="556"/>
  <c r="K23" i="556"/>
  <c r="K24" i="556"/>
  <c r="K25" i="556"/>
  <c r="K26" i="556"/>
  <c r="K27" i="556"/>
  <c r="K28" i="556"/>
  <c r="K29" i="556"/>
  <c r="K30" i="556"/>
  <c r="K31" i="556"/>
  <c r="K32" i="556"/>
  <c r="K34" i="556"/>
  <c r="K35" i="556"/>
  <c r="K36" i="556"/>
  <c r="K37" i="556"/>
  <c r="K38" i="556"/>
  <c r="K39" i="556"/>
  <c r="K40" i="556"/>
  <c r="K42" i="556"/>
  <c r="K43" i="556"/>
  <c r="K44" i="556"/>
  <c r="K45" i="556"/>
  <c r="K46" i="556"/>
  <c r="K47" i="556"/>
  <c r="K48" i="556"/>
  <c r="K49" i="556"/>
  <c r="K50" i="556"/>
  <c r="K51" i="556"/>
  <c r="K52" i="556"/>
  <c r="K7" i="556"/>
  <c r="U9" i="8" s="1"/>
  <c r="I39" i="571" l="1"/>
  <c r="L39" i="571" s="1"/>
  <c r="B32" i="557" l="1"/>
  <c r="C32" i="557"/>
  <c r="D32" i="557"/>
  <c r="B11" i="557"/>
  <c r="C10" i="557"/>
  <c r="C9" i="557"/>
  <c r="C8" i="557"/>
  <c r="C7" i="557"/>
  <c r="C6" i="557"/>
  <c r="C4" i="557"/>
  <c r="N63" i="8" l="1"/>
  <c r="J63" i="8"/>
  <c r="C11" i="557"/>
  <c r="I52" i="556" l="1"/>
  <c r="I51" i="556"/>
  <c r="I50" i="556"/>
  <c r="I49" i="556"/>
  <c r="I48" i="556"/>
  <c r="I47" i="556"/>
  <c r="I46" i="556"/>
  <c r="I45" i="556"/>
  <c r="I44" i="556"/>
  <c r="I43" i="556"/>
  <c r="I42" i="556"/>
  <c r="I40" i="556"/>
  <c r="I39" i="556"/>
  <c r="I38" i="556"/>
  <c r="I37" i="556"/>
  <c r="I36" i="556"/>
  <c r="I35" i="556"/>
  <c r="I34" i="556"/>
  <c r="I32" i="556"/>
  <c r="I31" i="556"/>
  <c r="I30" i="556"/>
  <c r="I29" i="556"/>
  <c r="I28" i="556"/>
  <c r="I27" i="556"/>
  <c r="I26" i="556"/>
  <c r="I25" i="556"/>
  <c r="I24" i="556"/>
  <c r="I23" i="556"/>
  <c r="I22" i="556"/>
  <c r="I21" i="556"/>
  <c r="I19" i="556"/>
  <c r="I18" i="556"/>
  <c r="I17" i="556"/>
  <c r="I16" i="556"/>
  <c r="I15" i="556"/>
  <c r="I14" i="556"/>
  <c r="I12" i="556"/>
  <c r="I11" i="556"/>
  <c r="I10" i="556"/>
  <c r="I9" i="556"/>
  <c r="I8" i="556"/>
  <c r="I7" i="556"/>
  <c r="E16" i="8"/>
  <c r="D53" i="556"/>
  <c r="D41" i="556"/>
  <c r="O33" i="556"/>
  <c r="N33" i="556"/>
  <c r="D33" i="556"/>
  <c r="D20" i="556"/>
  <c r="D13" i="556"/>
  <c r="H47" i="555"/>
  <c r="G47" i="555"/>
  <c r="F46" i="555"/>
  <c r="M46" i="555" s="1"/>
  <c r="E46" i="555"/>
  <c r="O45" i="555"/>
  <c r="N45" i="555"/>
  <c r="M45" i="555"/>
  <c r="O44" i="555"/>
  <c r="N44" i="555"/>
  <c r="M44" i="555"/>
  <c r="O43" i="555"/>
  <c r="N43" i="555"/>
  <c r="M43" i="555"/>
  <c r="O42" i="555"/>
  <c r="N42" i="555"/>
  <c r="M42" i="555"/>
  <c r="O41" i="555"/>
  <c r="N41" i="555"/>
  <c r="M41" i="555"/>
  <c r="O40" i="555"/>
  <c r="N40" i="555"/>
  <c r="M40" i="555"/>
  <c r="O39" i="555"/>
  <c r="N39" i="555"/>
  <c r="M39" i="555"/>
  <c r="O38" i="555"/>
  <c r="N38" i="555"/>
  <c r="M38" i="555"/>
  <c r="O37" i="555"/>
  <c r="N37" i="555"/>
  <c r="M37" i="555"/>
  <c r="O36" i="555"/>
  <c r="N36" i="555"/>
  <c r="M36" i="555"/>
  <c r="O35" i="555"/>
  <c r="N35" i="555"/>
  <c r="M35" i="555"/>
  <c r="O34" i="555"/>
  <c r="N34" i="555"/>
  <c r="M34" i="555"/>
  <c r="O33" i="555"/>
  <c r="N33" i="555"/>
  <c r="M33" i="555"/>
  <c r="O32" i="555"/>
  <c r="N32" i="555"/>
  <c r="M32" i="555"/>
  <c r="F31" i="555"/>
  <c r="M31" i="555" s="1"/>
  <c r="E31" i="555"/>
  <c r="O30" i="555"/>
  <c r="N30" i="555"/>
  <c r="M30" i="555"/>
  <c r="O29" i="555"/>
  <c r="N29" i="555"/>
  <c r="M29" i="555"/>
  <c r="O28" i="555"/>
  <c r="N28" i="555"/>
  <c r="M28" i="555"/>
  <c r="O27" i="555"/>
  <c r="N27" i="555"/>
  <c r="M27" i="555"/>
  <c r="O26" i="555"/>
  <c r="N26" i="555"/>
  <c r="M26" i="555"/>
  <c r="F25" i="555"/>
  <c r="M25" i="555" s="1"/>
  <c r="E25" i="555"/>
  <c r="O24" i="555"/>
  <c r="N24" i="555"/>
  <c r="M24" i="555"/>
  <c r="O23" i="555"/>
  <c r="N23" i="555"/>
  <c r="M23" i="555"/>
  <c r="O22" i="555"/>
  <c r="N22" i="555"/>
  <c r="M22" i="555"/>
  <c r="O21" i="555"/>
  <c r="N21" i="555"/>
  <c r="M21" i="555"/>
  <c r="O20" i="555"/>
  <c r="N20" i="555"/>
  <c r="M20" i="555"/>
  <c r="O19" i="555"/>
  <c r="N19" i="555"/>
  <c r="M19" i="555"/>
  <c r="O18" i="555"/>
  <c r="N18" i="555"/>
  <c r="M18" i="555"/>
  <c r="O17" i="555"/>
  <c r="N17" i="555"/>
  <c r="M17" i="555"/>
  <c r="O16" i="555"/>
  <c r="N16" i="555"/>
  <c r="M16" i="555"/>
  <c r="O15" i="555"/>
  <c r="N15" i="555"/>
  <c r="M15" i="555"/>
  <c r="O14" i="555"/>
  <c r="N14" i="555"/>
  <c r="M14" i="555"/>
  <c r="F13" i="555"/>
  <c r="M13" i="555" s="1"/>
  <c r="E13" i="555"/>
  <c r="O12" i="555"/>
  <c r="N12" i="555"/>
  <c r="M12" i="555"/>
  <c r="O11" i="555"/>
  <c r="N11" i="555"/>
  <c r="M11" i="555"/>
  <c r="O10" i="555"/>
  <c r="N10" i="555"/>
  <c r="M10" i="555"/>
  <c r="O9" i="555"/>
  <c r="N9" i="555"/>
  <c r="M9" i="555"/>
  <c r="F8" i="555"/>
  <c r="M8" i="555" s="1"/>
  <c r="E8" i="555"/>
  <c r="O7" i="555"/>
  <c r="N7" i="555"/>
  <c r="M7" i="555"/>
  <c r="O6" i="555"/>
  <c r="N6" i="555"/>
  <c r="M6" i="555"/>
  <c r="O5" i="555"/>
  <c r="N5" i="555"/>
  <c r="M5" i="555"/>
  <c r="O4" i="555"/>
  <c r="N4" i="555"/>
  <c r="M4" i="555"/>
  <c r="O3" i="555"/>
  <c r="N3" i="555"/>
  <c r="M3" i="555"/>
  <c r="L3" i="555"/>
  <c r="M26" i="556" l="1"/>
  <c r="O26" i="556" s="1"/>
  <c r="K13" i="556"/>
  <c r="M27" i="556"/>
  <c r="O27" i="556" s="1"/>
  <c r="K20" i="556"/>
  <c r="M29" i="556"/>
  <c r="N29" i="556" s="1"/>
  <c r="K41" i="556"/>
  <c r="T9" i="8"/>
  <c r="C5" i="596"/>
  <c r="X74" i="571"/>
  <c r="X76" i="571" s="1"/>
  <c r="M28" i="556"/>
  <c r="N28" i="556" s="1"/>
  <c r="K33" i="556"/>
  <c r="M30" i="556"/>
  <c r="N30" i="556" s="1"/>
  <c r="K53" i="556"/>
  <c r="I20" i="556"/>
  <c r="I53" i="556"/>
  <c r="I41" i="556"/>
  <c r="I33" i="556"/>
  <c r="I13" i="556"/>
  <c r="D54" i="556"/>
  <c r="N8" i="555"/>
  <c r="O13" i="555"/>
  <c r="O8" i="555"/>
  <c r="O25" i="555"/>
  <c r="O46" i="555"/>
  <c r="N13" i="555"/>
  <c r="O31" i="555"/>
  <c r="N31" i="555"/>
  <c r="N46" i="555"/>
  <c r="E47" i="555"/>
  <c r="N25" i="555"/>
  <c r="F47" i="555"/>
  <c r="O30" i="556" l="1"/>
  <c r="P30" i="556"/>
  <c r="O29" i="556"/>
  <c r="Q29" i="556" s="1"/>
  <c r="R29" i="556" s="1"/>
  <c r="N26" i="556"/>
  <c r="Q26" i="556" s="1"/>
  <c r="N27" i="556"/>
  <c r="Q27" i="556" s="1"/>
  <c r="R27" i="556" s="1"/>
  <c r="O28" i="556"/>
  <c r="O31" i="556" s="1"/>
  <c r="O32" i="556" s="1"/>
  <c r="O34" i="556" s="1"/>
  <c r="K54" i="556"/>
  <c r="M31" i="556"/>
  <c r="M34" i="556" s="1"/>
  <c r="C7" i="596"/>
  <c r="H5" i="596"/>
  <c r="H7" i="596" s="1"/>
  <c r="I54" i="556"/>
  <c r="F51" i="555"/>
  <c r="P31" i="556"/>
  <c r="P32" i="556" s="1"/>
  <c r="P34" i="556" s="1"/>
  <c r="Q30" i="556"/>
  <c r="R30" i="556" s="1"/>
  <c r="N47" i="555"/>
  <c r="O47" i="555"/>
  <c r="M47" i="555"/>
  <c r="F49" i="555"/>
  <c r="Q28" i="556" l="1"/>
  <c r="R28" i="556" s="1"/>
  <c r="N31" i="556"/>
  <c r="O36" i="556" s="1"/>
  <c r="D5" i="596"/>
  <c r="Z74" i="571"/>
  <c r="D6" i="596"/>
  <c r="I6" i="596" s="1"/>
  <c r="Z75" i="571"/>
  <c r="R26" i="556"/>
  <c r="Q31" i="556"/>
  <c r="Q34" i="556" s="1"/>
  <c r="N32" i="556" l="1"/>
  <c r="N34" i="556" s="1"/>
  <c r="O37" i="556"/>
  <c r="Z62" i="571"/>
  <c r="Z76" i="571"/>
  <c r="I5" i="596"/>
  <c r="I7" i="596" s="1"/>
  <c r="D7" i="596"/>
  <c r="N59" i="8" l="1"/>
  <c r="N64" i="8" s="1"/>
  <c r="K60" i="8"/>
  <c r="G51" i="571" l="1"/>
  <c r="K61" i="8"/>
  <c r="J62" i="8"/>
  <c r="J64" i="8" s="1"/>
  <c r="C13" i="571"/>
  <c r="H12" i="8" l="1"/>
  <c r="I12" i="8" s="1"/>
  <c r="D24" i="149" l="1"/>
  <c r="E24" i="149"/>
  <c r="E38" i="8" l="1"/>
  <c r="E39" i="8" s="1"/>
  <c r="F38" i="8"/>
  <c r="G38" i="8" l="1"/>
  <c r="D38" i="8"/>
  <c r="S36" i="8"/>
  <c r="J81" i="8"/>
  <c r="I41" i="571"/>
  <c r="L41" i="571" s="1"/>
  <c r="J82" i="8"/>
  <c r="I63" i="8"/>
  <c r="J80" i="8"/>
  <c r="F16" i="8"/>
  <c r="F39" i="8" s="1"/>
  <c r="C38" i="8"/>
  <c r="C60" i="8" l="1"/>
  <c r="C62" i="8" s="1"/>
  <c r="C64" i="8" s="1"/>
  <c r="W9" i="8"/>
  <c r="C59" i="8"/>
  <c r="L49" i="10" l="1"/>
  <c r="L10" i="552" l="1"/>
  <c r="H46" i="402" l="1"/>
  <c r="G46" i="402"/>
  <c r="F46" i="402"/>
  <c r="E46" i="402"/>
  <c r="D46" i="402"/>
  <c r="C46" i="402"/>
  <c r="J45" i="402"/>
  <c r="I45" i="402"/>
  <c r="J44" i="402"/>
  <c r="I44" i="402"/>
  <c r="J43" i="402"/>
  <c r="I43" i="402"/>
  <c r="J42" i="402"/>
  <c r="I42" i="402"/>
  <c r="J41" i="402"/>
  <c r="I41" i="402"/>
  <c r="H32" i="402"/>
  <c r="J30" i="402"/>
  <c r="I30" i="402"/>
  <c r="I33" i="402" s="1"/>
  <c r="G30" i="402"/>
  <c r="F30" i="402"/>
  <c r="F33" i="402" s="1"/>
  <c r="E30" i="402"/>
  <c r="E33" i="402" s="1"/>
  <c r="D30" i="402"/>
  <c r="D33" i="402" s="1"/>
  <c r="C30" i="402"/>
  <c r="C33" i="402" s="1"/>
  <c r="J17" i="402"/>
  <c r="I17" i="402"/>
  <c r="G17" i="402"/>
  <c r="F17" i="402"/>
  <c r="E17" i="402"/>
  <c r="D17" i="402"/>
  <c r="C17" i="402"/>
  <c r="H17" i="402"/>
  <c r="J15" i="402"/>
  <c r="I15" i="402"/>
  <c r="G15" i="402"/>
  <c r="F15" i="402"/>
  <c r="E15" i="402"/>
  <c r="D15" i="402"/>
  <c r="C15" i="402"/>
  <c r="J54" i="400"/>
  <c r="I54" i="400"/>
  <c r="J53" i="400"/>
  <c r="I53" i="400"/>
  <c r="J52" i="400"/>
  <c r="I52" i="400"/>
  <c r="J51" i="400"/>
  <c r="I51" i="400"/>
  <c r="J50" i="400"/>
  <c r="I50" i="400"/>
  <c r="J48" i="400"/>
  <c r="I48" i="400"/>
  <c r="L39" i="400"/>
  <c r="K39" i="400"/>
  <c r="I39" i="400"/>
  <c r="H39" i="400"/>
  <c r="G39" i="400"/>
  <c r="F39" i="400"/>
  <c r="E39" i="400"/>
  <c r="D39" i="400"/>
  <c r="C39" i="400"/>
  <c r="J39" i="400"/>
  <c r="L34" i="400"/>
  <c r="L36" i="400" s="1"/>
  <c r="K34" i="400"/>
  <c r="K36" i="400" s="1"/>
  <c r="I34" i="400"/>
  <c r="I36" i="400" s="1"/>
  <c r="H34" i="400"/>
  <c r="H36" i="400" s="1"/>
  <c r="G34" i="400"/>
  <c r="G36" i="400" s="1"/>
  <c r="F34" i="400"/>
  <c r="F36" i="400" s="1"/>
  <c r="E34" i="400"/>
  <c r="E36" i="400" s="1"/>
  <c r="D34" i="400"/>
  <c r="D36" i="400" s="1"/>
  <c r="C34" i="400"/>
  <c r="C36" i="400" s="1"/>
  <c r="L20" i="400"/>
  <c r="K20" i="400"/>
  <c r="J20" i="400"/>
  <c r="I20" i="400"/>
  <c r="H20" i="400"/>
  <c r="G20" i="400"/>
  <c r="F20" i="400"/>
  <c r="E20" i="400"/>
  <c r="D20" i="400"/>
  <c r="C20" i="400"/>
  <c r="L17" i="400"/>
  <c r="K17" i="400"/>
  <c r="I17" i="400"/>
  <c r="I22" i="400" s="1"/>
  <c r="H17" i="400"/>
  <c r="G17" i="400"/>
  <c r="F17" i="400"/>
  <c r="E17" i="400"/>
  <c r="E22" i="400" s="1"/>
  <c r="D17" i="400"/>
  <c r="C17" i="400"/>
  <c r="B31" i="628"/>
  <c r="C31" i="628"/>
  <c r="G22" i="400" l="1"/>
  <c r="J18" i="402"/>
  <c r="I18" i="402"/>
  <c r="I35" i="402" s="1"/>
  <c r="I56" i="402" s="1"/>
  <c r="F18" i="402"/>
  <c r="F35" i="402" s="1"/>
  <c r="C18" i="402"/>
  <c r="C35" i="402" s="1"/>
  <c r="C56" i="402" s="1"/>
  <c r="E18" i="402"/>
  <c r="E35" i="402" s="1"/>
  <c r="G18" i="402"/>
  <c r="K22" i="400"/>
  <c r="G41" i="400"/>
  <c r="G43" i="400" s="1"/>
  <c r="F12" i="399" s="1"/>
  <c r="C13" i="404" s="1"/>
  <c r="B29" i="628"/>
  <c r="B19" i="628"/>
  <c r="D31" i="628"/>
  <c r="C29" i="628"/>
  <c r="C19" i="628"/>
  <c r="C22" i="400"/>
  <c r="H41" i="400"/>
  <c r="F22" i="400"/>
  <c r="F41" i="400"/>
  <c r="J46" i="402"/>
  <c r="E41" i="400"/>
  <c r="E43" i="400" s="1"/>
  <c r="I41" i="400"/>
  <c r="I43" i="400" s="1"/>
  <c r="F14" i="399" s="1"/>
  <c r="C15" i="404" s="1"/>
  <c r="G33" i="402"/>
  <c r="D18" i="402"/>
  <c r="D35" i="402" s="1"/>
  <c r="D56" i="402" s="1"/>
  <c r="H15" i="402"/>
  <c r="H18" i="402" s="1"/>
  <c r="H22" i="400"/>
  <c r="J55" i="400"/>
  <c r="J33" i="402"/>
  <c r="J35" i="402" s="1"/>
  <c r="J56" i="402" s="1"/>
  <c r="I46" i="402"/>
  <c r="K41" i="400"/>
  <c r="L22" i="400"/>
  <c r="C41" i="400"/>
  <c r="L41" i="400"/>
  <c r="D22" i="400"/>
  <c r="D41" i="400"/>
  <c r="H30" i="402"/>
  <c r="H33" i="402" s="1"/>
  <c r="J17" i="400"/>
  <c r="J22" i="400" s="1"/>
  <c r="J34" i="400"/>
  <c r="J36" i="400" s="1"/>
  <c r="J41" i="400" s="1"/>
  <c r="I55" i="400"/>
  <c r="F56" i="402" l="1"/>
  <c r="F18" i="399"/>
  <c r="C19" i="404" s="1"/>
  <c r="F43" i="400"/>
  <c r="F11" i="399" s="1"/>
  <c r="C12" i="404" s="1"/>
  <c r="E56" i="402"/>
  <c r="F17" i="399"/>
  <c r="C18" i="404" s="1"/>
  <c r="H43" i="400"/>
  <c r="F13" i="399" s="1"/>
  <c r="C14" i="404" s="1"/>
  <c r="G35" i="402"/>
  <c r="K43" i="400"/>
  <c r="C43" i="400"/>
  <c r="D29" i="628"/>
  <c r="D19" i="628"/>
  <c r="H35" i="402"/>
  <c r="H56" i="402" s="1"/>
  <c r="J43" i="400"/>
  <c r="L43" i="400"/>
  <c r="D43" i="400"/>
  <c r="G56" i="402" l="1"/>
  <c r="F19" i="399"/>
  <c r="C20" i="404" s="1"/>
  <c r="C31" i="553"/>
  <c r="H12" i="571" l="1"/>
  <c r="Q34" i="571" s="1"/>
  <c r="H15" i="571"/>
  <c r="Q37" i="571" s="1"/>
  <c r="H21" i="526"/>
  <c r="G21" i="526"/>
  <c r="F21" i="526"/>
  <c r="E21" i="526"/>
  <c r="D21" i="526"/>
  <c r="C21" i="526"/>
  <c r="B21" i="526"/>
  <c r="I20" i="526"/>
  <c r="I19" i="526"/>
  <c r="I15" i="526"/>
  <c r="I14" i="526"/>
  <c r="I13" i="526"/>
  <c r="I12" i="526"/>
  <c r="I10" i="526"/>
  <c r="I8" i="526"/>
  <c r="I7" i="526"/>
  <c r="I6" i="526"/>
  <c r="J34" i="571" l="1"/>
  <c r="M34" i="571"/>
  <c r="M37" i="571"/>
  <c r="J37" i="571"/>
  <c r="H14" i="571"/>
  <c r="Q36" i="571" s="1"/>
  <c r="I21" i="526"/>
  <c r="M36" i="571" l="1"/>
  <c r="I14" i="571"/>
  <c r="J36" i="571"/>
  <c r="K36" i="571" s="1"/>
  <c r="J14" i="571"/>
  <c r="M19" i="571" l="1"/>
  <c r="N36" i="571"/>
  <c r="O36" i="571" s="1"/>
  <c r="R36" i="571"/>
  <c r="S36" i="571" s="1"/>
  <c r="K14" i="571"/>
  <c r="E8" i="97" l="1"/>
  <c r="F6" i="97" s="1"/>
  <c r="G66" i="571"/>
  <c r="T36" i="571"/>
  <c r="G8" i="97" l="1"/>
  <c r="H66" i="571" l="1"/>
  <c r="F8" i="97"/>
  <c r="H8" i="97" s="1"/>
  <c r="N5" i="627" l="1"/>
  <c r="J5" i="627"/>
  <c r="B16" i="98"/>
  <c r="F22" i="436" l="1"/>
  <c r="G5" i="395" l="1"/>
  <c r="D5" i="395"/>
  <c r="E20" i="436" l="1"/>
  <c r="E21" i="436"/>
  <c r="E19" i="436" l="1"/>
  <c r="C43" i="97" l="1"/>
  <c r="L12" i="393" l="1"/>
  <c r="C26" i="97" l="1"/>
  <c r="I38" i="571" l="1"/>
  <c r="L38" i="571" s="1"/>
  <c r="I34" i="571"/>
  <c r="I12" i="571"/>
  <c r="I35" i="571" l="1"/>
  <c r="I13" i="571"/>
  <c r="I37" i="571"/>
  <c r="I15" i="571"/>
  <c r="I33" i="571"/>
  <c r="G18" i="571"/>
  <c r="G29" i="571" s="1"/>
  <c r="L34" i="571"/>
  <c r="K34" i="571"/>
  <c r="D53" i="10"/>
  <c r="L37" i="571" l="1"/>
  <c r="K37" i="571"/>
  <c r="L33" i="571"/>
  <c r="I40" i="571"/>
  <c r="I43" i="571" s="1"/>
  <c r="L35" i="571"/>
  <c r="K35" i="571"/>
  <c r="L40" i="571" l="1"/>
  <c r="L43" i="571" s="1"/>
  <c r="H49" i="8" l="1"/>
  <c r="J75" i="8"/>
  <c r="J74" i="8"/>
  <c r="I62" i="8" l="1"/>
  <c r="J78" i="8"/>
  <c r="I61" i="8"/>
  <c r="L61" i="8" s="1"/>
  <c r="M61" i="8" s="1"/>
  <c r="P61" i="8" s="1"/>
  <c r="J70" i="8"/>
  <c r="S27" i="8"/>
  <c r="J77" i="8"/>
  <c r="I60" i="8"/>
  <c r="L60" i="8" s="1"/>
  <c r="M60" i="8" s="1"/>
  <c r="J69" i="8"/>
  <c r="S26" i="8"/>
  <c r="J76" i="8"/>
  <c r="K59" i="8"/>
  <c r="I59" i="8"/>
  <c r="J68" i="8"/>
  <c r="D61" i="8"/>
  <c r="S22" i="8" l="1"/>
  <c r="J72" i="8"/>
  <c r="K62" i="8"/>
  <c r="L62" i="8" s="1"/>
  <c r="M62" i="8" s="1"/>
  <c r="S23" i="8"/>
  <c r="J73" i="8"/>
  <c r="S21" i="8"/>
  <c r="J71" i="8"/>
  <c r="L59" i="8"/>
  <c r="I64" i="8"/>
  <c r="S29" i="8"/>
  <c r="H38" i="8"/>
  <c r="S20" i="8" l="1"/>
  <c r="J83" i="8"/>
  <c r="G50" i="571"/>
  <c r="G64" i="571" s="1"/>
  <c r="X65" i="571"/>
  <c r="M59" i="8"/>
  <c r="J164" i="637"/>
  <c r="C61" i="8"/>
  <c r="C63" i="8" s="1"/>
  <c r="D59" i="8" s="1"/>
  <c r="D63" i="8" s="1"/>
  <c r="O164" i="637"/>
  <c r="D28" i="553"/>
  <c r="A11" i="552" s="1"/>
  <c r="C28" i="553"/>
  <c r="D89" i="83" l="1"/>
  <c r="P164" i="637"/>
  <c r="D81" i="83"/>
  <c r="K164" i="637"/>
  <c r="D164" i="637"/>
  <c r="B37" i="571"/>
  <c r="O62" i="8"/>
  <c r="P62" i="8" s="1"/>
  <c r="C29" i="553"/>
  <c r="A6" i="552"/>
  <c r="E28" i="553"/>
  <c r="C3" i="571" l="1"/>
  <c r="S16" i="628"/>
  <c r="S9" i="628"/>
  <c r="T9" i="628" s="1"/>
  <c r="D71" i="83"/>
  <c r="E164" i="637"/>
  <c r="D23" i="411"/>
  <c r="D21" i="411"/>
  <c r="D22" i="411"/>
  <c r="D17" i="411"/>
  <c r="D16" i="411"/>
  <c r="D18" i="411"/>
  <c r="D15" i="411"/>
  <c r="C30" i="553"/>
  <c r="D31" i="553"/>
  <c r="D30" i="553"/>
  <c r="D29" i="553" s="1"/>
  <c r="F28" i="553"/>
  <c r="E31" i="553" l="1"/>
  <c r="E29" i="553" s="1"/>
  <c r="E30" i="553" s="1"/>
  <c r="F30" i="553" s="1"/>
  <c r="F29" i="553" l="1"/>
  <c r="M16" i="552" s="1"/>
  <c r="M19" i="552" s="1"/>
  <c r="L31" i="628" l="1"/>
  <c r="H12" i="393" l="1"/>
  <c r="I12" i="393" s="1"/>
  <c r="J12" i="393" s="1"/>
  <c r="K12" i="393" s="1"/>
  <c r="M12" i="393" s="1"/>
  <c r="N12" i="393" s="1"/>
  <c r="O12" i="393" s="1"/>
  <c r="AL62" i="411" l="1"/>
  <c r="AK62" i="411"/>
  <c r="AJ62" i="411"/>
  <c r="AI62" i="411"/>
  <c r="AK61" i="411"/>
  <c r="AI61" i="411"/>
  <c r="AK60" i="411"/>
  <c r="AK59" i="411"/>
  <c r="AK58" i="411"/>
  <c r="AK57" i="411"/>
  <c r="AK56" i="411"/>
  <c r="AK55" i="411"/>
  <c r="AK52" i="411"/>
  <c r="AJ52" i="411"/>
  <c r="BA52" i="411" s="1"/>
  <c r="AK51" i="411"/>
  <c r="AK50" i="411"/>
  <c r="AJ50" i="411"/>
  <c r="AK49" i="411"/>
  <c r="AJ49" i="411"/>
  <c r="AK48" i="411"/>
  <c r="AK47" i="411"/>
  <c r="AK46" i="411"/>
  <c r="AK45" i="411"/>
  <c r="AJ45" i="411"/>
  <c r="AK44" i="411"/>
  <c r="AK43" i="411"/>
  <c r="AJ43" i="411"/>
  <c r="AK42" i="411"/>
  <c r="AK41" i="411"/>
  <c r="AK40" i="411"/>
  <c r="AK39" i="411"/>
  <c r="AJ39" i="411"/>
  <c r="BA39" i="411" s="1"/>
  <c r="AK38" i="411"/>
  <c r="AQ62" i="411"/>
  <c r="AP62" i="411"/>
  <c r="AP61" i="411"/>
  <c r="AQ60" i="411"/>
  <c r="AP60" i="411"/>
  <c r="AP59" i="411"/>
  <c r="AP58" i="411"/>
  <c r="AP57" i="411"/>
  <c r="AP56" i="411"/>
  <c r="AP55" i="411"/>
  <c r="AQ52" i="411"/>
  <c r="AP52" i="411"/>
  <c r="AQ51" i="411"/>
  <c r="AP51" i="411"/>
  <c r="AQ50" i="411"/>
  <c r="AP50" i="411"/>
  <c r="AQ49" i="411"/>
  <c r="AP49" i="411"/>
  <c r="AP48" i="411"/>
  <c r="AP47" i="411"/>
  <c r="AQ45" i="411"/>
  <c r="AP45" i="411"/>
  <c r="AP44" i="411"/>
  <c r="AP42" i="411"/>
  <c r="AP41" i="411"/>
  <c r="AQ35" i="411"/>
  <c r="AP35" i="411"/>
  <c r="AQ34" i="411"/>
  <c r="AP34" i="411"/>
  <c r="AQ33" i="411"/>
  <c r="AP33" i="411"/>
  <c r="AP31" i="411"/>
  <c r="AP30" i="411"/>
  <c r="AP28" i="411"/>
  <c r="AP27" i="411"/>
  <c r="AQ23" i="411"/>
  <c r="AP23" i="411"/>
  <c r="AQ22" i="411"/>
  <c r="AP22" i="411"/>
  <c r="AQ21" i="411"/>
  <c r="AP21" i="411"/>
  <c r="AQ18" i="411"/>
  <c r="AP18" i="411"/>
  <c r="AQ17" i="411"/>
  <c r="AP17" i="411"/>
  <c r="AQ16" i="411"/>
  <c r="AP16" i="411"/>
  <c r="AQ15" i="411"/>
  <c r="AP15" i="411"/>
  <c r="Y62" i="411"/>
  <c r="X62" i="411"/>
  <c r="X61" i="411"/>
  <c r="Y60" i="411"/>
  <c r="X60" i="411"/>
  <c r="X59" i="411"/>
  <c r="X58" i="411"/>
  <c r="X57" i="411"/>
  <c r="X56" i="411"/>
  <c r="X55" i="411"/>
  <c r="Y52" i="411"/>
  <c r="X52" i="411"/>
  <c r="Y51" i="411"/>
  <c r="X51" i="411"/>
  <c r="Y50" i="411"/>
  <c r="X50" i="411"/>
  <c r="Y49" i="411"/>
  <c r="X49" i="411"/>
  <c r="X48" i="411"/>
  <c r="X47" i="411"/>
  <c r="Y45" i="411"/>
  <c r="X45" i="411"/>
  <c r="X44" i="411"/>
  <c r="X42" i="411"/>
  <c r="X41" i="411"/>
  <c r="Y37" i="411"/>
  <c r="X37" i="411"/>
  <c r="Y35" i="411"/>
  <c r="X35" i="411"/>
  <c r="Y34" i="411"/>
  <c r="X34" i="411"/>
  <c r="Y33" i="411"/>
  <c r="X33" i="411"/>
  <c r="X31" i="411"/>
  <c r="X30" i="411"/>
  <c r="X28" i="411"/>
  <c r="X27" i="411"/>
  <c r="Y23" i="411"/>
  <c r="X23" i="411"/>
  <c r="Y22" i="411"/>
  <c r="X22" i="411"/>
  <c r="Y21" i="411"/>
  <c r="X21" i="411"/>
  <c r="Y18" i="411"/>
  <c r="X18" i="411"/>
  <c r="Y17" i="411"/>
  <c r="X17" i="411"/>
  <c r="Y16" i="411"/>
  <c r="X16" i="411"/>
  <c r="Y15" i="411"/>
  <c r="X15" i="411"/>
  <c r="Y13" i="411"/>
  <c r="X13" i="411"/>
  <c r="W62" i="411"/>
  <c r="W35" i="411"/>
  <c r="W34" i="411"/>
  <c r="W33" i="411"/>
  <c r="T62" i="411"/>
  <c r="S62" i="411"/>
  <c r="R62" i="411"/>
  <c r="AV62" i="411" s="1"/>
  <c r="Q62" i="411"/>
  <c r="S61" i="411"/>
  <c r="Q61" i="411"/>
  <c r="S60" i="411"/>
  <c r="S59" i="411"/>
  <c r="S58" i="411"/>
  <c r="S57" i="411"/>
  <c r="S56" i="411"/>
  <c r="S55" i="411"/>
  <c r="S52" i="411"/>
  <c r="R52" i="411"/>
  <c r="S51" i="411"/>
  <c r="S50" i="411"/>
  <c r="R50" i="411"/>
  <c r="S49" i="411"/>
  <c r="R49" i="411"/>
  <c r="S48" i="411"/>
  <c r="S47" i="411"/>
  <c r="S46" i="411"/>
  <c r="S45" i="411"/>
  <c r="R45" i="411"/>
  <c r="S44" i="411"/>
  <c r="S43" i="411"/>
  <c r="R43" i="411"/>
  <c r="AV43" i="411" s="1"/>
  <c r="S42" i="411"/>
  <c r="S41" i="411"/>
  <c r="S40" i="411"/>
  <c r="S39" i="411"/>
  <c r="R39" i="411"/>
  <c r="S38" i="411"/>
  <c r="T35" i="411"/>
  <c r="S35" i="411"/>
  <c r="R35" i="411"/>
  <c r="Q35" i="411"/>
  <c r="T34" i="411"/>
  <c r="S34" i="411"/>
  <c r="R34" i="411"/>
  <c r="Q34" i="411"/>
  <c r="T33" i="411"/>
  <c r="S33" i="411"/>
  <c r="R33" i="411"/>
  <c r="Q33" i="411"/>
  <c r="T32" i="411"/>
  <c r="Q32" i="411"/>
  <c r="T31" i="411"/>
  <c r="Q31" i="411"/>
  <c r="T30" i="411"/>
  <c r="Q30" i="411"/>
  <c r="T29" i="411"/>
  <c r="Q29" i="411"/>
  <c r="T28" i="411"/>
  <c r="Q28" i="411"/>
  <c r="T27" i="411"/>
  <c r="Q27" i="411"/>
  <c r="T26" i="411"/>
  <c r="Q26" i="411"/>
  <c r="T25" i="411"/>
  <c r="Q25" i="411"/>
  <c r="T23" i="411"/>
  <c r="S23" i="411"/>
  <c r="Q23" i="411"/>
  <c r="T22" i="411"/>
  <c r="S22" i="411"/>
  <c r="Q22" i="411"/>
  <c r="T21" i="411"/>
  <c r="S21" i="411"/>
  <c r="Q21" i="411"/>
  <c r="T20" i="411"/>
  <c r="R20" i="411"/>
  <c r="Q20" i="411"/>
  <c r="T18" i="411"/>
  <c r="S18" i="411"/>
  <c r="Q18" i="411"/>
  <c r="T17" i="411"/>
  <c r="S17" i="411"/>
  <c r="Q17" i="411"/>
  <c r="T16" i="411"/>
  <c r="S16" i="411"/>
  <c r="Q16" i="411"/>
  <c r="T15" i="411"/>
  <c r="S15" i="411"/>
  <c r="Q15" i="411"/>
  <c r="T14" i="411"/>
  <c r="R14" i="411"/>
  <c r="AV14" i="411" s="1"/>
  <c r="Q14" i="411"/>
  <c r="T13" i="411"/>
  <c r="R13" i="411"/>
  <c r="AV13" i="411" s="1"/>
  <c r="Q13" i="411"/>
  <c r="AU13" i="411" s="1"/>
  <c r="P35" i="411"/>
  <c r="P34" i="411"/>
  <c r="P33" i="411"/>
  <c r="H35" i="411"/>
  <c r="H34" i="411"/>
  <c r="H33" i="411"/>
  <c r="H13" i="411"/>
  <c r="G62" i="411"/>
  <c r="F62" i="411"/>
  <c r="G61" i="411"/>
  <c r="F61" i="411"/>
  <c r="G60" i="411"/>
  <c r="F60" i="411"/>
  <c r="G59" i="411"/>
  <c r="F59" i="411"/>
  <c r="G58" i="411"/>
  <c r="F58" i="411"/>
  <c r="G57" i="411"/>
  <c r="F57" i="411"/>
  <c r="G56" i="411"/>
  <c r="F56" i="411"/>
  <c r="G55" i="411"/>
  <c r="F55" i="411"/>
  <c r="G52" i="411"/>
  <c r="F52" i="411"/>
  <c r="G51" i="411"/>
  <c r="F51" i="411"/>
  <c r="G50" i="411"/>
  <c r="F50" i="411"/>
  <c r="G49" i="411"/>
  <c r="F49" i="411"/>
  <c r="G48" i="411"/>
  <c r="F48" i="411"/>
  <c r="G47" i="411"/>
  <c r="F47" i="411"/>
  <c r="G46" i="411"/>
  <c r="F46" i="411"/>
  <c r="G45" i="411"/>
  <c r="F45" i="411"/>
  <c r="G44" i="411"/>
  <c r="F44" i="411"/>
  <c r="G43" i="411"/>
  <c r="F43" i="411"/>
  <c r="G42" i="411"/>
  <c r="F42" i="411"/>
  <c r="G41" i="411"/>
  <c r="F41" i="411"/>
  <c r="G40" i="411"/>
  <c r="F40" i="411"/>
  <c r="G39" i="411"/>
  <c r="F39" i="411"/>
  <c r="G38" i="411"/>
  <c r="F38" i="411"/>
  <c r="G35" i="411"/>
  <c r="F35" i="411"/>
  <c r="G34" i="411"/>
  <c r="F34" i="411"/>
  <c r="AK34" i="411" s="1"/>
  <c r="G33" i="411"/>
  <c r="F33" i="411"/>
  <c r="AI33" i="411" s="1"/>
  <c r="G32" i="411"/>
  <c r="F32" i="411"/>
  <c r="AI32" i="411" s="1"/>
  <c r="G31" i="411"/>
  <c r="F31" i="411"/>
  <c r="G30" i="411"/>
  <c r="F30" i="411"/>
  <c r="G29" i="411"/>
  <c r="F29" i="411"/>
  <c r="AI29" i="411" s="1"/>
  <c r="G28" i="411"/>
  <c r="F28" i="411"/>
  <c r="AI28" i="411" s="1"/>
  <c r="G27" i="411"/>
  <c r="F27" i="411"/>
  <c r="G26" i="411"/>
  <c r="F26" i="411"/>
  <c r="G25" i="411"/>
  <c r="F25" i="411"/>
  <c r="AI25" i="411" s="1"/>
  <c r="G20" i="411"/>
  <c r="G24" i="411" s="1"/>
  <c r="F20" i="411"/>
  <c r="F24" i="411" s="1"/>
  <c r="AI24" i="411" s="1"/>
  <c r="G14" i="411"/>
  <c r="F14" i="411"/>
  <c r="AI14" i="411" s="1"/>
  <c r="AU14" i="411" s="1"/>
  <c r="G13" i="411"/>
  <c r="F13" i="411"/>
  <c r="E62" i="411"/>
  <c r="E60" i="411"/>
  <c r="E39" i="411"/>
  <c r="E43" i="411"/>
  <c r="E45" i="411"/>
  <c r="E49" i="411"/>
  <c r="E50" i="411"/>
  <c r="E52" i="411"/>
  <c r="AJ35" i="411"/>
  <c r="AJ33" i="411"/>
  <c r="AJ31" i="411"/>
  <c r="AJ30" i="411"/>
  <c r="AJ29" i="411"/>
  <c r="AJ27" i="411"/>
  <c r="AJ26" i="411"/>
  <c r="D24" i="411"/>
  <c r="BB54" i="411"/>
  <c r="AV54" i="411"/>
  <c r="AT54" i="411"/>
  <c r="AU54" i="411"/>
  <c r="BA49" i="411"/>
  <c r="BA43" i="411"/>
  <c r="A39" i="411"/>
  <c r="A40" i="411" s="1"/>
  <c r="A41" i="411" s="1"/>
  <c r="A42" i="411" s="1"/>
  <c r="A43" i="411" s="1"/>
  <c r="A44" i="411" s="1"/>
  <c r="A45" i="411" s="1"/>
  <c r="A46" i="411" s="1"/>
  <c r="A47" i="411" s="1"/>
  <c r="A48" i="411" s="1"/>
  <c r="A49" i="411" s="1"/>
  <c r="A50" i="411" s="1"/>
  <c r="A51" i="411" s="1"/>
  <c r="A52" i="411" s="1"/>
  <c r="A55" i="411" s="1"/>
  <c r="A56" i="411" s="1"/>
  <c r="A57" i="411" s="1"/>
  <c r="A58" i="411" s="1"/>
  <c r="A59" i="411" s="1"/>
  <c r="A60" i="411" s="1"/>
  <c r="A61" i="411" s="1"/>
  <c r="A62" i="411" s="1"/>
  <c r="BB37" i="411"/>
  <c r="AJ34" i="411"/>
  <c r="A26" i="411"/>
  <c r="A27" i="411" s="1"/>
  <c r="A28" i="411" s="1"/>
  <c r="A29" i="411" s="1"/>
  <c r="A30" i="411" s="1"/>
  <c r="A31" i="411" s="1"/>
  <c r="A32" i="411" s="1"/>
  <c r="A33" i="411" s="1"/>
  <c r="A34" i="411" s="1"/>
  <c r="A35" i="411" s="1"/>
  <c r="AL24" i="411"/>
  <c r="AL36" i="411" s="1"/>
  <c r="AI23" i="411"/>
  <c r="AI22" i="411"/>
  <c r="AI21" i="411"/>
  <c r="AI18" i="411"/>
  <c r="AI17" i="411"/>
  <c r="AI16" i="411"/>
  <c r="AI15" i="411"/>
  <c r="P62" i="411"/>
  <c r="T60" i="411"/>
  <c r="AL52" i="411"/>
  <c r="Q52" i="411"/>
  <c r="T50" i="411"/>
  <c r="T49" i="411"/>
  <c r="AI45" i="411"/>
  <c r="Y43" i="411"/>
  <c r="AL43" i="411"/>
  <c r="AL41" i="411"/>
  <c r="AI41" i="411"/>
  <c r="Y39" i="411"/>
  <c r="AL39" i="411"/>
  <c r="AI39" i="411"/>
  <c r="AU18" i="411" l="1"/>
  <c r="AV45" i="411"/>
  <c r="G19" i="411"/>
  <c r="G36" i="411" s="1"/>
  <c r="AL57" i="411"/>
  <c r="AU15" i="411"/>
  <c r="BA45" i="411"/>
  <c r="AV39" i="411"/>
  <c r="T51" i="411"/>
  <c r="T58" i="411"/>
  <c r="R27" i="411"/>
  <c r="AV27" i="411" s="1"/>
  <c r="R31" i="411"/>
  <c r="E41" i="411"/>
  <c r="AI38" i="411"/>
  <c r="AI42" i="411"/>
  <c r="AI46" i="411"/>
  <c r="AI48" i="411"/>
  <c r="AI57" i="411"/>
  <c r="AI59" i="411"/>
  <c r="R26" i="411"/>
  <c r="Y26" i="411"/>
  <c r="R30" i="411"/>
  <c r="AV30" i="411" s="1"/>
  <c r="T46" i="411"/>
  <c r="T55" i="411"/>
  <c r="T59" i="411"/>
  <c r="R25" i="411"/>
  <c r="R29" i="411"/>
  <c r="E38" i="411"/>
  <c r="Q47" i="411"/>
  <c r="Q24" i="411"/>
  <c r="AU24" i="411" s="1"/>
  <c r="AK53" i="411"/>
  <c r="AU22" i="411"/>
  <c r="T19" i="411"/>
  <c r="AV52" i="411"/>
  <c r="H27" i="411"/>
  <c r="AK27" i="411" s="1"/>
  <c r="S63" i="411"/>
  <c r="AV50" i="411"/>
  <c r="F53" i="411"/>
  <c r="T24" i="411"/>
  <c r="AK63" i="411"/>
  <c r="Y46" i="411"/>
  <c r="AI40" i="411"/>
  <c r="U62" i="411"/>
  <c r="Z62" i="411" s="1"/>
  <c r="AS62" i="411" s="1"/>
  <c r="AM62" i="411"/>
  <c r="AH62" i="411" s="1"/>
  <c r="E40" i="411"/>
  <c r="AQ46" i="411"/>
  <c r="H32" i="411"/>
  <c r="AK32" i="411" s="1"/>
  <c r="H30" i="411"/>
  <c r="AK30" i="411" s="1"/>
  <c r="H25" i="411"/>
  <c r="AK25" i="411" s="1"/>
  <c r="F19" i="411"/>
  <c r="F36" i="411" s="1"/>
  <c r="F63" i="411"/>
  <c r="P50" i="411"/>
  <c r="S13" i="411"/>
  <c r="U13" i="411" s="1"/>
  <c r="AI20" i="411"/>
  <c r="AU20" i="411" s="1"/>
  <c r="P52" i="411"/>
  <c r="S53" i="411"/>
  <c r="AM39" i="411"/>
  <c r="AH39" i="411" s="1"/>
  <c r="E51" i="411"/>
  <c r="G53" i="411"/>
  <c r="G63" i="411"/>
  <c r="AK35" i="411"/>
  <c r="U33" i="411"/>
  <c r="Z33" i="411" s="1"/>
  <c r="AS33" i="411" s="1"/>
  <c r="Q41" i="411"/>
  <c r="AU41" i="411" s="1"/>
  <c r="Q43" i="411"/>
  <c r="T45" i="411"/>
  <c r="Q49" i="411"/>
  <c r="U49" i="411" s="1"/>
  <c r="Z49" i="411" s="1"/>
  <c r="AS49" i="411" s="1"/>
  <c r="BB49" i="411" s="1"/>
  <c r="Q50" i="411"/>
  <c r="U50" i="411" s="1"/>
  <c r="Z50" i="411" s="1"/>
  <c r="AS50" i="411" s="1"/>
  <c r="BB50" i="411" s="1"/>
  <c r="T52" i="411"/>
  <c r="U52" i="411" s="1"/>
  <c r="Z52" i="411" s="1"/>
  <c r="AS52" i="411" s="1"/>
  <c r="BB52" i="411" s="1"/>
  <c r="X39" i="411"/>
  <c r="X43" i="411"/>
  <c r="AQ39" i="411"/>
  <c r="AQ43" i="411"/>
  <c r="AI43" i="411"/>
  <c r="AM43" i="411" s="1"/>
  <c r="AH43" i="411" s="1"/>
  <c r="AL45" i="411"/>
  <c r="AM45" i="411" s="1"/>
  <c r="AL49" i="411"/>
  <c r="AL50" i="411"/>
  <c r="AL60" i="411"/>
  <c r="D19" i="411"/>
  <c r="Q39" i="411"/>
  <c r="AU39" i="411" s="1"/>
  <c r="T43" i="411"/>
  <c r="R60" i="411"/>
  <c r="AP39" i="411"/>
  <c r="AP43" i="411"/>
  <c r="AL55" i="411"/>
  <c r="T39" i="411"/>
  <c r="T41" i="411"/>
  <c r="Q60" i="411"/>
  <c r="AL46" i="411"/>
  <c r="AI52" i="411"/>
  <c r="AU52" i="411" s="1"/>
  <c r="AJ60" i="411"/>
  <c r="Q45" i="411"/>
  <c r="AU45" i="411" s="1"/>
  <c r="AL38" i="411"/>
  <c r="AI49" i="411"/>
  <c r="AI50" i="411"/>
  <c r="AI60" i="411"/>
  <c r="R28" i="411"/>
  <c r="AP32" i="411"/>
  <c r="X32" i="411"/>
  <c r="T44" i="411"/>
  <c r="AL44" i="411"/>
  <c r="T47" i="411"/>
  <c r="AL47" i="411"/>
  <c r="T61" i="411"/>
  <c r="AL61" i="411"/>
  <c r="AL58" i="411"/>
  <c r="E44" i="411"/>
  <c r="X20" i="411"/>
  <c r="X24" i="411" s="1"/>
  <c r="X25" i="411"/>
  <c r="X29" i="411"/>
  <c r="AP20" i="411"/>
  <c r="AP25" i="411"/>
  <c r="AP29" i="411"/>
  <c r="AL48" i="411"/>
  <c r="D63" i="411"/>
  <c r="Q38" i="411"/>
  <c r="Q42" i="411"/>
  <c r="Q46" i="411"/>
  <c r="Q51" i="411"/>
  <c r="Q57" i="411"/>
  <c r="Q59" i="411"/>
  <c r="E46" i="411"/>
  <c r="U34" i="411"/>
  <c r="Z34" i="411" s="1"/>
  <c r="AS34" i="411" s="1"/>
  <c r="U35" i="411"/>
  <c r="Z35" i="411" s="1"/>
  <c r="AS35" i="411" s="1"/>
  <c r="AP26" i="411"/>
  <c r="AP46" i="411"/>
  <c r="BA29" i="411"/>
  <c r="BA30" i="411"/>
  <c r="BA33" i="411"/>
  <c r="AV33" i="411"/>
  <c r="BA34" i="411"/>
  <c r="AV34" i="411"/>
  <c r="AU25" i="411"/>
  <c r="BA26" i="411"/>
  <c r="AU28" i="411"/>
  <c r="AU32" i="411"/>
  <c r="BA27" i="411"/>
  <c r="BA31" i="411"/>
  <c r="BA35" i="411"/>
  <c r="AV35" i="411"/>
  <c r="AU29" i="411"/>
  <c r="AU33" i="411"/>
  <c r="AU17" i="411"/>
  <c r="AI26" i="411"/>
  <c r="AI30" i="411"/>
  <c r="AI34" i="411"/>
  <c r="AV49" i="411"/>
  <c r="AU61" i="411"/>
  <c r="AK13" i="411"/>
  <c r="AM13" i="411" s="1"/>
  <c r="AU16" i="411"/>
  <c r="AI19" i="411"/>
  <c r="AU21" i="411"/>
  <c r="AU23" i="411"/>
  <c r="AI27" i="411"/>
  <c r="AJ28" i="411"/>
  <c r="AI31" i="411"/>
  <c r="AJ32" i="411"/>
  <c r="AK33" i="411"/>
  <c r="AM33" i="411" s="1"/>
  <c r="AI35" i="411"/>
  <c r="D53" i="411"/>
  <c r="AU62" i="411"/>
  <c r="Q19" i="411"/>
  <c r="AV20" i="411"/>
  <c r="AJ25" i="411"/>
  <c r="W50" i="411"/>
  <c r="P43" i="411"/>
  <c r="P45" i="411"/>
  <c r="P49" i="411"/>
  <c r="T42" i="411" l="1"/>
  <c r="AL42" i="411"/>
  <c r="D36" i="411"/>
  <c r="P46" i="411"/>
  <c r="H20" i="411"/>
  <c r="H24" i="411" s="1"/>
  <c r="Q58" i="411"/>
  <c r="T48" i="411"/>
  <c r="T36" i="411"/>
  <c r="H29" i="411"/>
  <c r="AK29" i="411" s="1"/>
  <c r="AM29" i="411" s="1"/>
  <c r="AH29" i="411" s="1"/>
  <c r="H31" i="411"/>
  <c r="AK31" i="411" s="1"/>
  <c r="AM31" i="411" s="1"/>
  <c r="AI56" i="411"/>
  <c r="Q44" i="411"/>
  <c r="AR62" i="411"/>
  <c r="Q56" i="411"/>
  <c r="H28" i="411"/>
  <c r="AK28" i="411" s="1"/>
  <c r="AM28" i="411" s="1"/>
  <c r="AI58" i="411"/>
  <c r="AI51" i="411"/>
  <c r="AU51" i="411" s="1"/>
  <c r="T57" i="411"/>
  <c r="S28" i="411"/>
  <c r="U28" i="411" s="1"/>
  <c r="AI44" i="411"/>
  <c r="AU49" i="411"/>
  <c r="BB33" i="411"/>
  <c r="AL59" i="411"/>
  <c r="P60" i="411"/>
  <c r="Q48" i="411"/>
  <c r="AU48" i="411" s="1"/>
  <c r="AL51" i="411"/>
  <c r="AI47" i="411"/>
  <c r="E55" i="411"/>
  <c r="E59" i="411"/>
  <c r="E57" i="411"/>
  <c r="AR39" i="411"/>
  <c r="AO39" i="411" s="1"/>
  <c r="E48" i="411"/>
  <c r="E58" i="411"/>
  <c r="AU38" i="411"/>
  <c r="AV31" i="411"/>
  <c r="AU46" i="411"/>
  <c r="T38" i="411"/>
  <c r="AU42" i="411"/>
  <c r="S26" i="411"/>
  <c r="U26" i="411" s="1"/>
  <c r="Z26" i="411" s="1"/>
  <c r="AS26" i="411" s="1"/>
  <c r="BB26" i="411" s="1"/>
  <c r="S31" i="411"/>
  <c r="U31" i="411" s="1"/>
  <c r="S29" i="411"/>
  <c r="U29" i="411" s="1"/>
  <c r="S20" i="411"/>
  <c r="U39" i="411"/>
  <c r="Z39" i="411" s="1"/>
  <c r="AS39" i="411" s="1"/>
  <c r="BB39" i="411" s="1"/>
  <c r="E42" i="411"/>
  <c r="E47" i="411"/>
  <c r="Q40" i="411"/>
  <c r="AU40" i="411" s="1"/>
  <c r="Q36" i="411"/>
  <c r="E56" i="411"/>
  <c r="H26" i="411"/>
  <c r="AK26" i="411" s="1"/>
  <c r="AM26" i="411" s="1"/>
  <c r="AU50" i="411"/>
  <c r="P39" i="411"/>
  <c r="X46" i="411"/>
  <c r="R41" i="411"/>
  <c r="U41" i="411" s="1"/>
  <c r="U45" i="411"/>
  <c r="Z45" i="411" s="1"/>
  <c r="AS45" i="411" s="1"/>
  <c r="BB45" i="411" s="1"/>
  <c r="AJ41" i="411"/>
  <c r="AJ51" i="411"/>
  <c r="AJ44" i="411"/>
  <c r="AM60" i="411"/>
  <c r="AR60" i="411" s="1"/>
  <c r="R47" i="411"/>
  <c r="U47" i="411" s="1"/>
  <c r="AR43" i="411"/>
  <c r="AO43" i="411" s="1"/>
  <c r="AU43" i="411"/>
  <c r="P51" i="411"/>
  <c r="R51" i="411"/>
  <c r="U51" i="411" s="1"/>
  <c r="Z51" i="411" s="1"/>
  <c r="AS51" i="411" s="1"/>
  <c r="R56" i="411"/>
  <c r="AM52" i="411"/>
  <c r="AH52" i="411" s="1"/>
  <c r="AJ46" i="411"/>
  <c r="AM46" i="411" s="1"/>
  <c r="AR46" i="411" s="1"/>
  <c r="AO46" i="411" s="1"/>
  <c r="R46" i="411"/>
  <c r="U46" i="411" s="1"/>
  <c r="Z46" i="411" s="1"/>
  <c r="AS46" i="411" s="1"/>
  <c r="BB46" i="411" s="1"/>
  <c r="AJ55" i="411"/>
  <c r="F65" i="411"/>
  <c r="BB34" i="411"/>
  <c r="AQ20" i="411"/>
  <c r="AQ24" i="411" s="1"/>
  <c r="Y20" i="411"/>
  <c r="Y24" i="411" s="1"/>
  <c r="AQ25" i="411"/>
  <c r="Y25" i="411"/>
  <c r="AQ29" i="411"/>
  <c r="Y29" i="411"/>
  <c r="AJ42" i="411"/>
  <c r="W39" i="411"/>
  <c r="AQ26" i="411"/>
  <c r="R44" i="411"/>
  <c r="X26" i="411"/>
  <c r="AP14" i="411"/>
  <c r="U60" i="411"/>
  <c r="Z60" i="411" s="1"/>
  <c r="AS60" i="411" s="1"/>
  <c r="P13" i="411"/>
  <c r="G65" i="411"/>
  <c r="AH45" i="411"/>
  <c r="AR45" i="411"/>
  <c r="AO45" i="411" s="1"/>
  <c r="AJ23" i="411"/>
  <c r="AM23" i="411" s="1"/>
  <c r="AR23" i="411" s="1"/>
  <c r="U43" i="411"/>
  <c r="Z43" i="411" s="1"/>
  <c r="AS43" i="411" s="1"/>
  <c r="BB43" i="411" s="1"/>
  <c r="BB35" i="411"/>
  <c r="AU60" i="411"/>
  <c r="AM49" i="411"/>
  <c r="AM50" i="411"/>
  <c r="AV60" i="411"/>
  <c r="BA60" i="411"/>
  <c r="E61" i="411"/>
  <c r="AI55" i="411"/>
  <c r="Q55" i="411"/>
  <c r="AJ40" i="411"/>
  <c r="R40" i="411"/>
  <c r="AJ57" i="411"/>
  <c r="R57" i="411"/>
  <c r="AV26" i="411"/>
  <c r="AU59" i="411"/>
  <c r="AU57" i="411"/>
  <c r="R32" i="411"/>
  <c r="AP40" i="411"/>
  <c r="X40" i="411"/>
  <c r="AK20" i="411"/>
  <c r="T56" i="411"/>
  <c r="AL56" i="411"/>
  <c r="AQ32" i="411"/>
  <c r="Y32" i="411"/>
  <c r="AV29" i="411"/>
  <c r="AJ38" i="411"/>
  <c r="R38" i="411"/>
  <c r="T40" i="411"/>
  <c r="AL40" i="411"/>
  <c r="S14" i="411"/>
  <c r="H14" i="411"/>
  <c r="AP38" i="411"/>
  <c r="X38" i="411"/>
  <c r="AU19" i="411"/>
  <c r="AR33" i="411"/>
  <c r="AH33" i="411"/>
  <c r="BA25" i="411"/>
  <c r="AV25" i="411"/>
  <c r="BA32" i="411"/>
  <c r="Z13" i="411"/>
  <c r="AV28" i="411"/>
  <c r="BA28" i="411"/>
  <c r="AR13" i="411"/>
  <c r="AH13" i="411"/>
  <c r="AU30" i="411"/>
  <c r="AM30" i="411"/>
  <c r="AU27" i="411"/>
  <c r="AM27" i="411"/>
  <c r="AU35" i="411"/>
  <c r="AM35" i="411"/>
  <c r="AU26" i="411"/>
  <c r="AT62" i="411"/>
  <c r="AO62" i="411"/>
  <c r="AM25" i="411"/>
  <c r="AU31" i="411"/>
  <c r="AM32" i="411"/>
  <c r="AU34" i="411"/>
  <c r="AM34" i="411"/>
  <c r="AI36" i="411"/>
  <c r="W45" i="411"/>
  <c r="W52" i="411"/>
  <c r="W49" i="411"/>
  <c r="W43" i="411"/>
  <c r="P31" i="411"/>
  <c r="W60" i="411"/>
  <c r="K31" i="628" l="1"/>
  <c r="K15" i="628"/>
  <c r="K24" i="628"/>
  <c r="L24" i="628" s="1"/>
  <c r="F31" i="628"/>
  <c r="D65" i="411"/>
  <c r="P57" i="411"/>
  <c r="P48" i="411"/>
  <c r="AU44" i="411"/>
  <c r="AU58" i="411"/>
  <c r="AL63" i="411"/>
  <c r="S32" i="411"/>
  <c r="U32" i="411" s="1"/>
  <c r="Z32" i="411" s="1"/>
  <c r="AS32" i="411" s="1"/>
  <c r="BB32" i="411" s="1"/>
  <c r="U57" i="411"/>
  <c r="AM44" i="411"/>
  <c r="AH44" i="411" s="1"/>
  <c r="AL53" i="411"/>
  <c r="T63" i="411"/>
  <c r="P25" i="411"/>
  <c r="AR29" i="411"/>
  <c r="AO29" i="411" s="1"/>
  <c r="AM51" i="411"/>
  <c r="AR51" i="411" s="1"/>
  <c r="AO51" i="411" s="1"/>
  <c r="AU56" i="411"/>
  <c r="AH60" i="411"/>
  <c r="AR52" i="411"/>
  <c r="AT52" i="411" s="1"/>
  <c r="Q53" i="411"/>
  <c r="T53" i="411"/>
  <c r="E53" i="411"/>
  <c r="AI53" i="411"/>
  <c r="AU47" i="411"/>
  <c r="P27" i="411"/>
  <c r="P26" i="411"/>
  <c r="AT39" i="411"/>
  <c r="BA51" i="411"/>
  <c r="BB51" i="411" s="1"/>
  <c r="E63" i="411"/>
  <c r="P44" i="411"/>
  <c r="W32" i="411"/>
  <c r="S25" i="411"/>
  <c r="U25" i="411" s="1"/>
  <c r="Z25" i="411" s="1"/>
  <c r="AS25" i="411" s="1"/>
  <c r="S24" i="411"/>
  <c r="U20" i="411"/>
  <c r="Z20" i="411" s="1"/>
  <c r="AS20" i="411" s="1"/>
  <c r="Z29" i="411"/>
  <c r="AS29" i="411" s="1"/>
  <c r="BB29" i="411" s="1"/>
  <c r="S27" i="411"/>
  <c r="U27" i="411" s="1"/>
  <c r="W51" i="411"/>
  <c r="AV51" i="411"/>
  <c r="AT43" i="411"/>
  <c r="AV41" i="411"/>
  <c r="BA41" i="411"/>
  <c r="AM41" i="411"/>
  <c r="AH41" i="411" s="1"/>
  <c r="BA44" i="411"/>
  <c r="AT45" i="411"/>
  <c r="AV44" i="411"/>
  <c r="P41" i="411"/>
  <c r="W46" i="411"/>
  <c r="AJ58" i="411"/>
  <c r="AM58" i="411" s="1"/>
  <c r="R58" i="411"/>
  <c r="U58" i="411" s="1"/>
  <c r="AJ47" i="411"/>
  <c r="AV47" i="411" s="1"/>
  <c r="AJ56" i="411"/>
  <c r="AV56" i="411" s="1"/>
  <c r="W28" i="411"/>
  <c r="R55" i="411"/>
  <c r="U55" i="411" s="1"/>
  <c r="AV46" i="411"/>
  <c r="P28" i="411"/>
  <c r="S30" i="411"/>
  <c r="U30" i="411" s="1"/>
  <c r="U44" i="411"/>
  <c r="R42" i="411"/>
  <c r="U42" i="411" s="1"/>
  <c r="BB60" i="411"/>
  <c r="AH46" i="411"/>
  <c r="R59" i="411"/>
  <c r="U59" i="411" s="1"/>
  <c r="AJ59" i="411"/>
  <c r="AJ48" i="411"/>
  <c r="R48" i="411"/>
  <c r="U48" i="411" s="1"/>
  <c r="AQ14" i="411"/>
  <c r="AQ19" i="411" s="1"/>
  <c r="X14" i="411"/>
  <c r="U56" i="411"/>
  <c r="AT46" i="411"/>
  <c r="U38" i="411"/>
  <c r="AV32" i="411"/>
  <c r="AR49" i="411"/>
  <c r="AH49" i="411"/>
  <c r="R23" i="411"/>
  <c r="AH50" i="411"/>
  <c r="AR50" i="411"/>
  <c r="W31" i="411"/>
  <c r="Y31" i="411"/>
  <c r="Z31" i="411" s="1"/>
  <c r="AS31" i="411" s="1"/>
  <c r="BB31" i="411" s="1"/>
  <c r="AQ31" i="411"/>
  <c r="AR31" i="411" s="1"/>
  <c r="U14" i="411"/>
  <c r="S19" i="411"/>
  <c r="BA55" i="411"/>
  <c r="AQ40" i="411"/>
  <c r="Y40" i="411"/>
  <c r="AK14" i="411"/>
  <c r="H19" i="411"/>
  <c r="AV57" i="411"/>
  <c r="AM57" i="411"/>
  <c r="AM55" i="411"/>
  <c r="AI63" i="411"/>
  <c r="AU55" i="411"/>
  <c r="AJ15" i="411"/>
  <c r="AQ38" i="411"/>
  <c r="Y38" i="411"/>
  <c r="AJ17" i="411"/>
  <c r="AV38" i="411"/>
  <c r="BA38" i="411"/>
  <c r="AM38" i="411"/>
  <c r="AK24" i="411"/>
  <c r="AM20" i="411"/>
  <c r="AJ16" i="411"/>
  <c r="BA42" i="411"/>
  <c r="AM42" i="411"/>
  <c r="Q63" i="411"/>
  <c r="Y27" i="411"/>
  <c r="AQ27" i="411"/>
  <c r="AR27" i="411" s="1"/>
  <c r="AQ28" i="411"/>
  <c r="AR28" i="411" s="1"/>
  <c r="Y28" i="411"/>
  <c r="Z28" i="411" s="1"/>
  <c r="AS28" i="411" s="1"/>
  <c r="BB28" i="411" s="1"/>
  <c r="W44" i="411"/>
  <c r="AQ44" i="411"/>
  <c r="Y44" i="411"/>
  <c r="BA40" i="411"/>
  <c r="AV40" i="411"/>
  <c r="AM40" i="411"/>
  <c r="AJ61" i="411"/>
  <c r="R61" i="411"/>
  <c r="U61" i="411" s="1"/>
  <c r="AJ18" i="411"/>
  <c r="U40" i="411"/>
  <c r="AR32" i="411"/>
  <c r="AH32" i="411"/>
  <c r="AR25" i="411"/>
  <c r="AH25" i="411"/>
  <c r="AS13" i="411"/>
  <c r="AT13" i="411" s="1"/>
  <c r="AO33" i="411"/>
  <c r="AT33" i="411"/>
  <c r="AU36" i="411"/>
  <c r="AR34" i="411"/>
  <c r="AH34" i="411"/>
  <c r="AH31" i="411"/>
  <c r="AR26" i="411"/>
  <c r="AH26" i="411"/>
  <c r="AR35" i="411"/>
  <c r="AH35" i="411"/>
  <c r="AH27" i="411"/>
  <c r="AO13" i="411"/>
  <c r="AT60" i="411"/>
  <c r="AO60" i="411"/>
  <c r="AH30" i="411"/>
  <c r="AH28" i="411"/>
  <c r="P42" i="411"/>
  <c r="W25" i="411"/>
  <c r="P47" i="411"/>
  <c r="P38" i="411"/>
  <c r="P40" i="411"/>
  <c r="P61" i="411"/>
  <c r="P29" i="411"/>
  <c r="P58" i="411"/>
  <c r="J31" i="628" l="1"/>
  <c r="AO52" i="411"/>
  <c r="AL65" i="411"/>
  <c r="P53" i="411"/>
  <c r="AH51" i="411"/>
  <c r="AR44" i="411"/>
  <c r="AO44" i="411" s="1"/>
  <c r="AU63" i="411"/>
  <c r="T65" i="411"/>
  <c r="Q65" i="411"/>
  <c r="E65" i="411"/>
  <c r="AU53" i="411"/>
  <c r="AI65" i="411"/>
  <c r="AQ57" i="411"/>
  <c r="AR57" i="411" s="1"/>
  <c r="Y57" i="411"/>
  <c r="Z57" i="411" s="1"/>
  <c r="AS57" i="411" s="1"/>
  <c r="BB57" i="411" s="1"/>
  <c r="AT51" i="411"/>
  <c r="AT29" i="411"/>
  <c r="P32" i="411"/>
  <c r="AM56" i="411"/>
  <c r="AH56" i="411" s="1"/>
  <c r="Z27" i="411"/>
  <c r="AS27" i="411" s="1"/>
  <c r="BB27" i="411" s="1"/>
  <c r="BA56" i="411"/>
  <c r="W41" i="411"/>
  <c r="Y41" i="411"/>
  <c r="Z41" i="411" s="1"/>
  <c r="AS41" i="411" s="1"/>
  <c r="BB41" i="411" s="1"/>
  <c r="AQ41" i="411"/>
  <c r="AR41" i="411" s="1"/>
  <c r="W13" i="411"/>
  <c r="BA47" i="411"/>
  <c r="AM47" i="411"/>
  <c r="AH47" i="411" s="1"/>
  <c r="AV42" i="411"/>
  <c r="AJ53" i="411"/>
  <c r="AV55" i="411"/>
  <c r="S36" i="411"/>
  <c r="S65" i="411" s="1"/>
  <c r="Z44" i="411"/>
  <c r="AS44" i="411" s="1"/>
  <c r="BB44" i="411" s="1"/>
  <c r="AV58" i="411"/>
  <c r="BA48" i="411"/>
  <c r="BA58" i="411"/>
  <c r="P56" i="411"/>
  <c r="P63" i="411"/>
  <c r="P55" i="411"/>
  <c r="Z40" i="411"/>
  <c r="AS40" i="411" s="1"/>
  <c r="BB40" i="411" s="1"/>
  <c r="P30" i="411"/>
  <c r="AM48" i="411"/>
  <c r="AH48" i="411" s="1"/>
  <c r="AV48" i="411"/>
  <c r="P59" i="411"/>
  <c r="AM59" i="411"/>
  <c r="AH59" i="411" s="1"/>
  <c r="AV59" i="411"/>
  <c r="BA59" i="411"/>
  <c r="R53" i="411"/>
  <c r="Y14" i="411"/>
  <c r="Y19" i="411" s="1"/>
  <c r="AJ22" i="411"/>
  <c r="AO50" i="411"/>
  <c r="AT50" i="411"/>
  <c r="AJ21" i="411"/>
  <c r="U23" i="411"/>
  <c r="Z23" i="411" s="1"/>
  <c r="AS23" i="411" s="1"/>
  <c r="AV23" i="411"/>
  <c r="AT49" i="411"/>
  <c r="AO49" i="411"/>
  <c r="Y61" i="411"/>
  <c r="Z61" i="411" s="1"/>
  <c r="AS61" i="411" s="1"/>
  <c r="AQ61" i="411"/>
  <c r="AH38" i="411"/>
  <c r="AR38" i="411"/>
  <c r="AM15" i="411"/>
  <c r="AR15" i="411" s="1"/>
  <c r="AJ19" i="411"/>
  <c r="AH55" i="411"/>
  <c r="R63" i="411"/>
  <c r="AM18" i="411"/>
  <c r="AR18" i="411" s="1"/>
  <c r="AH42" i="411"/>
  <c r="AM16" i="411"/>
  <c r="AR16" i="411" s="1"/>
  <c r="AR20" i="411"/>
  <c r="AM17" i="411"/>
  <c r="AR17" i="411" s="1"/>
  <c r="AH57" i="411"/>
  <c r="W58" i="411"/>
  <c r="AQ58" i="411"/>
  <c r="AR58" i="411" s="1"/>
  <c r="Y58" i="411"/>
  <c r="Z58" i="411" s="1"/>
  <c r="AS58" i="411" s="1"/>
  <c r="W48" i="411"/>
  <c r="AQ48" i="411"/>
  <c r="Y48" i="411"/>
  <c r="Z48" i="411" s="1"/>
  <c r="AS48" i="411" s="1"/>
  <c r="AQ56" i="411"/>
  <c r="Y56" i="411"/>
  <c r="Z56" i="411" s="1"/>
  <c r="AS56" i="411" s="1"/>
  <c r="Y47" i="411"/>
  <c r="Z47" i="411" s="1"/>
  <c r="AS47" i="411" s="1"/>
  <c r="AQ47" i="411"/>
  <c r="Y55" i="411"/>
  <c r="Z55" i="411" s="1"/>
  <c r="AQ55" i="411"/>
  <c r="AR55" i="411" s="1"/>
  <c r="R18" i="411"/>
  <c r="U18" i="411" s="1"/>
  <c r="Z18" i="411" s="1"/>
  <c r="AS18" i="411" s="1"/>
  <c r="BB18" i="411" s="1"/>
  <c r="AR40" i="411"/>
  <c r="AH40" i="411"/>
  <c r="U63" i="411"/>
  <c r="R16" i="411"/>
  <c r="U16" i="411" s="1"/>
  <c r="Z16" i="411" s="1"/>
  <c r="AS16" i="411" s="1"/>
  <c r="BB16" i="411" s="1"/>
  <c r="R17" i="411"/>
  <c r="U17" i="411" s="1"/>
  <c r="Z17" i="411" s="1"/>
  <c r="AS17" i="411" s="1"/>
  <c r="BB17" i="411" s="1"/>
  <c r="AM14" i="411"/>
  <c r="AK19" i="411"/>
  <c r="AK36" i="411" s="1"/>
  <c r="AK65" i="411" s="1"/>
  <c r="U53" i="411"/>
  <c r="AQ42" i="411"/>
  <c r="AR42" i="411" s="1"/>
  <c r="Y42" i="411"/>
  <c r="Z42" i="411" s="1"/>
  <c r="AS42" i="411" s="1"/>
  <c r="BB42" i="411" s="1"/>
  <c r="AV61" i="411"/>
  <c r="AM61" i="411"/>
  <c r="BA61" i="411"/>
  <c r="R15" i="411"/>
  <c r="AH58" i="411"/>
  <c r="Z38" i="411"/>
  <c r="AJ63" i="411"/>
  <c r="BB25" i="411"/>
  <c r="AT26" i="411"/>
  <c r="AO26" i="411"/>
  <c r="AT34" i="411"/>
  <c r="AO34" i="411"/>
  <c r="AO32" i="411"/>
  <c r="AT32" i="411"/>
  <c r="AO28" i="411"/>
  <c r="AT28" i="411"/>
  <c r="BB20" i="411"/>
  <c r="AO25" i="411"/>
  <c r="AT25" i="411"/>
  <c r="AO27" i="411"/>
  <c r="AO35" i="411"/>
  <c r="AT35" i="411"/>
  <c r="AO31" i="411"/>
  <c r="AT31" i="411"/>
  <c r="BB13" i="411"/>
  <c r="W40" i="411"/>
  <c r="W26" i="411"/>
  <c r="W29" i="411"/>
  <c r="W38" i="411"/>
  <c r="G15" i="628" l="1"/>
  <c r="G31" i="628"/>
  <c r="M31" i="628"/>
  <c r="AU65" i="411"/>
  <c r="W56" i="411"/>
  <c r="BB47" i="411"/>
  <c r="W27" i="411"/>
  <c r="W57" i="411"/>
  <c r="BB58" i="411"/>
  <c r="BB56" i="411"/>
  <c r="AR56" i="411"/>
  <c r="AO56" i="411" s="1"/>
  <c r="AT27" i="411"/>
  <c r="W61" i="411"/>
  <c r="BA53" i="411"/>
  <c r="AR47" i="411"/>
  <c r="AO47" i="411" s="1"/>
  <c r="AT41" i="411"/>
  <c r="AO41" i="411"/>
  <c r="AM63" i="411"/>
  <c r="AH63" i="411" s="1"/>
  <c r="AM53" i="411"/>
  <c r="AH53" i="411" s="1"/>
  <c r="BB48" i="411"/>
  <c r="AT44" i="411"/>
  <c r="AV53" i="411"/>
  <c r="BA63" i="411"/>
  <c r="AR48" i="411"/>
  <c r="AO48" i="411" s="1"/>
  <c r="AV63" i="411"/>
  <c r="AQ30" i="411"/>
  <c r="Y30" i="411"/>
  <c r="Z14" i="411"/>
  <c r="AS14" i="411" s="1"/>
  <c r="AQ59" i="411"/>
  <c r="AR59" i="411" s="1"/>
  <c r="Y59" i="411"/>
  <c r="Z59" i="411" s="1"/>
  <c r="AS59" i="411" s="1"/>
  <c r="BB59" i="411" s="1"/>
  <c r="W47" i="411"/>
  <c r="AM22" i="411"/>
  <c r="AR22" i="411" s="1"/>
  <c r="R22" i="411"/>
  <c r="U22" i="411" s="1"/>
  <c r="Z22" i="411" s="1"/>
  <c r="AS22" i="411" s="1"/>
  <c r="BB23" i="411"/>
  <c r="AT23" i="411"/>
  <c r="AJ24" i="411"/>
  <c r="AJ36" i="411" s="1"/>
  <c r="AM21" i="411"/>
  <c r="AO55" i="411"/>
  <c r="AT42" i="411"/>
  <c r="AO42" i="411"/>
  <c r="Z53" i="411"/>
  <c r="AS38" i="411"/>
  <c r="AT38" i="411" s="1"/>
  <c r="U15" i="411"/>
  <c r="R19" i="411"/>
  <c r="AV19" i="411" s="1"/>
  <c r="AR14" i="411"/>
  <c r="AM19" i="411"/>
  <c r="AV17" i="411"/>
  <c r="AV16" i="411"/>
  <c r="AT40" i="411"/>
  <c r="AO40" i="411"/>
  <c r="BA19" i="411"/>
  <c r="AT17" i="411"/>
  <c r="AT16" i="411"/>
  <c r="BB61" i="411"/>
  <c r="AO38" i="411"/>
  <c r="AT18" i="411"/>
  <c r="AV15" i="411"/>
  <c r="AO58" i="411"/>
  <c r="AT58" i="411"/>
  <c r="AR61" i="411"/>
  <c r="AH61" i="411"/>
  <c r="AS55" i="411"/>
  <c r="AO57" i="411"/>
  <c r="AT57" i="411"/>
  <c r="AT20" i="411"/>
  <c r="AQ53" i="411"/>
  <c r="AV18" i="411"/>
  <c r="Y53" i="411"/>
  <c r="W42" i="411"/>
  <c r="W55" i="411"/>
  <c r="F81" i="628" l="1"/>
  <c r="Q39" i="628"/>
  <c r="AT56" i="411"/>
  <c r="AQ63" i="411"/>
  <c r="AT47" i="411"/>
  <c r="AT48" i="411"/>
  <c r="AR53" i="411"/>
  <c r="B11" i="552" s="1"/>
  <c r="C11" i="552" s="1"/>
  <c r="W30" i="411"/>
  <c r="AR30" i="411"/>
  <c r="AQ36" i="411"/>
  <c r="Z30" i="411"/>
  <c r="AS30" i="411" s="1"/>
  <c r="BB30" i="411" s="1"/>
  <c r="Y36" i="411"/>
  <c r="Y63" i="411"/>
  <c r="Z63" i="411"/>
  <c r="AO59" i="411"/>
  <c r="AT59" i="411"/>
  <c r="W59" i="411"/>
  <c r="AV22" i="411"/>
  <c r="R21" i="411"/>
  <c r="BA24" i="411"/>
  <c r="BA36" i="411" s="1"/>
  <c r="BA65" i="411" s="1"/>
  <c r="AR21" i="411"/>
  <c r="AM24" i="411"/>
  <c r="AH24" i="411" s="1"/>
  <c r="AS63" i="411"/>
  <c r="BB55" i="411"/>
  <c r="BB63" i="411" s="1"/>
  <c r="BB14" i="411"/>
  <c r="P19" i="411"/>
  <c r="AT61" i="411"/>
  <c r="AO61" i="411"/>
  <c r="BB22" i="411"/>
  <c r="AT22" i="411"/>
  <c r="AT14" i="411"/>
  <c r="AR19" i="411"/>
  <c r="AT55" i="411"/>
  <c r="AH19" i="411"/>
  <c r="BB38" i="411"/>
  <c r="AS53" i="411"/>
  <c r="BB53" i="411" s="1"/>
  <c r="AR63" i="411"/>
  <c r="AJ65" i="411"/>
  <c r="W19" i="411"/>
  <c r="Z15" i="411"/>
  <c r="U19" i="411"/>
  <c r="W53" i="411"/>
  <c r="W63" i="411"/>
  <c r="AQ65" i="411" l="1"/>
  <c r="AT53" i="411"/>
  <c r="AO53" i="411"/>
  <c r="AO63" i="411"/>
  <c r="B6" i="552"/>
  <c r="C6" i="552" s="1"/>
  <c r="H6" i="552" s="1"/>
  <c r="AT30" i="411"/>
  <c r="AO30" i="411"/>
  <c r="Y65" i="411"/>
  <c r="AT63" i="411"/>
  <c r="AM36" i="411"/>
  <c r="AM65" i="411" s="1"/>
  <c r="H31" i="628"/>
  <c r="I31" i="628" s="1"/>
  <c r="AR24" i="411"/>
  <c r="AO24" i="411" s="1"/>
  <c r="R24" i="411"/>
  <c r="U21" i="411"/>
  <c r="AV21" i="411"/>
  <c r="AO19" i="411"/>
  <c r="AS15" i="411"/>
  <c r="Z19" i="411"/>
  <c r="S11" i="628" l="1"/>
  <c r="AH65" i="411"/>
  <c r="AH36" i="411"/>
  <c r="AR36" i="411"/>
  <c r="AR65" i="411" s="1"/>
  <c r="AO65" i="411" s="1"/>
  <c r="AV24" i="411"/>
  <c r="R36" i="411"/>
  <c r="W24" i="411"/>
  <c r="P24" i="411"/>
  <c r="Z21" i="411"/>
  <c r="U24" i="411"/>
  <c r="U36" i="411" s="1"/>
  <c r="U65" i="411" s="1"/>
  <c r="BB15" i="411"/>
  <c r="AT15" i="411"/>
  <c r="AT19" i="411" s="1"/>
  <c r="AS19" i="411"/>
  <c r="S10" i="628" l="1"/>
  <c r="T11" i="628"/>
  <c r="C4" i="98"/>
  <c r="D9" i="149" s="1"/>
  <c r="AO36" i="411"/>
  <c r="W36" i="411"/>
  <c r="R65" i="411"/>
  <c r="AV36" i="411"/>
  <c r="AV65" i="411" s="1"/>
  <c r="AS21" i="411"/>
  <c r="Z24" i="411"/>
  <c r="Z36" i="411" s="1"/>
  <c r="Z65" i="411" s="1"/>
  <c r="P36" i="411"/>
  <c r="P65" i="411"/>
  <c r="BB19" i="411"/>
  <c r="D6" i="634" l="1"/>
  <c r="H36" i="627"/>
  <c r="I15" i="628"/>
  <c r="W65" i="411"/>
  <c r="BB21" i="411"/>
  <c r="AS24" i="411"/>
  <c r="AT21" i="411"/>
  <c r="AT24" i="411" s="1"/>
  <c r="AT36" i="411" s="1"/>
  <c r="AT65" i="411" s="1"/>
  <c r="G5" i="96"/>
  <c r="G4" i="96"/>
  <c r="J30" i="627" l="1"/>
  <c r="D6" i="644"/>
  <c r="S12" i="628"/>
  <c r="H15" i="628"/>
  <c r="D15" i="634"/>
  <c r="BB24" i="411"/>
  <c r="AS36" i="411"/>
  <c r="T12" i="628" l="1"/>
  <c r="S13" i="628"/>
  <c r="T13" i="628" s="1"/>
  <c r="BB36" i="411"/>
  <c r="BB65" i="411" s="1"/>
  <c r="AS65" i="411"/>
  <c r="C9" i="436" l="1"/>
  <c r="C14" i="436"/>
  <c r="D14" i="436"/>
  <c r="C27" i="436"/>
  <c r="D27" i="436"/>
  <c r="D32" i="436" l="1"/>
  <c r="C32" i="436"/>
  <c r="C33" i="436" s="1"/>
  <c r="D9" i="436" l="1"/>
  <c r="D33" i="436" s="1"/>
  <c r="E4" i="436" l="1"/>
  <c r="E33" i="10"/>
  <c r="C33" i="10"/>
  <c r="I46" i="10"/>
  <c r="I48" i="10" s="1"/>
  <c r="F61" i="10" s="1"/>
  <c r="E61" i="10" s="1"/>
  <c r="I42" i="10"/>
  <c r="I41" i="10"/>
  <c r="I40" i="10"/>
  <c r="I39" i="10"/>
  <c r="I38" i="10"/>
  <c r="I37" i="10"/>
  <c r="I36" i="10"/>
  <c r="I35"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G46" i="10"/>
  <c r="K6" i="393" s="1"/>
  <c r="K5" i="393" s="1"/>
  <c r="G42" i="10"/>
  <c r="G41" i="10"/>
  <c r="G40" i="10"/>
  <c r="G39" i="10"/>
  <c r="G38" i="10"/>
  <c r="G37" i="10"/>
  <c r="G36" i="10"/>
  <c r="G35"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E46" i="10"/>
  <c r="E48" i="10" s="1"/>
  <c r="F51" i="10" s="1"/>
  <c r="E42" i="10"/>
  <c r="E40" i="10"/>
  <c r="E39" i="10"/>
  <c r="E38" i="10"/>
  <c r="E37" i="10"/>
  <c r="E35" i="10"/>
  <c r="E32" i="10"/>
  <c r="E31" i="10"/>
  <c r="E30" i="10"/>
  <c r="E29" i="10"/>
  <c r="E28" i="10"/>
  <c r="E27" i="10"/>
  <c r="E26" i="10"/>
  <c r="E25" i="10"/>
  <c r="E24" i="10"/>
  <c r="E23" i="10"/>
  <c r="E22" i="10"/>
  <c r="E20" i="10"/>
  <c r="E19" i="10"/>
  <c r="E18" i="10"/>
  <c r="E17" i="10"/>
  <c r="E16" i="10"/>
  <c r="E15" i="10"/>
  <c r="E14" i="10"/>
  <c r="E13" i="10"/>
  <c r="E12" i="10"/>
  <c r="E11" i="10"/>
  <c r="E10" i="10"/>
  <c r="E9" i="10"/>
  <c r="E8" i="10"/>
  <c r="D57" i="10"/>
  <c r="C46" i="10"/>
  <c r="D6" i="393" s="1"/>
  <c r="D8" i="393" s="1"/>
  <c r="C37" i="10"/>
  <c r="C38" i="10"/>
  <c r="C39" i="10"/>
  <c r="C40" i="10"/>
  <c r="C42" i="10"/>
  <c r="C35" i="10"/>
  <c r="C30" i="10"/>
  <c r="C31" i="10"/>
  <c r="C32" i="10"/>
  <c r="C29" i="10"/>
  <c r="C28" i="10"/>
  <c r="C27" i="10"/>
  <c r="C21" i="10"/>
  <c r="C22" i="10"/>
  <c r="C23" i="10"/>
  <c r="C24" i="10"/>
  <c r="C25" i="10"/>
  <c r="C26" i="10"/>
  <c r="C20" i="10"/>
  <c r="C19" i="10"/>
  <c r="C14" i="10"/>
  <c r="C15" i="10"/>
  <c r="C16" i="10"/>
  <c r="C17" i="10"/>
  <c r="C18" i="10"/>
  <c r="C9" i="10"/>
  <c r="C10" i="10"/>
  <c r="C11" i="10"/>
  <c r="C12" i="10"/>
  <c r="C13" i="10"/>
  <c r="C8" i="10"/>
  <c r="C6" i="10"/>
  <c r="G6" i="10"/>
  <c r="C7" i="10"/>
  <c r="G7" i="10"/>
  <c r="I7" i="10"/>
  <c r="C36" i="10"/>
  <c r="E41" i="10"/>
  <c r="L10" i="393"/>
  <c r="J5" i="395"/>
  <c r="H9" i="395"/>
  <c r="L33" i="21"/>
  <c r="J6" i="96"/>
  <c r="J7" i="96" s="1"/>
  <c r="C20" i="83"/>
  <c r="C101" i="83" s="1"/>
  <c r="C10" i="98"/>
  <c r="C23" i="97"/>
  <c r="C49" i="97" s="1"/>
  <c r="H37" i="97"/>
  <c r="D4" i="96"/>
  <c r="E4" i="96" s="1"/>
  <c r="C12" i="96"/>
  <c r="C13" i="83"/>
  <c r="C100" i="83" s="1"/>
  <c r="E20" i="83"/>
  <c r="E101" i="83" s="1"/>
  <c r="C65" i="83"/>
  <c r="L34" i="21"/>
  <c r="E23" i="149"/>
  <c r="R7" i="8"/>
  <c r="D10" i="171"/>
  <c r="E10" i="171"/>
  <c r="D15" i="171"/>
  <c r="D17" i="171"/>
  <c r="D22" i="171"/>
  <c r="D27" i="171"/>
  <c r="D29" i="171"/>
  <c r="D31" i="171"/>
  <c r="D33" i="171"/>
  <c r="D35" i="171"/>
  <c r="D37" i="171"/>
  <c r="D39" i="171"/>
  <c r="D41" i="171"/>
  <c r="D43" i="171"/>
  <c r="D44" i="171"/>
  <c r="D45" i="171"/>
  <c r="D47" i="171"/>
  <c r="D49" i="171"/>
  <c r="D54" i="171"/>
  <c r="D56" i="171"/>
  <c r="D58" i="171"/>
  <c r="D60" i="171"/>
  <c r="D62" i="171"/>
  <c r="D64" i="171"/>
  <c r="D65" i="171"/>
  <c r="D66" i="171"/>
  <c r="D67" i="171"/>
  <c r="D68" i="171"/>
  <c r="D69" i="171"/>
  <c r="D70" i="171"/>
  <c r="D18" i="171"/>
  <c r="D20" i="171"/>
  <c r="D21" i="171"/>
  <c r="D32" i="171"/>
  <c r="D46" i="171"/>
  <c r="F42" i="97"/>
  <c r="H42" i="97" s="1"/>
  <c r="E13" i="83"/>
  <c r="E100" i="83" s="1"/>
  <c r="F65" i="83"/>
  <c r="E65" i="83"/>
  <c r="C5" i="171"/>
  <c r="C41" i="10"/>
  <c r="E6" i="10"/>
  <c r="E36" i="10"/>
  <c r="E21" i="10"/>
  <c r="H10" i="393"/>
  <c r="E7" i="10"/>
  <c r="E10" i="393"/>
  <c r="D50" i="171"/>
  <c r="F10" i="393"/>
  <c r="D61" i="171"/>
  <c r="D34" i="171"/>
  <c r="D26" i="171"/>
  <c r="D59" i="171"/>
  <c r="D57" i="171"/>
  <c r="D38" i="171"/>
  <c r="D48" i="171"/>
  <c r="D36" i="171"/>
  <c r="D55" i="171"/>
  <c r="D53" i="171"/>
  <c r="D73" i="171"/>
  <c r="D12" i="171"/>
  <c r="D19" i="171"/>
  <c r="D63" i="171"/>
  <c r="D30" i="171"/>
  <c r="D11" i="171"/>
  <c r="D14" i="171"/>
  <c r="D16" i="171"/>
  <c r="D40" i="171"/>
  <c r="D42" i="171"/>
  <c r="D52" i="171"/>
  <c r="D7" i="171"/>
  <c r="E7" i="171"/>
  <c r="D24" i="171"/>
  <c r="D83" i="171"/>
  <c r="E5" i="171"/>
  <c r="D5" i="171"/>
  <c r="C51" i="97" l="1"/>
  <c r="L6" i="393"/>
  <c r="D16" i="8"/>
  <c r="C16" i="8"/>
  <c r="H8" i="8"/>
  <c r="I8" i="8" s="1"/>
  <c r="H11" i="8"/>
  <c r="I11" i="8" s="1"/>
  <c r="H9" i="8"/>
  <c r="I9" i="8" s="1"/>
  <c r="H10" i="8"/>
  <c r="I10" i="8" s="1"/>
  <c r="S25" i="8"/>
  <c r="I38" i="8"/>
  <c r="E24" i="436"/>
  <c r="F24" i="436"/>
  <c r="G6" i="393"/>
  <c r="C48" i="10"/>
  <c r="E27" i="83"/>
  <c r="E102" i="83" s="1"/>
  <c r="O6" i="393"/>
  <c r="I50" i="10"/>
  <c r="I54" i="10" s="1"/>
  <c r="I55" i="10" s="1"/>
  <c r="I56" i="10" s="1"/>
  <c r="J57" i="10"/>
  <c r="K57" i="10" s="1"/>
  <c r="H5" i="395"/>
  <c r="K5" i="395" s="1"/>
  <c r="L9" i="395" s="1"/>
  <c r="F13" i="83"/>
  <c r="F100" i="83" s="1"/>
  <c r="D65" i="83"/>
  <c r="F9" i="393"/>
  <c r="E44" i="10"/>
  <c r="F18" i="10" s="1"/>
  <c r="D27" i="83"/>
  <c r="D102" i="83" s="1"/>
  <c r="I10" i="393"/>
  <c r="G48" i="10"/>
  <c r="G69" i="10" s="1"/>
  <c r="G72" i="10" s="1"/>
  <c r="M10" i="393"/>
  <c r="J51" i="10"/>
  <c r="G44" i="10"/>
  <c r="H6" i="10" s="1"/>
  <c r="F53" i="10"/>
  <c r="E50" i="10"/>
  <c r="E33" i="83"/>
  <c r="E103" i="83" s="1"/>
  <c r="C33" i="83"/>
  <c r="C103" i="83" s="1"/>
  <c r="C44" i="10"/>
  <c r="D11" i="10" s="1"/>
  <c r="I6" i="10"/>
  <c r="B7" i="98"/>
  <c r="B13" i="98" s="1"/>
  <c r="D9" i="393"/>
  <c r="C19" i="7" l="1"/>
  <c r="C39" i="8"/>
  <c r="I43" i="8"/>
  <c r="D19" i="149" s="1"/>
  <c r="E10" i="97" s="1"/>
  <c r="C32" i="7"/>
  <c r="D39" i="8"/>
  <c r="L8" i="393"/>
  <c r="B18" i="98"/>
  <c r="B20" i="98" s="1"/>
  <c r="H16" i="97"/>
  <c r="C50" i="10"/>
  <c r="C51" i="10" s="1"/>
  <c r="D12" i="393" s="1"/>
  <c r="W10" i="8"/>
  <c r="Q6" i="393"/>
  <c r="O5" i="393"/>
  <c r="E66" i="83"/>
  <c r="E106" i="83" s="1"/>
  <c r="E105" i="83" s="1"/>
  <c r="C66" i="83"/>
  <c r="C106" i="83" s="1"/>
  <c r="C105" i="83" s="1"/>
  <c r="S19" i="8"/>
  <c r="H13" i="8"/>
  <c r="I13" i="8" s="1"/>
  <c r="E18" i="436"/>
  <c r="D33" i="83"/>
  <c r="D103" i="83" s="1"/>
  <c r="D13" i="83"/>
  <c r="D100" i="83" s="1"/>
  <c r="F31" i="10"/>
  <c r="F21" i="10"/>
  <c r="F13" i="10"/>
  <c r="F8" i="10"/>
  <c r="F19" i="10"/>
  <c r="F7" i="10"/>
  <c r="F35" i="10"/>
  <c r="F16" i="10"/>
  <c r="F28" i="10"/>
  <c r="F26" i="10"/>
  <c r="F34" i="10"/>
  <c r="F23" i="436"/>
  <c r="E23" i="436"/>
  <c r="E16" i="436"/>
  <c r="F22" i="10"/>
  <c r="F24" i="10"/>
  <c r="F37" i="10"/>
  <c r="F11" i="10"/>
  <c r="F9" i="10"/>
  <c r="F38" i="10"/>
  <c r="F14" i="10"/>
  <c r="F32" i="10"/>
  <c r="F44" i="10"/>
  <c r="F42" i="10"/>
  <c r="F43" i="10"/>
  <c r="F41" i="10"/>
  <c r="F23" i="10"/>
  <c r="F29" i="10"/>
  <c r="F6" i="10"/>
  <c r="F15" i="10"/>
  <c r="E45" i="10"/>
  <c r="F45" i="10" s="1"/>
  <c r="F12" i="10"/>
  <c r="F10" i="10"/>
  <c r="F27" i="10"/>
  <c r="F25" i="10"/>
  <c r="F20" i="10"/>
  <c r="F33" i="10"/>
  <c r="F36" i="10"/>
  <c r="F17" i="10"/>
  <c r="F30" i="10"/>
  <c r="F40" i="10"/>
  <c r="F39" i="10"/>
  <c r="F33" i="83"/>
  <c r="F103" i="83" s="1"/>
  <c r="G50" i="10"/>
  <c r="G60" i="10"/>
  <c r="G62" i="10" s="1"/>
  <c r="G63" i="10" s="1"/>
  <c r="D14" i="10"/>
  <c r="D39" i="10"/>
  <c r="D10" i="10"/>
  <c r="D33" i="10"/>
  <c r="D42" i="10"/>
  <c r="D20" i="83"/>
  <c r="D101" i="83" s="1"/>
  <c r="D9" i="10"/>
  <c r="D20" i="10"/>
  <c r="D13" i="10"/>
  <c r="H6" i="393"/>
  <c r="H8" i="393" s="1"/>
  <c r="F9" i="628" s="1"/>
  <c r="D40" i="10"/>
  <c r="D15" i="10"/>
  <c r="D34" i="10"/>
  <c r="J53" i="10"/>
  <c r="F58" i="10"/>
  <c r="D41" i="10"/>
  <c r="D38" i="10"/>
  <c r="D12" i="10"/>
  <c r="D22" i="10"/>
  <c r="D7" i="10"/>
  <c r="D23" i="10"/>
  <c r="C45" i="10"/>
  <c r="D45" i="10" s="1"/>
  <c r="D37" i="10"/>
  <c r="D26" i="10"/>
  <c r="D31" i="10"/>
  <c r="D32" i="10"/>
  <c r="D17" i="10"/>
  <c r="D30" i="10"/>
  <c r="D43" i="10"/>
  <c r="D36" i="10"/>
  <c r="D19" i="10"/>
  <c r="D24" i="10"/>
  <c r="D29" i="10"/>
  <c r="D16" i="10"/>
  <c r="D25" i="10"/>
  <c r="D27" i="10"/>
  <c r="D6" i="10"/>
  <c r="D18" i="10"/>
  <c r="D21" i="10"/>
  <c r="D44" i="10"/>
  <c r="D8" i="10"/>
  <c r="D35" i="10"/>
  <c r="D28" i="10"/>
  <c r="D10" i="393"/>
  <c r="H51" i="10"/>
  <c r="H31" i="10"/>
  <c r="H11" i="10"/>
  <c r="H26" i="10"/>
  <c r="H8" i="10"/>
  <c r="H23" i="10"/>
  <c r="H30" i="10"/>
  <c r="H40" i="10"/>
  <c r="H38" i="10"/>
  <c r="H21" i="10"/>
  <c r="H32" i="10"/>
  <c r="H36" i="10"/>
  <c r="H20" i="10"/>
  <c r="H17" i="10"/>
  <c r="H29" i="10"/>
  <c r="H39" i="10"/>
  <c r="H43" i="10"/>
  <c r="H24" i="10"/>
  <c r="H18" i="10"/>
  <c r="H7" i="10"/>
  <c r="G45" i="10"/>
  <c r="H45" i="10" s="1"/>
  <c r="H10" i="10"/>
  <c r="H34" i="10"/>
  <c r="H14" i="10"/>
  <c r="H35" i="10"/>
  <c r="H42" i="10"/>
  <c r="H9" i="10"/>
  <c r="H28" i="10"/>
  <c r="H22" i="10"/>
  <c r="H13" i="10"/>
  <c r="H25" i="10"/>
  <c r="H37" i="10"/>
  <c r="H41" i="10"/>
  <c r="H15" i="10"/>
  <c r="H33" i="10"/>
  <c r="H12" i="10"/>
  <c r="H19" i="10"/>
  <c r="H16" i="10"/>
  <c r="H27" i="10"/>
  <c r="I44" i="10"/>
  <c r="J6" i="10" s="1"/>
  <c r="N10" i="393"/>
  <c r="J10" i="393"/>
  <c r="L9" i="393" l="1"/>
  <c r="M6" i="393" s="1"/>
  <c r="M8" i="393" s="1"/>
  <c r="J9" i="628"/>
  <c r="J8" i="628"/>
  <c r="L14" i="393"/>
  <c r="J7" i="628"/>
  <c r="J10" i="628" s="1"/>
  <c r="K7" i="628"/>
  <c r="F7" i="628"/>
  <c r="F8" i="628"/>
  <c r="K8" i="628"/>
  <c r="B9" i="628"/>
  <c r="I14" i="628"/>
  <c r="M18" i="628"/>
  <c r="E44" i="149"/>
  <c r="E14" i="628"/>
  <c r="F66" i="83"/>
  <c r="F106" i="83" s="1"/>
  <c r="F105" i="83" s="1"/>
  <c r="E12" i="393"/>
  <c r="F12" i="393" s="1"/>
  <c r="G12" i="393" s="1"/>
  <c r="D14" i="393"/>
  <c r="J11" i="571"/>
  <c r="J12" i="571"/>
  <c r="E73" i="83"/>
  <c r="J13" i="571"/>
  <c r="R35" i="571" s="1"/>
  <c r="S35" i="571" s="1"/>
  <c r="D66" i="83"/>
  <c r="D106" i="83" s="1"/>
  <c r="D105" i="83" s="1"/>
  <c r="G54" i="10"/>
  <c r="G55" i="10" s="1"/>
  <c r="G56" i="10" s="1"/>
  <c r="I63" i="10"/>
  <c r="I65" i="10" s="1"/>
  <c r="L48" i="10"/>
  <c r="L50" i="10" s="1"/>
  <c r="L53" i="10" s="1"/>
  <c r="L54" i="10" s="1"/>
  <c r="B29" i="98"/>
  <c r="G57" i="10"/>
  <c r="H57" i="10" s="1"/>
  <c r="E6" i="393"/>
  <c r="E8" i="393" s="1"/>
  <c r="J31" i="627"/>
  <c r="F56" i="10"/>
  <c r="O10" i="393"/>
  <c r="H9" i="393"/>
  <c r="I6" i="393" s="1"/>
  <c r="I8" i="393" s="1"/>
  <c r="G9" i="628" s="1"/>
  <c r="B73" i="83"/>
  <c r="G10" i="393"/>
  <c r="B26" i="628" s="1"/>
  <c r="B27" i="628" s="1"/>
  <c r="E71" i="83"/>
  <c r="H53" i="10"/>
  <c r="H44" i="10"/>
  <c r="H14" i="393"/>
  <c r="K10" i="393"/>
  <c r="E81" i="83"/>
  <c r="E89" i="83"/>
  <c r="J21" i="10"/>
  <c r="J40" i="10"/>
  <c r="J12" i="10"/>
  <c r="J37" i="10"/>
  <c r="J14" i="10"/>
  <c r="J28" i="10"/>
  <c r="J41" i="10"/>
  <c r="J30" i="10"/>
  <c r="J18" i="10"/>
  <c r="J43" i="10"/>
  <c r="J13" i="10"/>
  <c r="J34" i="10"/>
  <c r="J39" i="10"/>
  <c r="J29" i="10"/>
  <c r="J17" i="10"/>
  <c r="J35" i="10"/>
  <c r="J36" i="10"/>
  <c r="J33" i="10"/>
  <c r="J31" i="10"/>
  <c r="I45" i="10"/>
  <c r="J45" i="10" s="1"/>
  <c r="J26" i="10"/>
  <c r="J20" i="10"/>
  <c r="J27" i="10"/>
  <c r="J9" i="10"/>
  <c r="J10" i="10"/>
  <c r="J23" i="10"/>
  <c r="J16" i="10"/>
  <c r="J42" i="10"/>
  <c r="J19" i="10"/>
  <c r="J7" i="10"/>
  <c r="J32" i="10"/>
  <c r="J25" i="10"/>
  <c r="J15" i="10"/>
  <c r="J22" i="10"/>
  <c r="J8" i="10"/>
  <c r="J11" i="10"/>
  <c r="J38" i="10"/>
  <c r="J24" i="10"/>
  <c r="J44" i="10"/>
  <c r="F76" i="628" l="1"/>
  <c r="C16" i="629"/>
  <c r="M9" i="393"/>
  <c r="N6" i="393" s="1"/>
  <c r="N8" i="393" s="1"/>
  <c r="K9" i="628"/>
  <c r="K10" i="628"/>
  <c r="L7" i="628"/>
  <c r="G7" i="628"/>
  <c r="G8" i="628"/>
  <c r="F10" i="628"/>
  <c r="G18" i="393"/>
  <c r="D26" i="628"/>
  <c r="D27" i="628" s="1"/>
  <c r="C26" i="628"/>
  <c r="C27" i="628" s="1"/>
  <c r="G10" i="97"/>
  <c r="D6" i="96"/>
  <c r="K18" i="628"/>
  <c r="J18" i="628"/>
  <c r="O18" i="628"/>
  <c r="E34" i="149"/>
  <c r="M14" i="628"/>
  <c r="C9" i="628"/>
  <c r="C39" i="7"/>
  <c r="R34" i="571"/>
  <c r="S34" i="571" s="1"/>
  <c r="N34" i="571"/>
  <c r="O34" i="571" s="1"/>
  <c r="K12" i="571"/>
  <c r="R33" i="571"/>
  <c r="N33" i="571"/>
  <c r="J15" i="571"/>
  <c r="D73" i="83"/>
  <c r="D75" i="83" s="1"/>
  <c r="D14" i="628" s="1"/>
  <c r="O60" i="8"/>
  <c r="P60" i="8" s="1"/>
  <c r="F19" i="436"/>
  <c r="E28" i="436"/>
  <c r="F13" i="436"/>
  <c r="N35" i="571"/>
  <c r="K13" i="571"/>
  <c r="B14" i="9"/>
  <c r="E9" i="393"/>
  <c r="F6" i="393" s="1"/>
  <c r="F8" i="393" s="1"/>
  <c r="C73" i="83"/>
  <c r="C75" i="83" s="1"/>
  <c r="C14" i="628" s="1"/>
  <c r="O8" i="393"/>
  <c r="O7" i="393" s="1"/>
  <c r="I9" i="393"/>
  <c r="J6" i="393" s="1"/>
  <c r="J8" i="393" s="1"/>
  <c r="H9" i="628" s="1"/>
  <c r="B75" i="83"/>
  <c r="G9" i="393"/>
  <c r="G8" i="393" s="1"/>
  <c r="K8" i="393"/>
  <c r="N7" i="393"/>
  <c r="C10" i="629" l="1"/>
  <c r="F10" i="629" s="1"/>
  <c r="E10" i="553" s="1"/>
  <c r="N9" i="393"/>
  <c r="L9" i="628"/>
  <c r="M9" i="628" s="1"/>
  <c r="C5" i="629" s="1"/>
  <c r="L8" i="628"/>
  <c r="M8" i="628" s="1"/>
  <c r="C4" i="629" s="1"/>
  <c r="F4" i="629" s="1"/>
  <c r="H8" i="628"/>
  <c r="H7" i="628"/>
  <c r="L18" i="628"/>
  <c r="D12" i="96"/>
  <c r="G6" i="96"/>
  <c r="M7" i="628"/>
  <c r="C3" i="629" s="1"/>
  <c r="I8" i="628"/>
  <c r="E13" i="648" s="1"/>
  <c r="I9" i="628"/>
  <c r="E14" i="648" s="1"/>
  <c r="G10" i="628"/>
  <c r="F30" i="648"/>
  <c r="B14" i="628"/>
  <c r="D9" i="628"/>
  <c r="F71" i="628"/>
  <c r="T34" i="571"/>
  <c r="C43" i="7"/>
  <c r="R37" i="571"/>
  <c r="S37" i="571" s="1"/>
  <c r="K15" i="571"/>
  <c r="N37" i="571"/>
  <c r="O37" i="571" s="1"/>
  <c r="F20" i="436"/>
  <c r="F18" i="436"/>
  <c r="E12" i="436"/>
  <c r="O35" i="571"/>
  <c r="T35" i="571" s="1"/>
  <c r="C22" i="98"/>
  <c r="D34" i="149"/>
  <c r="F7" i="393"/>
  <c r="J7" i="393"/>
  <c r="O9" i="393"/>
  <c r="F12" i="436"/>
  <c r="F11" i="436"/>
  <c r="J9" i="393"/>
  <c r="O14" i="393"/>
  <c r="E75" i="83"/>
  <c r="F18" i="393"/>
  <c r="E18" i="393"/>
  <c r="D18" i="393"/>
  <c r="F21" i="436"/>
  <c r="G7" i="393"/>
  <c r="G14" i="393"/>
  <c r="K9" i="393"/>
  <c r="K7" i="393"/>
  <c r="K14" i="393"/>
  <c r="L10" i="628" l="1"/>
  <c r="C6" i="629"/>
  <c r="F13" i="648"/>
  <c r="F14" i="648"/>
  <c r="F5" i="629"/>
  <c r="G5" i="629" s="1"/>
  <c r="I5" i="629" s="1"/>
  <c r="H10" i="628"/>
  <c r="E30" i="648"/>
  <c r="G4" i="629"/>
  <c r="M10" i="628"/>
  <c r="F12" i="648"/>
  <c r="F3" i="629"/>
  <c r="N5" i="393"/>
  <c r="I7" i="628"/>
  <c r="T37" i="571"/>
  <c r="K63" i="8"/>
  <c r="K38" i="8"/>
  <c r="E25" i="436"/>
  <c r="E83" i="83"/>
  <c r="B83" i="83"/>
  <c r="E29" i="436"/>
  <c r="E11" i="436"/>
  <c r="E13" i="436"/>
  <c r="F25" i="436"/>
  <c r="L39" i="21"/>
  <c r="F14" i="436"/>
  <c r="F6" i="629" l="1"/>
  <c r="I4" i="629"/>
  <c r="E29" i="149"/>
  <c r="O11" i="628"/>
  <c r="F68" i="628"/>
  <c r="G3" i="629"/>
  <c r="I3" i="629" s="1"/>
  <c r="I10" i="628"/>
  <c r="E12" i="648"/>
  <c r="J5" i="393"/>
  <c r="L63" i="8"/>
  <c r="K64" i="8"/>
  <c r="F16" i="436"/>
  <c r="H66" i="10"/>
  <c r="H60" i="10"/>
  <c r="B27" i="571"/>
  <c r="K16" i="8"/>
  <c r="K39" i="8" s="1"/>
  <c r="K42" i="8" s="1"/>
  <c r="C83" i="83"/>
  <c r="C85" i="83" s="1"/>
  <c r="G14" i="628" s="1"/>
  <c r="B85" i="83"/>
  <c r="F14" i="628" s="1"/>
  <c r="D83" i="83"/>
  <c r="D85" i="83" s="1"/>
  <c r="H14" i="628" s="1"/>
  <c r="E14" i="436"/>
  <c r="D29" i="149" l="1"/>
  <c r="P6" i="393"/>
  <c r="S21" i="628"/>
  <c r="G6" i="629"/>
  <c r="I6" i="629" s="1"/>
  <c r="F15" i="648"/>
  <c r="D9" i="98"/>
  <c r="M41" i="571"/>
  <c r="X66" i="571"/>
  <c r="M63" i="8"/>
  <c r="L64" i="8"/>
  <c r="B38" i="571"/>
  <c r="Q41" i="571"/>
  <c r="G49" i="571"/>
  <c r="J41" i="571"/>
  <c r="K41" i="571" s="1"/>
  <c r="O63" i="8"/>
  <c r="H16" i="571"/>
  <c r="M38" i="571" s="1"/>
  <c r="S24" i="8"/>
  <c r="E85" i="83"/>
  <c r="J54" i="10" l="1"/>
  <c r="D35" i="566"/>
  <c r="F35" i="566" s="1"/>
  <c r="F36" i="566" s="1"/>
  <c r="T21" i="628"/>
  <c r="S18" i="628"/>
  <c r="E15" i="648"/>
  <c r="C9" i="98"/>
  <c r="C35" i="566" s="1"/>
  <c r="G17" i="97"/>
  <c r="S32" i="8"/>
  <c r="E26" i="436"/>
  <c r="E27" i="436" s="1"/>
  <c r="G63" i="571"/>
  <c r="P63" i="8"/>
  <c r="M64" i="8"/>
  <c r="C4" i="571"/>
  <c r="J38" i="571"/>
  <c r="Q38" i="571"/>
  <c r="I16" i="571"/>
  <c r="O59" i="8"/>
  <c r="C36" i="566" l="1"/>
  <c r="D34" i="643"/>
  <c r="G38" i="566"/>
  <c r="G39" i="566" s="1"/>
  <c r="E26" i="149"/>
  <c r="H54" i="10"/>
  <c r="E39" i="97"/>
  <c r="Z66" i="571"/>
  <c r="O64" i="8"/>
  <c r="P59" i="8"/>
  <c r="P64" i="8" s="1"/>
  <c r="C38" i="571"/>
  <c r="R41" i="571"/>
  <c r="S41" i="571" s="1"/>
  <c r="H49" i="571"/>
  <c r="K38" i="571"/>
  <c r="S18" i="8"/>
  <c r="D4" i="98"/>
  <c r="J35" i="566" l="1"/>
  <c r="D35" i="643"/>
  <c r="E35" i="566"/>
  <c r="E36" i="566" s="1"/>
  <c r="D26" i="149" s="1"/>
  <c r="E6" i="634"/>
  <c r="E15" i="634" s="1"/>
  <c r="M15" i="628"/>
  <c r="C11" i="629" s="1"/>
  <c r="I36" i="627"/>
  <c r="F8" i="648"/>
  <c r="F7" i="436"/>
  <c r="D5" i="98"/>
  <c r="D7" i="98" s="1"/>
  <c r="F39" i="97"/>
  <c r="H39" i="97" s="1"/>
  <c r="G39" i="97"/>
  <c r="D7" i="634"/>
  <c r="D10" i="634" s="1"/>
  <c r="E7" i="648"/>
  <c r="E34" i="97"/>
  <c r="H17" i="97"/>
  <c r="E6" i="436"/>
  <c r="H63" i="571"/>
  <c r="H50" i="571"/>
  <c r="H64" i="571" s="1"/>
  <c r="Z65" i="571"/>
  <c r="N41" i="571"/>
  <c r="O41" i="571" s="1"/>
  <c r="T41" i="571" s="1"/>
  <c r="C37" i="571"/>
  <c r="E9" i="149"/>
  <c r="K30" i="627" l="1"/>
  <c r="E6" i="644"/>
  <c r="F34" i="97"/>
  <c r="E5" i="634"/>
  <c r="D16" i="634"/>
  <c r="O15" i="628"/>
  <c r="F72" i="628"/>
  <c r="L15" i="628"/>
  <c r="E7" i="634"/>
  <c r="F7" i="648"/>
  <c r="E8" i="648"/>
  <c r="E10" i="648" s="1"/>
  <c r="E7" i="436"/>
  <c r="E9" i="436" s="1"/>
  <c r="C5" i="98"/>
  <c r="G34" i="97"/>
  <c r="M29" i="628"/>
  <c r="C25" i="629" s="1"/>
  <c r="F26" i="436"/>
  <c r="F27" i="436" s="1"/>
  <c r="F6" i="436"/>
  <c r="I29" i="628" l="1"/>
  <c r="C7" i="98"/>
  <c r="F11" i="629"/>
  <c r="G11" i="629" s="1"/>
  <c r="Q40" i="628"/>
  <c r="Q41" i="628" s="1"/>
  <c r="K29" i="628"/>
  <c r="F82" i="628"/>
  <c r="F83" i="628" s="1"/>
  <c r="J29" i="628"/>
  <c r="L29" i="628"/>
  <c r="E10" i="634"/>
  <c r="E16" i="634" s="1"/>
  <c r="H34" i="97"/>
  <c r="F25" i="629" l="1"/>
  <c r="G25" i="629"/>
  <c r="I11" i="629"/>
  <c r="H29" i="628"/>
  <c r="G29" i="628"/>
  <c r="F29" i="628"/>
  <c r="S14" i="628"/>
  <c r="H9" i="553"/>
  <c r="F29" i="436"/>
  <c r="E22" i="553" l="1"/>
  <c r="I25" i="629"/>
  <c r="T14" i="628"/>
  <c r="S15" i="628"/>
  <c r="T15" i="628" s="1"/>
  <c r="E91" i="83"/>
  <c r="B91" i="83"/>
  <c r="G10" i="629" l="1"/>
  <c r="B93" i="83"/>
  <c r="J14" i="628" s="1"/>
  <c r="D91" i="83"/>
  <c r="D93" i="83" s="1"/>
  <c r="L14" i="628" s="1"/>
  <c r="C91" i="83"/>
  <c r="C93" i="83" s="1"/>
  <c r="K14" i="628" s="1"/>
  <c r="I10" i="629" l="1"/>
  <c r="O24" i="628"/>
  <c r="H10" i="553"/>
  <c r="O25" i="628"/>
  <c r="E93" i="83"/>
  <c r="O14" i="628" l="1"/>
  <c r="H19" i="553"/>
  <c r="E62" i="339" l="1"/>
  <c r="F65" i="339"/>
  <c r="G68" i="339"/>
  <c r="B67" i="339"/>
  <c r="G63" i="339"/>
  <c r="C67" i="339"/>
  <c r="D70" i="339"/>
  <c r="E64" i="339"/>
  <c r="F67" i="339"/>
  <c r="G70" i="339"/>
  <c r="E63" i="339"/>
  <c r="F66" i="339"/>
  <c r="G69" i="339"/>
  <c r="E66" i="339"/>
  <c r="G67" i="339"/>
  <c r="D65" i="339"/>
  <c r="D64" i="339"/>
  <c r="F61" i="339"/>
  <c r="G64" i="339"/>
  <c r="C68" i="339"/>
  <c r="B63" i="339"/>
  <c r="C63" i="339"/>
  <c r="D66" i="339"/>
  <c r="E69" i="339"/>
  <c r="B70" i="339"/>
  <c r="F63" i="339"/>
  <c r="G66" i="339"/>
  <c r="C70" i="339"/>
  <c r="F62" i="339"/>
  <c r="G65" i="339"/>
  <c r="C69" i="339"/>
  <c r="B68" i="339"/>
  <c r="D68" i="339"/>
  <c r="D63" i="339"/>
  <c r="B62" i="339"/>
  <c r="E68" i="339"/>
  <c r="E67" i="339"/>
  <c r="C64" i="339"/>
  <c r="D67" i="339"/>
  <c r="E70" i="339"/>
  <c r="D62" i="339"/>
  <c r="E65" i="339"/>
  <c r="F68" i="339"/>
  <c r="B66" i="339"/>
  <c r="G62" i="339"/>
  <c r="C66" i="339"/>
  <c r="D69" i="339"/>
  <c r="B69" i="339"/>
  <c r="C65" i="339"/>
  <c r="B64" i="339"/>
  <c r="F69" i="339"/>
  <c r="F64" i="339"/>
  <c r="C62" i="339"/>
  <c r="B65" i="339"/>
  <c r="F70" i="339"/>
  <c r="E61" i="339"/>
  <c r="C61" i="339"/>
  <c r="D61" i="339"/>
  <c r="G61" i="339"/>
  <c r="B61" i="339"/>
  <c r="D72" i="339" l="1"/>
  <c r="B71" i="339"/>
  <c r="C72" i="339"/>
  <c r="F72" i="339"/>
  <c r="B72" i="339"/>
  <c r="G72" i="339"/>
  <c r="C71" i="339"/>
  <c r="E71" i="339"/>
  <c r="F71" i="339"/>
  <c r="D71" i="339"/>
  <c r="E72" i="339"/>
  <c r="G35" i="97" l="1"/>
  <c r="D35" i="149" s="1"/>
  <c r="E29" i="648" s="1"/>
  <c r="H35" i="97"/>
  <c r="E35" i="149" s="1"/>
  <c r="J16" i="571" l="1"/>
  <c r="K16" i="571" s="1"/>
  <c r="R38" i="571" l="1"/>
  <c r="S38" i="571" s="1"/>
  <c r="N38" i="571"/>
  <c r="O38" i="571" l="1"/>
  <c r="T38" i="571" l="1"/>
  <c r="F9" i="436" l="1"/>
  <c r="B10" i="562"/>
  <c r="C7" i="562" s="1"/>
  <c r="B16" i="562"/>
  <c r="B17" i="562" s="1"/>
  <c r="B21" i="562" s="1"/>
  <c r="B11" i="562" l="1"/>
  <c r="C14" i="562"/>
  <c r="B22" i="562"/>
  <c r="M15" i="561" l="1"/>
  <c r="M16" i="561" s="1"/>
  <c r="K44" i="561" s="1"/>
  <c r="K46" i="561" s="1"/>
  <c r="K49" i="561" s="1"/>
  <c r="B23" i="562"/>
  <c r="C20" i="562" s="1"/>
  <c r="X79" i="571"/>
  <c r="C9" i="596"/>
  <c r="C10" i="596" s="1"/>
  <c r="L49" i="8"/>
  <c r="H9" i="596" l="1"/>
  <c r="H10" i="596" s="1"/>
  <c r="J38" i="8"/>
  <c r="J49" i="8"/>
  <c r="M49" i="8"/>
  <c r="L38" i="8"/>
  <c r="J16" i="8"/>
  <c r="K56" i="561"/>
  <c r="K57" i="561"/>
  <c r="G28" i="97"/>
  <c r="D37" i="149"/>
  <c r="B39" i="571" l="1"/>
  <c r="D60" i="8"/>
  <c r="J39" i="8"/>
  <c r="J42" i="8" s="1"/>
  <c r="M38" i="8"/>
  <c r="D62" i="8"/>
  <c r="G28" i="639"/>
  <c r="B79" i="639" s="1"/>
  <c r="D79" i="639" s="1"/>
  <c r="E8" i="645"/>
  <c r="H29" i="633"/>
  <c r="H17" i="571"/>
  <c r="I17" i="571" s="1"/>
  <c r="F25" i="633"/>
  <c r="E25" i="633"/>
  <c r="C7" i="627"/>
  <c r="G13" i="627" s="1"/>
  <c r="J42" i="627"/>
  <c r="C15" i="98"/>
  <c r="X62" i="571"/>
  <c r="X67" i="571" s="1"/>
  <c r="X68" i="571" s="1"/>
  <c r="H27" i="571"/>
  <c r="H29" i="571" s="1"/>
  <c r="K59" i="561"/>
  <c r="Q42" i="571"/>
  <c r="G55" i="571"/>
  <c r="M42" i="571"/>
  <c r="H11" i="596"/>
  <c r="H12" i="596" s="1"/>
  <c r="H39" i="596" s="1"/>
  <c r="G27" i="97"/>
  <c r="G29" i="97"/>
  <c r="D64" i="8" l="1"/>
  <c r="E59" i="8" s="1"/>
  <c r="E61" i="8" s="1"/>
  <c r="E63" i="8" s="1"/>
  <c r="G79" i="639"/>
  <c r="C5" i="571"/>
  <c r="C7" i="571" s="1"/>
  <c r="D7" i="571" s="1"/>
  <c r="B41" i="571"/>
  <c r="J39" i="571"/>
  <c r="K39" i="571" s="1"/>
  <c r="Q39" i="571"/>
  <c r="J43" i="627"/>
  <c r="F27" i="633"/>
  <c r="F29" i="633" s="1"/>
  <c r="E27" i="633"/>
  <c r="E29" i="633" s="1"/>
  <c r="D78" i="639"/>
  <c r="M39" i="571"/>
  <c r="K42" i="571"/>
  <c r="H42" i="596"/>
  <c r="H41" i="596"/>
  <c r="G57" i="571"/>
  <c r="K28" i="639" l="1"/>
  <c r="J47" i="627"/>
  <c r="J48" i="627" s="1"/>
  <c r="J50" i="627" s="1"/>
  <c r="J52" i="627" s="1"/>
  <c r="J45" i="627"/>
  <c r="I20" i="628"/>
  <c r="C19" i="98" s="1"/>
  <c r="D48" i="149" s="1"/>
  <c r="D52" i="149" s="1"/>
  <c r="E6" i="149" s="1"/>
  <c r="E52" i="149" s="1"/>
  <c r="I19" i="628"/>
  <c r="K41" i="627"/>
  <c r="L28" i="639" l="1"/>
  <c r="H79" i="639"/>
  <c r="F19" i="628"/>
  <c r="K18" i="393"/>
  <c r="I18" i="393" s="1"/>
  <c r="H19" i="628"/>
  <c r="S28" i="628"/>
  <c r="T28" i="628" s="1"/>
  <c r="G19" i="628"/>
  <c r="H20" i="628"/>
  <c r="F20" i="628"/>
  <c r="G20" i="628"/>
  <c r="K46" i="627"/>
  <c r="K79" i="639" l="1"/>
  <c r="L79" i="639" s="1"/>
  <c r="M79" i="639"/>
  <c r="J18" i="393"/>
  <c r="H18" i="393"/>
  <c r="H79" i="628"/>
  <c r="M78" i="639"/>
  <c r="C16" i="562" l="1"/>
  <c r="O49" i="8" l="1"/>
  <c r="O38" i="8" l="1"/>
  <c r="D9" i="596"/>
  <c r="I9" i="596" s="1"/>
  <c r="H83" i="645"/>
  <c r="F8" i="645"/>
  <c r="C20" i="571" l="1"/>
  <c r="D18" i="571" s="1"/>
  <c r="H131" i="645"/>
  <c r="E86" i="639"/>
  <c r="G78" i="639"/>
  <c r="H28" i="97"/>
  <c r="E37" i="149"/>
  <c r="K43" i="627" l="1"/>
  <c r="I53" i="627"/>
  <c r="I55" i="627" s="1"/>
  <c r="W131" i="645"/>
  <c r="H27" i="97"/>
  <c r="H29" i="97"/>
  <c r="M20" i="628" l="1"/>
  <c r="M19" i="628"/>
  <c r="C17" i="629" s="1"/>
  <c r="K47" i="627"/>
  <c r="K48" i="627" s="1"/>
  <c r="K50" i="627" s="1"/>
  <c r="K52" i="627" s="1"/>
  <c r="K45" i="627"/>
  <c r="W83" i="645"/>
  <c r="K78" i="639"/>
  <c r="L78" i="639" s="1"/>
  <c r="D19" i="98" l="1"/>
  <c r="E48" i="149" s="1"/>
  <c r="C18" i="629"/>
  <c r="O18" i="393"/>
  <c r="K19" i="628"/>
  <c r="L19" i="628"/>
  <c r="J19" i="628"/>
  <c r="Q35" i="628"/>
  <c r="F77" i="628"/>
  <c r="K20" i="628"/>
  <c r="Q36" i="628"/>
  <c r="L20" i="628"/>
  <c r="F78" i="628"/>
  <c r="J20" i="628"/>
  <c r="I79" i="628" l="1"/>
  <c r="F17" i="629"/>
  <c r="F18" i="629"/>
  <c r="L18" i="393"/>
  <c r="M18" i="393"/>
  <c r="N18" i="393"/>
  <c r="E21" i="553" l="1"/>
  <c r="G17" i="629"/>
  <c r="G18" i="629"/>
  <c r="O19" i="628"/>
  <c r="H21" i="553"/>
  <c r="I17" i="629" l="1"/>
  <c r="E19" i="637" l="1"/>
  <c r="C19" i="637"/>
  <c r="F19" i="637"/>
  <c r="D19" i="637"/>
  <c r="F16" i="637"/>
  <c r="D16" i="637"/>
  <c r="C16" i="637"/>
  <c r="E16" i="637"/>
  <c r="F21" i="637"/>
  <c r="C21" i="637"/>
  <c r="D21" i="637"/>
  <c r="E21" i="637"/>
  <c r="D17" i="637"/>
  <c r="C17" i="637"/>
  <c r="F17" i="637"/>
  <c r="E17" i="637"/>
  <c r="F18" i="637"/>
  <c r="D18" i="637"/>
  <c r="C18" i="637"/>
  <c r="E18" i="637"/>
  <c r="F20" i="637"/>
  <c r="E20" i="637"/>
  <c r="D20" i="637"/>
  <c r="C20" i="637"/>
  <c r="C15" i="637"/>
  <c r="D15" i="637"/>
  <c r="E15" i="637"/>
  <c r="F15" i="637"/>
  <c r="E21" i="628" l="1"/>
  <c r="F22" i="637"/>
  <c r="F40" i="637" s="1"/>
  <c r="F42" i="637" s="1"/>
  <c r="D22" i="637"/>
  <c r="D40" i="637" s="1"/>
  <c r="D42" i="637" s="1"/>
  <c r="E22" i="637"/>
  <c r="E40" i="637" s="1"/>
  <c r="C22" i="637"/>
  <c r="C40" i="637" s="1"/>
  <c r="E42" i="637" l="1"/>
  <c r="E166" i="637"/>
  <c r="C42" i="637"/>
  <c r="E165" i="637"/>
  <c r="H14" i="8"/>
  <c r="H15" i="8"/>
  <c r="I15" i="8" l="1"/>
  <c r="I40" i="8" s="1"/>
  <c r="H40" i="8"/>
  <c r="I14" i="8"/>
  <c r="H41" i="8"/>
  <c r="B165" i="637"/>
  <c r="B167" i="637" s="1"/>
  <c r="E167" i="637"/>
  <c r="C165" i="637"/>
  <c r="D165" i="637"/>
  <c r="D166" i="637"/>
  <c r="C166" i="637"/>
  <c r="H16" i="8"/>
  <c r="G16" i="8"/>
  <c r="G39" i="8" s="1"/>
  <c r="G42" i="8" s="1"/>
  <c r="D19" i="7" l="1"/>
  <c r="H39" i="8"/>
  <c r="H42" i="8" s="1"/>
  <c r="I16" i="8"/>
  <c r="I41" i="8"/>
  <c r="B168" i="637"/>
  <c r="B12" i="628" s="1"/>
  <c r="B21" i="628" s="1"/>
  <c r="D167" i="637"/>
  <c r="D168" i="637" s="1"/>
  <c r="D12" i="628" s="1"/>
  <c r="D21" i="628" s="1"/>
  <c r="C167" i="637"/>
  <c r="C168" i="637" s="1"/>
  <c r="I39" i="8" l="1"/>
  <c r="I42" i="8" s="1"/>
  <c r="D32" i="7"/>
  <c r="E168" i="637"/>
  <c r="C12" i="628"/>
  <c r="C21" i="628" s="1"/>
  <c r="H11" i="571"/>
  <c r="Q33" i="571" s="1"/>
  <c r="L16" i="8"/>
  <c r="L39" i="8" s="1"/>
  <c r="L42" i="8" s="1"/>
  <c r="G22" i="627" l="1"/>
  <c r="M16" i="8"/>
  <c r="F83" i="645"/>
  <c r="E7" i="645"/>
  <c r="E14" i="645" s="1"/>
  <c r="S33" i="571"/>
  <c r="Q40" i="571"/>
  <c r="Q43" i="571" s="1"/>
  <c r="E21" i="97"/>
  <c r="J33" i="571"/>
  <c r="S9" i="8"/>
  <c r="M33" i="571"/>
  <c r="I11" i="571"/>
  <c r="H18" i="571"/>
  <c r="G54" i="571" s="1"/>
  <c r="G56" i="571" s="1"/>
  <c r="G61" i="571" s="1"/>
  <c r="E19" i="7" l="1"/>
  <c r="M39" i="8"/>
  <c r="M42" i="8" s="1"/>
  <c r="E24" i="97"/>
  <c r="E26" i="97" s="1"/>
  <c r="G26" i="97" s="1"/>
  <c r="E36" i="639"/>
  <c r="G26" i="639"/>
  <c r="B77" i="639" s="1"/>
  <c r="D77" i="639" s="1"/>
  <c r="G83" i="645"/>
  <c r="F7" i="645"/>
  <c r="F14" i="645" s="1"/>
  <c r="I18" i="571"/>
  <c r="K11" i="571"/>
  <c r="O33" i="571"/>
  <c r="M40" i="571"/>
  <c r="M43" i="571" s="1"/>
  <c r="F131" i="645"/>
  <c r="J40" i="571"/>
  <c r="J43" i="571" s="1"/>
  <c r="K33" i="571"/>
  <c r="K40" i="571" s="1"/>
  <c r="K43" i="571" s="1"/>
  <c r="Q46" i="571" s="1"/>
  <c r="G21" i="97"/>
  <c r="G77" i="639" l="1"/>
  <c r="D14" i="7"/>
  <c r="D39" i="7" s="1"/>
  <c r="D43" i="7" s="1"/>
  <c r="C45" i="7"/>
  <c r="C46" i="7" s="1"/>
  <c r="G24" i="97"/>
  <c r="D36" i="149" s="1"/>
  <c r="G36" i="639"/>
  <c r="G131" i="645"/>
  <c r="E18" i="645" s="1"/>
  <c r="E22" i="645" s="1"/>
  <c r="E1" i="645" s="1"/>
  <c r="E45" i="645"/>
  <c r="U131" i="645"/>
  <c r="V133" i="645" s="1"/>
  <c r="V134" i="645" s="1"/>
  <c r="I83" i="645"/>
  <c r="I131" i="645"/>
  <c r="F18" i="645" s="1"/>
  <c r="T33" i="571"/>
  <c r="E14" i="7" l="1"/>
  <c r="D45" i="7"/>
  <c r="D46" i="7" s="1"/>
  <c r="K26" i="639"/>
  <c r="H77" i="639" s="1"/>
  <c r="I36" i="639"/>
  <c r="D76" i="639"/>
  <c r="B86" i="639"/>
  <c r="F22" i="645"/>
  <c r="L18" i="645"/>
  <c r="F45" i="645"/>
  <c r="I86" i="639"/>
  <c r="X131" i="645"/>
  <c r="F28" i="436"/>
  <c r="E33" i="645"/>
  <c r="U83" i="645"/>
  <c r="K77" i="639" l="1"/>
  <c r="L77" i="639" s="1"/>
  <c r="M77" i="639"/>
  <c r="X133" i="645"/>
  <c r="X134" i="645" s="1"/>
  <c r="N135" i="645"/>
  <c r="U137" i="645" s="1"/>
  <c r="C12" i="98"/>
  <c r="I16" i="628" s="1"/>
  <c r="C5" i="638"/>
  <c r="C7" i="638" s="1"/>
  <c r="C11" i="638" s="1"/>
  <c r="E11" i="638" s="1"/>
  <c r="H11" i="638" s="1"/>
  <c r="F1" i="645"/>
  <c r="G76" i="639"/>
  <c r="D86" i="639"/>
  <c r="K36" i="639"/>
  <c r="L26" i="639"/>
  <c r="L36" i="639" s="1"/>
  <c r="AO132" i="645"/>
  <c r="M16" i="628"/>
  <c r="F29" i="648"/>
  <c r="F33" i="645"/>
  <c r="E22" i="97" s="1"/>
  <c r="F22" i="97" s="1"/>
  <c r="X83" i="645"/>
  <c r="P134" i="645" s="1"/>
  <c r="L22" i="645"/>
  <c r="P18" i="645"/>
  <c r="K31" i="627"/>
  <c r="C12" i="629" l="1"/>
  <c r="F12" i="629" s="1"/>
  <c r="E13" i="553" s="1"/>
  <c r="D39" i="149"/>
  <c r="D8" i="9" s="1"/>
  <c r="G8" i="627" s="1"/>
  <c r="G9" i="627" s="1"/>
  <c r="H6" i="627" s="1"/>
  <c r="K76" i="639"/>
  <c r="K86" i="639" s="1"/>
  <c r="H86" i="639"/>
  <c r="W137" i="645"/>
  <c r="E39" i="149"/>
  <c r="H8" i="9" s="1"/>
  <c r="H8" i="627" s="1"/>
  <c r="M76" i="639"/>
  <c r="M86" i="639" s="1"/>
  <c r="G86" i="639"/>
  <c r="G16" i="628"/>
  <c r="S24" i="628"/>
  <c r="T24" i="628" s="1"/>
  <c r="H13" i="553"/>
  <c r="G22" i="97"/>
  <c r="E23" i="97"/>
  <c r="G9" i="629"/>
  <c r="O16" i="628"/>
  <c r="K16" i="628"/>
  <c r="L16" i="628" s="1"/>
  <c r="F73" i="628"/>
  <c r="H9" i="627" l="1"/>
  <c r="H10" i="627" s="1"/>
  <c r="H12" i="627" s="1"/>
  <c r="D6" i="627" s="1"/>
  <c r="G10" i="627"/>
  <c r="G12" i="627" s="1"/>
  <c r="C6" i="627"/>
  <c r="G14" i="627"/>
  <c r="L76" i="639"/>
  <c r="L86" i="639" s="1"/>
  <c r="H14" i="9"/>
  <c r="I9" i="629"/>
  <c r="H22" i="97"/>
  <c r="F75" i="628"/>
  <c r="G12" i="629"/>
  <c r="G23" i="97"/>
  <c r="H16" i="628"/>
  <c r="L13" i="87" l="1"/>
  <c r="M13" i="87" s="1"/>
  <c r="J6" i="627"/>
  <c r="I12" i="629"/>
  <c r="H11" i="553"/>
  <c r="O13" i="628" l="1"/>
  <c r="H15" i="553" l="1"/>
  <c r="H14" i="553" l="1"/>
  <c r="F23" i="628" l="1"/>
  <c r="F27" i="628" s="1"/>
  <c r="H23" i="628"/>
  <c r="H27" i="628" s="1"/>
  <c r="G23" i="628"/>
  <c r="G27" i="628" s="1"/>
  <c r="H80" i="628" l="1"/>
  <c r="Q37" i="628"/>
  <c r="F79" i="628"/>
  <c r="I80" i="628" s="1"/>
  <c r="K23" i="628"/>
  <c r="K27" i="628" s="1"/>
  <c r="L23" i="628"/>
  <c r="L27" i="628" s="1"/>
  <c r="M27" i="628"/>
  <c r="C20" i="629" s="1"/>
  <c r="J23" i="628"/>
  <c r="J27" i="628" s="1"/>
  <c r="F20" i="629" l="1"/>
  <c r="E20" i="553" l="1"/>
  <c r="G20" i="629"/>
  <c r="I20" i="629" l="1"/>
  <c r="H20" i="553" l="1"/>
  <c r="G48" i="571" l="1"/>
  <c r="G65" i="571" l="1"/>
  <c r="G52" i="571"/>
  <c r="X70" i="571" s="1"/>
  <c r="F11" i="87"/>
  <c r="M5" i="627" l="1"/>
  <c r="I5" i="627"/>
  <c r="E11" i="9" l="1"/>
  <c r="I11" i="9" s="1"/>
  <c r="D23" i="149"/>
  <c r="C14" i="9"/>
  <c r="F11" i="9" l="1"/>
  <c r="L10" i="87"/>
  <c r="M10" i="87" s="1"/>
  <c r="O10" i="87" l="1"/>
  <c r="K14" i="87"/>
  <c r="E8" i="9"/>
  <c r="D14" i="9"/>
  <c r="F13" i="87" l="1"/>
  <c r="N13" i="87" s="1"/>
  <c r="I6" i="627"/>
  <c r="F8" i="9"/>
  <c r="E14" i="9"/>
  <c r="E13" i="97" s="1"/>
  <c r="G13" i="97" s="1"/>
  <c r="I7" i="627"/>
  <c r="E16" i="149" l="1"/>
  <c r="G8" i="9" s="1"/>
  <c r="I8" i="9" s="1"/>
  <c r="I14" i="9" s="1"/>
  <c r="F13" i="97" s="1"/>
  <c r="H13" i="97" s="1"/>
  <c r="F14" i="9"/>
  <c r="I8" i="627"/>
  <c r="J3" i="627"/>
  <c r="F14" i="87" l="1"/>
  <c r="O13" i="87" s="1"/>
  <c r="H48" i="571"/>
  <c r="G14" i="9"/>
  <c r="J7" i="627"/>
  <c r="I14" i="627"/>
  <c r="P10" i="87"/>
  <c r="H65" i="571" l="1"/>
  <c r="H52" i="571"/>
  <c r="J8" i="627"/>
  <c r="C8" i="627"/>
  <c r="P13" i="87" l="1"/>
  <c r="C15" i="627"/>
  <c r="E30" i="436" l="1"/>
  <c r="E32" i="436" s="1"/>
  <c r="E33" i="436" s="1"/>
  <c r="F74" i="628" l="1"/>
  <c r="F30" i="436" l="1"/>
  <c r="F32" i="436" s="1"/>
  <c r="F33" i="436" s="1"/>
  <c r="L38" i="21" l="1"/>
  <c r="L40" i="21" s="1"/>
  <c r="C7" i="628" l="1"/>
  <c r="C8" i="628" s="1"/>
  <c r="E10" i="628"/>
  <c r="E28" i="628" s="1"/>
  <c r="D7" i="628"/>
  <c r="B7" i="628"/>
  <c r="G13" i="393" l="1"/>
  <c r="G15" i="393" s="1"/>
  <c r="G16" i="393" s="1"/>
  <c r="G17" i="393" s="1"/>
  <c r="G19" i="393" s="1"/>
  <c r="E30" i="628"/>
  <c r="E32" i="628" s="1"/>
  <c r="E34" i="628" s="1"/>
  <c r="C10" i="628"/>
  <c r="C28" i="628" s="1"/>
  <c r="B8" i="628"/>
  <c r="B10" i="628" s="1"/>
  <c r="B28" i="628" s="1"/>
  <c r="P4" i="628"/>
  <c r="Q5" i="628" s="1"/>
  <c r="D8" i="628"/>
  <c r="D10" i="628" s="1"/>
  <c r="D28" i="628" s="1"/>
  <c r="B30" i="628" l="1"/>
  <c r="B32" i="628" s="1"/>
  <c r="B34" i="628" s="1"/>
  <c r="D13" i="393"/>
  <c r="D15" i="393" s="1"/>
  <c r="D16" i="393" s="1"/>
  <c r="D17" i="393" s="1"/>
  <c r="D30" i="628"/>
  <c r="D32" i="628" s="1"/>
  <c r="D34" i="628" s="1"/>
  <c r="F13" i="393"/>
  <c r="E13" i="393"/>
  <c r="C30" i="628"/>
  <c r="C32" i="628" s="1"/>
  <c r="C34" i="628" s="1"/>
  <c r="H40" i="628"/>
  <c r="E14" i="393" l="1"/>
  <c r="E15" i="393" s="1"/>
  <c r="E16" i="393" s="1"/>
  <c r="E17" i="393" s="1"/>
  <c r="D19" i="393"/>
  <c r="E19" i="393" l="1"/>
  <c r="F14" i="393"/>
  <c r="F15" i="393" s="1"/>
  <c r="F16" i="393" s="1"/>
  <c r="F17" i="393" s="1"/>
  <c r="F19" i="393" s="1"/>
  <c r="J17" i="571"/>
  <c r="K17" i="571" s="1"/>
  <c r="K18" i="571" s="1"/>
  <c r="P15" i="8"/>
  <c r="Q16" i="8"/>
  <c r="F21" i="97" s="1"/>
  <c r="F23" i="97" s="1"/>
  <c r="P16" i="8" l="1"/>
  <c r="P35" i="8"/>
  <c r="R39" i="571"/>
  <c r="S39" i="571" s="1"/>
  <c r="S40" i="571" s="1"/>
  <c r="D8" i="596"/>
  <c r="I8" i="596" s="1"/>
  <c r="I10" i="596" s="1"/>
  <c r="H21" i="97"/>
  <c r="H23" i="97"/>
  <c r="N39" i="571"/>
  <c r="J18" i="571"/>
  <c r="H54" i="571" s="1"/>
  <c r="Z77" i="571" l="1"/>
  <c r="Z79" i="571" s="1"/>
  <c r="Z63" i="571" s="1"/>
  <c r="Z67" i="571" s="1"/>
  <c r="Z68" i="571" s="1"/>
  <c r="N35" i="8"/>
  <c r="J2" i="149" s="1"/>
  <c r="J3" i="149" s="1"/>
  <c r="J4" i="149" s="1"/>
  <c r="E14" i="149" s="1"/>
  <c r="P47" i="8"/>
  <c r="P38" i="8"/>
  <c r="P39" i="8" s="1"/>
  <c r="P40" i="8"/>
  <c r="R40" i="571"/>
  <c r="D10" i="596"/>
  <c r="S30" i="8"/>
  <c r="Q38" i="8"/>
  <c r="Q39" i="8" s="1"/>
  <c r="Q42" i="8" s="1"/>
  <c r="K42" i="627"/>
  <c r="C35" i="571"/>
  <c r="N40" i="571"/>
  <c r="O39" i="571"/>
  <c r="D24" i="571"/>
  <c r="C8" i="562" l="1"/>
  <c r="N47" i="8"/>
  <c r="N38" i="8"/>
  <c r="P42" i="8"/>
  <c r="P52" i="8"/>
  <c r="P51" i="8"/>
  <c r="P49" i="8"/>
  <c r="M14" i="571"/>
  <c r="I27" i="571"/>
  <c r="I29" i="571" s="1"/>
  <c r="Q49" i="8"/>
  <c r="S49" i="8" s="1"/>
  <c r="S47" i="8"/>
  <c r="H22" i="627"/>
  <c r="E62" i="8"/>
  <c r="D31" i="571"/>
  <c r="C39" i="571"/>
  <c r="C41" i="571" s="1"/>
  <c r="T39" i="571"/>
  <c r="T40" i="571" s="1"/>
  <c r="O40" i="571"/>
  <c r="E38" i="633"/>
  <c r="F38" i="633"/>
  <c r="S39" i="8"/>
  <c r="R38" i="8"/>
  <c r="H42" i="633"/>
  <c r="R49" i="8"/>
  <c r="N52" i="8" l="1"/>
  <c r="N51" i="8"/>
  <c r="N49" i="8"/>
  <c r="C15" i="562"/>
  <c r="C17" i="562" s="1"/>
  <c r="C21" i="562" s="1"/>
  <c r="C10" i="562"/>
  <c r="C11" i="562" s="1"/>
  <c r="N43" i="8"/>
  <c r="E19" i="149" s="1"/>
  <c r="F10" i="97" s="1"/>
  <c r="D12" i="571"/>
  <c r="E60" i="8"/>
  <c r="E64" i="8" s="1"/>
  <c r="E40" i="633"/>
  <c r="E42" i="633" s="1"/>
  <c r="F40" i="633"/>
  <c r="F42" i="633" s="1"/>
  <c r="S40" i="8"/>
  <c r="R42" i="571"/>
  <c r="H55" i="571"/>
  <c r="I11" i="596"/>
  <c r="I12" i="596" s="1"/>
  <c r="I39" i="596" s="1"/>
  <c r="N42" i="571"/>
  <c r="D36" i="571"/>
  <c r="E6" i="96" l="1"/>
  <c r="H10" i="97"/>
  <c r="C22" i="562"/>
  <c r="C23" i="562" s="1"/>
  <c r="S42" i="571"/>
  <c r="S43" i="571" s="1"/>
  <c r="R46" i="571" s="1"/>
  <c r="R43" i="571"/>
  <c r="O42" i="571"/>
  <c r="N43" i="571"/>
  <c r="I41" i="596"/>
  <c r="I42" i="596"/>
  <c r="H57" i="571"/>
  <c r="H56" i="571"/>
  <c r="H61" i="571" s="1"/>
  <c r="E12" i="96" l="1"/>
  <c r="H6" i="96"/>
  <c r="N15" i="561"/>
  <c r="L34" i="561"/>
  <c r="T42" i="571"/>
  <c r="T43" i="571" s="1"/>
  <c r="O43" i="571"/>
  <c r="N8" i="8"/>
  <c r="N9" i="8"/>
  <c r="N10" i="8"/>
  <c r="N11" i="8"/>
  <c r="N12" i="8"/>
  <c r="N13" i="8"/>
  <c r="N14" i="8"/>
  <c r="N41" i="8" s="1"/>
  <c r="R16" i="8"/>
  <c r="F24" i="97" l="1"/>
  <c r="H24" i="97" s="1"/>
  <c r="E36" i="149" s="1"/>
  <c r="E45" i="7"/>
  <c r="R39" i="8"/>
  <c r="R42" i="8" s="1"/>
  <c r="L36" i="561"/>
  <c r="L45" i="561" s="1"/>
  <c r="O34" i="561"/>
  <c r="O36" i="561" s="1"/>
  <c r="P15" i="561"/>
  <c r="P16" i="561" s="1"/>
  <c r="N16" i="561"/>
  <c r="L44" i="561" s="1"/>
  <c r="L46" i="561" l="1"/>
  <c r="L49" i="561" s="1"/>
  <c r="L57" i="561" s="1"/>
  <c r="F26" i="97"/>
  <c r="L56" i="561" l="1"/>
  <c r="L59" i="561" s="1"/>
  <c r="H26" i="97"/>
  <c r="H48" i="661" l="1"/>
  <c r="H49" i="661"/>
  <c r="H51" i="661"/>
  <c r="I51" i="661" s="1"/>
  <c r="S51" i="661" s="1"/>
  <c r="H58" i="661"/>
  <c r="I58" i="661" s="1"/>
  <c r="S58" i="661" s="1"/>
  <c r="I63" i="661"/>
  <c r="H71" i="661"/>
  <c r="I71" i="661" s="1"/>
  <c r="H80" i="661"/>
  <c r="H82" i="661"/>
  <c r="I82" i="661" s="1"/>
  <c r="S82" i="661" s="1"/>
  <c r="I18" i="661" l="1"/>
  <c r="S18" i="661" s="1"/>
  <c r="H108" i="661"/>
  <c r="I108" i="661"/>
  <c r="O63" i="661"/>
  <c r="S63" i="661"/>
  <c r="O71" i="661"/>
  <c r="S71" i="661"/>
  <c r="I49" i="661"/>
  <c r="H141" i="661"/>
  <c r="I48" i="661"/>
  <c r="O82" i="661"/>
  <c r="P82" i="661"/>
  <c r="O29" i="661"/>
  <c r="O58" i="661"/>
  <c r="P58" i="661"/>
  <c r="O51" i="661"/>
  <c r="P51" i="661"/>
  <c r="I80" i="661"/>
  <c r="O38" i="661"/>
  <c r="P38" i="661"/>
  <c r="O33" i="661"/>
  <c r="O17" i="661"/>
  <c r="P17" i="661"/>
  <c r="O31" i="661"/>
  <c r="P31" i="661"/>
  <c r="O53" i="661"/>
  <c r="P53" i="661"/>
  <c r="O79" i="661"/>
  <c r="O65" i="661"/>
  <c r="O52" i="661"/>
  <c r="O22" i="661"/>
  <c r="P22" i="661"/>
  <c r="P5" i="661"/>
  <c r="P10" i="661"/>
  <c r="P21" i="661"/>
  <c r="P8" i="661"/>
  <c r="S80" i="661" l="1"/>
  <c r="E159" i="661"/>
  <c r="E163" i="661" s="1"/>
  <c r="O18" i="661"/>
  <c r="P18" i="661"/>
  <c r="S49" i="661"/>
  <c r="P48" i="661"/>
  <c r="S48" i="661"/>
  <c r="O48" i="661"/>
  <c r="P80" i="661"/>
  <c r="O80" i="661"/>
  <c r="P65" i="661"/>
  <c r="O78" i="661"/>
  <c r="K32" i="637"/>
  <c r="J32" i="637"/>
  <c r="I32" i="637"/>
  <c r="O19" i="661"/>
  <c r="H32" i="637"/>
  <c r="P29" i="661"/>
  <c r="P40" i="661"/>
  <c r="P19" i="661" l="1"/>
  <c r="P63" i="661"/>
  <c r="P39" i="661"/>
  <c r="P24" i="661"/>
  <c r="P37" i="661"/>
  <c r="P20" i="661"/>
  <c r="P69" i="661"/>
  <c r="P66" i="661"/>
  <c r="P23" i="661"/>
  <c r="P71" i="661"/>
  <c r="P16" i="661"/>
  <c r="P6" i="661"/>
  <c r="P72" i="661"/>
  <c r="P67" i="661"/>
  <c r="P36" i="661"/>
  <c r="P7" i="661"/>
  <c r="P73" i="661"/>
  <c r="P11" i="661"/>
  <c r="O15" i="8" l="1"/>
  <c r="N15" i="8" s="1"/>
  <c r="O16" i="8"/>
  <c r="D7" i="627" s="1"/>
  <c r="D8" i="627" s="1"/>
  <c r="C14" i="629" s="1"/>
  <c r="O40" i="8"/>
  <c r="D15" i="98"/>
  <c r="H14" i="627"/>
  <c r="J9" i="627" s="1"/>
  <c r="O39" i="8" l="1"/>
  <c r="O42" i="8" s="1"/>
  <c r="N16" i="8"/>
  <c r="N40" i="8"/>
  <c r="D15" i="627"/>
  <c r="F14" i="629" l="1"/>
  <c r="E14" i="553" s="1"/>
  <c r="N39" i="8"/>
  <c r="N42" i="8" s="1"/>
  <c r="E32" i="7"/>
  <c r="E39" i="7" s="1"/>
  <c r="E46" i="7" s="1"/>
  <c r="G14" i="629" l="1"/>
  <c r="I14" i="629" s="1"/>
  <c r="U53" i="399" l="1"/>
  <c r="V53" i="399" s="1"/>
  <c r="V55" i="399" s="1"/>
  <c r="T56" i="399"/>
  <c r="T57" i="399" s="1"/>
  <c r="P23" i="644" l="1"/>
  <c r="Q23" i="644" s="1"/>
  <c r="P24" i="644"/>
  <c r="Q24" i="644" s="1"/>
  <c r="B5" i="661" l="1"/>
  <c r="B6" i="661" s="1"/>
  <c r="B7" i="661" s="1"/>
  <c r="B8" i="661" s="1"/>
  <c r="B9" i="661" s="1"/>
  <c r="B10" i="661" s="1"/>
  <c r="B11" i="661" s="1"/>
  <c r="B12" i="661" s="1"/>
  <c r="B13" i="661" s="1"/>
  <c r="B14" i="661" s="1"/>
  <c r="B15" i="661" s="1"/>
  <c r="B16" i="661" s="1"/>
  <c r="B17" i="661" s="1"/>
  <c r="B18" i="661" s="1"/>
  <c r="B19" i="661" s="1"/>
  <c r="B20" i="661" s="1"/>
  <c r="B21" i="661" s="1"/>
  <c r="B22" i="661" s="1"/>
  <c r="B23" i="661" s="1"/>
  <c r="B24" i="661" s="1"/>
  <c r="B25" i="661" s="1"/>
  <c r="B26" i="661" s="1"/>
  <c r="B27" i="661" s="1"/>
  <c r="B28" i="661" s="1"/>
  <c r="B29" i="661" s="1"/>
  <c r="B30" i="661" s="1"/>
  <c r="B31" i="661" s="1"/>
  <c r="B32" i="661" s="1"/>
  <c r="B33" i="661" s="1"/>
  <c r="B34" i="661" s="1"/>
  <c r="B35" i="661" s="1"/>
  <c r="B36" i="661" s="1"/>
  <c r="B37" i="661" s="1"/>
  <c r="B38" i="661" s="1"/>
  <c r="B39" i="661" s="1"/>
  <c r="B40" i="661" s="1"/>
  <c r="B41" i="661" s="1"/>
  <c r="B42" i="661" s="1"/>
  <c r="B43" i="661" s="1"/>
  <c r="B44" i="661" s="1"/>
  <c r="B45" i="661" s="1"/>
  <c r="B46" i="661" s="1"/>
  <c r="B47" i="661" s="1"/>
  <c r="B48" i="661" s="1"/>
  <c r="B49" i="661" s="1"/>
  <c r="B50" i="661" s="1"/>
  <c r="B51" i="661" s="1"/>
  <c r="B52" i="661" s="1"/>
  <c r="B53" i="661" s="1"/>
  <c r="B54" i="661" s="1"/>
  <c r="B55" i="661" s="1"/>
  <c r="B56" i="661" s="1"/>
  <c r="B57" i="661" s="1"/>
  <c r="B58" i="661" s="1"/>
  <c r="B59" i="661" s="1"/>
  <c r="B60" i="661" s="1"/>
  <c r="B61" i="661" s="1"/>
  <c r="B62" i="661" s="1"/>
  <c r="B63" i="661" s="1"/>
  <c r="B64" i="661" s="1"/>
  <c r="B65" i="661" s="1"/>
  <c r="B66" i="661" s="1"/>
  <c r="B67" i="661" s="1"/>
  <c r="B68" i="661" s="1"/>
  <c r="B69" i="661" s="1"/>
  <c r="B70" i="661" s="1"/>
  <c r="B71" i="661" s="1"/>
  <c r="B72" i="661" s="1"/>
  <c r="B73" i="661" s="1"/>
  <c r="B74" i="661" s="1"/>
  <c r="B75" i="661" s="1"/>
  <c r="B76" i="661" s="1"/>
  <c r="B77" i="661" s="1"/>
  <c r="B78" i="661" s="1"/>
  <c r="B79" i="661" s="1"/>
  <c r="B80" i="661" s="1"/>
  <c r="B81" i="661" s="1"/>
  <c r="B82" i="661" s="1"/>
  <c r="B83" i="661" s="1"/>
  <c r="B84" i="661" s="1"/>
  <c r="B85" i="661" s="1"/>
  <c r="B86" i="661" s="1"/>
  <c r="B87" i="661" s="1"/>
  <c r="B88" i="661" s="1"/>
  <c r="H56" i="661"/>
  <c r="H97" i="661"/>
  <c r="I56" i="661" l="1"/>
  <c r="H140" i="661"/>
  <c r="O56" i="661" l="1"/>
  <c r="S56" i="661"/>
  <c r="I140" i="661"/>
  <c r="I97" i="661"/>
  <c r="U56" i="661" l="1"/>
  <c r="P56" i="661"/>
  <c r="J140" i="661"/>
  <c r="H39" i="637"/>
  <c r="J39" i="637"/>
  <c r="K39" i="637"/>
  <c r="E25" i="648"/>
  <c r="I39" i="637"/>
  <c r="O39" i="637" l="1"/>
  <c r="F25" i="648"/>
  <c r="P39" i="637"/>
  <c r="M39" i="637"/>
  <c r="N39" i="637"/>
  <c r="L19" i="637"/>
  <c r="K19" i="637" s="1"/>
  <c r="K22" i="637" s="1"/>
  <c r="L33" i="637"/>
  <c r="J33" i="637" s="1"/>
  <c r="J37" i="637" s="1"/>
  <c r="J19" i="637" l="1"/>
  <c r="J22" i="637" s="1"/>
  <c r="I19" i="637"/>
  <c r="I22" i="637" s="1"/>
  <c r="H19" i="637"/>
  <c r="H22" i="637" s="1"/>
  <c r="L37" i="637"/>
  <c r="E21" i="648"/>
  <c r="L22" i="637"/>
  <c r="K33" i="637"/>
  <c r="K37" i="637" s="1"/>
  <c r="H33" i="637"/>
  <c r="H37" i="637" s="1"/>
  <c r="I33" i="637"/>
  <c r="I37" i="637" s="1"/>
  <c r="M9" i="661"/>
  <c r="P9" i="661"/>
  <c r="U9" i="661"/>
  <c r="M13" i="661"/>
  <c r="P13" i="661"/>
  <c r="U13" i="661"/>
  <c r="M15" i="661"/>
  <c r="P15" i="661"/>
  <c r="U15" i="661"/>
  <c r="M32" i="661"/>
  <c r="P32" i="661"/>
  <c r="U32" i="661"/>
  <c r="M33" i="661"/>
  <c r="P33" i="661"/>
  <c r="U33" i="661"/>
  <c r="M34" i="661"/>
  <c r="P34" i="661"/>
  <c r="U34" i="661"/>
  <c r="M35" i="661"/>
  <c r="P35" i="661"/>
  <c r="U35" i="661"/>
  <c r="M41" i="661"/>
  <c r="P41" i="661"/>
  <c r="U41" i="661"/>
  <c r="M44" i="661"/>
  <c r="P44" i="661"/>
  <c r="U44" i="661"/>
  <c r="M46" i="661"/>
  <c r="P46" i="661"/>
  <c r="U46" i="661"/>
  <c r="M47" i="661"/>
  <c r="P47" i="661"/>
  <c r="U47" i="661"/>
  <c r="M50" i="661"/>
  <c r="H50" i="661" s="1"/>
  <c r="U50" i="661"/>
  <c r="M52" i="661"/>
  <c r="P52" i="661"/>
  <c r="U52" i="661"/>
  <c r="M57" i="661"/>
  <c r="P57" i="661"/>
  <c r="U57" i="661"/>
  <c r="M59" i="661"/>
  <c r="P59" i="661"/>
  <c r="U59" i="661"/>
  <c r="M60" i="661"/>
  <c r="P60" i="661"/>
  <c r="U60" i="661"/>
  <c r="M61" i="661"/>
  <c r="P61" i="661"/>
  <c r="U61" i="661"/>
  <c r="M62" i="661"/>
  <c r="P62" i="661"/>
  <c r="U62" i="661"/>
  <c r="M64" i="661"/>
  <c r="P64" i="661"/>
  <c r="U64" i="661"/>
  <c r="M68" i="661"/>
  <c r="P68" i="661"/>
  <c r="U68" i="661"/>
  <c r="M70" i="661"/>
  <c r="H70" i="661" s="1"/>
  <c r="U70" i="661"/>
  <c r="M74" i="661"/>
  <c r="P74" i="661"/>
  <c r="U74" i="661"/>
  <c r="M75" i="661"/>
  <c r="P75" i="661"/>
  <c r="U75" i="661"/>
  <c r="M76" i="661"/>
  <c r="P76" i="661"/>
  <c r="U76" i="661"/>
  <c r="M78" i="661"/>
  <c r="P78" i="661"/>
  <c r="U78" i="661"/>
  <c r="M79" i="661"/>
  <c r="P79" i="661"/>
  <c r="U79" i="661"/>
  <c r="M83" i="661"/>
  <c r="H83" i="661" s="1"/>
  <c r="M84" i="661"/>
  <c r="P84" i="661"/>
  <c r="U84" i="661"/>
  <c r="M85" i="661"/>
  <c r="P85" i="661"/>
  <c r="U85" i="661"/>
  <c r="M86" i="661"/>
  <c r="P86" i="661"/>
  <c r="U86" i="661"/>
  <c r="M87" i="661"/>
  <c r="P87" i="661"/>
  <c r="U87" i="661"/>
  <c r="J89" i="661"/>
  <c r="J130" i="661"/>
  <c r="J139" i="661"/>
  <c r="J147" i="661"/>
  <c r="J148" i="661"/>
  <c r="J149" i="661"/>
  <c r="J151" i="661" s="1"/>
  <c r="M19" i="637"/>
  <c r="M22" i="637" s="1"/>
  <c r="Q33" i="637"/>
  <c r="N33" i="637" s="1"/>
  <c r="N37" i="637" s="1"/>
  <c r="J150" i="661" l="1"/>
  <c r="J141" i="661" s="1"/>
  <c r="J143" i="661" s="1"/>
  <c r="Q65" i="637" s="1"/>
  <c r="I70" i="661"/>
  <c r="S70" i="661" s="1"/>
  <c r="H139" i="661"/>
  <c r="I83" i="661"/>
  <c r="I149" i="661" s="1"/>
  <c r="J119" i="661"/>
  <c r="O33" i="637"/>
  <c r="O37" i="637" s="1"/>
  <c r="P33" i="637"/>
  <c r="P37" i="637" s="1"/>
  <c r="M33" i="637"/>
  <c r="M37" i="637" s="1"/>
  <c r="O70" i="661"/>
  <c r="I50" i="661"/>
  <c r="H94" i="661"/>
  <c r="H130" i="661"/>
  <c r="H89" i="661"/>
  <c r="H96" i="661"/>
  <c r="Q37" i="637"/>
  <c r="P19" i="637"/>
  <c r="P22" i="637" s="1"/>
  <c r="O19" i="637"/>
  <c r="O22" i="637" s="1"/>
  <c r="Q22" i="637"/>
  <c r="N19" i="637"/>
  <c r="N22" i="637" s="1"/>
  <c r="F21" i="648"/>
  <c r="I96" i="661" l="1"/>
  <c r="O83" i="661"/>
  <c r="P70" i="661"/>
  <c r="I139" i="661"/>
  <c r="H121" i="661"/>
  <c r="H143" i="661"/>
  <c r="P83" i="661"/>
  <c r="F27" i="648"/>
  <c r="Q67" i="637"/>
  <c r="Q38" i="637"/>
  <c r="Q40" i="637" s="1"/>
  <c r="G176" i="637" s="1"/>
  <c r="G178" i="637" s="1"/>
  <c r="J121" i="661"/>
  <c r="I150" i="661"/>
  <c r="I141" i="661" s="1"/>
  <c r="I151" i="661"/>
  <c r="I119" i="661" s="1"/>
  <c r="H99" i="661"/>
  <c r="I89" i="661"/>
  <c r="O50" i="661"/>
  <c r="P50" i="661"/>
  <c r="I94" i="661"/>
  <c r="S50" i="661"/>
  <c r="I130" i="661"/>
  <c r="I143" i="661" l="1"/>
  <c r="L65" i="637" s="1"/>
  <c r="L67" i="637" s="1"/>
  <c r="P38" i="637"/>
  <c r="P40" i="637" s="1"/>
  <c r="P42" i="637" s="1"/>
  <c r="M38" i="637"/>
  <c r="O38" i="637"/>
  <c r="O40" i="637" s="1"/>
  <c r="P166" i="637" s="1"/>
  <c r="F22" i="648"/>
  <c r="N38" i="637"/>
  <c r="N40" i="637" s="1"/>
  <c r="N42" i="637" s="1"/>
  <c r="I34" i="627"/>
  <c r="E4" i="644" s="1"/>
  <c r="E7" i="644" s="1"/>
  <c r="E9" i="644" s="1"/>
  <c r="E11" i="644" s="1"/>
  <c r="Q42" i="637"/>
  <c r="Q76" i="637" s="1"/>
  <c r="I90" i="661"/>
  <c r="J90" i="661"/>
  <c r="L38" i="637"/>
  <c r="I121" i="661"/>
  <c r="J97" i="661"/>
  <c r="I99" i="661"/>
  <c r="J95" i="661"/>
  <c r="O42" i="637" l="1"/>
  <c r="E27" i="648"/>
  <c r="K47" i="637"/>
  <c r="L47" i="637"/>
  <c r="I47" i="637"/>
  <c r="M40" i="637"/>
  <c r="J47" i="637"/>
  <c r="M12" i="628"/>
  <c r="C8" i="629" s="1"/>
  <c r="E33" i="149"/>
  <c r="F28" i="648" s="1"/>
  <c r="D11" i="98"/>
  <c r="D13" i="98" s="1"/>
  <c r="I37" i="627"/>
  <c r="I39" i="627" s="1"/>
  <c r="I41" i="627" s="1"/>
  <c r="I43" i="627" s="1"/>
  <c r="D5" i="627" s="1"/>
  <c r="C15" i="629" s="1"/>
  <c r="K29" i="627"/>
  <c r="K32" i="627" s="1"/>
  <c r="K34" i="627" s="1"/>
  <c r="E13" i="644"/>
  <c r="D14" i="627"/>
  <c r="K38" i="637"/>
  <c r="K40" i="637" s="1"/>
  <c r="K42" i="637" s="1"/>
  <c r="E22" i="648"/>
  <c r="L40" i="637"/>
  <c r="H38" i="637"/>
  <c r="I38" i="637"/>
  <c r="I40" i="637" s="1"/>
  <c r="I42" i="637" s="1"/>
  <c r="J38" i="637"/>
  <c r="J40" i="637" s="1"/>
  <c r="N166" i="637"/>
  <c r="O166" i="637"/>
  <c r="C23" i="629" l="1"/>
  <c r="C26" i="629" s="1"/>
  <c r="M42" i="637"/>
  <c r="P165" i="637"/>
  <c r="F69" i="628"/>
  <c r="F80" i="628" s="1"/>
  <c r="F84" i="628" s="1"/>
  <c r="J42" i="637"/>
  <c r="K166" i="637"/>
  <c r="D47" i="637"/>
  <c r="E47" i="637"/>
  <c r="F47" i="637"/>
  <c r="G47" i="637"/>
  <c r="H40" i="637"/>
  <c r="D16" i="627"/>
  <c r="F8" i="629"/>
  <c r="E9" i="553" s="1"/>
  <c r="E47" i="149"/>
  <c r="D9" i="627"/>
  <c r="D10" i="627"/>
  <c r="M17" i="628" s="1"/>
  <c r="H34" i="627"/>
  <c r="L42" i="637"/>
  <c r="F176" i="637"/>
  <c r="F178" i="637" s="1"/>
  <c r="G8" i="629" l="1"/>
  <c r="O165" i="637"/>
  <c r="O167" i="637" s="1"/>
  <c r="M165" i="637"/>
  <c r="M167" i="637" s="1"/>
  <c r="N165" i="637"/>
  <c r="N167" i="637" s="1"/>
  <c r="P167" i="637"/>
  <c r="I8" i="629"/>
  <c r="F31" i="648"/>
  <c r="F33" i="648" s="1"/>
  <c r="D14" i="98"/>
  <c r="D16" i="98" s="1"/>
  <c r="E50" i="149"/>
  <c r="F16" i="629"/>
  <c r="I12" i="628"/>
  <c r="L76" i="637"/>
  <c r="D33" i="149"/>
  <c r="C11" i="98"/>
  <c r="C13" i="98" s="1"/>
  <c r="J29" i="627"/>
  <c r="J32" i="627" s="1"/>
  <c r="J34" i="627" s="1"/>
  <c r="D4" i="644"/>
  <c r="D7" i="644" s="1"/>
  <c r="D9" i="644" s="1"/>
  <c r="D11" i="644" s="1"/>
  <c r="H37" i="627"/>
  <c r="H39" i="627" s="1"/>
  <c r="F15" i="629"/>
  <c r="E15" i="553" s="1"/>
  <c r="H42" i="637"/>
  <c r="K165" i="637"/>
  <c r="O17" i="628"/>
  <c r="K17" i="628"/>
  <c r="M21" i="628"/>
  <c r="I166" i="637"/>
  <c r="J166" i="637"/>
  <c r="G16" i="629" l="1"/>
  <c r="E16" i="553"/>
  <c r="E23" i="553" s="1"/>
  <c r="E25" i="553" s="1"/>
  <c r="E11" i="552" s="1"/>
  <c r="H11" i="552" s="1"/>
  <c r="E7" i="553"/>
  <c r="N168" i="637"/>
  <c r="K12" i="628" s="1"/>
  <c r="K21" i="628" s="1"/>
  <c r="K28" i="628" s="1"/>
  <c r="M13" i="393" s="1"/>
  <c r="M168" i="637"/>
  <c r="O168" i="637"/>
  <c r="L12" i="628" s="1"/>
  <c r="G15" i="629"/>
  <c r="L17" i="628"/>
  <c r="I16" i="629"/>
  <c r="E28" i="648"/>
  <c r="F23" i="629"/>
  <c r="D20" i="149"/>
  <c r="H41" i="627"/>
  <c r="H43" i="627" s="1"/>
  <c r="C5" i="627" s="1"/>
  <c r="E20" i="149"/>
  <c r="M28" i="628"/>
  <c r="H165" i="637"/>
  <c r="H167" i="637" s="1"/>
  <c r="I165" i="637"/>
  <c r="I167" i="637" s="1"/>
  <c r="K167" i="637"/>
  <c r="J165" i="637"/>
  <c r="J167" i="637" s="1"/>
  <c r="C14" i="627"/>
  <c r="C16" i="627" s="1"/>
  <c r="D13" i="644"/>
  <c r="K30" i="628" l="1"/>
  <c r="K32" i="628" s="1"/>
  <c r="K34" i="628" s="1"/>
  <c r="L21" i="628"/>
  <c r="L28" i="628" s="1"/>
  <c r="L30" i="628" s="1"/>
  <c r="L32" i="628" s="1"/>
  <c r="L34" i="628" s="1"/>
  <c r="P168" i="637"/>
  <c r="J12" i="628"/>
  <c r="J21" i="628" s="1"/>
  <c r="J28" i="628" s="1"/>
  <c r="I15" i="629"/>
  <c r="G23" i="629"/>
  <c r="G26" i="629" s="1"/>
  <c r="J168" i="637"/>
  <c r="H12" i="628" s="1"/>
  <c r="M30" i="628"/>
  <c r="O13" i="393"/>
  <c r="O15" i="393" s="1"/>
  <c r="O16" i="393" s="1"/>
  <c r="O17" i="393" s="1"/>
  <c r="O19" i="393" s="1"/>
  <c r="Q34" i="628"/>
  <c r="Q38" i="628" s="1"/>
  <c r="Q42" i="628" s="1"/>
  <c r="C10" i="627"/>
  <c r="I17" i="628" s="1"/>
  <c r="D47" i="149"/>
  <c r="C9" i="627"/>
  <c r="I168" i="637"/>
  <c r="G12" i="628" s="1"/>
  <c r="D27" i="149"/>
  <c r="E14" i="97"/>
  <c r="H168" i="637"/>
  <c r="F26" i="629"/>
  <c r="N13" i="393" l="1"/>
  <c r="L13" i="393"/>
  <c r="L15" i="393" s="1"/>
  <c r="L16" i="393" s="1"/>
  <c r="L17" i="393" s="1"/>
  <c r="J30" i="628"/>
  <c r="J32" i="628" s="1"/>
  <c r="J34" i="628" s="1"/>
  <c r="I23" i="629"/>
  <c r="I26" i="629"/>
  <c r="O24" i="393"/>
  <c r="AX65" i="411"/>
  <c r="AY65" i="411"/>
  <c r="G17" i="628"/>
  <c r="G21" i="628" s="1"/>
  <c r="G28" i="628" s="1"/>
  <c r="S23" i="628"/>
  <c r="T23" i="628" s="1"/>
  <c r="I21" i="628"/>
  <c r="O10" i="628"/>
  <c r="M32" i="628"/>
  <c r="M34" i="628" s="1"/>
  <c r="O32" i="628"/>
  <c r="O12" i="628"/>
  <c r="O21" i="628"/>
  <c r="K168" i="637"/>
  <c r="F12" i="628"/>
  <c r="F21" i="628" s="1"/>
  <c r="F28" i="628" s="1"/>
  <c r="C14" i="98"/>
  <c r="E31" i="648"/>
  <c r="E33" i="648" s="1"/>
  <c r="E34" i="648" s="1"/>
  <c r="F5" i="648" s="1"/>
  <c r="F10" i="648" s="1"/>
  <c r="F34" i="648" s="1"/>
  <c r="D50" i="149"/>
  <c r="D53" i="149" s="1"/>
  <c r="F14" i="97"/>
  <c r="H14" i="97" s="1"/>
  <c r="G14" i="97"/>
  <c r="M14" i="393" l="1"/>
  <c r="M15" i="393" s="1"/>
  <c r="M16" i="393" s="1"/>
  <c r="M17" i="393" s="1"/>
  <c r="L19" i="393"/>
  <c r="G30" i="628"/>
  <c r="G32" i="628" s="1"/>
  <c r="G34" i="628" s="1"/>
  <c r="I13" i="393"/>
  <c r="D17" i="98"/>
  <c r="D18" i="98" s="1"/>
  <c r="D20" i="98" s="1"/>
  <c r="H48" i="628"/>
  <c r="F30" i="628"/>
  <c r="F32" i="628" s="1"/>
  <c r="F34" i="628" s="1"/>
  <c r="H13" i="393"/>
  <c r="H15" i="393" s="1"/>
  <c r="H16" i="393" s="1"/>
  <c r="H17" i="393" s="1"/>
  <c r="S22" i="628"/>
  <c r="I28" i="628"/>
  <c r="H17" i="628"/>
  <c r="H21" i="628" s="1"/>
  <c r="H28" i="628" s="1"/>
  <c r="E36" i="97"/>
  <c r="D51" i="149"/>
  <c r="E5" i="149" s="1"/>
  <c r="E27" i="149" s="1"/>
  <c r="E53" i="149" s="1"/>
  <c r="C16" i="98"/>
  <c r="E40" i="97"/>
  <c r="AX55" i="411" l="1"/>
  <c r="AX59" i="411"/>
  <c r="BD56" i="411"/>
  <c r="BE56" i="411" s="1"/>
  <c r="AX62" i="411"/>
  <c r="AX60" i="411"/>
  <c r="AY63" i="411"/>
  <c r="AX56" i="411"/>
  <c r="AY58" i="411"/>
  <c r="AX57" i="411"/>
  <c r="BD55" i="411"/>
  <c r="AX63" i="411"/>
  <c r="AY62" i="411"/>
  <c r="B30" i="21" s="1"/>
  <c r="AY59" i="411"/>
  <c r="B27" i="21" s="1"/>
  <c r="BD61" i="411"/>
  <c r="BE61" i="411" s="1"/>
  <c r="AY60" i="411"/>
  <c r="B29" i="21" s="1"/>
  <c r="BD62" i="411"/>
  <c r="BE62" i="411" s="1"/>
  <c r="AY57" i="411"/>
  <c r="BD59" i="411"/>
  <c r="BE59" i="411" s="1"/>
  <c r="BG63" i="411"/>
  <c r="AY55" i="411"/>
  <c r="B21" i="21" s="1"/>
  <c r="BD60" i="411"/>
  <c r="BE60" i="411" s="1"/>
  <c r="AX58" i="411"/>
  <c r="AX61" i="411"/>
  <c r="AY61" i="411"/>
  <c r="B31" i="21" s="1"/>
  <c r="AY56" i="411"/>
  <c r="B24" i="21" s="1"/>
  <c r="BD58" i="411"/>
  <c r="BE58" i="411" s="1"/>
  <c r="BD57" i="411"/>
  <c r="BE57" i="411" s="1"/>
  <c r="N14" i="393"/>
  <c r="N15" i="393" s="1"/>
  <c r="N16" i="393" s="1"/>
  <c r="N17" i="393" s="1"/>
  <c r="N19" i="393" s="1"/>
  <c r="M19" i="393"/>
  <c r="E43" i="97"/>
  <c r="G36" i="97"/>
  <c r="K13" i="393"/>
  <c r="K15" i="393" s="1"/>
  <c r="K16" i="393" s="1"/>
  <c r="K17" i="393" s="1"/>
  <c r="K19" i="393" s="1"/>
  <c r="I30" i="628"/>
  <c r="I32" i="628" s="1"/>
  <c r="I34" i="628" s="1"/>
  <c r="T22" i="628"/>
  <c r="S25" i="628"/>
  <c r="I14" i="393"/>
  <c r="I15" i="393" s="1"/>
  <c r="I16" i="393" s="1"/>
  <c r="I17" i="393" s="1"/>
  <c r="H19" i="393"/>
  <c r="H30" i="628"/>
  <c r="H32" i="628" s="1"/>
  <c r="H34" i="628" s="1"/>
  <c r="J13" i="393"/>
  <c r="F40" i="97"/>
  <c r="H40" i="97" s="1"/>
  <c r="G40" i="97"/>
  <c r="F36" i="97"/>
  <c r="E51" i="149"/>
  <c r="C30" i="21" l="1"/>
  <c r="L30" i="21" s="1"/>
  <c r="M30" i="21" s="1"/>
  <c r="BF62" i="411"/>
  <c r="D30" i="21" s="1"/>
  <c r="C31" i="21"/>
  <c r="BF61" i="411"/>
  <c r="D31" i="21" s="1"/>
  <c r="BD50" i="411"/>
  <c r="BE50" i="411" s="1"/>
  <c r="AY38" i="411"/>
  <c r="E11" i="21" s="1"/>
  <c r="BD46" i="411"/>
  <c r="BE46" i="411" s="1"/>
  <c r="AX53" i="411"/>
  <c r="AX38" i="411"/>
  <c r="AY42" i="411"/>
  <c r="AY51" i="411"/>
  <c r="E31" i="21" s="1"/>
  <c r="AX46" i="411"/>
  <c r="AX52" i="411"/>
  <c r="BD41" i="411"/>
  <c r="BE41" i="411" s="1"/>
  <c r="AX48" i="411"/>
  <c r="AY41" i="411"/>
  <c r="E15" i="21" s="1"/>
  <c r="BD44" i="411"/>
  <c r="BD45" i="411"/>
  <c r="BE45" i="411" s="1"/>
  <c r="AX43" i="411"/>
  <c r="AY49" i="411"/>
  <c r="BD40" i="411"/>
  <c r="BE40" i="411" s="1"/>
  <c r="AY52" i="411"/>
  <c r="BD39" i="411"/>
  <c r="BE39" i="411" s="1"/>
  <c r="BG53" i="411"/>
  <c r="AY43" i="411"/>
  <c r="AX41" i="411"/>
  <c r="AY46" i="411"/>
  <c r="E23" i="21" s="1"/>
  <c r="AY45" i="411"/>
  <c r="E18" i="21" s="1"/>
  <c r="AX45" i="411"/>
  <c r="AX40" i="411"/>
  <c r="AY39" i="411"/>
  <c r="E13" i="21" s="1"/>
  <c r="AY44" i="411"/>
  <c r="E21" i="21" s="1"/>
  <c r="BD49" i="411"/>
  <c r="BE49" i="411" s="1"/>
  <c r="BF49" i="411" s="1"/>
  <c r="AX39" i="411"/>
  <c r="AX50" i="411"/>
  <c r="AY48" i="411"/>
  <c r="E27" i="21" s="1"/>
  <c r="AX44" i="411"/>
  <c r="AX49" i="411"/>
  <c r="BD38" i="411"/>
  <c r="AX47" i="411"/>
  <c r="AX42" i="411"/>
  <c r="AY47" i="411"/>
  <c r="E24" i="21" s="1"/>
  <c r="BD48" i="411"/>
  <c r="BD42" i="411"/>
  <c r="BE42" i="411" s="1"/>
  <c r="BD47" i="411"/>
  <c r="AX51" i="411"/>
  <c r="BD52" i="411"/>
  <c r="AY53" i="411"/>
  <c r="BD51" i="411"/>
  <c r="AY40" i="411"/>
  <c r="E14" i="21" s="1"/>
  <c r="BD43" i="411"/>
  <c r="BE43" i="411" s="1"/>
  <c r="BF43" i="411" s="1"/>
  <c r="AY50" i="411"/>
  <c r="E25" i="21" s="1"/>
  <c r="BF60" i="411"/>
  <c r="D29" i="21" s="1"/>
  <c r="C29" i="21"/>
  <c r="K26" i="21"/>
  <c r="B26" i="21"/>
  <c r="BF57" i="411"/>
  <c r="C25" i="21"/>
  <c r="BF56" i="411"/>
  <c r="D24" i="21" s="1"/>
  <c r="C24" i="21"/>
  <c r="BF58" i="411"/>
  <c r="C26" i="21"/>
  <c r="L26" i="21" s="1"/>
  <c r="BF59" i="411"/>
  <c r="D27" i="21" s="1"/>
  <c r="C27" i="21"/>
  <c r="BD63" i="411"/>
  <c r="BE55" i="411"/>
  <c r="AX22" i="411"/>
  <c r="AX25" i="411"/>
  <c r="AY23" i="411"/>
  <c r="AX26" i="411"/>
  <c r="BD33" i="411"/>
  <c r="BE33" i="411" s="1"/>
  <c r="BF33" i="411" s="1"/>
  <c r="AY32" i="411"/>
  <c r="H23" i="21" s="1"/>
  <c r="AX36" i="411"/>
  <c r="BD30" i="411"/>
  <c r="BE30" i="411" s="1"/>
  <c r="AY16" i="411"/>
  <c r="AX13" i="411"/>
  <c r="AY26" i="411"/>
  <c r="AX21" i="411"/>
  <c r="AX32" i="411"/>
  <c r="AY22" i="411"/>
  <c r="BD34" i="411"/>
  <c r="BE34" i="411" s="1"/>
  <c r="BD26" i="411"/>
  <c r="BE26" i="411" s="1"/>
  <c r="AY28" i="411"/>
  <c r="BD25" i="411"/>
  <c r="BE25" i="411" s="1"/>
  <c r="AY29" i="411"/>
  <c r="AX35" i="411"/>
  <c r="AX34" i="411"/>
  <c r="AX33" i="411"/>
  <c r="AX20" i="411"/>
  <c r="BD31" i="411"/>
  <c r="BE31" i="411" s="1"/>
  <c r="AX27" i="411"/>
  <c r="BD32" i="411"/>
  <c r="AY14" i="411"/>
  <c r="AX18" i="411"/>
  <c r="AY36" i="411"/>
  <c r="AY20" i="411"/>
  <c r="AY30" i="411"/>
  <c r="BD29" i="411"/>
  <c r="BE29" i="411" s="1"/>
  <c r="BD35" i="411"/>
  <c r="BE35" i="411" s="1"/>
  <c r="BF35" i="411" s="1"/>
  <c r="AX30" i="411"/>
  <c r="AY19" i="411"/>
  <c r="H11" i="21" s="1"/>
  <c r="AX29" i="411"/>
  <c r="AX28" i="411"/>
  <c r="AY31" i="411"/>
  <c r="AX24" i="411"/>
  <c r="AX31" i="411"/>
  <c r="BD13" i="411"/>
  <c r="BE13" i="411" s="1"/>
  <c r="BF13" i="411" s="1"/>
  <c r="AX23" i="411"/>
  <c r="BD14" i="411"/>
  <c r="AX14" i="411"/>
  <c r="AY35" i="411"/>
  <c r="AY34" i="411"/>
  <c r="H22" i="21" s="1"/>
  <c r="AY33" i="411"/>
  <c r="BD19" i="411"/>
  <c r="BD27" i="411"/>
  <c r="BE27" i="411" s="1"/>
  <c r="BD24" i="411"/>
  <c r="BE24" i="411" s="1"/>
  <c r="AY13" i="411"/>
  <c r="AX16" i="411"/>
  <c r="AY25" i="411"/>
  <c r="AY18" i="411"/>
  <c r="AY21" i="411"/>
  <c r="AX15" i="411"/>
  <c r="AX19" i="411"/>
  <c r="AY27" i="411"/>
  <c r="AY15" i="411"/>
  <c r="BD28" i="411"/>
  <c r="BE28" i="411" s="1"/>
  <c r="AY17" i="411"/>
  <c r="AX17" i="411"/>
  <c r="AY24" i="411"/>
  <c r="K25" i="21"/>
  <c r="B25" i="21"/>
  <c r="I19" i="393"/>
  <c r="J14" i="393"/>
  <c r="J15" i="393" s="1"/>
  <c r="J16" i="393" s="1"/>
  <c r="J17" i="393" s="1"/>
  <c r="J19" i="393" s="1"/>
  <c r="S29" i="628"/>
  <c r="T29" i="628" s="1"/>
  <c r="T25" i="628"/>
  <c r="H47" i="628"/>
  <c r="C17" i="98"/>
  <c r="E31" i="97" s="1"/>
  <c r="F31" i="97" s="1"/>
  <c r="H41" i="628"/>
  <c r="H42" i="628" s="1"/>
  <c r="H43" i="628" s="1"/>
  <c r="F43" i="97"/>
  <c r="H36" i="97"/>
  <c r="G43" i="97"/>
  <c r="K32" i="21" l="1"/>
  <c r="BE52" i="411"/>
  <c r="BF52" i="411" s="1"/>
  <c r="BD53" i="411"/>
  <c r="BE38" i="411"/>
  <c r="F13" i="21"/>
  <c r="BF39" i="411"/>
  <c r="F23" i="21"/>
  <c r="BF46" i="411"/>
  <c r="G23" i="21" s="1"/>
  <c r="H13" i="21"/>
  <c r="K13" i="21"/>
  <c r="I16" i="21"/>
  <c r="L16" i="21" s="1"/>
  <c r="BF28" i="411"/>
  <c r="F15" i="21"/>
  <c r="BF41" i="411"/>
  <c r="G15" i="21" s="1"/>
  <c r="K17" i="21"/>
  <c r="H17" i="21"/>
  <c r="K14" i="21"/>
  <c r="H14" i="21"/>
  <c r="M26" i="21"/>
  <c r="D26" i="21"/>
  <c r="BE47" i="411"/>
  <c r="K24" i="21"/>
  <c r="F14" i="21"/>
  <c r="BF40" i="411"/>
  <c r="G14" i="21" s="1"/>
  <c r="F25" i="21"/>
  <c r="L25" i="21" s="1"/>
  <c r="BF50" i="411"/>
  <c r="G25" i="21" s="1"/>
  <c r="K15" i="21"/>
  <c r="H15" i="21"/>
  <c r="I12" i="21"/>
  <c r="L12" i="21" s="1"/>
  <c r="BF24" i="411"/>
  <c r="BE32" i="411"/>
  <c r="K23" i="21"/>
  <c r="BF25" i="411"/>
  <c r="I13" i="21"/>
  <c r="BF42" i="411"/>
  <c r="F20" i="21"/>
  <c r="L20" i="21" s="1"/>
  <c r="H19" i="21"/>
  <c r="K19" i="21"/>
  <c r="BF27" i="411"/>
  <c r="I15" i="21"/>
  <c r="K16" i="21"/>
  <c r="H16" i="21"/>
  <c r="K27" i="21"/>
  <c r="BE48" i="411"/>
  <c r="BD36" i="411"/>
  <c r="K11" i="21"/>
  <c r="BE19" i="411"/>
  <c r="BF29" i="411"/>
  <c r="I17" i="21"/>
  <c r="L17" i="21" s="1"/>
  <c r="I19" i="21"/>
  <c r="L19" i="21" s="1"/>
  <c r="BF31" i="411"/>
  <c r="BF26" i="411"/>
  <c r="I14" i="21"/>
  <c r="I18" i="21"/>
  <c r="BF30" i="411"/>
  <c r="BF55" i="411"/>
  <c r="D21" i="21" s="1"/>
  <c r="C21" i="21"/>
  <c r="C35" i="21" s="1"/>
  <c r="C39" i="21" s="1"/>
  <c r="BF45" i="411"/>
  <c r="G18" i="21" s="1"/>
  <c r="F18" i="21"/>
  <c r="E20" i="21"/>
  <c r="K20" i="21"/>
  <c r="K12" i="21"/>
  <c r="H12" i="21"/>
  <c r="H18" i="21"/>
  <c r="K18" i="21"/>
  <c r="I22" i="21"/>
  <c r="L22" i="21" s="1"/>
  <c r="BF34" i="411"/>
  <c r="J22" i="21" s="1"/>
  <c r="BE63" i="411"/>
  <c r="B35" i="21"/>
  <c r="M25" i="21"/>
  <c r="D25" i="21"/>
  <c r="K31" i="21"/>
  <c r="BE51" i="411"/>
  <c r="BE44" i="411"/>
  <c r="K21" i="21"/>
  <c r="H43" i="97"/>
  <c r="C18" i="98"/>
  <c r="C20" i="98" s="1"/>
  <c r="H49" i="628"/>
  <c r="H50" i="628" s="1"/>
  <c r="L14" i="21" l="1"/>
  <c r="L13" i="21"/>
  <c r="M17" i="21"/>
  <c r="J17" i="21"/>
  <c r="M18" i="21"/>
  <c r="J18" i="21"/>
  <c r="I23" i="21"/>
  <c r="L23" i="21" s="1"/>
  <c r="M23" i="21" s="1"/>
  <c r="BF32" i="411"/>
  <c r="J23" i="21" s="1"/>
  <c r="G12" i="21"/>
  <c r="G13" i="21"/>
  <c r="BD65" i="411"/>
  <c r="H35" i="21"/>
  <c r="BE36" i="411"/>
  <c r="F24" i="21"/>
  <c r="L24" i="21" s="1"/>
  <c r="M24" i="21" s="1"/>
  <c r="BF47" i="411"/>
  <c r="G24" i="21" s="1"/>
  <c r="L15" i="21"/>
  <c r="M16" i="21"/>
  <c r="J16" i="21"/>
  <c r="BF38" i="411"/>
  <c r="G11" i="21" s="1"/>
  <c r="F11" i="21"/>
  <c r="BF19" i="411"/>
  <c r="J11" i="21" s="1"/>
  <c r="I11" i="21"/>
  <c r="BF63" i="411"/>
  <c r="D35" i="21"/>
  <c r="F27" i="21"/>
  <c r="L27" i="21" s="1"/>
  <c r="M27" i="21" s="1"/>
  <c r="BF48" i="411"/>
  <c r="G27" i="21" s="1"/>
  <c r="J19" i="21"/>
  <c r="M19" i="21"/>
  <c r="M20" i="21"/>
  <c r="G20" i="21"/>
  <c r="E35" i="21"/>
  <c r="BE53" i="411"/>
  <c r="M15" i="21"/>
  <c r="J15" i="21"/>
  <c r="F21" i="21"/>
  <c r="L21" i="21" s="1"/>
  <c r="M21" i="21" s="1"/>
  <c r="BF44" i="411"/>
  <c r="G21" i="21" s="1"/>
  <c r="M12" i="21"/>
  <c r="J12" i="21"/>
  <c r="J14" i="21"/>
  <c r="M14" i="21"/>
  <c r="L18" i="21"/>
  <c r="F31" i="21"/>
  <c r="L31" i="21" s="1"/>
  <c r="M31" i="21" s="1"/>
  <c r="BF51" i="411"/>
  <c r="G31" i="21" s="1"/>
  <c r="M13" i="21"/>
  <c r="J13" i="21"/>
  <c r="E9" i="97"/>
  <c r="C29" i="98"/>
  <c r="G35" i="21" l="1"/>
  <c r="BF53" i="411"/>
  <c r="J35" i="21"/>
  <c r="BF36" i="411"/>
  <c r="F35" i="21"/>
  <c r="L11" i="21"/>
  <c r="I35" i="21"/>
  <c r="K35" i="21"/>
  <c r="BE65" i="411"/>
  <c r="E48" i="97"/>
  <c r="D22" i="98"/>
  <c r="D29" i="98" s="1"/>
  <c r="F48" i="97" s="1"/>
  <c r="E18" i="97"/>
  <c r="F9" i="97"/>
  <c r="G9" i="97"/>
  <c r="L35" i="21" l="1"/>
  <c r="M11" i="21"/>
  <c r="M35" i="21"/>
  <c r="BF65" i="411"/>
  <c r="F18" i="97"/>
  <c r="H9" i="97"/>
  <c r="G18" i="97"/>
  <c r="H48" i="97"/>
  <c r="F49" i="97"/>
  <c r="G48" i="97"/>
  <c r="E49" i="97"/>
  <c r="G49" i="97" s="1"/>
  <c r="O33" i="628" l="1"/>
  <c r="O34" i="628" s="1"/>
  <c r="L41" i="21"/>
  <c r="C40" i="21"/>
  <c r="H18" i="97"/>
  <c r="F51" i="97"/>
  <c r="H49" i="97"/>
  <c r="E51" i="97"/>
  <c r="N20" i="644"/>
  <c r="P20" i="644"/>
  <c r="Q20" i="644"/>
  <c r="N21" i="644"/>
  <c r="P21" i="644"/>
  <c r="Q21" i="644"/>
  <c r="N22" i="644"/>
  <c r="P22" i="644"/>
  <c r="Q22" i="644"/>
  <c r="N25" i="644"/>
  <c r="P25" i="644"/>
  <c r="Q25" i="6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Mir Rafique</author>
  </authors>
  <commentList>
    <comment ref="B9" authorId="0" shapeId="0" xr:uid="{00000000-0006-0000-1400-000001000000}">
      <text>
        <r>
          <rPr>
            <b/>
            <sz val="9"/>
            <color indexed="81"/>
            <rFont val="Tahoma"/>
            <family val="2"/>
          </rPr>
          <t>Mir Rafique:</t>
        </r>
        <r>
          <rPr>
            <sz val="9"/>
            <color indexed="81"/>
            <rFont val="Tahoma"/>
            <family val="2"/>
          </rPr>
          <t xml:space="preserve">
Taken from F2 own capitalisation. Cell Ref-L30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Sengupta Siladitya</author>
  </authors>
  <commentList>
    <comment ref="O20" authorId="0" shapeId="0" xr:uid="{00000000-0006-0000-1700-000001000000}">
      <text>
        <r>
          <rPr>
            <b/>
            <sz val="9"/>
            <color indexed="81"/>
            <rFont val="Tahoma"/>
            <family val="2"/>
          </rPr>
          <t>Sengupta Siladitya:</t>
        </r>
        <r>
          <rPr>
            <sz val="9"/>
            <color indexed="81"/>
            <rFont val="Tahoma"/>
            <family val="2"/>
          </rPr>
          <t xml:space="preserve">
Board oresentation 22.10.2021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Sengupta Siladitya</author>
  </authors>
  <commentList>
    <comment ref="M18" authorId="0" shapeId="0" xr:uid="{00000000-0006-0000-1F00-000001000000}">
      <text>
        <r>
          <rPr>
            <b/>
            <sz val="9"/>
            <color indexed="81"/>
            <rFont val="Tahoma"/>
            <family val="2"/>
          </rPr>
          <t>Sengupta Siladitya:</t>
        </r>
        <r>
          <rPr>
            <sz val="9"/>
            <color indexed="81"/>
            <rFont val="Tahoma"/>
            <family val="2"/>
          </rPr>
          <t xml:space="preserve">
Board oresentation 22.10.2021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Ashwini Nath</author>
  </authors>
  <commentList>
    <comment ref="A23" authorId="0" shapeId="0" xr:uid="{00000000-0006-0000-2000-000001000000}">
      <text>
        <r>
          <rPr>
            <b/>
            <sz val="9"/>
            <color indexed="81"/>
            <rFont val="Tahoma"/>
            <family val="2"/>
          </rPr>
          <t>Ashwini Nath:</t>
        </r>
        <r>
          <rPr>
            <sz val="9"/>
            <color indexed="81"/>
            <rFont val="Tahoma"/>
            <family val="2"/>
          </rPr>
          <t xml:space="preserve">
Newly instered by me</t>
        </r>
      </text>
    </comment>
    <comment ref="A24" authorId="0" shapeId="0" xr:uid="{00000000-0006-0000-2000-000002000000}">
      <text>
        <r>
          <rPr>
            <b/>
            <sz val="9"/>
            <color indexed="81"/>
            <rFont val="Tahoma"/>
            <family val="2"/>
          </rPr>
          <t>Ashwini Nath:</t>
        </r>
        <r>
          <rPr>
            <sz val="9"/>
            <color indexed="81"/>
            <rFont val="Tahoma"/>
            <family val="2"/>
          </rPr>
          <t xml:space="preserve">
Newly instered by me.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Ashok Parida</author>
  </authors>
  <commentList>
    <comment ref="E140" authorId="0" shapeId="0" xr:uid="{00000000-0006-0000-3600-000001000000}">
      <text>
        <r>
          <rPr>
            <b/>
            <sz val="9"/>
            <color indexed="81"/>
            <rFont val="Tahoma"/>
            <family val="2"/>
          </rPr>
          <t>Ashok Parida:</t>
        </r>
        <r>
          <rPr>
            <sz val="9"/>
            <color indexed="81"/>
            <rFont val="Tahoma"/>
            <family val="2"/>
          </rPr>
          <t xml:space="preserve">
No residual</t>
        </r>
      </text>
    </comment>
    <comment ref="D142" authorId="0" shapeId="0" xr:uid="{00000000-0006-0000-3600-000002000000}">
      <text>
        <r>
          <rPr>
            <b/>
            <sz val="9"/>
            <color indexed="81"/>
            <rFont val="Tahoma"/>
            <family val="2"/>
          </rPr>
          <t>Ashok Parida:</t>
        </r>
        <r>
          <rPr>
            <sz val="9"/>
            <color indexed="81"/>
            <rFont val="Tahoma"/>
            <family val="2"/>
          </rPr>
          <t xml:space="preserve">
No residual</t>
        </r>
      </text>
    </comment>
    <comment ref="E142" authorId="0" shapeId="0" xr:uid="{00000000-0006-0000-3600-000003000000}">
      <text>
        <r>
          <rPr>
            <b/>
            <sz val="9"/>
            <color indexed="81"/>
            <rFont val="Tahoma"/>
            <family val="2"/>
          </rPr>
          <t>Ashok Parida:</t>
        </r>
        <r>
          <rPr>
            <sz val="9"/>
            <color indexed="81"/>
            <rFont val="Tahoma"/>
            <family val="2"/>
          </rPr>
          <t xml:space="preserve">
No residual</t>
        </r>
      </text>
    </comment>
    <comment ref="D143" authorId="0" shapeId="0" xr:uid="{00000000-0006-0000-3600-000004000000}">
      <text>
        <r>
          <rPr>
            <b/>
            <sz val="9"/>
            <color indexed="81"/>
            <rFont val="Tahoma"/>
            <family val="2"/>
          </rPr>
          <t>Ashok Parida:</t>
        </r>
        <r>
          <rPr>
            <sz val="9"/>
            <color indexed="81"/>
            <rFont val="Tahoma"/>
            <family val="2"/>
          </rPr>
          <t xml:space="preserve">
No residual</t>
        </r>
      </text>
    </comment>
    <comment ref="E143" authorId="0" shapeId="0" xr:uid="{00000000-0006-0000-3600-000005000000}">
      <text>
        <r>
          <rPr>
            <b/>
            <sz val="9"/>
            <color indexed="81"/>
            <rFont val="Tahoma"/>
            <family val="2"/>
          </rPr>
          <t>Ashok Parida:</t>
        </r>
        <r>
          <rPr>
            <sz val="9"/>
            <color indexed="81"/>
            <rFont val="Tahoma"/>
            <family val="2"/>
          </rPr>
          <t xml:space="preserve">
No residual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Jagannath Sha</author>
  </authors>
  <commentList>
    <comment ref="C42" authorId="0" shapeId="0" xr:uid="{00000000-0006-0000-3900-000001000000}">
      <text>
        <r>
          <rPr>
            <b/>
            <sz val="9"/>
            <color indexed="81"/>
            <rFont val="Tahoma"/>
            <family val="2"/>
          </rPr>
          <t>Non current prov included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Ashwini Nath</author>
  </authors>
  <commentList>
    <comment ref="A22" authorId="0" shapeId="0" xr:uid="{00000000-0006-0000-4400-000001000000}">
      <text>
        <r>
          <rPr>
            <b/>
            <sz val="9"/>
            <color indexed="81"/>
            <rFont val="Tahoma"/>
            <family val="2"/>
          </rPr>
          <t>Ashwini Nath:</t>
        </r>
        <r>
          <rPr>
            <sz val="9"/>
            <color indexed="81"/>
            <rFont val="Tahoma"/>
            <family val="2"/>
          </rPr>
          <t xml:space="preserve">
Newly inserted by me</t>
        </r>
      </text>
    </comment>
    <comment ref="A23" authorId="0" shapeId="0" xr:uid="{00000000-0006-0000-4400-000002000000}">
      <text>
        <r>
          <rPr>
            <b/>
            <sz val="9"/>
            <color indexed="81"/>
            <rFont val="Tahoma"/>
            <family val="2"/>
          </rPr>
          <t>Ashwini Nath:</t>
        </r>
        <r>
          <rPr>
            <sz val="9"/>
            <color indexed="81"/>
            <rFont val="Tahoma"/>
            <family val="2"/>
          </rPr>
          <t xml:space="preserve">
Newly instered by me.</t>
        </r>
      </text>
    </comment>
  </commentList>
</comments>
</file>

<file path=xl/sharedStrings.xml><?xml version="1.0" encoding="utf-8"?>
<sst xmlns="http://schemas.openxmlformats.org/spreadsheetml/2006/main" count="22669" uniqueCount="4018">
  <si>
    <t>CONTENTS FOR DISTCO TARIFF GUIDE LINES</t>
  </si>
  <si>
    <t>I</t>
  </si>
  <si>
    <t>TARIFF REVISION</t>
  </si>
  <si>
    <t>SL.NO.</t>
  </si>
  <si>
    <t>Sheet NO</t>
  </si>
  <si>
    <t>OERC FORM NO</t>
  </si>
  <si>
    <t>SUBJECT</t>
  </si>
  <si>
    <t>Sheet T-1</t>
  </si>
  <si>
    <t>T-1</t>
  </si>
  <si>
    <t>Assessment of consumption for the ensuing year</t>
  </si>
  <si>
    <t>Sheet T-2</t>
  </si>
  <si>
    <t>T-2</t>
  </si>
  <si>
    <t>Consumption/Billing figures for Domestic Consumers</t>
  </si>
  <si>
    <t>Sheet T-3</t>
  </si>
  <si>
    <t>T-3</t>
  </si>
  <si>
    <t>Consumption/Billing figures for Commercial Consumers</t>
  </si>
  <si>
    <t>Sheet T-4</t>
  </si>
  <si>
    <t>T-4</t>
  </si>
  <si>
    <t>Power purchase , Sale &amp; Demand of the Licensee</t>
  </si>
  <si>
    <t>Sheet T-5</t>
  </si>
  <si>
    <t>T-5</t>
  </si>
  <si>
    <t>Consumption/Billing figures for Irrigation &amp; Agricultural Consumers</t>
  </si>
  <si>
    <t>Sheet T-6</t>
  </si>
  <si>
    <t>T-6</t>
  </si>
  <si>
    <t>Consumer Commercial Information</t>
  </si>
  <si>
    <t>Sheet T-7</t>
  </si>
  <si>
    <t>T-7</t>
  </si>
  <si>
    <t>Expected Revenue from Charges</t>
  </si>
  <si>
    <t>Sheet T-8</t>
  </si>
  <si>
    <t>T-8</t>
  </si>
  <si>
    <t>Tariff Revision Proposal</t>
  </si>
  <si>
    <t>Sheet T-9</t>
  </si>
  <si>
    <t>T-9</t>
  </si>
  <si>
    <t>Consumption pattern of HT and EHT Consumers having Contract Demand &gt;1MVA</t>
  </si>
  <si>
    <t>II</t>
  </si>
  <si>
    <t>FINANCE</t>
  </si>
  <si>
    <t xml:space="preserve">Sheet F-1  </t>
  </si>
  <si>
    <t>F-1</t>
  </si>
  <si>
    <t>Information on Block Capital</t>
  </si>
  <si>
    <t xml:space="preserve">Sheet F-2 </t>
  </si>
  <si>
    <t>F-2</t>
  </si>
  <si>
    <t>Project wise/Scheme wise Capital Expenditure</t>
  </si>
  <si>
    <t xml:space="preserve">Sheet F-3  </t>
  </si>
  <si>
    <t>F-3</t>
  </si>
  <si>
    <t>Information on receipt &amp; repayment of loan</t>
  </si>
  <si>
    <t xml:space="preserve">Sheet F-4  </t>
  </si>
  <si>
    <t>F-4</t>
  </si>
  <si>
    <t xml:space="preserve">Power procurement for the current FY </t>
  </si>
  <si>
    <t xml:space="preserve">Sheet F-5 </t>
  </si>
  <si>
    <t>F-5</t>
  </si>
  <si>
    <t>Calculation of Cost of Power at Different Voltage ends</t>
  </si>
  <si>
    <t xml:space="preserve">Sheet F-6 </t>
  </si>
  <si>
    <t>F-6</t>
  </si>
  <si>
    <t>Revenue Requirent &amp; Analysis of Gap</t>
  </si>
  <si>
    <t xml:space="preserve">Sheet F-7 </t>
  </si>
  <si>
    <t>F-7</t>
  </si>
  <si>
    <t>Subsidy on average cost basis by customer class and service level for ensuing FY</t>
  </si>
  <si>
    <t>Sheet F-8</t>
  </si>
  <si>
    <t>F-8</t>
  </si>
  <si>
    <t xml:space="preserve">Proposed Charges, other than and in addition to the charges of tariff leviable for the purpose </t>
  </si>
  <si>
    <t>Sheet F-9</t>
  </si>
  <si>
    <t>F-9</t>
  </si>
  <si>
    <t>Statement of Sundry debtors &amp; provision for bad &amp; doubtful debt</t>
  </si>
  <si>
    <t>Sheet F-10</t>
  </si>
  <si>
    <t>F-10</t>
  </si>
  <si>
    <t>Information on Inventory</t>
  </si>
  <si>
    <t>Sheet F-11</t>
  </si>
  <si>
    <t>F-11</t>
  </si>
  <si>
    <t xml:space="preserve">Statement of Share Capital </t>
  </si>
  <si>
    <t>Sheet F-12</t>
  </si>
  <si>
    <t>F-12</t>
  </si>
  <si>
    <t>Employees Cost</t>
  </si>
  <si>
    <t>SheetF-13</t>
  </si>
  <si>
    <t>F-13</t>
  </si>
  <si>
    <t>Repair &amp; Maintenance Expenses</t>
  </si>
  <si>
    <t>Sheet F-14</t>
  </si>
  <si>
    <t>F-14</t>
  </si>
  <si>
    <t>Adminisration &amp; General Exp.</t>
  </si>
  <si>
    <t>Sheet F-15</t>
  </si>
  <si>
    <t>F-15</t>
  </si>
  <si>
    <t>Age wise analysis of Debtors Outstanding</t>
  </si>
  <si>
    <t>Sheet F-16</t>
  </si>
  <si>
    <t>F-16</t>
  </si>
  <si>
    <t>Cosolidated Report on Inventory Holding</t>
  </si>
  <si>
    <t>Sheet F-17</t>
  </si>
  <si>
    <t>F-17</t>
  </si>
  <si>
    <t>Consolidated report on secured/unsecured loan</t>
  </si>
  <si>
    <t>Sheet F-18</t>
  </si>
  <si>
    <t>F-18</t>
  </si>
  <si>
    <t>Statements of assets not in use</t>
  </si>
  <si>
    <t>Sheet F-19</t>
  </si>
  <si>
    <t>F-19</t>
  </si>
  <si>
    <t>Statement of Fixed Assets &amp; Depreciation</t>
  </si>
  <si>
    <t>Sheet F-20</t>
  </si>
  <si>
    <t>F-20</t>
  </si>
  <si>
    <t>Subsidy and Grants</t>
  </si>
  <si>
    <t>Sheet F-21</t>
  </si>
  <si>
    <t>F-21</t>
  </si>
  <si>
    <t>Balance Sheet</t>
  </si>
  <si>
    <t>Sheet F-22</t>
  </si>
  <si>
    <t>F-22</t>
  </si>
  <si>
    <t>Profit &amp; Loss Account</t>
  </si>
  <si>
    <t>Sheet F-23</t>
  </si>
  <si>
    <t>F-23</t>
  </si>
  <si>
    <t>Cash Flow Statement</t>
  </si>
  <si>
    <t>Sheet F-24</t>
  </si>
  <si>
    <t>F-24</t>
  </si>
  <si>
    <t>Status of Funds and Investement</t>
  </si>
  <si>
    <t>Sheet F-27</t>
  </si>
  <si>
    <t>F-27</t>
  </si>
  <si>
    <t>Calculation of Monthly Voltage Wise Loss</t>
  </si>
  <si>
    <t>Sheet F-28</t>
  </si>
  <si>
    <t>F-28</t>
  </si>
  <si>
    <t>Other Income/ Miscellaneous Receopt</t>
  </si>
  <si>
    <t>Sheet F-29</t>
  </si>
  <si>
    <t>F-29</t>
  </si>
  <si>
    <t>Interest on Working Capital</t>
  </si>
  <si>
    <t>III</t>
  </si>
  <si>
    <t>PERFORMANCE DATA</t>
  </si>
  <si>
    <t>Sheet P-1</t>
  </si>
  <si>
    <t>P-1</t>
  </si>
  <si>
    <t>Voltage Fluctuation</t>
  </si>
  <si>
    <t>Sheet P-2</t>
  </si>
  <si>
    <t>P-2</t>
  </si>
  <si>
    <t>Electrical Accidents</t>
  </si>
  <si>
    <t>Sheet P-3</t>
  </si>
  <si>
    <t>P-3</t>
  </si>
  <si>
    <t>Release of Service Connections</t>
  </si>
  <si>
    <t>Sheet P-4</t>
  </si>
  <si>
    <t>P-4</t>
  </si>
  <si>
    <t>Status of HT connections</t>
  </si>
  <si>
    <t>Sheet P-5</t>
  </si>
  <si>
    <t>P-5</t>
  </si>
  <si>
    <t>Abstract of outages due to tripping in HT feeders</t>
  </si>
  <si>
    <t>Sheet P-6</t>
  </si>
  <si>
    <t>P-6</t>
  </si>
  <si>
    <t>Failure of Transformers</t>
  </si>
  <si>
    <t>Sheet P-7</t>
  </si>
  <si>
    <t>P-7</t>
  </si>
  <si>
    <t>Release of Customer bills</t>
  </si>
  <si>
    <t>Sheet P-8</t>
  </si>
  <si>
    <t>P-8</t>
  </si>
  <si>
    <t>Fixation of monthly maximum demand charge</t>
  </si>
  <si>
    <t>Sheet P-9</t>
  </si>
  <si>
    <t>P-9</t>
  </si>
  <si>
    <t xml:space="preserve">Details of consumption and Load Factor (calculated w/r to CD) for consumer with CD 110 kva/100kw and above </t>
  </si>
  <si>
    <t>Sheet P-10</t>
  </si>
  <si>
    <t>P-10</t>
  </si>
  <si>
    <t>Information on System Demand</t>
  </si>
  <si>
    <t>Sheet P-11</t>
  </si>
  <si>
    <t>P-11</t>
  </si>
  <si>
    <t>Consumption during peak and off-peak hours by large industries</t>
  </si>
  <si>
    <t>Sheet P-12</t>
  </si>
  <si>
    <t>P-12</t>
  </si>
  <si>
    <t>Interruptions</t>
  </si>
  <si>
    <t>Sheet P-13</t>
  </si>
  <si>
    <t>P-13</t>
  </si>
  <si>
    <t>Status of Metering (Quartely &amp; Annual)</t>
  </si>
  <si>
    <t>Sheet P-14</t>
  </si>
  <si>
    <t>P-14</t>
  </si>
  <si>
    <t>Measures for reduction of T &amp; D loss</t>
  </si>
  <si>
    <t>Sheet P-15</t>
  </si>
  <si>
    <t>P-15</t>
  </si>
  <si>
    <t>Consumer Complaint</t>
  </si>
  <si>
    <t>Sheet P-16</t>
  </si>
  <si>
    <t>P-16</t>
  </si>
  <si>
    <t>System Performance</t>
  </si>
  <si>
    <t>Sheet P-17</t>
  </si>
  <si>
    <t>P-17</t>
  </si>
  <si>
    <t>Consumer Data (Division wise Month Wise)</t>
  </si>
  <si>
    <t>Ensuing Year</t>
  </si>
  <si>
    <t>2024-25</t>
  </si>
  <si>
    <t xml:space="preserve">Current Year </t>
  </si>
  <si>
    <t>2023-24</t>
  </si>
  <si>
    <t>Previous Year</t>
  </si>
  <si>
    <t>2022-23</t>
  </si>
  <si>
    <t>Table of Contents</t>
  </si>
  <si>
    <t>TARIFF FORMATS</t>
  </si>
  <si>
    <t>Form No.</t>
  </si>
  <si>
    <t>Details</t>
  </si>
  <si>
    <t>Page No.</t>
  </si>
  <si>
    <t>1 - 2</t>
  </si>
  <si>
    <t>3 - 4</t>
  </si>
  <si>
    <t>5 - 6</t>
  </si>
  <si>
    <t>7 - 8</t>
  </si>
  <si>
    <t>10 - 11</t>
  </si>
  <si>
    <t>12 - 15</t>
  </si>
  <si>
    <t>16 -19</t>
  </si>
  <si>
    <t>20 -25</t>
  </si>
  <si>
    <t>FINANCE FORMATS</t>
  </si>
  <si>
    <t>F-1(a) &amp; F(b)</t>
  </si>
  <si>
    <t>26-27</t>
  </si>
  <si>
    <t>F-9(A) &amp; (B)</t>
  </si>
  <si>
    <t>35-36</t>
  </si>
  <si>
    <t>F-12(a) &amp; 12(b)</t>
  </si>
  <si>
    <t>39-40</t>
  </si>
  <si>
    <t>F-13(a) ,(b) &amp; (c )</t>
  </si>
  <si>
    <t>F-19(a) &amp; (b)</t>
  </si>
  <si>
    <t>53-54</t>
  </si>
  <si>
    <t>Retail Supply Tariff from 01/04/2023</t>
  </si>
  <si>
    <t>57-58</t>
  </si>
  <si>
    <t xml:space="preserve">  Statement of Allocation of Wheeling and Retail Supply Cost </t>
  </si>
  <si>
    <t>PERFORMANCE FORMATS</t>
  </si>
  <si>
    <t>8-56</t>
  </si>
  <si>
    <t>57-441</t>
  </si>
  <si>
    <t>442-482</t>
  </si>
  <si>
    <t>488-497</t>
  </si>
  <si>
    <t>Power Purchase Bills</t>
  </si>
  <si>
    <t>498-545</t>
  </si>
  <si>
    <t>Licencee: TPNODL</t>
  </si>
  <si>
    <t>OERC</t>
  </si>
  <si>
    <t>T- 1</t>
  </si>
  <si>
    <t>ASSESSMENT OF CONSUMPTION FOR THE  ENSUING YEAR</t>
  </si>
  <si>
    <t>SL. NO</t>
  </si>
  <si>
    <t>CATEGORY OF CONSUMERS</t>
  </si>
  <si>
    <t>PREVIOUS YEAR</t>
  </si>
  <si>
    <t>FIRST SIX MONTHS OF CURRENT YR</t>
  </si>
  <si>
    <t>CURRENT YEAR (PROJECTED)</t>
  </si>
  <si>
    <t>ENSUING YEAR (PROPOSED)</t>
  </si>
  <si>
    <t>VOLTAGE OF SUPPLY</t>
  </si>
  <si>
    <t>No of cosumers as on 1st April of the Previous Year</t>
  </si>
  <si>
    <t>Connected Load/Contract Demand  (KW / KVA)</t>
  </si>
  <si>
    <t>Consumption  (MU)</t>
  </si>
  <si>
    <t>No of cosumers as on 1st April of the Current Year</t>
  </si>
  <si>
    <t>Connected Load/Contract Demand  (KW/KVA)</t>
  </si>
  <si>
    <t>Contract Demand  (KW/KVA)</t>
  </si>
  <si>
    <t>Annual Percentage Rise (%)</t>
  </si>
  <si>
    <t>No of cosumers as on 1st April of the Ensuing Year</t>
  </si>
  <si>
    <r>
      <rPr>
        <b/>
        <sz val="8"/>
        <color rgb="FFFF0000"/>
        <rFont val="Arial"/>
        <family val="2"/>
      </rPr>
      <t>KWH/KVAH</t>
    </r>
    <r>
      <rPr>
        <b/>
        <sz val="8"/>
        <color indexed="8"/>
        <rFont val="Arial"/>
        <family val="2"/>
      </rPr>
      <t xml:space="preserve"> CONSUMPTION CURRENT YEAR</t>
    </r>
  </si>
  <si>
    <r>
      <rPr>
        <b/>
        <sz val="8"/>
        <color rgb="FFFF0000"/>
        <rFont val="Arial"/>
        <family val="2"/>
      </rPr>
      <t>KWH/KVAH</t>
    </r>
    <r>
      <rPr>
        <b/>
        <sz val="8"/>
        <color indexed="8"/>
        <rFont val="Arial"/>
        <family val="2"/>
      </rPr>
      <t xml:space="preserve"> CONSUMPTION ENSUING YEAR</t>
    </r>
  </si>
  <si>
    <t>LT CATEGORY</t>
  </si>
  <si>
    <t>DOMESTIC</t>
  </si>
  <si>
    <t>LT</t>
  </si>
  <si>
    <t>Kutirjyoti&lt;=30KWH</t>
  </si>
  <si>
    <t>Others</t>
  </si>
  <si>
    <t>0&lt;=50KWH</t>
  </si>
  <si>
    <t>&gt;50&lt;=200</t>
  </si>
  <si>
    <t>&gt;200&lt;=400</t>
  </si>
  <si>
    <t>More than 400 KWH (SLAB)</t>
  </si>
  <si>
    <t>Total</t>
  </si>
  <si>
    <t>Total-----&gt;</t>
  </si>
  <si>
    <t>General Purpose &lt;100 KVA</t>
  </si>
  <si>
    <t>0-100 KWH</t>
  </si>
  <si>
    <t>&gt;100&lt;=300</t>
  </si>
  <si>
    <t>More than 300 KWH(SLAB)</t>
  </si>
  <si>
    <t>Irrigation  Pumping &amp; Agriculture</t>
  </si>
  <si>
    <t>Allied agricultural activities</t>
  </si>
  <si>
    <t>Allied Agro-Industrial Activities</t>
  </si>
  <si>
    <t>Public Lighting</t>
  </si>
  <si>
    <t>LT Industrial (S) Supply &lt; 22KVA</t>
  </si>
  <si>
    <t>LT Industrial (M) Supply &gt;= 22KVA</t>
  </si>
  <si>
    <t>Specfied Public Purpose</t>
  </si>
  <si>
    <t>Public Water Works &lt;100 KW</t>
  </si>
  <si>
    <t>Public Water Works &gt;=100 KW</t>
  </si>
  <si>
    <t>General Purpose &gt;=110KVA</t>
  </si>
  <si>
    <t>Large Industry</t>
  </si>
  <si>
    <t>Sub Total-----&gt;</t>
  </si>
  <si>
    <t>HT Category</t>
  </si>
  <si>
    <t>Bulk Supply - Domestic</t>
  </si>
  <si>
    <t>HT</t>
  </si>
  <si>
    <t>General Purpose 70&gt; KVA&lt;110KVA</t>
  </si>
  <si>
    <t xml:space="preserve">HT Industrial (M) Supply </t>
  </si>
  <si>
    <t>Public Water Works</t>
  </si>
  <si>
    <t>Power Intensive Industry</t>
  </si>
  <si>
    <t>Mini Steel Plant</t>
  </si>
  <si>
    <t>Railway Traction</t>
  </si>
  <si>
    <t>Emerg. Supply to CGP</t>
  </si>
  <si>
    <t>Colony Consumption</t>
  </si>
  <si>
    <t>EHT Category</t>
  </si>
  <si>
    <t>BSP</t>
  </si>
  <si>
    <t>General Purpose</t>
  </si>
  <si>
    <t>EHT</t>
  </si>
  <si>
    <t>TRS</t>
  </si>
  <si>
    <t>Railway</t>
  </si>
  <si>
    <t>TOTAL</t>
  </si>
  <si>
    <t>BST</t>
  </si>
  <si>
    <t>Heavy Industry</t>
  </si>
  <si>
    <t>Rev</t>
  </si>
  <si>
    <t>GAP Rail</t>
  </si>
  <si>
    <t>GAP with Rail</t>
  </si>
  <si>
    <t>Emerg. Supply to CPP</t>
  </si>
  <si>
    <t>GAP without Rail</t>
  </si>
  <si>
    <t>GRAND TOTAL</t>
  </si>
  <si>
    <t>POWER PURCHASED FROM GRIDCO</t>
  </si>
  <si>
    <t>LOST UNITS (MU)</t>
  </si>
  <si>
    <t xml:space="preserve">% DISTRIBUTION LOSS </t>
  </si>
  <si>
    <t>COLLECTION EFFICIENCY (%)</t>
  </si>
  <si>
    <t xml:space="preserve"> AT &amp; C LOSS  (%)</t>
  </si>
  <si>
    <t>FORM T-2</t>
  </si>
  <si>
    <t>Consumption/Billing figures for DOMESTIC Consumers for the Previous year 2022-23</t>
  </si>
  <si>
    <t>REPEAT  FOR PREVIOUS YEAR</t>
  </si>
  <si>
    <t>A.</t>
  </si>
  <si>
    <t>Domestic Consumers</t>
  </si>
  <si>
    <t>URBAN</t>
  </si>
  <si>
    <t>UNITS BILLED IN MU</t>
  </si>
  <si>
    <t>(FOR THE PERIOD OF REPORT)</t>
  </si>
  <si>
    <t>Sale in the slab rates -&gt;</t>
  </si>
  <si>
    <t>No. of Consumer 1st April of the Current Year</t>
  </si>
  <si>
    <t>Total connected Load in KW</t>
  </si>
  <si>
    <t>* MONTHLY CONSUMPTION SLAB</t>
  </si>
  <si>
    <t>Rs. Lacs.</t>
  </si>
  <si>
    <t>0-30KWH (Only for Kutir Jyoti)</t>
  </si>
  <si>
    <t>0-50 KWH</t>
  </si>
  <si>
    <t>&gt;50 &lt;= 200KWH</t>
  </si>
  <si>
    <t>&gt;200 &lt;= 400KWH</t>
  </si>
  <si>
    <t>&gt;400KWH</t>
  </si>
  <si>
    <t>Total Energy Billed</t>
  </si>
  <si>
    <t>Total Revenue Billed</t>
  </si>
  <si>
    <t>Current Revenue Realised</t>
  </si>
  <si>
    <t>C.D.In KW</t>
  </si>
  <si>
    <t>1.0</t>
  </si>
  <si>
    <t>2.0</t>
  </si>
  <si>
    <t>3.0</t>
  </si>
  <si>
    <t>More than 4 KW</t>
  </si>
  <si>
    <t>SUB-TOTAL</t>
  </si>
  <si>
    <t>Large domestic consumers  11/33 KV Supply</t>
  </si>
  <si>
    <t>No of Kutir Jyoti Cons.</t>
  </si>
  <si>
    <t>Consumption/KJ conn.</t>
  </si>
  <si>
    <t xml:space="preserve">Total Consmption(KJ) </t>
  </si>
  <si>
    <t>TOTAL (URBAN)</t>
  </si>
  <si>
    <t>B.</t>
  </si>
  <si>
    <t>RURAL</t>
  </si>
  <si>
    <t>TOTAL (RURAL)</t>
  </si>
  <si>
    <t>TOTAL (Urban + Rural)</t>
  </si>
  <si>
    <t>No. of Domestic Consumers and consumption 1st April of the Previous year 2022-23</t>
  </si>
  <si>
    <t>Billing as per Actual Meter Reading</t>
  </si>
  <si>
    <t>Unmetered supply</t>
  </si>
  <si>
    <t>supply with defective meters</t>
  </si>
  <si>
    <t>Kutir Jyoti Consumers</t>
  </si>
  <si>
    <t>Consumption/Billing figures for DOMESTIC Consumers for 1st 6 months of the current year 2023-24</t>
  </si>
  <si>
    <t>No. of Domestic Consumers and consumption 1st April of the Current Year</t>
  </si>
  <si>
    <t>FORM T-3</t>
  </si>
  <si>
    <t>Consumption/Billing figures for General Purpose Consumers for Previous Year 2022-23</t>
  </si>
  <si>
    <t>General purpose Consumers</t>
  </si>
  <si>
    <t>&gt;100-300KWH</t>
  </si>
  <si>
    <t>&gt;300KWH</t>
  </si>
  <si>
    <t>Large GP consumers  11/33 KV Supply</t>
  </si>
  <si>
    <t>No. of GP Consumer 1st April of the Previous year 2022-23</t>
  </si>
  <si>
    <t>Licencee : TPNODL</t>
  </si>
  <si>
    <t>Consumption/Billing figures for General Purpose Consumers for 1st six months of the Current Year 2023-24</t>
  </si>
  <si>
    <t>No. of GP Consumer 1st April of the Current Year</t>
  </si>
  <si>
    <t>FORM T-4</t>
  </si>
  <si>
    <t>POWER PURCHASE , SALE  &amp; DEMAND OF  THE LICENSEE</t>
  </si>
  <si>
    <t>SL No</t>
  </si>
  <si>
    <t>Actual for Previous Year</t>
  </si>
  <si>
    <t>Current Year</t>
  </si>
  <si>
    <t>Licensee Proposal for Ensuing Year</t>
  </si>
  <si>
    <t>Apr</t>
  </si>
  <si>
    <t>May</t>
  </si>
  <si>
    <t>Jun</t>
  </si>
  <si>
    <t>Jul</t>
  </si>
  <si>
    <t>Aug</t>
  </si>
  <si>
    <t>Sep</t>
  </si>
  <si>
    <t>Total (From 4/   to 9/    )</t>
  </si>
  <si>
    <t>Avg. from 4/  to 9/</t>
  </si>
  <si>
    <t>Licensee Estimate for Current Year</t>
  </si>
  <si>
    <t>Energy Purchased From GRIDCO (MU)</t>
  </si>
  <si>
    <t>Units Sold (MU)</t>
  </si>
  <si>
    <t>MONTHLY DEMAND (MVA)</t>
  </si>
  <si>
    <t>Average for Previous Year</t>
  </si>
  <si>
    <t>Maximum for Previous Year</t>
  </si>
  <si>
    <t>Demand (MVA)</t>
  </si>
  <si>
    <t>FORM T-5</t>
  </si>
  <si>
    <t xml:space="preserve">Consumption/Billing figures for IRRIGATION &amp; AGRICULTURAL Consumers </t>
  </si>
  <si>
    <t>Irrigation &amp; Agricultural Consumers, Allied Agricultural Activities &amp; Allied Agro-Industrial Activities</t>
  </si>
  <si>
    <t>1st six months of the current year</t>
  </si>
  <si>
    <t>Total Revenue Billed (Rs.Lacs)</t>
  </si>
  <si>
    <t>Current Revenue Realised (Rs.Lacs)</t>
  </si>
  <si>
    <t>C.D.In KW UP TO</t>
  </si>
  <si>
    <t>More Than 7 KW</t>
  </si>
  <si>
    <t xml:space="preserve">TOTAL </t>
  </si>
  <si>
    <t>No. of Irrigation &amp; Agricultural  Consumer 1st April of the Previous year 2021-22</t>
  </si>
  <si>
    <t>1st April of the Current year 2022-23</t>
  </si>
  <si>
    <t>FORM T-6</t>
  </si>
  <si>
    <t>PERIOD-</t>
  </si>
  <si>
    <t>ACTUALS FOR PREVIOUS YEAR 2022-23</t>
  </si>
  <si>
    <t>Sl No</t>
  </si>
  <si>
    <t>Unit---------------&gt;</t>
  </si>
  <si>
    <t xml:space="preserve">Balasore  Circle </t>
  </si>
  <si>
    <t xml:space="preserve">Bhadrak Circle </t>
  </si>
  <si>
    <t xml:space="preserve">Baripada Circle </t>
  </si>
  <si>
    <t xml:space="preserve">Jajpur Circle </t>
  </si>
  <si>
    <t>Keonjhar Circle</t>
  </si>
  <si>
    <t xml:space="preserve"> TOTAL SALE IN MU</t>
  </si>
  <si>
    <t>TOTAL REVENUE BILLED 
(RS. IN CR.)</t>
  </si>
  <si>
    <t>AVERAGE TARIFF  (P/KWH)</t>
  </si>
  <si>
    <t xml:space="preserve">BULK SUPPLY </t>
  </si>
  <si>
    <t>ACTUALS FOR 1ST SIX MONTHS OF THE CURRENT YEAR 2023-24</t>
  </si>
  <si>
    <t>FORM T-7_Current Year</t>
  </si>
  <si>
    <t>EXPECTED REVENUE FROM CHARGES (CURRENT YEAR)</t>
  </si>
  <si>
    <t>(ANTICIPATED CONSUMPTION AT EXISTING RATES)</t>
  </si>
  <si>
    <t>T_7_Current_Year (Contd.)</t>
  </si>
  <si>
    <t>Incentive energy charge for consumption ratio &gt; 60% (Existing)</t>
  </si>
  <si>
    <t>Sl.</t>
  </si>
  <si>
    <t>VOLTAGE</t>
  </si>
  <si>
    <t>ANTICIPATED</t>
  </si>
  <si>
    <t>NO. OF</t>
  </si>
  <si>
    <t>CONTRACT</t>
  </si>
  <si>
    <t>TOTAL OF</t>
  </si>
  <si>
    <t>DEMAND</t>
  </si>
  <si>
    <t>ENERGY</t>
  </si>
  <si>
    <t>INCENTIVE</t>
  </si>
  <si>
    <t xml:space="preserve">   'MINIMUM FIXED CHARGE</t>
  </si>
  <si>
    <t>CUSTOMER</t>
  </si>
  <si>
    <t xml:space="preserve">BASIS FOR </t>
  </si>
  <si>
    <t>AVERAGE</t>
  </si>
  <si>
    <t>REVENUE</t>
  </si>
  <si>
    <t>REBATE</t>
  </si>
  <si>
    <t xml:space="preserve">REVENUE </t>
  </si>
  <si>
    <t>ELECT.</t>
  </si>
  <si>
    <t>POSITION</t>
  </si>
  <si>
    <t>No.</t>
  </si>
  <si>
    <t>OF SUPPLY</t>
  </si>
  <si>
    <t>CONS. DURING</t>
  </si>
  <si>
    <t>CONSUMERS</t>
  </si>
  <si>
    <t>CONNECTED</t>
  </si>
  <si>
    <t>CHARGE</t>
  </si>
  <si>
    <t xml:space="preserve"> ENERGY </t>
  </si>
  <si>
    <t>For 1st KW</t>
  </si>
  <si>
    <t>For Addl. KW</t>
  </si>
  <si>
    <t>SERVICE</t>
  </si>
  <si>
    <t>CALCULATION</t>
  </si>
  <si>
    <t>FROM</t>
  </si>
  <si>
    <t>FROM MONTHLY</t>
  </si>
  <si>
    <t>FROM CUSTOMER</t>
  </si>
  <si>
    <t>REBATEABLE</t>
  </si>
  <si>
    <t xml:space="preserve">RELIEF DUE </t>
  </si>
  <si>
    <t>TARIFF AS A</t>
  </si>
  <si>
    <t>DUTY</t>
  </si>
  <si>
    <t>E.D.</t>
  </si>
  <si>
    <t>CHARGE TO</t>
  </si>
  <si>
    <t>W R T</t>
  </si>
  <si>
    <t xml:space="preserve"> </t>
  </si>
  <si>
    <t>THE CURRENT YEAR</t>
  </si>
  <si>
    <t>LOAD IN</t>
  </si>
  <si>
    <t>CHARGE FOR</t>
  </si>
  <si>
    <t>OF AVERAGE</t>
  </si>
  <si>
    <t>MINIMUM</t>
  </si>
  <si>
    <t>LESS</t>
  </si>
  <si>
    <t>UNITS</t>
  </si>
  <si>
    <t>TO REBATE</t>
  </si>
  <si>
    <t>PERCENTAGE</t>
  </si>
  <si>
    <t>AMOUNT</t>
  </si>
  <si>
    <t>CONSUMER</t>
  </si>
  <si>
    <t>ALL INDIA</t>
  </si>
  <si>
    <t>EXCESS OF 60%</t>
  </si>
  <si>
    <t>EXCESS OF</t>
  </si>
  <si>
    <t xml:space="preserve">CONSUMPTION </t>
  </si>
  <si>
    <t>(In Rs./</t>
  </si>
  <si>
    <t xml:space="preserve">FIXED </t>
  </si>
  <si>
    <t>OF</t>
  </si>
  <si>
    <t xml:space="preserve">INCLUDING </t>
  </si>
  <si>
    <t>COMPARISON</t>
  </si>
  <si>
    <t>OF LF</t>
  </si>
  <si>
    <t>1ST KW</t>
  </si>
  <si>
    <t>RATIO &gt; 60%</t>
  </si>
  <si>
    <t>Customer)</t>
  </si>
  <si>
    <t>LOAD FACTOR</t>
  </si>
  <si>
    <t>COST OF COS</t>
  </si>
  <si>
    <t>ELECTRICITY DUTY</t>
  </si>
  <si>
    <t>MU</t>
  </si>
  <si>
    <t>KW / KVA</t>
  </si>
  <si>
    <t>KW</t>
  </si>
  <si>
    <t>Rs./KVA</t>
  </si>
  <si>
    <t>Rs./Kwh</t>
  </si>
  <si>
    <t>Rs.</t>
  </si>
  <si>
    <t>POWER FACTOR</t>
  </si>
  <si>
    <t>P/Kwh</t>
  </si>
  <si>
    <t>Rs. Crs.</t>
  </si>
  <si>
    <t>%</t>
  </si>
  <si>
    <t xml:space="preserve">% </t>
  </si>
  <si>
    <t>(Rs. Crs.)</t>
  </si>
  <si>
    <t>(P/Kwh)</t>
  </si>
  <si>
    <t>FORM T-7_Ensuing Year</t>
  </si>
  <si>
    <t>EXPECTED REVENUE FROM CHARGES (ENSUING YEAR)</t>
  </si>
  <si>
    <t>T_7_Ensuing_Year (Contd.)</t>
  </si>
  <si>
    <t>THE ENSUING YEAR</t>
  </si>
  <si>
    <t>MW</t>
  </si>
  <si>
    <t>FORM T-8</t>
  </si>
  <si>
    <t>TARIFF  REVISION  PROPOSAL</t>
  </si>
  <si>
    <t>ADDITIONAL</t>
  </si>
  <si>
    <t>CHANGE IN</t>
  </si>
  <si>
    <t>OVER  ALL</t>
  </si>
  <si>
    <t>EXISTING</t>
  </si>
  <si>
    <t>PROPOSED</t>
  </si>
  <si>
    <t>SUBSIDY</t>
  </si>
  <si>
    <t>RELIEF</t>
  </si>
  <si>
    <t xml:space="preserve"> ENERGY CHARGE</t>
  </si>
  <si>
    <t>INCREASE</t>
  </si>
  <si>
    <t>COST OF</t>
  </si>
  <si>
    <t>or part</t>
  </si>
  <si>
    <t>DUE TO</t>
  </si>
  <si>
    <t xml:space="preserve"> FOR CONSU.</t>
  </si>
  <si>
    <t xml:space="preserve">LESS </t>
  </si>
  <si>
    <t>IN P/U</t>
  </si>
  <si>
    <t>% OF COST</t>
  </si>
  <si>
    <t>CONSUMER ED</t>
  </si>
  <si>
    <t>SUPPLY</t>
  </si>
  <si>
    <t>( Rs./Custemer)</t>
  </si>
  <si>
    <t>CHARGE LF/PF</t>
  </si>
  <si>
    <t>FIXED CHARGE</t>
  </si>
  <si>
    <t>(Rs./Custemer)</t>
  </si>
  <si>
    <t>REVISION</t>
  </si>
  <si>
    <t>% DUE TO</t>
  </si>
  <si>
    <t>P/U</t>
  </si>
  <si>
    <t>P/KWH</t>
  </si>
  <si>
    <t>Licensee: TPNODL</t>
  </si>
  <si>
    <t>OERC FORM-T9</t>
  </si>
  <si>
    <t>CONSUMPTION PATTERN OF HT AND EHT CONSUMERS HAVING CONTRACT DEMAND GREATER THAN 1 MVA</t>
  </si>
  <si>
    <t>Sl. No.</t>
  </si>
  <si>
    <t>Name of Consumer</t>
  </si>
  <si>
    <t>STATUS</t>
  </si>
  <si>
    <t>CATEGORY</t>
  </si>
  <si>
    <t>SUPP VOLT</t>
  </si>
  <si>
    <t>Existing CD in KVA</t>
  </si>
  <si>
    <t>Addition/ (Reduction) during Current Year</t>
  </si>
  <si>
    <t>Addition/ (Reduction) during Ensuring Year</t>
  </si>
  <si>
    <t>Total CD during Ensuring Year</t>
  </si>
  <si>
    <t>Estimated for Current Year</t>
  </si>
  <si>
    <t>Average PF</t>
  </si>
  <si>
    <t>Projection for Ensuring Year</t>
  </si>
  <si>
    <t>Last Year Consumption</t>
  </si>
  <si>
    <t>622000000005</t>
  </si>
  <si>
    <t>M/S TATA SPONGE IRON LTD.</t>
  </si>
  <si>
    <t>R</t>
  </si>
  <si>
    <t>EMERGENCY SUPPLY TO CGP</t>
  </si>
  <si>
    <t>220 KV</t>
  </si>
  <si>
    <t>421000000006</t>
  </si>
  <si>
    <t>FERRO ALLOYS CORPORATION LTD</t>
  </si>
  <si>
    <t>132 KV</t>
  </si>
  <si>
    <t>121000000021</t>
  </si>
  <si>
    <t>THE DHARMA PORT COMPANY LIMITED</t>
  </si>
  <si>
    <t>GENERAL PURPOSE</t>
  </si>
  <si>
    <t>611000000022</t>
  </si>
  <si>
    <t>M/S JINDAL STAINLESS LIMITED</t>
  </si>
  <si>
    <t>HEAVY INDUSTRY</t>
  </si>
  <si>
    <t>622000000007</t>
  </si>
  <si>
    <t>M/S JINDAL STEEL &amp; POWER LTD.</t>
  </si>
  <si>
    <t>LARGE INDUSTRY- CGP</t>
  </si>
  <si>
    <t>611000000078</t>
  </si>
  <si>
    <t>M/S TATA STEEL LTD</t>
  </si>
  <si>
    <t>LARGE INDUSTRY</t>
  </si>
  <si>
    <t>400 KV</t>
  </si>
  <si>
    <t>611000000032</t>
  </si>
  <si>
    <t>M/S TATA STEEL MINING LTD.</t>
  </si>
  <si>
    <t>611000000035</t>
  </si>
  <si>
    <t>M/S VISA STEELS LTD.</t>
  </si>
  <si>
    <t>611000000094</t>
  </si>
  <si>
    <t>M/S NU Vista Limited</t>
  </si>
  <si>
    <t>611000000113</t>
  </si>
  <si>
    <t>M/s. MAITHAN ISPAT LTD</t>
  </si>
  <si>
    <t>611000000122</t>
  </si>
  <si>
    <t>M/S. NEELACHAL ISPAT NIGAM LTD</t>
  </si>
  <si>
    <t>622000000181</t>
  </si>
  <si>
    <t>M/S TATA STEEL LTD.</t>
  </si>
  <si>
    <t>123000000012</t>
  </si>
  <si>
    <t>BIRLA TYRES</t>
  </si>
  <si>
    <t>123000000054</t>
  </si>
  <si>
    <t>EMAMI PAPER MILLS LTD.</t>
  </si>
  <si>
    <t>123000000136</t>
  </si>
  <si>
    <t>M/S. M/S FERRO ALLOYS PLANT,BALASORE,TATA STEEL LIMITED</t>
  </si>
  <si>
    <t>123000000139</t>
  </si>
  <si>
    <t>M/S.   BALASORE ALLOYS LTD</t>
  </si>
  <si>
    <t>611000000021</t>
  </si>
  <si>
    <t>M/S.B.C.MOHANTY &amp; SONS.(P)LTD.</t>
  </si>
  <si>
    <t>611000000056</t>
  </si>
  <si>
    <t>M/S MISRILAL MINES PVT.LTD</t>
  </si>
  <si>
    <t>611000000066</t>
  </si>
  <si>
    <t>BRAHMANI RIVER PELLETS LTD.</t>
  </si>
  <si>
    <t>611000000100</t>
  </si>
  <si>
    <t>M/S JSW CEMENT LTD.</t>
  </si>
  <si>
    <t>611000000119</t>
  </si>
  <si>
    <t>M/S. JABAMAYEE FERRO ALLOYS LIMITED</t>
  </si>
  <si>
    <t>615000000040</t>
  </si>
  <si>
    <t>M/S THE RAMCO CEMENTS LTD.</t>
  </si>
  <si>
    <t>621000000006</t>
  </si>
  <si>
    <t>M/S M.S.P SPONGE IRON LTD.</t>
  </si>
  <si>
    <t>622000000004</t>
  </si>
  <si>
    <t>BALANI IRON ORE MINES, SAIL</t>
  </si>
  <si>
    <t>622000000006</t>
  </si>
  <si>
    <t>M/S ARYA IRON &amp; STEEL CO (P) LTD.</t>
  </si>
  <si>
    <t>622000000026</t>
  </si>
  <si>
    <t>622000000080</t>
  </si>
  <si>
    <t>M/S SHRI JAGANNATH STEELS &amp; PWR LTD</t>
  </si>
  <si>
    <t>622000000170</t>
  </si>
  <si>
    <t>M/S. ARCELOR MITTAL NIPPON STEEL IND</t>
  </si>
  <si>
    <t>622000000200</t>
  </si>
  <si>
    <t>M/S RUNGTA MINES LTD</t>
  </si>
  <si>
    <t>622000000204</t>
  </si>
  <si>
    <t>M/S PTCL INFRASTRUCTURE LTD</t>
  </si>
  <si>
    <t>ANAND EXPORT</t>
  </si>
  <si>
    <t>24-25</t>
  </si>
  <si>
    <t>M/S. RUNGTA METALS PRIVATE LIMITED</t>
  </si>
  <si>
    <t>121000000009</t>
  </si>
  <si>
    <t>M/S.    FACOR LTD CHARGE CHROME PLANT</t>
  </si>
  <si>
    <t>POWER INTENSIVE INDUSTRY</t>
  </si>
  <si>
    <t>611000000002</t>
  </si>
  <si>
    <t>TISCO FERRO ALLOYS PLANT</t>
  </si>
  <si>
    <t>622000000003</t>
  </si>
  <si>
    <t>FERRO MANGANESE PLANT, TISCO</t>
  </si>
  <si>
    <t>121000000007</t>
  </si>
  <si>
    <t>M/S. BHADRAK RAILWAY TRACTION</t>
  </si>
  <si>
    <t>RAILWAY TRACTION</t>
  </si>
  <si>
    <t>122000000039</t>
  </si>
  <si>
    <t>BALASORE RAILWAY TRACTION</t>
  </si>
  <si>
    <t>127000000001</t>
  </si>
  <si>
    <t>JALESWAR RAILWAY TRACTION</t>
  </si>
  <si>
    <t>611000000025</t>
  </si>
  <si>
    <t>JAKHAPURA TRACTION SUB-STATION</t>
  </si>
  <si>
    <t>611000000075</t>
  </si>
  <si>
    <t>SENIOR DIVISIONAL ELECTRICAL  DIVIS</t>
  </si>
  <si>
    <t>611000000131</t>
  </si>
  <si>
    <t>Mrs. SR. DIVL. ELECT. ENGINEER (TRD0, EAST COAST RAILWAY, KHURDA ROAD</t>
  </si>
  <si>
    <t>N</t>
  </si>
  <si>
    <t>621000000029</t>
  </si>
  <si>
    <t>Mrs.   SR DIVL. ELECT. ENGINEER (TRD), EAST COAST RAILWAY, KHURDA ROAD</t>
  </si>
  <si>
    <t>622000000002</t>
  </si>
  <si>
    <t>DIVNL. RLY. MANAGER, SERLY. CKP.</t>
  </si>
  <si>
    <t>622000000159</t>
  </si>
  <si>
    <t>Mr. DIVISIONAL RAILWAY</t>
  </si>
  <si>
    <t>EHT TOTAL</t>
  </si>
  <si>
    <t>123000000144</t>
  </si>
  <si>
    <t>M/S Snow World Marine Export Pvt Ltd</t>
  </si>
  <si>
    <t>ALLIED AGRO-INDUSTRIAL ACTIVITIES</t>
  </si>
  <si>
    <t>33 KV</t>
  </si>
  <si>
    <t>126000000034</t>
  </si>
  <si>
    <t>M/S FALCON MARINE EXPORTS LTD.</t>
  </si>
  <si>
    <t>611000000015</t>
  </si>
  <si>
    <t>COLONY SUPPLY, OMC, DAITARY</t>
  </si>
  <si>
    <t>BULK SUPPLY DOMESTIC</t>
  </si>
  <si>
    <t>622000000084</t>
  </si>
  <si>
    <t>KJS AHLUWALIA( Steel &amp; Power Division)</t>
  </si>
  <si>
    <t>622000000111</t>
  </si>
  <si>
    <t>M/S MGM MINERALS LTD</t>
  </si>
  <si>
    <t>122000000005</t>
  </si>
  <si>
    <t>GARRISON ENGNR-R&amp;D, CHANDIPUR</t>
  </si>
  <si>
    <t>GENERAL PURPOSE &gt;= 110 KVA</t>
  </si>
  <si>
    <t>611000000017</t>
  </si>
  <si>
    <t>IDCO PUMP HOUSE</t>
  </si>
  <si>
    <t>126000000047</t>
  </si>
  <si>
    <t>M/S BRIJ GOPAL CONSTRUCTION COMPANY</t>
  </si>
  <si>
    <t>TEMP. SUPPLY GENERAL PURPOSE &gt;= 110 KVA</t>
  </si>
  <si>
    <t>M/S. SUBERNAREKHA PORT PVT. LTD.</t>
  </si>
  <si>
    <t>23-24</t>
  </si>
  <si>
    <t>M/S. Prasasan Bhawan   c/o collector cum DM</t>
  </si>
  <si>
    <t>11 KV</t>
  </si>
  <si>
    <t>M/S.  JSW UTKAL STEEL LIMITED</t>
  </si>
  <si>
    <t>122000000009</t>
  </si>
  <si>
    <t>M/S.  ORIPLAST LIMITED</t>
  </si>
  <si>
    <t>122000000012</t>
  </si>
  <si>
    <t>M/S. ALOM  EXTRUSIONS LTD.</t>
  </si>
  <si>
    <t>122000000076</t>
  </si>
  <si>
    <t>INDIAN OIL CORPN LTD.</t>
  </si>
  <si>
    <t>123000000049</t>
  </si>
  <si>
    <t>HARI UDYOG (P) LTD.</t>
  </si>
  <si>
    <t>124000000081</t>
  </si>
  <si>
    <t>M/s Meghasani Pulp &amp; Paper Pvt. Ltd.</t>
  </si>
  <si>
    <t>125000000048</t>
  </si>
  <si>
    <t>M/S.  GHANASHYAM MISHRA &amp;SONS</t>
  </si>
  <si>
    <t>611000000006</t>
  </si>
  <si>
    <t>DAITARY IRON  ORE MINES</t>
  </si>
  <si>
    <t>611000000016</t>
  </si>
  <si>
    <t>M/S.YAZDANI STEEL &amp; POWER LTD.</t>
  </si>
  <si>
    <t>611000000061</t>
  </si>
  <si>
    <t>JINDAL STAINLESS LTD.</t>
  </si>
  <si>
    <t>611000000086</t>
  </si>
  <si>
    <t>ASHIRBAD AGRO PRODUCTS PLTD(UNIT-2)</t>
  </si>
  <si>
    <t>611000000096</t>
  </si>
  <si>
    <t>M/S NEZONE TUBES (UTKAL) LTD.</t>
  </si>
  <si>
    <t>611000000103</t>
  </si>
  <si>
    <t>M/S JAJPUR CEMENTS (P) LTD.</t>
  </si>
  <si>
    <t>615000000009</t>
  </si>
  <si>
    <t>M/S MATRIX FERRO L.L.P</t>
  </si>
  <si>
    <t>621000000004</t>
  </si>
  <si>
    <t>Ms.  ARDENT STEEL PRIVATE LTD</t>
  </si>
  <si>
    <t>621000000005</t>
  </si>
  <si>
    <t>Mr.M/S ORISSA SPONGE IRON &amp; STEEL LTD</t>
  </si>
  <si>
    <t>621000000048</t>
  </si>
  <si>
    <t>M/S.  SREE METALIKS LIMITED</t>
  </si>
  <si>
    <t>622000000038</t>
  </si>
  <si>
    <t>M/S PANCHAWATI STEELS LLP</t>
  </si>
  <si>
    <t>622000000057</t>
  </si>
  <si>
    <t>M/S SARDA MINES (PVT) LTD.</t>
  </si>
  <si>
    <t>622000000172</t>
  </si>
  <si>
    <t>TATA STEEL LTD.</t>
  </si>
  <si>
    <t>622000000175</t>
  </si>
  <si>
    <t>M/S ESSEL MINING &amp; INDUSTRIES LIMIT</t>
  </si>
  <si>
    <t>622000000191</t>
  </si>
  <si>
    <t>M/S.   SREE METALIKS LTD</t>
  </si>
  <si>
    <t>622000000194</t>
  </si>
  <si>
    <t>M/S JSW STEEL LTD.</t>
  </si>
  <si>
    <t>622000000196</t>
  </si>
  <si>
    <t>OMC LIMITED BARBIL</t>
  </si>
  <si>
    <t>622000000028</t>
  </si>
  <si>
    <t>KIRIBURU MINES, SAIL</t>
  </si>
  <si>
    <t>622000000171</t>
  </si>
  <si>
    <t>M/S - SERAJUDDIN &amp; CO.</t>
  </si>
  <si>
    <t>M/S.  LAL TRADES &amp; AGENCIES PVT LTD</t>
  </si>
  <si>
    <t>M/S. ASHIRBAD FOOD PROCESSING PVT LTD</t>
  </si>
  <si>
    <t>M/S.  ARCELORMITTTAL NIPPON STEEL INDIA LTD</t>
  </si>
  <si>
    <t>M/S.  ARCELORMITTAL INDIA PVT LTD</t>
  </si>
  <si>
    <t>M/S. TATA STEEL LIMITED</t>
  </si>
  <si>
    <t>M/S. SHAKTI CHROME LIMITED</t>
  </si>
  <si>
    <t>M/S. BALENTO ENTERPRISES PVT LTD</t>
  </si>
  <si>
    <t>M/S. JINDAL FERROUS LTD</t>
  </si>
  <si>
    <t>M/S.   JATIA STEEL LTD</t>
  </si>
  <si>
    <t>M/S.  BEEKAY UTKAL STEEL PRIVATE LIMITED</t>
  </si>
  <si>
    <t>124000000075</t>
  </si>
  <si>
    <t>MEGALIFT IRRIGATION PROJECT</t>
  </si>
  <si>
    <t>MEGA LIFT</t>
  </si>
  <si>
    <t>125000000044</t>
  </si>
  <si>
    <t>MEGA LIFT PROJECT</t>
  </si>
  <si>
    <t>125000000047</t>
  </si>
  <si>
    <t>129000000006</t>
  </si>
  <si>
    <t>The Executive Engineer Mega Lift Irrigation Project, Baripada</t>
  </si>
  <si>
    <t>611000000123</t>
  </si>
  <si>
    <t>M/s MEGA LIFT IRRIGATION PROJECT</t>
  </si>
  <si>
    <t>615000000035</t>
  </si>
  <si>
    <t>E.E MEGA LIFT PROJECT,CLUSTER XI</t>
  </si>
  <si>
    <t>615000000049</t>
  </si>
  <si>
    <t>MEGA LIFT PROJECT, TIKARAPADA, AT- ROUTRAPUR PH &amp; TULASIPUR PH</t>
  </si>
  <si>
    <t>621000000071</t>
  </si>
  <si>
    <t>Mr.  EE MEGALIFT IRRIGATION DIVISION</t>
  </si>
  <si>
    <t>622000000211</t>
  </si>
  <si>
    <t>M/s MEGALIFT IRRIGATION PROJECT</t>
  </si>
  <si>
    <t>M/S.  EE MEGALIFT PROJECT BARIPADA</t>
  </si>
  <si>
    <t>611000000004</t>
  </si>
  <si>
    <t>IDCOL FERROCHROME &amp; ALLOYS LTD</t>
  </si>
  <si>
    <t>121000000102</t>
  </si>
  <si>
    <t>Executive Engineer, RWSS Division</t>
  </si>
  <si>
    <t>PUBLIC WATER WORKS &amp; SEWERAGE PUMPING</t>
  </si>
  <si>
    <t>622000000184</t>
  </si>
  <si>
    <t>EXECUTIVE ENGINEER, RWS&amp;S KEONJHAR</t>
  </si>
  <si>
    <t>Mr.    EXECUTIVE ENGINEER</t>
  </si>
  <si>
    <t>Superintending Engineer RWSS Division  Jajpur</t>
  </si>
  <si>
    <t>621000000070</t>
  </si>
  <si>
    <t>M/s Dean &amp; Principal, Dharanidhar Medical College &amp; Hospital, Keonjhar</t>
  </si>
  <si>
    <t>SPECIFIED PUBLIC PURPOSE</t>
  </si>
  <si>
    <t>Asst Executive Engineer G.E Sub Division Balasore</t>
  </si>
  <si>
    <t>CDMO DHH Jajpur TH / MC Jajpur</t>
  </si>
  <si>
    <t>M/S. DMO Cum Superintendent DHH</t>
  </si>
  <si>
    <t>Mr.  DEAN &amp; PRINCIPAL PRM MCH BARIPADA</t>
  </si>
  <si>
    <t>Mr.  CDMO DHH JAJPUR</t>
  </si>
  <si>
    <t>TRAUMA CARE FACILITY</t>
  </si>
  <si>
    <t>HT TOTAL</t>
  </si>
  <si>
    <t>NESCO</t>
  </si>
  <si>
    <t>Sl.No</t>
  </si>
  <si>
    <t>Category</t>
  </si>
  <si>
    <t>Cost of Supply (Rs/kwh)</t>
  </si>
  <si>
    <t>Existing Avg. Tariff (Rs/kWh)</t>
  </si>
  <si>
    <t>Existing Tariff/CoS (%)</t>
  </si>
  <si>
    <t>Proposed Avg. Tariff (Rs/kWh)</t>
  </si>
  <si>
    <t xml:space="preserve">Proposed Tariff/ CoS (%) </t>
  </si>
  <si>
    <t>% Increase in Avg Tariff</t>
  </si>
  <si>
    <t>COMMERCIAL</t>
  </si>
  <si>
    <t>IRRIGATION</t>
  </si>
  <si>
    <t>Street Lighting</t>
  </si>
  <si>
    <t>Small Industry</t>
  </si>
  <si>
    <t>Medium Industry</t>
  </si>
  <si>
    <t>Public Institution&lt;100 kw</t>
  </si>
  <si>
    <t>Public Institution&gt;100 KW</t>
  </si>
  <si>
    <t>Public Water Works &gt;100 KW</t>
  </si>
  <si>
    <t>LT CATEGORY-Total</t>
  </si>
  <si>
    <t>Irrigation</t>
  </si>
  <si>
    <t>Public Institution</t>
  </si>
  <si>
    <t>Commercial</t>
  </si>
  <si>
    <t>HT Category Total-----&gt;</t>
  </si>
  <si>
    <t xml:space="preserve">Power Intensive Industry=&gt; 25MVA </t>
  </si>
  <si>
    <t>EHT Category Total-----&gt;</t>
  </si>
  <si>
    <t>D.C. Services</t>
  </si>
  <si>
    <t>i)</t>
  </si>
  <si>
    <t>Domestic</t>
  </si>
  <si>
    <t>ii)</t>
  </si>
  <si>
    <t>iii)</t>
  </si>
  <si>
    <t>Licencee:-TPNODL</t>
  </si>
  <si>
    <t>OERC FORM.F-1(a)</t>
  </si>
  <si>
    <t>INFORMATION ON BLOCK CAPITAL</t>
  </si>
  <si>
    <t>Rs. in Lacs</t>
  </si>
  <si>
    <t>Actuals for previous financial year 2022-23</t>
  </si>
  <si>
    <t>Estimate for Current Financial Year 2023-24</t>
  </si>
  <si>
    <t>Estimates for ensuing year 2024-25</t>
  </si>
  <si>
    <t xml:space="preserve">Capital employed at the </t>
  </si>
  <si>
    <t>beginning of the year</t>
  </si>
  <si>
    <t>(a) On completed works</t>
  </si>
  <si>
    <t>EHT :</t>
  </si>
  <si>
    <t>HT :</t>
  </si>
  <si>
    <t>LT :</t>
  </si>
  <si>
    <t>Sub Total :</t>
  </si>
  <si>
    <t>(b) On works in progress</t>
  </si>
  <si>
    <t>Capital employed during the year</t>
  </si>
  <si>
    <t>C.</t>
  </si>
  <si>
    <t>Asset withdrawn, if any</t>
  </si>
  <si>
    <t>D.</t>
  </si>
  <si>
    <t>Capital Employed at the end of the year</t>
  </si>
  <si>
    <t>(a) on Completion</t>
  </si>
  <si>
    <t>(b) on W.I.P.</t>
  </si>
  <si>
    <t>(A+B-C)</t>
  </si>
  <si>
    <t>Note :</t>
  </si>
  <si>
    <t>1. The figures for current financial year should be based upon actuals for 1 Year</t>
  </si>
  <si>
    <t>2. The principle followed for allocation of capital expenditure to completed</t>
  </si>
  <si>
    <t xml:space="preserve">    assets and work in progress should be stated.</t>
  </si>
  <si>
    <t>cwip</t>
  </si>
  <si>
    <t>New dep</t>
  </si>
  <si>
    <t>Check=0</t>
  </si>
  <si>
    <t>OERC FORM.F-1 (b)</t>
  </si>
  <si>
    <t>Previous Year (FY-2022-23)</t>
  </si>
  <si>
    <t xml:space="preserve">Sources of Funds for Capital employed  </t>
  </si>
  <si>
    <t>Equity (Inr Cr)</t>
  </si>
  <si>
    <t>Debt (Inr Cr)</t>
  </si>
  <si>
    <t>Internal Accrual (Inr Cr)</t>
  </si>
  <si>
    <t>Total (Inr Cr)</t>
  </si>
  <si>
    <t xml:space="preserve">1-Capex approved for the Financial Year </t>
  </si>
  <si>
    <t xml:space="preserve">2-Capital asset added during the Financial Year </t>
  </si>
  <si>
    <t xml:space="preserve">3-Capital asset work in progress </t>
  </si>
  <si>
    <t>4-Total Sources of Funds</t>
  </si>
  <si>
    <t>Current Year(FY2023-24)</t>
  </si>
  <si>
    <t>Ensuing year(FY2024-25)</t>
  </si>
  <si>
    <t xml:space="preserve">Sources of Funds for Capital asset creation </t>
  </si>
  <si>
    <t xml:space="preserve">Actuals for  financial year </t>
  </si>
  <si>
    <t>Revised estimate for Current Financial Year</t>
  </si>
  <si>
    <t>Estimates for ensuing year</t>
  </si>
  <si>
    <t xml:space="preserve">1- Capex approved for the Financial Year </t>
  </si>
  <si>
    <t>Govt</t>
  </si>
  <si>
    <t>FORM  F.2</t>
  </si>
  <si>
    <t>Project wise / Scheme wise Capital Expenditure</t>
  </si>
  <si>
    <t>Rs. Lakhs</t>
  </si>
  <si>
    <t xml:space="preserve"> PREVIOUS YEAR  (2022-23)</t>
  </si>
  <si>
    <t>CURRENT YEAR   (2023-24)</t>
  </si>
  <si>
    <t xml:space="preserve"> ENSUING YEAR (2024-25)</t>
  </si>
  <si>
    <t>Sl No.</t>
  </si>
  <si>
    <t>Description of the Project/Scheme</t>
  </si>
  <si>
    <t>OB as on 1.4.2022</t>
  </si>
  <si>
    <t>Expn. during the year</t>
  </si>
  <si>
    <t>Interest during construction</t>
  </si>
  <si>
    <t>Overheads capitalised/Adjustments</t>
  </si>
  <si>
    <t>Transfer to fixed assets</t>
  </si>
  <si>
    <t>Closing bal. of WIP as on 31.03.2023</t>
  </si>
  <si>
    <t>Closing bal. of WIP as on 31.03.24</t>
  </si>
  <si>
    <t>Closing bal. of WIP as on 31.03.25</t>
  </si>
  <si>
    <t xml:space="preserve">Land </t>
  </si>
  <si>
    <t>FY 2020-21</t>
  </si>
  <si>
    <t>FY 2021-22</t>
  </si>
  <si>
    <t>FY 2022-23</t>
  </si>
  <si>
    <t>Civil &amp; Buildings</t>
  </si>
  <si>
    <t>Op. CWIP</t>
  </si>
  <si>
    <t>F&amp;F</t>
  </si>
  <si>
    <t>Capex (New)</t>
  </si>
  <si>
    <t>Vehicle</t>
  </si>
  <si>
    <t>Capitalisation (Op-CWIP)</t>
  </si>
  <si>
    <t>IT Equipments &amp; Software</t>
  </si>
  <si>
    <t>Capitalisation (New)</t>
  </si>
  <si>
    <t>Other Equipment- other than computer</t>
  </si>
  <si>
    <t>CWIP (Opening)</t>
  </si>
  <si>
    <t>Network Assets- other than Own Capex</t>
  </si>
  <si>
    <t>CWIP (New)</t>
  </si>
  <si>
    <t>Network Assets - Own Capex</t>
  </si>
  <si>
    <t>SCHEME(*)</t>
  </si>
  <si>
    <t>School Anganwadi-Grant</t>
  </si>
  <si>
    <t>Strengthening of Elephant Corridor-Grant</t>
  </si>
  <si>
    <t>CAPEX Plan-GoO</t>
  </si>
  <si>
    <t>RGGJY- Grant</t>
  </si>
  <si>
    <t>BGJY- Grant</t>
  </si>
  <si>
    <t>SAUBHAGYA-Grant</t>
  </si>
  <si>
    <t>OPTCL-ODSSP- Grant</t>
  </si>
  <si>
    <t>Disaster Fund-FANI- Grant</t>
  </si>
  <si>
    <t>Disaster Fund-AMPHAN- Grant</t>
  </si>
  <si>
    <t>NEW DESI- Grant</t>
  </si>
  <si>
    <t>Disaster Fund- Flood- Grant</t>
  </si>
  <si>
    <t>Disaster Fund- YAAS- Grant</t>
  </si>
  <si>
    <t>System Improvement- Grant</t>
  </si>
  <si>
    <t>SDMF-CYCLONE STRUCTURE-Grant</t>
  </si>
  <si>
    <t>SDMF-FLOOD MITIGATION-Grant</t>
  </si>
  <si>
    <t>ODSSP PHASE-V-Grant</t>
  </si>
  <si>
    <t>Other Miscellaneous Schemes</t>
  </si>
  <si>
    <t>Own Capex</t>
  </si>
  <si>
    <t>Meter &amp; Cable</t>
  </si>
  <si>
    <t>Deposit Work- Consumers</t>
  </si>
  <si>
    <t>Check</t>
  </si>
  <si>
    <t>Total diff</t>
  </si>
  <si>
    <t>Others.</t>
  </si>
  <si>
    <t>Diff</t>
  </si>
  <si>
    <t>Grant - Cash In Flow</t>
  </si>
  <si>
    <t>CC- Cash in Flow</t>
  </si>
  <si>
    <t>Govt.Grant</t>
  </si>
  <si>
    <t>Cons.Contribution</t>
  </si>
  <si>
    <t>Meter &amp; Cables</t>
  </si>
  <si>
    <t>2021-22</t>
  </si>
  <si>
    <t>Particulars</t>
  </si>
  <si>
    <t>Schemes</t>
  </si>
  <si>
    <t xml:space="preserve">Op. CWIP </t>
  </si>
  <si>
    <t>Expenses</t>
  </si>
  <si>
    <t>Capitalisation</t>
  </si>
  <si>
    <t>Cl. CWIP</t>
  </si>
  <si>
    <t>School Anganwadi</t>
  </si>
  <si>
    <t>Strenghtening of Elephant Corridor</t>
  </si>
  <si>
    <t>Capex- GoO Sponsored</t>
  </si>
  <si>
    <t>Other Deposit Works</t>
  </si>
  <si>
    <t>Consumer Cont'bn</t>
  </si>
  <si>
    <t>Breakup of existing CWIP</t>
  </si>
  <si>
    <t>Sr No</t>
  </si>
  <si>
    <t>Units</t>
  </si>
  <si>
    <t>Amt</t>
  </si>
  <si>
    <t>Rs Cr</t>
  </si>
  <si>
    <t>CAPEX PLAN-GoO</t>
  </si>
  <si>
    <t>SYSTEM IMPROVEMENT</t>
  </si>
  <si>
    <t>RGGJY</t>
  </si>
  <si>
    <t>BGJY</t>
  </si>
  <si>
    <t>ODSSP</t>
  </si>
  <si>
    <t>FANI</t>
  </si>
  <si>
    <t>AMPHAN-Grant</t>
  </si>
  <si>
    <t>Capital Inventory &amp; Others</t>
  </si>
  <si>
    <t>Advance for Capital Goods</t>
  </si>
  <si>
    <t>Sr. No.</t>
  </si>
  <si>
    <t>Area of Capex</t>
  </si>
  <si>
    <t>Proposed</t>
  </si>
  <si>
    <t>Capitalisation Plan (for Approved Cost)</t>
  </si>
  <si>
    <t>Opening CWIP</t>
  </si>
  <si>
    <t>TP Northern Odisha Distribution Limited</t>
  </si>
  <si>
    <t>ARR workings</t>
  </si>
  <si>
    <t>IDC Details</t>
  </si>
  <si>
    <t>Lakhs</t>
  </si>
  <si>
    <t>Capex approved for FY-22</t>
  </si>
  <si>
    <t>FY 2023-24</t>
  </si>
  <si>
    <t>FY 2024-25</t>
  </si>
  <si>
    <t>Capex</t>
  </si>
  <si>
    <t>Closing CWIP</t>
  </si>
  <si>
    <t>Average CWIP</t>
  </si>
  <si>
    <t>Loan Movement</t>
  </si>
  <si>
    <t>Opening Balance</t>
  </si>
  <si>
    <t>Loan taken</t>
  </si>
  <si>
    <t>Loan corresponding to capitalisation</t>
  </si>
  <si>
    <t>Closing Balance (corresponding to capex)</t>
  </si>
  <si>
    <t>IDC Working</t>
  </si>
  <si>
    <t>IDC for the Year</t>
  </si>
  <si>
    <t>IDC Capitalised</t>
  </si>
  <si>
    <t>Closing Balance</t>
  </si>
  <si>
    <t>Interest on capex loan</t>
  </si>
  <si>
    <t>FY 22-23</t>
  </si>
  <si>
    <t>FY22</t>
  </si>
  <si>
    <t>FY23</t>
  </si>
  <si>
    <t>FY24</t>
  </si>
  <si>
    <t>FY25</t>
  </si>
  <si>
    <t>Interest Computation</t>
  </si>
  <si>
    <t>Capitalisation of FA (year-wise)</t>
  </si>
  <si>
    <t>Int on SD</t>
  </si>
  <si>
    <t>@6.75%</t>
  </si>
  <si>
    <t>Term Loan @ 70%</t>
  </si>
  <si>
    <t>Int on WC</t>
  </si>
  <si>
    <t>Equity @ 30%</t>
  </si>
  <si>
    <t>Int. on Capex Loan</t>
  </si>
  <si>
    <t>Op. Loan</t>
  </si>
  <si>
    <t>Less : Int. Capitalised</t>
  </si>
  <si>
    <t>Additions</t>
  </si>
  <si>
    <t>Int. on Capex Loan (Net)</t>
  </si>
  <si>
    <t>Repayment (=Dep)</t>
  </si>
  <si>
    <t>Int on Loan(Capex,WC)</t>
  </si>
  <si>
    <t>Avg Balance</t>
  </si>
  <si>
    <t>Interest Rate</t>
  </si>
  <si>
    <t>Gross Interest</t>
  </si>
  <si>
    <t>Less:-Interest capitalized</t>
  </si>
  <si>
    <t>F-29(Int on working capital)</t>
  </si>
  <si>
    <t>Net Interest on TL</t>
  </si>
  <si>
    <t>Interest on TL</t>
  </si>
  <si>
    <t xml:space="preserve"> CWIP(Own Capex) ageing &gt;1 Year</t>
  </si>
  <si>
    <t>Interest on working capital calculation has made differently according</t>
  </si>
  <si>
    <t>70% of the above</t>
  </si>
  <si>
    <t>to the regulation applicable to FY23 and Fy24</t>
  </si>
  <si>
    <t>Interest on the above</t>
  </si>
  <si>
    <t>Interest on Meter loan</t>
  </si>
  <si>
    <t>Capitalisation considered</t>
  </si>
  <si>
    <t>Loan</t>
  </si>
  <si>
    <t>Repayment (considered equivalent of depreciation)</t>
  </si>
  <si>
    <t>Closing balance-Loan</t>
  </si>
  <si>
    <t>Average loan balance</t>
  </si>
  <si>
    <t>Interest</t>
  </si>
  <si>
    <t>Interest rate applicable(Current UBI 6M MCLR 8.5% Plus estimate of 0.5%)</t>
  </si>
  <si>
    <t>Employee cost pending-F12</t>
  </si>
  <si>
    <t xml:space="preserve">Capital Expenditure </t>
  </si>
  <si>
    <t>Interest on working capital</t>
  </si>
  <si>
    <t>Loan(70%)</t>
  </si>
  <si>
    <t>Equity(30%)</t>
  </si>
  <si>
    <t xml:space="preserve">O&amp;M for 1month </t>
  </si>
  <si>
    <t>Rs Lakhs</t>
  </si>
  <si>
    <t xml:space="preserve">Spares 20% of R&amp;M of 1 month </t>
  </si>
  <si>
    <t>1 month power purchase cost</t>
  </si>
  <si>
    <t>Less:Dep on Legacy asset</t>
  </si>
  <si>
    <t>Net W.cap requirement</t>
  </si>
  <si>
    <t>Interest rate estimated</t>
  </si>
  <si>
    <t>SBI Base rate 01.04.2023</t>
  </si>
  <si>
    <t>Basis point</t>
  </si>
  <si>
    <t>Add: Financing Cost/LC issue charges</t>
  </si>
  <si>
    <t>Gross Int. on Wcap</t>
  </si>
  <si>
    <t>Return on equity</t>
  </si>
  <si>
    <t>Op.Balance</t>
  </si>
  <si>
    <t>Average Balance</t>
  </si>
  <si>
    <t>RoE rate</t>
  </si>
  <si>
    <t>Return on Equity (post-tax)</t>
  </si>
  <si>
    <t>Total RoE</t>
  </si>
  <si>
    <t>Return on Equity (pre-tax)</t>
  </si>
  <si>
    <t>Income Tax</t>
  </si>
  <si>
    <t>Tax</t>
  </si>
  <si>
    <t>** 6 months considered for FY 2022-23 and 6 months for FY 2023-24</t>
  </si>
  <si>
    <t>S. No.</t>
  </si>
  <si>
    <t>Major Category</t>
  </si>
  <si>
    <t>Activity</t>
  </si>
  <si>
    <t xml:space="preserve"> DPR Cost TPNOD
( Rs Cr.)</t>
  </si>
  <si>
    <t>Amount approved by OERC 
( Rs Cr.)</t>
  </si>
  <si>
    <t>Expenses till March 21</t>
  </si>
  <si>
    <t>Capitalization Plan till 31 st march 
( Rs Cr.)</t>
  </si>
  <si>
    <t>Actual cost as on 11 Nov 2021           ( Rs Cr.)</t>
  </si>
  <si>
    <t>Rate of Dep'n</t>
  </si>
  <si>
    <t>Class of Assets</t>
  </si>
  <si>
    <t>CWIP- converted to assets during 2022-23</t>
  </si>
  <si>
    <t>Funds trfd to 2022-23</t>
  </si>
  <si>
    <t>Capex Plan for 2022-23</t>
  </si>
  <si>
    <t>Statutory &amp; Safety</t>
  </si>
  <si>
    <t>Safety &amp; Testing equipments</t>
  </si>
  <si>
    <t>Office Equipments</t>
  </si>
  <si>
    <t>Cradle guard at major road crossings</t>
  </si>
  <si>
    <t>Fencing of Distribution substations</t>
  </si>
  <si>
    <t>Boundary wall for Primary substations</t>
  </si>
  <si>
    <t>Establishment of Meter Testing Lab</t>
  </si>
  <si>
    <t>Total (1)</t>
  </si>
  <si>
    <t>Loss Reduction</t>
  </si>
  <si>
    <t>Equipment for Meter data downloading</t>
  </si>
  <si>
    <t>AMR enabled equipment</t>
  </si>
  <si>
    <t>Conversion of LT Bare conductor to AB Cable</t>
  </si>
  <si>
    <t>Field Testing equipment - Metering and enforcement</t>
  </si>
  <si>
    <t>Total (2)</t>
  </si>
  <si>
    <t>Reliability</t>
  </si>
  <si>
    <t>33 KV Network refurbishment &amp; AB switch</t>
  </si>
  <si>
    <t>Refurbishment of 33KV/11KV Primary Substation (PSS)</t>
  </si>
  <si>
    <t>11 KV Network refurbishment &amp; AB switch</t>
  </si>
  <si>
    <t>Refurbishment of 11KV/0.415 KV Dsitribution Substation (DSS)</t>
  </si>
  <si>
    <t>Installation of LV protection at DSS</t>
  </si>
  <si>
    <t>Installation of Auto reclosure / Sectionalizers ,RMUs, &amp;FPIs</t>
  </si>
  <si>
    <t>Trolley Mounted Pad Substations</t>
  </si>
  <si>
    <t>Underground cable Fault Locating Van and oil filtration machine</t>
  </si>
  <si>
    <t>Testing equipment for PSS</t>
  </si>
  <si>
    <t>Earthing of Power Transformers and Distribution Transformers</t>
  </si>
  <si>
    <t>33KV &amp; 11 KV Lightning Arrestor</t>
  </si>
  <si>
    <t>Total (3)</t>
  </si>
  <si>
    <t>Load Growth</t>
  </si>
  <si>
    <t>Augmentation from 5 MVA to 8 MVA Power Transformer</t>
  </si>
  <si>
    <t>Augmentation from 200/250 to 315 KVA Distribution Transformer</t>
  </si>
  <si>
    <t>Augmentation 63/25 to 100 KVA Distribution Transformer</t>
  </si>
  <si>
    <t>Addition of 11 kV Overhead Line</t>
  </si>
  <si>
    <t>Addition of 33 kV Overhead Line</t>
  </si>
  <si>
    <t>Technology &amp; Civil Infrastructure</t>
  </si>
  <si>
    <t>Data Center (DC) Development Cost</t>
  </si>
  <si>
    <t>IT Equipments</t>
  </si>
  <si>
    <t>IT Infrastructure Hardware Cost</t>
  </si>
  <si>
    <t>End user Devices i.e. Laptop, desktop, Printer, scanner</t>
  </si>
  <si>
    <t xml:space="preserve">Software Licenses </t>
  </si>
  <si>
    <t>Communication Network Infrastructure at DC and office locations</t>
  </si>
  <si>
    <t>Mini SCADA Implementation (20 nos ODSSP &amp; 10 nos Old PSS)</t>
  </si>
  <si>
    <t>GIS Implementation for One Division</t>
  </si>
  <si>
    <t>Smart Metering Infrastructure (HES &amp; MDM on 4G/ NBIOT Communication)</t>
  </si>
  <si>
    <t>Call Center Implementation (System &amp; Infrastructure)</t>
  </si>
  <si>
    <t>Civil Infrastructure (Office Buildings,Meter Test Lab, Customer Care center, Records Rooms, Power System Control)</t>
  </si>
  <si>
    <t>Establishment of DT workshop</t>
  </si>
  <si>
    <t>High mast light in the Center store</t>
  </si>
  <si>
    <t>Assets for Offices</t>
  </si>
  <si>
    <t>Building shed for material storage with racking system</t>
  </si>
  <si>
    <t>Total (5)</t>
  </si>
  <si>
    <t>Grand Total (1+2+3+4+5)</t>
  </si>
  <si>
    <t xml:space="preserve">Note : please cross check the actual mamount for the finance </t>
  </si>
  <si>
    <t>Capex Details</t>
  </si>
  <si>
    <t>Proposed for FY-23</t>
  </si>
  <si>
    <t xml:space="preserve">Sr no. of List </t>
  </si>
  <si>
    <t xml:space="preserve">Asset particulars </t>
  </si>
  <si>
    <t xml:space="preserve">Depreceation Rate% </t>
  </si>
  <si>
    <t>Capitalisation Plan- 2022-23</t>
  </si>
  <si>
    <t xml:space="preserve">Emergency Preparedness (Life boat and other emergency accessories) </t>
  </si>
  <si>
    <t>C(a(iv))</t>
  </si>
  <si>
    <t>Asset purchased new ( others )</t>
  </si>
  <si>
    <t>C(b(ii))</t>
  </si>
  <si>
    <t>Transformers Kiosk, substation equipment and other Fixed apparatus ( others )</t>
  </si>
  <si>
    <t>Asset purchased new Building and civil engg works of ( others )</t>
  </si>
  <si>
    <t xml:space="preserve">Development of training infrastructure for safety &amp; strengthening of LOTO system </t>
  </si>
  <si>
    <t>C(a(i))</t>
  </si>
  <si>
    <t>Asset purchased new Building and civil engg works of ( Offices and showrooms  )</t>
  </si>
  <si>
    <t>Establishment of Meter Testing Lab and its accreditation.</t>
  </si>
  <si>
    <t>G</t>
  </si>
  <si>
    <t>Meters</t>
  </si>
  <si>
    <t>Installation of smart meters at Distribution transformers .</t>
  </si>
  <si>
    <t>F(iii)</t>
  </si>
  <si>
    <t xml:space="preserve">Lines on steel on reinforced concrete support </t>
  </si>
  <si>
    <t>Meters for energy audit and accessories</t>
  </si>
  <si>
    <t>Service cable replacement</t>
  </si>
  <si>
    <t>Field Testing equipment - Metering ( Portable Calibrator)</t>
  </si>
  <si>
    <t>C(b(i))</t>
  </si>
  <si>
    <t>Transformers Kiosk, substation equipment and other Fixed apparatus ( Transformer including foundation having rating of 100 KVA and Over )</t>
  </si>
  <si>
    <t xml:space="preserve">33 KV Network refurbishment/ Conductor upgradation </t>
  </si>
  <si>
    <t>F(ii)</t>
  </si>
  <si>
    <t xml:space="preserve">line on steel supports operating on terminal voltage s higher than 13.2 KV but not exceeding 66 KV </t>
  </si>
  <si>
    <t xml:space="preserve">11 KV Network refurbishment / Conductor upgradation </t>
  </si>
  <si>
    <t>Capitalisation plan</t>
  </si>
  <si>
    <t>c</t>
  </si>
  <si>
    <t>Switchgear including cable connections</t>
  </si>
  <si>
    <t xml:space="preserve">33KVand 11 Kv Voltage Regulators for voltage improvement </t>
  </si>
  <si>
    <t xml:space="preserve">Installation of substation transformers </t>
  </si>
  <si>
    <t xml:space="preserve">Capacitor Bank at PSS for low voltage improvement </t>
  </si>
  <si>
    <t>Total Hard Cost</t>
  </si>
  <si>
    <t xml:space="preserve">Tower line for River crossing </t>
  </si>
  <si>
    <t>Employee Cost @ 6% of the cost capitalised**</t>
  </si>
  <si>
    <t>IDC</t>
  </si>
  <si>
    <t>Augmentation/ addition Power Transformers</t>
  </si>
  <si>
    <t>Total  Cost</t>
  </si>
  <si>
    <t>Augmentation of Distribution Transformers</t>
  </si>
  <si>
    <t>Addition  of LT lines</t>
  </si>
  <si>
    <t>Capex Plan</t>
  </si>
  <si>
    <t>Addition of 11 kV Lines ( O/H and U/G)</t>
  </si>
  <si>
    <t>Capitalisation Plan</t>
  </si>
  <si>
    <t>Addition of 33 kV Overhead Lines ( O/H and U/G)</t>
  </si>
  <si>
    <t>Addition of New DTRs along with HT/LT lines</t>
  </si>
  <si>
    <t xml:space="preserve">New PSS </t>
  </si>
  <si>
    <t>DC Hardware</t>
  </si>
  <si>
    <t>M</t>
  </si>
  <si>
    <t xml:space="preserve">IT equipment </t>
  </si>
  <si>
    <t>Software Licences for IT Application</t>
  </si>
  <si>
    <t>End computing devices</t>
  </si>
  <si>
    <t>LAN &amp; WAN Connectivity for Offices</t>
  </si>
  <si>
    <t>Cyber Security</t>
  </si>
  <si>
    <t>Automation of non ODSSP PSS</t>
  </si>
  <si>
    <t>SCADA-ADMS</t>
  </si>
  <si>
    <t>GIS</t>
  </si>
  <si>
    <t>Civil Infrastructure (Office Buildings , PSS, Stores, Approach Roads, Record room , Cafeteria Canteen , MRT office and others)</t>
  </si>
  <si>
    <t xml:space="preserve">Security cameras and heavy duty Racking system / Storage solutions  for the store </t>
  </si>
  <si>
    <t>J(ii)</t>
  </si>
  <si>
    <t xml:space="preserve">Office Equipments </t>
  </si>
  <si>
    <t>Capex Plan for FY -23-24</t>
  </si>
  <si>
    <t>Target for capitalization in FY 23-24</t>
  </si>
  <si>
    <t xml:space="preserve">Target for capitalization in FY 24-25 </t>
  </si>
  <si>
    <t>Depreciation Rate</t>
  </si>
  <si>
    <t>Depreciation FY 23-24</t>
  </si>
  <si>
    <t>Depreciation FY 24-25</t>
  </si>
  <si>
    <t>Fencing of Distribution Substations</t>
  </si>
  <si>
    <t xml:space="preserve">C a (i) </t>
  </si>
  <si>
    <t>Boundary wall work at Primary Substations</t>
  </si>
  <si>
    <t>Life enhancement of network and maintaining safe horizontal / vertical clearances</t>
  </si>
  <si>
    <t>C (b,c,d,e.f)</t>
  </si>
  <si>
    <t>Yard Fencing with in PSS</t>
  </si>
  <si>
    <t>Fire Extinguisher &amp; Water Hydrant System for Jajpur Store</t>
  </si>
  <si>
    <t>CJ (II)</t>
  </si>
  <si>
    <r>
      <t xml:space="preserve">Fire wall for PTR </t>
    </r>
    <r>
      <rPr>
        <b/>
        <sz val="14"/>
        <color rgb="FF000000"/>
        <rFont val="Times New Roman"/>
        <family val="1"/>
      </rPr>
      <t>"6Mtr*8Mtr"</t>
    </r>
  </si>
  <si>
    <t xml:space="preserve">Defective cable replacement </t>
  </si>
  <si>
    <t>C e(i)</t>
  </si>
  <si>
    <t>Shifting of O/H lines on safety ground on public request</t>
  </si>
  <si>
    <t>Intrusion system for theft prevention is store</t>
  </si>
  <si>
    <t>Testing equipment for Meter, Meter Reading, HT/LT Accucheck&amp; other material.</t>
  </si>
  <si>
    <t xml:space="preserve"> C g </t>
  </si>
  <si>
    <t>Conversion of LT Bare conductor toAB Cable</t>
  </si>
  <si>
    <t>C f</t>
  </si>
  <si>
    <t>Meters and metering equipment for energy audit</t>
  </si>
  <si>
    <t>Equipment for AMR enablement of 3phase consumer meters</t>
  </si>
  <si>
    <t>Field Testing equipment (PTR testing, PQ analizer, Switch gear  testing kit)</t>
  </si>
  <si>
    <t>Replacement/Addition of network component in 33/11kV Primary Substation</t>
  </si>
  <si>
    <t>C b (i)</t>
  </si>
  <si>
    <t>33 KV Conductor up gradation</t>
  </si>
  <si>
    <t>C c,d</t>
  </si>
  <si>
    <t>11 KV Conductor up gradation</t>
  </si>
  <si>
    <t>Refurbishment of   11KV/0.415   KV Distribution Substation (DSS)</t>
  </si>
  <si>
    <t>C b</t>
  </si>
  <si>
    <t xml:space="preserve">C d </t>
  </si>
  <si>
    <t>Installation of Auto reclosure /Sectionalizers, RMUs</t>
  </si>
  <si>
    <t>Installation of FPIs for O/H Lines</t>
  </si>
  <si>
    <t>Installation of AB Switch, HG Fuse &amp; LA for DTRs</t>
  </si>
  <si>
    <t xml:space="preserve">11 KV Voltage Regulators for voltage improvement </t>
  </si>
  <si>
    <t>Installation of Station Transformers(PPS )</t>
  </si>
  <si>
    <t>Procurement of spares and servicing for ODSSP &amp; IPDS</t>
  </si>
  <si>
    <t xml:space="preserve">Indoor Switchgear (AIS) for 33KV &amp; 11KV </t>
  </si>
  <si>
    <t>Earthing of Transformer</t>
  </si>
  <si>
    <t>Network Optimisation &amp; Load Growth</t>
  </si>
  <si>
    <t>Augmentation of Power Transformer</t>
  </si>
  <si>
    <t>Augmentation of Distribution Transformer</t>
  </si>
  <si>
    <t>Addition of LT lines</t>
  </si>
  <si>
    <t>Addition of 11 kV Lines (O/H and U/G)</t>
  </si>
  <si>
    <t>Addition of 33 kV Overhead Lines(O/H and U/G)</t>
  </si>
  <si>
    <t>Addition of New PTR  at PSS</t>
  </si>
  <si>
    <t>Addition  New DTRs along with Associated HT/LT lines</t>
  </si>
  <si>
    <t>Network enhancement  for Unforeseen emergency</t>
  </si>
  <si>
    <t>New 33/11kV PSS with Associated Lines</t>
  </si>
  <si>
    <t>Total (4)</t>
  </si>
  <si>
    <t>Technology and Civil Infrastructure</t>
  </si>
  <si>
    <t>Security cameras, heavy-duty Racking system / Storage solutions for Jajpur store</t>
  </si>
  <si>
    <t>CJ</t>
  </si>
  <si>
    <t>Civil Infrastructure (Office Buildings, PSS, Stores, Approach Roads, Record room, Cafeteria Canteen, MRT office, STS office, STS Lab and others)</t>
  </si>
  <si>
    <t>Office Administration</t>
  </si>
  <si>
    <t xml:space="preserve">Automation of Non-ODSSP &amp; SCADA Interigation  </t>
  </si>
  <si>
    <t xml:space="preserve"> n</t>
  </si>
  <si>
    <t>Bluetooth printer, cash drop box, RRG App</t>
  </si>
  <si>
    <t>C m</t>
  </si>
  <si>
    <t xml:space="preserve">Data Recovery (DR) for Hardware Equiment </t>
  </si>
  <si>
    <t>Data Center (DC) for Hardware Equiment</t>
  </si>
  <si>
    <t>Communication</t>
  </si>
  <si>
    <t>l</t>
  </si>
  <si>
    <t>GIS Software Implementation and  Land Base &amp; Network Survey &amp; Digitization for 9 Division</t>
  </si>
  <si>
    <t>Additional Left out Budget of previous Financial Year for GIS &amp; SCADA</t>
  </si>
  <si>
    <t>Software and Application</t>
  </si>
  <si>
    <t xml:space="preserve">Drones and its licence </t>
  </si>
  <si>
    <t>Reducing Carbon Footprint</t>
  </si>
  <si>
    <t>Budget for Electric Scooter/Car</t>
  </si>
  <si>
    <t>C h</t>
  </si>
  <si>
    <t>Rooftop Solar System on office building (Solar Roof  top system ( Corp office , circle offices , Balasore Store )</t>
  </si>
  <si>
    <t>O</t>
  </si>
  <si>
    <t>Total (6)</t>
  </si>
  <si>
    <t>Grand Total = 1+2+3+4+5+6</t>
  </si>
  <si>
    <t>Capitalisation 23-24</t>
  </si>
  <si>
    <t>Capitalisation 24-25</t>
  </si>
  <si>
    <t>Capitalization 21-22</t>
  </si>
  <si>
    <t xml:space="preserve">Depreciation 23-24 </t>
  </si>
  <si>
    <t>Capitalization 22-23</t>
  </si>
  <si>
    <t>Capitalization 23-24</t>
  </si>
  <si>
    <t>Capitalization 24-25</t>
  </si>
  <si>
    <t xml:space="preserve">Depreciation 24-25 </t>
  </si>
  <si>
    <t>Buildings</t>
  </si>
  <si>
    <t>Plant &amp;Machinery</t>
  </si>
  <si>
    <t>Vehicles</t>
  </si>
  <si>
    <t>Furniture, Fixures</t>
  </si>
  <si>
    <t>Office Equipment</t>
  </si>
  <si>
    <t>Solar Rooftop</t>
  </si>
  <si>
    <t>Software</t>
  </si>
  <si>
    <t xml:space="preserve">Communication </t>
  </si>
  <si>
    <t xml:space="preserve">IT Equipments </t>
  </si>
  <si>
    <t xml:space="preserve">Total </t>
  </si>
  <si>
    <t>Capex Plan for FY -24-25</t>
  </si>
  <si>
    <t>Target for capitalization in FY 24-25</t>
  </si>
  <si>
    <t xml:space="preserve">Target for capitalization in FY 25-26 </t>
  </si>
  <si>
    <t>Depreciation  Sl. No</t>
  </si>
  <si>
    <t xml:space="preserve">Dep. Rate </t>
  </si>
  <si>
    <t xml:space="preserve">Depreciation FY 24-25 </t>
  </si>
  <si>
    <t>Depreciation  FY 25-26</t>
  </si>
  <si>
    <t xml:space="preserve">O/H  to U/G  at  crossing of  2 or more lines </t>
  </si>
  <si>
    <t xml:space="preserve">Replecement of PTRs having High losses </t>
  </si>
  <si>
    <t xml:space="preserve">C b </t>
  </si>
  <si>
    <t xml:space="preserve">Cb </t>
  </si>
  <si>
    <t>Addition of 33 kV Overhead Lines(O/H and U/G) for N-1</t>
  </si>
  <si>
    <t>C a i</t>
  </si>
  <si>
    <t xml:space="preserve">C j </t>
  </si>
  <si>
    <t xml:space="preserve">l </t>
  </si>
  <si>
    <t>CAPEX 24-25</t>
  </si>
  <si>
    <t>CAPEX 23-24</t>
  </si>
  <si>
    <t>FY 24-25</t>
  </si>
  <si>
    <t>FY 25-26</t>
  </si>
  <si>
    <t>Capitalization 25-26</t>
  </si>
  <si>
    <t xml:space="preserve">Depreciation 25-26 </t>
  </si>
  <si>
    <t>Land</t>
  </si>
  <si>
    <t>Network Assets &amp; Overhead lines</t>
  </si>
  <si>
    <t>Furniture &amp; Fixture</t>
  </si>
  <si>
    <t>Capex Plan for FY -25-26</t>
  </si>
  <si>
    <t>Target for capitalization in FY 25-26</t>
  </si>
  <si>
    <t xml:space="preserve">Target for capitalization in FY 26-27 </t>
  </si>
  <si>
    <t>Depreciation FY 25-26</t>
  </si>
  <si>
    <t>Depreciation FY26-27</t>
  </si>
  <si>
    <t>Addition of 11 kV Lines (O/H and U/G) for N-1</t>
  </si>
  <si>
    <t>CAPEX 25-26</t>
  </si>
  <si>
    <t>Total FY 25-26</t>
  </si>
  <si>
    <t>FY 26-27</t>
  </si>
  <si>
    <t>Depreciation 25-26</t>
  </si>
  <si>
    <t>Capitalization 26-27</t>
  </si>
  <si>
    <t>Depreciation 26-27</t>
  </si>
  <si>
    <t>Software&amp; Communication &amp;Others</t>
  </si>
  <si>
    <t>Capex Plan for FY -26-27</t>
  </si>
  <si>
    <t>Target for capitalization in FY 26-27</t>
  </si>
  <si>
    <t xml:space="preserve">Target for capitalization in FY 27-28 </t>
  </si>
  <si>
    <t>Depreciation FY 26-27</t>
  </si>
  <si>
    <t>Depreciation FY 27-28</t>
  </si>
  <si>
    <t xml:space="preserve">Budget for making unsafe locations safe </t>
  </si>
  <si>
    <t xml:space="preserve">Replecement of   DTRs having High losses </t>
  </si>
  <si>
    <t>=</t>
  </si>
  <si>
    <t>CAPEX 26-27</t>
  </si>
  <si>
    <t>CAPEX 27-28</t>
  </si>
  <si>
    <t>Total 26-27</t>
  </si>
  <si>
    <t>FY 27-28</t>
  </si>
  <si>
    <t>Capitalization 27-28</t>
  </si>
  <si>
    <t>Depreciation 27-28</t>
  </si>
  <si>
    <t>Capex Plan for FY -27-28</t>
  </si>
  <si>
    <t>Target for capitalization in FY 27-28</t>
  </si>
  <si>
    <t xml:space="preserve">Target for capitalization in FY 28-29 </t>
  </si>
  <si>
    <t>Depreciation 28-29</t>
  </si>
  <si>
    <t>Civil Infrastructure (Office Buildings, PSS, Stores, Approach Roads, Record room,  office, STS office, and others)</t>
  </si>
  <si>
    <t>Total FY 27-28</t>
  </si>
  <si>
    <t>FY 28-29</t>
  </si>
  <si>
    <t xml:space="preserve">Capitalization </t>
  </si>
  <si>
    <t xml:space="preserve">Depreciation </t>
  </si>
  <si>
    <t>ASSET DETAILS-  BY THE EXTERNAL AGENCIES ON BEHALF OF TPNODL- NOT FORMING PART OF ACCOUNTS</t>
  </si>
  <si>
    <t>Rs. In Cr</t>
  </si>
  <si>
    <t>Value as on 31/03/2022</t>
  </si>
  <si>
    <t>Estimated Value as on 31/03/2023</t>
  </si>
  <si>
    <t>Estimated Value as on 31/03/2024</t>
  </si>
  <si>
    <t>Estimated Value as on 31/03/2025</t>
  </si>
  <si>
    <t>IPDS</t>
  </si>
  <si>
    <t>DDUGJY</t>
  </si>
  <si>
    <t>RGGVY</t>
  </si>
  <si>
    <t>ODAFF</t>
  </si>
  <si>
    <t>BSVY</t>
  </si>
  <si>
    <t>ASSET DETAILS- CREATED BY THE TPNODL-FUNDED BY OTHER AGENCIES AND GOVT.</t>
  </si>
  <si>
    <t>Actuals till 30/09/2022 (01/04/2022 to 30/09/2022)</t>
  </si>
  <si>
    <t>Actual as on 31/03/2023 including actuals(Oct'22 to March'23)</t>
  </si>
  <si>
    <t>Estimated as on 31/03/2024 (FY 2023-24)</t>
  </si>
  <si>
    <t>Estimated as on 31/03/2025 (FY 2024-25)</t>
  </si>
  <si>
    <t>Capex Proposed for FY-22</t>
  </si>
  <si>
    <t>Approved for FY-22</t>
  </si>
  <si>
    <t>Estimated capex FY-22</t>
  </si>
  <si>
    <t>Estimated capitalisation FY-22</t>
  </si>
  <si>
    <t>Proposed for FY-22</t>
  </si>
  <si>
    <r>
      <rPr>
        <b/>
        <sz val="10"/>
        <color theme="1"/>
        <rFont val="Arial"/>
        <family val="2"/>
      </rPr>
      <t>**Employee cost capitalised:</t>
    </r>
    <r>
      <rPr>
        <sz val="10"/>
        <color theme="1"/>
        <rFont val="Arial"/>
        <family val="2"/>
      </rPr>
      <t xml:space="preserve"> First year of operation. Difficult to identify the employees and their costs to be included for capitalization.</t>
    </r>
  </si>
  <si>
    <t>Hence, refernce is taken from case no 63/2006 &amp; 03/2007 dated 26th April 2011 of OERC</t>
  </si>
  <si>
    <t>Tower Line for River crossing</t>
  </si>
  <si>
    <t>Capitalisation Summary</t>
  </si>
  <si>
    <t>Schemes Initiated in FY 2021-22</t>
  </si>
  <si>
    <t>Schemes Initiated in FY 2022-23</t>
  </si>
  <si>
    <t>Additional capitalisation</t>
  </si>
  <si>
    <t>CWIP capitalisation</t>
  </si>
  <si>
    <t>Total Capitalisation</t>
  </si>
  <si>
    <t>GRIDCO equity contribution</t>
  </si>
  <si>
    <t>TPCL equity plus debt</t>
  </si>
  <si>
    <t>% of additional contribution from GRIDCO</t>
  </si>
  <si>
    <t>Sources of Finance</t>
  </si>
  <si>
    <t>Govt Grant (extent of CWIP)</t>
  </si>
  <si>
    <t>Debt</t>
  </si>
  <si>
    <t>Equity</t>
  </si>
  <si>
    <t>Non-Tarif income</t>
  </si>
  <si>
    <t>(Rs. Lakhs)</t>
  </si>
  <si>
    <t>YTD Sep-23</t>
  </si>
  <si>
    <t xml:space="preserve">Meter Rent  </t>
  </si>
  <si>
    <t>Overdrwal penalty</t>
  </si>
  <si>
    <t>RETAIL</t>
  </si>
  <si>
    <t xml:space="preserve">Reliability </t>
  </si>
  <si>
    <t>OA - cross subsidy</t>
  </si>
  <si>
    <t>Supervision-application fees</t>
  </si>
  <si>
    <t>WHEELING</t>
  </si>
  <si>
    <t xml:space="preserve">                  inspection fees</t>
  </si>
  <si>
    <t>Other</t>
  </si>
  <si>
    <t>Pole rentals</t>
  </si>
  <si>
    <t>Meter testing fee</t>
  </si>
  <si>
    <t>DC,RC &amp; Dismantle fee</t>
  </si>
  <si>
    <t>Meter box charges</t>
  </si>
  <si>
    <t>Service connection fees</t>
  </si>
  <si>
    <t>Recovery-power theft</t>
  </si>
  <si>
    <t>Other misc operating income</t>
  </si>
  <si>
    <t>Interest on FD</t>
  </si>
  <si>
    <t>Interest on Income Tax Refund</t>
  </si>
  <si>
    <t xml:space="preserve">Ins.Claim-Recevd.   </t>
  </si>
  <si>
    <t>Delayed payment surcharge</t>
  </si>
  <si>
    <t>Meter testing fees</t>
  </si>
  <si>
    <t>PLM charges</t>
  </si>
  <si>
    <t>Rent-staff quarters</t>
  </si>
  <si>
    <t>Water rates-Staff qtr</t>
  </si>
  <si>
    <t>Sale of tender forms</t>
  </si>
  <si>
    <t>Other misc receipts</t>
  </si>
  <si>
    <t>Sale proceeds-scrap</t>
  </si>
  <si>
    <t>Grand Total</t>
  </si>
  <si>
    <t>Rebate on BSP prompt pymnt</t>
  </si>
  <si>
    <t>Total Non-Tariff Income</t>
  </si>
  <si>
    <t>Incentive on past arrear</t>
  </si>
  <si>
    <t>in lakhs</t>
  </si>
  <si>
    <t>FLOW OF CAPITALISATION</t>
  </si>
  <si>
    <t>……..</t>
  </si>
  <si>
    <t>PARTICULARS</t>
  </si>
  <si>
    <t>Opn CWIP- Grant</t>
  </si>
  <si>
    <t>Opn CWIP- Consumer Contb'n</t>
  </si>
  <si>
    <t>Opn CWIP- Own Capex</t>
  </si>
  <si>
    <t>Opn CWIP- Meter &amp; Cable</t>
  </si>
  <si>
    <t>ASSET DISTRIBUTION CLASS-WISE</t>
  </si>
  <si>
    <t>Rs. in lakhs</t>
  </si>
  <si>
    <t>Grant in Aid</t>
  </si>
  <si>
    <t>Opening 01.04.23</t>
  </si>
  <si>
    <t>2023-24 Add</t>
  </si>
  <si>
    <t>2023-24 YTD</t>
  </si>
  <si>
    <t>2024-25 Ad</t>
  </si>
  <si>
    <t>2024-25 YTD</t>
  </si>
  <si>
    <t>Consumer Contb'n</t>
  </si>
  <si>
    <t>Interest Loaded</t>
  </si>
  <si>
    <t>Additional Assets out of Own Capex @ 17.23% on Own Capex- asset addition</t>
  </si>
  <si>
    <t>Employee (OH) Capitalisation</t>
  </si>
  <si>
    <t>Means of Financing</t>
  </si>
  <si>
    <t>Opening</t>
  </si>
  <si>
    <t>Consumer Contribution</t>
  </si>
  <si>
    <t>GoO Loan - Capex</t>
  </si>
  <si>
    <t>Legacy Assets</t>
  </si>
  <si>
    <t>Transfer to Assets</t>
  </si>
  <si>
    <t>DEPRECIATION SCHEDULE</t>
  </si>
  <si>
    <t>Depn Rate Pre-92</t>
  </si>
  <si>
    <t>Depn Rate- Vesting Order</t>
  </si>
  <si>
    <t>Carve Out as on 31/03/2021</t>
  </si>
  <si>
    <t>Addition</t>
  </si>
  <si>
    <t>Addition of 21-22</t>
  </si>
  <si>
    <t>Addition of 22-23</t>
  </si>
  <si>
    <t>Difference</t>
  </si>
  <si>
    <t>Cl. CWIP- Grant</t>
  </si>
  <si>
    <t>Cl CWIP- Consumer Contb'n</t>
  </si>
  <si>
    <t>Cl CWIP- Own Capex</t>
  </si>
  <si>
    <t>Cl CWIP- Meter &amp; Cable</t>
  </si>
  <si>
    <t>Gross Depreciation</t>
  </si>
  <si>
    <r>
      <t>Less : Ammortisation on assets created out of consumer cont'bn and grant</t>
    </r>
    <r>
      <rPr>
        <b/>
        <i/>
        <sz val="10"/>
        <rFont val="Arial"/>
        <family val="2"/>
      </rPr>
      <t xml:space="preserve"> (*) Ammortisation on Grants on Opening Grant has not been reduced since been carved out</t>
    </r>
  </si>
  <si>
    <t>Add : Dep'n on the Additional Assets</t>
  </si>
  <si>
    <t>Net effect to ARR</t>
  </si>
  <si>
    <t>CAPITAL STRUCTURE</t>
  </si>
  <si>
    <t>Govt- Aid</t>
  </si>
  <si>
    <t>Capex Loan- GoO</t>
  </si>
  <si>
    <t>Asset Creation</t>
  </si>
  <si>
    <t>Additional Assets</t>
  </si>
  <si>
    <t>Year</t>
  </si>
  <si>
    <t>Met Through</t>
  </si>
  <si>
    <t>Government Grants</t>
  </si>
  <si>
    <t>Capitalisatoin from Initial CWIP</t>
  </si>
  <si>
    <t>Government Projects</t>
  </si>
  <si>
    <t>Equity for New Projects</t>
  </si>
  <si>
    <t>Consumer Funded</t>
  </si>
  <si>
    <t>Additional Capitalisation (17.23% of (1+2))</t>
  </si>
  <si>
    <t>Schemes intitiated in FY 2021-22</t>
  </si>
  <si>
    <t>Hard Cost</t>
  </si>
  <si>
    <t>Employee Cost Capitalised</t>
  </si>
  <si>
    <t>Interest Cost Capitalised</t>
  </si>
  <si>
    <t>Total Cost</t>
  </si>
  <si>
    <t>slide option 1</t>
  </si>
  <si>
    <t>slide option 2</t>
  </si>
  <si>
    <t>CAPITALISATION SUMMARY- OWN CAPEX</t>
  </si>
  <si>
    <t>Schemes initiated in FY 2021-22</t>
  </si>
  <si>
    <t>Additional Capitalisation</t>
  </si>
  <si>
    <t>Total Capitalisation Cost (6 +7)</t>
  </si>
  <si>
    <t>back up of the above</t>
  </si>
  <si>
    <t>IN CASE OPTION 2 additional back up</t>
  </si>
  <si>
    <t>OERC FORM F.3</t>
  </si>
  <si>
    <t>Abstract:</t>
  </si>
  <si>
    <t>Source :</t>
  </si>
  <si>
    <t>Opening balance of loan as at the beginning of the previous financial year (FY 2022-23)</t>
  </si>
  <si>
    <t xml:space="preserve">Receipt during the  previous financial year </t>
  </si>
  <si>
    <t>Repayment during the previous financial year 2023-24</t>
  </si>
  <si>
    <t>Closing balance as at the end of the previous fiancial year 31.03.24</t>
  </si>
  <si>
    <t>Opening  balance of loan as at the beginning of the current fiancial year 01.04.24</t>
  </si>
  <si>
    <t>Estimates of Receipt during ensuing financial year 2024-25</t>
  </si>
  <si>
    <t>Estimates of Repayment during ensuing financial year 2024-25</t>
  </si>
  <si>
    <t>Closing balance as at the end of the ensuing year 2024-25</t>
  </si>
  <si>
    <t>Average rate of interest</t>
  </si>
  <si>
    <t>Loan on Capex</t>
  </si>
  <si>
    <t>Note :The above figures of Loans are excluding interest.</t>
  </si>
  <si>
    <t>OERC Form No.F.4</t>
  </si>
  <si>
    <t xml:space="preserve"> POWER PROCUREMENT FOR THE  CURRENT FINANCIAL YEAR 2023-24</t>
  </si>
  <si>
    <t>Actuals for the of Previous Year</t>
  </si>
  <si>
    <t>Actuals for the first six months of Current Year</t>
  </si>
  <si>
    <t>Estimate for the Current Year</t>
  </si>
  <si>
    <t>Projection for the Ensuing Year</t>
  </si>
  <si>
    <t>A</t>
  </si>
  <si>
    <t>CATEGORYWISE SALE</t>
  </si>
  <si>
    <t>General Purpose ( &lt;100 KW  )</t>
  </si>
  <si>
    <t>Irrigation, Pumping &amp; Agriculture</t>
  </si>
  <si>
    <t>Allied Agricultural Activities</t>
  </si>
  <si>
    <t xml:space="preserve">L.T. Industrial(S) </t>
  </si>
  <si>
    <t xml:space="preserve">L.T. Industrial(M) </t>
  </si>
  <si>
    <t>Specified Public Purpose</t>
  </si>
  <si>
    <t>Public Water works and Sewage Pumping</t>
  </si>
  <si>
    <t xml:space="preserve"> &lt;100 KW</t>
  </si>
  <si>
    <t>General Purpose(=&gt;110 KVA)</t>
  </si>
  <si>
    <t>Specified Public Purpose(Public Institution)</t>
  </si>
  <si>
    <t>HT General(Commercial)</t>
  </si>
  <si>
    <t>H.T. Industrial(M) (Medium Industry)</t>
  </si>
  <si>
    <t>Special Tariff</t>
  </si>
  <si>
    <t>TOTAL SALE</t>
  </si>
  <si>
    <t>T&amp;D LOSS</t>
  </si>
  <si>
    <t>ENERGY REQUIREMENT</t>
  </si>
  <si>
    <t>B</t>
  </si>
  <si>
    <t xml:space="preserve">PURCHASE OF POWER </t>
  </si>
  <si>
    <t>GRIDCO</t>
  </si>
  <si>
    <t>OTHERS, If any (give details)</t>
  </si>
  <si>
    <t>TOTAL POWER PURCHASE</t>
  </si>
  <si>
    <t>Rate of Power Purchase from GRIDCO (p/u)</t>
  </si>
  <si>
    <t>Rate of Power Purchase from Other Sources (p/u)</t>
  </si>
  <si>
    <t>C</t>
  </si>
  <si>
    <t>TOTAL COST (Rs. In lakhs)</t>
  </si>
  <si>
    <t>TPNODL                                                                                                                                                                                                                                                                            OERC Form No.F. 5</t>
  </si>
  <si>
    <t xml:space="preserve">CALCULATION OF COST OF POWER AT DIFFERENT VOLTAGE ENDS </t>
  </si>
  <si>
    <t>Actuals for the previous Year</t>
  </si>
  <si>
    <t>Description</t>
  </si>
  <si>
    <t xml:space="preserve">HT </t>
  </si>
  <si>
    <t>Technical Information</t>
  </si>
  <si>
    <t>Units Received into the system in MU</t>
  </si>
  <si>
    <t>Total Loss in the system in %</t>
  </si>
  <si>
    <t>Less Loss in the system in MU</t>
  </si>
  <si>
    <t>Transmitted through the system in MU</t>
  </si>
  <si>
    <t>D(A-C)</t>
  </si>
  <si>
    <t>Sale at system voltage in MU</t>
  </si>
  <si>
    <t>E</t>
  </si>
  <si>
    <t>COST AT SYSTEM VOLTAGE</t>
  </si>
  <si>
    <t xml:space="preserve">Existing rate of Power Purchase including transmission charges (paisa) </t>
  </si>
  <si>
    <t>F</t>
  </si>
  <si>
    <t>Total Cost of Distribution.(Rs.in lakhs)</t>
  </si>
  <si>
    <t>Cost of units lost in the system(Rs in lakhs)</t>
  </si>
  <si>
    <t>H= (F*C)</t>
  </si>
  <si>
    <t>Cost of Trans. Dist and cost of lost units(Rs in lakhs)</t>
  </si>
  <si>
    <t>I (G+H)</t>
  </si>
  <si>
    <t>Increment cost  (Rs./kwh)</t>
  </si>
  <si>
    <t>J=(I/D)</t>
  </si>
  <si>
    <t>Cost at system end (Rs./kwh)</t>
  </si>
  <si>
    <t>K(J+F)</t>
  </si>
  <si>
    <t>Element of Profit (Rs./kwh) (RROR)</t>
  </si>
  <si>
    <t>L</t>
  </si>
  <si>
    <t>Total Cost with Profit(Rs./kwh)</t>
  </si>
  <si>
    <t>M (K+L)</t>
  </si>
  <si>
    <t>Note: The basis of apportinment of the distrbution cost at different voltage level should be explained.</t>
  </si>
  <si>
    <t xml:space="preserve">TPNODL </t>
  </si>
  <si>
    <t>OERC Form No. F.6</t>
  </si>
  <si>
    <t xml:space="preserve">REVENUE REQUIREMENT  &amp; GAP ANALYSIS </t>
  </si>
  <si>
    <t>Rs. In Lakhs</t>
  </si>
  <si>
    <t>Expenditure</t>
  </si>
  <si>
    <t>Actual for the Previous Year (FY 2022-23)</t>
  </si>
  <si>
    <t>Estimate for the Current Year (FY 2023-24)</t>
  </si>
  <si>
    <t>Projection for the Ensuing Year (FY 2024-25)</t>
  </si>
  <si>
    <t>Power Purchase Cost (A)</t>
  </si>
  <si>
    <t>Cost of Power</t>
  </si>
  <si>
    <t>Unit</t>
  </si>
  <si>
    <t>OERC Approval</t>
  </si>
  <si>
    <t>Estmd.</t>
  </si>
  <si>
    <t>Transmission Charges</t>
  </si>
  <si>
    <t>SLDC Charges</t>
  </si>
  <si>
    <t>No of Units – sale</t>
  </si>
  <si>
    <t xml:space="preserve">Total Power Purchase Cost </t>
  </si>
  <si>
    <t>RST per unit</t>
  </si>
  <si>
    <t>Rs/Kwh</t>
  </si>
  <si>
    <t>Distribution Cost (B)</t>
  </si>
  <si>
    <t>Sales</t>
  </si>
  <si>
    <t>Rs Crore</t>
  </si>
  <si>
    <t>Employees cost</t>
  </si>
  <si>
    <t>Less-Bad Debts</t>
  </si>
  <si>
    <t>Repair &amp; Maintenace Cost</t>
  </si>
  <si>
    <t>Net Sales</t>
  </si>
  <si>
    <t>Admnistrative &amp; General Expenses</t>
  </si>
  <si>
    <t>Other Income</t>
  </si>
  <si>
    <t>Bad &amp; Doubtful Debt including rebate</t>
  </si>
  <si>
    <t>Total Income</t>
  </si>
  <si>
    <t>Depreciation</t>
  </si>
  <si>
    <t>Distribution Loss</t>
  </si>
  <si>
    <t>Interest on loans</t>
  </si>
  <si>
    <t>No. of Units – Purchase</t>
  </si>
  <si>
    <t>Interest on Security Deposits</t>
  </si>
  <si>
    <t>BST per Unit</t>
  </si>
  <si>
    <t>Return on Equity</t>
  </si>
  <si>
    <t>Tax on Return on Equity</t>
  </si>
  <si>
    <t xml:space="preserve">Total Distribution Cost </t>
  </si>
  <si>
    <t>Special Appropriation (C )</t>
  </si>
  <si>
    <t>Distribution Expenses</t>
  </si>
  <si>
    <t>Carrying Cost @ 7.45%</t>
  </si>
  <si>
    <t>Interest &amp; Finance charges</t>
  </si>
  <si>
    <t>True Up</t>
  </si>
  <si>
    <t>Other, if any - contingency and prior period</t>
  </si>
  <si>
    <t>Total Expenditure</t>
  </si>
  <si>
    <t>Prior Period Item</t>
  </si>
  <si>
    <t xml:space="preserve">Total Special Appropriation </t>
  </si>
  <si>
    <t>Contingency Reserve</t>
  </si>
  <si>
    <t>Total cost (A+B+C)</t>
  </si>
  <si>
    <t>Reasonable Return</t>
  </si>
  <si>
    <t>Less: Miscellaneous Receipt</t>
  </si>
  <si>
    <t>Excess/(deficit)</t>
  </si>
  <si>
    <t>Total Revenue Requirement</t>
  </si>
  <si>
    <t>Revenue from Tariffs (at Existing Rate)</t>
  </si>
  <si>
    <t>(Deficit)/ Surplus at Existing Rate</t>
  </si>
  <si>
    <t>Revenue from Tariffs (at Proposed Rate)</t>
  </si>
  <si>
    <t>(Deficit)/ Surplus at Proposed Rate</t>
  </si>
  <si>
    <t>Carrying Cost - 21-22 Gap @ 7.45%</t>
  </si>
  <si>
    <t>ROE</t>
  </si>
  <si>
    <t>Interest on RoE</t>
  </si>
  <si>
    <t>Carrying Cost</t>
  </si>
  <si>
    <t>New Working</t>
  </si>
  <si>
    <t>Sub- Total</t>
  </si>
  <si>
    <t>Revenue from sale of power</t>
  </si>
  <si>
    <t>Opening GAP with Carrying Cost</t>
  </si>
  <si>
    <t>Non-tariff Income</t>
  </si>
  <si>
    <t>GAP - 22-23 without carrying cost</t>
  </si>
  <si>
    <t>Closing GAP</t>
  </si>
  <si>
    <t>GAP</t>
  </si>
  <si>
    <t>Carrying Cost @ 7.45% 22-23</t>
  </si>
  <si>
    <t>Carrying Cost @ 7.45% 23-24</t>
  </si>
  <si>
    <t>Revenue Requirement</t>
  </si>
  <si>
    <t>FY 2021-22 (Approved)</t>
  </si>
  <si>
    <t>FY2022-23 (Projected)</t>
  </si>
  <si>
    <t>Power Purchase Cost</t>
  </si>
  <si>
    <t>Employee Cost</t>
  </si>
  <si>
    <t>Repair &amp; maintenance Cost</t>
  </si>
  <si>
    <t>Administrative &amp; General Expenses</t>
  </si>
  <si>
    <t>Provision for bad &amp; doubtful debts</t>
  </si>
  <si>
    <t>Interest on  Term Loan</t>
  </si>
  <si>
    <t>Interest On security Deposit</t>
  </si>
  <si>
    <t>Tax on ROE</t>
  </si>
  <si>
    <t>Revenue from sale of Power</t>
  </si>
  <si>
    <t>Non Tariff Income</t>
  </si>
  <si>
    <t>REVENUE GAP</t>
  </si>
  <si>
    <t>Form No. F.7</t>
  </si>
  <si>
    <t>SUBSIDY ON AVERAGE COST BASIS BY CUSTOMER CLASS AND SERVICE LEVEL FOR THE ENSUING FINANCIAL YEAR (2024-25)</t>
  </si>
  <si>
    <t>Revenue as % of cost</t>
  </si>
  <si>
    <t>Subsidy Rs. Lacs</t>
  </si>
  <si>
    <t>Subsidy Rs/kwh</t>
  </si>
  <si>
    <t>Rs/kwh</t>
  </si>
  <si>
    <t>Customer Class:</t>
  </si>
  <si>
    <t>General(Commercial)</t>
  </si>
  <si>
    <t>Irrigation Pumping and Agriculture</t>
  </si>
  <si>
    <t>Public Lighting(Street Lighting)</t>
  </si>
  <si>
    <t>L.T. Industrial(S) (Small Industry)</t>
  </si>
  <si>
    <t>L.T. Industrial(M) (Medium Industry)</t>
  </si>
  <si>
    <t>Public Institution&lt;100KVA</t>
  </si>
  <si>
    <t>Public Institution&gt;100KVA</t>
  </si>
  <si>
    <t>Specified Public Purpose(Public Institution)&lt;100 kw</t>
  </si>
  <si>
    <t>Power Int. Ind. =&gt; 25MVA</t>
  </si>
  <si>
    <t>Ministeel Plant</t>
  </si>
  <si>
    <t>Colony consumption</t>
  </si>
  <si>
    <t>Emergency Power supply to CPP</t>
  </si>
  <si>
    <t>DC Service:</t>
  </si>
  <si>
    <t>gap</t>
  </si>
  <si>
    <t>misc income</t>
  </si>
  <si>
    <t>Form No. F.8</t>
  </si>
  <si>
    <t>Proposed Charges, other than and in addition to the charges of tariff leviable for the purpose.</t>
  </si>
  <si>
    <t>(Amount in Rs.)</t>
  </si>
  <si>
    <t>(A)</t>
  </si>
  <si>
    <t>MONTHLY METER RENT</t>
  </si>
  <si>
    <t>Existing</t>
  </si>
  <si>
    <t>Single phase electro-magnetic KWH meter</t>
  </si>
  <si>
    <t>As per existing tariff</t>
  </si>
  <si>
    <t>3 Phase electro-magnetic KWH meter</t>
  </si>
  <si>
    <t>3 Phase electro-magnetic Trivector Meter</t>
  </si>
  <si>
    <t>Trivector Meter for Railway Traction</t>
  </si>
  <si>
    <t>Single phase Static KWH meter</t>
  </si>
  <si>
    <t>3 Phase Static KWH meter</t>
  </si>
  <si>
    <t>3 Phase Static Trivector Meter</t>
  </si>
  <si>
    <t>3 Phase Static bivector meter</t>
  </si>
  <si>
    <t>A set of LT current transformers</t>
  </si>
  <si>
    <t>11 KV Metering Unit without meter</t>
  </si>
  <si>
    <t>33 KV Metering Unit without meter</t>
  </si>
  <si>
    <t>EHT metering arrangement without meter</t>
  </si>
  <si>
    <t>LT Single Phase Smart Meter</t>
  </si>
  <si>
    <t>LT Three Phase Smart Meter</t>
  </si>
  <si>
    <t>(B)</t>
  </si>
  <si>
    <t>RECONNECTION CHARGES</t>
  </si>
  <si>
    <t>Single phase Domestic consumer</t>
  </si>
  <si>
    <t>As proposed</t>
  </si>
  <si>
    <t>Single phase other consumer</t>
  </si>
  <si>
    <t>Three phase L.T. consumer</t>
  </si>
  <si>
    <t>HT and EHT consumer</t>
  </si>
  <si>
    <t>(C)</t>
  </si>
  <si>
    <t>BASIS OF CALCULATION OF MONTHLY METER RENT</t>
  </si>
  <si>
    <t>RATE MAKING</t>
  </si>
  <si>
    <t>(D)</t>
  </si>
  <si>
    <t>BASIS OF FIXATION OF LOAD FACTOR FOR VARIOUS CATEGORIES OF CONSUMERS WITH DEFECTIVE METERS</t>
  </si>
  <si>
    <t>(E)</t>
  </si>
  <si>
    <t>BASIS OF FIXATION OF MINIMUM CHARGE</t>
  </si>
  <si>
    <t>As Proposed</t>
  </si>
  <si>
    <t>(F)</t>
  </si>
  <si>
    <t>BASIS OF FIXATION OF MAXIMUM DEMAND CHARGE</t>
  </si>
  <si>
    <t>(G)</t>
  </si>
  <si>
    <t>Power Factor Incentive &amp; Power Factor Penalty</t>
  </si>
  <si>
    <t>(H)</t>
  </si>
  <si>
    <t xml:space="preserve">Rebate &amp; Prompt Payment Incentive </t>
  </si>
  <si>
    <t>( I )</t>
  </si>
  <si>
    <t>Delayed Payment Surcharge</t>
  </si>
  <si>
    <t>OERC Form No. F. 9 (A)</t>
  </si>
  <si>
    <t>Statement of Sundry Debtors and Provision for Bad &amp; Doubtful Debt</t>
  </si>
  <si>
    <t>Rs. In Cr.</t>
  </si>
  <si>
    <t xml:space="preserve">Previous Year                 </t>
  </si>
  <si>
    <t xml:space="preserve">Estimate for Current Year   </t>
  </si>
  <si>
    <t>Receivable from consumers at beginning of the year</t>
  </si>
  <si>
    <t>Revenue billed for the year</t>
  </si>
  <si>
    <t>Collection for the year</t>
  </si>
  <si>
    <t>Against current dues</t>
  </si>
  <si>
    <t>Against arrears upto previous year</t>
  </si>
  <si>
    <t>Gross receivable from consumers as at the end of the year (1+2-3)</t>
  </si>
  <si>
    <t>No. of days of arrear to sales revenue</t>
  </si>
  <si>
    <t>Arrear against permanently disconnected consumers and  ghost consumers</t>
  </si>
  <si>
    <t>Arrear locked up in court cases</t>
  </si>
  <si>
    <t>Bad Debt written off(details to be furnished)</t>
  </si>
  <si>
    <t>Provision towards Bad and doubtful Debt</t>
  </si>
  <si>
    <t xml:space="preserve">Percentage of provision </t>
  </si>
  <si>
    <t>OERC Form No. F. 9 (B)</t>
  </si>
  <si>
    <t>Collection of past arrears</t>
  </si>
  <si>
    <t>April</t>
  </si>
  <si>
    <t>June</t>
  </si>
  <si>
    <t>July</t>
  </si>
  <si>
    <t>August</t>
  </si>
  <si>
    <t>Sept.</t>
  </si>
  <si>
    <t>Oct.</t>
  </si>
  <si>
    <t>Nov.</t>
  </si>
  <si>
    <t>Dec.</t>
  </si>
  <si>
    <t>Jan.</t>
  </si>
  <si>
    <t>Feb.</t>
  </si>
  <si>
    <t>March</t>
  </si>
  <si>
    <t>Live Consumers</t>
  </si>
  <si>
    <t>PDC Consumers</t>
  </si>
  <si>
    <t xml:space="preserve">Estimate for Current Year                  </t>
  </si>
  <si>
    <t>Rs. in cr.</t>
  </si>
  <si>
    <t xml:space="preserve">Ensuing Year            </t>
  </si>
  <si>
    <t>OERC Form No. F.10 (Information on Inventory)</t>
  </si>
  <si>
    <t>Previous Year (FY22-23)</t>
  </si>
  <si>
    <t>Opening Stock</t>
  </si>
  <si>
    <t>Purchased during the month</t>
  </si>
  <si>
    <t>Issued to capital work</t>
  </si>
  <si>
    <t>Issued to consumables/repair and maintainance</t>
  </si>
  <si>
    <t>Adjustment</t>
  </si>
  <si>
    <t>(Write-off)</t>
  </si>
  <si>
    <t>Closing Stock (1+2-3-4-5-6)</t>
  </si>
  <si>
    <t>Current Year (FY 23-24)</t>
  </si>
  <si>
    <t xml:space="preserve">INFORMATION ON INVENTORY </t>
  </si>
  <si>
    <t>Purchase during the month</t>
  </si>
  <si>
    <t>Issue for consumables/repair and maintainance</t>
  </si>
  <si>
    <t>OERC Form No. F.10</t>
  </si>
  <si>
    <t>Ensuing Year (FY 24-25)</t>
  </si>
  <si>
    <t>Issue to consumables/repair and maintainance</t>
  </si>
  <si>
    <t>** Above data pertains to Opex inventory</t>
  </si>
  <si>
    <t xml:space="preserve">                       OERC Form No. F. 11</t>
  </si>
  <si>
    <t xml:space="preserve">                                                                                 STATEMENT OF SHARE CAPITAL                                         (Rs. In Crs.)</t>
  </si>
  <si>
    <t>Description of capital</t>
  </si>
  <si>
    <t>Balance at the beginning of the year (01.04.2021)</t>
  </si>
  <si>
    <t>Receipts during the year</t>
  </si>
  <si>
    <t>Redeemed during the year</t>
  </si>
  <si>
    <t>Balance at the end of the year (31.03.2022)</t>
  </si>
  <si>
    <t>Remarks</t>
  </si>
  <si>
    <t>Share capital</t>
  </si>
  <si>
    <t>Authorised capital</t>
  </si>
  <si>
    <t>100,00,00,000 nos Ordinary shares of Rs.10 Each</t>
  </si>
  <si>
    <t>% preference shares of Rs. Each</t>
  </si>
  <si>
    <t>Issued capital</t>
  </si>
  <si>
    <t>29,49,43,600 nos Ordinary shares of Rs.10 Each</t>
  </si>
  <si>
    <t>Subscribed capital</t>
  </si>
  <si>
    <t>Called-up capital</t>
  </si>
  <si>
    <t>Ordinary shares of Rs. Each</t>
  </si>
  <si>
    <t>Less calls in arrears</t>
  </si>
  <si>
    <t>Paid up capital</t>
  </si>
  <si>
    <t>Total paid up capital</t>
  </si>
  <si>
    <t xml:space="preserve">                 OERC Form No. F. 11</t>
  </si>
  <si>
    <t xml:space="preserve">                                                                                 STATEMENT OF SHARE CAPITAL                                            (Rs. in Crs.)</t>
  </si>
  <si>
    <t xml:space="preserve">Old capital </t>
  </si>
  <si>
    <t>Balance at the beginning of the year</t>
  </si>
  <si>
    <t>Balance at the end of the year</t>
  </si>
  <si>
    <t xml:space="preserve">ROE </t>
  </si>
  <si>
    <t>Equity share of Rs 10</t>
  </si>
  <si>
    <t>Issued, subscribed and paid up capital</t>
  </si>
  <si>
    <t xml:space="preserve">                                                                                 STATEMENT OF SHARE CAPITAL                                                            (Rs. in Crs.)</t>
  </si>
  <si>
    <t xml:space="preserve">New capital </t>
  </si>
  <si>
    <t>Emp count</t>
  </si>
  <si>
    <t>Dep't</t>
  </si>
  <si>
    <t>YTD Oct-21</t>
  </si>
  <si>
    <t>Projection</t>
  </si>
  <si>
    <t>Estimate</t>
  </si>
  <si>
    <t>Project</t>
  </si>
  <si>
    <t>          75,48,503</t>
  </si>
  <si>
    <t>                  2,45,60,436</t>
  </si>
  <si>
    <t>                    7,36,81,308</t>
  </si>
  <si>
    <t>Civil</t>
  </si>
  <si>
    <t>          50,27,949</t>
  </si>
  <si>
    <t>                  1,80,18,141</t>
  </si>
  <si>
    <t>                    3,78,38,096</t>
  </si>
  <si>
    <t>MMG</t>
  </si>
  <si>
    <t>          46,81,458</t>
  </si>
  <si>
    <t>                  2,72,72,987</t>
  </si>
  <si>
    <t>                    7,31,82,468</t>
  </si>
  <si>
    <t>IT</t>
  </si>
  <si>
    <t>          52,53,776</t>
  </si>
  <si>
    <t>                  1,81,95,490</t>
  </si>
  <si>
    <t>                    4,54,88,725</t>
  </si>
  <si>
    <t>            2,25,11,686</t>
  </si>
  <si>
    <t>                           8,80,47,054</t>
  </si>
  <si>
    <t>                           23,01,90,597</t>
  </si>
  <si>
    <t>Nos</t>
  </si>
  <si>
    <t>year (2021-22)</t>
  </si>
  <si>
    <t>year (2022-23)</t>
  </si>
  <si>
    <t>                 11,60,760.00</t>
  </si>
  <si>
    <t>                 12,83,520.00</t>
  </si>
  <si>
    <t>             4,26,56,301.00</t>
  </si>
  <si>
    <t>              4,72,92,165.00</t>
  </si>
  <si>
    <t>             1,49,77,608.00</t>
  </si>
  <si>
    <t>              1,41,94,764.00</t>
  </si>
  <si>
    <t>             5,87,94,669.00</t>
  </si>
  <si>
    <t>                     49.00</t>
  </si>
  <si>
    <t>              6,27,70,449.00</t>
  </si>
  <si>
    <t>CAPITALISATION</t>
  </si>
  <si>
    <t>21-22</t>
  </si>
  <si>
    <t>22-23</t>
  </si>
  <si>
    <t>OERC Form No. F. 12 (a)</t>
  </si>
  <si>
    <t xml:space="preserve">Inherited Employees </t>
  </si>
  <si>
    <t>PREVIOUS YEAR       In INR  Lakhs</t>
  </si>
  <si>
    <t xml:space="preserve"> CURRENT YEAR  In INR Lakhs </t>
  </si>
  <si>
    <t xml:space="preserve"> ENSUING YEAR    IN INR Lakhs</t>
  </si>
  <si>
    <t>Executive</t>
  </si>
  <si>
    <t>Non-Executive</t>
  </si>
  <si>
    <t>Salaries And Allowance</t>
  </si>
  <si>
    <t xml:space="preserve">Technical      </t>
  </si>
  <si>
    <t xml:space="preserve"> Non-Tech.</t>
  </si>
  <si>
    <t xml:space="preserve">Technical        </t>
  </si>
  <si>
    <t xml:space="preserve">Number of emloyees </t>
  </si>
  <si>
    <t>Basic Pay</t>
  </si>
  <si>
    <t>Grade Pay</t>
  </si>
  <si>
    <t>Dearness Allowance</t>
  </si>
  <si>
    <t>Reimbursement of House Rent</t>
  </si>
  <si>
    <t>Other Allowance</t>
  </si>
  <si>
    <t>Over Time</t>
  </si>
  <si>
    <t>Bonus</t>
  </si>
  <si>
    <t>Sub Total (1 to 7)</t>
  </si>
  <si>
    <t>Outsource and contractual employee cost</t>
  </si>
  <si>
    <t>Contractual Obligation</t>
  </si>
  <si>
    <t>Out Source Obligation</t>
  </si>
  <si>
    <t>Others, If any</t>
  </si>
  <si>
    <t>Total contractual employee cost (9 to 11)</t>
  </si>
  <si>
    <t>Other Staff Cost</t>
  </si>
  <si>
    <t>Reimbursement of Medical Expenses</t>
  </si>
  <si>
    <t>Leave Travel Concession</t>
  </si>
  <si>
    <t>Interim Relief to Staff</t>
  </si>
  <si>
    <t>Encashment of Earned Leave (UL)</t>
  </si>
  <si>
    <t>Honorarium</t>
  </si>
  <si>
    <t>Payment under Workmen compensation Act</t>
  </si>
  <si>
    <t>Ex-gratia</t>
  </si>
  <si>
    <t>Miscellaneous</t>
  </si>
  <si>
    <t>Total other Staff Cost (13 to 20)</t>
  </si>
  <si>
    <t>Staff Welfare Expenses</t>
  </si>
  <si>
    <t>Terminal Benefits</t>
  </si>
  <si>
    <t>Total (8+12+21+22+23)</t>
  </si>
  <si>
    <t>Less:-Employee cost Capitalised</t>
  </si>
  <si>
    <t>Net Emplyoee Cost</t>
  </si>
  <si>
    <t>ADDITIONAL INFORMATION</t>
  </si>
  <si>
    <t>No. of Employees as on :</t>
  </si>
  <si>
    <t>No. of Employees per MKWh sold</t>
  </si>
  <si>
    <t>No. of consumer as at ...............</t>
  </si>
  <si>
    <t xml:space="preserve"> No. of employees per 1000 consumers</t>
  </si>
  <si>
    <t>OERC Form No. F. 12 (b)</t>
  </si>
  <si>
    <t xml:space="preserve">                                                                                                                                                EMPLOYEES COST    (New Recruitment)                                                                                                           Rs. INR Lakhs                </t>
  </si>
  <si>
    <t>PREVIOUS YEAR       In INR Lakhs</t>
  </si>
  <si>
    <t xml:space="preserve"> CURRENT YEAR  In INR Lakhs</t>
  </si>
  <si>
    <t xml:space="preserve"> ENSUING YEAR  In INR Lakhs </t>
  </si>
  <si>
    <t>Number of employees</t>
  </si>
  <si>
    <t xml:space="preserve">CTC </t>
  </si>
  <si>
    <t xml:space="preserve">Fixed Pay </t>
  </si>
  <si>
    <t xml:space="preserve">Variable pay </t>
  </si>
  <si>
    <t>Total (2+3)</t>
  </si>
  <si>
    <t>OERC Form No. F. 12 ( c)</t>
  </si>
  <si>
    <t xml:space="preserve">                                                                                                                                                                      EMPLOYEES COST                                                                                               In INR Lakhs                </t>
  </si>
  <si>
    <t>PREVIOUS YEAR      In INR Lakhs</t>
  </si>
  <si>
    <t xml:space="preserve"> ENSUING YEAR   In INR Lakhs</t>
  </si>
  <si>
    <t>Total Net Employee Cost ( Erstwhile + Newly formed Discoms)</t>
  </si>
  <si>
    <t>ADDITIONAL INFORMATION (For Total Employee strenght)</t>
  </si>
  <si>
    <t>Previous Year 22-23</t>
  </si>
  <si>
    <t>Current Year 23-24</t>
  </si>
  <si>
    <t>Ensuing Year 24-25</t>
  </si>
  <si>
    <t>No. of Employees as on :1st April</t>
  </si>
  <si>
    <t>No. of Employees added during the year :</t>
  </si>
  <si>
    <t>Employees Retd./Expired/resigned during the year :</t>
  </si>
  <si>
    <t>Average no. of Employees for the year</t>
  </si>
  <si>
    <t>No. of Million Units Sold</t>
  </si>
  <si>
    <t xml:space="preserve">No. of consumer as on 31st March </t>
  </si>
  <si>
    <t>OERC Form No. F. 12 (d)</t>
  </si>
  <si>
    <t xml:space="preserve"> Employees proposed and approved FY 2023-24</t>
  </si>
  <si>
    <t>Employees Proposed (2023-24)</t>
  </si>
  <si>
    <t>DISCOM's</t>
  </si>
  <si>
    <t>No. of employees as on 01.04.2022</t>
  </si>
  <si>
    <t>Add: Addition during 2022-23</t>
  </si>
  <si>
    <t>Less: Retirement/Expired Resignation during 2022-23</t>
  </si>
  <si>
    <t>No. of employees as on 31.03.2023</t>
  </si>
  <si>
    <t>Add: Addition during 2023-24</t>
  </si>
  <si>
    <t>Less: Retirement/Expired/ Resignation during year 2023-24</t>
  </si>
  <si>
    <t>No. of employees as on 31.03.2024</t>
  </si>
  <si>
    <t>Add: Addition during 2024-25</t>
  </si>
  <si>
    <t>Less: Retirement/Expired/ Resignation during year 2024-25</t>
  </si>
  <si>
    <t>No. of employees as on 31.03.2025</t>
  </si>
  <si>
    <t>Employees Approved (2022-23)</t>
  </si>
  <si>
    <t>Average no. of employees for FY 2022-23</t>
  </si>
  <si>
    <t>Average no. of employees for FY 2023-24</t>
  </si>
  <si>
    <t>Average no. of employees for FY 2024-25</t>
  </si>
  <si>
    <t>Cash outgo on Contractual and Outsource engagement</t>
  </si>
  <si>
    <t>Pro-rated for FY 2022-23</t>
  </si>
  <si>
    <t>OERC Form No. F. 12 (e)</t>
  </si>
  <si>
    <t>Terminal Liability Cash Out go from April 2023 to Sep-2023</t>
  </si>
  <si>
    <t>PF</t>
  </si>
  <si>
    <t>Pension</t>
  </si>
  <si>
    <t>Gratuity</t>
  </si>
  <si>
    <t>Rehabilitation</t>
  </si>
  <si>
    <t>Total for 7 months</t>
  </si>
  <si>
    <t>Less: 7th pay arrear</t>
  </si>
  <si>
    <t>Total terminal dues after 7th pay arrear  taken out</t>
  </si>
  <si>
    <t xml:space="preserve">Average </t>
  </si>
  <si>
    <t>Cash outgo of Medical allowance , HRA and Basic +GP( Information to be provided  Separately)</t>
  </si>
  <si>
    <t>Average per month</t>
  </si>
  <si>
    <t>Allocation of Employee Cost for 2022-23</t>
  </si>
  <si>
    <t>Allocation of Employee Cost for 2023-24</t>
  </si>
  <si>
    <t>MU sold</t>
  </si>
  <si>
    <t>Ex.salary</t>
  </si>
  <si>
    <t>Non Ex.Salary</t>
  </si>
  <si>
    <t>(In Crs)</t>
  </si>
  <si>
    <r>
      <t xml:space="preserve">           </t>
    </r>
    <r>
      <rPr>
        <b/>
        <sz val="11"/>
        <color theme="1"/>
        <rFont val="Arial"/>
        <family val="2"/>
      </rPr>
      <t>Particulars</t>
    </r>
  </si>
  <si>
    <t xml:space="preserve">Employee Cost </t>
  </si>
  <si>
    <t>Less: Cost Capitalized</t>
  </si>
  <si>
    <t>Net Employee Cost</t>
  </si>
  <si>
    <t>Actual</t>
  </si>
  <si>
    <t>Estimated</t>
  </si>
  <si>
    <t>Nature of Expenses</t>
  </si>
  <si>
    <t>ARR Classification</t>
  </si>
  <si>
    <t>GL Code</t>
  </si>
  <si>
    <t>Gl Description</t>
  </si>
  <si>
    <t>YTD Oct 23</t>
  </si>
  <si>
    <t>Nov 23 to Mar 24</t>
  </si>
  <si>
    <t>Type</t>
  </si>
  <si>
    <t>Salaries, wages and bonus</t>
  </si>
  <si>
    <t xml:space="preserve">Empl Cost-B Salary  </t>
  </si>
  <si>
    <t>Employee cost-overtime</t>
  </si>
  <si>
    <t xml:space="preserve">Empl Cost-DA        </t>
  </si>
  <si>
    <t xml:space="preserve">Empl Cost-HRA       </t>
  </si>
  <si>
    <t xml:space="preserve">Empl Cost-Med All   </t>
  </si>
  <si>
    <t>Conveyance allowance</t>
  </si>
  <si>
    <t xml:space="preserve">Wage Board Expenses </t>
  </si>
  <si>
    <t xml:space="preserve">Shift Allwnce       </t>
  </si>
  <si>
    <t xml:space="preserve">GreenCard Allwnce   </t>
  </si>
  <si>
    <t xml:space="preserve">Washing Allwnce     </t>
  </si>
  <si>
    <t xml:space="preserve">Other Staff Costs-NESCO   </t>
  </si>
  <si>
    <t xml:space="preserve">Education Expenses  </t>
  </si>
  <si>
    <t xml:space="preserve">Compensation-Staff  </t>
  </si>
  <si>
    <t>Terminal benefit expenses</t>
  </si>
  <si>
    <t>Sick Leave-NESCO Employees</t>
  </si>
  <si>
    <t>Benevolent fund-NESCO</t>
  </si>
  <si>
    <t xml:space="preserve">Estimator Allwnce   </t>
  </si>
  <si>
    <t>Empl Cost-Other Allw</t>
  </si>
  <si>
    <t>Performance incentives,2024-25 included in bonus</t>
  </si>
  <si>
    <t>Empl Cost-Contractul</t>
  </si>
  <si>
    <t>Empl Cost-Apprentice</t>
  </si>
  <si>
    <t>Empl Cost-Outsourced</t>
  </si>
  <si>
    <t xml:space="preserve">Empl Cost-Bonus     </t>
  </si>
  <si>
    <t xml:space="preserve">Empl Cost-Exgratia  </t>
  </si>
  <si>
    <t>Leave Travel Concesn-TP</t>
  </si>
  <si>
    <t>Contribution to provident and other funds (Refer Note 18.2)</t>
  </si>
  <si>
    <t xml:space="preserve">Emplrs PF Cont-RPFC </t>
  </si>
  <si>
    <t>Emplrs PF Cont-Trust</t>
  </si>
  <si>
    <t>Emplrs Pen Cont-RPFC</t>
  </si>
  <si>
    <t>RPFC AdmnEDLI InspCh</t>
  </si>
  <si>
    <t>Gratuity-ActuaryProv</t>
  </si>
  <si>
    <t>Pension-Actuary Prov</t>
  </si>
  <si>
    <t>Staff welfare expenses</t>
  </si>
  <si>
    <t xml:space="preserve">Compensation        </t>
  </si>
  <si>
    <t>Fooding Expens-NESCO</t>
  </si>
  <si>
    <t>Contr-staff welfare</t>
  </si>
  <si>
    <t>Trav &amp; Conv Reimburs</t>
  </si>
  <si>
    <t>RehabAst-ActuaryProv</t>
  </si>
  <si>
    <t>E Leave etc-ActuProv</t>
  </si>
  <si>
    <t xml:space="preserve">Basic Salaries-TP   </t>
  </si>
  <si>
    <t>TP-CTC</t>
  </si>
  <si>
    <t>House Rent Allown-TP</t>
  </si>
  <si>
    <t>Med Exp Reimbursemnt-TP</t>
  </si>
  <si>
    <t>Rent of Leasd Car_TP</t>
  </si>
  <si>
    <t xml:space="preserve">Shift Allwnce_TP       </t>
  </si>
  <si>
    <t>House Rent Reimbursm</t>
  </si>
  <si>
    <t xml:space="preserve">Car Allowance-TP    </t>
  </si>
  <si>
    <t xml:space="preserve">Gratuity-TP         </t>
  </si>
  <si>
    <t xml:space="preserve">Transfer Grant-TP   </t>
  </si>
  <si>
    <t>Emplr Contrb-ESIC-TP</t>
  </si>
  <si>
    <t>EducationExpenses-TP</t>
  </si>
  <si>
    <t>ESIC PmtFor Staff-TP</t>
  </si>
  <si>
    <t>Other Staff Costs -TP</t>
  </si>
  <si>
    <t xml:space="preserve">GIS Premium         </t>
  </si>
  <si>
    <t xml:space="preserve">CLA - TP Staff      </t>
  </si>
  <si>
    <t xml:space="preserve">Sick Leave-TP Staff </t>
  </si>
  <si>
    <t>EDLI Admn Charges-TP</t>
  </si>
  <si>
    <t>Long Serv. Awrd Sch.</t>
  </si>
  <si>
    <t>Benevolent fund-TP</t>
  </si>
  <si>
    <t>Cash Allwnce-1990_TP</t>
  </si>
  <si>
    <t>Adj Allwnce-TP Staff</t>
  </si>
  <si>
    <t>Comp Allwnce-1300_TP</t>
  </si>
  <si>
    <t>SuperAllwnce-1570_TP</t>
  </si>
  <si>
    <t xml:space="preserve">Mobile Allowance-TP </t>
  </si>
  <si>
    <t xml:space="preserve">Data Allowance-TP   </t>
  </si>
  <si>
    <t>Strateg M Allwnce-TP</t>
  </si>
  <si>
    <t>Fixed Allwnce Bal-TP</t>
  </si>
  <si>
    <t xml:space="preserve">PL Bonus/Award-TP   </t>
  </si>
  <si>
    <t>Empl Cost-ExgratiaTP</t>
  </si>
  <si>
    <t xml:space="preserve">LT Allowance-TP     </t>
  </si>
  <si>
    <t>Leave encashment-TP</t>
  </si>
  <si>
    <t xml:space="preserve">Honorarium          </t>
  </si>
  <si>
    <t>Inc. for OTS of consumer dues</t>
  </si>
  <si>
    <t xml:space="preserve">Employer Cont_PF-TP </t>
  </si>
  <si>
    <t xml:space="preserve">Emplr Contrb-NPS-TP </t>
  </si>
  <si>
    <t xml:space="preserve">School Fee Reimb-TP </t>
  </si>
  <si>
    <t xml:space="preserve">Medical Expenses    </t>
  </si>
  <si>
    <t xml:space="preserve">Canteen Expenses    </t>
  </si>
  <si>
    <t>Fooding Expens-Staff-TP</t>
  </si>
  <si>
    <t xml:space="preserve">Ret. Gift Scheme    </t>
  </si>
  <si>
    <t>Transportn-Outsiders</t>
  </si>
  <si>
    <t>Pension PmtTP-PERIOD</t>
  </si>
  <si>
    <t xml:space="preserve">PRMB Scheme-TP      </t>
  </si>
  <si>
    <t>Earned Leave Encashm</t>
  </si>
  <si>
    <t>Uniform and Liveries</t>
  </si>
  <si>
    <t>Both</t>
  </si>
  <si>
    <t>Oth Staff WelfareExp</t>
  </si>
  <si>
    <t xml:space="preserve">Fooding Expenses    </t>
  </si>
  <si>
    <t xml:space="preserve">Training Expenses   </t>
  </si>
  <si>
    <t>Ins Health&amp;Oth-Amort</t>
  </si>
  <si>
    <t>Employees Cost Capitalised</t>
  </si>
  <si>
    <t>Employee cost Capitalised</t>
  </si>
  <si>
    <t>Employee Cost charged to capital works</t>
  </si>
  <si>
    <t>As per FS</t>
  </si>
  <si>
    <t>Nesco</t>
  </si>
  <si>
    <t>TP_CTC</t>
  </si>
  <si>
    <t>Insurance-TP</t>
  </si>
  <si>
    <t>Insurance-Nesco</t>
  </si>
  <si>
    <t>TP</t>
  </si>
  <si>
    <t>Provident  Fund</t>
  </si>
  <si>
    <t>Leave Salary</t>
  </si>
  <si>
    <t>Repaiar &amp; Maintenance Expenses</t>
  </si>
  <si>
    <t xml:space="preserve">                                               OERC Form No. F. 13 (a)             (Rs. In .cr)</t>
  </si>
  <si>
    <t>R&amp;M for FY 2024-25</t>
  </si>
  <si>
    <t>DISCOM</t>
  </si>
  <si>
    <t>Govt. Assets (OPTCL)</t>
  </si>
  <si>
    <t xml:space="preserve">Total R&amp;M </t>
  </si>
  <si>
    <t>Approved</t>
  </si>
  <si>
    <t>DISCOM's Gross fixed assets(GFA) as on 01.04.2024</t>
  </si>
  <si>
    <t>Rate of R &amp; M on GFA</t>
  </si>
  <si>
    <t xml:space="preserve">R&amp;M on GFA </t>
  </si>
  <si>
    <t>Govt. (Funded/Grant) Assets as on 01.04.2024</t>
  </si>
  <si>
    <t>Rate of R &amp; M on Govt. (Funded/Grant) Assets</t>
  </si>
  <si>
    <t xml:space="preserve">R&amp;M on Govt. funded Assets </t>
  </si>
  <si>
    <t xml:space="preserve">2nd shift Rural Manning </t>
  </si>
  <si>
    <t xml:space="preserve">Total R &amp; M </t>
  </si>
  <si>
    <t xml:space="preserve">                                                                      OERC Form No. F. 13 (b)                                                (Rs. In  Lakhs)</t>
  </si>
  <si>
    <t>Repair and Maintenance</t>
  </si>
  <si>
    <t>Particulars (Own)</t>
  </si>
  <si>
    <t xml:space="preserve">Previous Year   </t>
  </si>
  <si>
    <t>Actual for first six months of current year</t>
  </si>
  <si>
    <t>Estimate for Current Year</t>
  </si>
  <si>
    <t>Projection for  Ensuing Year</t>
  </si>
  <si>
    <t>Civil repairs &amp; maintenance</t>
  </si>
  <si>
    <t>Distribution line repairs &amp; maintenance</t>
  </si>
  <si>
    <t>Consumer service maintenance</t>
  </si>
  <si>
    <t>Street lighting maintenance</t>
  </si>
  <si>
    <t>Transformer maintenance</t>
  </si>
  <si>
    <t>Other repairs &amp; maintenance</t>
  </si>
  <si>
    <t>Additional Repair &amp; Maintenance towards RGGVY &amp; BGJY</t>
  </si>
  <si>
    <t xml:space="preserve">                                                                      OERC Form No. F. 13 (c)                                                (Rs. In Lakhs)</t>
  </si>
  <si>
    <t>Particulars ( Outsource agencies)</t>
  </si>
  <si>
    <t>Projected  for Ensuing Year</t>
  </si>
  <si>
    <t>Note : Details of maintainance spare needs to be provided i.e purchased and utilised during the year</t>
  </si>
  <si>
    <t xml:space="preserve">Total R&amp;M Cost </t>
  </si>
  <si>
    <t>Previous Year   FY 2022-23</t>
  </si>
  <si>
    <t>Estimated for Current Year  FY 2023-24</t>
  </si>
  <si>
    <t>Ensuing Year  FY 2024-25</t>
  </si>
  <si>
    <t>Transformer Repair</t>
  </si>
  <si>
    <t>ADMINISTRATIVE &amp; GENERAL EXPENSES</t>
  </si>
  <si>
    <t>EST FY24</t>
  </si>
  <si>
    <t>ARR FY25</t>
  </si>
  <si>
    <t>PROPERTY RELATED EXPENSES</t>
  </si>
  <si>
    <t>Licence Fees</t>
  </si>
  <si>
    <t>Rent, Rates &amp; Cess</t>
  </si>
  <si>
    <t>Lease Rent</t>
  </si>
  <si>
    <t>Insurance</t>
  </si>
  <si>
    <t>Sub total :</t>
  </si>
  <si>
    <t>COMMUNICATION</t>
  </si>
  <si>
    <t>Telephone &amp; Mobile reimbursements / Internet IT Chgs</t>
  </si>
  <si>
    <t>Postage &amp; Telegram</t>
  </si>
  <si>
    <t>PROFESSIONAL CHARGES</t>
  </si>
  <si>
    <t xml:space="preserve">Legal expenses </t>
  </si>
  <si>
    <t>Expenditure for Energy Audit</t>
  </si>
  <si>
    <t>Consultancy charges</t>
  </si>
  <si>
    <t>Micro privatisation/Rural franchise/Input franchise</t>
  </si>
  <si>
    <t>Audit fees</t>
  </si>
  <si>
    <t>CONVEYANCE &amp; TRAVELLING</t>
  </si>
  <si>
    <t>Conveyance expenses</t>
  </si>
  <si>
    <t>Travelling expenses</t>
  </si>
  <si>
    <t>Hire charges of vehicle</t>
  </si>
  <si>
    <t>OTHER EXPENSES</t>
  </si>
  <si>
    <t>Fees &amp; Subscription</t>
  </si>
  <si>
    <t>Books &amp; Periodicals</t>
  </si>
  <si>
    <t>Printing &amp; Stationery</t>
  </si>
  <si>
    <t>Advertisement</t>
  </si>
  <si>
    <t>Events and Campaign Expenses</t>
  </si>
  <si>
    <t>Security &amp; Surveillance</t>
  </si>
  <si>
    <t>Spot Billing &amp; collection Expenses</t>
  </si>
  <si>
    <t>Electricity Expenses</t>
  </si>
  <si>
    <t>Enforcement Activities</t>
  </si>
  <si>
    <t>Facility Management Expenses</t>
  </si>
  <si>
    <t>Consumer Camp Expenses</t>
  </si>
  <si>
    <t>Consumer Care Center &amp; Call Center Exp</t>
  </si>
  <si>
    <t>Safety, Ethics</t>
  </si>
  <si>
    <t>Data Entry Expenses</t>
  </si>
  <si>
    <t>Compensation Expenses to Outsiders</t>
  </si>
  <si>
    <t xml:space="preserve">Expenditure on IT - Automation </t>
  </si>
  <si>
    <t>AMR related - running Expenditure</t>
  </si>
  <si>
    <t>Less 195</t>
  </si>
  <si>
    <t>Training</t>
  </si>
  <si>
    <t>Gyankosh licence fees, Training, Conference, Travelling</t>
  </si>
  <si>
    <t>Covid related Expenses</t>
  </si>
  <si>
    <t>Employee welfare expense</t>
  </si>
  <si>
    <t>Admin AMCs</t>
  </si>
  <si>
    <t>Others-Misc.</t>
  </si>
  <si>
    <t>MATERIAL RELATED EXPENSES</t>
  </si>
  <si>
    <t>Others- Contingency</t>
  </si>
  <si>
    <t>Plant &amp; Machinery</t>
  </si>
  <si>
    <t>Lines, Cables &amp; Network Assets</t>
  </si>
  <si>
    <t>Furniture, Fixtures, Other equip, Vehicles</t>
  </si>
  <si>
    <t>Licencee-TPNODL</t>
  </si>
  <si>
    <t>Form No. F. 14</t>
  </si>
  <si>
    <t>ADMINISTRATION &amp; GENERAL EXPENSES</t>
  </si>
  <si>
    <t>(Rs. In Lacs)</t>
  </si>
  <si>
    <t>Account Code</t>
  </si>
  <si>
    <t>Contribution to accident reserve fund</t>
  </si>
  <si>
    <t>Telephone &amp; Trunk Call</t>
  </si>
  <si>
    <t>Telex, Teleprinter Charges, Telefax</t>
  </si>
  <si>
    <t>Courier Charges</t>
  </si>
  <si>
    <t>Travelling &amp; Conveyance expenses</t>
  </si>
  <si>
    <t xml:space="preserve">Advertisement, events &amp; media campaign </t>
  </si>
  <si>
    <t>Watch &amp; Ward/Security &amp; Surveillance</t>
  </si>
  <si>
    <t>Metering, billing &amp; collection</t>
  </si>
  <si>
    <t>Meter Reading Expenses</t>
  </si>
  <si>
    <t>Disconnection Squad Expenses/Enforcement Activities</t>
  </si>
  <si>
    <t>Office Up-Keep Expenses/Facility Management Expns</t>
  </si>
  <si>
    <t>Compensation Expenses to Outsiders &amp; Employees</t>
  </si>
  <si>
    <t>Organisational Development Expenses</t>
  </si>
  <si>
    <t>Demmurage and Wharfage on materials</t>
  </si>
  <si>
    <t>Clearing &amp; forwarding charges</t>
  </si>
  <si>
    <t>Transit insurance</t>
  </si>
  <si>
    <t>Allocation of A &amp; G Expenses.</t>
  </si>
  <si>
    <t>S</t>
  </si>
  <si>
    <t>MU Sale</t>
  </si>
  <si>
    <t>A&amp;G Exp</t>
  </si>
  <si>
    <t>Year  2022-23</t>
  </si>
  <si>
    <t>Year   2023-24</t>
  </si>
  <si>
    <t>MU Sold</t>
  </si>
  <si>
    <t>A&amp;G</t>
  </si>
  <si>
    <t>YTD Sep-2023</t>
  </si>
  <si>
    <t>Rent, Rates, Insurances</t>
  </si>
  <si>
    <t>Professional Charges</t>
  </si>
  <si>
    <t xml:space="preserve">Conveyance &amp;Travelling </t>
  </si>
  <si>
    <t>Licencee :   TPNODL</t>
  </si>
  <si>
    <t>Form No. F. 15</t>
  </si>
  <si>
    <t xml:space="preserve">                                                                                                                                                                  CONSOLIDATED AGEWISE ANALYSIS OF DEBTORS OUTSTANDING AS ON 31.03.2023</t>
  </si>
  <si>
    <t>(Rs. in lakhs.)</t>
  </si>
  <si>
    <t>Categories of Consumer/Region</t>
  </si>
  <si>
    <t>0 – 6m</t>
  </si>
  <si>
    <t>6– 12 m</t>
  </si>
  <si>
    <t>12-24 m</t>
  </si>
  <si>
    <t>24-36 m</t>
  </si>
  <si>
    <t>Over36 m</t>
  </si>
  <si>
    <t>Total Out-standing</t>
  </si>
  <si>
    <t>Billed</t>
  </si>
  <si>
    <t>No. of Days of Sales</t>
  </si>
  <si>
    <t>Disputed Amount</t>
  </si>
  <si>
    <t xml:space="preserve">permanently Discon-nected </t>
  </si>
  <si>
    <t>Suit filed</t>
  </si>
  <si>
    <t>Provision made</t>
  </si>
  <si>
    <t>Agro &amp; Agro Allied</t>
  </si>
  <si>
    <t>LT General(Commercial)</t>
  </si>
  <si>
    <t xml:space="preserve">Industrial </t>
  </si>
  <si>
    <t>High tension</t>
  </si>
  <si>
    <t>Medium/low tension</t>
  </si>
  <si>
    <t>Irrigation/ Agricultural</t>
  </si>
  <si>
    <t>Water Supply &amp; public works</t>
  </si>
  <si>
    <t>Traction/ Railways</t>
  </si>
  <si>
    <t>Temporary Lighting</t>
  </si>
  <si>
    <t>Bulk supplies to distributing licencees</t>
  </si>
  <si>
    <t>Bulk supply to others</t>
  </si>
  <si>
    <t xml:space="preserve">Others </t>
  </si>
  <si>
    <t>Form No. F. 16</t>
  </si>
  <si>
    <t>CONSOLIDATED REPORT ON INVENTORY HOLDING</t>
  </si>
  <si>
    <t>(Rs. in Crs.)</t>
  </si>
  <si>
    <t>As at 31.03.2023</t>
  </si>
  <si>
    <t>Consumption</t>
  </si>
  <si>
    <t>Stock as at</t>
  </si>
  <si>
    <t>Inventory Holding</t>
  </si>
  <si>
    <t>For the first Quarter</t>
  </si>
  <si>
    <t>For the second Quarter</t>
  </si>
  <si>
    <t>For the third Quarter</t>
  </si>
  <si>
    <t>For the fourth Quarter</t>
  </si>
  <si>
    <t>Year to date</t>
  </si>
  <si>
    <t>(in months)</t>
  </si>
  <si>
    <t>`</t>
  </si>
  <si>
    <t>Transformers</t>
  </si>
  <si>
    <t>Towers</t>
  </si>
  <si>
    <t>Switch gears</t>
  </si>
  <si>
    <t>Cables</t>
  </si>
  <si>
    <t>----------</t>
  </si>
  <si>
    <t>Distribution business</t>
  </si>
  <si>
    <t>Cable and Conductors</t>
  </si>
  <si>
    <t>Circuit Breaker</t>
  </si>
  <si>
    <t>Electric Light Fitting</t>
  </si>
  <si>
    <t>Insulators</t>
  </si>
  <si>
    <t>Metering Equipment</t>
  </si>
  <si>
    <t>Oil</t>
  </si>
  <si>
    <t>Poles</t>
  </si>
  <si>
    <t>Steel</t>
  </si>
  <si>
    <t>Transformer</t>
  </si>
  <si>
    <t>(Rs. In Crs.)</t>
  </si>
  <si>
    <t>As at 31.03.2024</t>
  </si>
  <si>
    <t>31.03.2024</t>
  </si>
  <si>
    <t>Transmission business</t>
  </si>
  <si>
    <t>Form No. F. 17</t>
  </si>
  <si>
    <t>CONSOLIDATED REPORT ON SECURED/UNSECURED LOAN</t>
  </si>
  <si>
    <t>(Rs. in Lacs)</t>
  </si>
  <si>
    <t>TERMS</t>
  </si>
  <si>
    <t>AMOUNT OF LOAN REDEEMED</t>
  </si>
  <si>
    <t>BALANCE OF LOAN</t>
  </si>
  <si>
    <t>COST</t>
  </si>
  <si>
    <t>Source (Institution wise/Bankwise</t>
  </si>
  <si>
    <t>Purpose</t>
  </si>
  <si>
    <t>Particulars of Loan raised (Loan wise)</t>
  </si>
  <si>
    <t>Amt. Sanctioned</t>
  </si>
  <si>
    <t>Date of Sanction</t>
  </si>
  <si>
    <t>Amt. Of Drawal</t>
  </si>
  <si>
    <t>Date of Drawal</t>
  </si>
  <si>
    <t>Tenure of Loan</t>
  </si>
  <si>
    <t>Moratorium Period</t>
  </si>
  <si>
    <t>Amt. of loan redeemed upto the beginning of the year</t>
  </si>
  <si>
    <t>Loan redeemed during the year</t>
  </si>
  <si>
    <t>Total loan redeemed upto the end of the year</t>
  </si>
  <si>
    <t>Bal. of loan at the beginning of the year</t>
  </si>
  <si>
    <t xml:space="preserve">Bal. of loan at the end of the year </t>
  </si>
  <si>
    <t>Interest for the year</t>
  </si>
  <si>
    <t>Penal Int.</t>
  </si>
  <si>
    <t>Exchange fluctuation</t>
  </si>
  <si>
    <t>Other charges like finance charges, committment charges</t>
  </si>
  <si>
    <t>CAPEX LOAN</t>
  </si>
  <si>
    <t>Creation of Capital Assets.</t>
  </si>
  <si>
    <t>Rupee loan</t>
  </si>
  <si>
    <t>Drawn during 23-24</t>
  </si>
  <si>
    <t>Drawn during 24-25</t>
  </si>
  <si>
    <t>Form No. F. 18</t>
  </si>
  <si>
    <t>STATEMENT OF ASSETS NOT IN USE AS ON 31.3.2023</t>
  </si>
  <si>
    <t>UNIT NAME &amp; CODE : …………………………..</t>
  </si>
  <si>
    <t>(Rs. in Lacs.)</t>
  </si>
  <si>
    <t>Date of Acquisition/Installation</t>
  </si>
  <si>
    <t>Historical Cost/Cost of Acquisition</t>
  </si>
  <si>
    <t xml:space="preserve">Date of withdrawal operations </t>
  </si>
  <si>
    <t>Accumulated Depreciation on date of withdrawal</t>
  </si>
  <si>
    <t>Written down value on date of withdrawal</t>
  </si>
  <si>
    <t>ALL ARE IN USE AS ON 31-03-2023</t>
  </si>
  <si>
    <t>Capitalisation of Assets &amp; Depreciation calculation</t>
  </si>
  <si>
    <t>Fixed Assets</t>
  </si>
  <si>
    <t>2020-21</t>
  </si>
  <si>
    <t>2025-26</t>
  </si>
  <si>
    <t>2026-27</t>
  </si>
  <si>
    <t>2027-28</t>
  </si>
  <si>
    <t>Gross Total</t>
  </si>
  <si>
    <t>Fixed Assets (Cummulative)</t>
  </si>
  <si>
    <t>CWIP FY24</t>
  </si>
  <si>
    <t>Capex Spent</t>
  </si>
  <si>
    <t>OERC Approved</t>
  </si>
  <si>
    <t>Est.FY24</t>
  </si>
  <si>
    <t>Capex Total (FY22-FY24)</t>
  </si>
  <si>
    <t>Unspent FY24</t>
  </si>
  <si>
    <t>Depreciation - Total TPNODL</t>
  </si>
  <si>
    <t>Breakup of Depreciation into Own Capex, Cons.Contribution, Govt.Grant, Meter</t>
  </si>
  <si>
    <t>Depreciation - Own Capex+Legacy for Tariff</t>
  </si>
  <si>
    <t>Depreciation - Disallowed for Tariff (cons.Cont,Grant)</t>
  </si>
  <si>
    <t>Depreciation - Meter</t>
  </si>
  <si>
    <t>Calculations</t>
  </si>
  <si>
    <t>Capitalisation of Assets</t>
  </si>
  <si>
    <t>TPNODL Assets -Depreciation</t>
  </si>
  <si>
    <t>Legacy Assets - Depreciation</t>
  </si>
  <si>
    <t>For FY23</t>
  </si>
  <si>
    <t>For FY24</t>
  </si>
  <si>
    <r>
      <t>Gross Assets</t>
    </r>
    <r>
      <rPr>
        <b/>
        <sz val="9"/>
        <color rgb="FFFF0000"/>
        <rFont val="Verdana"/>
        <family val="2"/>
      </rPr>
      <t xml:space="preserve"> (Total)</t>
    </r>
  </si>
  <si>
    <t>Additions (FY22)</t>
  </si>
  <si>
    <t>Additions (FY23)</t>
  </si>
  <si>
    <t>Additions (FY24)</t>
  </si>
  <si>
    <t>Additions (FY25)</t>
  </si>
  <si>
    <t>Additions (FY26)</t>
  </si>
  <si>
    <t>Additions (FY27)</t>
  </si>
  <si>
    <t>Additions (FY28)</t>
  </si>
  <si>
    <t>Gross Assets (Total)</t>
  </si>
  <si>
    <t>Network Assets &amp; OL</t>
  </si>
  <si>
    <t>Other Equipment</t>
  </si>
  <si>
    <r>
      <t>Gross Assets</t>
    </r>
    <r>
      <rPr>
        <b/>
        <sz val="9"/>
        <color theme="4"/>
        <rFont val="Verdana"/>
        <family val="2"/>
      </rPr>
      <t xml:space="preserve"> (Cons.Contribution)</t>
    </r>
  </si>
  <si>
    <t>Gross Assets (Cons.Contribution)</t>
  </si>
  <si>
    <r>
      <t>Gross Assets</t>
    </r>
    <r>
      <rPr>
        <b/>
        <sz val="9"/>
        <color theme="4"/>
        <rFont val="Verdana"/>
        <family val="2"/>
      </rPr>
      <t xml:space="preserve"> (Govt.Grant)</t>
    </r>
  </si>
  <si>
    <t>Gross Assets (Govt.Grant)</t>
  </si>
  <si>
    <r>
      <t xml:space="preserve">Gross Assets </t>
    </r>
    <r>
      <rPr>
        <b/>
        <sz val="9"/>
        <color theme="4"/>
        <rFont val="Verdana"/>
        <family val="2"/>
      </rPr>
      <t>(Meter &amp; Cables)</t>
    </r>
  </si>
  <si>
    <t>Gross Assets (Meter &amp; Cables)</t>
  </si>
  <si>
    <r>
      <t>Gross Assets</t>
    </r>
    <r>
      <rPr>
        <b/>
        <sz val="9"/>
        <color theme="4"/>
        <rFont val="Verdana"/>
        <family val="2"/>
      </rPr>
      <t xml:space="preserve"> (Own Capex)</t>
    </r>
  </si>
  <si>
    <t>Gross Assets (Own Capex)</t>
  </si>
  <si>
    <t>Gross Assets (Take-over assets)</t>
  </si>
  <si>
    <t xml:space="preserve">Gross Assets </t>
  </si>
  <si>
    <t>Pre-92 Rates</t>
  </si>
  <si>
    <t>TPNODL</t>
  </si>
  <si>
    <t>FY24 to Onwards</t>
  </si>
  <si>
    <t>Own Assets</t>
  </si>
  <si>
    <t>Other Equipment- Office Equip etc.</t>
  </si>
  <si>
    <t>Meter-Own CapEx</t>
  </si>
  <si>
    <t>Legacy Asset (balance in gross block)</t>
  </si>
  <si>
    <t>(271 crore has reached its entire useful life)</t>
  </si>
  <si>
    <t>(4.20 crore has reached its entire useful life)</t>
  </si>
  <si>
    <t>OERC Form No. F. 19 (a)</t>
  </si>
  <si>
    <t>STATEMENT OF FIXED ASSET AND DEPRECIATION</t>
  </si>
  <si>
    <t>(Rs. In Lakhs)</t>
  </si>
  <si>
    <t>Gross Block</t>
  </si>
  <si>
    <t>Net Block</t>
  </si>
  <si>
    <t>As at 31st March of Prev. Yr 2023</t>
  </si>
  <si>
    <t xml:space="preserve">Additions during the Year   </t>
  </si>
  <si>
    <t>Sales / Adjustments during the year</t>
  </si>
  <si>
    <t>As at 31 st March of Current Year FY24</t>
  </si>
  <si>
    <t>As at 31st March of Prev. Yr. FY 23</t>
  </si>
  <si>
    <t xml:space="preserve">During the year            </t>
  </si>
  <si>
    <t xml:space="preserve">Adjustment / withdrawals </t>
  </si>
  <si>
    <t xml:space="preserve">As at 31st March of Current Year            </t>
  </si>
  <si>
    <t xml:space="preserve">As At (Current  Year 31.03.2024) </t>
  </si>
  <si>
    <t>As At (Previous Year 31.03.2023)</t>
  </si>
  <si>
    <t>Depreciated &lt;90%</t>
  </si>
  <si>
    <t>Depreciated &gt;90%</t>
  </si>
  <si>
    <t>a. Transmission Assets</t>
  </si>
  <si>
    <t>Land and  Rights</t>
  </si>
  <si>
    <t>Freehold</t>
  </si>
  <si>
    <t>Lease hold</t>
  </si>
  <si>
    <t>Other Civil Works</t>
  </si>
  <si>
    <t>Plant and  Machinery</t>
  </si>
  <si>
    <t>Overhead lines</t>
  </si>
  <si>
    <t>Underground Cable Network</t>
  </si>
  <si>
    <t>Meters and other apparatus at customer’s premises</t>
  </si>
  <si>
    <t>Furniture, Fixture</t>
  </si>
  <si>
    <t>B. Distribution Assets</t>
  </si>
  <si>
    <t>C.General Assets</t>
  </si>
  <si>
    <t>Communication Equipment</t>
  </si>
  <si>
    <t>Laboratory &amp; Meter Testing Equipment</t>
  </si>
  <si>
    <t>Tools and Work Equipment</t>
  </si>
  <si>
    <t>Miscellaneous Equipment</t>
  </si>
  <si>
    <t>Note:</t>
  </si>
  <si>
    <t xml:space="preserve"> High voltage assets and Medium &amp; Low voltage assets should be shown separately.</t>
  </si>
  <si>
    <t>OERC Form No. F. 19 (b)</t>
  </si>
  <si>
    <t>As at 31st March of Prev. Yr 2024</t>
  </si>
  <si>
    <t xml:space="preserve">As at 31 st March of Current Year </t>
  </si>
  <si>
    <t>As at 31st March of Prev. Yr. 2024</t>
  </si>
  <si>
    <t xml:space="preserve">As At (Current  Year 31.03.2025) </t>
  </si>
  <si>
    <t>As At (Previous Year 31.03.2024)</t>
  </si>
  <si>
    <t>Land and Rights</t>
  </si>
  <si>
    <t>Furniture, Fixtures</t>
  </si>
  <si>
    <t xml:space="preserve">Utilisation of Depreciation as per Vesting Order </t>
  </si>
  <si>
    <t>Depreciation on old assets</t>
  </si>
  <si>
    <t>Utilisation of depreciation on old assets</t>
  </si>
  <si>
    <t>a-Funding of Additional Serviceable Liabilities</t>
  </si>
  <si>
    <t xml:space="preserve">b-Capital Investment </t>
  </si>
  <si>
    <t xml:space="preserve">c-Working Capital requirement computed as per Tariff Regulations </t>
  </si>
  <si>
    <t>Format for OPTCL</t>
  </si>
  <si>
    <t>OERC Form No. F. 19</t>
  </si>
  <si>
    <t>(Rs. in cr.)</t>
  </si>
  <si>
    <t xml:space="preserve">OERC  rates of Depreciation </t>
  </si>
  <si>
    <t xml:space="preserve">Book value of Fixed Assets as on 1.04.2022 including upvalued and Grant/Deposit assets </t>
  </si>
  <si>
    <t>Book value of 90%  depreciated asset as on 1.04.2022</t>
  </si>
  <si>
    <t xml:space="preserve">Upvaluation effect </t>
  </si>
  <si>
    <t>Book value of Fixed assets as on 1.04.2022 (Grant ,Beneficiary&amp; Deposit
Assets)</t>
  </si>
  <si>
    <t xml:space="preserve">Book vale of own Assets as on 1-4-2022(on which Dep. Calculated) </t>
  </si>
  <si>
    <t>Addition during FY 2022-23 (Approved)</t>
  </si>
  <si>
    <t xml:space="preserve">Book vale of own Assets as on 01- 04-2023 
</t>
  </si>
  <si>
    <t>Depreciation for the Year</t>
  </si>
  <si>
    <t>Net Block Current Year</t>
  </si>
  <si>
    <t>Net Block Previous Year</t>
  </si>
  <si>
    <t>a. Assets</t>
  </si>
  <si>
    <t>Any other assets</t>
  </si>
  <si>
    <t xml:space="preserve">For OHPC </t>
  </si>
  <si>
    <t>Current Year                                                                                                                                                                                                                                                                                                                                                             (Rs. in cr.)</t>
  </si>
  <si>
    <t xml:space="preserve">Original Project Cost </t>
  </si>
  <si>
    <t>Year of Capitalisation (COD)</t>
  </si>
  <si>
    <t xml:space="preserve">  Rate of Depreciation </t>
  </si>
  <si>
    <t>Life of the Project</t>
  </si>
  <si>
    <t>Total New Addition/Capitalisation of Assets till 31.03.2022</t>
  </si>
  <si>
    <t>Revised life of the project as on 31.03.2022</t>
  </si>
  <si>
    <t>Total asset reduction till 31.03.2022</t>
  </si>
  <si>
    <t>Total Fixed asset reduced to 90% till 31.03.2022</t>
  </si>
  <si>
    <t>Total Grant/Subsidy received as Fixed assetas on 31.03.2022</t>
  </si>
  <si>
    <t>Total Fixed Asset as on 31.03.2022</t>
  </si>
  <si>
    <t>Depreciation as on 31.03.2022</t>
  </si>
  <si>
    <t xml:space="preserve">Accumulated Depreciation till 31.03.2022 in the books </t>
  </si>
  <si>
    <t xml:space="preserve">Depreciation Allowed by OERC </t>
  </si>
  <si>
    <t>RHEP</t>
  </si>
  <si>
    <t>UKHEP</t>
  </si>
  <si>
    <t>BHEP</t>
  </si>
  <si>
    <t>HHEP</t>
  </si>
  <si>
    <t>CHEP</t>
  </si>
  <si>
    <t>UIHEP</t>
  </si>
  <si>
    <t>Licencee:-TPNODL  OERC Form No. F. 20
Revenue Subsidies and Grants   (Rs. in Lacs.)</t>
  </si>
  <si>
    <t>Sl no</t>
  </si>
  <si>
    <t>Capital subsidy</t>
  </si>
  <si>
    <t>World Bank</t>
  </si>
  <si>
    <t>APDRP</t>
  </si>
  <si>
    <t>Revenue subsidy</t>
  </si>
  <si>
    <t>a</t>
  </si>
  <si>
    <t>Rural electrification</t>
  </si>
  <si>
    <t>b</t>
  </si>
  <si>
    <t>IPR</t>
  </si>
  <si>
    <t>Other subsidies</t>
  </si>
  <si>
    <t>Grants If any</t>
  </si>
  <si>
    <t>The capital subsidy of the previous year includes the subsidies received prior to 04/03/2015</t>
  </si>
  <si>
    <t>Licencee :-TPNODL                                         OERC Form No. F. 21
BALANCE SHEET   (Rs. in Lacs.)</t>
  </si>
  <si>
    <t>As at 31.03.2021</t>
  </si>
  <si>
    <t>As at 31.03.2025</t>
  </si>
  <si>
    <t>(Previous Year)</t>
  </si>
  <si>
    <t>(Carve Out)- Provisional</t>
  </si>
  <si>
    <t>(Current Year)</t>
  </si>
  <si>
    <t>(EnsuingYear)</t>
  </si>
  <si>
    <t>I.</t>
  </si>
  <si>
    <t>SOURCES OF FUNDS</t>
  </si>
  <si>
    <t>Shareholders’ Funds</t>
  </si>
  <si>
    <t>Share Capital - Equity</t>
  </si>
  <si>
    <t>Add : Equity</t>
  </si>
  <si>
    <t>Closing - Equity</t>
  </si>
  <si>
    <t>Reserves and Surplus</t>
  </si>
  <si>
    <t>Capital Subsidy/Grants</t>
  </si>
  <si>
    <t>Loan Funds</t>
  </si>
  <si>
    <t>Term loan-Capex</t>
  </si>
  <si>
    <t>Short term working capital loan</t>
  </si>
  <si>
    <t>Other Funds</t>
  </si>
  <si>
    <t>Consumers’ Security Deposits</t>
  </si>
  <si>
    <t>Capital contributions from consumers</t>
  </si>
  <si>
    <t>II.</t>
  </si>
  <si>
    <t>APPLICATION OF FUNDS</t>
  </si>
  <si>
    <t>Less: Accumulated Depreciation</t>
  </si>
  <si>
    <t>Capital Work in Progress</t>
  </si>
  <si>
    <t>Capital Stock</t>
  </si>
  <si>
    <t>Total C.W.I.P.</t>
  </si>
  <si>
    <t>Additional Capitalisation as per Vesting Order</t>
  </si>
  <si>
    <t>Less : Depreciation on the Additional Capitalisation</t>
  </si>
  <si>
    <t>Net Additional Assets</t>
  </si>
  <si>
    <t>Regulatory Deferral Account - Asset</t>
  </si>
  <si>
    <t>Current Assets, Loans and Advances</t>
  </si>
  <si>
    <t>Sundry Debtors</t>
  </si>
  <si>
    <t>Inventories</t>
  </si>
  <si>
    <t>Cash and Bank Balances</t>
  </si>
  <si>
    <t>Loans and Advances and other current assets</t>
  </si>
  <si>
    <t>Less: Current Liabilities and Provisions</t>
  </si>
  <si>
    <t>Accounts Payable</t>
  </si>
  <si>
    <t>Current Liabilities</t>
  </si>
  <si>
    <t>Other current liabilities</t>
  </si>
  <si>
    <t>Provisions</t>
  </si>
  <si>
    <t xml:space="preserve">NET CURRENT ASSETS </t>
  </si>
  <si>
    <t>Miscellaneous Expenditure to the extent not written off or adjusted</t>
  </si>
  <si>
    <t>Regulatory deferral account-liability</t>
  </si>
  <si>
    <t>Profit &amp; Loss Account Debit Balance</t>
  </si>
  <si>
    <t>Total Application</t>
  </si>
  <si>
    <t>Licencee:-TPNODL                                                                OERC Form No. F. 22
PROFIT &amp; LOSS ACCOUNT FOR THE YEAR ENDED    Rs. in Lacs)</t>
  </si>
  <si>
    <t>Pre Yr (2022-23)</t>
  </si>
  <si>
    <t>Curr. Year (2023-24)</t>
  </si>
  <si>
    <t>Ensg Yr (2024-25)</t>
  </si>
  <si>
    <t>INCOME</t>
  </si>
  <si>
    <t>( Accrual Basis)</t>
  </si>
  <si>
    <t>Current Tariff for 12 Mth.( Accrual Basis )</t>
  </si>
  <si>
    <t>Revenue from Sale of Power (Net of Rebate)</t>
  </si>
  <si>
    <t>Total other operating revenue</t>
  </si>
  <si>
    <t>Other Revenue</t>
  </si>
  <si>
    <t>Less: Rebate on power purchased and transmission charges</t>
  </si>
  <si>
    <t xml:space="preserve">Income to be recovered in future tariff determination  </t>
  </si>
  <si>
    <t>Amortisation of consumer contribution</t>
  </si>
  <si>
    <t>Amortisation of government grants in capital nature</t>
  </si>
  <si>
    <t>EXPENDITURE</t>
  </si>
  <si>
    <t>Amortisation of government grants in revenue nature</t>
  </si>
  <si>
    <t xml:space="preserve">Purchase of Power </t>
  </si>
  <si>
    <t>Bank Deposits</t>
  </si>
  <si>
    <t>Power Purchase Contingencies</t>
  </si>
  <si>
    <t>Operation Maintenance, Administration General and other expenses</t>
  </si>
  <si>
    <t>Other income</t>
  </si>
  <si>
    <t>Profit (before interest &amp; finance charges)</t>
  </si>
  <si>
    <t>Interest &amp; Finance Charges</t>
  </si>
  <si>
    <t>Less Transferred to Capital Work-in-Progress</t>
  </si>
  <si>
    <t>Net Interest &amp; Finace charges</t>
  </si>
  <si>
    <t xml:space="preserve">Expenses to be recovered in future tariff determination  </t>
  </si>
  <si>
    <t>Profit before tax for the year</t>
  </si>
  <si>
    <t>Provision for Taxation(FBT)</t>
  </si>
  <si>
    <t>Profit After Tax</t>
  </si>
  <si>
    <t>Net prior period (credit)/charges</t>
  </si>
  <si>
    <t>Balance of profit and loss account  brought forward from last year</t>
  </si>
  <si>
    <t>Statutory reserves and Appropriations</t>
  </si>
  <si>
    <t>Amount available for distribution &amp; transfer to general reserve</t>
  </si>
  <si>
    <t>Proposed Dividend</t>
  </si>
  <si>
    <t>Corporate Tax on Dividend</t>
  </si>
  <si>
    <t>Transitional provision</t>
  </si>
  <si>
    <t>Transfer to General Reserve</t>
  </si>
  <si>
    <t>Balance carried to Balance Sheet</t>
  </si>
  <si>
    <t>TPNODL
Cash Flow Statement</t>
  </si>
  <si>
    <t>Form F.23</t>
  </si>
  <si>
    <t>Total capitalisation of own capex</t>
  </si>
  <si>
    <t>SOURCE</t>
  </si>
  <si>
    <t>Rs. In Lacs.</t>
  </si>
  <si>
    <t>Cash capex</t>
  </si>
  <si>
    <t>GRIDCO share</t>
  </si>
  <si>
    <t>Opening Cash balance</t>
  </si>
  <si>
    <t xml:space="preserve">Opening Fixed Deposit </t>
  </si>
  <si>
    <t>Revenue collection</t>
  </si>
  <si>
    <t>Collection from Arrear Govt. Consumers on adj with GRIDCO Dues</t>
  </si>
  <si>
    <t>Security Deposit from Consumers</t>
  </si>
  <si>
    <t>Consumer contribution (6% &amp; 100 % deposit)</t>
  </si>
  <si>
    <t>Deposit Works- 100 %</t>
  </si>
  <si>
    <t>Equity - Addition</t>
  </si>
  <si>
    <t>Capex- Borrowings</t>
  </si>
  <si>
    <t>APDRP LOAN</t>
  </si>
  <si>
    <t>REC Loan</t>
  </si>
  <si>
    <t>Govt. Grant In Aid- viz. School Anganwadi etc.</t>
  </si>
  <si>
    <t>Short Term Loans from Bank</t>
  </si>
  <si>
    <t>System Improvement</t>
  </si>
  <si>
    <t>Capex Plan-Loan from GoO(Int. bearing)</t>
  </si>
  <si>
    <t>Capex Plan-Loan from GoO(Zero Int.)</t>
  </si>
  <si>
    <t>Capex Plan-Counter part funding</t>
  </si>
  <si>
    <t>REC(SI)</t>
  </si>
  <si>
    <t>Non-Tariff Income</t>
  </si>
  <si>
    <t>APPLICATION</t>
  </si>
  <si>
    <t>Payment against purchase of Power</t>
  </si>
  <si>
    <t>Payment against Gridco dues</t>
  </si>
  <si>
    <t>Refund of Security Deposit</t>
  </si>
  <si>
    <t>-</t>
  </si>
  <si>
    <t>Employee cost</t>
  </si>
  <si>
    <t>Adminstrative &amp; General Exp</t>
  </si>
  <si>
    <t>Repair &amp; Maintenance</t>
  </si>
  <si>
    <t>Capital Expenditure</t>
  </si>
  <si>
    <t>Asset - Addition - GRIDCO Share</t>
  </si>
  <si>
    <t>Repayment of World Bank Loan</t>
  </si>
  <si>
    <t>Repayment Capex- Borrowings</t>
  </si>
  <si>
    <t>Repayment of REC Loan (SI)</t>
  </si>
  <si>
    <t xml:space="preserve">Repayment of Bank Loan </t>
  </si>
  <si>
    <t xml:space="preserve">Payment of  Power Bond interest </t>
  </si>
  <si>
    <t>Payment of 6th Pay Arrear</t>
  </si>
  <si>
    <t>Interest on Security Deposit</t>
  </si>
  <si>
    <t>Other Finance Charges</t>
  </si>
  <si>
    <t>Payment of Statutory Liability and Suppliers/Contractors liability</t>
  </si>
  <si>
    <t>Interest on Working Capital Loan &amp; Capex</t>
  </si>
  <si>
    <t>Payment of Tax</t>
  </si>
  <si>
    <t>Repayment of short term loan</t>
  </si>
  <si>
    <t>Closing Cash balance</t>
  </si>
  <si>
    <t>Closing Fixed Deposits(in lien for loan)</t>
  </si>
  <si>
    <t xml:space="preserve">Note: The cashflow as per audited annual accounts should be shown as per above format </t>
  </si>
  <si>
    <r>
      <t xml:space="preserve">   </t>
    </r>
    <r>
      <rPr>
        <sz val="16"/>
        <rFont val="Arial"/>
        <family val="2"/>
      </rPr>
      <t xml:space="preserve"> TARIFF EFFCTIVE FROM 1st APRIL, 2005    </t>
    </r>
    <r>
      <rPr>
        <b/>
        <sz val="16"/>
        <rFont val="Arial"/>
        <family val="2"/>
      </rPr>
      <t xml:space="preserve">                                                </t>
    </r>
  </si>
  <si>
    <t>Category of Consumers</t>
  </si>
  <si>
    <t xml:space="preserve">Voltage of Supply  </t>
  </si>
  <si>
    <t xml:space="preserve">Demand Charge (Rs./KW/ Month)/ (Rs./KVA/ Month)         </t>
  </si>
  <si>
    <t>Energy Charge  (P/kWh)</t>
  </si>
  <si>
    <t>Customer Service Charge (Rs./Month)</t>
  </si>
  <si>
    <t>Monthly Minimum Fixed Charge for first KW or part (Rs.)</t>
  </si>
  <si>
    <t>Monthly Fixed Charge for any additional KW or part (Rs.)</t>
  </si>
  <si>
    <t xml:space="preserve">Rebate               (P/kWh)/ DPS                 </t>
  </si>
  <si>
    <t>LT Category</t>
  </si>
  <si>
    <t>1.a</t>
  </si>
  <si>
    <t>Kutir Jyoti  &lt; 30U/month</t>
  </si>
  <si>
    <t>FIXED MONTHLY CHARGE ----&gt;</t>
  </si>
  <si>
    <t>1.b</t>
  </si>
  <si>
    <t xml:space="preserve"> (Consumption &lt;= 100 units/month)</t>
  </si>
  <si>
    <t xml:space="preserve"> (Consumption &gt;100, &lt;=200 units/month)</t>
  </si>
  <si>
    <t xml:space="preserve"> (Consumption &gt;200 units/month)</t>
  </si>
  <si>
    <t>General Purpose &lt; 110 KVA</t>
  </si>
  <si>
    <t>10 /DPS</t>
  </si>
  <si>
    <t xml:space="preserve"> (Consumption &lt;=100 units/month)</t>
  </si>
  <si>
    <t xml:space="preserve"> (Consumption &gt;100, &lt;=300 units/month)</t>
  </si>
  <si>
    <t xml:space="preserve"> (Consumption &gt;300 units/month)</t>
  </si>
  <si>
    <t xml:space="preserve">Public Lighting </t>
  </si>
  <si>
    <t>DPS/Rebate</t>
  </si>
  <si>
    <t>L.T.Industrial (S) Supply</t>
  </si>
  <si>
    <t>L.T.Industrial (M) Supply</t>
  </si>
  <si>
    <t xml:space="preserve">Specified Public Purpose </t>
  </si>
  <si>
    <t>Public Water Works and Swerage Pumping&lt;110 KVA</t>
  </si>
  <si>
    <t>Public Water Works and Swerage Pumping &gt;=110 KVA</t>
  </si>
  <si>
    <t>General Purpose &gt;= 110 KVA</t>
  </si>
  <si>
    <t xml:space="preserve">HT Category </t>
  </si>
  <si>
    <t>H.T.Industrial (M) Supply</t>
  </si>
  <si>
    <t>Public Water Works and Swerage Pumping</t>
  </si>
  <si>
    <t>Emergency  Supply to CPP</t>
  </si>
  <si>
    <t xml:space="preserve">Colony Consumption </t>
  </si>
  <si>
    <t xml:space="preserve">EHT Category </t>
  </si>
  <si>
    <t>RATE FOR D.C. SUPPLY</t>
  </si>
  <si>
    <t>SAME AS RATE AT SL. 1</t>
  </si>
  <si>
    <t>SAME AS RATE AT SL. 2</t>
  </si>
  <si>
    <t>SAME AS RATE AT SL. 5</t>
  </si>
  <si>
    <r>
      <t>Note</t>
    </r>
    <r>
      <rPr>
        <b/>
        <sz val="12"/>
        <rFont val="Arial"/>
        <family val="2"/>
      </rPr>
      <t>:</t>
    </r>
  </si>
  <si>
    <t>(I)</t>
  </si>
  <si>
    <t xml:space="preserve">DPS is no more payable by domestic consumers.  </t>
  </si>
  <si>
    <t>(II)</t>
  </si>
  <si>
    <t>DPS for other categories has been reduced to 1.25% from 2%.</t>
  </si>
  <si>
    <t>Energy charge in respect of domestic consumer for consumption above 200 units per month has been reduced to 310 p/kWh from 320 p/kWh</t>
  </si>
  <si>
    <t>(IV)</t>
  </si>
  <si>
    <t xml:space="preserve">MMFC for Specified Public Purpose and Public Water Works has been reduced to Rs.80/- per kw to Rs.50/- per kw rationalising the MMFC to Rs.50/- </t>
  </si>
  <si>
    <t>(V)</t>
  </si>
  <si>
    <t xml:space="preserve">Load Factor (LF) in excess of 50% and up to 60% by EHT and HT consumers shall be payable @180 paise/kwh &amp; 200 paise/kwh respectively and LF above 60% by EHT &amp; HT consumers shall be payable @ 150 paise/kwh &amp; 170 paise/kwh respectively. </t>
  </si>
  <si>
    <t>(VI)</t>
  </si>
  <si>
    <t xml:space="preserve">Special Tariff allowing discount for Power Intensive Industries, covered under Special Agreement with NESCO will not exceed a consolidated charge of 230 p/u.  </t>
  </si>
  <si>
    <t>(VII)</t>
  </si>
  <si>
    <t xml:space="preserve">New Industries with Contract Demand of 5 MVA and above, coming into operation on or after 01.04.2005 fulfilling the *eligibility criteria will be allowed a discount of 25% on the energy charge up to 50% LF. </t>
  </si>
  <si>
    <t>(VIII)</t>
  </si>
  <si>
    <t xml:space="preserve"> Mini Steel Plants, both existing and upcoming, fulfilling the *eligibility criteria, a discount for a period of one year will be available at the rate of 20% in the first slab up to 50% LF. Those who cannot give commitment for a guaranteed off take of 80%, normal Tariff as stipulated above will be applicable to them.</t>
  </si>
  <si>
    <t>(IX)</t>
  </si>
  <si>
    <t>TOD Tariff - A discount @ 10 p/u on consumption between 10 PM to 6 AM shall be allowed to 3 phase consumers with Static meter. This benefit will not be available for those covered under any discounted Tariff and Public lighting consumers.</t>
  </si>
  <si>
    <t>(X)</t>
  </si>
  <si>
    <t xml:space="preserve"> Special Tariff for Industries with Contract Demand of 100 MVA and above @ 200 p/u remains unchanged.</t>
  </si>
  <si>
    <r>
      <t xml:space="preserve">* </t>
    </r>
    <r>
      <rPr>
        <u/>
        <sz val="12"/>
        <rFont val="Arial"/>
        <family val="2"/>
      </rPr>
      <t>Eligibility Criteria</t>
    </r>
    <r>
      <rPr>
        <sz val="12"/>
        <rFont val="Arial"/>
        <family val="2"/>
      </rPr>
      <t xml:space="preserve"> : (i) The industries must agree for drawl of power at least for a period of one year. </t>
    </r>
  </si>
  <si>
    <t xml:space="preserve">                                   (ii) They may give a monthly guaranteed minimum take off at LF of 80%.</t>
  </si>
  <si>
    <t>Charges other than and in addition to the charges of Tariff leviable towards Meter rent and Reconnection charges remain unchanged. No meter rent will be payble after full cost of meter is recovered.</t>
  </si>
  <si>
    <t xml:space="preserve"> OERC Form No. F. 24</t>
  </si>
  <si>
    <t>Status of Funds and Investments</t>
  </si>
  <si>
    <t>Available as on Previous year</t>
  </si>
  <si>
    <t>Interest accrued on deposits</t>
  </si>
  <si>
    <t>Estimated addition during Current year</t>
  </si>
  <si>
    <t>Payments out of the Fund during  Current year</t>
  </si>
  <si>
    <t>Available as on the end of current year</t>
  </si>
  <si>
    <t>Expected additions during the Ensuing year</t>
  </si>
  <si>
    <t>Payments out of the Fund during  Ensuing year</t>
  </si>
  <si>
    <t>Availability at the End of Ensuing Year</t>
  </si>
  <si>
    <t>Availability</t>
  </si>
  <si>
    <t>Security Deposits</t>
  </si>
  <si>
    <t>Pension Trust</t>
  </si>
  <si>
    <t>Gratuity Trust</t>
  </si>
  <si>
    <t>Investment details</t>
  </si>
  <si>
    <t>Bank</t>
  </si>
  <si>
    <t>FD</t>
  </si>
  <si>
    <t>Govt Bonds</t>
  </si>
  <si>
    <t>Other Deposits</t>
  </si>
  <si>
    <t>OERC Form No F-25</t>
  </si>
  <si>
    <t>Revenue Cash Flow Statement</t>
  </si>
  <si>
    <t>Actuals of previous year</t>
  </si>
  <si>
    <t>First 6 months of Current year</t>
  </si>
  <si>
    <t>Estimates for the Current Year</t>
  </si>
  <si>
    <t>Projections for the Ensuing Year</t>
  </si>
  <si>
    <t>Cash Inflows</t>
  </si>
  <si>
    <t>Total Inflows</t>
  </si>
  <si>
    <t>Cash Outflows</t>
  </si>
  <si>
    <t>DA</t>
  </si>
  <si>
    <t>HRA</t>
  </si>
  <si>
    <t>MA</t>
  </si>
  <si>
    <t>Arrear</t>
  </si>
  <si>
    <t>Gratuty</t>
  </si>
  <si>
    <t>Leave encashment</t>
  </si>
  <si>
    <t>pension</t>
  </si>
  <si>
    <t>Others ,specify</t>
  </si>
  <si>
    <t>Total Employee Cost</t>
  </si>
  <si>
    <t>R&amp;M</t>
  </si>
  <si>
    <t>Interest on Loan</t>
  </si>
  <si>
    <t>Others,if any</t>
  </si>
  <si>
    <t>Total Cash Outflow</t>
  </si>
  <si>
    <t xml:space="preserve"> OERC Form No. F. 25</t>
  </si>
  <si>
    <r>
      <t xml:space="preserve">                                                              Revenue  Cash  Flow Statement                               </t>
    </r>
    <r>
      <rPr>
        <sz val="10"/>
        <rFont val="Times New Roman"/>
        <family val="1"/>
      </rPr>
      <t xml:space="preserve">   Rs. in Cr.</t>
    </r>
  </si>
  <si>
    <t>Actual of previous Year</t>
  </si>
  <si>
    <t>First 6 months of Current Year</t>
  </si>
  <si>
    <t>Rebate &amp;misc.income</t>
  </si>
  <si>
    <t>Total Inflow</t>
  </si>
  <si>
    <t>Transmission charges</t>
  </si>
  <si>
    <t>SLDC charges &amp; Others</t>
  </si>
  <si>
    <t>Grade pay</t>
  </si>
  <si>
    <t>Leave Encashment</t>
  </si>
  <si>
    <t>Others, Contractual Obligations</t>
  </si>
  <si>
    <t>Others, if any</t>
  </si>
  <si>
    <t xml:space="preserve"> OERC Form No. F. 26</t>
  </si>
  <si>
    <r>
      <t xml:space="preserve">                                                     Details Escrow Deposit and Relaxation            </t>
    </r>
    <r>
      <rPr>
        <b/>
        <sz val="9"/>
        <rFont val="Times New Roman"/>
        <family val="1"/>
      </rPr>
      <t>Rs. in. Cr.</t>
    </r>
  </si>
  <si>
    <t>Sl.No.</t>
  </si>
  <si>
    <t>Estimated for the Current Year</t>
  </si>
  <si>
    <t>Ensuing Year projection</t>
  </si>
  <si>
    <t xml:space="preserve">A. </t>
  </si>
  <si>
    <t>Revenue deposited in Escrow Account (current and arrear to be segregated)</t>
  </si>
  <si>
    <t>Adjustment made and relaxation as per the orders of the Commission</t>
  </si>
  <si>
    <t>(i) Current transmission &amp; SLDC</t>
  </si>
  <si>
    <t>(ii) Current BSP</t>
  </si>
  <si>
    <t>(iii) License fees to OERC</t>
  </si>
  <si>
    <t>(iv) Direct power purchase from CGPs &amp; other agencies</t>
  </si>
  <si>
    <t>(v) Escrow relaxed for monthly R &amp; M expenditure</t>
  </si>
  <si>
    <t>(vi) Escrow relaxed for monthly employees cost</t>
  </si>
  <si>
    <t>(vii) Monthly repayment of principal and interest in respect of loan  obtain for counterpart funding of capex</t>
  </si>
  <si>
    <t>(viii) Monthly special R &amp; M</t>
  </si>
  <si>
    <t>(ix) Average monthly obligation of defaulted arrear BSP at the end of previous year.</t>
  </si>
  <si>
    <t>(x) Escrow relaxed fro Energy duty &amp; other non-escrow components</t>
  </si>
  <si>
    <t>OERC Form No -F-26</t>
  </si>
  <si>
    <t>Deatails Escrow Deposit and Relaxation (Rs in Cr)</t>
  </si>
  <si>
    <t>(Not Applicable to TPNODL)</t>
  </si>
  <si>
    <t>Actual of Previous Year</t>
  </si>
  <si>
    <t>Ensuing Year Projection</t>
  </si>
  <si>
    <t>(i)Current transmission &amp;SLDC</t>
  </si>
  <si>
    <t>(iii)Licene fees to OERC</t>
  </si>
  <si>
    <t>(iv)Direct power purchase from CGPs and other agencies</t>
  </si>
  <si>
    <t>(v)Escrow relaxed for monthly R&amp;M expenditure</t>
  </si>
  <si>
    <t>(vi)Escrow relaxed for monthly employee cost</t>
  </si>
  <si>
    <t>(vii)Monthly repayment of principal and interest in respect of loan obtained for counterpart funding of capex.</t>
  </si>
  <si>
    <t>(viii)Mpnthly special R&amp;M</t>
  </si>
  <si>
    <t>(ix)Average monthly obligation of defaulted arrear BSP at the end of previous year.</t>
  </si>
  <si>
    <t>OERC F - 27</t>
  </si>
  <si>
    <t>Calculation of Monthly Voltage wise Loss</t>
  </si>
  <si>
    <t xml:space="preserve">Description of Item </t>
  </si>
  <si>
    <t>Reference 
Formula</t>
  </si>
  <si>
    <t>Input to HT at 33Kv from EHT level</t>
  </si>
  <si>
    <t>Input to HT at 33Kv  from Generating companies inside the state.</t>
  </si>
  <si>
    <t>Sales at HT - 33Kv</t>
  </si>
  <si>
    <t>Input to HT at 11Kv from 33Kv level</t>
  </si>
  <si>
    <t>Loss at HT - 33Kv</t>
  </si>
  <si>
    <t>1+2-3-4</t>
  </si>
  <si>
    <t>Loss at HT - 33Kv (%)</t>
  </si>
  <si>
    <t>(5/(1+2)) *100</t>
  </si>
  <si>
    <t>Input to HT at 11 Kv  from Generating companies inside the state.</t>
  </si>
  <si>
    <t>Sales at HT - 11Kv</t>
  </si>
  <si>
    <t>8(a) + 8(b)</t>
  </si>
  <si>
    <t>(a)</t>
  </si>
  <si>
    <t xml:space="preserve">        Metered Sales</t>
  </si>
  <si>
    <t>(b)</t>
  </si>
  <si>
    <t xml:space="preserve">        Assessed Sales</t>
  </si>
  <si>
    <t>Input to LT from 11 Kv level</t>
  </si>
  <si>
    <t>Loss at HT - 11Kv</t>
  </si>
  <si>
    <t>4+7 -8-9</t>
  </si>
  <si>
    <t>Loss at HT - 11Kv (%)</t>
  </si>
  <si>
    <t>(10/(4+7)) *100</t>
  </si>
  <si>
    <t>Input to LT  from Generating companies inside the state.</t>
  </si>
  <si>
    <t>Sales at LT</t>
  </si>
  <si>
    <t>13(a) + 13 (b)</t>
  </si>
  <si>
    <t>Loss at LT</t>
  </si>
  <si>
    <t>9+12-13</t>
  </si>
  <si>
    <t>Loss at LT (%)</t>
  </si>
  <si>
    <t>(14/(9+12)) *100</t>
  </si>
  <si>
    <t>Reference Formula</t>
  </si>
  <si>
    <t xml:space="preserve"> OERC Form No. F. 28</t>
  </si>
  <si>
    <t xml:space="preserve">Other Income /Miscellaneous  Receipt </t>
  </si>
  <si>
    <t>₹ In crore</t>
  </si>
  <si>
    <t xml:space="preserve">Particulars </t>
  </si>
  <si>
    <t xml:space="preserve">Previous Year </t>
  </si>
  <si>
    <t xml:space="preserve">Current year (April to Sep ) </t>
  </si>
  <si>
    <t xml:space="preserve">Estimated for Ensuing Year </t>
  </si>
  <si>
    <t>Recovery of meter rent</t>
  </si>
  <si>
    <t>Meter rent towards meters installed under IPDS</t>
  </si>
  <si>
    <t xml:space="preserve"> OERC Form No. F. 29</t>
  </si>
  <si>
    <t>Previous year</t>
  </si>
  <si>
    <t xml:space="preserve">Current  year </t>
  </si>
  <si>
    <t xml:space="preserve">Ensuing year </t>
  </si>
  <si>
    <t xml:space="preserve">Rate of Interest </t>
  </si>
  <si>
    <t xml:space="preserve">Interest on working capital </t>
  </si>
  <si>
    <t xml:space="preserve">D- Interest on Working Capital </t>
  </si>
  <si>
    <t>SL.no</t>
  </si>
  <si>
    <t xml:space="preserve">Particular </t>
  </si>
  <si>
    <t>Previous Year (FY 2022-23)</t>
  </si>
  <si>
    <t>Current Year (FY 2023-24)</t>
  </si>
  <si>
    <t xml:space="preserve">Ensuing Year </t>
  </si>
  <si>
    <t xml:space="preserve">O.B of Loan </t>
  </si>
  <si>
    <t xml:space="preserve">Receipt during the year </t>
  </si>
  <si>
    <t xml:space="preserve">Repayment made during the year </t>
  </si>
  <si>
    <t xml:space="preserve">C.B of loan </t>
  </si>
  <si>
    <t xml:space="preserve">Interest onW.loan </t>
  </si>
  <si>
    <t>Union Bank of India (OD)</t>
  </si>
  <si>
    <t>Federal Bank (OD)</t>
  </si>
  <si>
    <t>State Bank of India (OD)</t>
  </si>
  <si>
    <t>State Bank of India (CC)</t>
  </si>
  <si>
    <t>Axis Bank Limited (CC)</t>
  </si>
  <si>
    <t xml:space="preserve">                    Statement of Allocation of Wheeling and Retail Supply Cost                (Rs. In Crs)</t>
  </si>
  <si>
    <t>Cost/Income Component</t>
  </si>
  <si>
    <t xml:space="preserve">ARR for Ensuing FY </t>
  </si>
  <si>
    <t>Assumption Ratio for consideration in Wheeling Business</t>
  </si>
  <si>
    <t>Assumption Ratio for consideration in Retail Supply Business</t>
  </si>
  <si>
    <t>Wheeling cost for Ensuing FY</t>
  </si>
  <si>
    <t xml:space="preserve">Retail supply Cost for Ensuing FY </t>
  </si>
  <si>
    <t>Total power purchase cost *</t>
  </si>
  <si>
    <t>O&amp;M</t>
  </si>
  <si>
    <t>Repair &amp; Maintenance Cost</t>
  </si>
  <si>
    <t>Bad &amp; Doubtful Debt including Rebate</t>
  </si>
  <si>
    <t>Interest on Loans</t>
  </si>
  <si>
    <t>for Capital loan</t>
  </si>
  <si>
    <t>for Working capital</t>
  </si>
  <si>
    <t>Tax on RoE</t>
  </si>
  <si>
    <t>Special Appropriation</t>
  </si>
  <si>
    <t>True Up of Current year GAP 1/3rd</t>
  </si>
  <si>
    <t>Other, if any-Contigency Reserve</t>
  </si>
  <si>
    <t>Miscellaneous Receipt</t>
  </si>
  <si>
    <t>Total Misc. Receipts</t>
  </si>
  <si>
    <t>* Allocation of power purchase cost towards wheeling has been made considering 8 % loss on input after effecting EHT Sales</t>
  </si>
  <si>
    <t>Annexure-B</t>
  </si>
  <si>
    <t>Calcualtion of Surcharge for EHT category of Consumers</t>
  </si>
  <si>
    <t xml:space="preserve">Total EHT Sales proposed for FY 2024-25 in MU </t>
  </si>
  <si>
    <t xml:space="preserve">Proposed Revenue from sale for EHT Catogory Rs in Crore </t>
  </si>
  <si>
    <t>Average Tariff  (P/KWH) (T)</t>
  </si>
  <si>
    <t>Cost of power Purchase (P/KWH) (C )</t>
  </si>
  <si>
    <t>Wheeling Charge (P/KWH)( D)</t>
  </si>
  <si>
    <t>System Loss (%) ( L)</t>
  </si>
  <si>
    <t xml:space="preserve">Regulatory Asset (P/KWH) (R)
</t>
  </si>
  <si>
    <t>Surcharge (P/KWH) 
( T - ( C/ (1-L/100)+D+R))</t>
  </si>
  <si>
    <t>Calculation of Surcharge for HT category of Consumers</t>
  </si>
  <si>
    <t xml:space="preserve">Total HT Sales proposed for FY 2024-25 in MU </t>
  </si>
  <si>
    <t xml:space="preserve">Proposed Revenue from sale for HT Catogory Rs in Crore </t>
  </si>
  <si>
    <t>Annexure-A</t>
  </si>
  <si>
    <t>STATEMENT OF CALCULATION OF WHEELING CHARGES FOR FY 2024-25</t>
  </si>
  <si>
    <t>Rs in Crs</t>
  </si>
  <si>
    <t>Cost as proposed in the ARR for 2024-25</t>
  </si>
  <si>
    <t xml:space="preserve">Remarks </t>
  </si>
  <si>
    <t>Operation &amp; Maintenance Exp</t>
  </si>
  <si>
    <t>(1.1+1.2+1.3)</t>
  </si>
  <si>
    <t>Employee Expenses</t>
  </si>
  <si>
    <t>Administration &amp; General Exp</t>
  </si>
  <si>
    <t>Repair &amp; Maintenance Exp</t>
  </si>
  <si>
    <t>Interest on Long Term loan Capital</t>
  </si>
  <si>
    <t xml:space="preserve">Interest on Working Capital </t>
  </si>
  <si>
    <t>Interest on Power Bond</t>
  </si>
  <si>
    <t>Provision for Bad debts</t>
  </si>
  <si>
    <t>Carrying cost</t>
  </si>
  <si>
    <t>Return on Equity with Tax</t>
  </si>
  <si>
    <t>Less Miscellaneous Receipt</t>
  </si>
  <si>
    <t xml:space="preserve">Distribution Cost for Wheeling </t>
  </si>
  <si>
    <t>Wheeling charges (paise/ unit)</t>
  </si>
  <si>
    <t>Total Sale (MU)-proposed for 24-25</t>
  </si>
  <si>
    <t>Input (MU)-Proposed for 24-25</t>
  </si>
  <si>
    <t>Loss (MU)</t>
  </si>
  <si>
    <t>Input received in the system(MU)</t>
  </si>
  <si>
    <t>Licencee -TPNODL</t>
  </si>
  <si>
    <t>FORM   P.1</t>
  </si>
  <si>
    <t xml:space="preserve">        Voltage Fluctuation</t>
  </si>
  <si>
    <t>Period</t>
  </si>
  <si>
    <t>First six months of the  previous year                        FY 2022-23</t>
  </si>
  <si>
    <t>Last six months of the previous year                      FY 2022-23</t>
  </si>
  <si>
    <t>First six months of the current year                        FY 2023-24</t>
  </si>
  <si>
    <t xml:space="preserve">Corrective </t>
  </si>
  <si>
    <t xml:space="preserve">Percentage of time </t>
  </si>
  <si>
    <t>measures proposed</t>
  </si>
  <si>
    <t>Substation wise</t>
  </si>
  <si>
    <t>when voltage was</t>
  </si>
  <si>
    <t>GRID wise
At 33Kv side of transformer</t>
  </si>
  <si>
    <t xml:space="preserve">below </t>
  </si>
  <si>
    <t xml:space="preserve">above </t>
  </si>
  <si>
    <t>(9%)</t>
  </si>
  <si>
    <t>(6%)</t>
  </si>
  <si>
    <t>Balasore</t>
  </si>
  <si>
    <t>Jaleswar</t>
  </si>
  <si>
    <t>Basta</t>
  </si>
  <si>
    <t>Bhadrak</t>
  </si>
  <si>
    <t>Soro</t>
  </si>
  <si>
    <t>Baripada</t>
  </si>
  <si>
    <t>Rairangpur</t>
  </si>
  <si>
    <t>Karanjia</t>
  </si>
  <si>
    <t>Joda</t>
  </si>
  <si>
    <t>Polasponga</t>
  </si>
  <si>
    <t>Jajpur Road</t>
  </si>
  <si>
    <t>Duburi</t>
  </si>
  <si>
    <t>Jajpur Town</t>
  </si>
  <si>
    <t>Chandikhole</t>
  </si>
  <si>
    <t>Anandapur</t>
  </si>
  <si>
    <t>TPNODL AS A WHOLE</t>
  </si>
  <si>
    <t>FORM   P-2</t>
  </si>
  <si>
    <t>Items</t>
  </si>
  <si>
    <t>First six months of the previous year FY 2022-23</t>
  </si>
  <si>
    <t>Last six months of the previous year FY 2022-23</t>
  </si>
  <si>
    <t>First six months of the current year FY 2023-24</t>
  </si>
  <si>
    <t>Corrective measures</t>
  </si>
  <si>
    <t>No. of Accidents</t>
  </si>
  <si>
    <t xml:space="preserve">Proposed to avoid accidents </t>
  </si>
  <si>
    <t>Fatal</t>
  </si>
  <si>
    <t>Non-Fatal</t>
  </si>
  <si>
    <t>Human</t>
  </si>
  <si>
    <t>Animal</t>
  </si>
  <si>
    <t>1. Display of safety video thruogh LED Van and social media.
2. Distribution of pamphlet. 
3. Public safety awareness through banner displayed. 
4. Electrical safety awareness session conducted at Schools</t>
  </si>
  <si>
    <t>(1) 33KV</t>
  </si>
  <si>
    <t>(2)11KV</t>
  </si>
  <si>
    <t>(3) 400/230V</t>
  </si>
  <si>
    <t>(4)DC SUPPLY</t>
  </si>
  <si>
    <t>NA</t>
  </si>
  <si>
    <t>Licensee - TPNODL</t>
  </si>
  <si>
    <t>OERC FORM   P.3</t>
  </si>
  <si>
    <t>Release of Service Connection 
(LT SUPPLY)</t>
  </si>
  <si>
    <t>Period
-----&gt;</t>
  </si>
  <si>
    <t>First six months of the 
Previous year 2022-23</t>
  </si>
  <si>
    <t>Last six months of the 
Previous year 2022-23</t>
  </si>
  <si>
    <t xml:space="preserve">First six months of the 
Current year 2023-24     </t>
  </si>
  <si>
    <t>No.of valid requisitions for service connection for power supply</t>
  </si>
  <si>
    <t>No.of service connection provided within 30 days of valid requisition for  power supply</t>
  </si>
  <si>
    <t>No.of service connection provided after 30 days of valid requisition for  power supply</t>
  </si>
  <si>
    <t>TPNODL TOTAL</t>
  </si>
  <si>
    <t>Nil</t>
  </si>
  <si>
    <t>OERC FORM   P.4</t>
  </si>
  <si>
    <t xml:space="preserve">STATUS OF HT CONNECTIONS 
</t>
  </si>
  <si>
    <t>No. of valid requisitions for HT connection for power supply</t>
  </si>
  <si>
    <t>No.of service connection provided within 180 days of valid requisition for  power supply</t>
  </si>
  <si>
    <t>No.of service connection provided after 180 days of valid requisition for  power supply</t>
  </si>
  <si>
    <t>No.of valid requisitions for HT connection for power supply</t>
  </si>
  <si>
    <t>OERC FORM   P.5</t>
  </si>
  <si>
    <t>Abstract of outages due to trippings of HT feeder
(Excluding the Interruptions Due To EHT Failure/Grid Disturbances)</t>
  </si>
  <si>
    <t xml:space="preserve"> 33/11Kv S/S</t>
  </si>
  <si>
    <t>First six months of the current year 2022-2023</t>
  </si>
  <si>
    <t>Last six months of the previous year  2022-2023</t>
  </si>
  <si>
    <t>First six months of the current year 2023-2024</t>
  </si>
  <si>
    <t>Steps proposed to reduce feeder tripings.</t>
  </si>
  <si>
    <t>No.of Trippings</t>
  </si>
  <si>
    <t>Duration of Trippings(hrs)</t>
  </si>
  <si>
    <t>a) All 33Kv Incoming Feeders.</t>
  </si>
  <si>
    <t>Tree Branch Cutting, Pre-monsoon and periodic maintenance of LT &amp; HT Line</t>
  </si>
  <si>
    <t>b) All 11KV outgoing feeders</t>
  </si>
  <si>
    <t>OERC FORM   P.6</t>
  </si>
  <si>
    <t>Failure of Transformer (Nos.)</t>
  </si>
  <si>
    <t>SL            No.</t>
  </si>
  <si>
    <t>First six months of the previous    FY 2022-23</t>
  </si>
  <si>
    <t>Last six months of the previous FY  FY 2022-23</t>
  </si>
  <si>
    <t>First six months of the current  FY 2023-24</t>
  </si>
  <si>
    <t>Reason of Failure</t>
  </si>
  <si>
    <t>Steps taken to reduce the failure rate</t>
  </si>
  <si>
    <t>Power Transformers (HT)</t>
  </si>
  <si>
    <t xml:space="preserve">1.Ageing effect
2.Excess Trial Operations 
3.Protection Not avilable
4.Earthing
5.Repeated Repair Cases
</t>
  </si>
  <si>
    <r>
      <t xml:space="preserve">1.Gradually phasing out PTR with low health score
2.Educate our PSS Operator &amp; Filed staff not to do more than 2 test Charge &amp; take confirmation from STS/Section Manager
3.Differential protection &gt;= 5 MVA to be inducted at old PTR's. No 11kV fault should be escalated to 33kV.
4.CAPEX works for earthing need to be ramp up for old earthing revamping 
5.Any PTR repaired more than 3 time should be phase out from system
</t>
    </r>
    <r>
      <rPr>
        <b/>
        <u/>
        <sz val="10"/>
        <rFont val="Arial"/>
        <family val="2"/>
      </rPr>
      <t>Note:</t>
    </r>
    <r>
      <rPr>
        <sz val="10"/>
        <rFont val="Arial"/>
        <family val="2"/>
      </rPr>
      <t xml:space="preserve"> Out of 9 PTR 3  were under GP (In Last FY GP Failure were not considered into account but  we had taken into account from this FY)
</t>
    </r>
  </si>
  <si>
    <t>Distribution Transformers</t>
  </si>
  <si>
    <t>Load Unbalancing, Internal short circuit, Moisture Ingress</t>
  </si>
  <si>
    <t xml:space="preserve">There is currently massive addition of DTRs through various Government Schemes &amp; Under Annual CAPEX to reduce load burden on the existing DTRs. Quality of insulation in HV &amp; LV Winding is upgraded for repaired DTR to reduce interturn short. 
The bare conductors are also being replaced with AB Cable to reduce theft, pilferage and hooking activities which causes additional load to the system.
Distributing the loads evenly among the phases of the transformer.
Project Mission 100 was undertaken for mass level DTR maintenance under which 12600+ DTR of 63KVA &amp; above rating were maintained. Further this is ongoing. 
Installation of Lightning Arresters, New Breather, DTR earthing activity etc. are taking place in mass level under CAPEX &amp; OPEX head. </t>
  </si>
  <si>
    <t>FORM   P.7</t>
  </si>
  <si>
    <t>RELEASE OF CUSTOMER BILLS</t>
  </si>
  <si>
    <t>Previous Year 2022-23</t>
  </si>
  <si>
    <t>First six months of the Current Year 2023-24</t>
  </si>
  <si>
    <t xml:space="preserve">Action proposed to be taken for </t>
  </si>
  <si>
    <t>Month</t>
  </si>
  <si>
    <t>Total no of Consumer</t>
  </si>
  <si>
    <t xml:space="preserve">No. of customer billed through Spot Billing </t>
  </si>
  <si>
    <t>No. of customer billed through Other means</t>
  </si>
  <si>
    <t>No. of customer bills served within  billing period</t>
  </si>
  <si>
    <t>No. of customer bills served after  billing period</t>
  </si>
  <si>
    <t>No. of Money receipt Generated</t>
  </si>
  <si>
    <t>prompt release of customer bills</t>
  </si>
  <si>
    <t>September</t>
  </si>
  <si>
    <t>October</t>
  </si>
  <si>
    <t>November</t>
  </si>
  <si>
    <t>December</t>
  </si>
  <si>
    <t>January</t>
  </si>
  <si>
    <t>February</t>
  </si>
  <si>
    <t>Avg</t>
  </si>
  <si>
    <t>Licensee : TPNODL</t>
  </si>
  <si>
    <t>INFORMATION FOR FIXATION OF MONTHLY MAXIMUM DEMAND CHARGE</t>
  </si>
  <si>
    <t>OERC FORM P.8</t>
  </si>
  <si>
    <t>Separate Month wise submission for the previous year from April 22 to Mar'23</t>
  </si>
  <si>
    <t>SL NO</t>
  </si>
  <si>
    <t>CONSUMER_NAME</t>
  </si>
  <si>
    <t>STS MAR'23</t>
  </si>
  <si>
    <t>CD_MAR'23</t>
  </si>
  <si>
    <t>Weighted Average in %</t>
  </si>
  <si>
    <t xml:space="preserve">MD in % of CD </t>
  </si>
  <si>
    <t>CONSUMER WITH CD &gt;110 KVA&lt;1.1 MVA</t>
  </si>
  <si>
    <t xml:space="preserve">PRINCIPAL V N COLLEGE              </t>
  </si>
  <si>
    <t>EHT CONSTRUCTION DIVISION  CUTTACK OPTCL</t>
  </si>
  <si>
    <t>M/S Mayurbhanj Metals Limited</t>
  </si>
  <si>
    <t>M/S HIL LTD</t>
  </si>
  <si>
    <t>EASTERN VALVES</t>
  </si>
  <si>
    <t>SOMANI GREEN BRICKS</t>
  </si>
  <si>
    <t>SOFTWARE TECHNOLOGY PARK OF INDIA</t>
  </si>
  <si>
    <t>E.E.STORES MECHANICALS</t>
  </si>
  <si>
    <t>M/S BIOTECH AYUR (P) LTD.</t>
  </si>
  <si>
    <t>EKLAVYA MODEL SCHOOL</t>
  </si>
  <si>
    <t>SUBHASHREE GAS (PVT) LTD.</t>
  </si>
  <si>
    <t>GUMURA RAILWAY STATION</t>
  </si>
  <si>
    <t>MORDERN ENGINEERING AND MANAGEMENT</t>
  </si>
  <si>
    <t>SRI GANESH SPONGE IRON PRIVATE LIMITED</t>
  </si>
  <si>
    <t>SRI HIMANSU SEKHAR KAR</t>
  </si>
  <si>
    <t>THE SAMAJ</t>
  </si>
  <si>
    <t>PRINCIPAL EKALAVYA MODEL</t>
  </si>
  <si>
    <t>INDUS TOWERS LTD</t>
  </si>
  <si>
    <t>M/S MAHALAXMI STONE INDUSTRIES</t>
  </si>
  <si>
    <t>EKALAVYA MODEL RESIDENTIAL SCHOOL,KADUANI</t>
  </si>
  <si>
    <t>M/S VODAFONE SPACETEL LIMITED</t>
  </si>
  <si>
    <t>PRINCIPAL , GOVT. POLYTECHNIC BDK</t>
  </si>
  <si>
    <t>MEDICAL OFFICER DHARMASALA</t>
  </si>
  <si>
    <t>SANSKRUTI BHAWAN</t>
  </si>
  <si>
    <t>RATNAKAR ICE FACTORY</t>
  </si>
  <si>
    <t>D</t>
  </si>
  <si>
    <t>EKALABYA MODEL SCHOOL</t>
  </si>
  <si>
    <t>POWER GRID CORPORATION INDIA</t>
  </si>
  <si>
    <t>M/S SHREE KRISHNA STONE CRUSHER</t>
  </si>
  <si>
    <t>The Commandant 03BN NDRF</t>
  </si>
  <si>
    <t>SRI PRATAP KUMAR MOHANTY</t>
  </si>
  <si>
    <t>M/S MAA TARINI RICE MILL</t>
  </si>
  <si>
    <t>SRI SRIDHAR PARIDA</t>
  </si>
  <si>
    <t>SRIBAS JENA</t>
  </si>
  <si>
    <t>NILACHAL ISPAT NIGAM COLONY</t>
  </si>
  <si>
    <t>M/S HIGHWAY ICE AND STORE</t>
  </si>
  <si>
    <t>BHARAT BHUSAN DEO</t>
  </si>
  <si>
    <t>KHANDBANDH COLONY, OMC LTD</t>
  </si>
  <si>
    <t>M/S PARBATI UDYOG</t>
  </si>
  <si>
    <t>ALL INDIA RADIO</t>
  </si>
  <si>
    <t>M/S SHREE BINAYAK AGRO UDYOG</t>
  </si>
  <si>
    <t>M/S DURGA SILICA PROCESSORS</t>
  </si>
  <si>
    <t>EXECUTIVE ENGINEER</t>
  </si>
  <si>
    <t>M/S.   M/S NARAYANI MINERALS PVT LTD</t>
  </si>
  <si>
    <t>M/S SHYAM SUNDAR ICE FACTORY</t>
  </si>
  <si>
    <t>M/S DADA FREEZING</t>
  </si>
  <si>
    <t>M/S SWAMI VEVEKANANDA SEKHYA SHRAM.</t>
  </si>
  <si>
    <t>M/S MAA AMBIKA MINERALS</t>
  </si>
  <si>
    <t>PURE COKE LTD.</t>
  </si>
  <si>
    <t>THE PRINCIPAL GOVT. I.T.I ANANDAPUR</t>
  </si>
  <si>
    <t>M/S SERAJUDDIN &amp; CO.</t>
  </si>
  <si>
    <t>M/S GAYATRI PLASTICS</t>
  </si>
  <si>
    <t>M/S BARBRIK PROJECT LTD</t>
  </si>
  <si>
    <t>M/S INDIAN EAST COAST MINERALS</t>
  </si>
  <si>
    <t>CHELIGODHULI TOLL PLAZA</t>
  </si>
  <si>
    <t>BALASORE COLLEGE OF ENGINEERING</t>
  </si>
  <si>
    <t>REGISTER CIVIL COURT</t>
  </si>
  <si>
    <t>M/S MAA MANGALA STONE CRUSHER</t>
  </si>
  <si>
    <t>M/S ADITYA AUTO CARE</t>
  </si>
  <si>
    <t>PRINCIPAL KENDRIYA VIDYALAYA</t>
  </si>
  <si>
    <t>VENKATESWARA HATCHERIES PVT LTD</t>
  </si>
  <si>
    <t>ALLIED AGRICULTURE ACTIVITIES</t>
  </si>
  <si>
    <t>M/S  BABA BISWAKARMA MINI RICE MILL</t>
  </si>
  <si>
    <t>SRI SUKUMAR JENA</t>
  </si>
  <si>
    <t>M/S POONAM INDUSTRIES.</t>
  </si>
  <si>
    <t>M/S POBON DPC &amp; CABLES PVT LTD.</t>
  </si>
  <si>
    <t>M/S SAI MAA TARINI TOLLWAYS LTD.</t>
  </si>
  <si>
    <t>JAY KAY ESTATES</t>
  </si>
  <si>
    <t>KRISHNA STONE PRADUCT</t>
  </si>
  <si>
    <t>M/S MAA CHANDI STONE PRODUCT</t>
  </si>
  <si>
    <t>SRI SADANANDA KAR</t>
  </si>
  <si>
    <t>M/S RAYSONS AQUATIC PVT LTD.</t>
  </si>
  <si>
    <t>M/S SHYAMESWAR STONE SRUSHER</t>
  </si>
  <si>
    <t>KALIKA AGRO PRODUCT</t>
  </si>
  <si>
    <t>M/S A.N. TRANSPORT</t>
  </si>
  <si>
    <t>M/S AGRO SYNDICATE</t>
  </si>
  <si>
    <t>M/S SAI AGRITECH</t>
  </si>
  <si>
    <t>M/S.   MAA TARINI CRUSHING UNIT</t>
  </si>
  <si>
    <t>M/S ALL INDIA RADIO</t>
  </si>
  <si>
    <t>ORISSA RUBBER PRODUCTS</t>
  </si>
  <si>
    <t>M/S ADITI RICE MILL</t>
  </si>
  <si>
    <t>M/S RATNAKAR FREEZER</t>
  </si>
  <si>
    <t>NITYANANDA MANDAL</t>
  </si>
  <si>
    <t>EXECUTIVE ENGINEER,RWSS,CHANDIKHOLE</t>
  </si>
  <si>
    <t>SRI DEEPAK KUMAR PARIDA</t>
  </si>
  <si>
    <t>RAM CHANDRA BEHERA</t>
  </si>
  <si>
    <t>DIST HEADQUARTER HOSPITAL, BPD</t>
  </si>
  <si>
    <t>M/S.KRISHNA COKE INDIA (P)LTD.</t>
  </si>
  <si>
    <t>SERENDA COLONY, OMC LIMITED</t>
  </si>
  <si>
    <t>SRI RABINDRA KUMAR JENA</t>
  </si>
  <si>
    <t>SERENDA NEW COLONY, OMC LTD</t>
  </si>
  <si>
    <t>SUDHASREE MINERALS AND INDUSTRIES P</t>
  </si>
  <si>
    <t>HIMADRI BHUSAN NAYAK</t>
  </si>
  <si>
    <t xml:space="preserve"> AYUSH INFRASTRUCTURE PVT LTD</t>
  </si>
  <si>
    <t>SRI UDAYANATH DAS</t>
  </si>
  <si>
    <t>M/S HENA POLY PRODUCTS</t>
  </si>
  <si>
    <t>M/S Dada Ice Plant</t>
  </si>
  <si>
    <t>SDO-PHONE,BARIPADA</t>
  </si>
  <si>
    <t>PRICEIPAL ITI TAKATPUR</t>
  </si>
  <si>
    <t>M/S NIGAMANANDA STONE CRUSHER</t>
  </si>
  <si>
    <t>M/S KESHAB PLAST</t>
  </si>
  <si>
    <t>M/S DAYAL RESEDENCY</t>
  </si>
  <si>
    <t>SRI LOKANATH GUPTA</t>
  </si>
  <si>
    <t>M/S MAA CHANDI STONE CRUSHER</t>
  </si>
  <si>
    <t>SENIOR DIVISIONAL ELECTRICAL</t>
  </si>
  <si>
    <t>M/S TRIVENI EARTH MOVERS PVT LTD</t>
  </si>
  <si>
    <t>GURUDA COLONY, OMC LIMITED</t>
  </si>
  <si>
    <t>M/S BROTHERS CRUSHER</t>
  </si>
  <si>
    <t>M/S MAHALAXMI STONE CRUSHER</t>
  </si>
  <si>
    <t>PROJECT DIRECTOR NHAI ROURKELA</t>
  </si>
  <si>
    <t>SAKTIBRATA ROY</t>
  </si>
  <si>
    <t>M/S. M.R. MINERALS</t>
  </si>
  <si>
    <t>M/S SWARAJ LUBRICANT.</t>
  </si>
  <si>
    <t xml:space="preserve">ZILLA SANSKRUT BHABAN JAJPUR       </t>
  </si>
  <si>
    <t>M/S MONTECARLO LIMITED</t>
  </si>
  <si>
    <t>M/S.  ROCKEIRA ENGINEERING PRIVATE LIMITED</t>
  </si>
  <si>
    <t>M/S JMB RICE MILL</t>
  </si>
  <si>
    <t>M/S ROHAN AQUATIA LTD.</t>
  </si>
  <si>
    <t>M/S MAA MANGALA ICE FACTORY</t>
  </si>
  <si>
    <t>RELIANCE CORPORATE IT PARK</t>
  </si>
  <si>
    <t>TARAK NATH DAS</t>
  </si>
  <si>
    <t>THE SUPERINTENDENT SUB-DIVISIONAL HOSPITAL CHAMPUA</t>
  </si>
  <si>
    <t>M/S BIRAJA STONE CRUSHER</t>
  </si>
  <si>
    <t>SDE ( TAX) , BSNL</t>
  </si>
  <si>
    <t>M/S.MAHABIR RICE MILL</t>
  </si>
  <si>
    <t>M/S TUSAR KANTI PANDA</t>
  </si>
  <si>
    <t>M/S SHREE JAGANNATH METALS</t>
  </si>
  <si>
    <t>EXECUTIVE ENGINEER, PH DIVISION</t>
  </si>
  <si>
    <t>DISTRICT SPORTS OFFICER,Hockey Stadium</t>
  </si>
  <si>
    <t>M/S GOLDEN AQUA FARM</t>
  </si>
  <si>
    <t>DEBASIS PANDA</t>
  </si>
  <si>
    <t>M/S STAR MARINA(P) LTD.</t>
  </si>
  <si>
    <t>EXECUTIVE ENGINEER, PHD,</t>
  </si>
  <si>
    <t>HOTEL JAJATI COURTYARD</t>
  </si>
  <si>
    <t>REGIONAL RESEARCH INSTITUTE</t>
  </si>
  <si>
    <t>M/S RAGHUNATH ICE FACTORY</t>
  </si>
  <si>
    <t>THE PRINCIPAL, GOVT ITI BALASORE</t>
  </si>
  <si>
    <t>M/S PUSPA ICE PLANT</t>
  </si>
  <si>
    <t>M/S UTKAL AQUA CULTURE &amp; MARINE</t>
  </si>
  <si>
    <t>M/S.JASODA AGRO FOODS</t>
  </si>
  <si>
    <t>M/S BABA AGRITECH PVT. LTD.</t>
  </si>
  <si>
    <t>M/S CHAKRA MINERALS</t>
  </si>
  <si>
    <t>GENERAL MANAGER, CENTRAL TOOL ROOM AND TRAINING CENTRE, BHUBANESWAR</t>
  </si>
  <si>
    <t>SENIOR DIVISIONAL ENGINEER (G)</t>
  </si>
  <si>
    <t>SMT. RASHMITA NAYAK</t>
  </si>
  <si>
    <t>M/S CENTRAL TOOL ROOM &amp;</t>
  </si>
  <si>
    <t>NAROTTAM PRADHAN</t>
  </si>
  <si>
    <t>M/S EASTERN MEDIA. LTD.</t>
  </si>
  <si>
    <t>MAYURBHANJ ICE &amp; COLD STORAGE</t>
  </si>
  <si>
    <t>M/S HANUMAN STONE PRODUCTS</t>
  </si>
  <si>
    <t>M/S NILANCHAL CARBO METALIKS</t>
  </si>
  <si>
    <t>SHREE BIJAYA ICE FACTORY</t>
  </si>
  <si>
    <t>M/S SIRIDI SAI STONE CRUSHER</t>
  </si>
  <si>
    <t>SIBIRA KUMAR PARIDA</t>
  </si>
  <si>
    <t>SURYA KANTA BISWAL</t>
  </si>
  <si>
    <t>MAHENDRA KUMAR PANDA</t>
  </si>
  <si>
    <t>DAYANIDHI KHATUA</t>
  </si>
  <si>
    <t>BINOD KUMAR KHANDELWAL</t>
  </si>
  <si>
    <t>M/S TARINI CRUSHER</t>
  </si>
  <si>
    <t>SRI RATNAKAR SENAPATI</t>
  </si>
  <si>
    <t xml:space="preserve">M/S SANKAR MINERALS </t>
  </si>
  <si>
    <t>SMT. MOUSUMI MAITY</t>
  </si>
  <si>
    <t>SUBASINI KABI</t>
  </si>
  <si>
    <t>TARUMATA ICE FACTORY</t>
  </si>
  <si>
    <t>SDO-PHONES</t>
  </si>
  <si>
    <t>BAMEBARI Mn MINES CLNY, TISCO</t>
  </si>
  <si>
    <t>M/S R.K. CHEMICALS</t>
  </si>
  <si>
    <t>M/S UMAPATI RICE MILL</t>
  </si>
  <si>
    <t>M/S PADMANAV RICE &amp; FLOUR MILL</t>
  </si>
  <si>
    <t>DAS COLD STORAGE,</t>
  </si>
  <si>
    <t>SAIPRATIK HEALTH CARE SERVICE P.LTD</t>
  </si>
  <si>
    <t>SBD INTERNATIONAL SCHOOL</t>
  </si>
  <si>
    <t>M/S JOSODA PACKAGING INDUSTRY</t>
  </si>
  <si>
    <t>Mr.  CHINMAYA KUMAR MISHRA</t>
  </si>
  <si>
    <t>M/S KONARK BEVERAGES INDUSTRIES</t>
  </si>
  <si>
    <t>SANGAM &amp; PALLISHREE MELA</t>
  </si>
  <si>
    <t>SALAMA BEGUM</t>
  </si>
  <si>
    <t>SRI ABHAYA ROUL</t>
  </si>
  <si>
    <t>TOLL PLAZA , JHARAPOKHARIA</t>
  </si>
  <si>
    <t>M/S Orind Special Refractories Pvt.Ltd.</t>
  </si>
  <si>
    <t>Mr. TARINI PRASAD MOHANTY</t>
  </si>
  <si>
    <t>SRI PURNA CHANDRA BISWAL</t>
  </si>
  <si>
    <t>KMBM STREET EMPORIO LLP</t>
  </si>
  <si>
    <t>M/S  N. RANGA RAO &amp; SONS PVT LTD,</t>
  </si>
  <si>
    <t>Sri Ramesh Chandra Dixit</t>
  </si>
  <si>
    <t>M/S CHEVROX CONSTRUCTION PVT.LTD</t>
  </si>
  <si>
    <t>Mr. Kamala Kanta Ghadai</t>
  </si>
  <si>
    <t>SK. TAJUDDIN</t>
  </si>
  <si>
    <t>BHARAT KUMAR NAYAK</t>
  </si>
  <si>
    <t>M/S NILACHAL METALS</t>
  </si>
  <si>
    <t>SRI ADITYA PATRA</t>
  </si>
  <si>
    <t>MAYUR CHEMICALS INDUSTRIES P.LTD.</t>
  </si>
  <si>
    <t>M/S MAYA SHEEL RETAIL (BAZAR INDIA)</t>
  </si>
  <si>
    <t>M/S KRISHNA ENTERPRISES</t>
  </si>
  <si>
    <t>SUSANTA KUMAR SENAPATI</t>
  </si>
  <si>
    <t>M/S HARAPARBATI RICE &amp; FLOUR MILLS</t>
  </si>
  <si>
    <t>M/S LAXMINARAYAN RICE MILL &amp;</t>
  </si>
  <si>
    <t>M/S LAXMIPRIYA RICE MILL</t>
  </si>
  <si>
    <t>THE EXECUTIVE ENGINEER, PH DIVISION</t>
  </si>
  <si>
    <t>DAS STONE CRUSHER</t>
  </si>
  <si>
    <t>REGIONAL MANAGER. OMC LTD.</t>
  </si>
  <si>
    <t>EX. ENG. P.H.D. BARIPADA</t>
  </si>
  <si>
    <t>UTKAL MNRL  (PVT) LTD, BANPAR</t>
  </si>
  <si>
    <t>JARIBAR Mn MINES COLONY, TISCO</t>
  </si>
  <si>
    <t>The Superintendent, SDH, Ghasipura</t>
  </si>
  <si>
    <t>M/S  HIMALAYAN ICE FACTORY</t>
  </si>
  <si>
    <t>M/S KAVERI FREEZERS</t>
  </si>
  <si>
    <t>MAA TARINI ICE FACTORY</t>
  </si>
  <si>
    <t>SRI SAMBIT SRAVAN BISWAL</t>
  </si>
  <si>
    <t>ARUN TRADING CORPORATION</t>
  </si>
  <si>
    <t>M/S.KRISHNA ICE FACTORY</t>
  </si>
  <si>
    <t>M/S AGN AGRO PROCESSORS PVT LTD.</t>
  </si>
  <si>
    <t>TELECOM DIST.ENGINEER</t>
  </si>
  <si>
    <t>Mr.     MD SABIR KHAN</t>
  </si>
  <si>
    <t>M/S ALLIED CREATION</t>
  </si>
  <si>
    <t>TANUJABALA MOHANTY</t>
  </si>
  <si>
    <t>SRI LAXMINARAYAN KAR</t>
  </si>
  <si>
    <t>SRI BISHNUPADA SUR</t>
  </si>
  <si>
    <t>SMT MANJULATA MANDAL</t>
  </si>
  <si>
    <t>SMT PRAMILA MANDAL</t>
  </si>
  <si>
    <t>PASUPATI EXPORTS PVT. LTD.</t>
  </si>
  <si>
    <t>NIRMAL KU. KAR</t>
  </si>
  <si>
    <t>M/S KAMAL AQUA INDUSTRIES</t>
  </si>
  <si>
    <t>M/S SEA CRAFTS AQUA PROJECTS P.LTD.</t>
  </si>
  <si>
    <t>BIJAY KUMAR NAYAK</t>
  </si>
  <si>
    <t>ANSHUMAN RICE MILL</t>
  </si>
  <si>
    <t>BADAL CHANDRA SENAPATI</t>
  </si>
  <si>
    <t>SMT. MINARANI SENAPATI</t>
  </si>
  <si>
    <t>SATYASAI HETCHERY &amp; PALUTARY PRODU.</t>
  </si>
  <si>
    <t>SUSHIL KUMAR PATRA</t>
  </si>
  <si>
    <t>M/S BISAL INDUSTRIES</t>
  </si>
  <si>
    <t>ADHIR KU. SUTAR</t>
  </si>
  <si>
    <t>THE GENERAL MANAGER, CTTC, BBSR</t>
  </si>
  <si>
    <t>M/S IGLOO ICE INDUSTRIES</t>
  </si>
  <si>
    <t>M/S- MAA KIRANDEVI AGRO (P)LTD.</t>
  </si>
  <si>
    <t>M/S PRADEEP MINING &amp; CONSTRUCTION P</t>
  </si>
  <si>
    <t>BARBIL COLONY, OMC LTD</t>
  </si>
  <si>
    <t>M/S SHANKAR AGRI PRODUCT (P) LTD.</t>
  </si>
  <si>
    <t>M/S MAYURBHANJ  CERAMICS PVT.LTD.</t>
  </si>
  <si>
    <t>M/S SAGAR MINERALS</t>
  </si>
  <si>
    <t>SR. DIVISIONAL (ELECT) ENG. SERLY</t>
  </si>
  <si>
    <t>PRINCIPAL EKALABYA MODEL RESIDENTIAL SCHOOL</t>
  </si>
  <si>
    <t>ALBATROSS AQUATIC FARM P. LTD.</t>
  </si>
  <si>
    <t>SHRI GOPAL TRADING</t>
  </si>
  <si>
    <t>SATYABHAMA MAHAPATRA</t>
  </si>
  <si>
    <t>M/S TRISTAR AQUATICS</t>
  </si>
  <si>
    <t>M/S SHREE HANUMAN RICE MILL</t>
  </si>
  <si>
    <t>M/S MAA DHAMURAI ICE PLANT</t>
  </si>
  <si>
    <t>M/S ABHAY TRANSFORMERS P. LTD.</t>
  </si>
  <si>
    <t>M/S ORISSA RUBBER PRODUCT</t>
  </si>
  <si>
    <t>M/S PRAKASH PLASTIC</t>
  </si>
  <si>
    <t>ASST. COMMISSIONER OF COMMERCIAL</t>
  </si>
  <si>
    <t>THE E.E. ANANDAPUR BARAGA DIVISION</t>
  </si>
  <si>
    <t>M/S BHAVANI CENTRE FOR LEARNING</t>
  </si>
  <si>
    <t>LAXMI NARAYAN MOHANTY</t>
  </si>
  <si>
    <t>JAKHAPURA RIALWAY STATION</t>
  </si>
  <si>
    <t>SEEMANTA ENGINEERING COLLEGE</t>
  </si>
  <si>
    <t>THE CHIEF MANAGER , S.B.I.</t>
  </si>
  <si>
    <t>M/S SHREE JAGANNATH STONE CRUSHER</t>
  </si>
  <si>
    <t>M/S MAA RICE MILL</t>
  </si>
  <si>
    <t>GORACHANDA SAHOO</t>
  </si>
  <si>
    <t>M/S. KARNI THERMOPLAST(P) LTD.</t>
  </si>
  <si>
    <t>M/S- M.P. RICE MILL</t>
  </si>
  <si>
    <t xml:space="preserve">PH  Associates Pvt. Ltd.   </t>
  </si>
  <si>
    <t>20 BEDDED ICU</t>
  </si>
  <si>
    <t>M/S. MAA BHUBANESWARI STONE CRUSHING WORKS</t>
  </si>
  <si>
    <t>JIBAN KUMAR MANDAL</t>
  </si>
  <si>
    <t>OXYGEN REFULLING CENTER , BARIPADA</t>
  </si>
  <si>
    <t>PRATIK JENA</t>
  </si>
  <si>
    <t>M/S POWER GRID CORPORATION OF INDIA</t>
  </si>
  <si>
    <t>M/S JSW STEEL LTD</t>
  </si>
  <si>
    <t>KRUSHNA CHANDRA GHADEI</t>
  </si>
  <si>
    <t>M/S SUBARNA ICE FACTORY</t>
  </si>
  <si>
    <t>M/S PACKERS INDIA</t>
  </si>
  <si>
    <t>SUBHAM JYOTI AGRO P. LTD.</t>
  </si>
  <si>
    <t>M/S GANAPATI ALUMINIUM</t>
  </si>
  <si>
    <t>SRI SUDHANSHU SEKHAR PANDA</t>
  </si>
  <si>
    <t>MRI AND CITY SCAN, DHH BARIPADA</t>
  </si>
  <si>
    <t>M/S KALINGA INSTITUTE OF SOCIAL</t>
  </si>
  <si>
    <t>M/S SAKHI AGRO INDUSTRIES</t>
  </si>
  <si>
    <t>M/S OMC LTD.</t>
  </si>
  <si>
    <t>KB IRON MINES, OMC LIMITED</t>
  </si>
  <si>
    <t>THE DISTRICT SPORTS OFFICER, KNJ</t>
  </si>
  <si>
    <t>M/S JAY MAA SANTOSHI PLASTICS</t>
  </si>
  <si>
    <t>JAGABANDHU MUDULI</t>
  </si>
  <si>
    <t>JITENDRA KU. SAHOO</t>
  </si>
  <si>
    <t>M/S JAGDAMBA POLYMER PVT LTD</t>
  </si>
  <si>
    <t>M/S B.L. RICE MILL (P) LTD.</t>
  </si>
  <si>
    <t>M/S OM AVI CARBON RESOURCES PVT LTD</t>
  </si>
  <si>
    <t>PRINCIPAL GOVT ITI, JAJPUR</t>
  </si>
  <si>
    <t>M/S MAHAVEER STONE PRODUCTS</t>
  </si>
  <si>
    <t>PRINCIPAL GOVT. INDUSTRIAL</t>
  </si>
  <si>
    <t>VENKATESWARA HATCHERIES PVT. LTD.</t>
  </si>
  <si>
    <t>SACHIDANANDA KHILAR</t>
  </si>
  <si>
    <t>M/S MAHALAXMI ICE PLANT</t>
  </si>
  <si>
    <t>M/S - HOTEL BRAHMANI (P) LTD.</t>
  </si>
  <si>
    <t>THE EXECUTIVE ENGINEER RWS&amp;S DIVISION</t>
  </si>
  <si>
    <t>M/S SIDHESWAR STONE CRUSHER</t>
  </si>
  <si>
    <t>M/S. PARUL UDYOG</t>
  </si>
  <si>
    <t>HINDUSTAN PETROLEUM LIMITED</t>
  </si>
  <si>
    <t>M/S SHANTIDEVI STONE CRUSHER UNIT-2</t>
  </si>
  <si>
    <t>M/S MAA JAMUNA ICE FACTORY</t>
  </si>
  <si>
    <t>RANI SATI RICEMILL P.LTD.</t>
  </si>
  <si>
    <t>KRUSHNA CHANDRA JENA</t>
  </si>
  <si>
    <t>SRI LAXMIDHAR BAL</t>
  </si>
  <si>
    <t>M C H  COMPLEX</t>
  </si>
  <si>
    <t>M/S.FLEXI MULTIPRODUCTS &amp;</t>
  </si>
  <si>
    <t>Smt. Padmabati Padhiary</t>
  </si>
  <si>
    <t>M/S NITYANANDA FOOD PRODUCTS P. LTD</t>
  </si>
  <si>
    <t>M/S M. S. INDUSTRIES</t>
  </si>
  <si>
    <t>PROJECT MANAGER,LARSEN &amp; TOUBRO  LIMITED</t>
  </si>
  <si>
    <t>SRI PRAMOD KUMAR NAYAK</t>
  </si>
  <si>
    <t>M/S SHYAM SUNDAR COLD STORE</t>
  </si>
  <si>
    <t>UMAKANTA DAS</t>
  </si>
  <si>
    <t>M/S SUMA REAL MEDIA PVT.LTD.</t>
  </si>
  <si>
    <t>E.E. ANANDAPUR BARRAGE DIVISION.</t>
  </si>
  <si>
    <t>REGIONAL MANAGER, OMC LTD.</t>
  </si>
  <si>
    <t>SANJAY KUMAR MISHRA</t>
  </si>
  <si>
    <t>MCH BUILDING ,CHC SORO</t>
  </si>
  <si>
    <t>SRI PRAFULLA PARIDA</t>
  </si>
  <si>
    <t>M/S N&amp;B FOODS</t>
  </si>
  <si>
    <t xml:space="preserve">M/S MAA DURGA EARTH MOVERS         </t>
  </si>
  <si>
    <t>M/S SAI SANKAR ICE PLANT</t>
  </si>
  <si>
    <t>M/S MAA STONE CRUSHING UNIT.</t>
  </si>
  <si>
    <t>M/S MAA TARINI FOODS</t>
  </si>
  <si>
    <t>M/S JAGABALIA STONE CRUSHER UNIT</t>
  </si>
  <si>
    <t>M/S NILADRI PLASTIC PROCESSING UNIT</t>
  </si>
  <si>
    <t>M/S SHREE PANCHMUKHI BALAJEE STEELS</t>
  </si>
  <si>
    <t>M/S MAGNUM ESTATE LTD.</t>
  </si>
  <si>
    <t>M/S JAGANATH RICE MILL</t>
  </si>
  <si>
    <t>M/S KONARK AQUA</t>
  </si>
  <si>
    <t>DEBABRATA BEHERA</t>
  </si>
  <si>
    <t>M/S GEETANSH CABLE &amp; CONDUCTORS P L</t>
  </si>
  <si>
    <t>M/S UTKAL GRAVELS INDUSTRY (P) LTD, DIRECTOR- SRI RANJEET KESHARI JENA</t>
  </si>
  <si>
    <t>M/S SARASWATI STONE CRUSHER</t>
  </si>
  <si>
    <t>SMT. CHANDANA PATRO</t>
  </si>
  <si>
    <t>M/S UTKAL PROIEINS</t>
  </si>
  <si>
    <t>M/S MAA JASODA ICE PLANT</t>
  </si>
  <si>
    <t>M/S SWAIN MINERALS</t>
  </si>
  <si>
    <t>SHREE LAKSHMI AGRI FOODS PVT.LTD.</t>
  </si>
  <si>
    <t>THE PRINCIPAL GOVT. COLLEGE OF ENG.</t>
  </si>
  <si>
    <t>M/S Y.G.P MODERN RICE MILL</t>
  </si>
  <si>
    <t>M/S MAGNUM SEA FOOD LTD.</t>
  </si>
  <si>
    <t>M/S SUCHETA ICE &amp; COLD STORAGE</t>
  </si>
  <si>
    <t>M/S GAJARAJ RICE MILL.</t>
  </si>
  <si>
    <t>M/S BAITARANI RICE MILL</t>
  </si>
  <si>
    <t>TRIVENI EARTH MOVERS P. LTD.</t>
  </si>
  <si>
    <t>MEDICAL OFFICER CHC, BASUDEVPUR</t>
  </si>
  <si>
    <t>M/S. SAKALA MEDIA PVT. LTD</t>
  </si>
  <si>
    <t>M/S ASSOCIATED PLASTIC P. LTD.</t>
  </si>
  <si>
    <t>M/S. AARBEE ODISHA WORKS PVT LTD</t>
  </si>
  <si>
    <t>M/S. NATUREMADE RESOURCES</t>
  </si>
  <si>
    <t>MANAS RANJAN DAS</t>
  </si>
  <si>
    <t>M/S BHAGYALAXMI ICE PLANT &amp; COLD ST</t>
  </si>
  <si>
    <t>AMULYA MANDAL</t>
  </si>
  <si>
    <t>RAILWAY STATION,BALASORE</t>
  </si>
  <si>
    <t>POWER GRID CORP.OF INDIA</t>
  </si>
  <si>
    <t>M/S VENKATESWARA HATCHERIES PVT.LTD</t>
  </si>
  <si>
    <t>M/S SSM AGRO INDUSTRIES</t>
  </si>
  <si>
    <t>SRI SHIV RATAN MASKARA</t>
  </si>
  <si>
    <t>M/S. M/S KALINGA IRON WORKS</t>
  </si>
  <si>
    <t>M/S PATNAIK PLANTATION PVT. LTD.</t>
  </si>
  <si>
    <t>M/S TATA PROJECTS LTD.</t>
  </si>
  <si>
    <t>E.E. P.H.D. BARIPADA</t>
  </si>
  <si>
    <t>M/S S G S  FOOD PRODUCTS (PVT) LTD.</t>
  </si>
  <si>
    <t>THE ASST. EXECUTIVE ENG.</t>
  </si>
  <si>
    <t>M/S JAGAT JYOTI RESORTS P. LTD.</t>
  </si>
  <si>
    <t>KAPILA SAHU</t>
  </si>
  <si>
    <t>PRINCIPAL JAWAHAR NAVODAYA BIDYALAY</t>
  </si>
  <si>
    <t>M/S HOTEL LUCKY INDIA</t>
  </si>
  <si>
    <t>M/S.P.P.RICE MILL</t>
  </si>
  <si>
    <t>M/S NEW MODERN TECHNOMECH</t>
  </si>
  <si>
    <t>SMT TANUJABALA MOHANTY</t>
  </si>
  <si>
    <t>SHANKAR ICE PROCESSING</t>
  </si>
  <si>
    <t>M/S GANGAUR HOTEL &amp; RESORTS</t>
  </si>
  <si>
    <t>M/S EASTERN INDIA FISHERIES &amp;</t>
  </si>
  <si>
    <t>AMBICA RICE MILL</t>
  </si>
  <si>
    <t>M/S MONTECARLO LTD.</t>
  </si>
  <si>
    <t>EXECUTIVE ENGINEER , RWS&amp;S DIVISION KEONJHAR</t>
  </si>
  <si>
    <t>M/S WEMAK PLASTIK</t>
  </si>
  <si>
    <t>INTAKE WELL UNIT AT ARUHABRUTI-II</t>
  </si>
  <si>
    <t>M/S- MAA MANGALA INDUSTRIES (P) LTD</t>
  </si>
  <si>
    <t>KAPTIPADA AGRO PRODUCT</t>
  </si>
  <si>
    <t>M/S S.S. ENTERPRISES</t>
  </si>
  <si>
    <t>M/S MAHAPRABHU AGRO FOODS</t>
  </si>
  <si>
    <t>M/S BALASORE MARINE EXPORTS</t>
  </si>
  <si>
    <t>SOVARANI SAHU</t>
  </si>
  <si>
    <t>SUDARSHAN BEHERA</t>
  </si>
  <si>
    <t>M/S NOCCI, BALASORE INF. COMPANY</t>
  </si>
  <si>
    <t>M/S NILACHAKRA FURNITURE P. LTD.</t>
  </si>
  <si>
    <t>M/S SURYO UDYOG LTD.</t>
  </si>
  <si>
    <t>ABHAY MOHAPATRA</t>
  </si>
  <si>
    <t>M/S VENCO RESEARCH &amp; BREADING FARMS</t>
  </si>
  <si>
    <t>M/S MAA BIRAJA CHAKI ATTA</t>
  </si>
  <si>
    <t>M/S ASHADEEP AQUACULTURE P. LTD.</t>
  </si>
  <si>
    <t>M/S LELES RICE MILL</t>
  </si>
  <si>
    <t>M/S ODISHA MERCHANDISE PVT LTD.</t>
  </si>
  <si>
    <t>Mr.    PRAKASH CH KHANDELWAL</t>
  </si>
  <si>
    <t>MAHA MAHIMA FOODS</t>
  </si>
  <si>
    <t>GARRISON ENGNR-R&amp;D, OT ROAD</t>
  </si>
  <si>
    <t>DISTRICT JUDGE</t>
  </si>
  <si>
    <t>M/S GOLDEN ANCHOR (P) LTD.</t>
  </si>
  <si>
    <t>M/S TILES WORLD IMPORTERS &amp; BAJRANG</t>
  </si>
  <si>
    <t>SCIENCE PARK  CUM PLANETARIUM</t>
  </si>
  <si>
    <t>M/s. KRUPALU REFINERY</t>
  </si>
  <si>
    <t>BHADRAK RAILWAY STATION</t>
  </si>
  <si>
    <t>M/S GANAPATI PARABOILLING IND P LTD</t>
  </si>
  <si>
    <t>TARATARINI RUBBER(INDIA)P.LTD</t>
  </si>
  <si>
    <t>M/S JAGADAMBA POLYMER PVT.LTD.</t>
  </si>
  <si>
    <t>M/S MAGNUM ESTATE PVT. LTD.</t>
  </si>
  <si>
    <t>MANMOHAN DAS</t>
  </si>
  <si>
    <t>M/S MAGNUM ESATE LTD.</t>
  </si>
  <si>
    <t>M/S EASTERN RECLAIM P. LTD.</t>
  </si>
  <si>
    <t>M/S. M/S VENCO RESEARCH &amp; BREADING FARMS</t>
  </si>
  <si>
    <t>CHANNDRIKA AGRO FOODS PVT.LTD.</t>
  </si>
  <si>
    <t>M/S BALAZI TRADING CO.</t>
  </si>
  <si>
    <t>M/S GAYATRI CNSUMERS PRODUCTS P.LTD</t>
  </si>
  <si>
    <t>M/S RAMKY ENVIRO ENGINEERS LTD.</t>
  </si>
  <si>
    <t>UTKAL MINERAL IND, DHURPADA</t>
  </si>
  <si>
    <t>M/S MAA MADHOEI RICE MILL (P) LTD</t>
  </si>
  <si>
    <t>M/S RUNGTA MINES LTD.</t>
  </si>
  <si>
    <t>M/S PATNAIK MINERALS PVT LTD.</t>
  </si>
  <si>
    <t>M/S AUM SWASTIK FOODS</t>
  </si>
  <si>
    <t>G. K. BHATTAR HOSPITAL</t>
  </si>
  <si>
    <t>M/S KEONJHAR DISTRICT</t>
  </si>
  <si>
    <t>M/S CHAKADOLA SHITAL BHANDAR</t>
  </si>
  <si>
    <t>M/S. B.K FLY ASH BRICKS    PROP-    SRI MAHABIR PRASAD KHEMKA</t>
  </si>
  <si>
    <t>REGISTRAR CIVIL COURT,BALASORE</t>
  </si>
  <si>
    <t>M/S MISHRA STONE CRUSHER</t>
  </si>
  <si>
    <t>SUPERINTENDENT , SDH RAIRANGPUR</t>
  </si>
  <si>
    <t>M/S.            BALASORE SOLVENTS PVT LTD</t>
  </si>
  <si>
    <t>M/S.  Shree Ram Sales</t>
  </si>
  <si>
    <t>M/S FALCON  MARINE EXPORT LTD.</t>
  </si>
  <si>
    <t>THE CHIFE DISTRICT MEDICAL OFFICER</t>
  </si>
  <si>
    <t>M/S.   GAYADHARA RICE MILL</t>
  </si>
  <si>
    <t>M/S. SAIZAR ENTERPRISE PVT LTD</t>
  </si>
  <si>
    <t>M/S THE AGGREGATES</t>
  </si>
  <si>
    <t>SRI YOGESH SHAH</t>
  </si>
  <si>
    <t>M/S BIRABHADRA FOOD PRODUCTS</t>
  </si>
  <si>
    <t>SIDDHIVINAYAK AGRO INDUSTRY</t>
  </si>
  <si>
    <t>SMT. GITAMANI DAS</t>
  </si>
  <si>
    <t>M/S NEELAM RUBBER</t>
  </si>
  <si>
    <t>M/S MAA LAXMI AGRO PVT. LTD.</t>
  </si>
  <si>
    <t>M/S UNIDEEP FOOD PROCESSING (P) LTD</t>
  </si>
  <si>
    <t>K.L. RESOURCES  (P)  LTD.</t>
  </si>
  <si>
    <t>M/S JAY JAGANNATH RE-ROLLING</t>
  </si>
  <si>
    <t>M/S.   KRUPASINDHU FOOD PRODUCTS &amp; PROCESSING CENTER</t>
  </si>
  <si>
    <t>Sri Ajaya Kumar Dhal</t>
  </si>
  <si>
    <t>M/S R.R. INFRA DEVLOPERS PVT. LTD.</t>
  </si>
  <si>
    <t>MCH COMPLEX DHH</t>
  </si>
  <si>
    <t>L.P.G.BOTTLING PLANT</t>
  </si>
  <si>
    <t>BHOLABEDA PUMP HOUSE</t>
  </si>
  <si>
    <t>M/S Metroplast Industries</t>
  </si>
  <si>
    <t>M/S.GANESH RICE MILL</t>
  </si>
  <si>
    <t>DISTRICT HEAD QUARTER HOSPITAL,CDMO</t>
  </si>
  <si>
    <t>INDIAN OIL CORPORATION LTD.</t>
  </si>
  <si>
    <t>BHARAT PETROLEUM LIMITED</t>
  </si>
  <si>
    <t>S.R.AQUA</t>
  </si>
  <si>
    <t>M/S ESSEL MINING &amp; INDUSTRIES LTD.</t>
  </si>
  <si>
    <t>E. E. RW&amp;S DIVISION JAJPUR</t>
  </si>
  <si>
    <t>M/S P.N AGRO UDYOG</t>
  </si>
  <si>
    <t>UTKAL FLOUR MILLS(P) LTD.</t>
  </si>
  <si>
    <t>M/S-SARANGADHAR AGROTECH(P) LTD.</t>
  </si>
  <si>
    <t>MCH BUILDING</t>
  </si>
  <si>
    <t>M/S DEEPSUN AQUATIC</t>
  </si>
  <si>
    <t>M/S PARBATI TYRESS &amp; TUBES PVT LTD.</t>
  </si>
  <si>
    <t>M/S ROOTS CORPORATION LTD.</t>
  </si>
  <si>
    <t>M/S TOPSUN RIM IRON ORE</t>
  </si>
  <si>
    <t>NORTH ORISSA UNIVERSITY</t>
  </si>
  <si>
    <t>MAGNUM SEA FOODS LTD.</t>
  </si>
  <si>
    <t>M/S REGISTER OF NORTH ODISHA</t>
  </si>
  <si>
    <t>M/S. BAJARANGI RICE MILL</t>
  </si>
  <si>
    <t>M/S ARIANCE INDUSTRIES P. LTD.</t>
  </si>
  <si>
    <t>M/S OVAD AQUA VENTURES</t>
  </si>
  <si>
    <t>M/S HOTEL VENEGIA  P. LTD.</t>
  </si>
  <si>
    <t>GURUBEDA PUMP HOUSE</t>
  </si>
  <si>
    <t>EXECUTIVE OFFICER</t>
  </si>
  <si>
    <t>M/S.GAMPAS PLASTECH PVT.LTD.</t>
  </si>
  <si>
    <t>M/S.ORIPOL INDUSTRIES LTD</t>
  </si>
  <si>
    <t>M/S.OMFED DAIRY PLANT</t>
  </si>
  <si>
    <t>ALASHORE MARINE EXPORT P. LTD.</t>
  </si>
  <si>
    <t>M/S SHIV SHANKAR ICE PROCESSING</t>
  </si>
  <si>
    <t>F.M.UNIVERSITY</t>
  </si>
  <si>
    <t>ADVANCE PLASTIC PROCESSING</t>
  </si>
  <si>
    <t>M/S SUGUNA FOODS (P) LTD.</t>
  </si>
  <si>
    <t>VENKATESWARA  HATCHERIES PVT LTD.</t>
  </si>
  <si>
    <t>M/S BAIT LOGITECH (P) LTD</t>
  </si>
  <si>
    <t>TEMP. SUPPLY LARGE INDUSTRY</t>
  </si>
  <si>
    <t>M/S SHANTI DEVI STONE CRUSHER</t>
  </si>
  <si>
    <t>THE SATELITE CENTER, AIIMS</t>
  </si>
  <si>
    <t>M/S RAMADEVI FOODS (P) LTD.</t>
  </si>
  <si>
    <t>M/S MAYUR BISCUITS CO. PVT. LTD</t>
  </si>
  <si>
    <t>EX.ENGR.KANPUR REH. C&amp;B DIVISION</t>
  </si>
  <si>
    <t>M/S DILLIP BUILDCON LTD.</t>
  </si>
  <si>
    <t>M/S SHYAM SUNDAR RICE MILL</t>
  </si>
  <si>
    <t>KAMADHENU AGRO BASED IND. PVT. LTD.</t>
  </si>
  <si>
    <t>M/S SUMANGAL PLAST PVT.LTD.</t>
  </si>
  <si>
    <t>M/S POOJA RICE MILL</t>
  </si>
  <si>
    <t>SHREE GIRIRAJ INDUSTRIES LTD.</t>
  </si>
  <si>
    <t>J.K.DASMAL JUTE PRODUCTS PVT.</t>
  </si>
  <si>
    <t>K.K.STEEL</t>
  </si>
  <si>
    <t>BANEIKALA COLONY, TISCO, JODA</t>
  </si>
  <si>
    <t>THE DEAN AND PRINCIPAL PRMMCH</t>
  </si>
  <si>
    <t>DIST. SPORTS OFFICER</t>
  </si>
  <si>
    <t>M/S KRUPALU SOLVENT</t>
  </si>
  <si>
    <t>BARPADA SCHOOL OF ENGG. &amp; TECH</t>
  </si>
  <si>
    <t>M/S ASHADEEP AQUACULTURE PVT. LTD.</t>
  </si>
  <si>
    <t>M/S OHM PIPES</t>
  </si>
  <si>
    <t>M/S ASHIRBAD AGRO PRODUCTS PVT LTD.</t>
  </si>
  <si>
    <t>EXEUTIVE ENGINEER RWS&amp;S KEONJHAR</t>
  </si>
  <si>
    <t>M/S PRANABALLAV RICE MILL</t>
  </si>
  <si>
    <t>SUMRIT METALIKS (P)LTD</t>
  </si>
  <si>
    <t>M/S SSAB ENERGY &amp; MINERALS LIMITED</t>
  </si>
  <si>
    <t>SHREE  AGRICO &amp; RICE PVT LTD.</t>
  </si>
  <si>
    <t>M/S. MAA TARINI STEELS LLP</t>
  </si>
  <si>
    <t>Project Management Unit</t>
  </si>
  <si>
    <t>E.C.P. INDUSTRIES LTD.</t>
  </si>
  <si>
    <t>AURO FLOUR MILL</t>
  </si>
  <si>
    <t>KALINGA IRON WORKS COLONY</t>
  </si>
  <si>
    <t>M/S OMC LIMITED, BARBIL</t>
  </si>
  <si>
    <t>BANGORE CHROMITE MINES, OMC</t>
  </si>
  <si>
    <t>M/S KASHVI POWER &amp; STEEL P.LTD.</t>
  </si>
  <si>
    <t>M/S ESSMARK OIL INDUSTRIES (P) LTD.</t>
  </si>
  <si>
    <t>M/S BANSPANI IRON LTD.</t>
  </si>
  <si>
    <t>EXECUTIVE ENGINEER RWSS DIVISION</t>
  </si>
  <si>
    <t>N/S KENDUJHAR AGRO MINERAL&amp; PROCESSING PVT LTD.</t>
  </si>
  <si>
    <t>M/S ST MINERALS PVT.LTD.</t>
  </si>
  <si>
    <t>M/S STAR STONE CRUSHER</t>
  </si>
  <si>
    <t>M/S MAA LAXMI STONE CRUSHER</t>
  </si>
  <si>
    <t>M/S JINDAL STAINLESS CORPORATE</t>
  </si>
  <si>
    <t>M/S JAIN CONSTRUCTION</t>
  </si>
  <si>
    <t>M/S ORCHID MARINE EXPORTS PVT. LTD.</t>
  </si>
  <si>
    <t xml:space="preserve">M/S BHUBANESHWARI SEA FOOD PRIVATE </t>
  </si>
  <si>
    <t>M/S SINGHAL AGRI INDUSTRIES P.LTD.</t>
  </si>
  <si>
    <t>M/S GANAPATI PIPE &amp; INDRUSTRIES</t>
  </si>
  <si>
    <t>M/S BRAHMANI RIVER PELLETS</t>
  </si>
  <si>
    <t>M/S UTKAL BUILDERS LTD</t>
  </si>
  <si>
    <t>M/S KONARK MINERALS &amp; METALS</t>
  </si>
  <si>
    <t>M/S S T MINERALS PVT. LTD.</t>
  </si>
  <si>
    <t>MANIBABA STONE CRUSHER</t>
  </si>
  <si>
    <t>ORISSA MNRL DEV CORP LTD CLNY</t>
  </si>
  <si>
    <t>M/S GANAPATI STEEL INDUSTRY</t>
  </si>
  <si>
    <t>M/S SURYO FOODS &amp; INDUSTRIES LTD</t>
  </si>
  <si>
    <t>MAHAGOURI ALUMINIUM PVT LTD</t>
  </si>
  <si>
    <t>M/S TIRUMALA  TIRUPATI RICE MILL P LTD</t>
  </si>
  <si>
    <t>M/S MAA DURGA RICE MILL</t>
  </si>
  <si>
    <t>M/S DHAMARA PORT COMPANY LTD.</t>
  </si>
  <si>
    <t>LARSEN &amp; TOUBRO LIMITED.</t>
  </si>
  <si>
    <t>M/S BRC MARINE PRODUCTS</t>
  </si>
  <si>
    <t>M/S SYMBOL FOODS (P) LTD.</t>
  </si>
  <si>
    <t>M/S RAJA AGRO COLD STORAGE</t>
  </si>
  <si>
    <t>M/S JAGADAMBA STEEL IND.(P) LTD.</t>
  </si>
  <si>
    <t>M/S MAHARAJA RESOURCES PVT. LTD.</t>
  </si>
  <si>
    <t>M/S BASUDEV RICE MILL</t>
  </si>
  <si>
    <t>M/S Symbol Agro Foods, Prop-Sri Rajendra Ku Nayak</t>
  </si>
  <si>
    <t>M/S GADRE MARINE EXPORT PVT LTD</t>
  </si>
  <si>
    <t>M/S ST MINERALS PVT LTD</t>
  </si>
  <si>
    <t>M/S ASHADEEP AQUACULTIRE P.LTD.</t>
  </si>
  <si>
    <t>NARAYAN FOOD PRODUCTS (P)LTD.</t>
  </si>
  <si>
    <t>UTKAL AQUA PVT. LTD.</t>
  </si>
  <si>
    <t>M/S BRAHMANI RIVER PELLETS LTD.</t>
  </si>
  <si>
    <t>DIST HEAD QUARTER HOSPITAL</t>
  </si>
  <si>
    <t>ASHAMANI POLY PRODUCTS P.LTD.</t>
  </si>
  <si>
    <t>B&amp;A PACKAGING INDIA LTD.</t>
  </si>
  <si>
    <t>M/S S.N.M BUSINESS (P) LTD.</t>
  </si>
  <si>
    <t>IDCOL FERRO CHROME COLONY</t>
  </si>
  <si>
    <t>K. J. ISPAT LIMITED</t>
  </si>
  <si>
    <t>M/S MEDICA TS HOSPITAL P. LTD.</t>
  </si>
  <si>
    <t>M/S PTP EARTH MOVING AND MINING</t>
  </si>
  <si>
    <t>M/S MCH BUILDING AT NEW DHH</t>
  </si>
  <si>
    <t>M/S BRECHERS TECHNO INDIA PVT LTD</t>
  </si>
  <si>
    <t>M/S MAYUR ELECTRO CERAMICS PVT.LTD</t>
  </si>
  <si>
    <t>M/S. JAGADAMBA POLYMERS P. LTD.</t>
  </si>
  <si>
    <t>M/S LARSEN &amp; TOUBRO LIMITED</t>
  </si>
  <si>
    <t>WATER TREATMENT PLANT OF MEGA RWSS</t>
  </si>
  <si>
    <t>M/S ANANDA EXPORTS</t>
  </si>
  <si>
    <t>M/S D.R.PATNAIK</t>
  </si>
  <si>
    <t>M/S ASHADEEP AQUA CULTURE (P) LTD.</t>
  </si>
  <si>
    <t>M/S MANGALAM AGROTECH PVT. LTD.</t>
  </si>
  <si>
    <t>FALCON MARINE EXPORT LTD.</t>
  </si>
  <si>
    <t>E.E. STORES &amp; MECHANICALS</t>
  </si>
  <si>
    <t>DISTRICT HEADQUATER HOSPITAL</t>
  </si>
  <si>
    <t>M/S S S AGRI BUSINESS PVT LTD.</t>
  </si>
  <si>
    <t>LAL TRADERS &amp; AGENCIES PVT. LTD</t>
  </si>
  <si>
    <t>M/S KASHVI INTERNATIONAL (PVT) LTD.</t>
  </si>
  <si>
    <t>M/S JINDAL STEEL AND POWER LTD</t>
  </si>
  <si>
    <t>M/S. M/S NARAYAN RICE MILL</t>
  </si>
  <si>
    <t>M/S IMERYS MINERALS P. LTD.</t>
  </si>
  <si>
    <t>M/S BRAND STEEL &amp; POWER PVT LTD.</t>
  </si>
  <si>
    <t>M/S UCHABALI IRON &amp; MN.MINES</t>
  </si>
  <si>
    <t>GARRISON ENGNR-R&amp;D, ANGARGADIA</t>
  </si>
  <si>
    <t>M/S ALASHORE MARINE EXPORTS P.LTD.</t>
  </si>
  <si>
    <t>THE EXECUTIVE ENGINEER, RWSS DIVISION, ANANDPUR</t>
  </si>
  <si>
    <t>DINESH RAY</t>
  </si>
  <si>
    <t>TATA STEEL LTD</t>
  </si>
  <si>
    <t>M/S ASHADEEP AQUACULTURE PVT LTD</t>
  </si>
  <si>
    <t xml:space="preserve">Nandighose Sponge &amp; Power Pvt. Ltd </t>
  </si>
  <si>
    <t>CRAKERS INDIA(ALLOYS)PVT.LTD.</t>
  </si>
  <si>
    <t>UTKAL POLYWAVE IND.PVT.LTD</t>
  </si>
  <si>
    <t>DEAN &amp; PRINCIPAL FAKIR MOHAN</t>
  </si>
  <si>
    <t>M/S MAA NACHINDA SEA FOODS PVT. LTD</t>
  </si>
  <si>
    <t>EXECUTIVE ENGINEER MEGALIFT IRRIGATION PROJECT BHUBANESWAR</t>
  </si>
  <si>
    <t>M/S B-ONE BUSINESS HOUSE P.LTD.</t>
  </si>
  <si>
    <t>M/S EVEREST INDUSTRIES LTD.</t>
  </si>
  <si>
    <t>M/S KRUPALU RICE INDUSTRIES PVT LTD</t>
  </si>
  <si>
    <t>M/s. Neelachal Ispat Nigam Ltd</t>
  </si>
  <si>
    <t>Highland Agro Food Private Limited</t>
  </si>
  <si>
    <t>M/S JSW STEEL LIMITED</t>
  </si>
  <si>
    <t>M/S HIL LTD.</t>
  </si>
  <si>
    <t>HARI MARINE PVT. LTD.</t>
  </si>
  <si>
    <t>M/S HAREKRISHNA RICE PROCESSING -</t>
  </si>
  <si>
    <t>CD&gt;110KVA&lt;1100KVA (TOTAL)</t>
  </si>
  <si>
    <t>CONSUMER WITH CD &gt;1.1MVA&lt;5.5 MVA</t>
  </si>
  <si>
    <t>ORIPLAST LIMITED</t>
  </si>
  <si>
    <t>M/S.PATNAIK STEEL &amp; ALLOYS (P)</t>
  </si>
  <si>
    <t>M/S KAMALJEET SINGH AHLUWALIA</t>
  </si>
  <si>
    <t>M/S. M/S PANCHAWATI STEELS LLP</t>
  </si>
  <si>
    <t>M/S SREE METALIKS LTD.</t>
  </si>
  <si>
    <t>CD&gt;1100KVA&lt;5500KVA (TOTAL)</t>
  </si>
  <si>
    <t>CONSUMER WITH CD &gt;5.5MVA</t>
  </si>
  <si>
    <t>M/S. SREE METALIKS LTD.</t>
  </si>
  <si>
    <t>FACOR LTD- CHARGE CHROME PLANT</t>
  </si>
  <si>
    <t>BHADRAK RAILWAY TRACTION</t>
  </si>
  <si>
    <t>DIVISIONAL RAILWAY</t>
  </si>
  <si>
    <t>Mrs.  SR. DIVL. ELECT. ENGINEER (TRD)</t>
  </si>
  <si>
    <t>M/S.  BALASORE ALLOYS LTD</t>
  </si>
  <si>
    <t>CD&gt;5500KVA (TOTAL)</t>
  </si>
  <si>
    <t>Separate Month wise submission for the previous year from April 23 to Sept'23</t>
  </si>
  <si>
    <t>STS SEPT'23</t>
  </si>
  <si>
    <t>CD_SEPT'23</t>
  </si>
  <si>
    <t xml:space="preserve">RAJENDRA KUMAR BEHERA              </t>
  </si>
  <si>
    <t>Sita Ratan International</t>
  </si>
  <si>
    <t>M/S.    DISTRICT SPORTS OFFICE COLLECTOTORATE KEONJHAR</t>
  </si>
  <si>
    <t>M/S GAYATRI CONSUMERS PRODUCTS PVT. LTD</t>
  </si>
  <si>
    <t xml:space="preserve">M/S M.V.INTERNATIONAL (P) LTD.     </t>
  </si>
  <si>
    <t>M/S NAARAAYANI MINERALS PVT. LTD</t>
  </si>
  <si>
    <t>M/S SAI SANATAN INDUSTRIES</t>
  </si>
  <si>
    <t>Ms. JK EXCEL N INNOVATIONS C/O- JITESH KUMAR GUPTA</t>
  </si>
  <si>
    <t>District Sports  Officer</t>
  </si>
  <si>
    <t>M/S.  KAIZEN INFRACON</t>
  </si>
  <si>
    <t>Mrs. GITARANI GIRI</t>
  </si>
  <si>
    <t>M/S KUMKUM ENTER PRISES</t>
  </si>
  <si>
    <t>AYUSH INFRASTRUCTURE PVT LTD</t>
  </si>
  <si>
    <t>M/S PRIME INDUSTRIES</t>
  </si>
  <si>
    <t>RAHEE INFRATECH LTD</t>
  </si>
  <si>
    <t>Mr. DILLIP KUMAR MAHANTA</t>
  </si>
  <si>
    <t>M/S. KEC INTERNATIONAL LIMITED</t>
  </si>
  <si>
    <t>BIRAJA PANTHASALA,DEPT OF TOURISM</t>
  </si>
  <si>
    <t>HOTEL SARADA NIVAS</t>
  </si>
  <si>
    <t>Mr. UTTAM KUMAR RATHORE</t>
  </si>
  <si>
    <t>M/S PRADHAN INDUSTRY</t>
  </si>
  <si>
    <t>JHADESWAR INTERNATIONAL SCHOOL</t>
  </si>
  <si>
    <t xml:space="preserve">EXE. OFFICER JAJPUR MUNICIPALITY   </t>
  </si>
  <si>
    <t>M/S. ORISSA ENGINEERING WORKS</t>
  </si>
  <si>
    <t>Mr.  RABINDRA KUMAR JENA</t>
  </si>
  <si>
    <t>Mr.  ACHYUT KUMAR DHAL</t>
  </si>
  <si>
    <t>Mr.   RAJESH GROVER</t>
  </si>
  <si>
    <t>Ms. KANCHAN MOL</t>
  </si>
  <si>
    <t>M/S.   GOOD LIFE BIOTECH</t>
  </si>
  <si>
    <t>Ms.  GENERAL MANAGER WATCO DIVISION  BARIPADA</t>
  </si>
  <si>
    <t>M/S. BHARAT PETROLEUM CORPORATION LTD</t>
  </si>
  <si>
    <t>Mr. MUKUL AGARWAL</t>
  </si>
  <si>
    <t xml:space="preserve">SHUVENDU BHUSAN BEHERA </t>
  </si>
  <si>
    <t>SUPERINTENDING ENGINEER RWS&amp;S DIVISION RAIRANGPUR</t>
  </si>
  <si>
    <t>M/S. MADHUSMITA INFRASTUCTURE PVT LTD</t>
  </si>
  <si>
    <t xml:space="preserve">NANDIGHOSHA NETWORK PVT LTD </t>
  </si>
  <si>
    <t>Mr. R RAMESH SR PROJECT MANAGER OF EVERSENDAI CONSTR</t>
  </si>
  <si>
    <t>M/S. M/S LAXMIPRIYA RICE MILL</t>
  </si>
  <si>
    <t>SHREE GAJANAN AGRO UDYOG</t>
  </si>
  <si>
    <t>Mr. NIRANJAN SAHU</t>
  </si>
  <si>
    <t>Mrs. SMT PRAMILA MANDAL</t>
  </si>
  <si>
    <t>M/S. M/S PUSPA ICE PLANT</t>
  </si>
  <si>
    <t>M/S. BALASORE SOLVENTS PVT LTD</t>
  </si>
  <si>
    <t>M/S.  SHREE BINAYAK GRAIN PROCESSING PVT LTD</t>
  </si>
  <si>
    <t>Mr. SRI SHIV RATAN MASKARA</t>
  </si>
  <si>
    <t>M/S. B K AGRO PRODUCTS PRIVATE LIMITED</t>
  </si>
  <si>
    <t>M/S.  JATIA STEEL LIMITED</t>
  </si>
  <si>
    <t>M/S.  M/S GULAB OIL INDUSTRIES</t>
  </si>
  <si>
    <t>M/S Chakradhar Stone Crusher</t>
  </si>
  <si>
    <t>M/S.   SHREE ANNAPURNA STONE  PRODUCTS PVT LTD</t>
  </si>
  <si>
    <t>M/S SRI MAYUR BISCUIT CO. PVT. LTD</t>
  </si>
  <si>
    <t>Executive Engineer RWSS Division, Keonjhar</t>
  </si>
  <si>
    <t>M/S.  J.B. FERRO ALLOYS</t>
  </si>
  <si>
    <t>Regional Manager Gandhamardan OMC LTD.</t>
  </si>
  <si>
    <t>M/S.  SUPERINTEDING ENGINEER RWS&amp;S</t>
  </si>
  <si>
    <t>Auro Flour Mill Pvt Ltd</t>
  </si>
  <si>
    <t>M/S. M/S MEDICA TS HOSPITAL P. LTD.</t>
  </si>
  <si>
    <t>The Superintending Engineer RWSS Division Chandikhol</t>
  </si>
  <si>
    <t>M/S.  APURBA FOOD PRODUCTS PVT LTD</t>
  </si>
  <si>
    <t>M/s Manibaba Stone Crusher, Prop- Baidhar Sahoo</t>
  </si>
  <si>
    <t>M/S Purusottam Stone Crusher</t>
  </si>
  <si>
    <t>M/S Omm Sai Stone Crusher</t>
  </si>
  <si>
    <t>M/S Janani Stone Crusher</t>
  </si>
  <si>
    <t>M/S S.N. Infrastructure</t>
  </si>
  <si>
    <t>M/S. AJAYA AGRAWAL STONE CRUSHER</t>
  </si>
  <si>
    <t>M/S. SRI SAI CONSTRUCTION</t>
  </si>
  <si>
    <t>M/s Narayani Stone Crusher, Prop- Rabi Narayan Sahoo</t>
  </si>
  <si>
    <t>Executive Engineer RWS&amp;S Division, Rairangpur</t>
  </si>
  <si>
    <t>M/S. M/S KRUPALU RICE INDUSTRIES PVT LTD</t>
  </si>
  <si>
    <t>K.J  ISPAT LIMITED</t>
  </si>
  <si>
    <t>Executive Engineer RWSS Division Anandapur</t>
  </si>
  <si>
    <t>Executive Engineer, RWSS Division , Keonjhar</t>
  </si>
  <si>
    <t>M/S NARBHERAM POWER &amp; STEEL PVT.LTD</t>
  </si>
  <si>
    <t>M/S. SRI GANESH SPONGE IRON PRIVATE LIMITED</t>
  </si>
  <si>
    <t>M/S. IMERYS MINERALS (I) PVT LTD.</t>
  </si>
  <si>
    <t>DETAILS OF CONSUMPTION AND LOAD FACTOR FROM APRIL 22 TO MARCH 23</t>
  </si>
  <si>
    <t>Separate Month wise submission for the previous  year from April 22 to March 23</t>
  </si>
  <si>
    <t>Apr'22</t>
  </si>
  <si>
    <t>May'22</t>
  </si>
  <si>
    <t>Jun'22</t>
  </si>
  <si>
    <t>Jul'22</t>
  </si>
  <si>
    <t>Aug'22</t>
  </si>
  <si>
    <t>Sept'22</t>
  </si>
  <si>
    <t>Oct'22</t>
  </si>
  <si>
    <t>Nov'22</t>
  </si>
  <si>
    <t>Dec'22</t>
  </si>
  <si>
    <t>Jan'23</t>
  </si>
  <si>
    <t>Feb'23</t>
  </si>
  <si>
    <t>Mar'23</t>
  </si>
  <si>
    <t>SCNO</t>
  </si>
  <si>
    <t>NAME</t>
  </si>
  <si>
    <t>CD MAR'23</t>
  </si>
  <si>
    <t>CD</t>
  </si>
  <si>
    <t>MD(REC)</t>
  </si>
  <si>
    <t>MD(Bill)</t>
  </si>
  <si>
    <t>LF</t>
  </si>
  <si>
    <t>UNITS BILLED</t>
  </si>
  <si>
    <t>60% LF UNITS</t>
  </si>
  <si>
    <t>CONSUMPTION&gt;60% LF</t>
  </si>
  <si>
    <t>H.P.T.V. CENTRE.</t>
  </si>
  <si>
    <t>AMIYA KU. SAHOO</t>
  </si>
  <si>
    <t>M/S SUDARSAN STONE CRUSHER</t>
  </si>
  <si>
    <t>PRINCIPAL SUKINDA COLLEGE</t>
  </si>
  <si>
    <t>S.D.O.(TELEGRAPH)</t>
  </si>
  <si>
    <t>SRI JITENDRA PATEL</t>
  </si>
  <si>
    <t>JAWAHAR NAVODAYA BIDYALAYA</t>
  </si>
  <si>
    <t>M/S ANANTA SAGAR ICE FACTORY</t>
  </si>
  <si>
    <t>D.P.C.L. STATION BUILDING</t>
  </si>
  <si>
    <t>ASHOK  KUMAR NAYAK</t>
  </si>
  <si>
    <t>JAISWAL PLASTIC TUBES LTD.</t>
  </si>
  <si>
    <t>M/S SHRI KRUPALU STEEL &amp; CASTING</t>
  </si>
  <si>
    <t>M/S DILLIP BUILDCON LIMITED</t>
  </si>
  <si>
    <t>M/S BABA CHANDRASEKHAR RICE MILL</t>
  </si>
  <si>
    <t>M/S. NEELANCHAL ISPAT NIGAM LTD</t>
  </si>
  <si>
    <t>DETAILS OF CONSUMPTION AND LOAD FACTOR FROM APRIL 23 TO OCT 23</t>
  </si>
  <si>
    <t>Separate Month wise submission for the previous  year from April 23 to Oct 23</t>
  </si>
  <si>
    <t>Apr'23</t>
  </si>
  <si>
    <t>May'23</t>
  </si>
  <si>
    <t>Jun'23</t>
  </si>
  <si>
    <t>Jul'23</t>
  </si>
  <si>
    <t>Aug'23</t>
  </si>
  <si>
    <t>Sept'23</t>
  </si>
  <si>
    <t>Oct'23</t>
  </si>
  <si>
    <t>Sl N0</t>
  </si>
  <si>
    <t>STS OCT'23</t>
  </si>
  <si>
    <t>CD OCT'23</t>
  </si>
  <si>
    <t>P</t>
  </si>
  <si>
    <t>M/S.   SUPERINTENDING ENGINEER RWS&amp;S</t>
  </si>
  <si>
    <t>M/S.    IRON TRIANGLE LIMITED</t>
  </si>
  <si>
    <t>Mr.   JAGADISH BHOI</t>
  </si>
  <si>
    <t>Regional Manager OMC Ltd. Barbil</t>
  </si>
  <si>
    <t>M/S.  KALINGA ALLOYS PVT LTD</t>
  </si>
  <si>
    <t>M/S.    SRI RAMESWAR AGRO FOODS</t>
  </si>
  <si>
    <t>M/S PADMABATI PARK</t>
  </si>
  <si>
    <t>Executive Engineer RWS&amp;S Division, Chandikhol, Jajpur</t>
  </si>
  <si>
    <t>FORM   P.10</t>
  </si>
  <si>
    <t>INFORMATION ON SYSTEM DEMAND</t>
  </si>
  <si>
    <t>(Period of 12 months)</t>
  </si>
  <si>
    <t>Name of Month</t>
  </si>
  <si>
    <t>Monthly Maximum System Demand</t>
  </si>
  <si>
    <t>Date and Time of Occurrence</t>
  </si>
  <si>
    <t>Monthly Minimum System Demand</t>
  </si>
  <si>
    <t>Monthly Average System Demand</t>
  </si>
  <si>
    <t>in MW</t>
  </si>
  <si>
    <t>31-10-2022,  20:00:00</t>
  </si>
  <si>
    <t>20-10-2022 , 10:30:00</t>
  </si>
  <si>
    <t>07-11-2022  ,19:45:00</t>
  </si>
  <si>
    <t>13-11-2022,  14:00:00</t>
  </si>
  <si>
    <t>25-12-2022,  18:15:00</t>
  </si>
  <si>
    <t>14-12-2022 , 14:15:00</t>
  </si>
  <si>
    <t>11-01-2023,  07:30:00</t>
  </si>
  <si>
    <t>06-01-2023 , 14:15:00</t>
  </si>
  <si>
    <t>11-02-2023,  19:00:00</t>
  </si>
  <si>
    <t>03-02-2023,  13:30:00</t>
  </si>
  <si>
    <t>06-03-2023,  20:45:00</t>
  </si>
  <si>
    <t>20-03-2023,  07:00:00</t>
  </si>
  <si>
    <t>19-04-2023 , 22:45:00</t>
  </si>
  <si>
    <t>04-04-2023,  15:45:00</t>
  </si>
  <si>
    <t>30-05-2023,  23:30:00</t>
  </si>
  <si>
    <t>28-05-2023,  00:00:00</t>
  </si>
  <si>
    <t>20-06-2023,  23:30:00</t>
  </si>
  <si>
    <t>12-06-2023,  19:00:00</t>
  </si>
  <si>
    <t>31-07-2023,  15:00:00</t>
  </si>
  <si>
    <t>31-08-2023,  22:30:00</t>
  </si>
  <si>
    <t>02-08-2023,  06:45:00</t>
  </si>
  <si>
    <t>17-09-2023,  20:45:00</t>
  </si>
  <si>
    <t>02-09-2023,  17:00:00</t>
  </si>
  <si>
    <t>Year: 2022-23</t>
  </si>
  <si>
    <t>CONSUMPTION DURING PEAK AND OFF-PEAK HOURS BY LARGE INDUSTRIES/CONSUMERS OF CAPACITY 1 MW AND ABOVE</t>
  </si>
  <si>
    <t>(I) Identify peak load hours   (ii) Identify off-peak hours</t>
  </si>
  <si>
    <t>Supply System</t>
  </si>
  <si>
    <t>Consumption in Kwh from Apr'2022 to Mar'2023 during peak hours</t>
  </si>
  <si>
    <t>Consumption in Kwh from Apr'2022 to Mar'2023 during off peak hours</t>
  </si>
  <si>
    <t>Total Consumption in Kwh</t>
  </si>
  <si>
    <t>July'22</t>
  </si>
  <si>
    <t>M/S FACOR POWER LIMITED</t>
  </si>
  <si>
    <t>SR. DIVNL. ELECT. ENGR. (TRD)</t>
  </si>
  <si>
    <t>Year: 2022-24</t>
  </si>
  <si>
    <t>CONSUMPTION DURING PEAK AND OFFPEAK HOURS BY LARGE INDUSTRIES/CONSUMERS OF CAPACITY 1 MW AND ABOVE</t>
  </si>
  <si>
    <t>July'23</t>
  </si>
  <si>
    <t>Nov'23</t>
  </si>
  <si>
    <t>Dec'23</t>
  </si>
  <si>
    <t>Jan'24</t>
  </si>
  <si>
    <t>Feb'24</t>
  </si>
  <si>
    <t>Mar'24</t>
  </si>
  <si>
    <t>APR'23 TO Oct'23</t>
  </si>
  <si>
    <t>Consumption in Kwh from Apr'2023 to Oct'2023 during peak hours</t>
  </si>
  <si>
    <t>Consumption in Kwh from Apr'2023 to Oct'2023 during off peak hours</t>
  </si>
  <si>
    <t>Jui'23</t>
  </si>
  <si>
    <t>ALOM EXTRUSIONS LTD</t>
  </si>
  <si>
    <t>M/S IDCO PUMP HOUSE</t>
  </si>
  <si>
    <t>ASHIRBAD AGRO PRODUCTS PVT LTD (UNIT-2)</t>
  </si>
  <si>
    <t>M/S. JABA MAYEE FERRO ALLOYS LIMITED</t>
  </si>
  <si>
    <t>OERC FORM   P.12</t>
  </si>
  <si>
    <t>Interruption
Major Disturbances Due to EHT Failure</t>
  </si>
  <si>
    <t>Period------------&gt;</t>
  </si>
  <si>
    <t>First six months of the previous   FY 2022-23</t>
  </si>
  <si>
    <t>No. of occcurances</t>
  </si>
  <si>
    <t>Total duration of interruption</t>
  </si>
  <si>
    <t>Estimated unserved energy due to such interruptions(MWH)</t>
  </si>
  <si>
    <t>Example:-</t>
  </si>
  <si>
    <t>Load prior to the disturbance X No. of hours of interruption</t>
  </si>
  <si>
    <t>No. of occasions when NESCO
system was completely isolated From the Grid due to system disturbance afftecting power supply</t>
  </si>
  <si>
    <t>FORM   P.13</t>
  </si>
  <si>
    <t>STATUS OF METERING APRIL-23 to SEPT-23</t>
  </si>
  <si>
    <t>(1)</t>
  </si>
  <si>
    <t>(2)</t>
  </si>
  <si>
    <t>(3)</t>
  </si>
  <si>
    <t>(4)</t>
  </si>
  <si>
    <t>(5)</t>
  </si>
  <si>
    <t>(6)=(4)+(5)</t>
  </si>
  <si>
    <t>(7)</t>
  </si>
  <si>
    <t>(8)</t>
  </si>
  <si>
    <t>(9)=(2)-(7)</t>
  </si>
  <si>
    <t>(10)</t>
  </si>
  <si>
    <t>(11)</t>
  </si>
  <si>
    <t>(12)</t>
  </si>
  <si>
    <t>(13)=(10)-(11)+(12)</t>
  </si>
  <si>
    <t>(14)=(6)+(11)</t>
  </si>
  <si>
    <t>(15)</t>
  </si>
  <si>
    <t>(16)</t>
  </si>
  <si>
    <t>TOTAL CONSUMERS (AT THE START OF THE PERIOD )</t>
  </si>
  <si>
    <t>TOTAL CONSUMERS (END OF THE PERIOD )</t>
  </si>
  <si>
    <t>TOTAL METERS (AT START OF PERIOD)</t>
  </si>
  <si>
    <t>NEW METERS INSTALLED BY DISTCO DURING THE PERIOD</t>
  </si>
  <si>
    <t>NEW METERS INSTALLED BY CONSUMERS DURING THE PERIOD</t>
  </si>
  <si>
    <t>NEW METERS INSTALLED DURING THE PERIOD</t>
  </si>
  <si>
    <t>TOTAL METERS (AT END OF THE PERIOD)</t>
  </si>
  <si>
    <t>UNMETERED CONSUMERS AT START OF PERIOD</t>
  </si>
  <si>
    <t>UNMETERED CONSUMERS AT THE END OF PERIOD</t>
  </si>
  <si>
    <t>DEF.METER (AT START OF PERIOD)</t>
  </si>
  <si>
    <t>REPAIRED/ REPLACED DURING THE PERIOD</t>
  </si>
  <si>
    <t>REPORTED DEFECTIVE DURING THE PERIOD</t>
  </si>
  <si>
    <t>DEF.METER (AT END OF THE PERIOD)</t>
  </si>
  <si>
    <t>*TOTAL METER INSTALLED/REPAIRED DURING THE PERIOD</t>
  </si>
  <si>
    <t>TOTAL NO OF PREPAIDMETERS INSTALLED</t>
  </si>
  <si>
    <t xml:space="preserve">TOTAL NO OF CONSUMERS COVERED WITH AMR </t>
  </si>
  <si>
    <t>KUTIR JYOTI</t>
  </si>
  <si>
    <t>DOMESTIC-URBAN</t>
  </si>
  <si>
    <t>DOMESTIC-RURAL</t>
  </si>
  <si>
    <t>COMMERCIAL-URBAN</t>
  </si>
  <si>
    <t>COMMERCIAL-RURAL</t>
  </si>
  <si>
    <t>SMALL INDUSTRIES</t>
  </si>
  <si>
    <t>MEDIUM INDUSTRIES</t>
  </si>
  <si>
    <t>PUBLIC LIGHTING</t>
  </si>
  <si>
    <t>PUBLIC WATER WORKS BELOW 100 KW</t>
  </si>
  <si>
    <t>PUBLIC INSTITUTION BELOW 100 KW</t>
  </si>
  <si>
    <t>LT (TOTAL)</t>
  </si>
  <si>
    <t>LARGE INDUSTRIES  BELOW 132 KV</t>
  </si>
  <si>
    <t>Power-intensive Industries</t>
  </si>
  <si>
    <t>BULK SUPPLY-DOMESTIC</t>
  </si>
  <si>
    <t>PUBLIC WATER WORKS ABOVE 100 KW</t>
  </si>
  <si>
    <t>PUBLIC INSTITUTION ABOVE 100 KW</t>
  </si>
  <si>
    <t>Mega Lift (Irrigation Purpose )</t>
  </si>
  <si>
    <t>HT (TOTAL)</t>
  </si>
  <si>
    <t>HEAVY INDUSTRIES</t>
  </si>
  <si>
    <t>POWER INTENSIVE INDUSTRIES</t>
  </si>
  <si>
    <t>LARGE INDUSTRIES  AT 132 KV</t>
  </si>
  <si>
    <t>EHT (TOTAL)</t>
  </si>
  <si>
    <t>OERC FORM   P.14</t>
  </si>
  <si>
    <t>MEASURES FOR REDUCTION OF T&amp;D LOSS</t>
  </si>
  <si>
    <t>Subject</t>
  </si>
  <si>
    <t xml:space="preserve"> 2018-19</t>
  </si>
  <si>
    <t>Previous Yr. 2019-20</t>
  </si>
  <si>
    <t>Previous Yr. 
2020-21</t>
  </si>
  <si>
    <t>Previous Yr.
 2021-22</t>
  </si>
  <si>
    <t>Previous Yr.
 2022-23</t>
  </si>
  <si>
    <t>Current Yr.
 2023-24</t>
  </si>
  <si>
    <t>Ensuing Yr.
 2024-25</t>
  </si>
  <si>
    <t>Renovation &amp; investment</t>
  </si>
  <si>
    <t>Installation of LT less transformers</t>
  </si>
  <si>
    <t xml:space="preserve">Rate </t>
  </si>
  <si>
    <t>Rs lakhs</t>
  </si>
  <si>
    <t>Cost</t>
  </si>
  <si>
    <t>% Reduction in T&amp;D loss for above</t>
  </si>
  <si>
    <t>Re-conductoring</t>
  </si>
  <si>
    <t>i</t>
  </si>
  <si>
    <t>33kv with 232 sqmm</t>
  </si>
  <si>
    <t>Kms</t>
  </si>
  <si>
    <t>33kv with148 sqmm</t>
  </si>
  <si>
    <t>33kv with100 sqmm</t>
  </si>
  <si>
    <t>ii</t>
  </si>
  <si>
    <t>11kv</t>
  </si>
  <si>
    <t>iii</t>
  </si>
  <si>
    <t>(c)</t>
  </si>
  <si>
    <t>Upgradation of transformers</t>
  </si>
  <si>
    <t>33/11kv (12.5 MVA PTR)</t>
  </si>
  <si>
    <t>No</t>
  </si>
  <si>
    <t>33/11kv (8 &amp; 5 MVA PTR)</t>
  </si>
  <si>
    <t>33/.4kv</t>
  </si>
  <si>
    <t>11/.4kv</t>
  </si>
  <si>
    <t>(d)</t>
  </si>
  <si>
    <t>Installation of new transformers</t>
  </si>
  <si>
    <t xml:space="preserve">33/11kv </t>
  </si>
  <si>
    <t xml:space="preserve">11/.4kv </t>
  </si>
  <si>
    <t>TOTAL OF SL.1</t>
  </si>
  <si>
    <t>Detection of un-authourised abstraction of electricity</t>
  </si>
  <si>
    <t>No of cases filed in Local PS/EPS   (For FY 2022-23)</t>
  </si>
  <si>
    <t>No of cases prosecuted ( For FY 2022-23)</t>
  </si>
  <si>
    <t>Any other</t>
  </si>
  <si>
    <t>% Reduction in T&amp;D loss for Sl 2</t>
  </si>
  <si>
    <t>% Reduction in T&amp;D loss for Sl 1 &amp; 2</t>
  </si>
  <si>
    <t>NB: - Figures as per Various  Schemes</t>
  </si>
  <si>
    <t>OERC FORM   P.15</t>
  </si>
  <si>
    <t xml:space="preserve"> CONSUMER COMPLAINTS</t>
  </si>
  <si>
    <t>TYPE OF COMPLAINT</t>
  </si>
  <si>
    <t xml:space="preserve">NO.OF COMPLAINTS RECEIVED DURING </t>
  </si>
  <si>
    <t>First six months of the previous year 2022-23</t>
  </si>
  <si>
    <t>Last six months of the previous year 2022-23</t>
  </si>
  <si>
    <t>First six months of the current year 2023-24</t>
  </si>
  <si>
    <t>Interruption due to problem in LT supply</t>
  </si>
  <si>
    <t>(Fuse off call at aerial cutouts/Sealable cutout,snapping of wires,falling of trees on overhead lines,fire due to short circuit of LT lines consequent to loose spans and touching of tree branches)</t>
  </si>
  <si>
    <t>Problems in metering and meter reading</t>
  </si>
  <si>
    <t>(Delay in replacement of non-recording meters,replacement of burnt out meter,replacement of meters recording excess consumption due to creeping,breakage os seals provided to the meter,mistakes in totaling by the MR while issuing the bills,wrong noting.</t>
  </si>
  <si>
    <t xml:space="preserve">  </t>
  </si>
  <si>
    <t>Errors in billing</t>
  </si>
  <si>
    <t>(Excessive billing,amount already paid by consumer shown as arrears,wrong application of tariff,posting of wrong initial reading,showing the short claims in the monthly bill without furnishing the details to the consumer,wrong postings,i.e. postings</t>
  </si>
  <si>
    <t>Licensee-TPNODL</t>
  </si>
  <si>
    <t>OERC Form P-16</t>
  </si>
  <si>
    <t>During Previous Year (FY 2022-23)</t>
  </si>
  <si>
    <t>During 1st 6 months of the current year 
(Apr-23 to Sep-23)</t>
  </si>
  <si>
    <t>Projected for the current year 
(Apr-23 to Mar-24)</t>
  </si>
  <si>
    <t>Projected for the ensuing  year (FY 2024-25)</t>
  </si>
  <si>
    <t>No. of consumers</t>
  </si>
  <si>
    <t>No of Villages</t>
  </si>
  <si>
    <t>No of Villages Electrified</t>
  </si>
  <si>
    <t xml:space="preserve"> Network System</t>
  </si>
  <si>
    <t>Length of 33 KV Line (km.)</t>
  </si>
  <si>
    <t>Length of 11 KV Line (km.)</t>
  </si>
  <si>
    <t>Length of LT KV Line (km.)</t>
  </si>
  <si>
    <t>Length of Conductor Stolen (km.)</t>
  </si>
  <si>
    <t>Cost involved (Cr.)</t>
  </si>
  <si>
    <t>No. of 33 KV Group &amp; Feeder Breakers Required</t>
  </si>
  <si>
    <t>10 </t>
  </si>
  <si>
    <t>21 </t>
  </si>
  <si>
    <t>35 </t>
  </si>
  <si>
    <t>No. of 33 KV Group &amp; Feeder Breakers Installed</t>
  </si>
  <si>
    <t>8 </t>
  </si>
  <si>
    <t>No. of 11 KV Group &amp; Feeder Breakers Required</t>
  </si>
  <si>
    <t>22 </t>
  </si>
  <si>
    <t>54 </t>
  </si>
  <si>
    <t>62 </t>
  </si>
  <si>
    <t>No. of 11 KV Group &amp; Feeder Breakers Installed</t>
  </si>
  <si>
    <t>16 </t>
  </si>
  <si>
    <t>FEEDER METERING</t>
  </si>
  <si>
    <t>No. of 33 KV feeders   (excluding GRIDCO interface)</t>
  </si>
  <si>
    <t>No. of 33 KV feeder metering</t>
  </si>
  <si>
    <t>No. of 11 KV feeders</t>
  </si>
  <si>
    <t>No. of 11 KV feeder metering</t>
  </si>
  <si>
    <t>No. of 33 / 11 kv transformers</t>
  </si>
  <si>
    <t>No. of 33/11 kv  transformer metering position</t>
  </si>
  <si>
    <t>No. of distribution transformers   (11/0.4 &amp; 33/ 0.4 kv)</t>
  </si>
  <si>
    <t>No. of distribution transformer metering position</t>
  </si>
  <si>
    <t>MVA Capacity of DTRs</t>
  </si>
  <si>
    <t>Energy Audit Carried Out-33 KV</t>
  </si>
  <si>
    <t>Energy Audit Carried Out-11 KV</t>
  </si>
  <si>
    <t>Energy Audit Carried out- No of DTRs</t>
  </si>
  <si>
    <t>Anti Theft Measures</t>
  </si>
  <si>
    <t>No of theft cases detected</t>
  </si>
  <si>
    <t>No of cases Booked under Section 126 &amp; 135</t>
  </si>
  <si>
    <t>Ammount Accessed (Rs. In Cr.)</t>
  </si>
  <si>
    <t>Ammount Realised  (Rs. In Cr.)</t>
  </si>
  <si>
    <t>No. of FIR Lodged</t>
  </si>
  <si>
    <t>No. of illegal consumers prosecuted/Initiated in Court</t>
  </si>
  <si>
    <t>Number of disconnection made</t>
  </si>
  <si>
    <t>Franchisee Activity</t>
  </si>
  <si>
    <t>No of Micro-Franchisees</t>
  </si>
  <si>
    <t>No of Consumers Covered</t>
  </si>
  <si>
    <t>No of Macro-Franchisees</t>
  </si>
  <si>
    <t>No of Input Based-Franchisees</t>
  </si>
  <si>
    <t>Total no of consumers covered under Franchisee</t>
  </si>
  <si>
    <t>QUALITY OF SUPPLY TO THE CONSUMERS</t>
  </si>
  <si>
    <t>No. of Grievances received through CHP</t>
  </si>
  <si>
    <t>No. of GRF Orders received</t>
  </si>
  <si>
    <t>No. of GRF Orders Complied</t>
  </si>
  <si>
    <t xml:space="preserve">SYSTEM IMPROVEMENT WORKS </t>
  </si>
  <si>
    <t>Length of AB Cable Laid (Ckt Km)</t>
  </si>
  <si>
    <t>Conversion of Single Phase to Three Phase Lines (Ckt Km)</t>
  </si>
  <si>
    <t>Ammount Estimated under deposit work (Rs.in Crs)</t>
  </si>
  <si>
    <t>Ammount Finalised for 6 % calculation (Rs.in Crs)</t>
  </si>
  <si>
    <t>Licensee-:TPNODL</t>
  </si>
  <si>
    <t>OERC Form P-17</t>
  </si>
  <si>
    <t>Consumers Data (Division wise and month wise)</t>
  </si>
  <si>
    <t>No. of Consumers</t>
  </si>
  <si>
    <t>No. of Bill issued</t>
  </si>
  <si>
    <t>Name of the Division - BED, BALASORE</t>
  </si>
  <si>
    <t>Name of the Division - BTED, BASTA</t>
  </si>
  <si>
    <t>Name of the Division - JED, JALESWAR</t>
  </si>
  <si>
    <t>Name of the Division - CED, BALASORE</t>
  </si>
  <si>
    <t>Name of the Division - SED, SORO</t>
  </si>
  <si>
    <t>Name of the Division - BNED, BHADRAK (N)</t>
  </si>
  <si>
    <t>Name of the Division - BSED, BHADRAK (S)</t>
  </si>
  <si>
    <t>Name of the Division - BPED, BARIPADA</t>
  </si>
  <si>
    <t>Name of the Division - UED, UDALA</t>
  </si>
  <si>
    <t>Name of the Division - RED, RAIRANGPUR</t>
  </si>
  <si>
    <t>Name of the Division - JRED, JAJPUR ROAD</t>
  </si>
  <si>
    <t>Name of the Division - JTED, JAJPUR TOWN</t>
  </si>
  <si>
    <t>Name of the Division - KUED, KUAKHIA</t>
  </si>
  <si>
    <t>Name of the Division - KED, KEONJHAR</t>
  </si>
  <si>
    <t>Name of the Division - JOED, JODA</t>
  </si>
  <si>
    <t>Name of the Division AED, ANANDAPUR</t>
  </si>
  <si>
    <t>TPNODL AS WHOLE</t>
  </si>
  <si>
    <t>RETAIL SUPPLY TARIFF EFFECTIVE FROM 1st APRIL, 2023</t>
  </si>
  <si>
    <t>FIXED MONTHLY CHARGE---&gt;</t>
  </si>
  <si>
    <t xml:space="preserve"> (Consumption &lt;= 50 units/month)</t>
  </si>
  <si>
    <t xml:space="preserve"> (Consumption &gt;50, &lt;=200 units/month)</t>
  </si>
  <si>
    <t xml:space="preserve"> (Consumption &gt;200, &lt;=400 units/month)</t>
  </si>
  <si>
    <t xml:space="preserve"> (Consumption &gt;400 units/month)</t>
  </si>
  <si>
    <t>Allied Agricultural Activites</t>
  </si>
  <si>
    <t>Allied Agro Industrial Activities</t>
  </si>
  <si>
    <t>L.T. Industrial (S) Supply</t>
  </si>
  <si>
    <t>L.T. Industrial (M) Supply</t>
  </si>
  <si>
    <t>Energy
Charge
(P/kVAh)</t>
  </si>
  <si>
    <t>As indicated in the notes below.</t>
  </si>
  <si>
    <t>General Purpose &gt;70 KVA &lt; 110 KVA</t>
  </si>
  <si>
    <t>H.T .Industrial (M) Supply</t>
  </si>
  <si>
    <t>Public Water Works &amp; Swerage Pumping</t>
  </si>
  <si>
    <t>Emergency  Supply to CGP</t>
  </si>
  <si>
    <t xml:space="preserve">Note: </t>
  </si>
  <si>
    <t>Energy Charges for HT &amp; EHT Consumers</t>
  </si>
  <si>
    <t>Load Factor (%)</t>
  </si>
  <si>
    <t>up to 60%</t>
  </si>
  <si>
    <t>585 p/u</t>
  </si>
  <si>
    <t>580 p/u</t>
  </si>
  <si>
    <t>&gt;60%</t>
  </si>
  <si>
    <t>475 p/u</t>
  </si>
  <si>
    <t>470 p/u</t>
  </si>
  <si>
    <t>( i )</t>
  </si>
  <si>
    <t>Energy charges for all LT consumers shall continue to be billed on the basis of kWh whereas the energy charges for      
   HT and EHT consumers shall be billed on the basis of kVAh drawal. All open access transaction will be maintained in    
   kWh sale only and kVAh based sale shall be converted into kWh base on the power factor for the month provided 
   in the energy bills if necessary. For electricity duty purpose the kWh reading of the meter shall be utilised. For load 
   factor purpose kWh reading shall be taken into consideration.</t>
  </si>
  <si>
    <t>( ii )</t>
  </si>
  <si>
    <t>Power factor penalty / incentive and reliability surcharge are abolished.</t>
  </si>
  <si>
    <t>( iii )</t>
  </si>
  <si>
    <t>The reconnection charges w.e.f. 01.04.2015 shall continue unaltered</t>
  </si>
  <si>
    <t>( iv )</t>
  </si>
  <si>
    <t>Energy Charges shall be 10% higher in case of temporary connection compared to the regular connection in respective categories.</t>
  </si>
  <si>
    <t>( v )</t>
  </si>
  <si>
    <t xml:space="preserve">All the industrial consumers (Steel Plant) having CD of 1 MW and above and drawing power in 33 KV shall be    allowed a rebate of 30 paise per unit (kVAh) for the units consumed in excess of 60% of load factor and up to    70% of load factor and 40 paise per units (kVAh) for the units consumed above 70% load factor upto 80% load    factor and 50 paise per units (kVAh) for energy drawn in excess of 80% load factor per month. This shall be in  addition to all other rebate the consumer is otherwise eligible. </t>
  </si>
  <si>
    <t>(vi)</t>
  </si>
  <si>
    <t>All the industrial consumers (Steel Plant) having CD of 1 MW and above and drawing power in 33 KV shall be    allowed a rebate of 30 paise per unit (kVAh) for the units consumed in excess of 60% of load factor and up to    70% of load factor and 40 paise per units (kVAh) for the units consumed above 70% load factor upto 80% load    factor and 50 paise per units (kVAh) for energy drawn in excess of 80% load factor per month. This shall be in    addition to all other rebate the consumer is otherwise eligible. 
All the industrial consumers drawing power in EHT shall be eligible for a rebate of 10 paise per unit (kVAh) for all the units     consumed in excess of 80% of load factor.</t>
  </si>
  <si>
    <t>( vii )</t>
  </si>
  <si>
    <t xml:space="preserve"> LT Single Phase consumers of all categories having CD upto 5 KW with pole within 30 meters from the consumer premises 
Upto 2 KW   : Rs.1,500/-
Beyond 2 KW upto 5 KW : Rs.2,500/-
Provided that if the line extension is required beyond 30 meters, the licensee/supplier shall charge @ Rs.5,000/- for every span of line extension in addition to the above charges.</t>
  </si>
  <si>
    <t>( viii )</t>
  </si>
  <si>
    <t xml:space="preserve">Existing “Tatkal Scheme” for new connections, applicable to LT Domestic, Agricultural and General Purpose consumers. </t>
  </si>
  <si>
    <t>( ix )</t>
  </si>
  <si>
    <t>In case of installation with static meter/meter with provision of recording demand, the recorded demand rounded to nearest 0.5 KW shall be considered as the contract demand requiring no verification irrespective of the agreement. Therefore, for the purpose of calculation of Monthly Minimum Fixed Charge (MMFC) for the connected load below 110 KVA, the above shall form the basis they shall be billed on the basis of CD or demand recorded which ever is higher.</t>
  </si>
  <si>
    <t>( x )</t>
  </si>
  <si>
    <t>LT Domestic, LT General Purpose and HT Bulk Supply Domestic consumers will get 10 paise/unit rebate for prompt payment of the bill within due date. Thereafter, if the bill is paid within the next due date, there shall be no rebate/Delayed Payment Surcharge. But if it is paid beyond the next due date then there shall be a Delayed Payment Surcharge of 1% of the billed value for each month of delay.</t>
  </si>
  <si>
    <t>( xi )</t>
  </si>
  <si>
    <t>The billing demand in respect of consumer with Contract Demand of less than 110 KVA should be the highest demand recorded in the meter during the Financial Year irrespective of the Connected Load, which shall require no verification.</t>
  </si>
  <si>
    <t>(xii)</t>
  </si>
  <si>
    <t>Three phase consumers with static meters are allowed to avail TOD rebate excluding Public Lighting, emergency supply to CGP, LT Domestic and LT General Purpose categories @ 20 paise/unit for energy consumed during off peak hours. Off peak hours has been defined as 10 PM in the evening to 6 AM of the next day.</t>
  </si>
  <si>
    <t>(xiii)</t>
  </si>
  <si>
    <t>Hostels attached to the Schools recognised and run by SC/ST Department, Government of Odisha shall get a rebate of Rs.2.40 paise per unit in energy charge under Specified Public Purpose category (LT / HT) which shall be over and above the normal rebate for which they are eligible.</t>
  </si>
  <si>
    <t>(xiv)</t>
  </si>
  <si>
    <t>Swajala Dhara consumers under Public Water Works and Sewerage Pumping Installation category shall get special 10% rebate if electricity bills are paid within due date over and above normal rebate.</t>
  </si>
  <si>
    <t>(xv)</t>
  </si>
  <si>
    <t>During the statutory restriction imposed by the Fisheries Department, the Ice Factories located at distance not more than 5 Km. Towards the land from the sea shore of the restricted zone will pay demand charges based on the actual maximum demand recorded during the billing period.</t>
  </si>
  <si>
    <t>(xvi)</t>
  </si>
  <si>
    <t>Poultry Farms with attached feed units having connected load less than 20% of the total connected load of poultry farms should be treated as Allied Agricultural Activites instead of General Purpose category for tariff purpose. If the connected load of the attached feed unit exceeds 20% of the total connected load then the entire consumption by the poultry farm and feed processing unit taken together shall be charged with the tariff as applicable for General Purpose or the Industrial purpose as the case may be.</t>
  </si>
  <si>
    <t>(xvii)</t>
  </si>
  <si>
    <t>The food processing unit attached with cold storage shall be charged at Agro-Industrial tariff if cold storage load is not less than 80% of the entire connected load. If the load of the food processing unit other than cold storage unit exceeds 20% of the connected load, then the entire consumption by the cold storage and the food processing unit taken together shall be charged with the tariff as applicable for general purpose or the industrial purpose as the case may be.</t>
  </si>
  <si>
    <t>(xviii)</t>
  </si>
  <si>
    <t>Drawal by the industries during off-peak hours upto 120% of Contract Demand without levy of any penalty has been allowed. “Off-peak hours” for the purpose of tariff is defined as a period from 10 PM in the evening to 6.00 A.M. of the next day. The consumers who draw beyond their contract demand during hours other than the off-peak hours shall not be eligible for this benefit. If the drawal in the off peak hours exceeds 120% of the contract demand, overdrawal penalty shall be charged on the drawal over and above the 120% of contract demand (for details refer Tariff Order). When Statutory Load Regulation is imposed then restricted demand shall be treated as contract demand.</t>
  </si>
  <si>
    <t>(xix)</t>
  </si>
  <si>
    <t>General purpose consumers with Contract Demand (CD) &lt; 70 KVA shall be treated as LT consumers for tariff purposes irrespective of level of supply voltage. As per Regulation 134 (I) of OERC Distribution (Conditions of Supply) Code, 2019 the supply for load above 5 KW upto and including 70 KVA shall be in 3-Phase, 3 or 4 wires at 400 volts between phases.</t>
  </si>
  <si>
    <t xml:space="preserve">(xx) </t>
  </si>
  <si>
    <t>Own Your Transformer – “OYT Scheme” is intended for the existing individual LT domestic, individual / Group General Purpose consumers who would like to avail single point supply  by  owning  their  distribution  transformer. In such a case licensee would extend a special concession of 5% rebate on the total electricity bill (except electricity duty and meter rent) of the respective category apart from the normal rebate on the payment of the bill by the due date. If the payment is not made within due date no rebate, either normal or special is payable. The maintenance of the ‘OYT’ transformer shall be made by DISCOMs. For removal of doubt it is clarified that the “OYT Scheme” is not applicable to any existing or new HT/EHT consumer.</t>
  </si>
  <si>
    <t xml:space="preserve">(xxi) </t>
  </si>
  <si>
    <t>The rural LT domestic consumers shall get 5 paise per unit rebate in addition to existing prompt payment rebate who draw their power through correct meter and pay the bill in time.</t>
  </si>
  <si>
    <t xml:space="preserve">(xxii) </t>
  </si>
  <si>
    <t>2% rebate over and above normal rebate shall be allowed on the bill to the LT domestic and single phase general purpose category of consumers only over and above all the rebates who pay through digital means. This rebate shall be applicable on the current month bill if paid in full.</t>
  </si>
  <si>
    <t xml:space="preserve">(xxiii) </t>
  </si>
  <si>
    <t>2% rebate shall be allowed to all pre-paid consumers on pre-paid amount.</t>
  </si>
  <si>
    <t xml:space="preserve">(xxiv) </t>
  </si>
  <si>
    <t>(xxii) 2% rebate over and above normal rebate shall be allowed on the bill to the LT domestic and single phase general purpose category of consumers only over and above all the rebates who pay through digital means. This rebate shall be applicable on the current month bill if paid in full.</t>
  </si>
  <si>
    <t xml:space="preserve">(xxv) </t>
  </si>
  <si>
    <t>A Special rebate to the LT single phase consumers in addition to any other rebate he is otherwise eligible for shall be allowed at the end of the financial year (the bill for month of March) if he has paid the bill for all the 12 months of the financial year consistently without fail within due date during the relevant financial year. The amount of rebate shall be equal to the rebate of the month of March for timely payment of bill.</t>
  </si>
  <si>
    <t xml:space="preserve">(xxvi) </t>
  </si>
  <si>
    <t>The Educational Institution (Specified Public Purpose) having attached hostel and / or residential colony who draw power through a single meter in HT shall be eligible to be billed 15% of their energy drawal in HT bulk supply domestic category.</t>
  </si>
  <si>
    <t xml:space="preserve">(xxvii) </t>
  </si>
  <si>
    <t>The printout of the record of the static meter relating to MD, PF, number and period of interruption shall be supplied to the consumer wherever possible with a payment of Rs.500/- by the consumer for monthly record.</t>
  </si>
  <si>
    <t xml:space="preserve">(xxviii) </t>
  </si>
  <si>
    <t>Charging of electric vehicles shall be treated as GP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</si>
</sst>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1" formatCode="_(* #,##0_);_(* \(#,##0\);_(* &quot;-&quot;_);_(@_)"/>
    <numFmt numFmtId="43" formatCode="_(* #,##0.00_);_(* \(#,##0.00\);_(* &quot;-&quot;??_);_(@_)"/>
    <numFmt numFmtId="164" formatCode="_ * #,##0.00_ ;_ * \-#,##0.00_ ;_ * &quot;-&quot;??_ ;_ @_ "/>
    <numFmt numFmtId="165" formatCode="_-* #,##0_-;\-* #,##0_-;_-* &quot;-&quot;_-;_-@_-"/>
    <numFmt numFmtId="166" formatCode="0.000"/>
    <numFmt numFmtId="167" formatCode="0.0"/>
    <numFmt numFmtId="168" formatCode="0.000%"/>
    <numFmt numFmtId="169" formatCode="0.0%"/>
    <numFmt numFmtId="170" formatCode="0.0000"/>
    <numFmt numFmtId="171" formatCode="0.00_);\(0.00\)"/>
    <numFmt numFmtId="172" formatCode="0&quot;  &quot;"/>
    <numFmt numFmtId="173" formatCode="General_)"/>
    <numFmt numFmtId="174" formatCode="d\.mmm\.yy"/>
    <numFmt numFmtId="175" formatCode="mmm\.yy"/>
    <numFmt numFmtId="176" formatCode="d\.m\.yy\ h:mm"/>
    <numFmt numFmtId="177" formatCode="0.00&quot;  &quot;"/>
    <numFmt numFmtId="178" formatCode="#,##0.000_);[Red]\(#,##0.000\)"/>
    <numFmt numFmtId="179" formatCode="#,##0.0_);[Red]\(#,##0.0\)"/>
    <numFmt numFmtId="180" formatCode="_-* #,##0.000_-;\-* #,##0.000_-;_-* &quot;-&quot;??_-;_-@_-"/>
    <numFmt numFmtId="181" formatCode="yyyymmdd"/>
    <numFmt numFmtId="182" formatCode="mmddyyyy"/>
    <numFmt numFmtId="183" formatCode="0.00000000000"/>
    <numFmt numFmtId="184" formatCode="[$-409]mmm\-yy;@"/>
    <numFmt numFmtId="185" formatCode="0.000_);\(0.000\)"/>
    <numFmt numFmtId="186" formatCode="_(* #,##0.000_);_(* \(#,##0.000\);_(* &quot;-&quot;??_);_(@_)"/>
    <numFmt numFmtId="187" formatCode="0_ ;[Red]\-0\ "/>
    <numFmt numFmtId="188" formatCode="_(* #,##0_);_(* \(#,##0\);_(* &quot;-&quot;??_);_(@_)"/>
    <numFmt numFmtId="189" formatCode="[$-F400]h:mm:ss\ AM/PM"/>
    <numFmt numFmtId="190" formatCode="[$-14009]dd/mm/yyyy;@"/>
    <numFmt numFmtId="191" formatCode="_ * #,##0_ ;_ * \-#,##0_ ;_ * &quot;-&quot;??_ ;_ @_ "/>
    <numFmt numFmtId="192" formatCode="_(* #,##0.0_);_(* \(#,##0.0\);_(* &quot;-&quot;??_);_(@_)"/>
    <numFmt numFmtId="193" formatCode="0.0000000"/>
    <numFmt numFmtId="194" formatCode="0.0000%"/>
    <numFmt numFmtId="195" formatCode="0.0000000000"/>
    <numFmt numFmtId="196" formatCode="_(* #,##0.0000_);_(* \(#,##0.0000\);_(* &quot;-&quot;??_);_(@_)"/>
    <numFmt numFmtId="197" formatCode="_ * #,##0.0000_ ;_ * \-#,##0.0000_ ;_ * &quot;-&quot;??_ ;_ @_ "/>
    <numFmt numFmtId="198" formatCode="0.00_)"/>
    <numFmt numFmtId="199" formatCode="[hh]:mm"/>
  </numFmts>
  <fonts count="2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b/>
      <sz val="14"/>
      <name val="Arial"/>
      <family val="2"/>
    </font>
    <font>
      <sz val="10"/>
      <name val="Arial"/>
      <family val="2"/>
    </font>
    <font>
      <b/>
      <sz val="10"/>
      <color indexed="8"/>
      <name val="Arial"/>
      <family val="2"/>
    </font>
    <font>
      <b/>
      <u/>
      <sz val="10"/>
      <color indexed="8"/>
      <name val="Arial"/>
      <family val="2"/>
    </font>
    <font>
      <b/>
      <u/>
      <sz val="12"/>
      <color indexed="8"/>
      <name val="Arial"/>
      <family val="2"/>
    </font>
    <font>
      <u/>
      <sz val="12"/>
      <color indexed="8"/>
      <name val="Arial"/>
      <family val="2"/>
    </font>
    <font>
      <b/>
      <sz val="12"/>
      <color indexed="8"/>
      <name val="Arial"/>
      <family val="2"/>
    </font>
    <font>
      <b/>
      <sz val="14"/>
      <color indexed="8"/>
      <name val="Arial"/>
      <family val="2"/>
    </font>
    <font>
      <sz val="14"/>
      <color indexed="8"/>
      <name val="Arial"/>
      <family val="2"/>
    </font>
    <font>
      <b/>
      <u/>
      <sz val="14"/>
      <color indexed="8"/>
      <name val="Arial"/>
      <family val="2"/>
    </font>
    <font>
      <sz val="12"/>
      <name val="Arial"/>
      <family val="2"/>
    </font>
    <font>
      <sz val="10"/>
      <color indexed="8"/>
      <name val="Arial"/>
      <family val="2"/>
    </font>
    <font>
      <b/>
      <sz val="8"/>
      <name val="Arial"/>
      <family val="2"/>
    </font>
    <font>
      <sz val="11"/>
      <name val="Univers Condensed"/>
      <family val="2"/>
    </font>
    <font>
      <sz val="8"/>
      <name val="Arial"/>
      <family val="2"/>
    </font>
    <font>
      <sz val="10"/>
      <color indexed="10"/>
      <name val="Arial"/>
      <family val="2"/>
    </font>
    <font>
      <b/>
      <i/>
      <sz val="14"/>
      <name val="Arial"/>
      <family val="2"/>
    </font>
    <font>
      <b/>
      <i/>
      <sz val="10"/>
      <name val="Arial"/>
      <family val="2"/>
    </font>
    <font>
      <sz val="14"/>
      <name val="Arial"/>
      <family val="2"/>
    </font>
    <font>
      <b/>
      <sz val="16"/>
      <color indexed="8"/>
      <name val="Arial"/>
      <family val="2"/>
    </font>
    <font>
      <b/>
      <sz val="16"/>
      <name val="Arial"/>
      <family val="2"/>
    </font>
    <font>
      <b/>
      <sz val="11"/>
      <name val="Arial"/>
      <family val="2"/>
    </font>
    <font>
      <sz val="16"/>
      <name val="Arial"/>
      <family val="2"/>
    </font>
    <font>
      <b/>
      <sz val="11"/>
      <color indexed="8"/>
      <name val="Arial"/>
      <family val="2"/>
    </font>
    <font>
      <sz val="11"/>
      <name val="Arial"/>
      <family val="2"/>
    </font>
    <font>
      <b/>
      <u/>
      <sz val="12"/>
      <name val="Arial"/>
      <family val="2"/>
    </font>
    <font>
      <u/>
      <sz val="12"/>
      <name val="Arial"/>
      <family val="2"/>
    </font>
    <font>
      <sz val="11"/>
      <name val="Verdana"/>
      <family val="2"/>
    </font>
    <font>
      <sz val="12"/>
      <color indexed="8"/>
      <name val="Arial"/>
      <family val="2"/>
    </font>
    <font>
      <b/>
      <u/>
      <sz val="14"/>
      <name val="Arial"/>
      <family val="2"/>
    </font>
    <font>
      <sz val="10"/>
      <color indexed="8"/>
      <name val="MS Sans Serif"/>
      <family val="2"/>
    </font>
    <font>
      <sz val="10"/>
      <name val="MS Sans Serif"/>
      <family val="2"/>
    </font>
    <font>
      <sz val="12"/>
      <name val="Tms Rmn"/>
    </font>
    <font>
      <sz val="9"/>
      <name val="Times New Roman"/>
      <family val="1"/>
    </font>
    <font>
      <sz val="10"/>
      <name val="Helv"/>
    </font>
    <font>
      <sz val="7"/>
      <name val="Small Fonts"/>
      <family val="2"/>
    </font>
    <font>
      <b/>
      <sz val="10"/>
      <name val="Times New Roman"/>
      <family val="1"/>
    </font>
    <font>
      <sz val="12"/>
      <name val="Arial"/>
      <family val="2"/>
    </font>
    <font>
      <sz val="9"/>
      <name val="Arial"/>
      <family val="2"/>
    </font>
    <font>
      <sz val="11"/>
      <name val="Book Antiqua"/>
      <family val="1"/>
    </font>
    <font>
      <sz val="10"/>
      <color indexed="9"/>
      <name val="Arial"/>
      <family val="2"/>
    </font>
    <font>
      <sz val="10"/>
      <name val="Times New Roman"/>
      <family val="1"/>
    </font>
    <font>
      <b/>
      <sz val="12"/>
      <name val="Times New Roman"/>
      <family val="1"/>
    </font>
    <font>
      <sz val="11"/>
      <name val="Arial"/>
      <family val="2"/>
    </font>
    <font>
      <sz val="11"/>
      <color indexed="8"/>
      <name val="Arial"/>
      <family val="2"/>
    </font>
    <font>
      <b/>
      <sz val="11"/>
      <color indexed="60"/>
      <name val="Arial"/>
      <family val="2"/>
    </font>
    <font>
      <b/>
      <sz val="11"/>
      <color indexed="12"/>
      <name val="Arial"/>
      <family val="2"/>
    </font>
    <font>
      <sz val="11"/>
      <color indexed="60"/>
      <name val="Arial"/>
      <family val="2"/>
    </font>
    <font>
      <b/>
      <i/>
      <sz val="11"/>
      <name val="Arial"/>
      <family val="2"/>
    </font>
    <font>
      <b/>
      <i/>
      <sz val="11"/>
      <color indexed="60"/>
      <name val="Arial"/>
      <family val="2"/>
    </font>
    <font>
      <b/>
      <sz val="14"/>
      <name val="Times New Roman"/>
      <family val="1"/>
    </font>
    <font>
      <sz val="10"/>
      <color indexed="8"/>
      <name val="Times New Roman"/>
      <family val="1"/>
    </font>
    <font>
      <b/>
      <sz val="10"/>
      <color indexed="8"/>
      <name val="Times New Roman"/>
      <family val="1"/>
    </font>
    <font>
      <sz val="13"/>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8"/>
      <name val="Verdana"/>
      <family val="2"/>
    </font>
    <font>
      <b/>
      <sz val="11"/>
      <name val="Verdana"/>
      <family val="2"/>
    </font>
    <font>
      <b/>
      <u/>
      <sz val="11"/>
      <name val="Verdana"/>
      <family val="2"/>
    </font>
    <font>
      <sz val="10"/>
      <name val="Verdana"/>
      <family val="2"/>
    </font>
    <font>
      <sz val="12"/>
      <name val="Verdana"/>
      <family val="2"/>
    </font>
    <font>
      <u/>
      <sz val="11"/>
      <name val="Verdana"/>
      <family val="2"/>
    </font>
    <font>
      <sz val="10"/>
      <color indexed="8"/>
      <name val="Tahoma"/>
      <family val="2"/>
    </font>
    <font>
      <b/>
      <sz val="12"/>
      <name val="Verdana"/>
      <family val="2"/>
    </font>
    <font>
      <sz val="10"/>
      <name val="Arial"/>
      <family val="2"/>
    </font>
    <font>
      <sz val="8"/>
      <name val="Arial"/>
      <family val="2"/>
    </font>
    <font>
      <b/>
      <u/>
      <sz val="11"/>
      <color indexed="8"/>
      <name val="Arial"/>
      <family val="2"/>
    </font>
    <font>
      <sz val="9"/>
      <color indexed="81"/>
      <name val="Tahoma"/>
      <family val="2"/>
    </font>
    <font>
      <b/>
      <sz val="9"/>
      <color indexed="81"/>
      <name val="Tahoma"/>
      <family val="2"/>
    </font>
    <font>
      <b/>
      <sz val="11"/>
      <name val="Times New Roman"/>
      <family val="1"/>
    </font>
    <font>
      <sz val="12"/>
      <name val="Times New Roman"/>
      <family val="1"/>
    </font>
    <font>
      <sz val="12"/>
      <name val="Arial"/>
      <family val="2"/>
    </font>
    <font>
      <b/>
      <sz val="9"/>
      <color indexed="8"/>
      <name val="Arial"/>
      <family val="2"/>
    </font>
    <font>
      <sz val="12"/>
      <color indexed="12"/>
      <name val="Arial"/>
      <family val="2"/>
    </font>
    <font>
      <u/>
      <sz val="14"/>
      <color indexed="8"/>
      <name val="Arial"/>
      <family val="2"/>
    </font>
    <font>
      <sz val="9"/>
      <color indexed="8"/>
      <name val="Arial"/>
      <family val="2"/>
    </font>
    <font>
      <b/>
      <sz val="20"/>
      <color indexed="8"/>
      <name val="Arial"/>
      <family val="2"/>
    </font>
    <font>
      <b/>
      <u/>
      <sz val="18"/>
      <color indexed="8"/>
      <name val="Arial"/>
      <family val="2"/>
    </font>
    <font>
      <b/>
      <sz val="8"/>
      <color indexed="8"/>
      <name val="Arial"/>
      <family val="2"/>
    </font>
    <font>
      <b/>
      <u/>
      <sz val="24"/>
      <color indexed="8"/>
      <name val="Arial"/>
      <family val="2"/>
    </font>
    <font>
      <b/>
      <u/>
      <sz val="16"/>
      <name val="Arial"/>
      <family val="2"/>
    </font>
    <font>
      <b/>
      <sz val="12"/>
      <name val="Cambria"/>
      <family val="1"/>
    </font>
    <font>
      <sz val="12"/>
      <name val="Cambria"/>
      <family val="1"/>
    </font>
    <font>
      <i/>
      <sz val="12"/>
      <name val="Cambria"/>
      <family val="1"/>
    </font>
    <font>
      <i/>
      <sz val="11"/>
      <name val="Cambria"/>
      <family val="1"/>
    </font>
    <font>
      <sz val="11"/>
      <name val="Cambria"/>
      <family val="1"/>
    </font>
    <font>
      <b/>
      <sz val="11"/>
      <name val="Cambria"/>
      <family val="1"/>
    </font>
    <font>
      <sz val="10"/>
      <name val="Arial"/>
      <family val="2"/>
    </font>
    <font>
      <sz val="11"/>
      <color theme="1"/>
      <name val="Calibri"/>
      <family val="2"/>
      <scheme val="minor"/>
    </font>
    <font>
      <sz val="10"/>
      <color rgb="FFFF0000"/>
      <name val="Arial"/>
      <family val="2"/>
    </font>
    <font>
      <b/>
      <sz val="10"/>
      <color rgb="FFFF0000"/>
      <name val="Arial"/>
      <family val="2"/>
    </font>
    <font>
      <sz val="10"/>
      <color theme="1"/>
      <name val="Arial"/>
      <family val="2"/>
    </font>
    <font>
      <b/>
      <sz val="10"/>
      <color theme="1"/>
      <name val="Arial"/>
      <family val="2"/>
    </font>
    <font>
      <b/>
      <sz val="11"/>
      <color theme="1"/>
      <name val="Calibri"/>
      <family val="2"/>
      <scheme val="minor"/>
    </font>
    <font>
      <sz val="11"/>
      <name val="Calibri"/>
      <family val="2"/>
      <scheme val="minor"/>
    </font>
    <font>
      <b/>
      <sz val="14"/>
      <color theme="1"/>
      <name val="Calibri"/>
      <family val="2"/>
      <scheme val="minor"/>
    </font>
    <font>
      <sz val="11"/>
      <color theme="1"/>
      <name val="Arial"/>
      <family val="2"/>
    </font>
    <font>
      <b/>
      <sz val="12"/>
      <color theme="1"/>
      <name val="Calibri"/>
      <family val="2"/>
      <scheme val="minor"/>
    </font>
    <font>
      <b/>
      <sz val="11"/>
      <name val="Calibri"/>
      <family val="2"/>
      <scheme val="minor"/>
    </font>
    <font>
      <sz val="11"/>
      <color rgb="FFFF0000"/>
      <name val="Arial"/>
      <family val="2"/>
    </font>
    <font>
      <b/>
      <sz val="11"/>
      <color rgb="FFFFFFFF"/>
      <name val="Cambria"/>
      <family val="1"/>
    </font>
    <font>
      <sz val="11"/>
      <color rgb="FF000000"/>
      <name val="Cambria"/>
      <family val="1"/>
    </font>
    <font>
      <sz val="12"/>
      <name val="Arial"/>
      <family val="2"/>
    </font>
    <font>
      <b/>
      <sz val="9"/>
      <name val="Arial"/>
      <family val="2"/>
    </font>
    <font>
      <b/>
      <sz val="15"/>
      <color indexed="8"/>
      <name val="Arial"/>
      <family val="2"/>
    </font>
    <font>
      <b/>
      <sz val="10"/>
      <color indexed="8"/>
      <name val="Verdana"/>
      <family val="2"/>
    </font>
    <font>
      <b/>
      <sz val="10"/>
      <name val="Verdana"/>
      <family val="2"/>
    </font>
    <font>
      <b/>
      <u/>
      <sz val="10"/>
      <color indexed="8"/>
      <name val="Verdana"/>
      <family val="2"/>
    </font>
    <font>
      <b/>
      <u/>
      <sz val="14"/>
      <color indexed="8"/>
      <name val="Verdana"/>
      <family val="2"/>
    </font>
    <font>
      <b/>
      <sz val="12"/>
      <color indexed="8"/>
      <name val="Verdana"/>
      <family val="2"/>
    </font>
    <font>
      <sz val="11"/>
      <color theme="1"/>
      <name val="Verdana"/>
      <family val="2"/>
    </font>
    <font>
      <b/>
      <u/>
      <sz val="12"/>
      <name val="Arial Narrow"/>
      <family val="2"/>
    </font>
    <font>
      <b/>
      <u/>
      <sz val="12"/>
      <color indexed="17"/>
      <name val="Arial Narrow"/>
      <family val="2"/>
    </font>
    <font>
      <b/>
      <sz val="12"/>
      <name val="Arial Narrow"/>
      <family val="2"/>
    </font>
    <font>
      <sz val="12"/>
      <name val="Arial Narrow"/>
      <family val="2"/>
    </font>
    <font>
      <b/>
      <sz val="12"/>
      <color rgb="FFFF0000"/>
      <name val="Arial"/>
      <family val="2"/>
    </font>
    <font>
      <b/>
      <sz val="9"/>
      <name val="Times New Roman"/>
      <family val="1"/>
    </font>
    <font>
      <b/>
      <u/>
      <sz val="9"/>
      <color indexed="8"/>
      <name val="Arial"/>
      <family val="2"/>
    </font>
    <font>
      <sz val="11"/>
      <color indexed="18"/>
      <name val="Arial"/>
      <family val="2"/>
    </font>
    <font>
      <b/>
      <sz val="11"/>
      <color indexed="18"/>
      <name val="Arial"/>
      <family val="2"/>
    </font>
    <font>
      <sz val="11"/>
      <color indexed="10"/>
      <name val="Arial"/>
      <family val="2"/>
    </font>
    <font>
      <sz val="11"/>
      <color indexed="58"/>
      <name val="Arial"/>
      <family val="2"/>
    </font>
    <font>
      <b/>
      <sz val="11"/>
      <color indexed="10"/>
      <name val="Arial"/>
      <family val="2"/>
    </font>
    <font>
      <b/>
      <sz val="14"/>
      <color indexed="8"/>
      <name val="Arial Narrow"/>
      <family val="2"/>
    </font>
    <font>
      <sz val="14"/>
      <color indexed="8"/>
      <name val="Arial Narrow"/>
      <family val="2"/>
    </font>
    <font>
      <b/>
      <sz val="11"/>
      <color rgb="FF000000"/>
      <name val="Calibri"/>
      <family val="2"/>
    </font>
    <font>
      <sz val="11"/>
      <color rgb="FF000000"/>
      <name val="Calibri"/>
      <family val="2"/>
    </font>
    <font>
      <sz val="10"/>
      <color theme="0"/>
      <name val="Arial"/>
      <family val="2"/>
    </font>
    <font>
      <b/>
      <u/>
      <sz val="12"/>
      <name val="Verdana"/>
      <family val="2"/>
    </font>
    <font>
      <b/>
      <sz val="11"/>
      <color rgb="FFFF0000"/>
      <name val="Arial"/>
      <family val="2"/>
    </font>
    <font>
      <b/>
      <sz val="10"/>
      <name val="Rupee Foradian"/>
      <family val="2"/>
    </font>
    <font>
      <sz val="12"/>
      <color rgb="FF000000"/>
      <name val="Calibri"/>
      <family val="2"/>
    </font>
    <font>
      <sz val="11"/>
      <color rgb="FF000000"/>
      <name val="Arial"/>
      <family val="2"/>
    </font>
    <font>
      <b/>
      <sz val="11"/>
      <color rgb="FF000000"/>
      <name val="Arial"/>
      <family val="2"/>
    </font>
    <font>
      <sz val="12"/>
      <color theme="1"/>
      <name val="Arial"/>
      <family val="2"/>
    </font>
    <font>
      <i/>
      <sz val="11"/>
      <color rgb="FF000000"/>
      <name val="Arial"/>
      <family val="2"/>
    </font>
    <font>
      <sz val="12"/>
      <color rgb="FF000000"/>
      <name val="Arial"/>
      <family val="2"/>
    </font>
    <font>
      <sz val="11"/>
      <color rgb="FF000000"/>
      <name val="Segoe UI"/>
      <family val="2"/>
    </font>
    <font>
      <b/>
      <sz val="10"/>
      <color rgb="FF000000"/>
      <name val="Arial"/>
      <family val="2"/>
    </font>
    <font>
      <sz val="10"/>
      <color rgb="FF000000"/>
      <name val="Arial"/>
      <family val="2"/>
    </font>
    <font>
      <b/>
      <sz val="11"/>
      <color theme="0"/>
      <name val="Arial"/>
      <family val="2"/>
    </font>
    <font>
      <b/>
      <sz val="11"/>
      <color theme="0"/>
      <name val="Calibri"/>
      <family val="2"/>
      <scheme val="minor"/>
    </font>
    <font>
      <sz val="11"/>
      <color theme="0"/>
      <name val="Calibri"/>
      <family val="2"/>
      <scheme val="minor"/>
    </font>
    <font>
      <sz val="12"/>
      <color theme="1"/>
      <name val="Times New Roman"/>
      <family val="1"/>
    </font>
    <font>
      <b/>
      <sz val="12"/>
      <color theme="1"/>
      <name val="Times New Roman"/>
      <family val="1"/>
    </font>
    <font>
      <b/>
      <sz val="9"/>
      <color theme="1"/>
      <name val="Arial"/>
      <family val="2"/>
    </font>
    <font>
      <b/>
      <sz val="8"/>
      <color rgb="FFFF0000"/>
      <name val="Arial"/>
      <family val="2"/>
    </font>
    <font>
      <b/>
      <sz val="14"/>
      <color rgb="FFFF0000"/>
      <name val="Arial"/>
      <family val="2"/>
    </font>
    <font>
      <b/>
      <sz val="10"/>
      <name val="Calibri"/>
      <family val="2"/>
    </font>
    <font>
      <sz val="10"/>
      <name val="Calibri"/>
      <family val="2"/>
    </font>
    <font>
      <b/>
      <sz val="11.5"/>
      <name val="Calibri"/>
      <family val="2"/>
    </font>
    <font>
      <sz val="11"/>
      <name val="Times New Roman"/>
      <family val="1"/>
    </font>
    <font>
      <sz val="11.5"/>
      <name val="Calibri"/>
      <family val="2"/>
    </font>
    <font>
      <b/>
      <u/>
      <sz val="10"/>
      <name val="Arial"/>
      <family val="2"/>
    </font>
    <font>
      <b/>
      <sz val="11"/>
      <color rgb="FF201F1E"/>
      <name val="Arial"/>
      <family val="2"/>
    </font>
    <font>
      <sz val="12"/>
      <color rgb="FF000000"/>
      <name val="Inherit"/>
    </font>
    <font>
      <sz val="11"/>
      <color rgb="FFFF0000"/>
      <name val="Calibri"/>
      <family val="2"/>
    </font>
    <font>
      <b/>
      <sz val="11"/>
      <color rgb="FFFF0000"/>
      <name val="Calibri"/>
      <family val="2"/>
    </font>
    <font>
      <b/>
      <sz val="9"/>
      <color rgb="FF000000"/>
      <name val="Times New Roman"/>
      <family val="1"/>
    </font>
    <font>
      <sz val="9"/>
      <color rgb="FF000000"/>
      <name val="Times New Roman"/>
      <family val="1"/>
    </font>
    <font>
      <sz val="10"/>
      <name val="Dialog"/>
      <family val="2"/>
    </font>
    <font>
      <b/>
      <sz val="9"/>
      <color theme="1"/>
      <name val="Calibri"/>
      <family val="2"/>
      <scheme val="minor"/>
    </font>
    <font>
      <b/>
      <sz val="16"/>
      <name val="Calibri"/>
      <family val="2"/>
    </font>
    <font>
      <sz val="16"/>
      <name val="Calibri"/>
      <family val="2"/>
    </font>
    <font>
      <sz val="18"/>
      <name val="Calibri"/>
      <family val="2"/>
    </font>
    <font>
      <b/>
      <sz val="7"/>
      <color indexed="8"/>
      <name val="Times New Roman"/>
      <family val="1"/>
    </font>
    <font>
      <sz val="10"/>
      <color theme="1"/>
      <name val="Verdana"/>
      <family val="2"/>
    </font>
    <font>
      <sz val="12"/>
      <name val="Helv"/>
    </font>
    <font>
      <sz val="9"/>
      <name val="Verdana"/>
      <family val="2"/>
    </font>
    <font>
      <b/>
      <sz val="9"/>
      <name val="Verdana"/>
      <family val="2"/>
    </font>
    <font>
      <b/>
      <sz val="9"/>
      <color theme="0"/>
      <name val="Verdana"/>
      <family val="2"/>
    </font>
    <font>
      <b/>
      <sz val="9"/>
      <color rgb="FF0033CC"/>
      <name val="Verdana"/>
      <family val="2"/>
    </font>
    <font>
      <sz val="9"/>
      <color rgb="FFFF0000"/>
      <name val="Verdana"/>
      <family val="2"/>
    </font>
    <font>
      <sz val="14"/>
      <color rgb="FF000000"/>
      <name val="Arial"/>
      <family val="2"/>
    </font>
    <font>
      <sz val="9"/>
      <color rgb="FF000000"/>
      <name val="SansSerif"/>
      <family val="2"/>
    </font>
    <font>
      <sz val="12"/>
      <color rgb="FFFF0000"/>
      <name val="Arial"/>
      <family val="2"/>
    </font>
    <font>
      <sz val="10"/>
      <color theme="1"/>
      <name val="Times New Roman"/>
      <family val="1"/>
    </font>
    <font>
      <sz val="10"/>
      <name val="Arial"/>
      <family val="2"/>
    </font>
    <font>
      <sz val="10"/>
      <color rgb="FFFF0000"/>
      <name val="Times New Roman"/>
      <family val="1"/>
    </font>
    <font>
      <b/>
      <sz val="10"/>
      <color theme="1"/>
      <name val="Times New Roman"/>
      <family val="1"/>
    </font>
    <font>
      <b/>
      <sz val="12"/>
      <color rgb="FFFF0000"/>
      <name val="Times New Roman"/>
      <family val="1"/>
    </font>
    <font>
      <sz val="12"/>
      <color rgb="FFFF0000"/>
      <name val="Times New Roman"/>
      <family val="1"/>
    </font>
    <font>
      <b/>
      <sz val="14"/>
      <color theme="1"/>
      <name val="Times New Roman"/>
      <family val="1"/>
    </font>
    <font>
      <b/>
      <sz val="16"/>
      <color theme="1"/>
      <name val="Arial"/>
      <family val="2"/>
    </font>
    <font>
      <sz val="14"/>
      <color theme="1"/>
      <name val="Arial"/>
      <family val="2"/>
    </font>
    <font>
      <sz val="14"/>
      <color theme="1"/>
      <name val="Times New Roman"/>
      <family val="1"/>
    </font>
    <font>
      <sz val="10"/>
      <color indexed="10"/>
      <name val="Times New Roman"/>
      <family val="1"/>
    </font>
    <font>
      <b/>
      <sz val="14"/>
      <color rgb="FFFF0000"/>
      <name val="Times New Roman"/>
      <family val="1"/>
    </font>
    <font>
      <u/>
      <sz val="16"/>
      <color rgb="FFFF0000"/>
      <name val="Times New Roman"/>
      <family val="1"/>
    </font>
    <font>
      <b/>
      <sz val="10"/>
      <color rgb="FFFF0000"/>
      <name val="Times New Roman"/>
      <family val="1"/>
    </font>
    <font>
      <sz val="14"/>
      <color rgb="FFFF0000"/>
      <name val="Times New Roman"/>
      <family val="1"/>
    </font>
    <font>
      <b/>
      <sz val="14"/>
      <name val="Verdana"/>
      <family val="2"/>
    </font>
    <font>
      <sz val="26"/>
      <color rgb="FFFF0000"/>
      <name val="Arial"/>
      <family val="2"/>
    </font>
    <font>
      <b/>
      <sz val="11"/>
      <color theme="1"/>
      <name val="Arial"/>
      <family val="2"/>
    </font>
    <font>
      <b/>
      <sz val="9"/>
      <color rgb="FF0070C0"/>
      <name val="Verdana"/>
      <family val="2"/>
    </font>
    <font>
      <b/>
      <sz val="9"/>
      <color theme="4"/>
      <name val="Verdana"/>
      <family val="2"/>
    </font>
    <font>
      <b/>
      <sz val="9"/>
      <color rgb="FFFF0000"/>
      <name val="Verdana"/>
      <family val="2"/>
    </font>
    <font>
      <b/>
      <sz val="9"/>
      <color rgb="FFFFC000"/>
      <name val="Verdana"/>
      <family val="2"/>
    </font>
    <font>
      <b/>
      <sz val="14"/>
      <color rgb="FF000000"/>
      <name val="Times New Roman"/>
      <family val="1"/>
    </font>
    <font>
      <sz val="14"/>
      <color rgb="FF000000"/>
      <name val="Times New Roman"/>
      <family val="1"/>
    </font>
    <font>
      <sz val="14"/>
      <name val="Times New Roman"/>
      <family val="1"/>
    </font>
    <font>
      <b/>
      <sz val="12"/>
      <color rgb="FF000000"/>
      <name val="Times New Roman"/>
      <family val="1"/>
    </font>
    <font>
      <sz val="12"/>
      <color rgb="FF000000"/>
      <name val="Times New Roman"/>
      <family val="1"/>
    </font>
    <font>
      <sz val="10"/>
      <color theme="1"/>
      <name val="Segoe UI"/>
      <family val="2"/>
    </font>
    <font>
      <i/>
      <sz val="11"/>
      <name val="Calibri"/>
      <family val="2"/>
      <scheme val="minor"/>
    </font>
    <font>
      <sz val="11"/>
      <color theme="1"/>
      <name val="Calibri"/>
      <family val="2"/>
    </font>
    <font>
      <b/>
      <sz val="11"/>
      <color theme="1"/>
      <name val="Calibri"/>
      <family val="2"/>
    </font>
    <font>
      <b/>
      <sz val="11"/>
      <name val="Calibri"/>
      <family val="2"/>
    </font>
    <font>
      <sz val="9"/>
      <name val="SansSerif"/>
      <family val="2"/>
    </font>
    <font>
      <sz val="11"/>
      <color rgb="FF00B0F0"/>
      <name val="Calibri"/>
      <family val="2"/>
      <scheme val="minor"/>
    </font>
    <font>
      <b/>
      <sz val="11"/>
      <color rgb="FFFF0000"/>
      <name val="Calibri"/>
      <family val="2"/>
      <scheme val="minor"/>
    </font>
    <font>
      <sz val="10"/>
      <name val="Dialog"/>
    </font>
    <font>
      <sz val="11"/>
      <color rgb="FF000000"/>
      <name val="Calibri"/>
      <family val="2"/>
      <scheme val="minor"/>
    </font>
    <font>
      <b/>
      <sz val="11.5"/>
      <name val="Calibri"/>
      <family val="2"/>
      <scheme val="minor"/>
    </font>
    <font>
      <sz val="11.5"/>
      <name val="Arial"/>
      <family val="2"/>
    </font>
    <font>
      <b/>
      <sz val="11.5"/>
      <name val="Arial"/>
      <family val="2"/>
    </font>
    <font>
      <b/>
      <sz val="9"/>
      <name val="Calibri"/>
      <family val="2"/>
      <scheme val="minor"/>
    </font>
    <font>
      <b/>
      <sz val="10"/>
      <name val="Dialog"/>
    </font>
    <font>
      <b/>
      <sz val="11"/>
      <color rgb="FF000000"/>
      <name val="Calibri"/>
      <family val="2"/>
      <scheme val="minor"/>
    </font>
    <font>
      <sz val="11"/>
      <name val="Dialog"/>
    </font>
    <font>
      <sz val="11"/>
      <color rgb="FFFF0000"/>
      <name val="Calibri"/>
      <family val="2"/>
      <scheme val="minor"/>
    </font>
    <font>
      <b/>
      <sz val="11"/>
      <name val="Dialog"/>
    </font>
    <font>
      <b/>
      <sz val="10"/>
      <color theme="1"/>
      <name val="Verdana"/>
      <family val="2"/>
    </font>
    <font>
      <b/>
      <sz val="14"/>
      <name val="Calibri"/>
      <family val="2"/>
    </font>
    <font>
      <b/>
      <u/>
      <sz val="11"/>
      <color indexed="17"/>
      <name val="Arial"/>
      <family val="2"/>
    </font>
    <font>
      <b/>
      <sz val="12"/>
      <color indexed="12"/>
      <name val="Arial"/>
      <family val="2"/>
    </font>
    <font>
      <b/>
      <sz val="14"/>
      <color theme="1"/>
      <name val="Arial"/>
      <family val="2"/>
    </font>
    <font>
      <b/>
      <sz val="12"/>
      <color theme="1"/>
      <name val="Arial"/>
      <family val="2"/>
    </font>
    <font>
      <sz val="12"/>
      <name val="ar New Roman"/>
    </font>
    <font>
      <b/>
      <sz val="12"/>
      <name val="ar New Roman"/>
    </font>
    <font>
      <u/>
      <sz val="11"/>
      <name val="Arial"/>
      <family val="2"/>
    </font>
    <font>
      <b/>
      <u/>
      <sz val="11"/>
      <color theme="1"/>
      <name val="Arial"/>
      <family val="2"/>
    </font>
    <font>
      <b/>
      <u/>
      <sz val="11"/>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FF"/>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BC2E6"/>
        <bgColor indexed="64"/>
      </patternFill>
    </fill>
    <fill>
      <patternFill patternType="solid">
        <fgColor theme="4" tint="0.39997558519241921"/>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BAD1FF"/>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2EFDA"/>
        <bgColor indexed="64"/>
      </patternFill>
    </fill>
    <fill>
      <patternFill patternType="solid">
        <fgColor rgb="FFCCFFCC"/>
        <bgColor indexed="64"/>
      </patternFill>
    </fill>
    <fill>
      <patternFill patternType="solid">
        <fgColor rgb="FFDBE5F1"/>
        <bgColor indexed="64"/>
      </patternFill>
    </fill>
    <fill>
      <patternFill patternType="solid">
        <fgColor rgb="FFE5E0EC"/>
        <bgColor indexed="64"/>
      </patternFill>
    </fill>
    <fill>
      <patternFill patternType="solid">
        <fgColor rgb="FFFDE9D9"/>
        <bgColor indexed="64"/>
      </patternFill>
    </fill>
    <fill>
      <patternFill patternType="solid">
        <fgColor theme="4" tint="-0.249977111117893"/>
        <bgColor indexed="64"/>
      </patternFill>
    </fill>
    <fill>
      <patternFill patternType="solid">
        <fgColor theme="5"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8" tint="0.39997558519241921"/>
        <bgColor indexed="64"/>
      </patternFill>
    </fill>
    <fill>
      <patternFill patternType="solid">
        <fgColor rgb="FFDCE6F1"/>
        <bgColor indexed="64"/>
      </patternFill>
    </fill>
    <fill>
      <patternFill patternType="solid">
        <fgColor theme="0" tint="-0.249977111117893"/>
        <bgColor indexed="64"/>
      </patternFill>
    </fill>
    <fill>
      <patternFill patternType="solid">
        <fgColor rgb="FFC6D9F1"/>
        <bgColor indexed="64"/>
      </patternFill>
    </fill>
    <fill>
      <patternFill patternType="solid">
        <fgColor theme="4"/>
        <bgColor indexed="64"/>
      </patternFill>
    </fill>
    <fill>
      <patternFill patternType="solid">
        <fgColor rgb="FFFFFFFF"/>
      </patternFill>
    </fill>
    <fill>
      <patternFill patternType="solid">
        <fgColor rgb="FFD5DCE4"/>
        <bgColor indexed="64"/>
      </patternFill>
    </fill>
  </fills>
  <borders count="1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style="thick">
        <color indexed="8"/>
      </left>
      <right/>
      <top style="thin">
        <color indexed="8"/>
      </top>
      <bottom/>
      <diagonal/>
    </border>
    <border>
      <left style="thick">
        <color indexed="8"/>
      </left>
      <right/>
      <top style="thin">
        <color indexed="8"/>
      </top>
      <bottom style="thin">
        <color indexed="8"/>
      </bottom>
      <diagonal/>
    </border>
    <border>
      <left style="thick">
        <color indexed="8"/>
      </left>
      <right/>
      <top/>
      <bottom style="thin">
        <color indexed="8"/>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medium">
        <color indexed="64"/>
      </right>
      <top style="double">
        <color indexed="64"/>
      </top>
      <bottom style="medium">
        <color indexed="64"/>
      </bottom>
      <diagonal/>
    </border>
    <border>
      <left style="thin">
        <color indexed="8"/>
      </left>
      <right/>
      <top/>
      <bottom/>
      <diagonal/>
    </border>
    <border>
      <left style="thin">
        <color indexed="8"/>
      </left>
      <right style="thin">
        <color indexed="8"/>
      </right>
      <top style="thin">
        <color indexed="8"/>
      </top>
      <bottom/>
      <diagonal/>
    </border>
    <border>
      <left style="thick">
        <color indexed="8"/>
      </left>
      <right/>
      <top/>
      <bottom/>
      <diagonal/>
    </border>
    <border>
      <left style="thin">
        <color indexed="8"/>
      </left>
      <right/>
      <top style="thin">
        <color indexed="8"/>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8"/>
      </top>
      <bottom style="thin">
        <color indexed="64"/>
      </bottom>
      <diagonal/>
    </border>
    <border>
      <left style="thin">
        <color indexed="64"/>
      </left>
      <right style="thin">
        <color indexed="64"/>
      </right>
      <top style="hair">
        <color indexed="8"/>
      </top>
      <bottom style="hair">
        <color indexed="8"/>
      </bottom>
      <diagonal/>
    </border>
    <border>
      <left/>
      <right style="thin">
        <color indexed="64"/>
      </right>
      <top style="thin">
        <color indexed="8"/>
      </top>
      <bottom/>
      <diagonal/>
    </border>
    <border>
      <left/>
      <right style="thin">
        <color indexed="8"/>
      </right>
      <top style="thin">
        <color indexed="64"/>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64"/>
      </right>
      <top style="thin">
        <color indexed="64"/>
      </top>
      <bottom style="hair">
        <color indexed="8"/>
      </bottom>
      <diagonal/>
    </border>
    <border>
      <left style="thin">
        <color indexed="64"/>
      </left>
      <right style="hair">
        <color indexed="8"/>
      </right>
      <top style="thin">
        <color indexed="64"/>
      </top>
      <bottom/>
      <diagonal/>
    </border>
    <border>
      <left style="hair">
        <color indexed="8"/>
      </left>
      <right style="hair">
        <color indexed="8"/>
      </right>
      <top style="thin">
        <color indexed="64"/>
      </top>
      <bottom/>
      <diagonal/>
    </border>
    <border>
      <left style="hair">
        <color indexed="8"/>
      </left>
      <right style="thin">
        <color indexed="64"/>
      </right>
      <top style="thin">
        <color indexed="64"/>
      </top>
      <bottom/>
      <diagonal/>
    </border>
    <border>
      <left/>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rgb="FF000000"/>
      </top>
      <bottom style="medium">
        <color rgb="FF000000"/>
      </bottom>
      <diagonal/>
    </border>
    <border>
      <left/>
      <right/>
      <top/>
      <bottom style="medium">
        <color rgb="FF000000"/>
      </bottom>
      <diagonal/>
    </border>
    <border>
      <left/>
      <right/>
      <top style="medium">
        <color auto="1"/>
      </top>
      <bottom/>
      <diagonal/>
    </border>
    <border>
      <left/>
      <right/>
      <top style="medium">
        <color indexed="64"/>
      </top>
      <bottom style="double">
        <color indexed="64"/>
      </bottom>
      <diagonal/>
    </border>
    <border>
      <left/>
      <right/>
      <top style="medium">
        <color auto="1"/>
      </top>
      <bottom style="thin">
        <color auto="1"/>
      </bottom>
      <diagonal/>
    </border>
    <border>
      <left/>
      <right/>
      <top style="thin">
        <color auto="1"/>
      </top>
      <bottom style="medium">
        <color auto="1"/>
      </bottom>
      <diagonal/>
    </border>
    <border>
      <left/>
      <right/>
      <top style="medium">
        <color rgb="FF000000"/>
      </top>
      <bottom/>
      <diagonal/>
    </border>
    <border>
      <left/>
      <right/>
      <top style="medium">
        <color rgb="FF000000"/>
      </top>
      <bottom style="double">
        <color rgb="FF000000"/>
      </bottom>
      <diagonal/>
    </border>
    <border>
      <left style="thin">
        <color indexed="8"/>
      </left>
      <right style="thin">
        <color indexed="64"/>
      </right>
      <top/>
      <bottom/>
      <diagonal/>
    </border>
    <border>
      <left style="thin">
        <color indexed="8"/>
      </left>
      <right style="thin">
        <color indexed="8"/>
      </right>
      <top/>
      <bottom/>
      <diagonal/>
    </border>
    <border>
      <left style="hair">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rgb="FF000080"/>
      </bottom>
      <diagonal/>
    </border>
    <border>
      <left style="medium">
        <color indexed="64"/>
      </left>
      <right style="medium">
        <color indexed="64"/>
      </right>
      <top style="medium">
        <color indexed="64"/>
      </top>
      <bottom style="medium">
        <color rgb="FF000080"/>
      </bottom>
      <diagonal/>
    </border>
    <border>
      <left style="medium">
        <color indexed="64"/>
      </left>
      <right style="medium">
        <color indexed="64"/>
      </right>
      <top style="medium">
        <color rgb="FF000080"/>
      </top>
      <bottom/>
      <diagonal/>
    </border>
    <border>
      <left style="thin">
        <color indexed="64"/>
      </left>
      <right style="thin">
        <color indexed="64"/>
      </right>
      <top/>
      <bottom style="thin">
        <color indexed="8"/>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dashed">
        <color auto="1"/>
      </right>
      <top/>
      <bottom/>
      <diagonal/>
    </border>
    <border>
      <left style="dashed">
        <color auto="1"/>
      </left>
      <right/>
      <top/>
      <bottom/>
      <diagonal/>
    </border>
    <border>
      <left style="hair">
        <color indexed="64"/>
      </left>
      <right style="thin">
        <color indexed="64"/>
      </right>
      <top/>
      <bottom/>
      <diagonal/>
    </border>
    <border>
      <left/>
      <right/>
      <top style="hair">
        <color indexed="64"/>
      </top>
      <bottom style="thin">
        <color indexed="64"/>
      </bottom>
      <diagonal/>
    </border>
    <border>
      <left/>
      <right style="hair">
        <color indexed="64"/>
      </right>
      <top style="hair">
        <color indexed="64"/>
      </top>
      <bottom style="thin">
        <color indexed="64"/>
      </bottom>
      <diagonal/>
    </border>
  </borders>
  <cellStyleXfs count="179">
    <xf numFmtId="0" fontId="0" fillId="0" borderId="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79" fillId="3" borderId="0" applyNumberFormat="0" applyBorder="0" applyAlignment="0" applyProtection="0"/>
    <xf numFmtId="0" fontId="55" fillId="0" borderId="0" applyNumberFormat="0" applyFill="0" applyBorder="0" applyAlignment="0" applyProtection="0"/>
    <xf numFmtId="175" fontId="36" fillId="0" borderId="0" applyFill="0" applyBorder="0" applyAlignment="0"/>
    <xf numFmtId="173" fontId="56" fillId="0" borderId="0" applyFill="0" applyBorder="0" applyAlignment="0"/>
    <xf numFmtId="166" fontId="56" fillId="0" borderId="0" applyFill="0" applyBorder="0" applyAlignment="0"/>
    <xf numFmtId="176" fontId="36" fillId="0" borderId="0" applyFill="0" applyBorder="0" applyAlignment="0"/>
    <xf numFmtId="172" fontId="36" fillId="0" borderId="0" applyFill="0" applyBorder="0" applyAlignment="0"/>
    <xf numFmtId="175" fontId="36" fillId="0" borderId="0" applyFill="0" applyBorder="0" applyAlignment="0"/>
    <xf numFmtId="177" fontId="36" fillId="0" borderId="0" applyFill="0" applyBorder="0" applyAlignment="0"/>
    <xf numFmtId="173" fontId="56" fillId="0" borderId="0" applyFill="0" applyBorder="0" applyAlignment="0"/>
    <xf numFmtId="0" fontId="80" fillId="20" borderId="1" applyNumberFormat="0" applyAlignment="0" applyProtection="0"/>
    <xf numFmtId="0" fontId="81" fillId="21" borderId="2" applyNumberFormat="0" applyAlignment="0" applyProtection="0"/>
    <xf numFmtId="43" fontId="20" fillId="0" borderId="0" applyFont="0" applyFill="0" applyBorder="0" applyAlignment="0" applyProtection="0"/>
    <xf numFmtId="0" fontId="57" fillId="0" borderId="3"/>
    <xf numFmtId="175" fontId="36" fillId="0" borderId="0" applyFont="0" applyFill="0" applyBorder="0" applyAlignment="0" applyProtection="0"/>
    <xf numFmtId="43" fontId="24" fillId="0" borderId="0" applyFont="0" applyFill="0" applyBorder="0" applyAlignment="0" applyProtection="0"/>
    <xf numFmtId="41" fontId="20" fillId="0" borderId="0" applyFont="0" applyFill="0" applyBorder="0" applyAlignment="0" applyProtection="0"/>
    <xf numFmtId="43" fontId="24" fillId="0" borderId="0" applyFont="0" applyFill="0" applyBorder="0" applyAlignment="0" applyProtection="0"/>
    <xf numFmtId="43" fontId="102" fillId="0" borderId="0" applyFont="0" applyFill="0" applyBorder="0" applyAlignment="0" applyProtection="0"/>
    <xf numFmtId="165" fontId="24" fillId="0" borderId="0" applyFont="0" applyFill="0" applyBorder="0" applyAlignment="0" applyProtection="0"/>
    <xf numFmtId="43" fontId="20" fillId="0" borderId="0" applyFont="0" applyFill="0" applyBorder="0" applyAlignment="0" applyProtection="0"/>
    <xf numFmtId="0" fontId="57" fillId="0" borderId="3"/>
    <xf numFmtId="173" fontId="56" fillId="0" borderId="0" applyFont="0" applyFill="0" applyBorder="0" applyAlignment="0" applyProtection="0"/>
    <xf numFmtId="15" fontId="62" fillId="0" borderId="0" applyFont="0" applyFill="0" applyBorder="0" applyAlignment="0"/>
    <xf numFmtId="14" fontId="34" fillId="0" borderId="0" applyFill="0" applyBorder="0" applyAlignment="0"/>
    <xf numFmtId="38" fontId="54" fillId="0" borderId="4">
      <alignment vertical="center"/>
    </xf>
    <xf numFmtId="175" fontId="36" fillId="0" borderId="0" applyFill="0" applyBorder="0" applyAlignment="0"/>
    <xf numFmtId="173" fontId="56" fillId="0" borderId="0" applyFill="0" applyBorder="0" applyAlignment="0"/>
    <xf numFmtId="175" fontId="36" fillId="0" borderId="0" applyFill="0" applyBorder="0" applyAlignment="0"/>
    <xf numFmtId="177" fontId="36" fillId="0" borderId="0" applyFill="0" applyBorder="0" applyAlignment="0"/>
    <xf numFmtId="173" fontId="56" fillId="0" borderId="0" applyFill="0" applyBorder="0" applyAlignment="0"/>
    <xf numFmtId="0" fontId="82" fillId="0" borderId="0" applyNumberFormat="0" applyFill="0" applyBorder="0" applyAlignment="0" applyProtection="0"/>
    <xf numFmtId="0" fontId="83" fillId="4" borderId="0" applyNumberFormat="0" applyBorder="0" applyAlignment="0" applyProtection="0"/>
    <xf numFmtId="38" fontId="37" fillId="22" borderId="0" applyNumberFormat="0" applyBorder="0" applyAlignment="0" applyProtection="0"/>
    <xf numFmtId="0" fontId="22" fillId="0" borderId="5" applyNumberFormat="0" applyAlignment="0" applyProtection="0">
      <alignment horizontal="left" vertical="center"/>
    </xf>
    <xf numFmtId="0" fontId="22" fillId="0" borderId="6">
      <alignment horizontal="left" vertical="center"/>
    </xf>
    <xf numFmtId="0" fontId="84" fillId="0" borderId="7" applyNumberFormat="0" applyFill="0" applyAlignment="0" applyProtection="0"/>
    <xf numFmtId="0" fontId="85" fillId="0" borderId="8" applyNumberFormat="0" applyFill="0" applyAlignment="0" applyProtection="0"/>
    <xf numFmtId="0" fontId="86" fillId="0" borderId="9" applyNumberFormat="0" applyFill="0" applyAlignment="0" applyProtection="0"/>
    <xf numFmtId="0" fontId="86" fillId="0" borderId="0" applyNumberFormat="0" applyFill="0" applyBorder="0" applyAlignment="0" applyProtection="0"/>
    <xf numFmtId="0" fontId="87" fillId="7" borderId="1" applyNumberFormat="0" applyAlignment="0" applyProtection="0"/>
    <xf numFmtId="10" fontId="37" fillId="23" borderId="10" applyNumberFormat="0" applyBorder="0" applyAlignment="0" applyProtection="0"/>
    <xf numFmtId="175" fontId="36" fillId="0" borderId="0" applyFill="0" applyBorder="0" applyAlignment="0"/>
    <xf numFmtId="173" fontId="56" fillId="0" borderId="0" applyFill="0" applyBorder="0" applyAlignment="0"/>
    <xf numFmtId="175" fontId="36" fillId="0" borderId="0" applyFill="0" applyBorder="0" applyAlignment="0"/>
    <xf numFmtId="177" fontId="36" fillId="0" borderId="0" applyFill="0" applyBorder="0" applyAlignment="0"/>
    <xf numFmtId="173" fontId="56" fillId="0" borderId="0" applyFill="0" applyBorder="0" applyAlignment="0"/>
    <xf numFmtId="0" fontId="88" fillId="0" borderId="11" applyNumberFormat="0" applyFill="0" applyAlignment="0" applyProtection="0"/>
    <xf numFmtId="0" fontId="89" fillId="24" borderId="0" applyNumberFormat="0" applyBorder="0" applyAlignment="0" applyProtection="0"/>
    <xf numFmtId="37" fontId="58" fillId="0" borderId="0"/>
    <xf numFmtId="174" fontId="20" fillId="0" borderId="0"/>
    <xf numFmtId="0" fontId="100" fillId="0" borderId="0"/>
    <xf numFmtId="0" fontId="24" fillId="0" borderId="0"/>
    <xf numFmtId="0" fontId="20" fillId="0" borderId="0"/>
    <xf numFmtId="0" fontId="24" fillId="0" borderId="0"/>
    <xf numFmtId="0" fontId="20" fillId="0" borderId="0"/>
    <xf numFmtId="0" fontId="126" fillId="0" borderId="0"/>
    <xf numFmtId="0" fontId="126" fillId="0" borderId="0"/>
    <xf numFmtId="0" fontId="20" fillId="0" borderId="0"/>
    <xf numFmtId="0" fontId="126" fillId="0" borderId="0"/>
    <xf numFmtId="0" fontId="109" fillId="25" borderId="0"/>
    <xf numFmtId="0" fontId="33" fillId="25" borderId="0"/>
    <xf numFmtId="0" fontId="60" fillId="25" borderId="0"/>
    <xf numFmtId="0" fontId="60" fillId="25" borderId="0"/>
    <xf numFmtId="0" fontId="20" fillId="0" borderId="0"/>
    <xf numFmtId="0" fontId="24" fillId="26" borderId="12" applyNumberFormat="0" applyFont="0" applyAlignment="0" applyProtection="0"/>
    <xf numFmtId="0" fontId="90" fillId="20" borderId="13" applyNumberFormat="0" applyAlignment="0" applyProtection="0"/>
    <xf numFmtId="9" fontId="20" fillId="0" borderId="0" applyFont="0" applyFill="0" applyBorder="0" applyAlignment="0" applyProtection="0"/>
    <xf numFmtId="172" fontId="36" fillId="0" borderId="0" applyFont="0" applyFill="0" applyBorder="0" applyAlignment="0" applyProtection="0"/>
    <xf numFmtId="178" fontId="36" fillId="0" borderId="0" applyFont="0" applyFill="0" applyBorder="0" applyAlignment="0" applyProtection="0"/>
    <xf numFmtId="10" fontId="20" fillId="0" borderId="0" applyFont="0" applyFill="0" applyBorder="0" applyAlignment="0" applyProtection="0"/>
    <xf numFmtId="9" fontId="24" fillId="0" borderId="0" applyFont="0" applyFill="0" applyBorder="0" applyAlignment="0" applyProtection="0"/>
    <xf numFmtId="9" fontId="102" fillId="0" borderId="0" applyFont="0" applyFill="0" applyBorder="0" applyAlignment="0" applyProtection="0"/>
    <xf numFmtId="9" fontId="1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2"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53" fillId="0" borderId="0" applyFont="0" applyFill="0" applyProtection="0"/>
    <xf numFmtId="179" fontId="20" fillId="0" borderId="0" applyFill="0" applyBorder="0" applyAlignment="0"/>
    <xf numFmtId="173" fontId="56" fillId="0" borderId="0" applyFill="0" applyBorder="0" applyAlignment="0"/>
    <xf numFmtId="179" fontId="20" fillId="0" borderId="0" applyFill="0" applyBorder="0" applyAlignment="0"/>
    <xf numFmtId="180" fontId="20" fillId="0" borderId="0" applyFill="0" applyBorder="0" applyAlignment="0"/>
    <xf numFmtId="173" fontId="56" fillId="0" borderId="0" applyFill="0" applyBorder="0" applyAlignment="0"/>
    <xf numFmtId="49" fontId="34" fillId="0" borderId="0" applyFill="0" applyBorder="0" applyAlignment="0"/>
    <xf numFmtId="181" fontId="20" fillId="0" borderId="0" applyFill="0" applyBorder="0" applyAlignment="0"/>
    <xf numFmtId="182" fontId="20" fillId="0" borderId="0" applyFill="0" applyBorder="0" applyAlignment="0"/>
    <xf numFmtId="0" fontId="91" fillId="0" borderId="0" applyNumberFormat="0" applyFill="0" applyBorder="0" applyAlignment="0" applyProtection="0"/>
    <xf numFmtId="0" fontId="92" fillId="0" borderId="14" applyNumberFormat="0" applyFill="0" applyAlignment="0" applyProtection="0"/>
    <xf numFmtId="0" fontId="93" fillId="0" borderId="0" applyNumberFormat="0" applyFill="0" applyBorder="0" applyAlignment="0" applyProtection="0"/>
    <xf numFmtId="0" fontId="140" fillId="25" borderId="0"/>
    <xf numFmtId="9" fontId="20" fillId="0" borderId="0" applyFont="0" applyFill="0" applyBorder="0" applyAlignment="0" applyProtection="0"/>
    <xf numFmtId="41" fontId="125" fillId="0" borderId="0" applyFont="0" applyFill="0" applyBorder="0" applyAlignment="0" applyProtection="0"/>
    <xf numFmtId="0" fontId="33" fillId="25" borderId="0"/>
    <xf numFmtId="0" fontId="33" fillId="25" borderId="0"/>
    <xf numFmtId="43" fontId="20" fillId="0" borderId="0" applyFont="0" applyFill="0" applyBorder="0" applyAlignment="0" applyProtection="0"/>
    <xf numFmtId="0" fontId="19" fillId="0" borderId="0"/>
    <xf numFmtId="0" fontId="77" fillId="0" borderId="0"/>
    <xf numFmtId="0" fontId="19" fillId="0" borderId="0"/>
    <xf numFmtId="9" fontId="19" fillId="0" borderId="0" applyFont="0" applyFill="0" applyBorder="0" applyAlignment="0" applyProtection="0"/>
    <xf numFmtId="0" fontId="18" fillId="0" borderId="0"/>
    <xf numFmtId="0" fontId="18" fillId="0" borderId="0"/>
    <xf numFmtId="0" fontId="20" fillId="0" borderId="0"/>
    <xf numFmtId="41" fontId="20"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20" fillId="0" borderId="0"/>
    <xf numFmtId="0" fontId="15"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3" fillId="0" borderId="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164" fontId="10" fillId="0" borderId="0" applyFont="0" applyFill="0" applyBorder="0" applyAlignment="0" applyProtection="0"/>
    <xf numFmtId="0" fontId="134" fillId="0" borderId="0"/>
    <xf numFmtId="43" fontId="67" fillId="0" borderId="0" applyFont="0" applyFill="0" applyBorder="0" applyAlignment="0" applyProtection="0"/>
    <xf numFmtId="164" fontId="2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0" fillId="0" borderId="0"/>
    <xf numFmtId="43" fontId="20" fillId="0" borderId="0" applyFont="0" applyFill="0" applyBorder="0" applyAlignment="0" applyProtection="0"/>
    <xf numFmtId="0" fontId="10" fillId="0" borderId="0"/>
    <xf numFmtId="0" fontId="9" fillId="0" borderId="0"/>
    <xf numFmtId="164" fontId="9"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20" fillId="0" borderId="0"/>
    <xf numFmtId="188" fontId="205" fillId="0" borderId="0"/>
    <xf numFmtId="0" fontId="6" fillId="0" borderId="0"/>
    <xf numFmtId="43" fontId="20" fillId="0" borderId="0" applyFont="0" applyFill="0" applyBorder="0" applyAlignment="0" applyProtection="0"/>
    <xf numFmtId="43" fontId="215" fillId="0" borderId="0" applyFont="0" applyFill="0" applyBorder="0" applyAlignment="0" applyProtection="0"/>
    <xf numFmtId="9" fontId="20" fillId="0" borderId="0" applyFont="0" applyFill="0" applyBorder="0" applyAlignment="0" applyProtection="0"/>
    <xf numFmtId="9" fontId="215"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0" fontId="3" fillId="0" borderId="0"/>
    <xf numFmtId="164" fontId="241" fillId="0" borderId="0" applyFont="0" applyFill="0" applyBorder="0" applyAlignment="0" applyProtection="0"/>
    <xf numFmtId="164" fontId="3" fillId="0" borderId="0" applyFont="0" applyFill="0" applyBorder="0" applyAlignment="0" applyProtection="0"/>
    <xf numFmtId="9" fontId="241" fillId="0" borderId="0" applyFont="0" applyFill="0" applyBorder="0" applyAlignment="0" applyProtection="0"/>
    <xf numFmtId="0" fontId="2" fillId="0" borderId="0"/>
    <xf numFmtId="0" fontId="2" fillId="0" borderId="0"/>
  </cellStyleXfs>
  <cellXfs count="2839">
    <xf numFmtId="0" fontId="0" fillId="0" borderId="0" xfId="0"/>
    <xf numFmtId="0" fontId="21" fillId="0" borderId="0" xfId="0" applyFont="1"/>
    <xf numFmtId="0" fontId="22" fillId="0" borderId="0" xfId="0" applyFont="1"/>
    <xf numFmtId="2" fontId="0" fillId="0" borderId="0" xfId="0" applyNumberFormat="1"/>
    <xf numFmtId="0" fontId="24" fillId="0" borderId="0" xfId="0" applyFont="1"/>
    <xf numFmtId="2" fontId="21" fillId="0" borderId="0" xfId="0" applyNumberFormat="1" applyFont="1"/>
    <xf numFmtId="2" fontId="21" fillId="0" borderId="15" xfId="0" applyNumberFormat="1" applyFont="1" applyBorder="1"/>
    <xf numFmtId="0" fontId="25" fillId="0" borderId="0" xfId="0" applyFont="1"/>
    <xf numFmtId="0" fontId="21" fillId="0" borderId="0" xfId="0" applyFont="1" applyAlignment="1">
      <alignment horizontal="right"/>
    </xf>
    <xf numFmtId="0" fontId="0" fillId="0" borderId="10" xfId="0" applyBorder="1"/>
    <xf numFmtId="0" fontId="0" fillId="0" borderId="0" xfId="0" applyAlignment="1">
      <alignment horizontal="centerContinuous"/>
    </xf>
    <xf numFmtId="0" fontId="21" fillId="0" borderId="10" xfId="0" applyFont="1" applyBorder="1"/>
    <xf numFmtId="0" fontId="0" fillId="0" borderId="10" xfId="0" applyBorder="1" applyAlignment="1">
      <alignment horizontal="center"/>
    </xf>
    <xf numFmtId="2" fontId="21" fillId="0" borderId="10" xfId="0" applyNumberFormat="1" applyFont="1" applyBorder="1"/>
    <xf numFmtId="0" fontId="22" fillId="0" borderId="10" xfId="89" applyFont="1" applyBorder="1"/>
    <xf numFmtId="0" fontId="33" fillId="0" borderId="10" xfId="89" applyFont="1" applyBorder="1"/>
    <xf numFmtId="0" fontId="22" fillId="0" borderId="10" xfId="89" applyFont="1" applyBorder="1" applyAlignment="1">
      <alignment horizontal="center"/>
    </xf>
    <xf numFmtId="0" fontId="0" fillId="0" borderId="0" xfId="0" applyAlignment="1">
      <alignment wrapText="1"/>
    </xf>
    <xf numFmtId="0" fontId="21" fillId="0" borderId="0" xfId="0" applyFont="1" applyAlignment="1">
      <alignment horizontal="centerContinuous"/>
    </xf>
    <xf numFmtId="0" fontId="21" fillId="0" borderId="10" xfId="0" applyFont="1" applyBorder="1" applyAlignment="1">
      <alignment vertical="top" wrapText="1"/>
    </xf>
    <xf numFmtId="0" fontId="21" fillId="0" borderId="10" xfId="0" applyFont="1" applyBorder="1" applyAlignment="1">
      <alignment horizontal="center" vertical="top" wrapText="1"/>
    </xf>
    <xf numFmtId="2" fontId="0" fillId="0" borderId="10" xfId="0" applyNumberFormat="1" applyBorder="1"/>
    <xf numFmtId="0" fontId="33" fillId="0" borderId="10" xfId="89" applyFont="1" applyBorder="1" applyAlignment="1">
      <alignment horizontal="center"/>
    </xf>
    <xf numFmtId="0" fontId="33" fillId="0" borderId="10" xfId="89" applyFont="1" applyBorder="1" applyAlignment="1">
      <alignment horizontal="left"/>
    </xf>
    <xf numFmtId="0" fontId="21" fillId="0" borderId="10" xfId="0" applyFont="1" applyBorder="1" applyAlignment="1">
      <alignment horizontal="right"/>
    </xf>
    <xf numFmtId="0" fontId="22" fillId="0" borderId="0" xfId="0" applyFont="1" applyAlignment="1">
      <alignment horizontal="right"/>
    </xf>
    <xf numFmtId="0" fontId="23" fillId="0" borderId="0" xfId="0" applyFont="1"/>
    <xf numFmtId="0" fontId="47" fillId="0" borderId="0" xfId="0" applyFont="1"/>
    <xf numFmtId="0" fontId="42" fillId="0" borderId="0" xfId="0" applyFont="1"/>
    <xf numFmtId="0" fontId="22" fillId="0" borderId="10" xfId="0" applyFont="1" applyBorder="1" applyAlignment="1">
      <alignment horizontal="center"/>
    </xf>
    <xf numFmtId="0" fontId="33" fillId="0" borderId="0" xfId="0" applyFont="1"/>
    <xf numFmtId="0" fontId="41" fillId="0" borderId="10" xfId="0" applyFont="1" applyBorder="1"/>
    <xf numFmtId="0" fontId="22" fillId="0" borderId="10" xfId="0" applyFont="1" applyBorder="1"/>
    <xf numFmtId="0" fontId="33" fillId="0" borderId="22" xfId="89" applyFont="1" applyBorder="1"/>
    <xf numFmtId="0" fontId="33" fillId="0" borderId="23" xfId="89" applyFont="1" applyBorder="1" applyAlignment="1">
      <alignment horizontal="center"/>
    </xf>
    <xf numFmtId="0" fontId="33" fillId="0" borderId="23" xfId="89" applyFont="1" applyBorder="1"/>
    <xf numFmtId="0" fontId="33" fillId="0" borderId="22" xfId="89" applyFont="1" applyBorder="1" applyAlignment="1">
      <alignment horizontal="center"/>
    </xf>
    <xf numFmtId="0" fontId="33" fillId="0" borderId="24" xfId="89" applyFont="1" applyBorder="1" applyAlignment="1">
      <alignment horizontal="center"/>
    </xf>
    <xf numFmtId="0" fontId="22" fillId="0" borderId="10" xfId="0" applyFont="1" applyBorder="1" applyAlignment="1">
      <alignment horizontal="right"/>
    </xf>
    <xf numFmtId="0" fontId="33" fillId="0" borderId="0" xfId="0" applyFont="1" applyAlignment="1">
      <alignment horizontal="right"/>
    </xf>
    <xf numFmtId="2" fontId="33" fillId="0" borderId="10" xfId="0" applyNumberFormat="1" applyFont="1" applyBorder="1"/>
    <xf numFmtId="0" fontId="49" fillId="0" borderId="0" xfId="0" applyFont="1" applyAlignment="1">
      <alignment horizontal="centerContinuous"/>
    </xf>
    <xf numFmtId="0" fontId="22" fillId="0" borderId="10" xfId="0" applyFont="1" applyBorder="1" applyAlignment="1">
      <alignment horizontal="center" vertical="center" wrapText="1"/>
    </xf>
    <xf numFmtId="0" fontId="27" fillId="0" borderId="0" xfId="0" applyFont="1" applyAlignment="1">
      <alignment horizontal="centerContinuous" vertical="top" wrapText="1"/>
    </xf>
    <xf numFmtId="0" fontId="28" fillId="0" borderId="0" xfId="0" applyFont="1" applyAlignment="1">
      <alignment horizontal="centerContinuous" vertical="top" wrapText="1"/>
    </xf>
    <xf numFmtId="0" fontId="21" fillId="0" borderId="0" xfId="0" applyFont="1" applyAlignment="1">
      <alignment horizontal="left"/>
    </xf>
    <xf numFmtId="0" fontId="59" fillId="0" borderId="32" xfId="0" applyFont="1" applyBorder="1" applyAlignment="1">
      <alignment horizontal="justify" vertical="top" wrapText="1"/>
    </xf>
    <xf numFmtId="0" fontId="59" fillId="0" borderId="33" xfId="0" applyFont="1" applyBorder="1" applyAlignment="1">
      <alignment horizontal="justify" vertical="top" wrapText="1"/>
    </xf>
    <xf numFmtId="10" fontId="0" fillId="0" borderId="0" xfId="92" applyNumberFormat="1" applyFont="1"/>
    <xf numFmtId="0" fontId="33" fillId="0" borderId="10" xfId="89" applyFont="1" applyBorder="1" applyAlignment="1">
      <alignment wrapText="1"/>
    </xf>
    <xf numFmtId="10" fontId="0" fillId="0" borderId="10" xfId="0" applyNumberFormat="1" applyBorder="1"/>
    <xf numFmtId="0" fontId="21" fillId="0" borderId="10" xfId="0" applyFont="1" applyBorder="1" applyAlignment="1">
      <alignment wrapText="1"/>
    </xf>
    <xf numFmtId="0" fontId="22" fillId="0" borderId="0" xfId="0" applyFont="1" applyAlignment="1">
      <alignment horizontal="centerContinuous"/>
    </xf>
    <xf numFmtId="4" fontId="21" fillId="0" borderId="10" xfId="0" applyNumberFormat="1" applyFont="1" applyBorder="1"/>
    <xf numFmtId="0" fontId="0" fillId="0" borderId="0" xfId="0" applyAlignment="1">
      <alignment vertical="center"/>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0" fontId="33" fillId="0" borderId="40" xfId="0" applyFont="1" applyBorder="1" applyAlignment="1">
      <alignment horizontal="center" vertical="center"/>
    </xf>
    <xf numFmtId="0" fontId="33" fillId="0" borderId="10" xfId="0" applyFont="1" applyBorder="1" applyAlignment="1">
      <alignment horizontal="left" vertical="center" wrapText="1"/>
    </xf>
    <xf numFmtId="0" fontId="22" fillId="0" borderId="10" xfId="0" applyFont="1" applyBorder="1" applyAlignment="1">
      <alignment horizontal="center" vertical="center"/>
    </xf>
    <xf numFmtId="0" fontId="33" fillId="0" borderId="10" xfId="0" applyFont="1" applyBorder="1" applyAlignment="1">
      <alignment horizontal="center" vertical="center"/>
    </xf>
    <xf numFmtId="0" fontId="33" fillId="0" borderId="41" xfId="0" applyFont="1" applyBorder="1" applyAlignment="1">
      <alignment horizontal="center" vertical="center"/>
    </xf>
    <xf numFmtId="1" fontId="33" fillId="0" borderId="40" xfId="0" applyNumberFormat="1" applyFont="1" applyBorder="1" applyAlignment="1">
      <alignment horizontal="center" vertical="center"/>
    </xf>
    <xf numFmtId="0" fontId="22" fillId="0" borderId="41" xfId="0" applyFont="1" applyBorder="1" applyAlignment="1">
      <alignment horizontal="center" vertical="center"/>
    </xf>
    <xf numFmtId="1" fontId="33" fillId="0" borderId="40" xfId="0" quotePrefix="1" applyNumberFormat="1" applyFont="1" applyBorder="1" applyAlignment="1">
      <alignment horizontal="center" vertical="center"/>
    </xf>
    <xf numFmtId="0" fontId="51" fillId="0" borderId="10" xfId="0" applyFont="1" applyBorder="1" applyAlignment="1">
      <alignment horizontal="center" vertical="center"/>
    </xf>
    <xf numFmtId="0" fontId="22" fillId="0" borderId="10" xfId="0" applyFont="1" applyBorder="1" applyAlignment="1">
      <alignment horizontal="left" vertical="center"/>
    </xf>
    <xf numFmtId="0" fontId="33" fillId="0" borderId="10" xfId="0" applyFont="1" applyBorder="1" applyAlignment="1">
      <alignment horizontal="left" vertical="center"/>
    </xf>
    <xf numFmtId="1" fontId="33" fillId="0" borderId="42" xfId="0" applyNumberFormat="1" applyFont="1" applyBorder="1" applyAlignment="1">
      <alignment horizontal="center" vertical="center"/>
    </xf>
    <xf numFmtId="0" fontId="33" fillId="0" borderId="43" xfId="0" applyFont="1" applyBorder="1" applyAlignment="1">
      <alignment horizontal="left" vertical="center"/>
    </xf>
    <xf numFmtId="0" fontId="51" fillId="0" borderId="43" xfId="0" applyFont="1" applyBorder="1" applyAlignment="1">
      <alignment horizontal="center" vertical="center"/>
    </xf>
    <xf numFmtId="0" fontId="33" fillId="0" borderId="44" xfId="0" applyFont="1" applyBorder="1" applyAlignment="1">
      <alignment horizontal="center" vertical="center"/>
    </xf>
    <xf numFmtId="0" fontId="0" fillId="0" borderId="17" xfId="0" applyBorder="1" applyAlignment="1">
      <alignment horizontal="center" vertical="center"/>
    </xf>
    <xf numFmtId="0" fontId="0" fillId="0" borderId="17" xfId="0" applyBorder="1" applyAlignment="1">
      <alignment horizontal="center" vertical="top"/>
    </xf>
    <xf numFmtId="0" fontId="33" fillId="0" borderId="17" xfId="0" applyFont="1" applyBorder="1" applyAlignment="1">
      <alignment horizontal="center" vertical="top"/>
    </xf>
    <xf numFmtId="0" fontId="21" fillId="0" borderId="10" xfId="0" applyFont="1" applyBorder="1" applyAlignment="1">
      <alignment horizontal="left"/>
    </xf>
    <xf numFmtId="0" fontId="28" fillId="0" borderId="0" xfId="0" applyFont="1" applyAlignment="1">
      <alignment horizontal="centerContinuous"/>
    </xf>
    <xf numFmtId="0" fontId="47" fillId="0" borderId="0" xfId="0" applyFont="1" applyAlignment="1">
      <alignment horizontal="center" vertical="center" wrapText="1"/>
    </xf>
    <xf numFmtId="0" fontId="47" fillId="0" borderId="0" xfId="0" applyFont="1" applyAlignment="1">
      <alignment horizontal="left" vertical="center" wrapText="1"/>
    </xf>
    <xf numFmtId="0" fontId="47" fillId="0" borderId="46" xfId="0" applyFont="1" applyBorder="1" applyAlignment="1">
      <alignment horizontal="left" vertical="center" wrapText="1"/>
    </xf>
    <xf numFmtId="2" fontId="47" fillId="0" borderId="0" xfId="0" applyNumberFormat="1" applyFont="1" applyAlignment="1">
      <alignment horizontal="center" vertical="center" wrapText="1"/>
    </xf>
    <xf numFmtId="171" fontId="47" fillId="0" borderId="0" xfId="0" applyNumberFormat="1" applyFont="1" applyAlignment="1">
      <alignment horizontal="center" vertical="center" wrapText="1"/>
    </xf>
    <xf numFmtId="183" fontId="47" fillId="0" borderId="0" xfId="0" applyNumberFormat="1" applyFont="1" applyAlignment="1">
      <alignment horizontal="center" vertical="center" wrapText="1"/>
    </xf>
    <xf numFmtId="0" fontId="66" fillId="0" borderId="0" xfId="0" applyFont="1" applyAlignment="1">
      <alignment horizontal="center" vertical="center" wrapText="1"/>
    </xf>
    <xf numFmtId="0" fontId="21" fillId="0" borderId="10" xfId="87" applyFont="1" applyFill="1" applyBorder="1" applyAlignment="1">
      <alignment wrapText="1"/>
    </xf>
    <xf numFmtId="0" fontId="60" fillId="0" borderId="0" xfId="87" applyFill="1"/>
    <xf numFmtId="0" fontId="21" fillId="0" borderId="10" xfId="87" applyFont="1" applyFill="1" applyBorder="1"/>
    <xf numFmtId="43" fontId="47" fillId="0" borderId="0" xfId="0" applyNumberFormat="1" applyFont="1" applyAlignment="1">
      <alignment horizontal="center" vertical="center" wrapText="1"/>
    </xf>
    <xf numFmtId="0" fontId="98" fillId="0" borderId="0" xfId="86" applyFont="1" applyFill="1" applyAlignment="1">
      <alignment horizontal="center" vertical="center" wrapText="1"/>
    </xf>
    <xf numFmtId="0" fontId="50" fillId="0" borderId="0" xfId="86" applyFont="1" applyFill="1" applyAlignment="1">
      <alignment horizontal="center" vertical="center" wrapText="1"/>
    </xf>
    <xf numFmtId="0" fontId="95" fillId="0" borderId="0" xfId="86" applyFont="1" applyFill="1" applyAlignment="1">
      <alignment horizontal="center" vertical="center" wrapText="1"/>
    </xf>
    <xf numFmtId="0" fontId="50" fillId="0" borderId="0" xfId="86" applyFont="1" applyFill="1" applyAlignment="1">
      <alignment horizontal="left" vertical="center" wrapText="1"/>
    </xf>
    <xf numFmtId="17" fontId="50" fillId="0" borderId="0" xfId="86" applyNumberFormat="1" applyFont="1" applyFill="1" applyAlignment="1">
      <alignment horizontal="center" vertical="center" wrapText="1"/>
    </xf>
    <xf numFmtId="17" fontId="50" fillId="0" borderId="0" xfId="86" applyNumberFormat="1" applyFont="1" applyFill="1" applyAlignment="1">
      <alignment horizontal="left" vertical="center" wrapText="1"/>
    </xf>
    <xf numFmtId="0" fontId="99" fillId="0" borderId="0" xfId="86" applyFont="1" applyFill="1" applyAlignment="1">
      <alignment horizontal="center" vertical="center" wrapText="1"/>
    </xf>
    <xf numFmtId="0" fontId="95" fillId="0" borderId="0" xfId="86" applyFont="1" applyFill="1" applyAlignment="1">
      <alignment horizontal="left" vertical="center" wrapText="1"/>
    </xf>
    <xf numFmtId="17" fontId="95" fillId="0" borderId="0" xfId="86" applyNumberFormat="1" applyFont="1" applyFill="1" applyAlignment="1">
      <alignment horizontal="left" vertical="center" wrapText="1"/>
    </xf>
    <xf numFmtId="17" fontId="95" fillId="0" borderId="0" xfId="86" applyNumberFormat="1" applyFont="1" applyFill="1" applyAlignment="1">
      <alignment horizontal="center" vertical="center" wrapText="1"/>
    </xf>
    <xf numFmtId="10" fontId="21" fillId="0" borderId="0" xfId="92" applyNumberFormat="1" applyFont="1" applyFill="1" applyBorder="1"/>
    <xf numFmtId="0" fontId="0" fillId="27" borderId="0" xfId="0" applyFill="1"/>
    <xf numFmtId="2" fontId="44" fillId="29" borderId="10" xfId="0" applyNumberFormat="1" applyFont="1" applyFill="1" applyBorder="1" applyAlignment="1">
      <alignment horizontal="center" vertical="center" wrapText="1"/>
    </xf>
    <xf numFmtId="2" fontId="44" fillId="29" borderId="0" xfId="0" applyNumberFormat="1" applyFont="1" applyFill="1" applyAlignment="1">
      <alignment horizontal="center" vertical="center" wrapText="1"/>
    </xf>
    <xf numFmtId="0" fontId="98" fillId="0" borderId="59" xfId="83" applyFont="1" applyBorder="1" applyAlignment="1">
      <alignment horizontal="left" vertical="center" wrapText="1"/>
    </xf>
    <xf numFmtId="167" fontId="101" fillId="0" borderId="72" xfId="83" applyNumberFormat="1" applyFont="1" applyBorder="1" applyAlignment="1">
      <alignment horizontal="center" vertical="center" wrapText="1"/>
    </xf>
    <xf numFmtId="167" fontId="101" fillId="0" borderId="73" xfId="83" applyNumberFormat="1" applyFont="1" applyBorder="1" applyAlignment="1">
      <alignment horizontal="center" vertical="center" wrapText="1"/>
    </xf>
    <xf numFmtId="1" fontId="101" fillId="0" borderId="73" xfId="83" applyNumberFormat="1" applyFont="1" applyBorder="1" applyAlignment="1">
      <alignment horizontal="center" vertical="center" wrapText="1"/>
    </xf>
    <xf numFmtId="0" fontId="50" fillId="0" borderId="47" xfId="83" applyFont="1" applyBorder="1" applyAlignment="1">
      <alignment horizontal="center" vertical="center" wrapText="1"/>
    </xf>
    <xf numFmtId="0" fontId="50" fillId="0" borderId="48" xfId="83" applyFont="1" applyBorder="1" applyAlignment="1">
      <alignment horizontal="center" vertical="center" wrapText="1"/>
    </xf>
    <xf numFmtId="0" fontId="50" fillId="0" borderId="46" xfId="83" applyFont="1" applyBorder="1" applyAlignment="1">
      <alignment horizontal="center" vertical="center" wrapText="1"/>
    </xf>
    <xf numFmtId="0" fontId="50" fillId="0" borderId="0" xfId="83" applyFont="1" applyAlignment="1">
      <alignment horizontal="center" vertical="center" wrapText="1"/>
    </xf>
    <xf numFmtId="0" fontId="50" fillId="0" borderId="58" xfId="83" applyFont="1" applyBorder="1" applyAlignment="1">
      <alignment horizontal="center" vertical="center" wrapText="1"/>
    </xf>
    <xf numFmtId="0" fontId="95" fillId="0" borderId="60" xfId="83" applyFont="1" applyBorder="1" applyAlignment="1">
      <alignment horizontal="center" vertical="center" wrapText="1"/>
    </xf>
    <xf numFmtId="0" fontId="50" fillId="0" borderId="58" xfId="83" applyFont="1" applyBorder="1" applyAlignment="1">
      <alignment horizontal="left" vertical="center" wrapText="1"/>
    </xf>
    <xf numFmtId="0" fontId="33" fillId="0" borderId="0" xfId="78" applyFont="1" applyAlignment="1">
      <alignment horizontal="center" vertical="center" wrapText="1"/>
    </xf>
    <xf numFmtId="0" fontId="50" fillId="0" borderId="60" xfId="83" applyFont="1" applyBorder="1" applyAlignment="1">
      <alignment horizontal="left" vertical="center" wrapText="1"/>
    </xf>
    <xf numFmtId="0" fontId="97" fillId="0" borderId="0" xfId="78" applyFont="1" applyAlignment="1">
      <alignment horizontal="center" vertical="center" wrapText="1"/>
    </xf>
    <xf numFmtId="2" fontId="50" fillId="0" borderId="10" xfId="86" applyNumberFormat="1" applyFont="1" applyFill="1" applyBorder="1" applyAlignment="1">
      <alignment horizontal="center" vertical="center" wrapText="1"/>
    </xf>
    <xf numFmtId="0" fontId="101" fillId="0" borderId="10" xfId="78" applyFont="1" applyBorder="1" applyAlignment="1">
      <alignment horizontal="center" vertical="center" wrapText="1"/>
    </xf>
    <xf numFmtId="0" fontId="101" fillId="0" borderId="65" xfId="78" applyFont="1" applyBorder="1" applyAlignment="1">
      <alignment horizontal="left" vertical="center" wrapText="1"/>
    </xf>
    <xf numFmtId="0" fontId="98" fillId="0" borderId="66" xfId="78" applyFont="1" applyBorder="1" applyAlignment="1">
      <alignment horizontal="center" vertical="center" wrapText="1"/>
    </xf>
    <xf numFmtId="0" fontId="98" fillId="0" borderId="63" xfId="78" applyFont="1" applyBorder="1" applyAlignment="1">
      <alignment horizontal="left" vertical="center" wrapText="1"/>
    </xf>
    <xf numFmtId="0" fontId="101" fillId="0" borderId="63" xfId="78" applyFont="1" applyBorder="1" applyAlignment="1">
      <alignment horizontal="left" vertical="center" wrapText="1"/>
    </xf>
    <xf numFmtId="0" fontId="98" fillId="0" borderId="61" xfId="78" applyFont="1" applyBorder="1" applyAlignment="1">
      <alignment horizontal="center" vertical="center" wrapText="1"/>
    </xf>
    <xf numFmtId="0" fontId="20" fillId="0" borderId="10" xfId="0" applyFont="1" applyBorder="1"/>
    <xf numFmtId="0" fontId="21" fillId="0" borderId="10" xfId="0" applyFont="1" applyBorder="1" applyAlignment="1">
      <alignment horizontal="center" vertical="center" wrapText="1"/>
    </xf>
    <xf numFmtId="0" fontId="65" fillId="0" borderId="10" xfId="0" applyFont="1" applyBorder="1" applyAlignment="1">
      <alignment horizontal="right"/>
    </xf>
    <xf numFmtId="0" fontId="65" fillId="0" borderId="10" xfId="0" applyFont="1" applyBorder="1" applyAlignment="1">
      <alignment horizontal="left"/>
    </xf>
    <xf numFmtId="2" fontId="20" fillId="0" borderId="0" xfId="0" applyNumberFormat="1" applyFont="1"/>
    <xf numFmtId="0" fontId="20" fillId="0" borderId="0" xfId="0" applyFont="1"/>
    <xf numFmtId="2" fontId="20" fillId="0" borderId="10" xfId="0" applyNumberFormat="1" applyFont="1" applyBorder="1"/>
    <xf numFmtId="0" fontId="108" fillId="0" borderId="0" xfId="78" applyFont="1"/>
    <xf numFmtId="0" fontId="108" fillId="0" borderId="0" xfId="78" applyFont="1" applyAlignment="1">
      <alignment vertical="top" wrapText="1"/>
    </xf>
    <xf numFmtId="0" fontId="27" fillId="0" borderId="0" xfId="0" applyFont="1"/>
    <xf numFmtId="2" fontId="20" fillId="0" borderId="15" xfId="0" applyNumberFormat="1" applyFont="1" applyBorder="1" applyAlignment="1">
      <alignment horizontal="center"/>
    </xf>
    <xf numFmtId="10" fontId="20" fillId="0" borderId="15" xfId="105" applyNumberFormat="1" applyFont="1" applyFill="1" applyBorder="1"/>
    <xf numFmtId="2" fontId="20" fillId="0" borderId="10" xfId="78" applyNumberFormat="1" applyBorder="1"/>
    <xf numFmtId="0" fontId="21" fillId="0" borderId="10" xfId="78" applyFont="1" applyBorder="1" applyAlignment="1">
      <alignment horizontal="center"/>
    </xf>
    <xf numFmtId="0" fontId="20" fillId="0" borderId="19" xfId="0" applyFont="1" applyBorder="1"/>
    <xf numFmtId="2" fontId="20" fillId="0" borderId="20" xfId="0" applyNumberFormat="1" applyFont="1" applyBorder="1"/>
    <xf numFmtId="0" fontId="20" fillId="0" borderId="17" xfId="0" applyFont="1" applyBorder="1"/>
    <xf numFmtId="0" fontId="20" fillId="0" borderId="15" xfId="0" applyFont="1" applyBorder="1" applyAlignment="1">
      <alignment horizontal="center"/>
    </xf>
    <xf numFmtId="2" fontId="20" fillId="0" borderId="21" xfId="0" applyNumberFormat="1" applyFont="1" applyBorder="1" applyAlignment="1">
      <alignment horizontal="center"/>
    </xf>
    <xf numFmtId="0" fontId="20" fillId="0" borderId="17" xfId="0" applyFont="1" applyBorder="1" applyAlignment="1">
      <alignment horizontal="right"/>
    </xf>
    <xf numFmtId="166" fontId="20" fillId="0" borderId="75" xfId="0" applyNumberFormat="1" applyFont="1" applyBorder="1"/>
    <xf numFmtId="2" fontId="20" fillId="0" borderId="18" xfId="0" applyNumberFormat="1" applyFont="1" applyBorder="1"/>
    <xf numFmtId="10" fontId="20" fillId="0" borderId="21" xfId="105" applyNumberFormat="1" applyFont="1" applyFill="1" applyBorder="1"/>
    <xf numFmtId="9" fontId="0" fillId="0" borderId="0" xfId="92" applyFont="1" applyFill="1"/>
    <xf numFmtId="0" fontId="20" fillId="0" borderId="10" xfId="85" applyFont="1" applyFill="1" applyBorder="1" applyAlignment="1">
      <alignment vertical="center"/>
    </xf>
    <xf numFmtId="9" fontId="25" fillId="0" borderId="10" xfId="104" applyFont="1" applyFill="1" applyBorder="1" applyAlignment="1">
      <alignment horizontal="center" vertical="center"/>
    </xf>
    <xf numFmtId="9" fontId="34" fillId="0" borderId="10" xfId="104" applyFont="1" applyFill="1" applyBorder="1" applyAlignment="1">
      <alignment horizontal="center" vertical="center"/>
    </xf>
    <xf numFmtId="43" fontId="47" fillId="0" borderId="0" xfId="41" applyNumberFormat="1" applyFont="1" applyBorder="1" applyAlignment="1">
      <alignment vertical="center"/>
    </xf>
    <xf numFmtId="166" fontId="44" fillId="0" borderId="10" xfId="41" applyNumberFormat="1" applyFont="1" applyBorder="1" applyAlignment="1">
      <alignment vertical="center"/>
    </xf>
    <xf numFmtId="166" fontId="22" fillId="0" borderId="10" xfId="41" applyNumberFormat="1" applyFont="1" applyBorder="1" applyAlignment="1">
      <alignment vertical="center"/>
    </xf>
    <xf numFmtId="43" fontId="22" fillId="0" borderId="10" xfId="41" applyNumberFormat="1" applyFont="1" applyBorder="1" applyAlignment="1">
      <alignment vertical="center"/>
    </xf>
    <xf numFmtId="184" fontId="111" fillId="0" borderId="0" xfId="41" applyNumberFormat="1" applyFont="1" applyBorder="1" applyAlignment="1">
      <alignment vertical="center"/>
    </xf>
    <xf numFmtId="166" fontId="47" fillId="0" borderId="10" xfId="41" applyNumberFormat="1" applyFont="1" applyBorder="1" applyAlignment="1">
      <alignment vertical="center"/>
    </xf>
    <xf numFmtId="166" fontId="33" fillId="0" borderId="10" xfId="41" applyNumberFormat="1" applyFont="1" applyBorder="1" applyAlignment="1">
      <alignment vertical="center"/>
    </xf>
    <xf numFmtId="43" fontId="47" fillId="0" borderId="10" xfId="41" applyNumberFormat="1" applyFont="1" applyBorder="1" applyAlignment="1">
      <alignment vertical="center"/>
    </xf>
    <xf numFmtId="166" fontId="44" fillId="0" borderId="10" xfId="41" applyNumberFormat="1" applyFont="1" applyBorder="1" applyAlignment="1">
      <alignment horizontal="left" vertical="center"/>
    </xf>
    <xf numFmtId="43" fontId="22" fillId="0" borderId="10" xfId="41" applyNumberFormat="1" applyFont="1" applyBorder="1" applyAlignment="1">
      <alignment horizontal="left" vertical="center"/>
    </xf>
    <xf numFmtId="43" fontId="22" fillId="0" borderId="10" xfId="41" applyNumberFormat="1" applyFont="1" applyBorder="1" applyAlignment="1">
      <alignment horizontal="left" vertical="center" wrapText="1"/>
    </xf>
    <xf numFmtId="184" fontId="44" fillId="0" borderId="10" xfId="41" applyNumberFormat="1" applyFont="1" applyBorder="1" applyAlignment="1">
      <alignment horizontal="center" vertical="center" wrapText="1"/>
    </xf>
    <xf numFmtId="184" fontId="44" fillId="0" borderId="10" xfId="41" applyNumberFormat="1" applyFont="1" applyBorder="1" applyAlignment="1">
      <alignment horizontal="center" vertical="center"/>
    </xf>
    <xf numFmtId="10" fontId="25" fillId="0" borderId="10" xfId="104" applyNumberFormat="1" applyFont="1" applyFill="1" applyBorder="1" applyAlignment="1">
      <alignment horizontal="center" vertical="center" wrapText="1"/>
    </xf>
    <xf numFmtId="0" fontId="33" fillId="0" borderId="0" xfId="76" applyFont="1" applyAlignment="1">
      <alignment vertical="center"/>
    </xf>
    <xf numFmtId="187" fontId="33" fillId="0" borderId="0" xfId="76" applyNumberFormat="1" applyFont="1" applyAlignment="1">
      <alignment vertical="center"/>
    </xf>
    <xf numFmtId="0" fontId="21" fillId="0" borderId="0" xfId="76" applyFont="1" applyAlignment="1">
      <alignment horizontal="right" vertical="center"/>
    </xf>
    <xf numFmtId="0" fontId="21" fillId="0" borderId="10" xfId="76" quotePrefix="1" applyFont="1" applyBorder="1" applyAlignment="1">
      <alignment horizontal="center" vertical="center"/>
    </xf>
    <xf numFmtId="0" fontId="21" fillId="0" borderId="10" xfId="76" quotePrefix="1" applyFont="1" applyBorder="1" applyAlignment="1">
      <alignment horizontal="center" vertical="center" wrapText="1"/>
    </xf>
    <xf numFmtId="0" fontId="21" fillId="0" borderId="10" xfId="76" applyFont="1" applyBorder="1" applyAlignment="1">
      <alignment vertical="center"/>
    </xf>
    <xf numFmtId="0" fontId="35" fillId="0" borderId="10" xfId="76" applyFont="1" applyBorder="1" applyAlignment="1">
      <alignment horizontal="center" vertical="center" wrapText="1"/>
    </xf>
    <xf numFmtId="0" fontId="37" fillId="0" borderId="0" xfId="76" applyFont="1" applyAlignment="1">
      <alignment vertical="center"/>
    </xf>
    <xf numFmtId="0" fontId="20" fillId="0" borderId="10" xfId="76" applyFont="1" applyBorder="1" applyAlignment="1">
      <alignment horizontal="left" vertical="center"/>
    </xf>
    <xf numFmtId="187" fontId="33" fillId="0" borderId="10" xfId="76" applyNumberFormat="1" applyFont="1" applyBorder="1" applyAlignment="1">
      <alignment horizontal="right" vertical="center"/>
    </xf>
    <xf numFmtId="17" fontId="20" fillId="0" borderId="10" xfId="76" applyNumberFormat="1" applyFont="1" applyBorder="1" applyAlignment="1">
      <alignment horizontal="left" vertical="center"/>
    </xf>
    <xf numFmtId="17" fontId="21" fillId="0" borderId="10" xfId="76" applyNumberFormat="1" applyFont="1" applyBorder="1" applyAlignment="1">
      <alignment horizontal="center" vertical="center"/>
    </xf>
    <xf numFmtId="187" fontId="22" fillId="0" borderId="10" xfId="76" applyNumberFormat="1" applyFont="1" applyBorder="1" applyAlignment="1">
      <alignment horizontal="right" vertical="center"/>
    </xf>
    <xf numFmtId="187" fontId="33" fillId="0" borderId="10" xfId="76" quotePrefix="1" applyNumberFormat="1" applyFont="1" applyBorder="1" applyAlignment="1">
      <alignment horizontal="right" vertical="center"/>
    </xf>
    <xf numFmtId="0" fontId="20" fillId="0" borderId="10" xfId="0" applyFont="1" applyBorder="1" applyAlignment="1">
      <alignment vertical="center"/>
    </xf>
    <xf numFmtId="0" fontId="21" fillId="0" borderId="10" xfId="76" applyFont="1" applyBorder="1" applyAlignment="1">
      <alignment horizontal="center" vertical="center"/>
    </xf>
    <xf numFmtId="9" fontId="31" fillId="0" borderId="0" xfId="92" applyFont="1" applyFill="1" applyBorder="1" applyAlignment="1">
      <alignment vertical="center"/>
    </xf>
    <xf numFmtId="1" fontId="21" fillId="0" borderId="15" xfId="0" applyNumberFormat="1" applyFont="1" applyBorder="1"/>
    <xf numFmtId="0" fontId="20" fillId="0" borderId="10" xfId="0" applyFont="1" applyBorder="1" applyAlignment="1">
      <alignment horizontal="center" vertical="center"/>
    </xf>
    <xf numFmtId="0" fontId="20" fillId="0" borderId="0" xfId="0" applyFont="1" applyAlignment="1">
      <alignment vertical="center"/>
    </xf>
    <xf numFmtId="0" fontId="20" fillId="0" borderId="0" xfId="78" applyAlignment="1">
      <alignment vertical="center"/>
    </xf>
    <xf numFmtId="0" fontId="20" fillId="0" borderId="10" xfId="78" applyBorder="1" applyAlignment="1">
      <alignment vertical="center"/>
    </xf>
    <xf numFmtId="0" fontId="20" fillId="0" borderId="10" xfId="78" applyBorder="1" applyAlignment="1">
      <alignment horizontal="center" vertical="center"/>
    </xf>
    <xf numFmtId="0" fontId="21" fillId="0" borderId="10" xfId="78" applyFont="1" applyBorder="1" applyAlignment="1">
      <alignment horizontal="left" vertical="center"/>
    </xf>
    <xf numFmtId="0" fontId="21" fillId="28" borderId="10" xfId="78" applyFont="1" applyFill="1" applyBorder="1" applyAlignment="1">
      <alignment vertical="center" wrapText="1"/>
    </xf>
    <xf numFmtId="0" fontId="21" fillId="0" borderId="10" xfId="78" applyFont="1" applyBorder="1" applyAlignment="1">
      <alignment horizontal="center" vertical="center"/>
    </xf>
    <xf numFmtId="0" fontId="21" fillId="0" borderId="10" xfId="78" quotePrefix="1" applyFont="1" applyBorder="1" applyAlignment="1">
      <alignment horizontal="center" vertical="center"/>
    </xf>
    <xf numFmtId="0" fontId="21" fillId="0" borderId="10" xfId="78" applyFont="1" applyBorder="1" applyAlignment="1">
      <alignment horizontal="right" vertical="center"/>
    </xf>
    <xf numFmtId="0" fontId="21" fillId="0" borderId="10" xfId="78" applyFont="1" applyBorder="1" applyAlignment="1">
      <alignment vertical="center" wrapText="1"/>
    </xf>
    <xf numFmtId="0" fontId="20" fillId="0" borderId="0" xfId="78" applyAlignment="1">
      <alignment horizontal="center" vertical="center"/>
    </xf>
    <xf numFmtId="166" fontId="20" fillId="0" borderId="0" xfId="78" applyNumberFormat="1" applyAlignment="1">
      <alignment vertical="center"/>
    </xf>
    <xf numFmtId="0" fontId="95" fillId="0" borderId="71" xfId="83" applyFont="1" applyBorder="1" applyAlignment="1">
      <alignment horizontal="center" vertical="center" wrapText="1"/>
    </xf>
    <xf numFmtId="0" fontId="50" fillId="0" borderId="0" xfId="78" applyFont="1" applyAlignment="1">
      <alignment horizontal="center" vertical="center" wrapText="1"/>
    </xf>
    <xf numFmtId="9" fontId="21" fillId="0" borderId="10" xfId="104" applyFont="1" applyBorder="1" applyAlignment="1">
      <alignment horizontal="center" vertical="center"/>
    </xf>
    <xf numFmtId="9" fontId="20" fillId="0" borderId="10" xfId="104" applyFont="1" applyBorder="1" applyAlignment="1">
      <alignment horizontal="center" vertical="center"/>
    </xf>
    <xf numFmtId="166" fontId="21" fillId="0" borderId="10" xfId="78" applyNumberFormat="1" applyFont="1" applyBorder="1" applyAlignment="1">
      <alignment horizontal="center" vertical="center"/>
    </xf>
    <xf numFmtId="166" fontId="20" fillId="0" borderId="10" xfId="78" applyNumberFormat="1" applyBorder="1" applyAlignment="1">
      <alignment horizontal="center" vertical="center"/>
    </xf>
    <xf numFmtId="0" fontId="21" fillId="0" borderId="0" xfId="78" applyFont="1" applyAlignment="1">
      <alignment vertical="center"/>
    </xf>
    <xf numFmtId="9" fontId="20" fillId="0" borderId="0" xfId="78" applyNumberFormat="1" applyAlignment="1">
      <alignment vertical="center"/>
    </xf>
    <xf numFmtId="9" fontId="141" fillId="0" borderId="10" xfId="118" applyFont="1" applyBorder="1" applyAlignment="1">
      <alignment horizontal="center" vertical="center"/>
    </xf>
    <xf numFmtId="166" fontId="141" fillId="0" borderId="10" xfId="78" applyNumberFormat="1" applyFont="1" applyBorder="1" applyAlignment="1">
      <alignment horizontal="center" vertical="center"/>
    </xf>
    <xf numFmtId="166" fontId="61" fillId="0" borderId="10" xfId="78" applyNumberFormat="1" applyFont="1" applyBorder="1" applyAlignment="1">
      <alignment horizontal="center" vertical="center"/>
    </xf>
    <xf numFmtId="9" fontId="141" fillId="0" borderId="10" xfId="78" applyNumberFormat="1" applyFont="1" applyBorder="1" applyAlignment="1">
      <alignment horizontal="center" vertical="center"/>
    </xf>
    <xf numFmtId="0" fontId="20" fillId="0" borderId="10" xfId="78" applyBorder="1" applyAlignment="1">
      <alignment horizontal="center" vertical="center" wrapText="1"/>
    </xf>
    <xf numFmtId="0" fontId="101" fillId="0" borderId="61" xfId="83" applyFont="1" applyBorder="1" applyAlignment="1">
      <alignment horizontal="center" vertical="center" wrapText="1"/>
    </xf>
    <xf numFmtId="0" fontId="107" fillId="0" borderId="0" xfId="78" applyFont="1" applyAlignment="1">
      <alignment vertical="center" wrapText="1"/>
    </xf>
    <xf numFmtId="0" fontId="64" fillId="0" borderId="0" xfId="78" applyFont="1"/>
    <xf numFmtId="0" fontId="64" fillId="0" borderId="10" xfId="78" applyFont="1" applyBorder="1"/>
    <xf numFmtId="0" fontId="108" fillId="0" borderId="10" xfId="78" applyFont="1" applyBorder="1" applyAlignment="1">
      <alignment vertical="center" wrapText="1"/>
    </xf>
    <xf numFmtId="2" fontId="64" fillId="0" borderId="10" xfId="78" applyNumberFormat="1" applyFont="1" applyBorder="1"/>
    <xf numFmtId="0" fontId="64" fillId="0" borderId="10" xfId="78" applyFont="1" applyBorder="1" applyAlignment="1">
      <alignment vertical="top"/>
    </xf>
    <xf numFmtId="0" fontId="59" fillId="0" borderId="10" xfId="78" applyFont="1" applyBorder="1" applyAlignment="1">
      <alignment vertical="top" wrapText="1"/>
    </xf>
    <xf numFmtId="0" fontId="65" fillId="0" borderId="25" xfId="78" applyFont="1" applyBorder="1"/>
    <xf numFmtId="0" fontId="65" fillId="0" borderId="6" xfId="78" applyFont="1" applyBorder="1"/>
    <xf numFmtId="0" fontId="65" fillId="0" borderId="31" xfId="78" applyFont="1" applyBorder="1"/>
    <xf numFmtId="9" fontId="47" fillId="0" borderId="10" xfId="104" applyFont="1" applyFill="1" applyBorder="1" applyAlignment="1">
      <alignment horizontal="right" vertical="center"/>
    </xf>
    <xf numFmtId="9" fontId="67" fillId="0" borderId="10" xfId="104" applyFont="1" applyFill="1" applyBorder="1" applyAlignment="1">
      <alignment horizontal="right" vertical="center"/>
    </xf>
    <xf numFmtId="9" fontId="33" fillId="0" borderId="10" xfId="104" applyFont="1" applyFill="1" applyBorder="1" applyAlignment="1">
      <alignment horizontal="right" vertical="center"/>
    </xf>
    <xf numFmtId="9" fontId="28" fillId="0" borderId="0" xfId="92" applyFont="1" applyFill="1" applyBorder="1" applyAlignment="1">
      <alignment horizontal="centerContinuous"/>
    </xf>
    <xf numFmtId="9" fontId="34" fillId="0" borderId="81" xfId="92" applyFont="1" applyFill="1" applyBorder="1" applyAlignment="1">
      <alignment horizontal="center"/>
    </xf>
    <xf numFmtId="9" fontId="34" fillId="0" borderId="95" xfId="92" applyFont="1" applyFill="1" applyBorder="1" applyAlignment="1">
      <alignment horizontal="center"/>
    </xf>
    <xf numFmtId="9" fontId="76" fillId="0" borderId="10" xfId="92" applyFont="1" applyFill="1" applyBorder="1" applyAlignment="1">
      <alignment horizontal="right"/>
    </xf>
    <xf numFmtId="9" fontId="51" fillId="0" borderId="10" xfId="92" applyFont="1" applyFill="1" applyBorder="1" applyAlignment="1">
      <alignment horizontal="right"/>
    </xf>
    <xf numFmtId="9" fontId="47" fillId="0" borderId="0" xfId="92" applyFont="1" applyFill="1" applyBorder="1"/>
    <xf numFmtId="0" fontId="47" fillId="0" borderId="0" xfId="0" applyFont="1" applyAlignment="1">
      <alignment vertical="center"/>
    </xf>
    <xf numFmtId="0" fontId="44" fillId="0" borderId="10" xfId="0" applyFont="1" applyBorder="1" applyAlignment="1">
      <alignment vertical="center"/>
    </xf>
    <xf numFmtId="0" fontId="104" fillId="0" borderId="10" xfId="0" applyFont="1" applyBorder="1" applyAlignment="1">
      <alignment vertical="center"/>
    </xf>
    <xf numFmtId="0" fontId="44" fillId="0" borderId="10" xfId="0" applyFont="1" applyBorder="1" applyAlignment="1">
      <alignment horizontal="center" vertical="center"/>
    </xf>
    <xf numFmtId="0" fontId="47" fillId="0" borderId="10" xfId="0" applyFont="1" applyBorder="1" applyAlignment="1">
      <alignment horizontal="center" vertical="center"/>
    </xf>
    <xf numFmtId="0" fontId="47" fillId="0" borderId="10" xfId="89" applyFont="1" applyBorder="1" applyAlignment="1">
      <alignment vertical="center"/>
    </xf>
    <xf numFmtId="166" fontId="47" fillId="0" borderId="10" xfId="0" applyNumberFormat="1" applyFont="1" applyBorder="1" applyAlignment="1">
      <alignment horizontal="center" vertical="center"/>
    </xf>
    <xf numFmtId="2" fontId="47" fillId="0" borderId="10" xfId="0" applyNumberFormat="1" applyFont="1" applyBorder="1" applyAlignment="1">
      <alignment horizontal="center" vertical="center"/>
    </xf>
    <xf numFmtId="0" fontId="47" fillId="0" borderId="10" xfId="88" applyFont="1" applyFill="1" applyBorder="1" applyAlignment="1">
      <alignment vertical="center"/>
    </xf>
    <xf numFmtId="0" fontId="47" fillId="0" borderId="10" xfId="87" applyFont="1" applyFill="1" applyBorder="1" applyAlignment="1">
      <alignment vertical="center"/>
    </xf>
    <xf numFmtId="0" fontId="47" fillId="0" borderId="10" xfId="89" applyFont="1" applyBorder="1" applyAlignment="1">
      <alignment vertical="center" wrapText="1"/>
    </xf>
    <xf numFmtId="0" fontId="47" fillId="0" borderId="10" xfId="0" applyFont="1" applyBorder="1" applyAlignment="1">
      <alignment vertical="center"/>
    </xf>
    <xf numFmtId="0" fontId="46" fillId="0" borderId="10" xfId="0" applyFont="1" applyBorder="1" applyAlignment="1">
      <alignment vertical="center"/>
    </xf>
    <xf numFmtId="166" fontId="44" fillId="0" borderId="10" xfId="0" applyNumberFormat="1" applyFont="1" applyBorder="1" applyAlignment="1">
      <alignment horizontal="center" vertical="center"/>
    </xf>
    <xf numFmtId="2" fontId="44" fillId="0" borderId="10" xfId="0" applyNumberFormat="1" applyFont="1" applyBorder="1" applyAlignment="1">
      <alignment horizontal="center" vertical="center"/>
    </xf>
    <xf numFmtId="1" fontId="44" fillId="0" borderId="10" xfId="0" applyNumberFormat="1" applyFont="1" applyBorder="1" applyAlignment="1">
      <alignment horizontal="center" vertical="center"/>
    </xf>
    <xf numFmtId="10" fontId="47" fillId="0" borderId="10" xfId="92" applyNumberFormat="1" applyFont="1" applyFill="1" applyBorder="1" applyAlignment="1">
      <alignment horizontal="center" vertical="center"/>
    </xf>
    <xf numFmtId="2" fontId="67" fillId="0" borderId="10" xfId="0" applyNumberFormat="1" applyFont="1" applyBorder="1" applyAlignment="1">
      <alignment horizontal="center" vertical="center"/>
    </xf>
    <xf numFmtId="2" fontId="47" fillId="0" borderId="0" xfId="0" applyNumberFormat="1" applyFont="1" applyAlignment="1">
      <alignment vertical="center"/>
    </xf>
    <xf numFmtId="0" fontId="47" fillId="0" borderId="0" xfId="0" applyFont="1" applyAlignment="1">
      <alignment horizontal="center" vertical="center"/>
    </xf>
    <xf numFmtId="0" fontId="47" fillId="0" borderId="10" xfId="89" applyFont="1" applyBorder="1" applyAlignment="1">
      <alignment horizontal="center" vertical="center"/>
    </xf>
    <xf numFmtId="0" fontId="46" fillId="0" borderId="0" xfId="0" applyFont="1" applyAlignment="1">
      <alignment horizontal="left" vertical="center"/>
    </xf>
    <xf numFmtId="0" fontId="46" fillId="0" borderId="10" xfId="0" applyFont="1" applyBorder="1" applyAlignment="1">
      <alignment horizontal="center" vertical="center"/>
    </xf>
    <xf numFmtId="0" fontId="44" fillId="0" borderId="0" xfId="0" applyFont="1" applyAlignment="1">
      <alignment vertical="center"/>
    </xf>
    <xf numFmtId="2" fontId="47" fillId="0" borderId="10" xfId="0" applyNumberFormat="1" applyFont="1" applyBorder="1" applyAlignment="1">
      <alignment vertical="center"/>
    </xf>
    <xf numFmtId="166" fontId="47" fillId="0" borderId="10" xfId="0" applyNumberFormat="1" applyFont="1" applyBorder="1" applyAlignment="1">
      <alignment vertical="center"/>
    </xf>
    <xf numFmtId="9" fontId="47" fillId="0" borderId="10" xfId="105" applyFont="1" applyFill="1" applyBorder="1" applyAlignment="1">
      <alignment vertical="center"/>
    </xf>
    <xf numFmtId="10" fontId="47" fillId="0" borderId="10" xfId="105" applyNumberFormat="1" applyFont="1" applyFill="1" applyBorder="1" applyAlignment="1">
      <alignment vertical="center"/>
    </xf>
    <xf numFmtId="0" fontId="47" fillId="0" borderId="10" xfId="0" applyFont="1" applyBorder="1" applyAlignment="1">
      <alignment vertical="center" wrapText="1"/>
    </xf>
    <xf numFmtId="0" fontId="47" fillId="0" borderId="0" xfId="0" applyFont="1" applyAlignment="1">
      <alignment horizontal="right" vertical="center"/>
    </xf>
    <xf numFmtId="171" fontId="47" fillId="0" borderId="10" xfId="78" applyNumberFormat="1" applyFont="1" applyBorder="1" applyAlignment="1">
      <alignment vertical="center"/>
    </xf>
    <xf numFmtId="171" fontId="44" fillId="0" borderId="10" xfId="78" applyNumberFormat="1" applyFont="1" applyBorder="1" applyAlignment="1">
      <alignment vertical="center"/>
    </xf>
    <xf numFmtId="0" fontId="33" fillId="0" borderId="10" xfId="0" applyFont="1" applyBorder="1"/>
    <xf numFmtId="9" fontId="33" fillId="0" borderId="10" xfId="92" applyFont="1" applyFill="1" applyBorder="1"/>
    <xf numFmtId="2" fontId="33" fillId="0" borderId="0" xfId="0" applyNumberFormat="1" applyFont="1"/>
    <xf numFmtId="0" fontId="51" fillId="0" borderId="0" xfId="0" applyFont="1"/>
    <xf numFmtId="0" fontId="28" fillId="0" borderId="0" xfId="0" applyFont="1"/>
    <xf numFmtId="9" fontId="22" fillId="0" borderId="10" xfId="92" applyFont="1" applyFill="1" applyBorder="1"/>
    <xf numFmtId="2" fontId="22" fillId="0" borderId="10" xfId="0" applyNumberFormat="1" applyFont="1" applyBorder="1"/>
    <xf numFmtId="0" fontId="0" fillId="0" borderId="10" xfId="0" applyBorder="1" applyAlignment="1">
      <alignment vertical="center"/>
    </xf>
    <xf numFmtId="0" fontId="21" fillId="0" borderId="10" xfId="0" applyFont="1" applyBorder="1" applyAlignment="1">
      <alignment vertical="center"/>
    </xf>
    <xf numFmtId="0" fontId="29" fillId="0" borderId="10" xfId="0" applyFont="1" applyBorder="1" applyAlignment="1">
      <alignment vertical="center"/>
    </xf>
    <xf numFmtId="2" fontId="0" fillId="0" borderId="10" xfId="0" applyNumberFormat="1" applyBorder="1" applyAlignment="1">
      <alignment vertical="center"/>
    </xf>
    <xf numFmtId="0" fontId="29" fillId="0" borderId="10" xfId="0" applyFont="1" applyBorder="1" applyAlignment="1">
      <alignment horizontal="center" vertical="center"/>
    </xf>
    <xf numFmtId="0" fontId="0" fillId="0" borderId="10" xfId="0" applyBorder="1" applyAlignment="1">
      <alignment horizontal="left" vertical="center" wrapText="1"/>
    </xf>
    <xf numFmtId="0" fontId="28" fillId="0" borderId="10" xfId="0" applyFont="1" applyBorder="1" applyAlignment="1">
      <alignment horizontal="center" vertical="center"/>
    </xf>
    <xf numFmtId="0" fontId="25" fillId="0" borderId="0" xfId="0" applyFont="1" applyAlignment="1">
      <alignment vertical="center"/>
    </xf>
    <xf numFmtId="0" fontId="21" fillId="0" borderId="0" xfId="0" applyFont="1" applyAlignment="1">
      <alignment horizontal="right" vertical="center"/>
    </xf>
    <xf numFmtId="0" fontId="26" fillId="0" borderId="0" xfId="0" applyFont="1" applyAlignment="1">
      <alignment vertical="center"/>
    </xf>
    <xf numFmtId="0" fontId="156" fillId="0" borderId="0" xfId="0" applyFont="1" applyAlignment="1">
      <alignment vertical="center"/>
    </xf>
    <xf numFmtId="0" fontId="156" fillId="28" borderId="0" xfId="0" applyFont="1" applyFill="1" applyAlignment="1">
      <alignment vertical="center"/>
    </xf>
    <xf numFmtId="0" fontId="157" fillId="0" borderId="0" xfId="0" applyFont="1" applyAlignment="1">
      <alignment horizontal="right" vertical="center"/>
    </xf>
    <xf numFmtId="0" fontId="158" fillId="0" borderId="0" xfId="0" applyFont="1" applyAlignment="1">
      <alignment vertical="center"/>
    </xf>
    <xf numFmtId="0" fontId="44" fillId="0" borderId="0" xfId="0" applyFont="1" applyAlignment="1">
      <alignment horizontal="centerContinuous" vertical="center"/>
    </xf>
    <xf numFmtId="0" fontId="47" fillId="0" borderId="0" xfId="0" applyFont="1" applyAlignment="1">
      <alignment horizontal="centerContinuous" vertical="center"/>
    </xf>
    <xf numFmtId="0" fontId="47" fillId="28" borderId="0" xfId="0" applyFont="1" applyFill="1" applyAlignment="1">
      <alignment horizontal="centerContinuous" vertical="center"/>
    </xf>
    <xf numFmtId="0" fontId="47" fillId="28" borderId="0" xfId="0" applyFont="1" applyFill="1" applyAlignment="1">
      <alignment vertical="center"/>
    </xf>
    <xf numFmtId="0" fontId="44" fillId="0" borderId="10" xfId="0" applyFont="1" applyBorder="1" applyAlignment="1">
      <alignment horizontal="centerContinuous" vertical="center"/>
    </xf>
    <xf numFmtId="0" fontId="47" fillId="0" borderId="10" xfId="0" applyFont="1" applyBorder="1" applyAlignment="1">
      <alignment horizontal="centerContinuous" vertical="center"/>
    </xf>
    <xf numFmtId="0" fontId="44" fillId="28" borderId="10" xfId="0" applyFont="1" applyFill="1" applyBorder="1" applyAlignment="1">
      <alignment horizontal="centerContinuous" vertical="center"/>
    </xf>
    <xf numFmtId="0" fontId="158" fillId="0" borderId="0" xfId="0" applyFont="1" applyAlignment="1">
      <alignment vertical="center" wrapText="1"/>
    </xf>
    <xf numFmtId="0" fontId="47" fillId="28" borderId="10" xfId="0" applyFont="1" applyFill="1" applyBorder="1" applyAlignment="1">
      <alignment vertical="center"/>
    </xf>
    <xf numFmtId="168" fontId="47" fillId="0" borderId="10" xfId="0" applyNumberFormat="1" applyFont="1" applyBorder="1" applyAlignment="1">
      <alignment vertical="center"/>
    </xf>
    <xf numFmtId="2" fontId="47" fillId="28" borderId="10" xfId="0" applyNumberFormat="1" applyFont="1" applyFill="1" applyBorder="1" applyAlignment="1">
      <alignment vertical="center"/>
    </xf>
    <xf numFmtId="0" fontId="44" fillId="0" borderId="10" xfId="0" applyFont="1" applyBorder="1" applyAlignment="1">
      <alignment vertical="center" wrapText="1"/>
    </xf>
    <xf numFmtId="0" fontId="158" fillId="0" borderId="10" xfId="0" applyFont="1" applyBorder="1" applyAlignment="1">
      <alignment vertical="center"/>
    </xf>
    <xf numFmtId="2" fontId="160" fillId="0" borderId="10" xfId="0" applyNumberFormat="1" applyFont="1" applyBorder="1" applyAlignment="1">
      <alignment horizontal="right" vertical="center"/>
    </xf>
    <xf numFmtId="0" fontId="160" fillId="0" borderId="10" xfId="0" applyFont="1" applyBorder="1" applyAlignment="1">
      <alignment vertical="center"/>
    </xf>
    <xf numFmtId="0" fontId="47" fillId="0" borderId="10" xfId="0" applyFont="1" applyBorder="1" applyAlignment="1">
      <alignment horizontal="justify" vertical="center" wrapText="1"/>
    </xf>
    <xf numFmtId="0" fontId="158" fillId="28" borderId="0" xfId="0" applyFont="1" applyFill="1" applyAlignment="1">
      <alignment vertical="center"/>
    </xf>
    <xf numFmtId="0" fontId="47" fillId="0" borderId="10" xfId="0" applyFont="1" applyBorder="1" applyAlignment="1">
      <alignment horizontal="center" vertical="center" wrapText="1"/>
    </xf>
    <xf numFmtId="184" fontId="20" fillId="0" borderId="10" xfId="78" applyNumberFormat="1" applyBorder="1" applyAlignment="1">
      <alignment horizontal="center" vertical="center"/>
    </xf>
    <xf numFmtId="0" fontId="47" fillId="0" borderId="10" xfId="0" applyFont="1" applyBorder="1" applyAlignment="1">
      <alignment horizontal="left" vertical="center" wrapText="1"/>
    </xf>
    <xf numFmtId="0" fontId="44" fillId="0" borderId="10" xfId="0" applyFont="1" applyBorder="1" applyAlignment="1">
      <alignment horizontal="center" vertical="center" wrapText="1"/>
    </xf>
    <xf numFmtId="17" fontId="47" fillId="0" borderId="10" xfId="0" quotePrefix="1" applyNumberFormat="1" applyFont="1" applyBorder="1" applyAlignment="1">
      <alignment horizontal="center" vertical="center" wrapText="1"/>
    </xf>
    <xf numFmtId="0" fontId="47" fillId="0" borderId="10" xfId="0" quotePrefix="1" applyFont="1" applyBorder="1" applyAlignment="1">
      <alignment horizontal="center" vertical="center" wrapText="1"/>
    </xf>
    <xf numFmtId="0" fontId="21" fillId="0" borderId="10" xfId="0" applyFont="1" applyBorder="1" applyAlignment="1">
      <alignment horizontal="center" vertical="center"/>
    </xf>
    <xf numFmtId="4" fontId="108" fillId="0" borderId="10" xfId="78" applyNumberFormat="1" applyFont="1" applyBorder="1" applyAlignment="1">
      <alignment vertical="center"/>
    </xf>
    <xf numFmtId="43" fontId="20" fillId="0" borderId="10" xfId="37" applyFont="1" applyFill="1" applyBorder="1"/>
    <xf numFmtId="0" fontId="33" fillId="0" borderId="0" xfId="120" applyFill="1" applyAlignment="1">
      <alignment vertical="center"/>
    </xf>
    <xf numFmtId="0" fontId="25" fillId="0" borderId="0" xfId="120" applyFont="1" applyFill="1" applyAlignment="1">
      <alignment vertical="center"/>
    </xf>
    <xf numFmtId="0" fontId="33" fillId="0" borderId="0" xfId="120" applyFill="1" applyAlignment="1">
      <alignment horizontal="centerContinuous" vertical="center"/>
    </xf>
    <xf numFmtId="0" fontId="22" fillId="0" borderId="0" xfId="120" applyFont="1" applyFill="1" applyAlignment="1">
      <alignment horizontal="right" vertical="center"/>
    </xf>
    <xf numFmtId="0" fontId="23" fillId="0" borderId="0" xfId="120" applyFont="1" applyFill="1" applyAlignment="1">
      <alignment horizontal="center" vertical="center"/>
    </xf>
    <xf numFmtId="0" fontId="28" fillId="0" borderId="0" xfId="120" applyFont="1" applyFill="1" applyAlignment="1">
      <alignment horizontal="centerContinuous" vertical="center"/>
    </xf>
    <xf numFmtId="0" fontId="29" fillId="0" borderId="0" xfId="120" applyFont="1" applyFill="1" applyAlignment="1">
      <alignment horizontal="centerContinuous" vertical="center"/>
    </xf>
    <xf numFmtId="0" fontId="20" fillId="0" borderId="0" xfId="120" applyFont="1" applyFill="1" applyAlignment="1">
      <alignment vertical="center" wrapText="1"/>
    </xf>
    <xf numFmtId="0" fontId="33" fillId="0" borderId="0" xfId="120" applyFill="1" applyAlignment="1">
      <alignment vertical="center" wrapText="1"/>
    </xf>
    <xf numFmtId="0" fontId="25" fillId="0" borderId="10" xfId="120" applyFont="1" applyFill="1" applyBorder="1" applyAlignment="1">
      <alignment horizontal="center" vertical="center"/>
    </xf>
    <xf numFmtId="0" fontId="20" fillId="0" borderId="0" xfId="120" applyFont="1" applyFill="1" applyAlignment="1">
      <alignment vertical="center"/>
    </xf>
    <xf numFmtId="0" fontId="20" fillId="0" borderId="10" xfId="120" applyFont="1" applyFill="1" applyBorder="1" applyAlignment="1">
      <alignment vertical="center"/>
    </xf>
    <xf numFmtId="0" fontId="20" fillId="0" borderId="10" xfId="120" applyFont="1" applyFill="1" applyBorder="1" applyAlignment="1">
      <alignment horizontal="center" vertical="center"/>
    </xf>
    <xf numFmtId="0" fontId="25" fillId="0" borderId="10" xfId="120" applyFont="1" applyFill="1" applyBorder="1" applyAlignment="1">
      <alignment horizontal="right" vertical="center"/>
    </xf>
    <xf numFmtId="166" fontId="25" fillId="0" borderId="10" xfId="120" applyNumberFormat="1" applyFont="1" applyFill="1" applyBorder="1" applyAlignment="1">
      <alignment horizontal="center" vertical="center"/>
    </xf>
    <xf numFmtId="0" fontId="20" fillId="0" borderId="10" xfId="120" applyFont="1" applyFill="1" applyBorder="1" applyAlignment="1">
      <alignment horizontal="right" vertical="center"/>
    </xf>
    <xf numFmtId="0" fontId="34" fillId="0" borderId="10" xfId="120" applyFont="1" applyFill="1" applyBorder="1" applyAlignment="1">
      <alignment horizontal="right" vertical="center"/>
    </xf>
    <xf numFmtId="166" fontId="34" fillId="0" borderId="10" xfId="120" applyNumberFormat="1" applyFont="1" applyFill="1" applyBorder="1" applyAlignment="1">
      <alignment horizontal="right" vertical="center"/>
    </xf>
    <xf numFmtId="166" fontId="25" fillId="0" borderId="10" xfId="120" applyNumberFormat="1" applyFont="1" applyFill="1" applyBorder="1" applyAlignment="1">
      <alignment horizontal="right" vertical="center"/>
    </xf>
    <xf numFmtId="0" fontId="21" fillId="0" borderId="10" xfId="120" applyFont="1" applyFill="1" applyBorder="1" applyAlignment="1">
      <alignment horizontal="center" vertical="center"/>
    </xf>
    <xf numFmtId="0" fontId="25" fillId="0" borderId="10" xfId="120" applyFont="1" applyFill="1" applyBorder="1" applyAlignment="1">
      <alignment vertical="center"/>
    </xf>
    <xf numFmtId="0" fontId="21" fillId="0" borderId="0" xfId="120" applyFont="1" applyFill="1" applyAlignment="1">
      <alignment vertical="center"/>
    </xf>
    <xf numFmtId="0" fontId="22" fillId="0" borderId="0" xfId="120" applyFont="1" applyFill="1" applyAlignment="1">
      <alignment vertical="center"/>
    </xf>
    <xf numFmtId="166" fontId="20" fillId="0" borderId="10" xfId="120" applyNumberFormat="1" applyFont="1" applyFill="1" applyBorder="1" applyAlignment="1">
      <alignment horizontal="right" vertical="center"/>
    </xf>
    <xf numFmtId="0" fontId="21" fillId="0" borderId="10" xfId="120" applyFont="1" applyFill="1" applyBorder="1" applyAlignment="1">
      <alignment horizontal="right" vertical="center"/>
    </xf>
    <xf numFmtId="166" fontId="21" fillId="0" borderId="10" xfId="120" applyNumberFormat="1" applyFont="1" applyFill="1" applyBorder="1" applyAlignment="1">
      <alignment horizontal="right" vertical="center"/>
    </xf>
    <xf numFmtId="0" fontId="21" fillId="0" borderId="10" xfId="120" applyFont="1" applyFill="1" applyBorder="1" applyAlignment="1">
      <alignment vertical="center"/>
    </xf>
    <xf numFmtId="166" fontId="21" fillId="0" borderId="10" xfId="120" applyNumberFormat="1" applyFont="1" applyFill="1" applyBorder="1" applyAlignment="1">
      <alignment vertical="center"/>
    </xf>
    <xf numFmtId="0" fontId="33" fillId="0" borderId="0" xfId="120" applyFill="1" applyAlignment="1">
      <alignment horizontal="center" vertical="center"/>
    </xf>
    <xf numFmtId="0" fontId="30" fillId="0" borderId="0" xfId="120" applyFont="1" applyFill="1" applyAlignment="1">
      <alignment vertical="center" wrapText="1"/>
    </xf>
    <xf numFmtId="0" fontId="31" fillId="0" borderId="0" xfId="120" applyFont="1" applyFill="1" applyAlignment="1">
      <alignment vertical="center"/>
    </xf>
    <xf numFmtId="166" fontId="31" fillId="0" borderId="0" xfId="120" applyNumberFormat="1" applyFont="1" applyFill="1" applyAlignment="1">
      <alignment vertical="center"/>
    </xf>
    <xf numFmtId="0" fontId="32" fillId="0" borderId="0" xfId="120" applyFont="1" applyFill="1" applyAlignment="1">
      <alignment vertical="center"/>
    </xf>
    <xf numFmtId="0" fontId="29" fillId="0" borderId="0" xfId="120" applyFont="1" applyFill="1" applyAlignment="1">
      <alignment horizontal="center" vertical="center"/>
    </xf>
    <xf numFmtId="0" fontId="30" fillId="0" borderId="0" xfId="120" applyFont="1" applyFill="1" applyAlignment="1">
      <alignment horizontal="center" vertical="center"/>
    </xf>
    <xf numFmtId="0" fontId="30" fillId="0" borderId="0" xfId="120" applyFont="1" applyFill="1" applyAlignment="1">
      <alignment vertical="center"/>
    </xf>
    <xf numFmtId="0" fontId="31" fillId="0" borderId="10" xfId="120" applyFont="1" applyFill="1" applyBorder="1" applyAlignment="1">
      <alignment vertical="center"/>
    </xf>
    <xf numFmtId="0" fontId="30" fillId="0" borderId="10" xfId="120" applyFont="1" applyFill="1" applyBorder="1" applyAlignment="1">
      <alignment vertical="center"/>
    </xf>
    <xf numFmtId="0" fontId="33" fillId="0" borderId="0" xfId="120" applyFill="1" applyAlignment="1">
      <alignment horizontal="center" vertical="center" wrapText="1"/>
    </xf>
    <xf numFmtId="0" fontId="31" fillId="0" borderId="10" xfId="120" applyFont="1" applyFill="1" applyBorder="1" applyAlignment="1">
      <alignment horizontal="center" vertical="center"/>
    </xf>
    <xf numFmtId="167" fontId="31" fillId="0" borderId="10" xfId="120" applyNumberFormat="1" applyFont="1" applyFill="1" applyBorder="1" applyAlignment="1">
      <alignment horizontal="center" vertical="center" wrapText="1"/>
    </xf>
    <xf numFmtId="1" fontId="31" fillId="0" borderId="10" xfId="120" applyNumberFormat="1" applyFont="1" applyFill="1" applyBorder="1" applyAlignment="1">
      <alignment vertical="center"/>
    </xf>
    <xf numFmtId="166" fontId="31" fillId="0" borderId="10" xfId="120" applyNumberFormat="1" applyFont="1" applyFill="1" applyBorder="1" applyAlignment="1">
      <alignment vertical="center"/>
    </xf>
    <xf numFmtId="166" fontId="30" fillId="0" borderId="10" xfId="120" applyNumberFormat="1" applyFont="1" applyFill="1" applyBorder="1" applyAlignment="1">
      <alignment vertical="center"/>
    </xf>
    <xf numFmtId="2" fontId="31" fillId="0" borderId="10" xfId="120" applyNumberFormat="1" applyFont="1" applyFill="1" applyBorder="1" applyAlignment="1">
      <alignment vertical="center"/>
    </xf>
    <xf numFmtId="10" fontId="31" fillId="0" borderId="0" xfId="92" applyNumberFormat="1" applyFont="1" applyFill="1" applyBorder="1" applyAlignment="1">
      <alignment vertical="center"/>
    </xf>
    <xf numFmtId="2" fontId="31" fillId="0" borderId="0" xfId="104" applyNumberFormat="1" applyFont="1" applyFill="1" applyBorder="1" applyAlignment="1">
      <alignment vertical="center"/>
    </xf>
    <xf numFmtId="2" fontId="31" fillId="0" borderId="0" xfId="120" applyNumberFormat="1" applyFont="1" applyFill="1" applyAlignment="1">
      <alignment vertical="center"/>
    </xf>
    <xf numFmtId="166" fontId="33" fillId="0" borderId="0" xfId="120" applyNumberFormat="1" applyFill="1" applyAlignment="1">
      <alignment vertical="center"/>
    </xf>
    <xf numFmtId="0" fontId="31" fillId="0" borderId="10" xfId="120" applyFont="1" applyFill="1" applyBorder="1" applyAlignment="1">
      <alignment vertical="center" wrapText="1"/>
    </xf>
    <xf numFmtId="1" fontId="30" fillId="0" borderId="10" xfId="120" applyNumberFormat="1" applyFont="1" applyFill="1" applyBorder="1" applyAlignment="1">
      <alignment vertical="center"/>
    </xf>
    <xf numFmtId="0" fontId="31" fillId="0" borderId="10" xfId="120" applyFont="1" applyFill="1" applyBorder="1" applyAlignment="1">
      <alignment horizontal="left" vertical="center" wrapText="1"/>
    </xf>
    <xf numFmtId="0" fontId="31" fillId="0" borderId="0" xfId="120" applyFont="1" applyFill="1" applyAlignment="1">
      <alignment vertical="center" wrapText="1"/>
    </xf>
    <xf numFmtId="1" fontId="31" fillId="0" borderId="0" xfId="120" applyNumberFormat="1" applyFont="1" applyFill="1" applyAlignment="1">
      <alignment vertical="center"/>
    </xf>
    <xf numFmtId="2" fontId="30" fillId="0" borderId="10" xfId="120" applyNumberFormat="1" applyFont="1" applyFill="1" applyBorder="1" applyAlignment="1">
      <alignment vertical="center"/>
    </xf>
    <xf numFmtId="0" fontId="30" fillId="0" borderId="10" xfId="120" applyFont="1" applyFill="1" applyBorder="1" applyAlignment="1">
      <alignment vertical="center" wrapText="1"/>
    </xf>
    <xf numFmtId="0" fontId="31" fillId="0" borderId="3" xfId="120" applyFont="1" applyFill="1" applyBorder="1" applyAlignment="1">
      <alignment vertical="center"/>
    </xf>
    <xf numFmtId="0" fontId="32" fillId="0" borderId="10" xfId="120" applyFont="1" applyFill="1" applyBorder="1" applyAlignment="1">
      <alignment vertical="center" wrapText="1"/>
    </xf>
    <xf numFmtId="0" fontId="30" fillId="0" borderId="10" xfId="120" applyFont="1" applyFill="1" applyBorder="1" applyAlignment="1">
      <alignment horizontal="center" vertical="center"/>
    </xf>
    <xf numFmtId="0" fontId="29" fillId="0" borderId="10" xfId="120" applyFont="1" applyFill="1" applyBorder="1" applyAlignment="1">
      <alignment vertical="center" wrapText="1"/>
    </xf>
    <xf numFmtId="0" fontId="33" fillId="0" borderId="76" xfId="120" applyFill="1" applyBorder="1" applyAlignment="1">
      <alignment horizontal="center" vertical="center"/>
    </xf>
    <xf numFmtId="2" fontId="33" fillId="0" borderId="0" xfId="120" applyNumberFormat="1" applyFill="1" applyAlignment="1">
      <alignment vertical="center"/>
    </xf>
    <xf numFmtId="1" fontId="33" fillId="0" borderId="0" xfId="120" applyNumberFormat="1" applyFill="1" applyAlignment="1">
      <alignment vertical="center"/>
    </xf>
    <xf numFmtId="0" fontId="33" fillId="25" borderId="0" xfId="120"/>
    <xf numFmtId="0" fontId="30" fillId="0" borderId="0" xfId="120" applyFont="1" applyFill="1" applyAlignment="1">
      <alignment horizontal="left" vertical="center"/>
    </xf>
    <xf numFmtId="2" fontId="31" fillId="0" borderId="10" xfId="120" applyNumberFormat="1" applyFont="1" applyFill="1" applyBorder="1" applyAlignment="1">
      <alignment horizontal="center" vertical="center"/>
    </xf>
    <xf numFmtId="2" fontId="31" fillId="0" borderId="10" xfId="120" applyNumberFormat="1" applyFont="1" applyFill="1" applyBorder="1" applyAlignment="1">
      <alignment horizontal="center" vertical="center" wrapText="1"/>
    </xf>
    <xf numFmtId="0" fontId="33" fillId="0" borderId="10" xfId="120" applyFill="1" applyBorder="1" applyAlignment="1">
      <alignment vertical="center" wrapText="1"/>
    </xf>
    <xf numFmtId="165" fontId="161" fillId="0" borderId="0" xfId="0" applyNumberFormat="1" applyFont="1" applyAlignment="1">
      <alignment vertical="center" wrapText="1"/>
    </xf>
    <xf numFmtId="0" fontId="162" fillId="0" borderId="0" xfId="0" applyFont="1" applyAlignment="1">
      <alignment vertical="center" wrapText="1"/>
    </xf>
    <xf numFmtId="165" fontId="33" fillId="0" borderId="0" xfId="120" applyNumberFormat="1" applyFill="1" applyAlignment="1">
      <alignment vertical="center"/>
    </xf>
    <xf numFmtId="0" fontId="23" fillId="0" borderId="0" xfId="120" applyFont="1" applyFill="1" applyAlignment="1">
      <alignment vertical="center"/>
    </xf>
    <xf numFmtId="0" fontId="30" fillId="0" borderId="0" xfId="120" applyFont="1" applyFill="1"/>
    <xf numFmtId="0" fontId="31" fillId="0" borderId="0" xfId="120" applyFont="1" applyFill="1"/>
    <xf numFmtId="0" fontId="33" fillId="0" borderId="0" xfId="120" applyFill="1"/>
    <xf numFmtId="0" fontId="22" fillId="0" borderId="0" xfId="120" applyFont="1" applyFill="1" applyAlignment="1">
      <alignment horizontal="right"/>
    </xf>
    <xf numFmtId="0" fontId="22" fillId="0" borderId="0" xfId="120" applyFont="1" applyFill="1"/>
    <xf numFmtId="1" fontId="31" fillId="0" borderId="0" xfId="120" applyNumberFormat="1" applyFont="1" applyFill="1"/>
    <xf numFmtId="0" fontId="32" fillId="0" borderId="0" xfId="120" applyFont="1" applyFill="1"/>
    <xf numFmtId="0" fontId="112" fillId="0" borderId="0" xfId="120" applyFont="1" applyFill="1"/>
    <xf numFmtId="0" fontId="30" fillId="0" borderId="0" xfId="120" applyFont="1" applyFill="1" applyAlignment="1">
      <alignment horizontal="left"/>
    </xf>
    <xf numFmtId="0" fontId="33" fillId="0" borderId="31" xfId="120" applyFill="1" applyBorder="1"/>
    <xf numFmtId="0" fontId="51" fillId="0" borderId="10" xfId="120" applyFont="1" applyFill="1" applyBorder="1" applyAlignment="1">
      <alignment horizontal="center" vertical="center" wrapText="1"/>
    </xf>
    <xf numFmtId="0" fontId="31" fillId="0" borderId="10" xfId="120" applyFont="1" applyFill="1" applyBorder="1" applyAlignment="1">
      <alignment horizontal="center"/>
    </xf>
    <xf numFmtId="0" fontId="31" fillId="0" borderId="10" xfId="120" applyFont="1" applyFill="1" applyBorder="1"/>
    <xf numFmtId="0" fontId="33" fillId="0" borderId="10" xfId="120" applyFill="1" applyBorder="1"/>
    <xf numFmtId="167" fontId="31" fillId="0" borderId="10" xfId="120" applyNumberFormat="1" applyFont="1" applyFill="1" applyBorder="1" applyAlignment="1">
      <alignment horizontal="center"/>
    </xf>
    <xf numFmtId="2" fontId="33" fillId="0" borderId="0" xfId="120" applyNumberFormat="1" applyFill="1"/>
    <xf numFmtId="0" fontId="30" fillId="0" borderId="10" xfId="120" applyFont="1" applyFill="1" applyBorder="1"/>
    <xf numFmtId="0" fontId="31" fillId="0" borderId="0" xfId="120" applyFont="1" applyFill="1" applyAlignment="1">
      <alignment horizontal="center"/>
    </xf>
    <xf numFmtId="0" fontId="33" fillId="0" borderId="0" xfId="120" applyFill="1" applyAlignment="1">
      <alignment horizontal="center"/>
    </xf>
    <xf numFmtId="0" fontId="29" fillId="0" borderId="0" xfId="120" applyFont="1" applyFill="1"/>
    <xf numFmtId="0" fontId="21" fillId="0" borderId="0" xfId="120" applyFont="1" applyFill="1" applyAlignment="1">
      <alignment horizontal="left"/>
    </xf>
    <xf numFmtId="0" fontId="21" fillId="0" borderId="10" xfId="120" applyFont="1" applyFill="1" applyBorder="1" applyAlignment="1">
      <alignment horizontal="center" vertical="center" wrapText="1"/>
    </xf>
    <xf numFmtId="0" fontId="25" fillId="0" borderId="10" xfId="120" applyFont="1" applyFill="1" applyBorder="1" applyAlignment="1">
      <alignment horizontal="center" vertical="center" wrapText="1"/>
    </xf>
    <xf numFmtId="0" fontId="20" fillId="0" borderId="0" xfId="120" applyFont="1" applyFill="1" applyAlignment="1">
      <alignment horizontal="center" vertical="center" wrapText="1"/>
    </xf>
    <xf numFmtId="166" fontId="21" fillId="0" borderId="10" xfId="120" applyNumberFormat="1" applyFont="1" applyFill="1" applyBorder="1" applyAlignment="1">
      <alignment horizontal="center" vertical="center" wrapText="1"/>
    </xf>
    <xf numFmtId="166" fontId="25" fillId="0" borderId="10" xfId="120" applyNumberFormat="1" applyFont="1" applyFill="1" applyBorder="1" applyAlignment="1">
      <alignment horizontal="center" vertical="center" wrapText="1"/>
    </xf>
    <xf numFmtId="166" fontId="20" fillId="0" borderId="10" xfId="120" applyNumberFormat="1" applyFont="1" applyFill="1" applyBorder="1" applyAlignment="1">
      <alignment horizontal="center" vertical="center" wrapText="1"/>
    </xf>
    <xf numFmtId="1" fontId="21" fillId="0" borderId="10" xfId="120" applyNumberFormat="1" applyFont="1" applyFill="1" applyBorder="1" applyAlignment="1">
      <alignment horizontal="center" vertical="center" wrapText="1"/>
    </xf>
    <xf numFmtId="0" fontId="33" fillId="0" borderId="0" xfId="120" applyFill="1" applyAlignment="1">
      <alignment horizontal="right" vertical="center"/>
    </xf>
    <xf numFmtId="0" fontId="51" fillId="0" borderId="0" xfId="120" applyFont="1" applyFill="1" applyAlignment="1">
      <alignment vertical="center"/>
    </xf>
    <xf numFmtId="0" fontId="114" fillId="0" borderId="0" xfId="120" applyFont="1" applyFill="1" applyAlignment="1">
      <alignment horizontal="centerContinuous" vertical="center"/>
    </xf>
    <xf numFmtId="0" fontId="115" fillId="0" borderId="0" xfId="120" applyFont="1" applyFill="1" applyAlignment="1">
      <alignment vertical="center"/>
    </xf>
    <xf numFmtId="0" fontId="116" fillId="0" borderId="0" xfId="120" applyFont="1" applyFill="1" applyAlignment="1">
      <alignment horizontal="centerContinuous" vertical="center"/>
    </xf>
    <xf numFmtId="0" fontId="34" fillId="0" borderId="43" xfId="120" applyFont="1" applyFill="1" applyBorder="1" applyAlignment="1">
      <alignment horizontal="center" vertical="center"/>
    </xf>
    <xf numFmtId="0" fontId="34" fillId="0" borderId="92" xfId="120" applyFont="1" applyFill="1" applyBorder="1" applyAlignment="1">
      <alignment horizontal="center" vertical="center"/>
    </xf>
    <xf numFmtId="0" fontId="34" fillId="0" borderId="81" xfId="120" applyFont="1" applyFill="1" applyBorder="1" applyAlignment="1">
      <alignment horizontal="center" vertical="center"/>
    </xf>
    <xf numFmtId="0" fontId="113" fillId="0" borderId="93" xfId="120" applyFont="1" applyFill="1" applyBorder="1" applyAlignment="1">
      <alignment horizontal="center" vertical="center"/>
    </xf>
    <xf numFmtId="0" fontId="34" fillId="0" borderId="93" xfId="120" applyFont="1" applyFill="1" applyBorder="1" applyAlignment="1">
      <alignment horizontal="left" vertical="center"/>
    </xf>
    <xf numFmtId="0" fontId="34" fillId="0" borderId="94" xfId="120" applyFont="1" applyFill="1" applyBorder="1" applyAlignment="1">
      <alignment horizontal="center" vertical="center"/>
    </xf>
    <xf numFmtId="0" fontId="34" fillId="0" borderId="55" xfId="120" applyFont="1" applyFill="1" applyBorder="1" applyAlignment="1">
      <alignment horizontal="center" vertical="center"/>
    </xf>
    <xf numFmtId="0" fontId="34" fillId="0" borderId="3" xfId="120" applyFont="1" applyFill="1" applyBorder="1" applyAlignment="1">
      <alignment horizontal="center" vertical="center"/>
    </xf>
    <xf numFmtId="0" fontId="113" fillId="0" borderId="76" xfId="120" applyFont="1" applyFill="1" applyBorder="1" applyAlignment="1">
      <alignment horizontal="center" vertical="center"/>
    </xf>
    <xf numFmtId="0" fontId="34" fillId="0" borderId="79" xfId="120" applyFont="1" applyFill="1" applyBorder="1" applyAlignment="1">
      <alignment horizontal="center" vertical="center"/>
    </xf>
    <xf numFmtId="0" fontId="34" fillId="0" borderId="77" xfId="120" applyFont="1" applyFill="1" applyBorder="1" applyAlignment="1">
      <alignment horizontal="center" vertical="center"/>
    </xf>
    <xf numFmtId="0" fontId="34" fillId="0" borderId="76" xfId="120" applyFont="1" applyFill="1" applyBorder="1" applyAlignment="1">
      <alignment horizontal="center" vertical="center"/>
    </xf>
    <xf numFmtId="0" fontId="34" fillId="0" borderId="0" xfId="120" applyFont="1" applyFill="1" applyAlignment="1">
      <alignment horizontal="center" vertical="center"/>
    </xf>
    <xf numFmtId="0" fontId="61" fillId="0" borderId="0" xfId="120" applyFont="1" applyFill="1" applyAlignment="1">
      <alignment vertical="center"/>
    </xf>
    <xf numFmtId="0" fontId="34" fillId="0" borderId="0" xfId="120" applyFont="1" applyFill="1" applyAlignment="1">
      <alignment vertical="center"/>
    </xf>
    <xf numFmtId="0" fontId="34" fillId="0" borderId="55" xfId="120" applyFont="1" applyFill="1" applyBorder="1" applyAlignment="1">
      <alignment vertical="center"/>
    </xf>
    <xf numFmtId="0" fontId="34" fillId="0" borderId="98" xfId="120" applyFont="1" applyFill="1" applyBorder="1" applyAlignment="1">
      <alignment horizontal="center" vertical="center"/>
    </xf>
    <xf numFmtId="0" fontId="34" fillId="0" borderId="95" xfId="120" applyFont="1" applyFill="1" applyBorder="1" applyAlignment="1">
      <alignment horizontal="center" vertical="center"/>
    </xf>
    <xf numFmtId="0" fontId="34" fillId="0" borderId="97" xfId="120" applyFont="1" applyFill="1" applyBorder="1" applyAlignment="1">
      <alignment horizontal="center" vertical="center"/>
    </xf>
    <xf numFmtId="0" fontId="34" fillId="0" borderId="96" xfId="120" applyFont="1" applyFill="1" applyBorder="1" applyAlignment="1">
      <alignment horizontal="center" vertical="center"/>
    </xf>
    <xf numFmtId="0" fontId="33" fillId="0" borderId="10" xfId="120" applyFill="1" applyBorder="1" applyAlignment="1">
      <alignment horizontal="right" vertical="center"/>
    </xf>
    <xf numFmtId="0" fontId="47" fillId="0" borderId="10" xfId="120" applyFont="1" applyFill="1" applyBorder="1" applyAlignment="1">
      <alignment horizontal="right" vertical="center"/>
    </xf>
    <xf numFmtId="166" fontId="33" fillId="0" borderId="10" xfId="120" applyNumberFormat="1" applyFill="1" applyBorder="1" applyAlignment="1">
      <alignment horizontal="right" vertical="center"/>
    </xf>
    <xf numFmtId="2" fontId="33" fillId="0" borderId="10" xfId="120" applyNumberFormat="1" applyFill="1" applyBorder="1" applyAlignment="1">
      <alignment horizontal="right" vertical="center"/>
    </xf>
    <xf numFmtId="1" fontId="33" fillId="0" borderId="10" xfId="120" applyNumberFormat="1" applyFill="1" applyBorder="1" applyAlignment="1">
      <alignment horizontal="right" vertical="center"/>
    </xf>
    <xf numFmtId="166" fontId="22" fillId="0" borderId="10" xfId="120" applyNumberFormat="1" applyFont="1" applyFill="1" applyBorder="1" applyAlignment="1">
      <alignment horizontal="right" vertical="center"/>
    </xf>
    <xf numFmtId="1" fontId="22" fillId="0" borderId="10" xfId="120" applyNumberFormat="1" applyFont="1" applyFill="1" applyBorder="1" applyAlignment="1">
      <alignment horizontal="right" vertical="center"/>
    </xf>
    <xf numFmtId="0" fontId="22" fillId="0" borderId="10" xfId="120" applyFont="1" applyFill="1" applyBorder="1" applyAlignment="1">
      <alignment horizontal="right" vertical="center"/>
    </xf>
    <xf numFmtId="2" fontId="22" fillId="0" borderId="10" xfId="120" applyNumberFormat="1" applyFont="1" applyFill="1" applyBorder="1" applyAlignment="1">
      <alignment horizontal="right" vertical="center"/>
    </xf>
    <xf numFmtId="2" fontId="47" fillId="0" borderId="10" xfId="120" applyNumberFormat="1" applyFont="1" applyFill="1" applyBorder="1" applyAlignment="1">
      <alignment horizontal="right" vertical="center"/>
    </xf>
    <xf numFmtId="9" fontId="33" fillId="0" borderId="10" xfId="120" applyNumberFormat="1" applyFill="1" applyBorder="1" applyAlignment="1">
      <alignment horizontal="right" vertical="center"/>
    </xf>
    <xf numFmtId="2" fontId="41" fillId="0" borderId="10" xfId="120" applyNumberFormat="1" applyFont="1" applyFill="1" applyBorder="1" applyAlignment="1">
      <alignment horizontal="right" vertical="center"/>
    </xf>
    <xf numFmtId="169" fontId="33" fillId="0" borderId="10" xfId="120" applyNumberFormat="1" applyFill="1" applyBorder="1" applyAlignment="1">
      <alignment horizontal="right" vertical="center"/>
    </xf>
    <xf numFmtId="0" fontId="33" fillId="0" borderId="0" xfId="120" applyFill="1" applyAlignment="1">
      <alignment horizontal="right"/>
    </xf>
    <xf numFmtId="0" fontId="51" fillId="0" borderId="0" xfId="120" applyFont="1" applyFill="1"/>
    <xf numFmtId="0" fontId="114" fillId="0" borderId="0" xfId="120" applyFont="1" applyFill="1" applyAlignment="1">
      <alignment horizontal="centerContinuous"/>
    </xf>
    <xf numFmtId="0" fontId="115" fillId="0" borderId="0" xfId="120" applyFont="1" applyFill="1"/>
    <xf numFmtId="0" fontId="33" fillId="0" borderId="0" xfId="120" applyFill="1" applyAlignment="1">
      <alignment horizontal="centerContinuous"/>
    </xf>
    <xf numFmtId="0" fontId="34" fillId="0" borderId="57" xfId="120" applyFont="1" applyFill="1" applyBorder="1" applyAlignment="1">
      <alignment horizontal="center"/>
    </xf>
    <xf numFmtId="0" fontId="34" fillId="0" borderId="81" xfId="120" applyFont="1" applyFill="1" applyBorder="1" applyAlignment="1">
      <alignment horizontal="center"/>
    </xf>
    <xf numFmtId="0" fontId="113" fillId="0" borderId="93" xfId="120" applyFont="1" applyFill="1" applyBorder="1" applyAlignment="1">
      <alignment horizontal="center"/>
    </xf>
    <xf numFmtId="0" fontId="34" fillId="0" borderId="93" xfId="120" applyFont="1" applyFill="1" applyBorder="1" applyAlignment="1">
      <alignment horizontal="left"/>
    </xf>
    <xf numFmtId="0" fontId="34" fillId="0" borderId="92" xfId="120" applyFont="1" applyFill="1" applyBorder="1" applyAlignment="1">
      <alignment horizontal="center"/>
    </xf>
    <xf numFmtId="0" fontId="34" fillId="0" borderId="43" xfId="120" applyFont="1" applyFill="1" applyBorder="1" applyAlignment="1">
      <alignment horizontal="center"/>
    </xf>
    <xf numFmtId="0" fontId="34" fillId="0" borderId="94" xfId="120" applyFont="1" applyFill="1" applyBorder="1" applyAlignment="1">
      <alignment horizontal="center"/>
    </xf>
    <xf numFmtId="0" fontId="113" fillId="0" borderId="76" xfId="120" applyFont="1" applyFill="1" applyBorder="1" applyAlignment="1">
      <alignment horizontal="center"/>
    </xf>
    <xf numFmtId="0" fontId="34" fillId="0" borderId="79" xfId="120" applyFont="1" applyFill="1" applyBorder="1" applyAlignment="1">
      <alignment horizontal="center"/>
    </xf>
    <xf numFmtId="0" fontId="34" fillId="0" borderId="77" xfId="120" applyFont="1" applyFill="1" applyBorder="1" applyAlignment="1">
      <alignment horizontal="center"/>
    </xf>
    <xf numFmtId="0" fontId="34" fillId="0" borderId="3" xfId="120" applyFont="1" applyFill="1" applyBorder="1" applyAlignment="1">
      <alignment horizontal="center"/>
    </xf>
    <xf numFmtId="0" fontId="34" fillId="0" borderId="76" xfId="120" applyFont="1" applyFill="1" applyBorder="1" applyAlignment="1">
      <alignment horizontal="center"/>
    </xf>
    <xf numFmtId="0" fontId="34" fillId="0" borderId="55" xfId="120" applyFont="1" applyFill="1" applyBorder="1" applyAlignment="1">
      <alignment horizontal="center"/>
    </xf>
    <xf numFmtId="0" fontId="34" fillId="0" borderId="0" xfId="120" applyFont="1" applyFill="1" applyAlignment="1">
      <alignment horizontal="center"/>
    </xf>
    <xf numFmtId="0" fontId="61" fillId="0" borderId="0" xfId="120" applyFont="1" applyFill="1"/>
    <xf numFmtId="0" fontId="34" fillId="0" borderId="0" xfId="120" applyFont="1" applyFill="1"/>
    <xf numFmtId="0" fontId="34" fillId="0" borderId="55" xfId="120" applyFont="1" applyFill="1" applyBorder="1"/>
    <xf numFmtId="0" fontId="34" fillId="0" borderId="95" xfId="120" applyFont="1" applyFill="1" applyBorder="1" applyAlignment="1">
      <alignment horizontal="center"/>
    </xf>
    <xf numFmtId="0" fontId="34" fillId="0" borderId="97" xfId="120" applyFont="1" applyFill="1" applyBorder="1" applyAlignment="1">
      <alignment horizontal="center"/>
    </xf>
    <xf numFmtId="0" fontId="34" fillId="0" borderId="98" xfId="120" applyFont="1" applyFill="1" applyBorder="1" applyAlignment="1">
      <alignment horizontal="center"/>
    </xf>
    <xf numFmtId="0" fontId="34" fillId="0" borderId="96" xfId="120" applyFont="1" applyFill="1" applyBorder="1" applyAlignment="1">
      <alignment horizontal="center"/>
    </xf>
    <xf numFmtId="0" fontId="25" fillId="0" borderId="10" xfId="120" applyFont="1" applyFill="1" applyBorder="1" applyAlignment="1">
      <alignment horizontal="center"/>
    </xf>
    <xf numFmtId="0" fontId="33" fillId="0" borderId="10" xfId="120" applyFill="1" applyBorder="1" applyAlignment="1">
      <alignment horizontal="center"/>
    </xf>
    <xf numFmtId="0" fontId="47" fillId="0" borderId="10" xfId="120" applyFont="1" applyFill="1" applyBorder="1"/>
    <xf numFmtId="166" fontId="33" fillId="0" borderId="10" xfId="120" applyNumberFormat="1" applyFill="1" applyBorder="1" applyAlignment="1">
      <alignment horizontal="right"/>
    </xf>
    <xf numFmtId="2" fontId="33" fillId="0" borderId="10" xfId="120" applyNumberFormat="1" applyFill="1" applyBorder="1"/>
    <xf numFmtId="1" fontId="33" fillId="0" borderId="10" xfId="120" applyNumberFormat="1" applyFill="1" applyBorder="1" applyAlignment="1">
      <alignment horizontal="center"/>
    </xf>
    <xf numFmtId="166" fontId="22" fillId="0" borderId="10" xfId="120" applyNumberFormat="1" applyFont="1" applyFill="1" applyBorder="1" applyAlignment="1">
      <alignment horizontal="right"/>
    </xf>
    <xf numFmtId="0" fontId="22" fillId="0" borderId="10" xfId="120" applyFont="1" applyFill="1" applyBorder="1"/>
    <xf numFmtId="2" fontId="22" fillId="0" borderId="10" xfId="120" applyNumberFormat="1" applyFont="1" applyFill="1" applyBorder="1"/>
    <xf numFmtId="1" fontId="22" fillId="0" borderId="10" xfId="120" applyNumberFormat="1" applyFont="1" applyFill="1" applyBorder="1" applyAlignment="1">
      <alignment horizontal="right"/>
    </xf>
    <xf numFmtId="1" fontId="22" fillId="0" borderId="10" xfId="120" applyNumberFormat="1" applyFont="1" applyFill="1" applyBorder="1" applyAlignment="1">
      <alignment horizontal="center"/>
    </xf>
    <xf numFmtId="2" fontId="22" fillId="0" borderId="10" xfId="120" applyNumberFormat="1" applyFont="1" applyFill="1" applyBorder="1" applyAlignment="1">
      <alignment horizontal="right"/>
    </xf>
    <xf numFmtId="1" fontId="33" fillId="0" borderId="10" xfId="120" applyNumberFormat="1" applyFill="1" applyBorder="1" applyAlignment="1">
      <alignment horizontal="right"/>
    </xf>
    <xf numFmtId="0" fontId="47" fillId="0" borderId="0" xfId="120" applyFont="1" applyFill="1"/>
    <xf numFmtId="0" fontId="67" fillId="0" borderId="0" xfId="120" applyFont="1" applyFill="1"/>
    <xf numFmtId="0" fontId="47" fillId="0" borderId="0" xfId="120" applyFont="1" applyFill="1" applyAlignment="1">
      <alignment horizontal="right"/>
    </xf>
    <xf numFmtId="0" fontId="28" fillId="0" borderId="0" xfId="120" applyFont="1" applyFill="1" applyAlignment="1">
      <alignment horizontal="centerContinuous"/>
    </xf>
    <xf numFmtId="0" fontId="117" fillId="0" borderId="0" xfId="120" applyFont="1" applyFill="1"/>
    <xf numFmtId="0" fontId="33" fillId="0" borderId="78" xfId="120" applyFill="1" applyBorder="1"/>
    <xf numFmtId="9" fontId="33" fillId="0" borderId="0" xfId="92" applyFont="1" applyFill="1"/>
    <xf numFmtId="0" fontId="34" fillId="0" borderId="93" xfId="120" applyFont="1" applyFill="1" applyBorder="1" applyAlignment="1">
      <alignment horizontal="center"/>
    </xf>
    <xf numFmtId="0" fontId="76" fillId="0" borderId="10" xfId="120" applyFont="1" applyFill="1" applyBorder="1" applyAlignment="1">
      <alignment horizontal="right"/>
    </xf>
    <xf numFmtId="0" fontId="33" fillId="0" borderId="10" xfId="120" applyFill="1" applyBorder="1" applyAlignment="1">
      <alignment horizontal="right"/>
    </xf>
    <xf numFmtId="166" fontId="51" fillId="0" borderId="10" xfId="120" applyNumberFormat="1" applyFont="1" applyFill="1" applyBorder="1" applyAlignment="1">
      <alignment horizontal="right"/>
    </xf>
    <xf numFmtId="0" fontId="51" fillId="0" borderId="10" xfId="120" applyFont="1" applyFill="1" applyBorder="1" applyAlignment="1">
      <alignment horizontal="right"/>
    </xf>
    <xf numFmtId="1" fontId="51" fillId="0" borderId="10" xfId="120" applyNumberFormat="1" applyFont="1" applyFill="1" applyBorder="1" applyAlignment="1">
      <alignment horizontal="right"/>
    </xf>
    <xf numFmtId="2" fontId="51" fillId="0" borderId="10" xfId="120" applyNumberFormat="1" applyFont="1" applyFill="1" applyBorder="1" applyAlignment="1">
      <alignment horizontal="right"/>
    </xf>
    <xf numFmtId="2" fontId="33" fillId="0" borderId="10" xfId="120" applyNumberFormat="1" applyFill="1" applyBorder="1" applyAlignment="1">
      <alignment horizontal="right"/>
    </xf>
    <xf numFmtId="0" fontId="47" fillId="0" borderId="10" xfId="120" applyFont="1" applyFill="1" applyBorder="1" applyAlignment="1">
      <alignment horizontal="right"/>
    </xf>
    <xf numFmtId="2" fontId="29" fillId="0" borderId="10" xfId="120" applyNumberFormat="1" applyFont="1" applyFill="1" applyBorder="1" applyAlignment="1">
      <alignment horizontal="right"/>
    </xf>
    <xf numFmtId="0" fontId="29" fillId="0" borderId="10" xfId="120" applyFont="1" applyFill="1" applyBorder="1" applyAlignment="1">
      <alignment horizontal="right"/>
    </xf>
    <xf numFmtId="166" fontId="29" fillId="0" borderId="10" xfId="120" applyNumberFormat="1" applyFont="1" applyFill="1" applyBorder="1" applyAlignment="1">
      <alignment horizontal="right"/>
    </xf>
    <xf numFmtId="1" fontId="29" fillId="0" borderId="10" xfId="120" applyNumberFormat="1" applyFont="1" applyFill="1" applyBorder="1" applyAlignment="1">
      <alignment horizontal="right"/>
    </xf>
    <xf numFmtId="166" fontId="33" fillId="0" borderId="0" xfId="120" applyNumberFormat="1" applyFill="1"/>
    <xf numFmtId="166" fontId="153" fillId="0" borderId="0" xfId="120" applyNumberFormat="1" applyFont="1" applyFill="1"/>
    <xf numFmtId="10" fontId="141" fillId="0" borderId="10" xfId="118" applyNumberFormat="1" applyFont="1" applyBorder="1" applyAlignment="1">
      <alignment horizontal="center" vertical="center"/>
    </xf>
    <xf numFmtId="0" fontId="25" fillId="0" borderId="0" xfId="121" applyFont="1" applyFill="1" applyAlignment="1">
      <alignment vertical="center"/>
    </xf>
    <xf numFmtId="10" fontId="21" fillId="0" borderId="10" xfId="104" applyNumberFormat="1" applyFont="1" applyBorder="1" applyAlignment="1">
      <alignment horizontal="center" vertical="center"/>
    </xf>
    <xf numFmtId="0" fontId="150" fillId="0" borderId="0" xfId="78" applyFont="1" applyAlignment="1">
      <alignment vertical="center" wrapText="1"/>
    </xf>
    <xf numFmtId="0" fontId="152" fillId="0" borderId="0" xfId="78" applyFont="1"/>
    <xf numFmtId="0" fontId="151" fillId="0" borderId="10" xfId="78" applyFont="1" applyBorder="1" applyAlignment="1">
      <alignment horizontal="center" vertical="center" wrapText="1"/>
    </xf>
    <xf numFmtId="0" fontId="151" fillId="0" borderId="10" xfId="78" applyFont="1" applyBorder="1" applyAlignment="1">
      <alignment vertical="center"/>
    </xf>
    <xf numFmtId="0" fontId="152" fillId="0" borderId="10" xfId="78" applyFont="1" applyBorder="1" applyAlignment="1">
      <alignment horizontal="center" vertical="center" wrapText="1"/>
    </xf>
    <xf numFmtId="0" fontId="152" fillId="0" borderId="10" xfId="78" applyFont="1" applyBorder="1"/>
    <xf numFmtId="0" fontId="151" fillId="0" borderId="10" xfId="78" applyFont="1" applyBorder="1"/>
    <xf numFmtId="0" fontId="20" fillId="0" borderId="0" xfId="78"/>
    <xf numFmtId="0" fontId="33" fillId="0" borderId="0" xfId="121" applyFill="1" applyAlignment="1">
      <alignment vertical="center" wrapText="1"/>
    </xf>
    <xf numFmtId="0" fontId="21" fillId="0" borderId="0" xfId="121" applyFont="1" applyFill="1" applyAlignment="1">
      <alignment horizontal="right" vertical="center" wrapText="1"/>
    </xf>
    <xf numFmtId="0" fontId="26" fillId="0" borderId="0" xfId="121" applyFont="1" applyFill="1" applyAlignment="1">
      <alignment vertical="center" wrapText="1"/>
    </xf>
    <xf numFmtId="0" fontId="142" fillId="0" borderId="0" xfId="121" applyFont="1" applyFill="1" applyAlignment="1">
      <alignment horizontal="centerContinuous" vertical="center" wrapText="1"/>
    </xf>
    <xf numFmtId="0" fontId="33" fillId="0" borderId="0" xfId="121" applyFill="1" applyAlignment="1">
      <alignment horizontal="center" vertical="center" wrapText="1"/>
    </xf>
    <xf numFmtId="0" fontId="30" fillId="0" borderId="43" xfId="121" applyFont="1" applyFill="1" applyBorder="1" applyAlignment="1">
      <alignment horizontal="center" vertical="center" wrapText="1"/>
    </xf>
    <xf numFmtId="0" fontId="30" fillId="0" borderId="92" xfId="121" applyFont="1" applyFill="1" applyBorder="1" applyAlignment="1">
      <alignment horizontal="centerContinuous" vertical="center" wrapText="1"/>
    </xf>
    <xf numFmtId="0" fontId="33" fillId="0" borderId="68" xfId="121" applyFill="1" applyBorder="1" applyAlignment="1">
      <alignment vertical="center" wrapText="1"/>
    </xf>
    <xf numFmtId="0" fontId="22" fillId="0" borderId="25" xfId="121" applyFont="1" applyFill="1" applyBorder="1" applyAlignment="1">
      <alignment horizontal="center" vertical="center" wrapText="1"/>
    </xf>
    <xf numFmtId="0" fontId="29" fillId="0" borderId="10" xfId="121" applyFont="1" applyFill="1" applyBorder="1" applyAlignment="1">
      <alignment horizontal="centerContinuous" vertical="center" wrapText="1"/>
    </xf>
    <xf numFmtId="0" fontId="33" fillId="0" borderId="10" xfId="121" applyFill="1" applyBorder="1" applyAlignment="1">
      <alignment horizontal="centerContinuous" vertical="center" wrapText="1"/>
    </xf>
    <xf numFmtId="0" fontId="22" fillId="0" borderId="90" xfId="121" applyFont="1" applyFill="1" applyBorder="1" applyAlignment="1">
      <alignment vertical="center" wrapText="1"/>
    </xf>
    <xf numFmtId="0" fontId="33" fillId="0" borderId="10" xfId="121" applyFill="1" applyBorder="1" applyAlignment="1">
      <alignment vertical="center"/>
    </xf>
    <xf numFmtId="0" fontId="33" fillId="0" borderId="0" xfId="121" applyFill="1" applyAlignment="1">
      <alignment vertical="center"/>
    </xf>
    <xf numFmtId="0" fontId="22" fillId="0" borderId="10" xfId="121" applyFont="1" applyFill="1" applyBorder="1" applyAlignment="1">
      <alignment horizontal="center" vertical="center"/>
    </xf>
    <xf numFmtId="0" fontId="33" fillId="0" borderId="0" xfId="121" applyFill="1" applyAlignment="1">
      <alignment horizontal="center" vertical="center"/>
    </xf>
    <xf numFmtId="0" fontId="98" fillId="0" borderId="0" xfId="121" applyFont="1" applyFill="1" applyAlignment="1">
      <alignment vertical="center" wrapText="1"/>
    </xf>
    <xf numFmtId="166" fontId="98" fillId="0" borderId="0" xfId="121" applyNumberFormat="1" applyFont="1" applyFill="1" applyAlignment="1">
      <alignment vertical="center" wrapText="1"/>
    </xf>
    <xf numFmtId="2" fontId="98" fillId="0" borderId="0" xfId="121" applyNumberFormat="1" applyFont="1" applyFill="1" applyAlignment="1">
      <alignment vertical="center" wrapText="1"/>
    </xf>
    <xf numFmtId="0" fontId="132" fillId="0" borderId="0" xfId="121" applyFont="1" applyFill="1" applyAlignment="1">
      <alignment vertical="center" wrapText="1"/>
    </xf>
    <xf numFmtId="0" fontId="132" fillId="25" borderId="0" xfId="121" applyFont="1" applyAlignment="1">
      <alignment vertical="center" wrapText="1"/>
    </xf>
    <xf numFmtId="43" fontId="132" fillId="0" borderId="0" xfId="122" applyFont="1" applyBorder="1" applyAlignment="1">
      <alignment vertical="center" wrapText="1"/>
    </xf>
    <xf numFmtId="43" fontId="132" fillId="0" borderId="0" xfId="122" applyFont="1" applyFill="1" applyBorder="1" applyAlignment="1">
      <alignment vertical="center" wrapText="1"/>
    </xf>
    <xf numFmtId="0" fontId="21" fillId="0" borderId="0" xfId="121" applyFont="1" applyFill="1" applyAlignment="1">
      <alignment horizontal="right" vertical="center"/>
    </xf>
    <xf numFmtId="0" fontId="26" fillId="0" borderId="0" xfId="121" applyFont="1" applyFill="1" applyAlignment="1">
      <alignment vertical="center"/>
    </xf>
    <xf numFmtId="0" fontId="22" fillId="0" borderId="10" xfId="121" applyFont="1" applyFill="1" applyBorder="1" applyAlignment="1">
      <alignment vertical="center"/>
    </xf>
    <xf numFmtId="0" fontId="22" fillId="0" borderId="0" xfId="121" applyFont="1" applyFill="1" applyAlignment="1">
      <alignment vertical="center"/>
    </xf>
    <xf numFmtId="0" fontId="33" fillId="0" borderId="10" xfId="121" applyFill="1" applyBorder="1" applyAlignment="1">
      <alignment horizontal="center" vertical="center" wrapText="1"/>
    </xf>
    <xf numFmtId="0" fontId="22" fillId="0" borderId="0" xfId="121" applyFont="1" applyFill="1" applyAlignment="1">
      <alignment horizontal="left" vertical="center" wrapText="1"/>
    </xf>
    <xf numFmtId="0" fontId="33" fillId="0" borderId="10" xfId="121" applyFill="1" applyBorder="1" applyAlignment="1">
      <alignment horizontal="right" vertical="center"/>
    </xf>
    <xf numFmtId="1" fontId="22" fillId="0" borderId="10" xfId="121" applyNumberFormat="1" applyFont="1" applyFill="1" applyBorder="1" applyAlignment="1">
      <alignment vertical="center"/>
    </xf>
    <xf numFmtId="2" fontId="21" fillId="0" borderId="10" xfId="78" applyNumberFormat="1" applyFont="1" applyBorder="1"/>
    <xf numFmtId="0" fontId="20" fillId="0" borderId="10" xfId="0" applyFont="1" applyBorder="1" applyAlignment="1">
      <alignment wrapText="1"/>
    </xf>
    <xf numFmtId="9" fontId="20" fillId="0" borderId="10" xfId="0" applyNumberFormat="1" applyFont="1" applyBorder="1" applyAlignment="1">
      <alignment horizontal="center" wrapText="1"/>
    </xf>
    <xf numFmtId="0" fontId="20" fillId="0" borderId="10" xfId="0" applyFont="1" applyBorder="1" applyAlignment="1">
      <alignment horizontal="center" wrapText="1"/>
    </xf>
    <xf numFmtId="2" fontId="20" fillId="0" borderId="10" xfId="0" applyNumberFormat="1" applyFont="1" applyBorder="1" applyAlignment="1">
      <alignment horizontal="right" wrapText="1"/>
    </xf>
    <xf numFmtId="2" fontId="21" fillId="0" borderId="10" xfId="0" applyNumberFormat="1" applyFont="1" applyBorder="1" applyAlignment="1">
      <alignment horizontal="right" wrapText="1"/>
    </xf>
    <xf numFmtId="2" fontId="163" fillId="0" borderId="10" xfId="0" applyNumberFormat="1" applyFont="1" applyBorder="1" applyAlignment="1">
      <alignment wrapText="1"/>
    </xf>
    <xf numFmtId="0" fontId="165" fillId="0" borderId="0" xfId="0" applyFont="1"/>
    <xf numFmtId="2" fontId="165" fillId="0" borderId="0" xfId="0" applyNumberFormat="1" applyFont="1"/>
    <xf numFmtId="0" fontId="20" fillId="0" borderId="18" xfId="0" applyFont="1" applyBorder="1"/>
    <xf numFmtId="0" fontId="21" fillId="0" borderId="18" xfId="0" applyFont="1" applyBorder="1" applyAlignment="1">
      <alignment horizontal="center"/>
    </xf>
    <xf numFmtId="10" fontId="20" fillId="0" borderId="10" xfId="104" applyNumberFormat="1" applyFont="1" applyBorder="1" applyAlignment="1">
      <alignment horizontal="center" vertical="center"/>
    </xf>
    <xf numFmtId="0" fontId="22" fillId="0" borderId="10" xfId="121" applyFont="1" applyFill="1" applyBorder="1" applyAlignment="1">
      <alignment horizontal="center" vertical="center" wrapText="1"/>
    </xf>
    <xf numFmtId="0" fontId="33" fillId="0" borderId="101" xfId="121" applyFill="1" applyBorder="1" applyAlignment="1">
      <alignment horizontal="center" vertical="center" wrapText="1"/>
    </xf>
    <xf numFmtId="0" fontId="33" fillId="0" borderId="102" xfId="121" applyFill="1" applyBorder="1" applyAlignment="1">
      <alignment vertical="center" wrapText="1"/>
    </xf>
    <xf numFmtId="0" fontId="151" fillId="0" borderId="0" xfId="78" applyFont="1"/>
    <xf numFmtId="0" fontId="152" fillId="0" borderId="0" xfId="78" applyFont="1" applyAlignment="1">
      <alignment horizontal="center" vertical="center" wrapText="1"/>
    </xf>
    <xf numFmtId="0" fontId="160" fillId="0" borderId="0" xfId="0" applyFont="1" applyAlignment="1">
      <alignment vertical="center"/>
    </xf>
    <xf numFmtId="0" fontId="21" fillId="0" borderId="0" xfId="0" applyFont="1" applyAlignment="1">
      <alignment horizontal="center"/>
    </xf>
    <xf numFmtId="0" fontId="26" fillId="0" borderId="0" xfId="121" applyFont="1" applyFill="1" applyAlignment="1">
      <alignment horizontal="right" vertical="center"/>
    </xf>
    <xf numFmtId="0" fontId="144" fillId="0" borderId="0" xfId="121" applyFont="1" applyFill="1" applyAlignment="1">
      <alignment horizontal="right" vertical="center" wrapText="1"/>
    </xf>
    <xf numFmtId="0" fontId="145" fillId="0" borderId="0" xfId="121" applyFont="1" applyFill="1" applyAlignment="1">
      <alignment horizontal="left" vertical="center" wrapText="1"/>
    </xf>
    <xf numFmtId="0" fontId="146" fillId="0" borderId="0" xfId="121" applyFont="1" applyFill="1" applyAlignment="1">
      <alignment horizontal="centerContinuous" vertical="center" wrapText="1"/>
    </xf>
    <xf numFmtId="0" fontId="98" fillId="0" borderId="0" xfId="121" applyFont="1" applyFill="1" applyAlignment="1">
      <alignment horizontal="centerContinuous" vertical="center" wrapText="1"/>
    </xf>
    <xf numFmtId="2" fontId="108" fillId="0" borderId="0" xfId="78" applyNumberFormat="1" applyFont="1"/>
    <xf numFmtId="17" fontId="33" fillId="0" borderId="0" xfId="121" applyNumberFormat="1" applyFill="1" applyAlignment="1">
      <alignment vertical="center"/>
    </xf>
    <xf numFmtId="166" fontId="20" fillId="0" borderId="0" xfId="120" applyNumberFormat="1" applyFont="1" applyFill="1" applyAlignment="1">
      <alignment vertical="center"/>
    </xf>
    <xf numFmtId="166" fontId="21" fillId="0" borderId="0" xfId="120" applyNumberFormat="1" applyFont="1" applyFill="1" applyAlignment="1">
      <alignment vertical="center"/>
    </xf>
    <xf numFmtId="2" fontId="20" fillId="0" borderId="0" xfId="120" applyNumberFormat="1" applyFont="1" applyFill="1" applyAlignment="1">
      <alignment vertical="center"/>
    </xf>
    <xf numFmtId="0" fontId="33" fillId="0" borderId="103" xfId="121" applyFill="1" applyBorder="1" applyAlignment="1">
      <alignment vertical="center" wrapText="1"/>
    </xf>
    <xf numFmtId="0" fontId="33" fillId="0" borderId="104" xfId="121" applyFill="1" applyBorder="1" applyAlignment="1">
      <alignment vertical="center" wrapText="1"/>
    </xf>
    <xf numFmtId="0" fontId="33" fillId="0" borderId="105" xfId="121" applyFill="1" applyBorder="1" applyAlignment="1">
      <alignment vertical="center" wrapText="1"/>
    </xf>
    <xf numFmtId="2" fontId="21" fillId="0" borderId="0" xfId="120" applyNumberFormat="1" applyFont="1" applyFill="1" applyAlignment="1">
      <alignment vertical="center"/>
    </xf>
    <xf numFmtId="16" fontId="47" fillId="0" borderId="10" xfId="0" quotePrefix="1" applyNumberFormat="1" applyFont="1" applyBorder="1" applyAlignment="1">
      <alignment horizontal="center" vertical="center" wrapText="1"/>
    </xf>
    <xf numFmtId="0" fontId="22" fillId="28" borderId="0" xfId="78" applyFont="1" applyFill="1" applyAlignment="1">
      <alignment horizontal="centerContinuous" vertical="center"/>
    </xf>
    <xf numFmtId="0" fontId="20" fillId="28" borderId="0" xfId="78" applyFill="1" applyAlignment="1">
      <alignment vertical="center"/>
    </xf>
    <xf numFmtId="1" fontId="30" fillId="0" borderId="10" xfId="120" applyNumberFormat="1" applyFont="1" applyFill="1" applyBorder="1"/>
    <xf numFmtId="0" fontId="20" fillId="0" borderId="10" xfId="78" applyBorder="1"/>
    <xf numFmtId="0" fontId="151" fillId="0" borderId="25" xfId="78" applyFont="1" applyBorder="1" applyAlignment="1">
      <alignment vertical="center"/>
    </xf>
    <xf numFmtId="0" fontId="151" fillId="0" borderId="6" xfId="78" applyFont="1" applyBorder="1" applyAlignment="1">
      <alignment vertical="center"/>
    </xf>
    <xf numFmtId="0" fontId="151" fillId="0" borderId="31" xfId="78" applyFont="1" applyBorder="1" applyAlignment="1">
      <alignment vertical="center"/>
    </xf>
    <xf numFmtId="0" fontId="30" fillId="0" borderId="0" xfId="121" applyFont="1" applyFill="1" applyAlignment="1">
      <alignment horizontal="centerContinuous" vertical="center"/>
    </xf>
    <xf numFmtId="0" fontId="22" fillId="0" borderId="43" xfId="121" applyFont="1" applyFill="1" applyBorder="1" applyAlignment="1">
      <alignment horizontal="center" vertical="center"/>
    </xf>
    <xf numFmtId="0" fontId="33" fillId="0" borderId="68" xfId="121" applyFill="1" applyBorder="1" applyAlignment="1">
      <alignment horizontal="center" vertical="center"/>
    </xf>
    <xf numFmtId="0" fontId="33" fillId="0" borderId="43" xfId="121" applyFill="1" applyBorder="1" applyAlignment="1">
      <alignment vertical="center"/>
    </xf>
    <xf numFmtId="0" fontId="33" fillId="0" borderId="57" xfId="121" applyFill="1" applyBorder="1" applyAlignment="1">
      <alignment horizontal="centerContinuous" vertical="center"/>
    </xf>
    <xf numFmtId="0" fontId="33" fillId="0" borderId="68" xfId="121" applyFill="1" applyBorder="1" applyAlignment="1">
      <alignment horizontal="centerContinuous" vertical="center"/>
    </xf>
    <xf numFmtId="0" fontId="33" fillId="0" borderId="68" xfId="121" applyFill="1" applyBorder="1" applyAlignment="1">
      <alignment vertical="center"/>
    </xf>
    <xf numFmtId="0" fontId="22" fillId="0" borderId="99" xfId="121" applyFont="1" applyFill="1" applyBorder="1" applyAlignment="1">
      <alignment horizontal="center" vertical="center"/>
    </xf>
    <xf numFmtId="0" fontId="33" fillId="0" borderId="100" xfId="121" applyFill="1" applyBorder="1" applyAlignment="1">
      <alignment horizontal="centerContinuous" vertical="center"/>
    </xf>
    <xf numFmtId="0" fontId="33" fillId="0" borderId="70" xfId="121" applyFill="1" applyBorder="1" applyAlignment="1">
      <alignment horizontal="centerContinuous" vertical="center"/>
    </xf>
    <xf numFmtId="0" fontId="33" fillId="0" borderId="70" xfId="121" applyFill="1" applyBorder="1" applyAlignment="1">
      <alignment vertical="center"/>
    </xf>
    <xf numFmtId="0" fontId="33" fillId="0" borderId="45" xfId="121" applyFill="1" applyBorder="1" applyAlignment="1">
      <alignment horizontal="center" vertical="center"/>
    </xf>
    <xf numFmtId="0" fontId="33" fillId="0" borderId="53" xfId="121" applyFill="1" applyBorder="1" applyAlignment="1">
      <alignment horizontal="center" vertical="center"/>
    </xf>
    <xf numFmtId="0" fontId="33" fillId="0" borderId="87" xfId="121" applyFill="1" applyBorder="1" applyAlignment="1">
      <alignment vertical="center"/>
    </xf>
    <xf numFmtId="0" fontId="33" fillId="0" borderId="46" xfId="121" applyFill="1" applyBorder="1" applyAlignment="1">
      <alignment horizontal="center" vertical="center"/>
    </xf>
    <xf numFmtId="0" fontId="33" fillId="0" borderId="48" xfId="121" applyFill="1" applyBorder="1" applyAlignment="1">
      <alignment horizontal="center" vertical="center"/>
    </xf>
    <xf numFmtId="0" fontId="33" fillId="0" borderId="88" xfId="121" applyFill="1" applyBorder="1" applyAlignment="1">
      <alignment vertical="center"/>
    </xf>
    <xf numFmtId="0" fontId="33" fillId="0" borderId="74" xfId="121" applyFill="1" applyBorder="1" applyAlignment="1">
      <alignment vertical="center"/>
    </xf>
    <xf numFmtId="2" fontId="167" fillId="0" borderId="10" xfId="120" applyNumberFormat="1" applyFont="1" applyFill="1" applyBorder="1" applyAlignment="1">
      <alignment vertical="center"/>
    </xf>
    <xf numFmtId="2" fontId="20" fillId="0" borderId="10" xfId="120" applyNumberFormat="1" applyFont="1" applyFill="1" applyBorder="1" applyAlignment="1">
      <alignment vertical="center"/>
    </xf>
    <xf numFmtId="2" fontId="128" fillId="0" borderId="10" xfId="120" applyNumberFormat="1" applyFont="1" applyFill="1" applyBorder="1" applyAlignment="1">
      <alignment vertical="center"/>
    </xf>
    <xf numFmtId="0" fontId="108" fillId="0" borderId="10" xfId="78" applyFont="1" applyBorder="1" applyAlignment="1">
      <alignment horizontal="center" vertical="center" wrapText="1"/>
    </xf>
    <xf numFmtId="4" fontId="108" fillId="0" borderId="0" xfId="78" applyNumberFormat="1" applyFont="1" applyAlignment="1">
      <alignment vertical="center"/>
    </xf>
    <xf numFmtId="0" fontId="108" fillId="0" borderId="0" xfId="78" applyFont="1" applyAlignment="1">
      <alignment vertical="center"/>
    </xf>
    <xf numFmtId="0" fontId="0" fillId="0" borderId="106" xfId="0" applyBorder="1"/>
    <xf numFmtId="2" fontId="21" fillId="0" borderId="0" xfId="0" applyNumberFormat="1" applyFont="1" applyAlignment="1">
      <alignment horizontal="center"/>
    </xf>
    <xf numFmtId="1" fontId="0" fillId="0" borderId="0" xfId="0" applyNumberFormat="1"/>
    <xf numFmtId="1" fontId="20" fillId="0" borderId="0" xfId="92" applyNumberFormat="1"/>
    <xf numFmtId="1" fontId="21" fillId="0" borderId="0" xfId="0" applyNumberFormat="1" applyFont="1"/>
    <xf numFmtId="1" fontId="38" fillId="0" borderId="0" xfId="0" applyNumberFormat="1" applyFont="1"/>
    <xf numFmtId="0" fontId="0" fillId="0" borderId="0" xfId="0" applyAlignment="1">
      <alignment horizontal="center" vertical="top" wrapText="1" shrinkToFit="1"/>
    </xf>
    <xf numFmtId="1" fontId="0" fillId="0" borderId="0" xfId="0" applyNumberFormat="1" applyAlignment="1">
      <alignment vertical="top"/>
    </xf>
    <xf numFmtId="43" fontId="0" fillId="0" borderId="0" xfId="0" applyNumberFormat="1"/>
    <xf numFmtId="166" fontId="47" fillId="0" borderId="0" xfId="0" applyNumberFormat="1" applyFont="1" applyAlignment="1">
      <alignment vertical="center"/>
    </xf>
    <xf numFmtId="0" fontId="33" fillId="0" borderId="10" xfId="120" applyFill="1" applyBorder="1" applyAlignment="1">
      <alignment horizontal="center" vertical="center"/>
    </xf>
    <xf numFmtId="0" fontId="31" fillId="0" borderId="10" xfId="120" applyFont="1" applyFill="1" applyBorder="1" applyAlignment="1">
      <alignment horizontal="center" vertical="center" wrapText="1"/>
    </xf>
    <xf numFmtId="0" fontId="151" fillId="0" borderId="0" xfId="78" applyFont="1" applyAlignment="1">
      <alignment vertical="center"/>
    </xf>
    <xf numFmtId="0" fontId="152" fillId="0" borderId="0" xfId="78" applyFont="1" applyAlignment="1">
      <alignment vertical="center"/>
    </xf>
    <xf numFmtId="17" fontId="152" fillId="0" borderId="10" xfId="78" applyNumberFormat="1" applyFont="1" applyBorder="1" applyAlignment="1">
      <alignment horizontal="center" vertical="center"/>
    </xf>
    <xf numFmtId="0" fontId="152" fillId="0" borderId="10" xfId="78" applyFont="1" applyBorder="1" applyAlignment="1">
      <alignment vertical="center"/>
    </xf>
    <xf numFmtId="0" fontId="26" fillId="0" borderId="0" xfId="120" applyFont="1" applyFill="1" applyAlignment="1">
      <alignment vertical="center"/>
    </xf>
    <xf numFmtId="0" fontId="155" fillId="0" borderId="0" xfId="120" applyFont="1" applyFill="1" applyAlignment="1">
      <alignment vertical="center"/>
    </xf>
    <xf numFmtId="17" fontId="95" fillId="0" borderId="10" xfId="86" applyNumberFormat="1" applyFont="1" applyFill="1" applyBorder="1" applyAlignment="1">
      <alignment horizontal="left" vertical="center" wrapText="1"/>
    </xf>
    <xf numFmtId="0" fontId="95" fillId="0" borderId="10" xfId="86" applyFont="1" applyFill="1" applyBorder="1" applyAlignment="1">
      <alignment horizontal="left" vertical="center" wrapText="1"/>
    </xf>
    <xf numFmtId="17" fontId="95" fillId="0" borderId="10" xfId="86" applyNumberFormat="1" applyFont="1" applyFill="1" applyBorder="1" applyAlignment="1">
      <alignment horizontal="center" vertical="center" wrapText="1"/>
    </xf>
    <xf numFmtId="0" fontId="50" fillId="0" borderId="10" xfId="86" applyFont="1" applyFill="1" applyBorder="1" applyAlignment="1">
      <alignment horizontal="left" vertical="center" wrapText="1"/>
    </xf>
    <xf numFmtId="17" fontId="50" fillId="0" borderId="10" xfId="86" applyNumberFormat="1" applyFont="1" applyFill="1" applyBorder="1" applyAlignment="1">
      <alignment horizontal="center" vertical="center" wrapText="1"/>
    </xf>
    <xf numFmtId="2" fontId="148" fillId="25" borderId="10" xfId="121" applyNumberFormat="1" applyFont="1" applyBorder="1" applyAlignment="1">
      <alignment horizontal="center" vertical="center"/>
    </xf>
    <xf numFmtId="2" fontId="95" fillId="0" borderId="10" xfId="86" applyNumberFormat="1" applyFont="1" applyFill="1" applyBorder="1" applyAlignment="1">
      <alignment horizontal="center" vertical="center" wrapText="1"/>
    </xf>
    <xf numFmtId="166" fontId="50" fillId="0" borderId="10" xfId="86" applyNumberFormat="1" applyFont="1" applyFill="1" applyBorder="1" applyAlignment="1">
      <alignment horizontal="center" vertical="center" wrapText="1"/>
    </xf>
    <xf numFmtId="1" fontId="95" fillId="0" borderId="10" xfId="86" applyNumberFormat="1" applyFont="1" applyFill="1" applyBorder="1" applyAlignment="1">
      <alignment horizontal="center" vertical="center" wrapText="1"/>
    </xf>
    <xf numFmtId="2" fontId="148" fillId="0" borderId="10" xfId="121" applyNumberFormat="1" applyFont="1" applyFill="1" applyBorder="1" applyAlignment="1">
      <alignment horizontal="center" vertical="center" wrapText="1"/>
    </xf>
    <xf numFmtId="1" fontId="50" fillId="0" borderId="10" xfId="86" applyNumberFormat="1" applyFont="1" applyFill="1" applyBorder="1" applyAlignment="1">
      <alignment horizontal="center" vertical="center" wrapText="1"/>
    </xf>
    <xf numFmtId="17" fontId="50" fillId="0" borderId="10" xfId="86" applyNumberFormat="1" applyFont="1" applyFill="1" applyBorder="1" applyAlignment="1">
      <alignment horizontal="left" vertical="center" wrapText="1"/>
    </xf>
    <xf numFmtId="0" fontId="50" fillId="0" borderId="99" xfId="86" applyFont="1" applyFill="1" applyBorder="1" applyAlignment="1">
      <alignment horizontal="center" vertical="center" wrapText="1"/>
    </xf>
    <xf numFmtId="0" fontId="20" fillId="0" borderId="0" xfId="120" applyFont="1" applyFill="1" applyAlignment="1">
      <alignment horizontal="right" vertical="center"/>
    </xf>
    <xf numFmtId="0" fontId="108" fillId="0" borderId="10" xfId="78" applyFont="1" applyBorder="1" applyAlignment="1">
      <alignment horizontal="center" vertical="center"/>
    </xf>
    <xf numFmtId="0" fontId="108" fillId="0" borderId="10" xfId="78" applyFont="1" applyBorder="1" applyAlignment="1">
      <alignment vertical="center"/>
    </xf>
    <xf numFmtId="0" fontId="108" fillId="0" borderId="0" xfId="78" applyFont="1" applyAlignment="1">
      <alignment vertical="center" wrapText="1"/>
    </xf>
    <xf numFmtId="2" fontId="108" fillId="0" borderId="10" xfId="78" applyNumberFormat="1" applyFont="1" applyBorder="1" applyAlignment="1">
      <alignment vertical="center" wrapText="1"/>
    </xf>
    <xf numFmtId="0" fontId="108" fillId="0" borderId="10" xfId="78" applyFont="1" applyBorder="1" applyAlignment="1">
      <alignment horizontal="left" vertical="center"/>
    </xf>
    <xf numFmtId="2" fontId="108" fillId="0" borderId="10" xfId="78" applyNumberFormat="1" applyFont="1" applyBorder="1" applyAlignment="1">
      <alignment vertical="center"/>
    </xf>
    <xf numFmtId="2" fontId="108" fillId="0" borderId="0" xfId="78" applyNumberFormat="1" applyFont="1" applyAlignment="1">
      <alignment vertical="center"/>
    </xf>
    <xf numFmtId="164" fontId="0" fillId="0" borderId="0" xfId="0" applyNumberFormat="1"/>
    <xf numFmtId="0" fontId="14" fillId="0" borderId="0" xfId="138"/>
    <xf numFmtId="0" fontId="170" fillId="0" borderId="10" xfId="138" applyFont="1" applyBorder="1" applyAlignment="1">
      <alignment horizontal="left" vertical="center" wrapText="1"/>
    </xf>
    <xf numFmtId="0" fontId="170" fillId="0" borderId="10" xfId="138" applyFont="1" applyBorder="1" applyAlignment="1">
      <alignment horizontal="center" vertical="center" wrapText="1"/>
    </xf>
    <xf numFmtId="0" fontId="14" fillId="0" borderId="10" xfId="138" applyBorder="1" applyAlignment="1">
      <alignment horizontal="center" vertical="center" wrapText="1"/>
    </xf>
    <xf numFmtId="2" fontId="14" fillId="0" borderId="10" xfId="138" applyNumberFormat="1" applyBorder="1" applyAlignment="1">
      <alignment horizontal="center"/>
    </xf>
    <xf numFmtId="10" fontId="14" fillId="0" borderId="0" xfId="138" applyNumberFormat="1"/>
    <xf numFmtId="2" fontId="14" fillId="0" borderId="0" xfId="138" applyNumberFormat="1"/>
    <xf numFmtId="1" fontId="14" fillId="0" borderId="10" xfId="138" applyNumberFormat="1" applyBorder="1" applyAlignment="1">
      <alignment horizontal="center"/>
    </xf>
    <xf numFmtId="1" fontId="14" fillId="0" borderId="10" xfId="138" applyNumberFormat="1" applyBorder="1" applyAlignment="1">
      <alignment horizontal="center" vertical="center"/>
    </xf>
    <xf numFmtId="2" fontId="14" fillId="0" borderId="10" xfId="138" applyNumberFormat="1" applyBorder="1" applyAlignment="1">
      <alignment horizontal="center" vertical="center"/>
    </xf>
    <xf numFmtId="0" fontId="171" fillId="33" borderId="10" xfId="138" applyFont="1" applyFill="1" applyBorder="1" applyAlignment="1">
      <alignment horizontal="center" vertical="center" wrapText="1"/>
    </xf>
    <xf numFmtId="2" fontId="171" fillId="33" borderId="10" xfId="138" applyNumberFormat="1" applyFont="1" applyFill="1" applyBorder="1" applyAlignment="1">
      <alignment horizontal="center" vertical="center" wrapText="1"/>
    </xf>
    <xf numFmtId="0" fontId="172" fillId="0" borderId="10" xfId="138" applyFont="1" applyBorder="1" applyAlignment="1">
      <alignment horizontal="center" vertical="center" wrapText="1"/>
    </xf>
    <xf numFmtId="0" fontId="47" fillId="0" borderId="10" xfId="138" applyFont="1" applyBorder="1" applyAlignment="1">
      <alignment horizontal="center" vertical="center" wrapText="1"/>
    </xf>
    <xf numFmtId="0" fontId="173" fillId="0" borderId="10" xfId="138" applyFont="1" applyBorder="1" applyAlignment="1">
      <alignment horizontal="center" vertical="center" wrapText="1"/>
    </xf>
    <xf numFmtId="0" fontId="174" fillId="0" borderId="10" xfId="138" applyFont="1" applyBorder="1" applyAlignment="1">
      <alignment horizontal="left" vertical="center" wrapText="1"/>
    </xf>
    <xf numFmtId="0" fontId="174" fillId="0" borderId="10" xfId="138" applyFont="1" applyBorder="1" applyAlignment="1">
      <alignment horizontal="center" vertical="center"/>
    </xf>
    <xf numFmtId="1" fontId="171" fillId="33" borderId="10" xfId="138" applyNumberFormat="1" applyFont="1" applyFill="1" applyBorder="1" applyAlignment="1">
      <alignment horizontal="center" vertical="center" wrapText="1"/>
    </xf>
    <xf numFmtId="2" fontId="14" fillId="0" borderId="10" xfId="138" applyNumberFormat="1" applyBorder="1" applyAlignment="1">
      <alignment horizontal="center" vertical="center" wrapText="1"/>
    </xf>
    <xf numFmtId="0" fontId="172" fillId="0" borderId="10" xfId="138" applyFont="1" applyBorder="1" applyAlignment="1">
      <alignment horizontal="center" vertical="center"/>
    </xf>
    <xf numFmtId="0" fontId="172" fillId="0" borderId="10" xfId="138" applyFont="1" applyBorder="1" applyAlignment="1">
      <alignment horizontal="center"/>
    </xf>
    <xf numFmtId="0" fontId="170" fillId="0" borderId="10" xfId="138" applyFont="1" applyBorder="1" applyAlignment="1">
      <alignment horizontal="center" vertical="center"/>
    </xf>
    <xf numFmtId="0" fontId="175" fillId="0" borderId="10" xfId="138" applyFont="1" applyBorder="1" applyAlignment="1">
      <alignment horizontal="left" vertical="center" wrapText="1"/>
    </xf>
    <xf numFmtId="0" fontId="171" fillId="34" borderId="10" xfId="138" applyFont="1" applyFill="1" applyBorder="1" applyAlignment="1">
      <alignment horizontal="center" vertical="center"/>
    </xf>
    <xf numFmtId="2" fontId="171" fillId="35" borderId="10" xfId="138" applyNumberFormat="1" applyFont="1" applyFill="1" applyBorder="1" applyAlignment="1">
      <alignment horizontal="center" vertical="center"/>
    </xf>
    <xf numFmtId="0" fontId="130" fillId="28" borderId="0" xfId="138" applyFont="1" applyFill="1"/>
    <xf numFmtId="0" fontId="129" fillId="28" borderId="0" xfId="138" applyFont="1" applyFill="1"/>
    <xf numFmtId="0" fontId="176" fillId="28" borderId="0" xfId="138" applyFont="1" applyFill="1" applyAlignment="1">
      <alignment horizontal="center" vertical="center"/>
    </xf>
    <xf numFmtId="0" fontId="177" fillId="0" borderId="10" xfId="138" applyFont="1" applyBorder="1" applyAlignment="1">
      <alignment horizontal="left" vertical="center" wrapText="1"/>
    </xf>
    <xf numFmtId="2" fontId="176" fillId="0" borderId="10" xfId="138" applyNumberFormat="1" applyFont="1" applyBorder="1" applyAlignment="1">
      <alignment horizontal="center" vertical="center" wrapText="1"/>
    </xf>
    <xf numFmtId="0" fontId="129" fillId="28" borderId="10" xfId="138" applyFont="1" applyFill="1" applyBorder="1"/>
    <xf numFmtId="2" fontId="177" fillId="0" borderId="10" xfId="138" applyNumberFormat="1" applyFont="1" applyBorder="1" applyAlignment="1">
      <alignment horizontal="center" vertical="center" wrapText="1"/>
    </xf>
    <xf numFmtId="2" fontId="129" fillId="28" borderId="0" xfId="138" applyNumberFormat="1" applyFont="1" applyFill="1"/>
    <xf numFmtId="2" fontId="177" fillId="0" borderId="99" xfId="138" applyNumberFormat="1" applyFont="1" applyBorder="1" applyAlignment="1">
      <alignment horizontal="center" vertical="center" wrapText="1"/>
    </xf>
    <xf numFmtId="0" fontId="177" fillId="0" borderId="10" xfId="138" applyFont="1" applyBorder="1" applyAlignment="1">
      <alignment wrapText="1"/>
    </xf>
    <xf numFmtId="0" fontId="176" fillId="33" borderId="10" xfId="138" applyFont="1" applyFill="1" applyBorder="1" applyAlignment="1">
      <alignment horizontal="center" vertical="center" wrapText="1"/>
    </xf>
    <xf numFmtId="2" fontId="176" fillId="33" borderId="10" xfId="138" applyNumberFormat="1" applyFont="1" applyFill="1" applyBorder="1" applyAlignment="1">
      <alignment horizontal="center" vertical="center" wrapText="1"/>
    </xf>
    <xf numFmtId="0" fontId="176" fillId="28" borderId="0" xfId="138" applyFont="1" applyFill="1" applyAlignment="1">
      <alignment horizontal="center" vertical="center" wrapText="1"/>
    </xf>
    <xf numFmtId="2" fontId="177" fillId="0" borderId="10" xfId="138" applyNumberFormat="1" applyFont="1" applyBorder="1" applyAlignment="1">
      <alignment horizontal="center" vertical="center"/>
    </xf>
    <xf numFmtId="2" fontId="177" fillId="0" borderId="10" xfId="138" applyNumberFormat="1" applyFont="1" applyBorder="1" applyAlignment="1">
      <alignment horizontal="center"/>
    </xf>
    <xf numFmtId="164" fontId="130" fillId="28" borderId="0" xfId="139" applyFont="1" applyFill="1" applyBorder="1"/>
    <xf numFmtId="2" fontId="129" fillId="0" borderId="10" xfId="138" applyNumberFormat="1" applyFont="1" applyBorder="1" applyAlignment="1">
      <alignment horizontal="center" vertical="center" wrapText="1"/>
    </xf>
    <xf numFmtId="0" fontId="176" fillId="33" borderId="80" xfId="138" applyFont="1" applyFill="1" applyBorder="1" applyAlignment="1">
      <alignment horizontal="center" vertical="center"/>
    </xf>
    <xf numFmtId="2" fontId="129" fillId="27" borderId="0" xfId="138" applyNumberFormat="1" applyFont="1" applyFill="1"/>
    <xf numFmtId="2" fontId="130" fillId="33" borderId="6" xfId="138" applyNumberFormat="1" applyFont="1" applyFill="1" applyBorder="1"/>
    <xf numFmtId="2" fontId="130" fillId="33" borderId="25" xfId="138" applyNumberFormat="1" applyFont="1" applyFill="1" applyBorder="1"/>
    <xf numFmtId="0" fontId="130" fillId="33" borderId="6" xfId="138" applyFont="1" applyFill="1" applyBorder="1"/>
    <xf numFmtId="0" fontId="130" fillId="33" borderId="25" xfId="138" applyFont="1" applyFill="1" applyBorder="1"/>
    <xf numFmtId="0" fontId="130" fillId="37" borderId="31" xfId="138" applyFont="1" applyFill="1" applyBorder="1"/>
    <xf numFmtId="0" fontId="129" fillId="28" borderId="6" xfId="138" applyFont="1" applyFill="1" applyBorder="1"/>
    <xf numFmtId="0" fontId="129" fillId="27" borderId="6" xfId="138" applyFont="1" applyFill="1" applyBorder="1"/>
    <xf numFmtId="0" fontId="129" fillId="28" borderId="25" xfId="138" applyFont="1" applyFill="1" applyBorder="1"/>
    <xf numFmtId="0" fontId="130" fillId="38" borderId="31" xfId="138" applyFont="1" applyFill="1" applyBorder="1"/>
    <xf numFmtId="0" fontId="130" fillId="28" borderId="0" xfId="138" applyFont="1" applyFill="1" applyAlignment="1">
      <alignment horizontal="center"/>
    </xf>
    <xf numFmtId="164" fontId="129" fillId="28" borderId="0" xfId="138" applyNumberFormat="1" applyFont="1" applyFill="1"/>
    <xf numFmtId="164" fontId="129" fillId="28" borderId="0" xfId="139" applyFont="1" applyFill="1" applyBorder="1"/>
    <xf numFmtId="164" fontId="130" fillId="28" borderId="0" xfId="138" applyNumberFormat="1" applyFont="1" applyFill="1"/>
    <xf numFmtId="170" fontId="129" fillId="28" borderId="0" xfId="138" applyNumberFormat="1" applyFont="1" applyFill="1"/>
    <xf numFmtId="10" fontId="129" fillId="28" borderId="0" xfId="140" applyNumberFormat="1" applyFont="1" applyFill="1" applyBorder="1"/>
    <xf numFmtId="0" fontId="176" fillId="39" borderId="10" xfId="138" applyFont="1" applyFill="1" applyBorder="1" applyAlignment="1">
      <alignment horizontal="center" vertical="center"/>
    </xf>
    <xf numFmtId="2" fontId="176" fillId="39" borderId="10" xfId="138" applyNumberFormat="1" applyFont="1" applyFill="1" applyBorder="1" applyAlignment="1">
      <alignment horizontal="center" vertical="center"/>
    </xf>
    <xf numFmtId="0" fontId="129" fillId="27" borderId="0" xfId="138" applyFont="1" applyFill="1" applyAlignment="1">
      <alignment horizontal="center" wrapText="1"/>
    </xf>
    <xf numFmtId="2" fontId="176" fillId="33" borderId="0" xfId="138" applyNumberFormat="1" applyFont="1" applyFill="1" applyAlignment="1">
      <alignment horizontal="center" vertical="center" wrapText="1"/>
    </xf>
    <xf numFmtId="2" fontId="176" fillId="39" borderId="0" xfId="138" applyNumberFormat="1" applyFont="1" applyFill="1" applyAlignment="1">
      <alignment horizontal="center" vertical="center"/>
    </xf>
    <xf numFmtId="0" fontId="180" fillId="40" borderId="0" xfId="138" applyFont="1" applyFill="1"/>
    <xf numFmtId="0" fontId="131" fillId="0" borderId="0" xfId="141" applyFont="1"/>
    <xf numFmtId="0" fontId="13" fillId="0" borderId="0" xfId="141"/>
    <xf numFmtId="0" fontId="13" fillId="0" borderId="10" xfId="141" applyBorder="1"/>
    <xf numFmtId="166" fontId="13" fillId="0" borderId="10" xfId="141" applyNumberFormat="1" applyBorder="1"/>
    <xf numFmtId="166" fontId="13" fillId="0" borderId="10" xfId="141" applyNumberFormat="1" applyBorder="1" applyAlignment="1">
      <alignment horizontal="right"/>
    </xf>
    <xf numFmtId="2" fontId="13" fillId="0" borderId="10" xfId="141" applyNumberFormat="1" applyBorder="1" applyAlignment="1">
      <alignment horizontal="center"/>
    </xf>
    <xf numFmtId="2" fontId="13" fillId="0" borderId="0" xfId="141" applyNumberFormat="1"/>
    <xf numFmtId="43" fontId="129" fillId="28" borderId="0" xfId="37" applyFont="1" applyFill="1"/>
    <xf numFmtId="0" fontId="130" fillId="28" borderId="0" xfId="148" applyFont="1" applyFill="1"/>
    <xf numFmtId="0" fontId="129" fillId="28" borderId="0" xfId="148" applyFont="1" applyFill="1"/>
    <xf numFmtId="0" fontId="21" fillId="33" borderId="108" xfId="148" applyFont="1" applyFill="1" applyBorder="1" applyAlignment="1">
      <alignment vertical="top"/>
    </xf>
    <xf numFmtId="0" fontId="21" fillId="33" borderId="5" xfId="148" applyFont="1" applyFill="1" applyBorder="1" applyAlignment="1">
      <alignment horizontal="center"/>
    </xf>
    <xf numFmtId="164" fontId="129" fillId="28" borderId="0" xfId="148" applyNumberFormat="1" applyFont="1" applyFill="1"/>
    <xf numFmtId="2" fontId="129" fillId="28" borderId="0" xfId="148" applyNumberFormat="1" applyFont="1" applyFill="1"/>
    <xf numFmtId="164" fontId="130" fillId="28" borderId="0" xfId="148" applyNumberFormat="1" applyFont="1" applyFill="1"/>
    <xf numFmtId="0" fontId="129" fillId="28" borderId="111" xfId="148" applyFont="1" applyFill="1" applyBorder="1"/>
    <xf numFmtId="0" fontId="176" fillId="33" borderId="80" xfId="148" applyFont="1" applyFill="1" applyBorder="1" applyAlignment="1">
      <alignment horizontal="center" vertical="center"/>
    </xf>
    <xf numFmtId="0" fontId="177" fillId="0" borderId="10" xfId="148" applyFont="1" applyBorder="1" applyAlignment="1">
      <alignment horizontal="left" vertical="center" wrapText="1"/>
    </xf>
    <xf numFmtId="0" fontId="177" fillId="0" borderId="99" xfId="148" applyFont="1" applyBorder="1" applyAlignment="1">
      <alignment horizontal="center" vertical="center" wrapText="1"/>
    </xf>
    <xf numFmtId="0" fontId="129" fillId="28" borderId="99" xfId="148" applyFont="1" applyFill="1" applyBorder="1" applyAlignment="1">
      <alignment vertical="center" wrapText="1"/>
    </xf>
    <xf numFmtId="2" fontId="129" fillId="28" borderId="113" xfId="148" applyNumberFormat="1" applyFont="1" applyFill="1" applyBorder="1" applyAlignment="1">
      <alignment vertical="center" wrapText="1"/>
    </xf>
    <xf numFmtId="0" fontId="177" fillId="0" borderId="10" xfId="148" applyFont="1" applyBorder="1" applyAlignment="1">
      <alignment horizontal="center" vertical="center" wrapText="1"/>
    </xf>
    <xf numFmtId="0" fontId="129" fillId="28" borderId="10" xfId="148" applyFont="1" applyFill="1" applyBorder="1" applyAlignment="1">
      <alignment vertical="center" wrapText="1"/>
    </xf>
    <xf numFmtId="0" fontId="129" fillId="28" borderId="27" xfId="148" applyFont="1" applyFill="1" applyBorder="1" applyAlignment="1">
      <alignment vertical="center" wrapText="1"/>
    </xf>
    <xf numFmtId="2" fontId="129" fillId="28" borderId="27" xfId="148" applyNumberFormat="1" applyFont="1" applyFill="1" applyBorder="1" applyAlignment="1">
      <alignment vertical="center" wrapText="1"/>
    </xf>
    <xf numFmtId="0" fontId="177" fillId="0" borderId="10" xfId="148" applyFont="1" applyBorder="1" applyAlignment="1">
      <alignment wrapText="1"/>
    </xf>
    <xf numFmtId="0" fontId="176" fillId="33" borderId="10" xfId="148" applyFont="1" applyFill="1" applyBorder="1" applyAlignment="1">
      <alignment horizontal="center" vertical="center" wrapText="1"/>
    </xf>
    <xf numFmtId="0" fontId="130" fillId="33" borderId="6" xfId="148" applyFont="1" applyFill="1" applyBorder="1"/>
    <xf numFmtId="2" fontId="130" fillId="33" borderId="6" xfId="148" applyNumberFormat="1" applyFont="1" applyFill="1" applyBorder="1"/>
    <xf numFmtId="164" fontId="176" fillId="33" borderId="27" xfId="153" applyFont="1" applyFill="1" applyBorder="1" applyAlignment="1">
      <alignment horizontal="center" vertical="center" wrapText="1"/>
    </xf>
    <xf numFmtId="164" fontId="130" fillId="33" borderId="6" xfId="153" applyFont="1" applyFill="1" applyBorder="1"/>
    <xf numFmtId="164" fontId="130" fillId="33" borderId="25" xfId="153" applyFont="1" applyFill="1" applyBorder="1"/>
    <xf numFmtId="0" fontId="176" fillId="28" borderId="0" xfId="148" applyFont="1" applyFill="1" applyAlignment="1">
      <alignment horizontal="center" vertical="center" wrapText="1"/>
    </xf>
    <xf numFmtId="164" fontId="130" fillId="28" borderId="0" xfId="153" applyFont="1" applyFill="1" applyBorder="1"/>
    <xf numFmtId="0" fontId="130" fillId="37" borderId="31" xfId="148" applyFont="1" applyFill="1" applyBorder="1"/>
    <xf numFmtId="0" fontId="130" fillId="37" borderId="6" xfId="148" applyFont="1" applyFill="1" applyBorder="1"/>
    <xf numFmtId="164" fontId="130" fillId="37" borderId="6" xfId="148" applyNumberFormat="1" applyFont="1" applyFill="1" applyBorder="1"/>
    <xf numFmtId="164" fontId="130" fillId="37" borderId="6" xfId="153" applyFont="1" applyFill="1" applyBorder="1" applyAlignment="1"/>
    <xf numFmtId="0" fontId="130" fillId="37" borderId="25" xfId="148" applyFont="1" applyFill="1" applyBorder="1"/>
    <xf numFmtId="0" fontId="130" fillId="38" borderId="31" xfId="148" applyFont="1" applyFill="1" applyBorder="1"/>
    <xf numFmtId="0" fontId="130" fillId="38" borderId="6" xfId="148" applyFont="1" applyFill="1" applyBorder="1"/>
    <xf numFmtId="164" fontId="130" fillId="38" borderId="6" xfId="148" applyNumberFormat="1" applyFont="1" applyFill="1" applyBorder="1"/>
    <xf numFmtId="164" fontId="130" fillId="38" borderId="6" xfId="153" applyFont="1" applyFill="1" applyBorder="1"/>
    <xf numFmtId="0" fontId="130" fillId="38" borderId="25" xfId="148" applyFont="1" applyFill="1" applyBorder="1"/>
    <xf numFmtId="164" fontId="129" fillId="28" borderId="0" xfId="153" applyFont="1" applyFill="1"/>
    <xf numFmtId="2" fontId="176" fillId="33" borderId="27" xfId="148" applyNumberFormat="1" applyFont="1" applyFill="1" applyBorder="1" applyAlignment="1">
      <alignment horizontal="center" vertical="center" wrapText="1"/>
    </xf>
    <xf numFmtId="0" fontId="129" fillId="28" borderId="6" xfId="148" applyFont="1" applyFill="1" applyBorder="1"/>
    <xf numFmtId="164" fontId="129" fillId="28" borderId="6" xfId="148" applyNumberFormat="1" applyFont="1" applyFill="1" applyBorder="1"/>
    <xf numFmtId="164" fontId="129" fillId="28" borderId="6" xfId="153" applyFont="1" applyFill="1" applyBorder="1"/>
    <xf numFmtId="0" fontId="129" fillId="28" borderId="25" xfId="148" applyFont="1" applyFill="1" applyBorder="1"/>
    <xf numFmtId="0" fontId="177" fillId="0" borderId="10" xfId="148" applyFont="1" applyBorder="1" applyAlignment="1">
      <alignment horizontal="center" vertical="center"/>
    </xf>
    <xf numFmtId="0" fontId="130" fillId="28" borderId="20" xfId="148" applyFont="1" applyFill="1" applyBorder="1" applyAlignment="1">
      <alignment horizontal="center"/>
    </xf>
    <xf numFmtId="0" fontId="20" fillId="28" borderId="26" xfId="148" applyFont="1" applyFill="1" applyBorder="1" applyAlignment="1">
      <alignment vertical="top"/>
    </xf>
    <xf numFmtId="0" fontId="129" fillId="28" borderId="10" xfId="148" applyFont="1" applyFill="1" applyBorder="1"/>
    <xf numFmtId="164" fontId="129" fillId="28" borderId="10" xfId="153" applyFont="1" applyFill="1" applyBorder="1"/>
    <xf numFmtId="164" fontId="129" fillId="28" borderId="27" xfId="153" applyFont="1" applyFill="1" applyBorder="1"/>
    <xf numFmtId="0" fontId="129" fillId="28" borderId="26" xfId="148" applyFont="1" applyFill="1" applyBorder="1"/>
    <xf numFmtId="164" fontId="129" fillId="28" borderId="10" xfId="148" applyNumberFormat="1" applyFont="1" applyFill="1" applyBorder="1"/>
    <xf numFmtId="0" fontId="129" fillId="28" borderId="27" xfId="148" applyFont="1" applyFill="1" applyBorder="1"/>
    <xf numFmtId="2" fontId="176" fillId="33" borderId="10" xfId="148" applyNumberFormat="1" applyFont="1" applyFill="1" applyBorder="1" applyAlignment="1">
      <alignment horizontal="center" vertical="center" wrapText="1"/>
    </xf>
    <xf numFmtId="0" fontId="129" fillId="28" borderId="28" xfId="148" applyFont="1" applyFill="1" applyBorder="1"/>
    <xf numFmtId="164" fontId="129" fillId="28" borderId="29" xfId="153" applyFont="1" applyFill="1" applyBorder="1"/>
    <xf numFmtId="0" fontId="129" fillId="28" borderId="29" xfId="148" applyFont="1" applyFill="1" applyBorder="1"/>
    <xf numFmtId="0" fontId="129" fillId="28" borderId="30" xfId="148" applyFont="1" applyFill="1" applyBorder="1"/>
    <xf numFmtId="0" fontId="130" fillId="28" borderId="15" xfId="148" applyFont="1" applyFill="1" applyBorder="1"/>
    <xf numFmtId="164" fontId="130" fillId="28" borderId="15" xfId="148" applyNumberFormat="1" applyFont="1" applyFill="1" applyBorder="1"/>
    <xf numFmtId="170" fontId="129" fillId="28" borderId="0" xfId="148" applyNumberFormat="1" applyFont="1" applyFill="1"/>
    <xf numFmtId="10" fontId="129" fillId="28" borderId="0" xfId="154" applyNumberFormat="1" applyFont="1" applyFill="1"/>
    <xf numFmtId="0" fontId="130" fillId="33" borderId="19" xfId="148" applyFont="1" applyFill="1" applyBorder="1"/>
    <xf numFmtId="0" fontId="130" fillId="33" borderId="19" xfId="148" applyFont="1" applyFill="1" applyBorder="1" applyAlignment="1">
      <alignment horizontal="center"/>
    </xf>
    <xf numFmtId="164" fontId="129" fillId="28" borderId="27" xfId="148" applyNumberFormat="1" applyFont="1" applyFill="1" applyBorder="1"/>
    <xf numFmtId="164" fontId="129" fillId="28" borderId="29" xfId="148" applyNumberFormat="1" applyFont="1" applyFill="1" applyBorder="1"/>
    <xf numFmtId="164" fontId="129" fillId="28" borderId="30" xfId="148" applyNumberFormat="1" applyFont="1" applyFill="1" applyBorder="1"/>
    <xf numFmtId="164" fontId="176" fillId="33" borderId="10" xfId="153" applyFont="1" applyFill="1" applyBorder="1" applyAlignment="1">
      <alignment horizontal="center" vertical="center" wrapText="1"/>
    </xf>
    <xf numFmtId="0" fontId="176" fillId="39" borderId="29" xfId="148" applyFont="1" applyFill="1" applyBorder="1" applyAlignment="1">
      <alignment horizontal="center" vertical="center"/>
    </xf>
    <xf numFmtId="164" fontId="176" fillId="39" borderId="29" xfId="153" applyFont="1" applyFill="1" applyBorder="1" applyAlignment="1">
      <alignment horizontal="center" vertical="center"/>
    </xf>
    <xf numFmtId="164" fontId="176" fillId="39" borderId="30" xfId="153" applyFont="1" applyFill="1" applyBorder="1" applyAlignment="1">
      <alignment horizontal="center" vertical="center"/>
    </xf>
    <xf numFmtId="0" fontId="21" fillId="33" borderId="31" xfId="148" applyFont="1" applyFill="1" applyBorder="1" applyAlignment="1">
      <alignment vertical="top"/>
    </xf>
    <xf numFmtId="0" fontId="21" fillId="33" borderId="6" xfId="148" applyFont="1" applyFill="1" applyBorder="1" applyAlignment="1">
      <alignment vertical="top"/>
    </xf>
    <xf numFmtId="0" fontId="21" fillId="33" borderId="25" xfId="148" applyFont="1" applyFill="1" applyBorder="1" applyAlignment="1">
      <alignment vertical="top"/>
    </xf>
    <xf numFmtId="0" fontId="20" fillId="28" borderId="111" xfId="148" applyFont="1" applyFill="1" applyBorder="1" applyAlignment="1">
      <alignment vertical="top"/>
    </xf>
    <xf numFmtId="164" fontId="129" fillId="28" borderId="69" xfId="148" applyNumberFormat="1" applyFont="1" applyFill="1" applyBorder="1"/>
    <xf numFmtId="0" fontId="20" fillId="28" borderId="100" xfId="148" applyFont="1" applyFill="1" applyBorder="1" applyAlignment="1">
      <alignment vertical="top"/>
    </xf>
    <xf numFmtId="0" fontId="129" fillId="28" borderId="100" xfId="148" applyFont="1" applyFill="1" applyBorder="1"/>
    <xf numFmtId="164" fontId="129" fillId="28" borderId="16" xfId="148" applyNumberFormat="1" applyFont="1" applyFill="1" applyBorder="1"/>
    <xf numFmtId="164" fontId="129" fillId="28" borderId="70" xfId="148" applyNumberFormat="1" applyFont="1" applyFill="1" applyBorder="1"/>
    <xf numFmtId="0" fontId="129" fillId="28" borderId="57" xfId="148" applyFont="1" applyFill="1" applyBorder="1"/>
    <xf numFmtId="0" fontId="21" fillId="33" borderId="19" xfId="148" applyFont="1" applyFill="1" applyBorder="1" applyAlignment="1">
      <alignment vertical="top"/>
    </xf>
    <xf numFmtId="0" fontId="183" fillId="28" borderId="0" xfId="148" applyFont="1" applyFill="1"/>
    <xf numFmtId="10" fontId="129" fillId="28" borderId="0" xfId="148" applyNumberFormat="1" applyFont="1" applyFill="1"/>
    <xf numFmtId="164" fontId="129" fillId="28" borderId="114" xfId="148" applyNumberFormat="1" applyFont="1" applyFill="1" applyBorder="1"/>
    <xf numFmtId="164" fontId="129" fillId="28" borderId="110" xfId="148" applyNumberFormat="1" applyFont="1" applyFill="1" applyBorder="1"/>
    <xf numFmtId="0" fontId="21" fillId="41" borderId="0" xfId="148" applyFont="1" applyFill="1" applyAlignment="1">
      <alignment vertical="center"/>
    </xf>
    <xf numFmtId="0" fontId="21" fillId="41" borderId="0" xfId="148" applyFont="1" applyFill="1" applyAlignment="1">
      <alignment horizontal="center" vertical="center"/>
    </xf>
    <xf numFmtId="164" fontId="21" fillId="41" borderId="0" xfId="153" applyFont="1" applyFill="1" applyAlignment="1">
      <alignment horizontal="center" vertical="center" wrapText="1"/>
    </xf>
    <xf numFmtId="0" fontId="20" fillId="0" borderId="0" xfId="148" applyFont="1"/>
    <xf numFmtId="0" fontId="21" fillId="33" borderId="0" xfId="148" applyFont="1" applyFill="1" applyAlignment="1">
      <alignment vertical="center"/>
    </xf>
    <xf numFmtId="0" fontId="20" fillId="0" borderId="0" xfId="148" applyFont="1" applyAlignment="1">
      <alignment vertical="center"/>
    </xf>
    <xf numFmtId="164" fontId="20" fillId="0" borderId="0" xfId="153" applyFont="1"/>
    <xf numFmtId="0" fontId="21" fillId="0" borderId="0" xfId="148" applyFont="1" applyAlignment="1">
      <alignment vertical="center"/>
    </xf>
    <xf numFmtId="164" fontId="21" fillId="0" borderId="0" xfId="153" applyFont="1"/>
    <xf numFmtId="164" fontId="21" fillId="0" borderId="0" xfId="153" applyFont="1" applyBorder="1"/>
    <xf numFmtId="0" fontId="21" fillId="42" borderId="0" xfId="148" applyFont="1" applyFill="1" applyAlignment="1">
      <alignment vertical="center"/>
    </xf>
    <xf numFmtId="164" fontId="21" fillId="42" borderId="0" xfId="153" applyFont="1" applyFill="1"/>
    <xf numFmtId="164" fontId="20" fillId="0" borderId="0" xfId="148" applyNumberFormat="1" applyFont="1"/>
    <xf numFmtId="164" fontId="21" fillId="0" borderId="0" xfId="148" applyNumberFormat="1" applyFont="1"/>
    <xf numFmtId="0" fontId="14" fillId="27" borderId="0" xfId="138" applyFill="1"/>
    <xf numFmtId="9" fontId="0" fillId="0" borderId="0" xfId="92" applyFont="1"/>
    <xf numFmtId="0" fontId="20" fillId="0" borderId="0" xfId="0" quotePrefix="1" applyFont="1"/>
    <xf numFmtId="0" fontId="0" fillId="0" borderId="26" xfId="0" applyBorder="1"/>
    <xf numFmtId="0" fontId="20" fillId="0" borderId="26" xfId="0" applyFont="1" applyBorder="1"/>
    <xf numFmtId="0" fontId="20" fillId="0" borderId="28" xfId="0" applyFont="1" applyBorder="1"/>
    <xf numFmtId="4" fontId="0" fillId="0" borderId="0" xfId="0" applyNumberFormat="1"/>
    <xf numFmtId="0" fontId="0" fillId="0" borderId="107" xfId="0" applyBorder="1"/>
    <xf numFmtId="4" fontId="0" fillId="0" borderId="107" xfId="0" applyNumberFormat="1" applyBorder="1"/>
    <xf numFmtId="0" fontId="20" fillId="0" borderId="107" xfId="0" applyFont="1" applyBorder="1"/>
    <xf numFmtId="4" fontId="21" fillId="0" borderId="107" xfId="0" applyNumberFormat="1" applyFont="1" applyBorder="1"/>
    <xf numFmtId="2" fontId="0" fillId="0" borderId="107" xfId="0" applyNumberFormat="1" applyBorder="1"/>
    <xf numFmtId="2" fontId="21" fillId="0" borderId="107" xfId="0" applyNumberFormat="1" applyFont="1" applyBorder="1"/>
    <xf numFmtId="0" fontId="0" fillId="0" borderId="80" xfId="0" applyBorder="1"/>
    <xf numFmtId="4" fontId="21" fillId="0" borderId="80" xfId="0" applyNumberFormat="1" applyFont="1" applyBorder="1"/>
    <xf numFmtId="0" fontId="21" fillId="32" borderId="107" xfId="0" applyFont="1" applyFill="1" applyBorder="1"/>
    <xf numFmtId="0" fontId="21" fillId="32" borderId="107" xfId="0" applyFont="1" applyFill="1" applyBorder="1" applyAlignment="1">
      <alignment horizontal="center"/>
    </xf>
    <xf numFmtId="0" fontId="0" fillId="0" borderId="114" xfId="0" applyBorder="1"/>
    <xf numFmtId="9" fontId="0" fillId="0" borderId="10" xfId="92" applyFont="1" applyBorder="1"/>
    <xf numFmtId="0" fontId="21" fillId="32" borderId="10" xfId="0" applyFont="1" applyFill="1" applyBorder="1"/>
    <xf numFmtId="164" fontId="21" fillId="32" borderId="10" xfId="0" applyNumberFormat="1" applyFont="1" applyFill="1" applyBorder="1"/>
    <xf numFmtId="0" fontId="21" fillId="32" borderId="10" xfId="0" applyFont="1" applyFill="1" applyBorder="1" applyAlignment="1">
      <alignment horizontal="center" vertical="center" wrapText="1"/>
    </xf>
    <xf numFmtId="43" fontId="21" fillId="32" borderId="10" xfId="37" applyFont="1" applyFill="1" applyBorder="1"/>
    <xf numFmtId="43" fontId="0" fillId="0" borderId="10" xfId="37" applyFont="1" applyBorder="1"/>
    <xf numFmtId="0" fontId="21" fillId="0" borderId="114" xfId="0" applyFont="1" applyBorder="1"/>
    <xf numFmtId="164" fontId="21" fillId="0" borderId="10" xfId="0" applyNumberFormat="1" applyFont="1" applyBorder="1"/>
    <xf numFmtId="0" fontId="21" fillId="32" borderId="10" xfId="0" applyFont="1" applyFill="1" applyBorder="1" applyAlignment="1">
      <alignment horizontal="center"/>
    </xf>
    <xf numFmtId="0" fontId="21" fillId="32" borderId="115" xfId="0" applyFont="1" applyFill="1" applyBorder="1"/>
    <xf numFmtId="0" fontId="21" fillId="32" borderId="115" xfId="0" applyFont="1" applyFill="1" applyBorder="1" applyAlignment="1">
      <alignment horizontal="center"/>
    </xf>
    <xf numFmtId="0" fontId="40" fillId="0" borderId="114" xfId="0" applyFont="1" applyBorder="1" applyAlignment="1">
      <alignment horizontal="right"/>
    </xf>
    <xf numFmtId="0" fontId="40" fillId="0" borderId="0" xfId="0" applyFont="1" applyAlignment="1">
      <alignment horizontal="right"/>
    </xf>
    <xf numFmtId="0" fontId="21" fillId="29" borderId="116" xfId="0" applyFont="1" applyFill="1" applyBorder="1" applyAlignment="1">
      <alignment horizontal="center"/>
    </xf>
    <xf numFmtId="0" fontId="21" fillId="29" borderId="117" xfId="0" applyFont="1" applyFill="1" applyBorder="1" applyAlignment="1">
      <alignment horizontal="center"/>
    </xf>
    <xf numFmtId="0" fontId="21" fillId="29" borderId="118" xfId="0" applyFont="1" applyFill="1" applyBorder="1" applyAlignment="1">
      <alignment horizontal="center"/>
    </xf>
    <xf numFmtId="0" fontId="21" fillId="29" borderId="26" xfId="0" applyFont="1" applyFill="1" applyBorder="1"/>
    <xf numFmtId="43" fontId="0" fillId="0" borderId="27" xfId="37" applyFont="1" applyBorder="1"/>
    <xf numFmtId="43" fontId="21" fillId="29" borderId="10" xfId="37" applyFont="1" applyFill="1" applyBorder="1"/>
    <xf numFmtId="43" fontId="21" fillId="29" borderId="27" xfId="37" applyFont="1" applyFill="1" applyBorder="1"/>
    <xf numFmtId="43" fontId="0" fillId="0" borderId="29" xfId="37" applyFont="1" applyBorder="1"/>
    <xf numFmtId="43" fontId="0" fillId="0" borderId="30" xfId="37" applyFont="1" applyBorder="1"/>
    <xf numFmtId="0" fontId="21" fillId="32" borderId="27" xfId="0" applyFont="1" applyFill="1" applyBorder="1" applyAlignment="1">
      <alignment horizontal="center" vertical="center" wrapText="1"/>
    </xf>
    <xf numFmtId="0" fontId="21" fillId="0" borderId="26" xfId="0" applyFont="1" applyBorder="1"/>
    <xf numFmtId="0" fontId="20" fillId="0" borderId="26" xfId="0" applyFont="1" applyBorder="1" applyAlignment="1">
      <alignment wrapText="1"/>
    </xf>
    <xf numFmtId="0" fontId="21" fillId="32" borderId="28" xfId="0" applyFont="1" applyFill="1" applyBorder="1"/>
    <xf numFmtId="0" fontId="0" fillId="32" borderId="29" xfId="0" applyFill="1" applyBorder="1"/>
    <xf numFmtId="164" fontId="21" fillId="32" borderId="30" xfId="0" applyNumberFormat="1" applyFont="1" applyFill="1" applyBorder="1"/>
    <xf numFmtId="0" fontId="21" fillId="0" borderId="0" xfId="78" applyFont="1" applyAlignment="1">
      <alignment horizontal="center" vertical="center"/>
    </xf>
    <xf numFmtId="0" fontId="21" fillId="32" borderId="0" xfId="0" applyFont="1" applyFill="1" applyAlignment="1">
      <alignment horizontal="center" vertical="center" wrapText="1"/>
    </xf>
    <xf numFmtId="10" fontId="21" fillId="0" borderId="0" xfId="0" applyNumberFormat="1" applyFont="1"/>
    <xf numFmtId="0" fontId="25" fillId="0" borderId="0" xfId="120" applyFont="1" applyFill="1" applyAlignment="1">
      <alignment horizontal="center" vertical="center"/>
    </xf>
    <xf numFmtId="9" fontId="34" fillId="0" borderId="0" xfId="104" applyFont="1" applyFill="1" applyBorder="1" applyAlignment="1">
      <alignment horizontal="center" vertical="center"/>
    </xf>
    <xf numFmtId="0" fontId="116" fillId="0" borderId="10" xfId="120" applyFont="1" applyFill="1" applyBorder="1" applyAlignment="1">
      <alignment horizontal="center" vertical="center" wrapText="1"/>
    </xf>
    <xf numFmtId="0" fontId="21" fillId="0" borderId="0" xfId="148" applyFont="1"/>
    <xf numFmtId="193" fontId="47" fillId="0" borderId="0" xfId="0" applyNumberFormat="1" applyFont="1" applyAlignment="1">
      <alignment horizontal="center" vertical="center" wrapText="1"/>
    </xf>
    <xf numFmtId="0" fontId="186" fillId="43" borderId="119" xfId="0" applyFont="1" applyFill="1" applyBorder="1" applyAlignment="1">
      <alignment horizontal="center" vertical="center" wrapText="1"/>
    </xf>
    <xf numFmtId="0" fontId="186" fillId="43" borderId="119" xfId="0" applyFont="1" applyFill="1" applyBorder="1" applyAlignment="1">
      <alignment horizontal="left" vertical="center" wrapText="1" indent="1"/>
    </xf>
    <xf numFmtId="0" fontId="187" fillId="0" borderId="119" xfId="0" applyFont="1" applyBorder="1" applyAlignment="1">
      <alignment horizontal="center" vertical="center" wrapText="1"/>
    </xf>
    <xf numFmtId="0" fontId="187" fillId="0" borderId="119" xfId="0" applyFont="1" applyBorder="1" applyAlignment="1">
      <alignment horizontal="left" vertical="center" wrapText="1" indent="1"/>
    </xf>
    <xf numFmtId="0" fontId="186" fillId="0" borderId="119" xfId="0" applyFont="1" applyBorder="1" applyAlignment="1">
      <alignment horizontal="left" vertical="center" wrapText="1" indent="1"/>
    </xf>
    <xf numFmtId="0" fontId="21" fillId="0" borderId="119" xfId="0" applyFont="1" applyBorder="1"/>
    <xf numFmtId="4" fontId="187" fillId="0" borderId="119" xfId="0" applyNumberFormat="1" applyFont="1" applyBorder="1" applyAlignment="1">
      <alignment horizontal="center" vertical="center" wrapText="1"/>
    </xf>
    <xf numFmtId="0" fontId="21" fillId="0" borderId="121" xfId="0" applyFont="1" applyBorder="1" applyAlignment="1">
      <alignment horizontal="center"/>
    </xf>
    <xf numFmtId="0" fontId="21" fillId="0" borderId="121" xfId="0" applyFont="1" applyBorder="1"/>
    <xf numFmtId="0" fontId="21" fillId="0" borderId="114" xfId="0" applyFont="1" applyBorder="1" applyAlignment="1">
      <alignment horizontal="center"/>
    </xf>
    <xf numFmtId="0" fontId="20" fillId="0" borderId="5" xfId="0" applyFont="1" applyBorder="1"/>
    <xf numFmtId="0" fontId="21" fillId="0" borderId="122" xfId="0" applyFont="1" applyBorder="1"/>
    <xf numFmtId="43" fontId="21" fillId="0" borderId="122" xfId="0" applyNumberFormat="1" applyFont="1" applyBorder="1"/>
    <xf numFmtId="0" fontId="189" fillId="43" borderId="120" xfId="0" applyFont="1" applyFill="1" applyBorder="1" applyAlignment="1">
      <alignment vertical="center" wrapText="1"/>
    </xf>
    <xf numFmtId="0" fontId="188" fillId="43" borderId="120" xfId="0" applyFont="1" applyFill="1" applyBorder="1" applyAlignment="1">
      <alignment horizontal="center" vertical="center" wrapText="1"/>
    </xf>
    <xf numFmtId="0" fontId="190" fillId="0" borderId="120" xfId="0" applyFont="1" applyBorder="1" applyAlignment="1">
      <alignment horizontal="center" vertical="center" wrapText="1"/>
    </xf>
    <xf numFmtId="0" fontId="190" fillId="0" borderId="120" xfId="0" applyFont="1" applyBorder="1" applyAlignment="1">
      <alignment horizontal="left" vertical="center" wrapText="1" indent="1"/>
    </xf>
    <xf numFmtId="0" fontId="189" fillId="0" borderId="120" xfId="0" applyFont="1" applyBorder="1" applyAlignment="1">
      <alignment vertical="center" wrapText="1"/>
    </xf>
    <xf numFmtId="0" fontId="64" fillId="0" borderId="120" xfId="0" applyFont="1" applyBorder="1" applyAlignment="1">
      <alignment vertical="center" wrapText="1"/>
    </xf>
    <xf numFmtId="0" fontId="188" fillId="0" borderId="120" xfId="0" applyFont="1" applyBorder="1" applyAlignment="1">
      <alignment horizontal="center" vertical="center" wrapText="1"/>
    </xf>
    <xf numFmtId="0" fontId="188" fillId="0" borderId="120" xfId="0" applyFont="1" applyBorder="1" applyAlignment="1">
      <alignment horizontal="left" vertical="center" wrapText="1" indent="1"/>
    </xf>
    <xf numFmtId="164" fontId="190" fillId="0" borderId="120" xfId="0" applyNumberFormat="1" applyFont="1" applyBorder="1" applyAlignment="1">
      <alignment horizontal="center" vertical="center" wrapText="1"/>
    </xf>
    <xf numFmtId="164" fontId="188" fillId="0" borderId="120" xfId="0" applyNumberFormat="1" applyFont="1" applyBorder="1" applyAlignment="1">
      <alignment horizontal="center" vertical="center" wrapText="1"/>
    </xf>
    <xf numFmtId="0" fontId="21" fillId="0" borderId="123" xfId="0" applyFont="1" applyBorder="1"/>
    <xf numFmtId="164" fontId="21" fillId="0" borderId="123" xfId="0" applyNumberFormat="1" applyFont="1" applyBorder="1"/>
    <xf numFmtId="0" fontId="191" fillId="0" borderId="6" xfId="0" applyFont="1" applyBorder="1"/>
    <xf numFmtId="0" fontId="0" fillId="0" borderId="6" xfId="0" applyBorder="1"/>
    <xf numFmtId="164" fontId="0" fillId="0" borderId="6" xfId="0" applyNumberFormat="1" applyBorder="1"/>
    <xf numFmtId="0" fontId="20" fillId="0" borderId="6" xfId="0" applyFont="1" applyBorder="1"/>
    <xf numFmtId="0" fontId="20" fillId="0" borderId="124" xfId="0" applyFont="1" applyBorder="1"/>
    <xf numFmtId="164" fontId="0" fillId="0" borderId="124" xfId="0" applyNumberFormat="1" applyBorder="1"/>
    <xf numFmtId="0" fontId="21" fillId="32" borderId="123" xfId="0" applyFont="1" applyFill="1" applyBorder="1"/>
    <xf numFmtId="164" fontId="21" fillId="32" borderId="123" xfId="0" applyNumberFormat="1" applyFont="1" applyFill="1" applyBorder="1" applyAlignment="1">
      <alignment horizontal="center"/>
    </xf>
    <xf numFmtId="43" fontId="47" fillId="0" borderId="0" xfId="37" applyFont="1" applyFill="1" applyBorder="1" applyAlignment="1">
      <alignment horizontal="center" vertical="center" wrapText="1"/>
    </xf>
    <xf numFmtId="171" fontId="47" fillId="0" borderId="0" xfId="78" applyNumberFormat="1" applyFont="1" applyAlignment="1">
      <alignment vertical="center"/>
    </xf>
    <xf numFmtId="171" fontId="44" fillId="0" borderId="0" xfId="78" applyNumberFormat="1" applyFont="1" applyAlignment="1">
      <alignment vertical="center"/>
    </xf>
    <xf numFmtId="192" fontId="185" fillId="0" borderId="0" xfId="37" applyNumberFormat="1" applyFont="1" applyFill="1" applyBorder="1" applyAlignment="1">
      <alignment vertical="center"/>
    </xf>
    <xf numFmtId="164" fontId="21" fillId="0" borderId="0" xfId="0" applyNumberFormat="1" applyFont="1"/>
    <xf numFmtId="0" fontId="9" fillId="0" borderId="0" xfId="158"/>
    <xf numFmtId="0" fontId="171" fillId="31" borderId="32" xfId="158" applyFont="1" applyFill="1" applyBorder="1" applyAlignment="1">
      <alignment horizontal="center" wrapText="1"/>
    </xf>
    <xf numFmtId="0" fontId="171" fillId="31" borderId="33" xfId="158" applyFont="1" applyFill="1" applyBorder="1" applyAlignment="1">
      <alignment horizontal="center" wrapText="1"/>
    </xf>
    <xf numFmtId="0" fontId="176" fillId="27" borderId="18" xfId="158" applyFont="1" applyFill="1" applyBorder="1" applyAlignment="1">
      <alignment horizontal="center" wrapText="1"/>
    </xf>
    <xf numFmtId="0" fontId="176" fillId="27" borderId="110" xfId="158" applyFont="1" applyFill="1" applyBorder="1" applyAlignment="1">
      <alignment horizontal="center" wrapText="1"/>
    </xf>
    <xf numFmtId="0" fontId="192" fillId="44" borderId="80" xfId="158" applyFont="1" applyFill="1" applyBorder="1" applyAlignment="1">
      <alignment horizontal="center" wrapText="1"/>
    </xf>
    <xf numFmtId="0" fontId="193" fillId="31" borderId="110" xfId="158" applyFont="1" applyFill="1" applyBorder="1" applyAlignment="1">
      <alignment horizontal="center" wrapText="1"/>
    </xf>
    <xf numFmtId="0" fontId="192" fillId="27" borderId="80" xfId="158" applyFont="1" applyFill="1" applyBorder="1" applyAlignment="1">
      <alignment horizontal="center" wrapText="1"/>
    </xf>
    <xf numFmtId="0" fontId="163" fillId="27" borderId="110" xfId="158" applyFont="1" applyFill="1" applyBorder="1" applyAlignment="1">
      <alignment horizontal="center" wrapText="1"/>
    </xf>
    <xf numFmtId="0" fontId="164" fillId="31" borderId="33" xfId="158" applyFont="1" applyFill="1" applyBorder="1" applyAlignment="1">
      <alignment horizontal="center" wrapText="1"/>
    </xf>
    <xf numFmtId="0" fontId="164" fillId="31" borderId="20" xfId="158" applyFont="1" applyFill="1" applyBorder="1" applyAlignment="1">
      <alignment horizontal="center" wrapText="1"/>
    </xf>
    <xf numFmtId="0" fontId="164" fillId="31" borderId="114" xfId="158" applyFont="1" applyFill="1" applyBorder="1" applyAlignment="1">
      <alignment horizontal="center" wrapText="1"/>
    </xf>
    <xf numFmtId="0" fontId="194" fillId="31" borderId="10" xfId="158" applyFont="1" applyFill="1" applyBorder="1" applyAlignment="1">
      <alignment wrapText="1"/>
    </xf>
    <xf numFmtId="0" fontId="164" fillId="31" borderId="110" xfId="158" applyFont="1" applyFill="1" applyBorder="1" applyAlignment="1">
      <alignment horizontal="right" wrapText="1"/>
    </xf>
    <xf numFmtId="0" fontId="164" fillId="31" borderId="0" xfId="158" applyFont="1" applyFill="1" applyAlignment="1">
      <alignment wrapText="1"/>
    </xf>
    <xf numFmtId="0" fontId="195" fillId="31" borderId="10" xfId="158" applyFont="1" applyFill="1" applyBorder="1" applyAlignment="1">
      <alignment wrapText="1"/>
    </xf>
    <xf numFmtId="0" fontId="164" fillId="31" borderId="110" xfId="158" applyFont="1" applyFill="1" applyBorder="1" applyAlignment="1">
      <alignment horizontal="center" wrapText="1"/>
    </xf>
    <xf numFmtId="0" fontId="164" fillId="31" borderId="110" xfId="158" applyFont="1" applyFill="1" applyBorder="1" applyAlignment="1">
      <alignment wrapText="1"/>
    </xf>
    <xf numFmtId="0" fontId="164" fillId="31" borderId="33" xfId="158" applyFont="1" applyFill="1" applyBorder="1" applyAlignment="1">
      <alignment wrapText="1"/>
    </xf>
    <xf numFmtId="0" fontId="192" fillId="44" borderId="0" xfId="158" applyFont="1" applyFill="1" applyAlignment="1">
      <alignment horizontal="center" wrapText="1"/>
    </xf>
    <xf numFmtId="0" fontId="9" fillId="0" borderId="10" xfId="158" applyBorder="1"/>
    <xf numFmtId="0" fontId="9" fillId="0" borderId="10" xfId="158" applyBorder="1" applyAlignment="1">
      <alignment horizontal="center"/>
    </xf>
    <xf numFmtId="0" fontId="192" fillId="44" borderId="10" xfId="158" applyFont="1" applyFill="1" applyBorder="1" applyAlignment="1">
      <alignment horizontal="center" wrapText="1"/>
    </xf>
    <xf numFmtId="9" fontId="9" fillId="0" borderId="0" xfId="158" applyNumberFormat="1"/>
    <xf numFmtId="164" fontId="131" fillId="0" borderId="10" xfId="159" applyFont="1" applyBorder="1"/>
    <xf numFmtId="164" fontId="131" fillId="0" borderId="0" xfId="158" applyNumberFormat="1" applyFont="1"/>
    <xf numFmtId="0" fontId="196" fillId="45" borderId="110" xfId="0" applyFont="1" applyFill="1" applyBorder="1" applyAlignment="1">
      <alignment horizontal="center" vertical="center"/>
    </xf>
    <xf numFmtId="0" fontId="197" fillId="31" borderId="110" xfId="0" applyFont="1" applyFill="1" applyBorder="1" applyAlignment="1">
      <alignment horizontal="center" vertical="center"/>
    </xf>
    <xf numFmtId="0" fontId="64" fillId="31" borderId="110" xfId="0" applyFont="1" applyFill="1" applyBorder="1"/>
    <xf numFmtId="0" fontId="197" fillId="31" borderId="110" xfId="0" applyFont="1" applyFill="1" applyBorder="1" applyAlignment="1">
      <alignment vertical="center"/>
    </xf>
    <xf numFmtId="0" fontId="197" fillId="31" borderId="114" xfId="0" applyFont="1" applyFill="1" applyBorder="1" applyAlignment="1">
      <alignment vertical="center"/>
    </xf>
    <xf numFmtId="0" fontId="196" fillId="45" borderId="110" xfId="0" applyFont="1" applyFill="1" applyBorder="1" applyAlignment="1">
      <alignment horizontal="center" vertical="center" wrapText="1"/>
    </xf>
    <xf numFmtId="0" fontId="196" fillId="45" borderId="114" xfId="0" applyFont="1" applyFill="1" applyBorder="1" applyAlignment="1">
      <alignment vertical="center"/>
    </xf>
    <xf numFmtId="0" fontId="196" fillId="46" borderId="110" xfId="0" applyFont="1" applyFill="1" applyBorder="1" applyAlignment="1">
      <alignment vertical="center"/>
    </xf>
    <xf numFmtId="0" fontId="196" fillId="47" borderId="18" xfId="0" applyFont="1" applyFill="1" applyBorder="1" applyAlignment="1">
      <alignment vertical="center"/>
    </xf>
    <xf numFmtId="0" fontId="64" fillId="31" borderId="18" xfId="0" applyFont="1" applyFill="1" applyBorder="1"/>
    <xf numFmtId="0" fontId="197" fillId="31" borderId="18" xfId="0" applyFont="1" applyFill="1" applyBorder="1" applyAlignment="1">
      <alignment horizontal="center" vertical="center"/>
    </xf>
    <xf numFmtId="0" fontId="197" fillId="31" borderId="0" xfId="0" applyFont="1" applyFill="1" applyAlignment="1">
      <alignment vertical="center"/>
    </xf>
    <xf numFmtId="0" fontId="188" fillId="43" borderId="125" xfId="0" applyFont="1" applyFill="1" applyBorder="1" applyAlignment="1">
      <alignment horizontal="center" vertical="center" wrapText="1"/>
    </xf>
    <xf numFmtId="0" fontId="188" fillId="43" borderId="125" xfId="0" applyFont="1" applyFill="1" applyBorder="1" applyAlignment="1">
      <alignment horizontal="left" vertical="center" wrapText="1" indent="1"/>
    </xf>
    <xf numFmtId="0" fontId="189" fillId="43" borderId="125" xfId="0" applyFont="1" applyFill="1" applyBorder="1" applyAlignment="1">
      <alignment vertical="center" wrapText="1"/>
    </xf>
    <xf numFmtId="0" fontId="188" fillId="43" borderId="125" xfId="0" applyFont="1" applyFill="1" applyBorder="1" applyAlignment="1">
      <alignment vertical="center" wrapText="1"/>
    </xf>
    <xf numFmtId="0" fontId="0" fillId="0" borderId="119" xfId="0" applyBorder="1" applyAlignment="1">
      <alignment horizontal="center"/>
    </xf>
    <xf numFmtId="0" fontId="190" fillId="0" borderId="119" xfId="0" applyFont="1" applyBorder="1" applyAlignment="1">
      <alignment vertical="center" wrapText="1"/>
    </xf>
    <xf numFmtId="164" fontId="190" fillId="0" borderId="119" xfId="0" applyNumberFormat="1" applyFont="1" applyBorder="1" applyAlignment="1">
      <alignment horizontal="center" vertical="center" wrapText="1"/>
    </xf>
    <xf numFmtId="0" fontId="0" fillId="0" borderId="119" xfId="0" applyBorder="1"/>
    <xf numFmtId="0" fontId="21" fillId="0" borderId="119" xfId="0" applyFont="1" applyBorder="1" applyAlignment="1">
      <alignment horizontal="center"/>
    </xf>
    <xf numFmtId="0" fontId="188" fillId="0" borderId="119" xfId="0" applyFont="1" applyBorder="1" applyAlignment="1">
      <alignment vertical="center" wrapText="1"/>
    </xf>
    <xf numFmtId="164" fontId="21" fillId="0" borderId="119" xfId="0" applyNumberFormat="1" applyFont="1" applyBorder="1"/>
    <xf numFmtId="0" fontId="21" fillId="0" borderId="126" xfId="0" applyFont="1" applyBorder="1" applyAlignment="1">
      <alignment horizontal="center"/>
    </xf>
    <xf numFmtId="0" fontId="188" fillId="0" borderId="126" xfId="0" applyFont="1" applyBorder="1" applyAlignment="1">
      <alignment vertical="center" wrapText="1"/>
    </xf>
    <xf numFmtId="164" fontId="21" fillId="0" borderId="126" xfId="0" applyNumberFormat="1" applyFont="1" applyBorder="1"/>
    <xf numFmtId="0" fontId="21" fillId="0" borderId="126" xfId="0" applyFont="1" applyBorder="1"/>
    <xf numFmtId="43" fontId="129" fillId="28" borderId="0" xfId="148" applyNumberFormat="1" applyFont="1" applyFill="1"/>
    <xf numFmtId="2" fontId="22" fillId="0" borderId="0" xfId="120" applyNumberFormat="1" applyFont="1" applyFill="1"/>
    <xf numFmtId="1" fontId="33" fillId="0" borderId="0" xfId="120" applyNumberFormat="1" applyFill="1"/>
    <xf numFmtId="1" fontId="153" fillId="0" borderId="0" xfId="120" applyNumberFormat="1" applyFont="1" applyFill="1"/>
    <xf numFmtId="188" fontId="47" fillId="0" borderId="0" xfId="37" applyNumberFormat="1" applyFont="1" applyAlignment="1">
      <alignment vertical="center"/>
    </xf>
    <xf numFmtId="0" fontId="33" fillId="0" borderId="128" xfId="121" applyFill="1" applyBorder="1" applyAlignment="1">
      <alignment horizontal="center" vertical="center" wrapText="1"/>
    </xf>
    <xf numFmtId="3" fontId="50" fillId="0" borderId="10" xfId="78" applyNumberFormat="1" applyFont="1" applyBorder="1" applyAlignment="1">
      <alignment horizontal="center" vertical="center" wrapText="1"/>
    </xf>
    <xf numFmtId="0" fontId="50" fillId="0" borderId="129" xfId="83" applyFont="1" applyBorder="1" applyAlignment="1">
      <alignment horizontal="center" vertical="center" wrapText="1"/>
    </xf>
    <xf numFmtId="0" fontId="50" fillId="0" borderId="54" xfId="83" applyFont="1" applyBorder="1" applyAlignment="1">
      <alignment horizontal="center" vertical="center" wrapText="1"/>
    </xf>
    <xf numFmtId="9" fontId="33" fillId="0" borderId="0" xfId="92" applyFont="1" applyFill="1" applyAlignment="1">
      <alignment vertical="center"/>
    </xf>
    <xf numFmtId="0" fontId="131" fillId="0" borderId="0" xfId="78" applyFont="1"/>
    <xf numFmtId="1" fontId="131" fillId="0" borderId="0" xfId="78" applyNumberFormat="1" applyFont="1" applyAlignment="1">
      <alignment horizontal="right"/>
    </xf>
    <xf numFmtId="1" fontId="20" fillId="0" borderId="0" xfId="78" applyNumberFormat="1"/>
    <xf numFmtId="0" fontId="133" fillId="0" borderId="0" xfId="78" applyFont="1" applyAlignment="1">
      <alignment horizontal="right"/>
    </xf>
    <xf numFmtId="184" fontId="20" fillId="0" borderId="0" xfId="78" applyNumberFormat="1" applyAlignment="1">
      <alignment horizontal="left"/>
    </xf>
    <xf numFmtId="0" fontId="131" fillId="0" borderId="0" xfId="78" applyFont="1" applyAlignment="1">
      <alignment horizontal="left"/>
    </xf>
    <xf numFmtId="0" fontId="22" fillId="0" borderId="0" xfId="0" applyFont="1" applyAlignment="1">
      <alignment vertical="center"/>
    </xf>
    <xf numFmtId="0" fontId="0" fillId="0" borderId="0" xfId="0" applyAlignment="1">
      <alignment horizontal="center" vertical="center"/>
    </xf>
    <xf numFmtId="2" fontId="153" fillId="0" borderId="10" xfId="0" applyNumberFormat="1" applyFont="1" applyBorder="1" applyAlignment="1">
      <alignment horizontal="center" vertical="center"/>
    </xf>
    <xf numFmtId="1" fontId="22" fillId="0" borderId="10" xfId="0" applyNumberFormat="1" applyFont="1" applyBorder="1" applyAlignment="1">
      <alignment horizontal="center" vertical="center"/>
    </xf>
    <xf numFmtId="1" fontId="153" fillId="0" borderId="10" xfId="0" applyNumberFormat="1" applyFont="1" applyBorder="1" applyAlignment="1">
      <alignment horizontal="center" vertical="center"/>
    </xf>
    <xf numFmtId="2" fontId="0" fillId="0" borderId="0" xfId="0" applyNumberFormat="1" applyAlignment="1">
      <alignment vertical="center"/>
    </xf>
    <xf numFmtId="0" fontId="21" fillId="0" borderId="0" xfId="0" applyFont="1" applyAlignment="1">
      <alignment horizontal="center" vertical="center"/>
    </xf>
    <xf numFmtId="1" fontId="0" fillId="0" borderId="0" xfId="0" applyNumberFormat="1" applyAlignment="1">
      <alignment vertical="center"/>
    </xf>
    <xf numFmtId="0" fontId="118" fillId="0" borderId="0" xfId="0" applyFont="1" applyAlignment="1">
      <alignment vertical="center"/>
    </xf>
    <xf numFmtId="0" fontId="27" fillId="0" borderId="0" xfId="76" applyFont="1" applyAlignment="1">
      <alignment vertical="center"/>
    </xf>
    <xf numFmtId="0" fontId="129" fillId="0" borderId="10" xfId="0" applyFont="1" applyBorder="1" applyAlignment="1">
      <alignment horizontal="center" vertical="center"/>
    </xf>
    <xf numFmtId="0" fontId="130" fillId="0" borderId="10" xfId="0" applyFont="1" applyBorder="1" applyAlignment="1">
      <alignment horizontal="center" vertical="center"/>
    </xf>
    <xf numFmtId="43" fontId="130" fillId="0" borderId="10" xfId="37" applyFont="1" applyBorder="1" applyAlignment="1">
      <alignment horizontal="center" vertical="center"/>
    </xf>
    <xf numFmtId="43" fontId="129" fillId="0" borderId="10" xfId="37" applyFont="1" applyBorder="1" applyAlignment="1">
      <alignment horizontal="center" vertical="center"/>
    </xf>
    <xf numFmtId="0" fontId="130" fillId="43" borderId="10" xfId="0" applyFont="1" applyFill="1" applyBorder="1" applyAlignment="1">
      <alignment horizontal="center" vertical="center" wrapText="1"/>
    </xf>
    <xf numFmtId="0" fontId="130" fillId="43" borderId="10" xfId="0" applyFont="1" applyFill="1" applyBorder="1" applyAlignment="1">
      <alignment horizontal="left" vertical="center" wrapText="1"/>
    </xf>
    <xf numFmtId="0" fontId="129" fillId="0" borderId="10" xfId="0" applyFont="1" applyBorder="1" applyAlignment="1">
      <alignment vertical="center" wrapText="1"/>
    </xf>
    <xf numFmtId="43" fontId="129" fillId="0" borderId="10" xfId="37" applyFont="1" applyBorder="1" applyAlignment="1">
      <alignment horizontal="center" vertical="center" wrapText="1"/>
    </xf>
    <xf numFmtId="0" fontId="130" fillId="0" borderId="10" xfId="0" applyFont="1" applyBorder="1" applyAlignment="1">
      <alignment vertical="center" wrapText="1"/>
    </xf>
    <xf numFmtId="43" fontId="130" fillId="0" borderId="10" xfId="37" applyFont="1" applyBorder="1" applyAlignment="1">
      <alignment horizontal="center" vertical="center" wrapText="1"/>
    </xf>
    <xf numFmtId="164" fontId="21" fillId="0" borderId="10" xfId="0" applyNumberFormat="1" applyFont="1" applyBorder="1" applyAlignment="1">
      <alignment vertical="center"/>
    </xf>
    <xf numFmtId="2" fontId="0" fillId="0" borderId="10" xfId="37" applyNumberFormat="1" applyFont="1" applyBorder="1" applyAlignment="1">
      <alignment vertical="center"/>
    </xf>
    <xf numFmtId="2" fontId="21" fillId="0" borderId="10" xfId="37" applyNumberFormat="1" applyFont="1" applyBorder="1" applyAlignment="1">
      <alignment vertical="center"/>
    </xf>
    <xf numFmtId="4" fontId="0" fillId="0" borderId="10" xfId="37" applyNumberFormat="1" applyFont="1" applyBorder="1" applyAlignment="1">
      <alignment vertical="center"/>
    </xf>
    <xf numFmtId="4" fontId="21" fillId="0" borderId="10" xfId="0" applyNumberFormat="1" applyFont="1" applyBorder="1" applyAlignment="1">
      <alignment vertical="center"/>
    </xf>
    <xf numFmtId="2" fontId="21" fillId="0" borderId="123" xfId="0" applyNumberFormat="1" applyFont="1" applyBorder="1"/>
    <xf numFmtId="2" fontId="0" fillId="0" borderId="6" xfId="0" applyNumberFormat="1" applyBorder="1"/>
    <xf numFmtId="2" fontId="0" fillId="0" borderId="124" xfId="0" applyNumberFormat="1" applyBorder="1"/>
    <xf numFmtId="2" fontId="50" fillId="0" borderId="0" xfId="86" applyNumberFormat="1" applyFont="1" applyFill="1" applyAlignment="1">
      <alignment horizontal="center" vertical="center" wrapText="1"/>
    </xf>
    <xf numFmtId="0" fontId="95" fillId="0" borderId="10" xfId="86" applyFont="1" applyFill="1" applyBorder="1" applyAlignment="1">
      <alignment horizontal="center" vertical="center" wrapText="1"/>
    </xf>
    <xf numFmtId="43" fontId="33" fillId="0" borderId="0" xfId="37" applyFont="1" applyFill="1" applyBorder="1" applyAlignment="1">
      <alignment vertical="center"/>
    </xf>
    <xf numFmtId="43" fontId="22" fillId="0" borderId="0" xfId="37" applyFont="1" applyFill="1" applyBorder="1" applyAlignment="1">
      <alignment vertical="center"/>
    </xf>
    <xf numFmtId="10" fontId="21" fillId="0" borderId="0" xfId="120" applyNumberFormat="1" applyFont="1" applyFill="1" applyAlignment="1">
      <alignment vertical="center"/>
    </xf>
    <xf numFmtId="10" fontId="21" fillId="0" borderId="0" xfId="92" applyNumberFormat="1" applyFont="1" applyFill="1" applyBorder="1" applyAlignment="1">
      <alignment vertical="center"/>
    </xf>
    <xf numFmtId="1" fontId="47" fillId="0" borderId="0" xfId="0" applyNumberFormat="1" applyFont="1" applyAlignment="1">
      <alignment vertical="center"/>
    </xf>
    <xf numFmtId="195" fontId="47" fillId="0" borderId="0" xfId="0" applyNumberFormat="1" applyFont="1" applyAlignment="1">
      <alignment horizontal="center" vertical="center" wrapText="1"/>
    </xf>
    <xf numFmtId="171" fontId="43" fillId="0" borderId="0" xfId="78" applyNumberFormat="1" applyFont="1" applyAlignment="1">
      <alignment vertical="center"/>
    </xf>
    <xf numFmtId="171" fontId="52" fillId="0" borderId="0" xfId="78" applyNumberFormat="1" applyFont="1" applyAlignment="1">
      <alignment horizontal="right" vertical="center"/>
    </xf>
    <xf numFmtId="171" fontId="48" fillId="0" borderId="0" xfId="78" applyNumberFormat="1" applyFont="1" applyAlignment="1">
      <alignment horizontal="center" vertical="center"/>
    </xf>
    <xf numFmtId="171" fontId="44" fillId="0" borderId="0" xfId="78" applyNumberFormat="1" applyFont="1" applyAlignment="1">
      <alignment horizontal="center" vertical="center"/>
    </xf>
    <xf numFmtId="9" fontId="47" fillId="0" borderId="0" xfId="0" applyNumberFormat="1" applyFont="1" applyAlignment="1">
      <alignment horizontal="center" vertical="center" wrapText="1"/>
    </xf>
    <xf numFmtId="168"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194" fontId="47" fillId="0" borderId="0" xfId="0" applyNumberFormat="1" applyFont="1" applyAlignment="1">
      <alignment horizontal="center" vertical="center" wrapText="1"/>
    </xf>
    <xf numFmtId="171" fontId="167" fillId="0" borderId="0" xfId="0" applyNumberFormat="1" applyFont="1" applyAlignment="1">
      <alignment horizontal="center" vertical="center" wrapText="1"/>
    </xf>
    <xf numFmtId="10" fontId="0" fillId="27" borderId="10" xfId="92" applyNumberFormat="1" applyFont="1" applyFill="1" applyBorder="1"/>
    <xf numFmtId="0" fontId="200" fillId="0" borderId="10" xfId="0" applyFont="1" applyBorder="1" applyAlignment="1">
      <alignment horizontal="center" vertical="center" wrapText="1" readingOrder="1"/>
    </xf>
    <xf numFmtId="0" fontId="201" fillId="0" borderId="10" xfId="0" applyFont="1" applyBorder="1" applyAlignment="1">
      <alignment horizontal="center" vertical="center" wrapText="1" readingOrder="1"/>
    </xf>
    <xf numFmtId="0" fontId="201" fillId="0" borderId="10" xfId="0" applyFont="1" applyBorder="1" applyAlignment="1">
      <alignment horizontal="left" vertical="center" wrapText="1" readingOrder="1"/>
    </xf>
    <xf numFmtId="2" fontId="201" fillId="0" borderId="10" xfId="0" applyNumberFormat="1" applyFont="1" applyBorder="1" applyAlignment="1">
      <alignment horizontal="center" vertical="center" wrapText="1" readingOrder="1"/>
    </xf>
    <xf numFmtId="0" fontId="202" fillId="0" borderId="10" xfId="0" applyFont="1" applyBorder="1" applyAlignment="1">
      <alignment horizontal="left" vertical="center" wrapText="1" readingOrder="1"/>
    </xf>
    <xf numFmtId="2" fontId="200" fillId="0" borderId="10" xfId="0" applyNumberFormat="1" applyFont="1" applyBorder="1" applyAlignment="1">
      <alignment horizontal="center" vertical="center" wrapText="1" readingOrder="1"/>
    </xf>
    <xf numFmtId="0" fontId="64" fillId="0" borderId="0" xfId="80" applyFont="1" applyAlignment="1">
      <alignment horizontal="center" vertical="center"/>
    </xf>
    <xf numFmtId="0" fontId="20" fillId="0" borderId="0" xfId="80" applyAlignment="1">
      <alignment vertical="center"/>
    </xf>
    <xf numFmtId="0" fontId="59" fillId="0" borderId="130" xfId="80" applyFont="1" applyBorder="1" applyAlignment="1">
      <alignment horizontal="center" vertical="center" wrapText="1"/>
    </xf>
    <xf numFmtId="0" fontId="59" fillId="0" borderId="131" xfId="80" applyFont="1" applyBorder="1" applyAlignment="1">
      <alignment horizontal="center" vertical="center" wrapText="1"/>
    </xf>
    <xf numFmtId="0" fontId="59" fillId="0" borderId="132" xfId="80" applyFont="1" applyBorder="1" applyAlignment="1">
      <alignment horizontal="center" vertical="center" wrapText="1"/>
    </xf>
    <xf numFmtId="0" fontId="64" fillId="0" borderId="56" xfId="80" applyFont="1" applyBorder="1" applyAlignment="1">
      <alignment horizontal="center" vertical="center"/>
    </xf>
    <xf numFmtId="0" fontId="64" fillId="0" borderId="17" xfId="80" applyFont="1" applyBorder="1" applyAlignment="1">
      <alignment horizontal="center" vertical="center"/>
    </xf>
    <xf numFmtId="0" fontId="64" fillId="0" borderId="18" xfId="80" applyFont="1" applyBorder="1" applyAlignment="1">
      <alignment horizontal="center" vertical="center"/>
    </xf>
    <xf numFmtId="0" fontId="59" fillId="0" borderId="18" xfId="80" applyFont="1" applyBorder="1" applyAlignment="1">
      <alignment horizontal="center" vertical="center" wrapText="1"/>
    </xf>
    <xf numFmtId="0" fontId="75" fillId="0" borderId="18" xfId="80" applyFont="1" applyBorder="1" applyAlignment="1">
      <alignment horizontal="center" vertical="center" wrapText="1"/>
    </xf>
    <xf numFmtId="0" fontId="59" fillId="0" borderId="17" xfId="80" applyFont="1" applyBorder="1" applyAlignment="1">
      <alignment vertical="center"/>
    </xf>
    <xf numFmtId="0" fontId="20" fillId="0" borderId="18" xfId="80" applyBorder="1" applyAlignment="1">
      <alignment vertical="center"/>
    </xf>
    <xf numFmtId="0" fontId="20" fillId="0" borderId="17" xfId="80" applyBorder="1" applyAlignment="1">
      <alignment vertical="center"/>
    </xf>
    <xf numFmtId="0" fontId="20" fillId="0" borderId="17" xfId="80" applyBorder="1" applyAlignment="1">
      <alignment horizontal="center" vertical="center"/>
    </xf>
    <xf numFmtId="0" fontId="20" fillId="0" borderId="109" xfId="80" applyBorder="1" applyAlignment="1">
      <alignment horizontal="center" vertical="center"/>
    </xf>
    <xf numFmtId="0" fontId="20" fillId="0" borderId="0" xfId="80" applyAlignment="1">
      <alignment horizontal="center" vertical="center"/>
    </xf>
    <xf numFmtId="164" fontId="20" fillId="0" borderId="0" xfId="0" applyNumberFormat="1" applyFont="1"/>
    <xf numFmtId="0" fontId="64" fillId="0" borderId="0" xfId="80" applyFont="1" applyAlignment="1">
      <alignment vertical="center" wrapText="1"/>
    </xf>
    <xf numFmtId="0" fontId="59" fillId="0" borderId="0" xfId="80" applyFont="1" applyAlignment="1">
      <alignment horizontal="center" vertical="center"/>
    </xf>
    <xf numFmtId="0" fontId="59" fillId="0" borderId="0" xfId="80" applyFont="1" applyAlignment="1">
      <alignment vertical="center"/>
    </xf>
    <xf numFmtId="0" fontId="59" fillId="0" borderId="0" xfId="80" applyFont="1" applyAlignment="1">
      <alignment vertical="center" wrapText="1"/>
    </xf>
    <xf numFmtId="0" fontId="203" fillId="0" borderId="0" xfId="80" applyFont="1" applyAlignment="1">
      <alignment horizontal="center" vertical="center" wrapText="1"/>
    </xf>
    <xf numFmtId="0" fontId="74" fillId="0" borderId="0" xfId="80" applyFont="1" applyAlignment="1">
      <alignment horizontal="center" vertical="center"/>
    </xf>
    <xf numFmtId="0" fontId="75" fillId="0" borderId="0" xfId="80" applyFont="1" applyAlignment="1">
      <alignment vertical="center" wrapText="1"/>
    </xf>
    <xf numFmtId="0" fontId="64" fillId="0" borderId="0" xfId="80" applyFont="1" applyAlignment="1">
      <alignment horizontal="justify" vertical="center" wrapText="1"/>
    </xf>
    <xf numFmtId="0" fontId="59" fillId="0" borderId="0" xfId="80" applyFont="1" applyAlignment="1">
      <alignment horizontal="center" vertical="center" wrapText="1"/>
    </xf>
    <xf numFmtId="43" fontId="47" fillId="0" borderId="10" xfId="78" applyNumberFormat="1" applyFont="1" applyBorder="1" applyAlignment="1">
      <alignment vertical="center"/>
    </xf>
    <xf numFmtId="171" fontId="137" fillId="0" borderId="10" xfId="78" applyNumberFormat="1" applyFont="1" applyBorder="1" applyAlignment="1">
      <alignment vertical="center"/>
    </xf>
    <xf numFmtId="171" fontId="47" fillId="0" borderId="17" xfId="78" applyNumberFormat="1" applyFont="1" applyBorder="1" applyAlignment="1">
      <alignment vertical="center"/>
    </xf>
    <xf numFmtId="0" fontId="139" fillId="0" borderId="17" xfId="0" applyFont="1" applyBorder="1" applyAlignment="1">
      <alignment vertical="center" wrapText="1"/>
    </xf>
    <xf numFmtId="2" fontId="139" fillId="0" borderId="107" xfId="0" applyNumberFormat="1" applyFont="1" applyBorder="1" applyAlignment="1">
      <alignment horizontal="right" vertical="center" wrapText="1"/>
    </xf>
    <xf numFmtId="171" fontId="47" fillId="0" borderId="107" xfId="78" applyNumberFormat="1" applyFont="1" applyBorder="1" applyAlignment="1">
      <alignment vertical="center"/>
    </xf>
    <xf numFmtId="171" fontId="44" fillId="0" borderId="109" xfId="78" applyNumberFormat="1" applyFont="1" applyBorder="1" applyAlignment="1">
      <alignment horizontal="center" vertical="center"/>
    </xf>
    <xf numFmtId="171" fontId="44" fillId="0" borderId="80" xfId="78" applyNumberFormat="1" applyFont="1" applyBorder="1" applyAlignment="1">
      <alignment vertical="center"/>
    </xf>
    <xf numFmtId="0" fontId="21" fillId="0" borderId="0" xfId="0" applyFont="1" applyAlignment="1">
      <alignment vertical="center"/>
    </xf>
    <xf numFmtId="2" fontId="20" fillId="0" borderId="0" xfId="148" applyNumberFormat="1" applyFont="1"/>
    <xf numFmtId="2" fontId="204" fillId="0" borderId="0" xfId="163" applyNumberFormat="1" applyFont="1" applyAlignment="1">
      <alignment horizontal="right" vertical="top"/>
    </xf>
    <xf numFmtId="2" fontId="21" fillId="0" borderId="0" xfId="148" applyNumberFormat="1" applyFont="1"/>
    <xf numFmtId="2" fontId="21" fillId="42" borderId="0" xfId="153" applyNumberFormat="1" applyFont="1" applyFill="1"/>
    <xf numFmtId="2" fontId="20" fillId="0" borderId="0" xfId="164" applyNumberFormat="1" applyFont="1" applyAlignment="1">
      <alignment horizontal="right" wrapText="1"/>
    </xf>
    <xf numFmtId="0" fontId="21" fillId="0" borderId="10" xfId="0" applyFont="1" applyBorder="1" applyAlignment="1">
      <alignment horizontal="center"/>
    </xf>
    <xf numFmtId="0" fontId="20" fillId="0" borderId="10" xfId="148" applyFont="1" applyBorder="1" applyAlignment="1">
      <alignment vertical="center"/>
    </xf>
    <xf numFmtId="0" fontId="20" fillId="0" borderId="10" xfId="148" applyFont="1" applyBorder="1" applyAlignment="1">
      <alignment wrapText="1"/>
    </xf>
    <xf numFmtId="164" fontId="20" fillId="0" borderId="0" xfId="153" applyFont="1" applyFill="1"/>
    <xf numFmtId="0" fontId="20" fillId="0" borderId="0" xfId="148" applyFont="1" applyAlignment="1">
      <alignment horizontal="center"/>
    </xf>
    <xf numFmtId="43" fontId="21" fillId="0" borderId="0" xfId="37" applyFont="1" applyAlignment="1">
      <alignment vertical="center"/>
    </xf>
    <xf numFmtId="43" fontId="20" fillId="0" borderId="0" xfId="37" applyFont="1" applyFill="1" applyAlignment="1">
      <alignment vertical="center"/>
    </xf>
    <xf numFmtId="16" fontId="21" fillId="0" borderId="10" xfId="0" applyNumberFormat="1" applyFont="1" applyBorder="1" applyAlignment="1">
      <alignment horizontal="center" vertical="center"/>
    </xf>
    <xf numFmtId="0" fontId="129" fillId="0" borderId="0" xfId="148" applyFont="1"/>
    <xf numFmtId="0" fontId="127" fillId="0" borderId="10" xfId="0" applyFont="1" applyBorder="1" applyAlignment="1">
      <alignment horizontal="justify" wrapText="1"/>
    </xf>
    <xf numFmtId="2" fontId="127" fillId="0" borderId="10" xfId="0" applyNumberFormat="1" applyFont="1" applyBorder="1"/>
    <xf numFmtId="0" fontId="20" fillId="32" borderId="0" xfId="0" applyFont="1" applyFill="1"/>
    <xf numFmtId="2" fontId="21" fillId="32" borderId="0" xfId="0" applyNumberFormat="1" applyFont="1" applyFill="1"/>
    <xf numFmtId="43" fontId="0" fillId="0" borderId="0" xfId="37" applyFont="1" applyFill="1"/>
    <xf numFmtId="0" fontId="206" fillId="0" borderId="0" xfId="78" applyFont="1"/>
    <xf numFmtId="164" fontId="206" fillId="0" borderId="0" xfId="78" applyNumberFormat="1" applyFont="1"/>
    <xf numFmtId="0" fontId="207" fillId="0" borderId="0" xfId="78" applyFont="1"/>
    <xf numFmtId="0" fontId="208" fillId="48" borderId="15" xfId="78" applyFont="1" applyFill="1" applyBorder="1" applyAlignment="1">
      <alignment horizontal="left" vertical="center" wrapText="1"/>
    </xf>
    <xf numFmtId="0" fontId="208" fillId="48" borderId="15" xfId="78" applyFont="1" applyFill="1" applyBorder="1" applyAlignment="1">
      <alignment horizontal="center" vertical="center" wrapText="1"/>
    </xf>
    <xf numFmtId="43" fontId="206" fillId="0" borderId="0" xfId="78" applyNumberFormat="1" applyFont="1"/>
    <xf numFmtId="0" fontId="207" fillId="0" borderId="15" xfId="78" applyFont="1" applyBorder="1" applyAlignment="1">
      <alignment horizontal="left" vertical="center" wrapText="1"/>
    </xf>
    <xf numFmtId="43" fontId="207" fillId="0" borderId="15" xfId="37" applyFont="1" applyBorder="1" applyAlignment="1">
      <alignment horizontal="center" vertical="center" wrapText="1"/>
    </xf>
    <xf numFmtId="0" fontId="207" fillId="0" borderId="0" xfId="78" applyFont="1" applyAlignment="1">
      <alignment horizontal="left" vertical="center" wrapText="1"/>
    </xf>
    <xf numFmtId="43" fontId="207" fillId="0" borderId="0" xfId="37" applyFont="1" applyBorder="1" applyAlignment="1">
      <alignment horizontal="center" vertical="center" wrapText="1"/>
    </xf>
    <xf numFmtId="0" fontId="206" fillId="0" borderId="0" xfId="78" applyFont="1" applyAlignment="1">
      <alignment horizontal="center"/>
    </xf>
    <xf numFmtId="0" fontId="206" fillId="0" borderId="0" xfId="78" applyFont="1" applyAlignment="1">
      <alignment vertical="center"/>
    </xf>
    <xf numFmtId="0" fontId="206" fillId="0" borderId="0" xfId="78" applyFont="1" applyAlignment="1">
      <alignment horizontal="center" vertical="center"/>
    </xf>
    <xf numFmtId="43" fontId="206" fillId="0" borderId="0" xfId="37" applyFont="1"/>
    <xf numFmtId="43" fontId="206" fillId="0" borderId="0" xfId="37" applyFont="1" applyAlignment="1">
      <alignment horizontal="center"/>
    </xf>
    <xf numFmtId="43" fontId="207" fillId="0" borderId="0" xfId="37" applyFont="1"/>
    <xf numFmtId="0" fontId="208" fillId="49" borderId="15" xfId="78" applyFont="1" applyFill="1" applyBorder="1" applyAlignment="1">
      <alignment horizontal="left" vertical="center" wrapText="1"/>
    </xf>
    <xf numFmtId="0" fontId="208" fillId="49" borderId="15" xfId="78" applyFont="1" applyFill="1" applyBorder="1" applyAlignment="1">
      <alignment horizontal="center" vertical="center" wrapText="1"/>
    </xf>
    <xf numFmtId="0" fontId="207" fillId="0" borderId="15" xfId="78" applyFont="1" applyBorder="1" applyAlignment="1">
      <alignment horizontal="center" vertical="center" wrapText="1"/>
    </xf>
    <xf numFmtId="0" fontId="209" fillId="0" borderId="0" xfId="78" applyFont="1"/>
    <xf numFmtId="0" fontId="208" fillId="40" borderId="0" xfId="78" applyFont="1" applyFill="1"/>
    <xf numFmtId="0" fontId="206" fillId="0" borderId="0" xfId="78" applyFont="1" applyAlignment="1">
      <alignment horizontal="center" vertical="center" wrapText="1"/>
    </xf>
    <xf numFmtId="43" fontId="210" fillId="0" borderId="0" xfId="37" applyFont="1" applyFill="1"/>
    <xf numFmtId="43" fontId="206" fillId="0" borderId="0" xfId="37" applyFont="1" applyFill="1"/>
    <xf numFmtId="43" fontId="207" fillId="0" borderId="15" xfId="37" applyFont="1" applyBorder="1"/>
    <xf numFmtId="2" fontId="207" fillId="0" borderId="15" xfId="78" applyNumberFormat="1" applyFont="1" applyBorder="1"/>
    <xf numFmtId="4" fontId="20" fillId="0" borderId="0" xfId="0" applyNumberFormat="1" applyFont="1"/>
    <xf numFmtId="0" fontId="129" fillId="28" borderId="10" xfId="148" applyFont="1" applyFill="1" applyBorder="1" applyAlignment="1">
      <alignment wrapText="1"/>
    </xf>
    <xf numFmtId="0" fontId="20" fillId="0" borderId="0" xfId="0" applyFont="1" applyAlignment="1">
      <alignment horizontal="center"/>
    </xf>
    <xf numFmtId="1" fontId="20" fillId="0" borderId="10" xfId="120" applyNumberFormat="1" applyFont="1" applyFill="1" applyBorder="1" applyAlignment="1">
      <alignment horizontal="right" vertical="center"/>
    </xf>
    <xf numFmtId="0" fontId="211" fillId="0" borderId="10" xfId="120" applyFont="1" applyFill="1" applyBorder="1" applyAlignment="1">
      <alignment vertical="center"/>
    </xf>
    <xf numFmtId="0" fontId="31" fillId="0" borderId="10" xfId="120" applyFont="1" applyFill="1" applyBorder="1" applyAlignment="1">
      <alignment horizontal="right" vertical="center"/>
    </xf>
    <xf numFmtId="1" fontId="31" fillId="0" borderId="10" xfId="120" applyNumberFormat="1" applyFont="1" applyFill="1" applyBorder="1" applyAlignment="1">
      <alignment horizontal="right" vertical="center"/>
    </xf>
    <xf numFmtId="1" fontId="31" fillId="0" borderId="10" xfId="120" applyNumberFormat="1" applyFont="1" applyFill="1" applyBorder="1"/>
    <xf numFmtId="166" fontId="31" fillId="0" borderId="10" xfId="120" applyNumberFormat="1" applyFont="1" applyFill="1" applyBorder="1"/>
    <xf numFmtId="2" fontId="31" fillId="0" borderId="10" xfId="120" applyNumberFormat="1" applyFont="1" applyFill="1" applyBorder="1"/>
    <xf numFmtId="170" fontId="20" fillId="0" borderId="10" xfId="120" applyNumberFormat="1" applyFont="1" applyFill="1" applyBorder="1" applyAlignment="1">
      <alignment horizontal="center" vertical="center" wrapText="1"/>
    </xf>
    <xf numFmtId="170" fontId="47" fillId="0" borderId="10" xfId="120" applyNumberFormat="1" applyFont="1" applyFill="1" applyBorder="1" applyAlignment="1">
      <alignment horizontal="center" vertical="center"/>
    </xf>
    <xf numFmtId="10" fontId="21" fillId="0" borderId="10" xfId="104" applyNumberFormat="1" applyFont="1" applyFill="1" applyBorder="1" applyAlignment="1">
      <alignment horizontal="right" vertical="center"/>
    </xf>
    <xf numFmtId="10" fontId="21" fillId="0" borderId="10" xfId="120" applyNumberFormat="1" applyFont="1" applyFill="1" applyBorder="1" applyAlignment="1">
      <alignment vertical="center"/>
    </xf>
    <xf numFmtId="10" fontId="20" fillId="0" borderId="10" xfId="120" applyNumberFormat="1" applyFont="1" applyFill="1" applyBorder="1" applyAlignment="1">
      <alignment horizontal="right" vertical="center"/>
    </xf>
    <xf numFmtId="10" fontId="20" fillId="0" borderId="10" xfId="120" applyNumberFormat="1" applyFont="1" applyFill="1" applyBorder="1" applyAlignment="1">
      <alignment vertical="center"/>
    </xf>
    <xf numFmtId="10" fontId="21" fillId="0" borderId="10" xfId="120" applyNumberFormat="1" applyFont="1" applyFill="1" applyBorder="1" applyAlignment="1">
      <alignment horizontal="right" vertical="center"/>
    </xf>
    <xf numFmtId="166" fontId="44" fillId="0" borderId="10" xfId="41" applyNumberFormat="1" applyFont="1" applyFill="1" applyBorder="1" applyAlignment="1">
      <alignment horizontal="left" vertical="center"/>
    </xf>
    <xf numFmtId="166" fontId="33" fillId="0" borderId="10" xfId="41" applyNumberFormat="1" applyFont="1" applyFill="1" applyBorder="1" applyAlignment="1">
      <alignment vertical="center"/>
    </xf>
    <xf numFmtId="166" fontId="47" fillId="0" borderId="10" xfId="41" applyNumberFormat="1" applyFont="1" applyFill="1" applyBorder="1" applyAlignment="1">
      <alignment vertical="center"/>
    </xf>
    <xf numFmtId="43" fontId="47" fillId="0" borderId="0" xfId="41" applyNumberFormat="1" applyFont="1" applyFill="1" applyBorder="1" applyAlignment="1">
      <alignment vertical="center"/>
    </xf>
    <xf numFmtId="164" fontId="47" fillId="0" borderId="0" xfId="0" applyNumberFormat="1" applyFont="1" applyAlignment="1">
      <alignment horizontal="center" vertical="center" wrapText="1"/>
    </xf>
    <xf numFmtId="4" fontId="47" fillId="0" borderId="0" xfId="0" applyNumberFormat="1" applyFont="1" applyAlignment="1">
      <alignment horizontal="center" vertical="center" wrapText="1"/>
    </xf>
    <xf numFmtId="196" fontId="47" fillId="0" borderId="0" xfId="37" applyNumberFormat="1" applyFont="1" applyFill="1" applyAlignment="1">
      <alignment vertical="center"/>
    </xf>
    <xf numFmtId="197" fontId="47" fillId="0" borderId="0" xfId="0" applyNumberFormat="1" applyFont="1" applyAlignment="1">
      <alignment vertical="center"/>
    </xf>
    <xf numFmtId="188" fontId="20" fillId="28" borderId="0" xfId="37" applyNumberFormat="1" applyFont="1" applyFill="1" applyBorder="1" applyAlignment="1">
      <alignment vertical="top"/>
    </xf>
    <xf numFmtId="188" fontId="20" fillId="28" borderId="69" xfId="37" applyNumberFormat="1" applyFont="1" applyFill="1" applyBorder="1" applyAlignment="1">
      <alignment vertical="top"/>
    </xf>
    <xf numFmtId="188" fontId="20" fillId="28" borderId="16" xfId="37" applyNumberFormat="1" applyFont="1" applyFill="1" applyBorder="1" applyAlignment="1">
      <alignment vertical="top"/>
    </xf>
    <xf numFmtId="188" fontId="20" fillId="28" borderId="70" xfId="37" applyNumberFormat="1" applyFont="1" applyFill="1" applyBorder="1" applyAlignment="1">
      <alignment vertical="top"/>
    </xf>
    <xf numFmtId="188" fontId="129" fillId="28" borderId="0" xfId="37" applyNumberFormat="1" applyFont="1" applyFill="1" applyBorder="1"/>
    <xf numFmtId="188" fontId="21" fillId="33" borderId="6" xfId="37" applyNumberFormat="1" applyFont="1" applyFill="1" applyBorder="1" applyAlignment="1">
      <alignment vertical="top"/>
    </xf>
    <xf numFmtId="188" fontId="21" fillId="33" borderId="25" xfId="37" applyNumberFormat="1" applyFont="1" applyFill="1" applyBorder="1" applyAlignment="1">
      <alignment vertical="top"/>
    </xf>
    <xf numFmtId="188" fontId="129" fillId="28" borderId="69" xfId="37" applyNumberFormat="1" applyFont="1" applyFill="1" applyBorder="1"/>
    <xf numFmtId="188" fontId="129" fillId="28" borderId="16" xfId="37" applyNumberFormat="1" applyFont="1" applyFill="1" applyBorder="1"/>
    <xf numFmtId="188" fontId="129" fillId="28" borderId="70" xfId="37" applyNumberFormat="1" applyFont="1" applyFill="1" applyBorder="1"/>
    <xf numFmtId="188" fontId="129" fillId="28" borderId="68" xfId="37" applyNumberFormat="1" applyFont="1" applyFill="1" applyBorder="1"/>
    <xf numFmtId="188" fontId="129" fillId="28" borderId="0" xfId="148" applyNumberFormat="1" applyFont="1" applyFill="1"/>
    <xf numFmtId="170" fontId="33" fillId="0" borderId="0" xfId="120" applyNumberFormat="1" applyFill="1"/>
    <xf numFmtId="188" fontId="47" fillId="0" borderId="10" xfId="37" applyNumberFormat="1" applyFont="1" applyFill="1" applyBorder="1" applyAlignment="1">
      <alignment vertical="center"/>
    </xf>
    <xf numFmtId="43" fontId="153" fillId="0" borderId="0" xfId="37" applyFont="1" applyFill="1" applyBorder="1" applyAlignment="1">
      <alignment vertical="center"/>
    </xf>
    <xf numFmtId="186" fontId="47" fillId="0" borderId="0" xfId="41" applyNumberFormat="1" applyFont="1" applyBorder="1" applyAlignment="1">
      <alignment vertical="center"/>
    </xf>
    <xf numFmtId="0" fontId="30" fillId="0" borderId="133" xfId="121" applyFont="1" applyFill="1" applyBorder="1" applyAlignment="1">
      <alignment horizontal="centerContinuous" vertical="center" wrapText="1"/>
    </xf>
    <xf numFmtId="9" fontId="33" fillId="0" borderId="0" xfId="118" applyFont="1" applyFill="1" applyAlignment="1">
      <alignment vertical="center"/>
    </xf>
    <xf numFmtId="9" fontId="98" fillId="0" borderId="0" xfId="118" applyFont="1" applyFill="1" applyAlignment="1">
      <alignment vertical="center" wrapText="1"/>
    </xf>
    <xf numFmtId="0" fontId="131" fillId="0" borderId="10" xfId="78" applyFont="1" applyBorder="1" applyAlignment="1">
      <alignment horizontal="center" vertical="center" wrapText="1"/>
    </xf>
    <xf numFmtId="1" fontId="131" fillId="0" borderId="10" xfId="78" applyNumberFormat="1" applyFont="1" applyBorder="1" applyAlignment="1">
      <alignment horizontal="center" vertical="center" wrapText="1"/>
    </xf>
    <xf numFmtId="0" fontId="135" fillId="0" borderId="10" xfId="78" applyFont="1" applyBorder="1" applyAlignment="1">
      <alignment horizontal="center" vertical="center" wrapText="1"/>
    </xf>
    <xf numFmtId="0" fontId="95" fillId="0" borderId="10" xfId="78" applyFont="1" applyBorder="1" applyAlignment="1">
      <alignment horizontal="center" vertical="center" wrapText="1"/>
    </xf>
    <xf numFmtId="0" fontId="46" fillId="0" borderId="10" xfId="121" applyFont="1" applyFill="1" applyBorder="1" applyAlignment="1">
      <alignment horizontal="center" vertical="center" wrapText="1"/>
    </xf>
    <xf numFmtId="9" fontId="47" fillId="28" borderId="10" xfId="105" applyFont="1" applyFill="1" applyBorder="1" applyAlignment="1">
      <alignment vertical="center"/>
    </xf>
    <xf numFmtId="10" fontId="47" fillId="28" borderId="10" xfId="105" applyNumberFormat="1" applyFont="1" applyFill="1" applyBorder="1" applyAlignment="1">
      <alignment vertical="center"/>
    </xf>
    <xf numFmtId="43" fontId="33" fillId="28" borderId="10" xfId="37" applyFont="1" applyFill="1" applyBorder="1" applyAlignment="1">
      <alignment vertical="center"/>
    </xf>
    <xf numFmtId="43" fontId="22" fillId="28" borderId="10" xfId="37" applyFont="1" applyFill="1" applyBorder="1" applyAlignment="1">
      <alignment vertical="center"/>
    </xf>
    <xf numFmtId="171" fontId="47" fillId="28" borderId="10" xfId="78" applyNumberFormat="1" applyFont="1" applyFill="1" applyBorder="1" applyAlignment="1">
      <alignment vertical="center"/>
    </xf>
    <xf numFmtId="43" fontId="23" fillId="28" borderId="10" xfId="37" applyFont="1" applyFill="1" applyBorder="1" applyAlignment="1">
      <alignment vertical="center"/>
    </xf>
    <xf numFmtId="0" fontId="21" fillId="28" borderId="0" xfId="78" applyFont="1" applyFill="1" applyAlignment="1">
      <alignment horizontal="right" vertical="center"/>
    </xf>
    <xf numFmtId="0" fontId="21" fillId="28" borderId="0" xfId="78" applyFont="1" applyFill="1" applyAlignment="1">
      <alignment vertical="center"/>
    </xf>
    <xf numFmtId="0" fontId="21" fillId="28" borderId="10" xfId="78" applyFont="1" applyFill="1" applyBorder="1" applyAlignment="1">
      <alignment horizontal="center" vertical="center" wrapText="1"/>
    </xf>
    <xf numFmtId="0" fontId="21" fillId="28" borderId="10" xfId="78" applyFont="1" applyFill="1" applyBorder="1" applyAlignment="1">
      <alignment horizontal="center" vertical="center"/>
    </xf>
    <xf numFmtId="0" fontId="20" fillId="28" borderId="0" xfId="78" applyFill="1" applyAlignment="1">
      <alignment vertical="center" wrapText="1"/>
    </xf>
    <xf numFmtId="0" fontId="20" fillId="28" borderId="10" xfId="78" applyFill="1" applyBorder="1" applyAlignment="1">
      <alignment vertical="center" wrapText="1"/>
    </xf>
    <xf numFmtId="1" fontId="20" fillId="28" borderId="10" xfId="78" applyNumberFormat="1" applyFill="1" applyBorder="1" applyAlignment="1">
      <alignment vertical="center"/>
    </xf>
    <xf numFmtId="0" fontId="20" fillId="28" borderId="10" xfId="78" applyFill="1" applyBorder="1" applyAlignment="1">
      <alignment vertical="center"/>
    </xf>
    <xf numFmtId="2" fontId="20" fillId="28" borderId="10" xfId="78" applyNumberFormat="1" applyFill="1" applyBorder="1" applyAlignment="1">
      <alignment vertical="center"/>
    </xf>
    <xf numFmtId="0" fontId="20" fillId="28" borderId="10" xfId="136" applyFill="1" applyBorder="1" applyAlignment="1">
      <alignment vertical="center"/>
    </xf>
    <xf numFmtId="2" fontId="20" fillId="28" borderId="0" xfId="78" applyNumberFormat="1" applyFill="1" applyAlignment="1">
      <alignment vertical="center"/>
    </xf>
    <xf numFmtId="2" fontId="47" fillId="28" borderId="0" xfId="0" applyNumberFormat="1" applyFont="1" applyFill="1" applyAlignment="1">
      <alignment horizontal="center" vertical="center" wrapText="1"/>
    </xf>
    <xf numFmtId="0" fontId="46" fillId="28" borderId="0" xfId="0" applyFont="1" applyFill="1"/>
    <xf numFmtId="0" fontId="47" fillId="28" borderId="0" xfId="0" applyFont="1" applyFill="1"/>
    <xf numFmtId="0" fontId="44" fillId="28" borderId="0" xfId="0" applyFont="1" applyFill="1" applyAlignment="1">
      <alignment horizontal="right"/>
    </xf>
    <xf numFmtId="0" fontId="44" fillId="28" borderId="0" xfId="0" applyFont="1" applyFill="1"/>
    <xf numFmtId="0" fontId="44" fillId="28" borderId="0" xfId="0" applyFont="1" applyFill="1" applyAlignment="1">
      <alignment horizontal="centerContinuous"/>
    </xf>
    <xf numFmtId="0" fontId="44" fillId="28" borderId="10" xfId="0" applyFont="1" applyFill="1" applyBorder="1" applyAlignment="1">
      <alignment wrapText="1"/>
    </xf>
    <xf numFmtId="0" fontId="47" fillId="28" borderId="10" xfId="0" applyFont="1" applyFill="1" applyBorder="1"/>
    <xf numFmtId="2" fontId="47" fillId="28" borderId="10" xfId="0" applyNumberFormat="1" applyFont="1" applyFill="1" applyBorder="1"/>
    <xf numFmtId="2" fontId="44" fillId="28" borderId="10" xfId="0" applyNumberFormat="1" applyFont="1" applyFill="1" applyBorder="1" applyAlignment="1">
      <alignment wrapText="1"/>
    </xf>
    <xf numFmtId="0" fontId="47" fillId="28" borderId="10" xfId="0" applyFont="1" applyFill="1" applyBorder="1" applyAlignment="1">
      <alignment wrapText="1"/>
    </xf>
    <xf numFmtId="2" fontId="47" fillId="28" borderId="10" xfId="0" applyNumberFormat="1" applyFont="1" applyFill="1" applyBorder="1" applyAlignment="1">
      <alignment wrapText="1"/>
    </xf>
    <xf numFmtId="0" fontId="33" fillId="28" borderId="0" xfId="0" applyFont="1" applyFill="1" applyAlignment="1">
      <alignment horizontal="right"/>
    </xf>
    <xf numFmtId="2" fontId="47" fillId="28" borderId="0" xfId="0" applyNumberFormat="1" applyFont="1" applyFill="1"/>
    <xf numFmtId="2" fontId="20" fillId="0" borderId="10" xfId="0" applyNumberFormat="1" applyFont="1" applyBorder="1" applyAlignment="1">
      <alignment vertical="center"/>
    </xf>
    <xf numFmtId="171" fontId="44" fillId="0" borderId="10" xfId="78" applyNumberFormat="1" applyFont="1" applyBorder="1" applyAlignment="1">
      <alignment horizontal="center" vertical="center"/>
    </xf>
    <xf numFmtId="171" fontId="118" fillId="0" borderId="0" xfId="78" applyNumberFormat="1" applyFont="1" applyAlignment="1">
      <alignment horizontal="center" vertical="center"/>
    </xf>
    <xf numFmtId="9" fontId="21" fillId="0" borderId="10" xfId="0" applyNumberFormat="1" applyFont="1" applyBorder="1" applyAlignment="1">
      <alignment horizontal="center"/>
    </xf>
    <xf numFmtId="0" fontId="21" fillId="35" borderId="10" xfId="0" applyFont="1" applyFill="1" applyBorder="1" applyAlignment="1">
      <alignment wrapText="1"/>
    </xf>
    <xf numFmtId="0" fontId="64" fillId="0" borderId="0" xfId="0" applyFont="1"/>
    <xf numFmtId="0" fontId="216" fillId="0" borderId="0" xfId="0" applyFont="1"/>
    <xf numFmtId="0" fontId="64" fillId="0" borderId="10" xfId="0" applyFont="1" applyBorder="1"/>
    <xf numFmtId="43" fontId="64" fillId="0" borderId="10" xfId="167" applyFont="1" applyFill="1" applyBorder="1"/>
    <xf numFmtId="0" fontId="218" fillId="0" borderId="0" xfId="0" applyFont="1" applyAlignment="1">
      <alignment horizontal="right"/>
    </xf>
    <xf numFmtId="0" fontId="216" fillId="0" borderId="0" xfId="0" applyFont="1" applyAlignment="1">
      <alignment horizontal="right"/>
    </xf>
    <xf numFmtId="1" fontId="64" fillId="0" borderId="0" xfId="0" applyNumberFormat="1" applyFont="1"/>
    <xf numFmtId="0" fontId="214" fillId="0" borderId="0" xfId="0" applyFont="1"/>
    <xf numFmtId="2" fontId="64" fillId="0" borderId="0" xfId="0" applyNumberFormat="1" applyFont="1"/>
    <xf numFmtId="0" fontId="218" fillId="0" borderId="10" xfId="0" applyFont="1" applyBorder="1"/>
    <xf numFmtId="0" fontId="218" fillId="0" borderId="10" xfId="0" applyFont="1" applyBorder="1" applyAlignment="1">
      <alignment horizontal="center" vertical="center" wrapText="1"/>
    </xf>
    <xf numFmtId="0" fontId="219" fillId="0" borderId="10" xfId="0" applyFont="1" applyBorder="1" applyAlignment="1">
      <alignment horizontal="left"/>
    </xf>
    <xf numFmtId="0" fontId="219" fillId="0" borderId="10" xfId="0" applyFont="1" applyBorder="1" applyAlignment="1">
      <alignment horizontal="right"/>
    </xf>
    <xf numFmtId="0" fontId="108" fillId="0" borderId="0" xfId="0" applyFont="1"/>
    <xf numFmtId="2" fontId="108" fillId="0" borderId="0" xfId="0" applyNumberFormat="1" applyFont="1"/>
    <xf numFmtId="0" fontId="0" fillId="0" borderId="0" xfId="0" applyAlignment="1">
      <alignment vertical="top"/>
    </xf>
    <xf numFmtId="0" fontId="129" fillId="0" borderId="0" xfId="0" applyFont="1" applyAlignment="1">
      <alignment vertical="top"/>
    </xf>
    <xf numFmtId="0" fontId="181" fillId="0" borderId="10" xfId="0" applyFont="1" applyBorder="1"/>
    <xf numFmtId="0" fontId="214" fillId="0" borderId="10" xfId="0" applyFont="1" applyBorder="1"/>
    <xf numFmtId="0" fontId="182" fillId="0" borderId="10" xfId="0" applyFont="1" applyBorder="1" applyAlignment="1">
      <alignment horizontal="left" vertical="top" wrapText="1"/>
    </xf>
    <xf numFmtId="9" fontId="108" fillId="0" borderId="0" xfId="169" applyFont="1" applyFill="1"/>
    <xf numFmtId="0" fontId="182" fillId="0" borderId="10" xfId="0" applyFont="1" applyBorder="1" applyAlignment="1">
      <alignment wrapText="1"/>
    </xf>
    <xf numFmtId="0" fontId="218" fillId="0" borderId="0" xfId="0" applyFont="1"/>
    <xf numFmtId="0" fontId="129" fillId="0" borderId="0" xfId="0" applyFont="1"/>
    <xf numFmtId="0" fontId="172" fillId="0" borderId="31" xfId="0" applyFont="1" applyBorder="1"/>
    <xf numFmtId="0" fontId="108" fillId="0" borderId="0" xfId="0" applyFont="1" applyAlignment="1">
      <alignment vertical="center"/>
    </xf>
    <xf numFmtId="2" fontId="108" fillId="0" borderId="0" xfId="0" applyNumberFormat="1" applyFont="1" applyAlignment="1">
      <alignment vertical="center"/>
    </xf>
    <xf numFmtId="170" fontId="108" fillId="0" borderId="0" xfId="0" applyNumberFormat="1" applyFont="1" applyAlignment="1">
      <alignment vertical="center"/>
    </xf>
    <xf numFmtId="0" fontId="218" fillId="0" borderId="0" xfId="0" applyFont="1" applyAlignment="1">
      <alignment horizontal="center" vertical="center" wrapText="1"/>
    </xf>
    <xf numFmtId="2" fontId="219" fillId="0" borderId="0" xfId="0" applyNumberFormat="1" applyFont="1" applyAlignment="1">
      <alignment horizontal="center" vertical="center" wrapText="1"/>
    </xf>
    <xf numFmtId="0" fontId="219" fillId="0" borderId="0" xfId="0" applyFont="1" applyAlignment="1">
      <alignment horizontal="center" vertical="center" wrapText="1"/>
    </xf>
    <xf numFmtId="10" fontId="219" fillId="0" borderId="0" xfId="0" applyNumberFormat="1" applyFont="1" applyAlignment="1">
      <alignment horizontal="center" vertical="center" wrapText="1"/>
    </xf>
    <xf numFmtId="2" fontId="219" fillId="0" borderId="0" xfId="0" applyNumberFormat="1" applyFont="1" applyAlignment="1">
      <alignment horizontal="center" vertical="center"/>
    </xf>
    <xf numFmtId="2" fontId="218" fillId="0" borderId="0" xfId="0" applyNumberFormat="1" applyFont="1" applyAlignment="1">
      <alignment horizontal="center" vertical="center"/>
    </xf>
    <xf numFmtId="0" fontId="59" fillId="0" borderId="0" xfId="0" applyFont="1" applyAlignment="1">
      <alignment horizontal="right"/>
    </xf>
    <xf numFmtId="0" fontId="59" fillId="0" borderId="0" xfId="0" applyFont="1"/>
    <xf numFmtId="0" fontId="59" fillId="0" borderId="0" xfId="0" applyFont="1" applyAlignment="1">
      <alignment horizontal="centerContinuous"/>
    </xf>
    <xf numFmtId="0" fontId="59" fillId="0" borderId="34" xfId="0" applyFont="1" applyBorder="1" applyAlignment="1">
      <alignment wrapText="1"/>
    </xf>
    <xf numFmtId="0" fontId="59" fillId="0" borderId="35" xfId="0" applyFont="1" applyBorder="1" applyAlignment="1">
      <alignment horizontal="centerContinuous" wrapText="1"/>
    </xf>
    <xf numFmtId="0" fontId="59" fillId="0" borderId="35" xfId="0" applyFont="1" applyBorder="1" applyAlignment="1">
      <alignment horizontal="centerContinuous"/>
    </xf>
    <xf numFmtId="0" fontId="59" fillId="0" borderId="36" xfId="0" applyFont="1" applyBorder="1" applyAlignment="1">
      <alignment horizontal="centerContinuous" wrapText="1"/>
    </xf>
    <xf numFmtId="0" fontId="64" fillId="0" borderId="0" xfId="0" applyFont="1" applyAlignment="1">
      <alignment wrapText="1"/>
    </xf>
    <xf numFmtId="0" fontId="59" fillId="0" borderId="34" xfId="0" applyFont="1" applyBorder="1" applyAlignment="1">
      <alignment horizontal="center" vertical="top" wrapText="1"/>
    </xf>
    <xf numFmtId="0" fontId="59" fillId="0" borderId="35" xfId="0" applyFont="1" applyBorder="1" applyAlignment="1">
      <alignment horizontal="center" vertical="top" wrapText="1"/>
    </xf>
    <xf numFmtId="0" fontId="59" fillId="0" borderId="36" xfId="0" applyFont="1" applyBorder="1" applyAlignment="1">
      <alignment horizontal="center" vertical="top" wrapText="1"/>
    </xf>
    <xf numFmtId="0" fontId="64" fillId="0" borderId="99" xfId="0" applyFont="1" applyBorder="1"/>
    <xf numFmtId="0" fontId="59" fillId="0" borderId="99" xfId="0" applyFont="1" applyBorder="1" applyAlignment="1">
      <alignment horizontal="center" wrapText="1"/>
    </xf>
    <xf numFmtId="0" fontId="64" fillId="0" borderId="10" xfId="0" applyFont="1" applyBorder="1" applyAlignment="1">
      <alignment wrapText="1"/>
    </xf>
    <xf numFmtId="43" fontId="59" fillId="0" borderId="10" xfId="167" applyFont="1" applyFill="1" applyBorder="1"/>
    <xf numFmtId="2" fontId="64" fillId="0" borderId="10" xfId="0" applyNumberFormat="1" applyFont="1" applyBorder="1"/>
    <xf numFmtId="2" fontId="59" fillId="0" borderId="10" xfId="0" applyNumberFormat="1" applyFont="1" applyBorder="1"/>
    <xf numFmtId="2" fontId="224" fillId="0" borderId="0" xfId="0" applyNumberFormat="1" applyFont="1"/>
    <xf numFmtId="0" fontId="64" fillId="0" borderId="133" xfId="0" applyFont="1" applyBorder="1"/>
    <xf numFmtId="0" fontId="59" fillId="0" borderId="140" xfId="0" applyFont="1" applyBorder="1" applyAlignment="1">
      <alignment horizontal="center" vertical="top" wrapText="1"/>
    </xf>
    <xf numFmtId="4" fontId="64" fillId="0" borderId="10" xfId="0" applyNumberFormat="1" applyFont="1" applyBorder="1"/>
    <xf numFmtId="0" fontId="225" fillId="0" borderId="0" xfId="0" applyFont="1"/>
    <xf numFmtId="43" fontId="182" fillId="0" borderId="10" xfId="0" applyNumberFormat="1" applyFont="1" applyBorder="1" applyAlignment="1">
      <alignment wrapText="1"/>
    </xf>
    <xf numFmtId="0" fontId="227" fillId="0" borderId="0" xfId="0" applyFont="1" applyAlignment="1">
      <alignment horizontal="centerContinuous"/>
    </xf>
    <xf numFmtId="0" fontId="227" fillId="0" borderId="0" xfId="0" applyFont="1"/>
    <xf numFmtId="0" fontId="227" fillId="0" borderId="10" xfId="0" applyFont="1" applyBorder="1" applyAlignment="1">
      <alignment horizontal="center" vertical="top" wrapText="1"/>
    </xf>
    <xf numFmtId="0" fontId="227" fillId="0" borderId="10" xfId="0" applyFont="1" applyBorder="1" applyAlignment="1">
      <alignment vertical="top" wrapText="1"/>
    </xf>
    <xf numFmtId="0" fontId="216" fillId="0" borderId="10" xfId="0" applyFont="1" applyBorder="1"/>
    <xf numFmtId="0" fontId="227" fillId="0" borderId="10" xfId="0" applyFont="1" applyBorder="1" applyAlignment="1">
      <alignment horizontal="center" wrapText="1"/>
    </xf>
    <xf numFmtId="0" fontId="216" fillId="0" borderId="10" xfId="0" applyFont="1" applyBorder="1" applyAlignment="1">
      <alignment wrapText="1"/>
    </xf>
    <xf numFmtId="2" fontId="216" fillId="0" borderId="10" xfId="0" applyNumberFormat="1" applyFont="1" applyBorder="1"/>
    <xf numFmtId="4" fontId="227" fillId="0" borderId="10" xfId="0" applyNumberFormat="1" applyFont="1" applyBorder="1"/>
    <xf numFmtId="2" fontId="227" fillId="0" borderId="10" xfId="0" applyNumberFormat="1" applyFont="1" applyBorder="1"/>
    <xf numFmtId="4" fontId="216" fillId="0" borderId="0" xfId="0" applyNumberFormat="1" applyFont="1"/>
    <xf numFmtId="0" fontId="129" fillId="0" borderId="0" xfId="78" applyFont="1" applyAlignment="1">
      <alignment vertical="center"/>
    </xf>
    <xf numFmtId="0" fontId="130" fillId="0" borderId="0" xfId="78" applyFont="1" applyAlignment="1">
      <alignment vertical="center"/>
    </xf>
    <xf numFmtId="2" fontId="20" fillId="0" borderId="0" xfId="78" applyNumberFormat="1" applyAlignment="1">
      <alignment vertical="center"/>
    </xf>
    <xf numFmtId="2" fontId="206" fillId="0" borderId="0" xfId="78" applyNumberFormat="1" applyFont="1"/>
    <xf numFmtId="0" fontId="12" fillId="0" borderId="0" xfId="142" applyAlignment="1">
      <alignment horizontal="center"/>
    </xf>
    <xf numFmtId="9" fontId="20" fillId="0" borderId="10" xfId="92" applyFont="1" applyFill="1" applyBorder="1"/>
    <xf numFmtId="9" fontId="63" fillId="0" borderId="10" xfId="92" applyFont="1" applyFill="1" applyBorder="1"/>
    <xf numFmtId="0" fontId="63" fillId="0" borderId="10" xfId="0" applyFont="1" applyBorder="1"/>
    <xf numFmtId="10" fontId="21" fillId="0" borderId="10" xfId="92" applyNumberFormat="1" applyFont="1" applyFill="1" applyBorder="1"/>
    <xf numFmtId="0" fontId="20" fillId="0" borderId="0" xfId="0" quotePrefix="1" applyFont="1" applyAlignment="1">
      <alignment wrapText="1"/>
    </xf>
    <xf numFmtId="0" fontId="207" fillId="27" borderId="0" xfId="78" applyFont="1" applyFill="1"/>
    <xf numFmtId="43" fontId="163" fillId="0" borderId="10" xfId="37" applyFont="1" applyBorder="1" applyAlignment="1">
      <alignment wrapText="1"/>
    </xf>
    <xf numFmtId="0" fontId="22" fillId="28" borderId="0" xfId="78" applyFont="1" applyFill="1" applyAlignment="1">
      <alignment horizontal="center" vertical="center"/>
    </xf>
    <xf numFmtId="0" fontId="22" fillId="28" borderId="0" xfId="78" applyFont="1" applyFill="1" applyAlignment="1">
      <alignment vertical="center"/>
    </xf>
    <xf numFmtId="2" fontId="20" fillId="0" borderId="10" xfId="37" applyNumberFormat="1" applyFont="1" applyBorder="1" applyAlignment="1">
      <alignment horizontal="right" wrapText="1"/>
    </xf>
    <xf numFmtId="2" fontId="163" fillId="0" borderId="10" xfId="37" applyNumberFormat="1" applyFont="1" applyBorder="1" applyAlignment="1">
      <alignment wrapText="1"/>
    </xf>
    <xf numFmtId="43" fontId="127" fillId="0" borderId="10" xfId="37" applyFont="1" applyBorder="1"/>
    <xf numFmtId="43" fontId="128" fillId="0" borderId="10" xfId="37" applyFont="1" applyBorder="1"/>
    <xf numFmtId="171" fontId="137" fillId="0" borderId="0" xfId="78" applyNumberFormat="1" applyFont="1" applyAlignment="1">
      <alignment vertical="center"/>
    </xf>
    <xf numFmtId="43" fontId="127" fillId="0" borderId="0" xfId="37" applyFont="1"/>
    <xf numFmtId="171" fontId="47" fillId="50" borderId="0" xfId="78" applyNumberFormat="1" applyFont="1" applyFill="1" applyAlignment="1">
      <alignment vertical="center"/>
    </xf>
    <xf numFmtId="43" fontId="21" fillId="50" borderId="10" xfId="37" applyFont="1" applyFill="1" applyBorder="1"/>
    <xf numFmtId="164" fontId="129" fillId="0" borderId="0" xfId="0" applyNumberFormat="1" applyFont="1"/>
    <xf numFmtId="0" fontId="12" fillId="0" borderId="10" xfId="142" applyBorder="1" applyAlignment="1">
      <alignment horizontal="center"/>
    </xf>
    <xf numFmtId="0" fontId="220" fillId="0" borderId="10" xfId="0" applyFont="1" applyBorder="1" applyAlignment="1">
      <alignment horizontal="center" vertical="center" textRotation="35" wrapText="1"/>
    </xf>
    <xf numFmtId="0" fontId="223" fillId="0" borderId="10" xfId="0" applyFont="1" applyBorder="1" applyAlignment="1">
      <alignment horizontal="center" vertical="center" textRotation="35" wrapText="1"/>
    </xf>
    <xf numFmtId="2" fontId="21" fillId="0" borderId="15" xfId="0" applyNumberFormat="1" applyFont="1" applyBorder="1" applyAlignment="1">
      <alignment horizontal="center"/>
    </xf>
    <xf numFmtId="166" fontId="131" fillId="0" borderId="10" xfId="141" applyNumberFormat="1" applyFont="1" applyBorder="1"/>
    <xf numFmtId="0" fontId="0" fillId="0" borderId="10" xfId="0" applyBorder="1" applyAlignment="1">
      <alignment wrapText="1"/>
    </xf>
    <xf numFmtId="188" fontId="20" fillId="52" borderId="0" xfId="37" applyNumberFormat="1" applyFont="1" applyFill="1" applyBorder="1" applyAlignment="1">
      <alignment vertical="top"/>
    </xf>
    <xf numFmtId="188" fontId="20" fillId="52" borderId="69" xfId="37" applyNumberFormat="1" applyFont="1" applyFill="1" applyBorder="1" applyAlignment="1">
      <alignment vertical="top"/>
    </xf>
    <xf numFmtId="192" fontId="33" fillId="28" borderId="0" xfId="37" applyNumberFormat="1" applyFont="1" applyFill="1" applyBorder="1" applyAlignment="1">
      <alignment vertical="center"/>
    </xf>
    <xf numFmtId="171" fontId="47" fillId="28" borderId="0" xfId="78" applyNumberFormat="1" applyFont="1" applyFill="1" applyAlignment="1">
      <alignment vertical="center"/>
    </xf>
    <xf numFmtId="0" fontId="119" fillId="28" borderId="33" xfId="0" applyFont="1" applyFill="1" applyBorder="1" applyAlignment="1">
      <alignment vertical="center" wrapText="1"/>
    </xf>
    <xf numFmtId="0" fontId="121" fillId="28" borderId="80" xfId="0" applyFont="1" applyFill="1" applyBorder="1" applyAlignment="1">
      <alignment vertical="center"/>
    </xf>
    <xf numFmtId="171" fontId="44" fillId="28" borderId="10" xfId="78" applyNumberFormat="1" applyFont="1" applyFill="1" applyBorder="1" applyAlignment="1">
      <alignment vertical="center"/>
    </xf>
    <xf numFmtId="9" fontId="47" fillId="28" borderId="0" xfId="92" applyFont="1" applyFill="1" applyAlignment="1">
      <alignment vertical="center"/>
    </xf>
    <xf numFmtId="185" fontId="47" fillId="28" borderId="0" xfId="78" applyNumberFormat="1" applyFont="1" applyFill="1" applyAlignment="1">
      <alignment vertical="center"/>
    </xf>
    <xf numFmtId="0" fontId="120" fillId="28" borderId="80" xfId="0" applyFont="1" applyFill="1" applyBorder="1" applyAlignment="1">
      <alignment vertical="center"/>
    </xf>
    <xf numFmtId="43" fontId="22" fillId="28" borderId="0" xfId="37" applyFont="1" applyFill="1" applyBorder="1" applyAlignment="1">
      <alignment vertical="center"/>
    </xf>
    <xf numFmtId="0" fontId="120" fillId="28" borderId="80" xfId="0" applyFont="1" applyFill="1" applyBorder="1" applyAlignment="1">
      <alignment horizontal="left" vertical="center"/>
    </xf>
    <xf numFmtId="0" fontId="119" fillId="28" borderId="80" xfId="0" applyFont="1" applyFill="1" applyBorder="1" applyAlignment="1">
      <alignment horizontal="left" vertical="center"/>
    </xf>
    <xf numFmtId="0" fontId="121" fillId="28" borderId="110" xfId="0" applyFont="1" applyFill="1" applyBorder="1" applyAlignment="1">
      <alignment vertical="center" wrapText="1"/>
    </xf>
    <xf numFmtId="0" fontId="122" fillId="28" borderId="110" xfId="0" applyFont="1" applyFill="1" applyBorder="1" applyAlignment="1">
      <alignment horizontal="right" vertical="center"/>
    </xf>
    <xf numFmtId="2" fontId="122" fillId="28" borderId="110" xfId="0" applyNumberFormat="1" applyFont="1" applyFill="1" applyBorder="1" applyAlignment="1">
      <alignment vertical="center"/>
    </xf>
    <xf numFmtId="171" fontId="122" fillId="28" borderId="110" xfId="0" applyNumberFormat="1" applyFont="1" applyFill="1" applyBorder="1" applyAlignment="1">
      <alignment horizontal="right" vertical="center"/>
    </xf>
    <xf numFmtId="0" fontId="123" fillId="28" borderId="80" xfId="0" applyFont="1" applyFill="1" applyBorder="1" applyAlignment="1">
      <alignment vertical="center"/>
    </xf>
    <xf numFmtId="171" fontId="44" fillId="28" borderId="0" xfId="78" applyNumberFormat="1" applyFont="1" applyFill="1" applyAlignment="1">
      <alignment vertical="center"/>
    </xf>
    <xf numFmtId="0" fontId="138" fillId="28" borderId="135" xfId="0" applyFont="1" applyFill="1" applyBorder="1" applyAlignment="1">
      <alignment vertical="center" wrapText="1"/>
    </xf>
    <xf numFmtId="0" fontId="124" fillId="28" borderId="136" xfId="0" applyFont="1" applyFill="1" applyBorder="1" applyAlignment="1">
      <alignment horizontal="center" vertical="center" wrapText="1"/>
    </xf>
    <xf numFmtId="192" fontId="185" fillId="28" borderId="0" xfId="37" applyNumberFormat="1" applyFont="1" applyFill="1" applyBorder="1" applyAlignment="1">
      <alignment vertical="center"/>
    </xf>
    <xf numFmtId="0" fontId="139" fillId="28" borderId="17" xfId="0" applyFont="1" applyFill="1" applyBorder="1" applyAlignment="1">
      <alignment vertical="center" wrapText="1"/>
    </xf>
    <xf numFmtId="2" fontId="139" fillId="28" borderId="137" xfId="0" applyNumberFormat="1" applyFont="1" applyFill="1" applyBorder="1" applyAlignment="1">
      <alignment horizontal="right" vertical="center" wrapText="1"/>
    </xf>
    <xf numFmtId="0" fontId="95" fillId="0" borderId="100" xfId="83" applyFont="1" applyBorder="1" applyAlignment="1">
      <alignment horizontal="center" vertical="center" wrapText="1"/>
    </xf>
    <xf numFmtId="0" fontId="50" fillId="0" borderId="10" xfId="83" applyFont="1" applyBorder="1" applyAlignment="1">
      <alignment horizontal="center" vertical="center" wrapText="1"/>
    </xf>
    <xf numFmtId="0" fontId="230" fillId="0" borderId="10" xfId="0" applyFont="1" applyBorder="1"/>
    <xf numFmtId="188" fontId="108" fillId="0" borderId="0" xfId="37" applyNumberFormat="1" applyFont="1" applyFill="1"/>
    <xf numFmtId="164" fontId="20" fillId="0" borderId="0" xfId="153" applyFont="1" applyFill="1" applyAlignment="1">
      <alignment vertical="center"/>
    </xf>
    <xf numFmtId="0" fontId="20" fillId="0" borderId="0" xfId="148" applyFont="1" applyAlignment="1">
      <alignment wrapText="1"/>
    </xf>
    <xf numFmtId="164" fontId="20" fillId="0" borderId="0" xfId="148" applyNumberFormat="1" applyFont="1" applyAlignment="1">
      <alignment vertical="center"/>
    </xf>
    <xf numFmtId="43" fontId="0" fillId="0" borderId="0" xfId="37" applyFont="1"/>
    <xf numFmtId="1" fontId="47" fillId="0" borderId="0" xfId="0" applyNumberFormat="1" applyFont="1" applyAlignment="1">
      <alignment horizontal="center" vertical="center" wrapText="1"/>
    </xf>
    <xf numFmtId="2" fontId="47" fillId="0" borderId="0" xfId="0" applyNumberFormat="1" applyFont="1" applyAlignment="1">
      <alignment horizontal="left" vertical="center" wrapText="1"/>
    </xf>
    <xf numFmtId="43" fontId="47" fillId="0" borderId="0" xfId="37" applyFont="1" applyFill="1" applyBorder="1" applyAlignment="1">
      <alignment horizontal="left" vertical="center" wrapText="1"/>
    </xf>
    <xf numFmtId="43" fontId="44" fillId="0" borderId="0" xfId="37" applyFont="1" applyFill="1" applyBorder="1" applyAlignment="1">
      <alignment horizontal="left" vertical="center" wrapText="1"/>
    </xf>
    <xf numFmtId="2" fontId="47" fillId="0" borderId="10" xfId="0" applyNumberFormat="1" applyFont="1" applyBorder="1" applyAlignment="1">
      <alignment horizontal="center" vertical="center" wrapText="1"/>
    </xf>
    <xf numFmtId="10" fontId="206" fillId="0" borderId="0" xfId="92" applyNumberFormat="1" applyFont="1"/>
    <xf numFmtId="10" fontId="206" fillId="0" borderId="0" xfId="78" applyNumberFormat="1" applyFont="1"/>
    <xf numFmtId="2" fontId="210" fillId="0" borderId="0" xfId="78" applyNumberFormat="1" applyFont="1"/>
    <xf numFmtId="0" fontId="235" fillId="0" borderId="0" xfId="78" applyFont="1"/>
    <xf numFmtId="0" fontId="21" fillId="32" borderId="10" xfId="78" applyFont="1" applyFill="1" applyBorder="1" applyAlignment="1">
      <alignment horizontal="center"/>
    </xf>
    <xf numFmtId="43" fontId="21" fillId="0" borderId="10" xfId="37" applyFont="1" applyFill="1" applyBorder="1"/>
    <xf numFmtId="0" fontId="20" fillId="0" borderId="10" xfId="78" applyBorder="1" applyAlignment="1">
      <alignment horizontal="center"/>
    </xf>
    <xf numFmtId="0" fontId="132" fillId="0" borderId="10" xfId="78" applyFont="1" applyBorder="1"/>
    <xf numFmtId="0" fontId="169" fillId="0" borderId="10" xfId="78" applyFont="1" applyBorder="1" applyAlignment="1">
      <alignment vertical="center" wrapText="1"/>
    </xf>
    <xf numFmtId="43" fontId="21" fillId="0" borderId="10" xfId="37" applyFont="1" applyBorder="1"/>
    <xf numFmtId="188" fontId="0" fillId="0" borderId="10" xfId="37" applyNumberFormat="1" applyFont="1" applyBorder="1"/>
    <xf numFmtId="188" fontId="21" fillId="0" borderId="10" xfId="37" applyNumberFormat="1" applyFont="1" applyBorder="1"/>
    <xf numFmtId="188" fontId="20" fillId="0" borderId="10" xfId="37" applyNumberFormat="1" applyBorder="1"/>
    <xf numFmtId="10" fontId="20" fillId="0" borderId="10" xfId="78" applyNumberFormat="1" applyBorder="1"/>
    <xf numFmtId="10" fontId="20" fillId="27" borderId="10" xfId="78" applyNumberFormat="1" applyFill="1" applyBorder="1"/>
    <xf numFmtId="43" fontId="21" fillId="0" borderId="27" xfId="37" applyFont="1" applyBorder="1"/>
    <xf numFmtId="43" fontId="21" fillId="32" borderId="29" xfId="37" applyFont="1" applyFill="1" applyBorder="1"/>
    <xf numFmtId="43" fontId="21" fillId="32" borderId="30" xfId="37" applyFont="1" applyFill="1" applyBorder="1"/>
    <xf numFmtId="0" fontId="20" fillId="0" borderId="107" xfId="78" applyBorder="1"/>
    <xf numFmtId="0" fontId="236" fillId="42" borderId="10" xfId="171" applyFont="1" applyFill="1" applyBorder="1" applyAlignment="1">
      <alignment horizontal="center" vertical="center" wrapText="1"/>
    </xf>
    <xf numFmtId="164" fontId="236" fillId="42" borderId="10" xfId="172" applyFont="1" applyFill="1" applyBorder="1" applyAlignment="1">
      <alignment horizontal="center" vertical="center" wrapText="1"/>
    </xf>
    <xf numFmtId="164" fontId="236" fillId="42" borderId="10" xfId="172" applyFont="1" applyFill="1" applyBorder="1" applyAlignment="1">
      <alignment horizontal="right" vertical="center" wrapText="1"/>
    </xf>
    <xf numFmtId="0" fontId="223" fillId="0" borderId="0" xfId="171" applyFont="1" applyAlignment="1">
      <alignment horizontal="center"/>
    </xf>
    <xf numFmtId="0" fontId="237" fillId="0" borderId="10" xfId="171" applyFont="1" applyBorder="1" applyAlignment="1">
      <alignment vertical="center" wrapText="1"/>
    </xf>
    <xf numFmtId="2" fontId="223" fillId="0" borderId="10" xfId="171" applyNumberFormat="1" applyFont="1" applyBorder="1" applyAlignment="1">
      <alignment horizontal="center" vertical="center"/>
    </xf>
    <xf numFmtId="0" fontId="223" fillId="27" borderId="10" xfId="171" applyFont="1" applyFill="1" applyBorder="1" applyAlignment="1">
      <alignment horizontal="center" vertical="center"/>
    </xf>
    <xf numFmtId="2" fontId="223" fillId="27" borderId="10" xfId="171" applyNumberFormat="1" applyFont="1" applyFill="1" applyBorder="1" applyAlignment="1">
      <alignment horizontal="center" vertical="center"/>
    </xf>
    <xf numFmtId="0" fontId="223" fillId="27" borderId="10" xfId="171" applyFont="1" applyFill="1" applyBorder="1"/>
    <xf numFmtId="10" fontId="223" fillId="27" borderId="10" xfId="171" applyNumberFormat="1" applyFont="1" applyFill="1" applyBorder="1"/>
    <xf numFmtId="2" fontId="223" fillId="27" borderId="0" xfId="171" applyNumberFormat="1" applyFont="1" applyFill="1"/>
    <xf numFmtId="166" fontId="223" fillId="27" borderId="0" xfId="171" applyNumberFormat="1" applyFont="1" applyFill="1" applyAlignment="1">
      <alignment horizontal="right"/>
    </xf>
    <xf numFmtId="0" fontId="223" fillId="0" borderId="0" xfId="171" applyFont="1"/>
    <xf numFmtId="0" fontId="223" fillId="55" borderId="10" xfId="171" applyFont="1" applyFill="1" applyBorder="1" applyAlignment="1">
      <alignment horizontal="center" vertical="center"/>
    </xf>
    <xf numFmtId="2" fontId="238" fillId="55" borderId="10" xfId="171" applyNumberFormat="1" applyFont="1" applyFill="1" applyBorder="1" applyAlignment="1">
      <alignment horizontal="center" vertical="center"/>
    </xf>
    <xf numFmtId="0" fontId="223" fillId="55" borderId="10" xfId="171" applyFont="1" applyFill="1" applyBorder="1"/>
    <xf numFmtId="10" fontId="223" fillId="55" borderId="10" xfId="171" applyNumberFormat="1" applyFont="1" applyFill="1" applyBorder="1"/>
    <xf numFmtId="2" fontId="223" fillId="55" borderId="0" xfId="171" applyNumberFormat="1" applyFont="1" applyFill="1"/>
    <xf numFmtId="166" fontId="223" fillId="55" borderId="0" xfId="171" applyNumberFormat="1" applyFont="1" applyFill="1" applyAlignment="1">
      <alignment horizontal="right"/>
    </xf>
    <xf numFmtId="2" fontId="236" fillId="41" borderId="10" xfId="172" applyNumberFormat="1" applyFont="1" applyFill="1" applyBorder="1" applyAlignment="1">
      <alignment horizontal="center" vertical="center" wrapText="1"/>
    </xf>
    <xf numFmtId="2" fontId="223" fillId="0" borderId="0" xfId="171" applyNumberFormat="1" applyFont="1"/>
    <xf numFmtId="2" fontId="236" fillId="41" borderId="10" xfId="172" applyNumberFormat="1" applyFont="1" applyFill="1" applyBorder="1" applyAlignment="1">
      <alignment horizontal="right" vertical="center" wrapText="1"/>
    </xf>
    <xf numFmtId="0" fontId="220" fillId="0" borderId="0" xfId="171" applyFont="1"/>
    <xf numFmtId="0" fontId="220" fillId="55" borderId="10" xfId="171" applyFont="1" applyFill="1" applyBorder="1" applyAlignment="1">
      <alignment horizontal="left"/>
    </xf>
    <xf numFmtId="0" fontId="220" fillId="55" borderId="10" xfId="171" applyFont="1" applyFill="1" applyBorder="1"/>
    <xf numFmtId="0" fontId="223" fillId="41" borderId="10" xfId="171" applyFont="1" applyFill="1" applyBorder="1" applyAlignment="1">
      <alignment horizontal="center" vertical="center"/>
    </xf>
    <xf numFmtId="166" fontId="223" fillId="41" borderId="10" xfId="171" applyNumberFormat="1" applyFont="1" applyFill="1" applyBorder="1" applyAlignment="1">
      <alignment horizontal="right" vertical="center"/>
    </xf>
    <xf numFmtId="0" fontId="237" fillId="0" borderId="10" xfId="171" applyFont="1" applyBorder="1" applyAlignment="1">
      <alignment horizontal="left" vertical="center" wrapText="1"/>
    </xf>
    <xf numFmtId="2" fontId="223" fillId="41" borderId="10" xfId="171" applyNumberFormat="1" applyFont="1" applyFill="1" applyBorder="1" applyAlignment="1">
      <alignment horizontal="center" vertical="center"/>
    </xf>
    <xf numFmtId="2" fontId="223" fillId="41" borderId="10" xfId="171" applyNumberFormat="1" applyFont="1" applyFill="1" applyBorder="1" applyAlignment="1">
      <alignment horizontal="right" vertical="center"/>
    </xf>
    <xf numFmtId="0" fontId="223" fillId="27" borderId="43" xfId="171" applyFont="1" applyFill="1" applyBorder="1" applyAlignment="1">
      <alignment horizontal="center" vertical="center"/>
    </xf>
    <xf numFmtId="2" fontId="223" fillId="27" borderId="43" xfId="171" applyNumberFormat="1" applyFont="1" applyFill="1" applyBorder="1" applyAlignment="1">
      <alignment horizontal="center" vertical="center"/>
    </xf>
    <xf numFmtId="0" fontId="223" fillId="27" borderId="43" xfId="171" applyFont="1" applyFill="1" applyBorder="1"/>
    <xf numFmtId="10" fontId="223" fillId="27" borderId="43" xfId="171" applyNumberFormat="1" applyFont="1" applyFill="1" applyBorder="1"/>
    <xf numFmtId="2" fontId="223" fillId="0" borderId="31" xfId="171" applyNumberFormat="1" applyFont="1" applyBorder="1" applyAlignment="1">
      <alignment horizontal="center" vertical="center"/>
    </xf>
    <xf numFmtId="0" fontId="223" fillId="53" borderId="10" xfId="171" applyFont="1" applyFill="1" applyBorder="1" applyAlignment="1">
      <alignment horizontal="center" vertical="center"/>
    </xf>
    <xf numFmtId="2" fontId="223" fillId="53" borderId="10" xfId="171" applyNumberFormat="1" applyFont="1" applyFill="1" applyBorder="1" applyAlignment="1">
      <alignment horizontal="center" vertical="center"/>
    </xf>
    <xf numFmtId="0" fontId="223" fillId="53" borderId="10" xfId="171" applyFont="1" applyFill="1" applyBorder="1"/>
    <xf numFmtId="10" fontId="223" fillId="53" borderId="10" xfId="171" applyNumberFormat="1" applyFont="1" applyFill="1" applyBorder="1"/>
    <xf numFmtId="2" fontId="223" fillId="53" borderId="10" xfId="171" applyNumberFormat="1" applyFont="1" applyFill="1" applyBorder="1"/>
    <xf numFmtId="166" fontId="223" fillId="53" borderId="10" xfId="171" applyNumberFormat="1" applyFont="1" applyFill="1" applyBorder="1" applyAlignment="1">
      <alignment horizontal="right"/>
    </xf>
    <xf numFmtId="0" fontId="237" fillId="0" borderId="10" xfId="171" applyFont="1" applyBorder="1" applyAlignment="1">
      <alignment horizontal="justify" vertical="center" wrapText="1"/>
    </xf>
    <xf numFmtId="0" fontId="223" fillId="42" borderId="99" xfId="171" applyFont="1" applyFill="1" applyBorder="1" applyAlignment="1">
      <alignment horizontal="center" vertical="center"/>
    </xf>
    <xf numFmtId="2" fontId="223" fillId="42" borderId="99" xfId="171" applyNumberFormat="1" applyFont="1" applyFill="1" applyBorder="1" applyAlignment="1">
      <alignment horizontal="center" vertical="center"/>
    </xf>
    <xf numFmtId="0" fontId="223" fillId="42" borderId="99" xfId="171" applyFont="1" applyFill="1" applyBorder="1"/>
    <xf numFmtId="10" fontId="223" fillId="42" borderId="99" xfId="171" applyNumberFormat="1" applyFont="1" applyFill="1" applyBorder="1"/>
    <xf numFmtId="2" fontId="223" fillId="42" borderId="0" xfId="171" applyNumberFormat="1" applyFont="1" applyFill="1"/>
    <xf numFmtId="166" fontId="223" fillId="42" borderId="0" xfId="171" applyNumberFormat="1" applyFont="1" applyFill="1" applyAlignment="1">
      <alignment horizontal="right"/>
    </xf>
    <xf numFmtId="0" fontId="223" fillId="0" borderId="10" xfId="171" applyFont="1" applyBorder="1" applyAlignment="1">
      <alignment horizontal="center" vertical="center"/>
    </xf>
    <xf numFmtId="2" fontId="223" fillId="32" borderId="10" xfId="171" applyNumberFormat="1" applyFont="1" applyFill="1" applyBorder="1" applyAlignment="1">
      <alignment horizontal="center" vertical="center"/>
    </xf>
    <xf numFmtId="0" fontId="223" fillId="32" borderId="10" xfId="171" applyFont="1" applyFill="1" applyBorder="1"/>
    <xf numFmtId="9" fontId="223" fillId="32" borderId="10" xfId="171" applyNumberFormat="1" applyFont="1" applyFill="1" applyBorder="1"/>
    <xf numFmtId="166" fontId="223" fillId="32" borderId="0" xfId="171" applyNumberFormat="1" applyFont="1" applyFill="1" applyAlignment="1">
      <alignment horizontal="right"/>
    </xf>
    <xf numFmtId="0" fontId="223" fillId="42" borderId="10" xfId="171" applyFont="1" applyFill="1" applyBorder="1" applyAlignment="1">
      <alignment horizontal="center" vertical="center"/>
    </xf>
    <xf numFmtId="2" fontId="223" fillId="42" borderId="10" xfId="171" applyNumberFormat="1" applyFont="1" applyFill="1" applyBorder="1" applyAlignment="1">
      <alignment horizontal="center" vertical="center"/>
    </xf>
    <xf numFmtId="0" fontId="223" fillId="42" borderId="10" xfId="171" applyFont="1" applyFill="1" applyBorder="1"/>
    <xf numFmtId="10" fontId="223" fillId="42" borderId="10" xfId="171" applyNumberFormat="1" applyFont="1" applyFill="1" applyBorder="1"/>
    <xf numFmtId="0" fontId="223" fillId="48" borderId="10" xfId="171" applyFont="1" applyFill="1" applyBorder="1" applyAlignment="1">
      <alignment horizontal="center" vertical="center"/>
    </xf>
    <xf numFmtId="2" fontId="223" fillId="48" borderId="10" xfId="171" applyNumberFormat="1" applyFont="1" applyFill="1" applyBorder="1" applyAlignment="1">
      <alignment horizontal="center" vertical="center"/>
    </xf>
    <xf numFmtId="0" fontId="223" fillId="48" borderId="10" xfId="171" applyFont="1" applyFill="1" applyBorder="1"/>
    <xf numFmtId="9" fontId="223" fillId="48" borderId="10" xfId="171" applyNumberFormat="1" applyFont="1" applyFill="1" applyBorder="1"/>
    <xf numFmtId="2" fontId="223" fillId="48" borderId="0" xfId="171" applyNumberFormat="1" applyFont="1" applyFill="1"/>
    <xf numFmtId="0" fontId="223" fillId="56" borderId="10" xfId="171" applyFont="1" applyFill="1" applyBorder="1" applyAlignment="1">
      <alignment horizontal="center" vertical="center"/>
    </xf>
    <xf numFmtId="2" fontId="223" fillId="56" borderId="10" xfId="171" applyNumberFormat="1" applyFont="1" applyFill="1" applyBorder="1" applyAlignment="1">
      <alignment horizontal="center" vertical="center"/>
    </xf>
    <xf numFmtId="0" fontId="223" fillId="56" borderId="10" xfId="171" applyFont="1" applyFill="1" applyBorder="1"/>
    <xf numFmtId="10" fontId="223" fillId="56" borderId="10" xfId="171" applyNumberFormat="1" applyFont="1" applyFill="1" applyBorder="1"/>
    <xf numFmtId="2" fontId="223" fillId="56" borderId="0" xfId="171" applyNumberFormat="1" applyFont="1" applyFill="1"/>
    <xf numFmtId="166" fontId="223" fillId="56" borderId="0" xfId="171" applyNumberFormat="1" applyFont="1" applyFill="1" applyAlignment="1">
      <alignment horizontal="right"/>
    </xf>
    <xf numFmtId="0" fontId="223" fillId="54" borderId="10" xfId="171" applyFont="1" applyFill="1" applyBorder="1" applyAlignment="1">
      <alignment horizontal="center" vertical="center"/>
    </xf>
    <xf numFmtId="2" fontId="223" fillId="54" borderId="10" xfId="171" applyNumberFormat="1" applyFont="1" applyFill="1" applyBorder="1" applyAlignment="1">
      <alignment horizontal="center" vertical="center"/>
    </xf>
    <xf numFmtId="0" fontId="223" fillId="54" borderId="10" xfId="171" applyFont="1" applyFill="1" applyBorder="1"/>
    <xf numFmtId="10" fontId="223" fillId="54" borderId="10" xfId="171" applyNumberFormat="1" applyFont="1" applyFill="1" applyBorder="1"/>
    <xf numFmtId="2" fontId="223" fillId="54" borderId="0" xfId="171" applyNumberFormat="1" applyFont="1" applyFill="1"/>
    <xf numFmtId="166" fontId="223" fillId="54" borderId="0" xfId="171" applyNumberFormat="1" applyFont="1" applyFill="1" applyAlignment="1">
      <alignment horizontal="right"/>
    </xf>
    <xf numFmtId="2" fontId="236" fillId="27" borderId="10" xfId="172" applyNumberFormat="1" applyFont="1" applyFill="1" applyBorder="1" applyAlignment="1">
      <alignment horizontal="center" vertical="center" wrapText="1"/>
    </xf>
    <xf numFmtId="2" fontId="236" fillId="27" borderId="10" xfId="172" applyNumberFormat="1" applyFont="1" applyFill="1" applyBorder="1" applyAlignment="1">
      <alignment horizontal="right" vertical="center" wrapText="1"/>
    </xf>
    <xf numFmtId="2" fontId="223" fillId="0" borderId="0" xfId="171" applyNumberFormat="1" applyFont="1" applyAlignment="1">
      <alignment horizontal="center" vertical="center"/>
    </xf>
    <xf numFmtId="0" fontId="223" fillId="42" borderId="0" xfId="171" applyFont="1" applyFill="1"/>
    <xf numFmtId="0" fontId="223" fillId="0" borderId="0" xfId="171" applyFont="1" applyAlignment="1">
      <alignment horizontal="right"/>
    </xf>
    <xf numFmtId="0" fontId="223" fillId="0" borderId="10" xfId="171" applyFont="1" applyBorder="1"/>
    <xf numFmtId="0" fontId="220" fillId="0" borderId="99" xfId="171" applyFont="1" applyBorder="1"/>
    <xf numFmtId="0" fontId="220" fillId="0" borderId="100" xfId="171" applyFont="1" applyBorder="1"/>
    <xf numFmtId="0" fontId="220" fillId="0" borderId="10" xfId="171" applyFont="1" applyBorder="1"/>
    <xf numFmtId="0" fontId="223" fillId="27" borderId="31" xfId="171" applyFont="1" applyFill="1" applyBorder="1"/>
    <xf numFmtId="0" fontId="220" fillId="27" borderId="10" xfId="171" applyFont="1" applyFill="1" applyBorder="1"/>
    <xf numFmtId="0" fontId="220" fillId="0" borderId="10" xfId="171" applyFont="1" applyBorder="1" applyAlignment="1">
      <alignment horizontal="right"/>
    </xf>
    <xf numFmtId="0" fontId="223" fillId="55" borderId="31" xfId="171" applyFont="1" applyFill="1" applyBorder="1"/>
    <xf numFmtId="0" fontId="223" fillId="56" borderId="31" xfId="171" applyFont="1" applyFill="1" applyBorder="1"/>
    <xf numFmtId="166" fontId="223" fillId="52" borderId="10" xfId="171" applyNumberFormat="1" applyFont="1" applyFill="1" applyBorder="1"/>
    <xf numFmtId="0" fontId="223" fillId="52" borderId="10" xfId="171" applyFont="1" applyFill="1" applyBorder="1"/>
    <xf numFmtId="166" fontId="223" fillId="52" borderId="31" xfId="171" applyNumberFormat="1" applyFont="1" applyFill="1" applyBorder="1"/>
    <xf numFmtId="0" fontId="223" fillId="57" borderId="10" xfId="171" applyFont="1" applyFill="1" applyBorder="1"/>
    <xf numFmtId="2" fontId="223" fillId="57" borderId="10" xfId="171" applyNumberFormat="1" applyFont="1" applyFill="1" applyBorder="1"/>
    <xf numFmtId="166" fontId="223" fillId="57" borderId="10" xfId="171" applyNumberFormat="1" applyFont="1" applyFill="1" applyBorder="1"/>
    <xf numFmtId="0" fontId="223" fillId="57" borderId="31" xfId="171" applyFont="1" applyFill="1" applyBorder="1"/>
    <xf numFmtId="2" fontId="223" fillId="54" borderId="10" xfId="171" applyNumberFormat="1" applyFont="1" applyFill="1" applyBorder="1"/>
    <xf numFmtId="0" fontId="223" fillId="54" borderId="31" xfId="171" applyFont="1" applyFill="1" applyBorder="1"/>
    <xf numFmtId="2" fontId="223" fillId="48" borderId="10" xfId="171" applyNumberFormat="1" applyFont="1" applyFill="1" applyBorder="1"/>
    <xf numFmtId="0" fontId="223" fillId="48" borderId="31" xfId="171" applyFont="1" applyFill="1" applyBorder="1"/>
    <xf numFmtId="0" fontId="223" fillId="0" borderId="10" xfId="171" applyFont="1" applyBorder="1" applyAlignment="1">
      <alignment wrapText="1"/>
    </xf>
    <xf numFmtId="0" fontId="223" fillId="32" borderId="10" xfId="171" applyFont="1" applyFill="1" applyBorder="1" applyAlignment="1">
      <alignment wrapText="1"/>
    </xf>
    <xf numFmtId="2" fontId="223" fillId="32" borderId="10" xfId="171" applyNumberFormat="1" applyFont="1" applyFill="1" applyBorder="1"/>
    <xf numFmtId="166" fontId="223" fillId="32" borderId="10" xfId="171" applyNumberFormat="1" applyFont="1" applyFill="1" applyBorder="1"/>
    <xf numFmtId="0" fontId="223" fillId="32" borderId="31" xfId="171" applyFont="1" applyFill="1" applyBorder="1" applyAlignment="1">
      <alignment wrapText="1"/>
    </xf>
    <xf numFmtId="0" fontId="223" fillId="0" borderId="31" xfId="171" applyFont="1" applyBorder="1"/>
    <xf numFmtId="0" fontId="220" fillId="33" borderId="10" xfId="171" applyFont="1" applyFill="1" applyBorder="1"/>
    <xf numFmtId="166" fontId="220" fillId="33" borderId="10" xfId="171" applyNumberFormat="1" applyFont="1" applyFill="1" applyBorder="1"/>
    <xf numFmtId="0" fontId="220" fillId="33" borderId="31" xfId="171" applyFont="1" applyFill="1" applyBorder="1"/>
    <xf numFmtId="0" fontId="223" fillId="27" borderId="0" xfId="171" applyFont="1" applyFill="1"/>
    <xf numFmtId="2" fontId="223" fillId="55" borderId="10" xfId="171" applyNumberFormat="1" applyFont="1" applyFill="1" applyBorder="1" applyAlignment="1">
      <alignment horizontal="center" vertical="center"/>
    </xf>
    <xf numFmtId="0" fontId="223" fillId="55" borderId="0" xfId="171" applyFont="1" applyFill="1"/>
    <xf numFmtId="0" fontId="223" fillId="57" borderId="10" xfId="171" applyFont="1" applyFill="1" applyBorder="1" applyAlignment="1">
      <alignment horizontal="center" vertical="center"/>
    </xf>
    <xf numFmtId="2" fontId="223" fillId="57" borderId="10" xfId="171" applyNumberFormat="1" applyFont="1" applyFill="1" applyBorder="1" applyAlignment="1">
      <alignment horizontal="center" vertical="center"/>
    </xf>
    <xf numFmtId="10" fontId="223" fillId="57" borderId="10" xfId="171" applyNumberFormat="1" applyFont="1" applyFill="1" applyBorder="1"/>
    <xf numFmtId="2" fontId="223" fillId="57" borderId="0" xfId="171" applyNumberFormat="1" applyFont="1" applyFill="1"/>
    <xf numFmtId="0" fontId="223" fillId="57" borderId="0" xfId="171" applyFont="1" applyFill="1"/>
    <xf numFmtId="10" fontId="223" fillId="32" borderId="10" xfId="171" applyNumberFormat="1" applyFont="1" applyFill="1" applyBorder="1"/>
    <xf numFmtId="0" fontId="237" fillId="0" borderId="10" xfId="171" applyFont="1" applyBorder="1" applyAlignment="1">
      <alignment horizontal="center" vertical="center" wrapText="1"/>
    </xf>
    <xf numFmtId="0" fontId="223" fillId="0" borderId="26" xfId="171" applyFont="1" applyBorder="1"/>
    <xf numFmtId="0" fontId="223" fillId="0" borderId="27" xfId="171" applyFont="1" applyBorder="1"/>
    <xf numFmtId="0" fontId="223" fillId="27" borderId="10" xfId="171" applyFont="1" applyFill="1" applyBorder="1" applyAlignment="1">
      <alignment horizontal="right"/>
    </xf>
    <xf numFmtId="0" fontId="223" fillId="27" borderId="31" xfId="171" applyFont="1" applyFill="1" applyBorder="1" applyAlignment="1">
      <alignment horizontal="right"/>
    </xf>
    <xf numFmtId="0" fontId="223" fillId="55" borderId="10" xfId="171" applyFont="1" applyFill="1" applyBorder="1" applyAlignment="1">
      <alignment horizontal="right"/>
    </xf>
    <xf numFmtId="0" fontId="223" fillId="55" borderId="31" xfId="171" applyFont="1" applyFill="1" applyBorder="1" applyAlignment="1">
      <alignment horizontal="right"/>
    </xf>
    <xf numFmtId="0" fontId="223" fillId="56" borderId="10" xfId="171" applyFont="1" applyFill="1" applyBorder="1" applyAlignment="1">
      <alignment horizontal="right"/>
    </xf>
    <xf numFmtId="0" fontId="223" fillId="56" borderId="31" xfId="171" applyFont="1" applyFill="1" applyBorder="1" applyAlignment="1">
      <alignment horizontal="right"/>
    </xf>
    <xf numFmtId="2" fontId="223" fillId="57" borderId="10" xfId="171" applyNumberFormat="1" applyFont="1" applyFill="1" applyBorder="1" applyAlignment="1">
      <alignment horizontal="right"/>
    </xf>
    <xf numFmtId="166" fontId="223" fillId="57" borderId="31" xfId="171" applyNumberFormat="1" applyFont="1" applyFill="1" applyBorder="1" applyAlignment="1">
      <alignment horizontal="right"/>
    </xf>
    <xf numFmtId="2" fontId="223" fillId="54" borderId="10" xfId="171" applyNumberFormat="1" applyFont="1" applyFill="1" applyBorder="1" applyAlignment="1">
      <alignment horizontal="right"/>
    </xf>
    <xf numFmtId="0" fontId="223" fillId="54" borderId="31" xfId="171" applyFont="1" applyFill="1" applyBorder="1" applyAlignment="1">
      <alignment horizontal="right"/>
    </xf>
    <xf numFmtId="2" fontId="223" fillId="32" borderId="10" xfId="171" applyNumberFormat="1" applyFont="1" applyFill="1" applyBorder="1" applyAlignment="1">
      <alignment horizontal="right"/>
    </xf>
    <xf numFmtId="166" fontId="223" fillId="32" borderId="31" xfId="171" applyNumberFormat="1" applyFont="1" applyFill="1" applyBorder="1" applyAlignment="1">
      <alignment horizontal="right"/>
    </xf>
    <xf numFmtId="0" fontId="220" fillId="33" borderId="0" xfId="171" applyFont="1" applyFill="1"/>
    <xf numFmtId="0" fontId="223" fillId="0" borderId="28" xfId="171" applyFont="1" applyBorder="1"/>
    <xf numFmtId="0" fontId="223" fillId="0" borderId="30" xfId="171" applyFont="1" applyBorder="1"/>
    <xf numFmtId="43" fontId="223" fillId="0" borderId="0" xfId="37" applyFont="1"/>
    <xf numFmtId="164" fontId="236" fillId="27" borderId="10" xfId="172" applyFont="1" applyFill="1" applyBorder="1" applyAlignment="1">
      <alignment horizontal="center" vertical="center" wrapText="1"/>
    </xf>
    <xf numFmtId="164" fontId="236" fillId="27" borderId="10" xfId="172" applyFont="1" applyFill="1" applyBorder="1" applyAlignment="1">
      <alignment horizontal="right" vertical="center" wrapText="1"/>
    </xf>
    <xf numFmtId="0" fontId="237" fillId="28" borderId="10" xfId="171" applyFont="1" applyFill="1" applyBorder="1" applyAlignment="1">
      <alignment vertical="center" wrapText="1"/>
    </xf>
    <xf numFmtId="0" fontId="223" fillId="28" borderId="0" xfId="171" applyFont="1" applyFill="1"/>
    <xf numFmtId="2" fontId="236" fillId="28" borderId="10" xfId="172" applyNumberFormat="1" applyFont="1" applyFill="1" applyBorder="1" applyAlignment="1">
      <alignment horizontal="center" vertical="center" wrapText="1"/>
    </xf>
    <xf numFmtId="0" fontId="223" fillId="28" borderId="10" xfId="171" applyFont="1" applyFill="1" applyBorder="1" applyAlignment="1">
      <alignment horizontal="center" vertical="center"/>
    </xf>
    <xf numFmtId="2" fontId="223" fillId="28" borderId="10" xfId="171" applyNumberFormat="1" applyFont="1" applyFill="1" applyBorder="1" applyAlignment="1">
      <alignment horizontal="center" vertical="center"/>
    </xf>
    <xf numFmtId="0" fontId="220" fillId="28" borderId="0" xfId="171" applyFont="1" applyFill="1"/>
    <xf numFmtId="2" fontId="223" fillId="28" borderId="0" xfId="171" applyNumberFormat="1" applyFont="1" applyFill="1"/>
    <xf numFmtId="0" fontId="237" fillId="28" borderId="10" xfId="171" applyFont="1" applyFill="1" applyBorder="1" applyAlignment="1">
      <alignment horizontal="left" vertical="center" wrapText="1"/>
    </xf>
    <xf numFmtId="0" fontId="220" fillId="28" borderId="10" xfId="171" applyFont="1" applyFill="1" applyBorder="1"/>
    <xf numFmtId="10" fontId="223" fillId="28" borderId="10" xfId="171" applyNumberFormat="1" applyFont="1" applyFill="1" applyBorder="1"/>
    <xf numFmtId="0" fontId="223" fillId="28" borderId="10" xfId="171" applyFont="1" applyFill="1" applyBorder="1"/>
    <xf numFmtId="0" fontId="237" fillId="28" borderId="10" xfId="171" applyFont="1" applyFill="1" applyBorder="1" applyAlignment="1">
      <alignment horizontal="justify" vertical="center" wrapText="1"/>
    </xf>
    <xf numFmtId="0" fontId="223" fillId="32" borderId="10" xfId="171" applyFont="1" applyFill="1" applyBorder="1" applyAlignment="1">
      <alignment horizontal="center" vertical="center"/>
    </xf>
    <xf numFmtId="2" fontId="223" fillId="32" borderId="0" xfId="171" applyNumberFormat="1" applyFont="1" applyFill="1"/>
    <xf numFmtId="2" fontId="223" fillId="58" borderId="10" xfId="171" applyNumberFormat="1" applyFont="1" applyFill="1" applyBorder="1" applyAlignment="1">
      <alignment horizontal="center" vertical="center"/>
    </xf>
    <xf numFmtId="0" fontId="223" fillId="58" borderId="10" xfId="171" applyFont="1" applyFill="1" applyBorder="1" applyAlignment="1">
      <alignment horizontal="center" vertical="center"/>
    </xf>
    <xf numFmtId="0" fontId="223" fillId="58" borderId="10" xfId="171" applyFont="1" applyFill="1" applyBorder="1"/>
    <xf numFmtId="9" fontId="223" fillId="58" borderId="10" xfId="171" applyNumberFormat="1" applyFont="1" applyFill="1" applyBorder="1"/>
    <xf numFmtId="2" fontId="223" fillId="58" borderId="0" xfId="171" applyNumberFormat="1" applyFont="1" applyFill="1"/>
    <xf numFmtId="0" fontId="237" fillId="28" borderId="10" xfId="171" applyFont="1" applyFill="1" applyBorder="1" applyAlignment="1">
      <alignment horizontal="center" vertical="center" wrapText="1"/>
    </xf>
    <xf numFmtId="2" fontId="223" fillId="27" borderId="10" xfId="171" applyNumberFormat="1" applyFont="1" applyFill="1" applyBorder="1"/>
    <xf numFmtId="2" fontId="223" fillId="0" borderId="10" xfId="171" applyNumberFormat="1" applyFont="1" applyBorder="1"/>
    <xf numFmtId="2" fontId="223" fillId="52" borderId="10" xfId="171" applyNumberFormat="1" applyFont="1" applyFill="1" applyBorder="1"/>
    <xf numFmtId="0" fontId="223" fillId="58" borderId="10" xfId="171" applyFont="1" applyFill="1" applyBorder="1" applyAlignment="1">
      <alignment wrapText="1"/>
    </xf>
    <xf numFmtId="2" fontId="223" fillId="58" borderId="10" xfId="171" applyNumberFormat="1" applyFont="1" applyFill="1" applyBorder="1"/>
    <xf numFmtId="166" fontId="223" fillId="58" borderId="10" xfId="171" applyNumberFormat="1" applyFont="1" applyFill="1" applyBorder="1"/>
    <xf numFmtId="0" fontId="223" fillId="57" borderId="10" xfId="171" applyFont="1" applyFill="1" applyBorder="1" applyAlignment="1">
      <alignment wrapText="1"/>
    </xf>
    <xf numFmtId="0" fontId="223" fillId="0" borderId="43" xfId="171" applyFont="1" applyBorder="1"/>
    <xf numFmtId="2" fontId="223" fillId="27" borderId="43" xfId="171" applyNumberFormat="1" applyFont="1" applyFill="1" applyBorder="1"/>
    <xf numFmtId="2" fontId="223" fillId="0" borderId="43" xfId="171" applyNumberFormat="1" applyFont="1" applyBorder="1"/>
    <xf numFmtId="0" fontId="220" fillId="33" borderId="34" xfId="171" applyFont="1" applyFill="1" applyBorder="1"/>
    <xf numFmtId="0" fontId="220" fillId="33" borderId="35" xfId="171" applyFont="1" applyFill="1" applyBorder="1"/>
    <xf numFmtId="2" fontId="220" fillId="27" borderId="35" xfId="171" applyNumberFormat="1" applyFont="1" applyFill="1" applyBorder="1"/>
    <xf numFmtId="2" fontId="220" fillId="0" borderId="35" xfId="171" applyNumberFormat="1" applyFont="1" applyBorder="1"/>
    <xf numFmtId="2" fontId="220" fillId="0" borderId="36" xfId="171" applyNumberFormat="1" applyFont="1" applyBorder="1"/>
    <xf numFmtId="2" fontId="223" fillId="30" borderId="10" xfId="171" applyNumberFormat="1" applyFont="1" applyFill="1" applyBorder="1" applyAlignment="1">
      <alignment horizontal="center" vertical="center"/>
    </xf>
    <xf numFmtId="0" fontId="223" fillId="30" borderId="10" xfId="171" applyFont="1" applyFill="1" applyBorder="1"/>
    <xf numFmtId="10" fontId="223" fillId="30" borderId="10" xfId="171" applyNumberFormat="1" applyFont="1" applyFill="1" applyBorder="1"/>
    <xf numFmtId="2" fontId="223" fillId="30" borderId="0" xfId="171" applyNumberFormat="1" applyFont="1" applyFill="1"/>
    <xf numFmtId="166" fontId="223" fillId="30" borderId="0" xfId="171" applyNumberFormat="1" applyFont="1" applyFill="1"/>
    <xf numFmtId="10" fontId="223" fillId="58" borderId="10" xfId="171" applyNumberFormat="1" applyFont="1" applyFill="1" applyBorder="1"/>
    <xf numFmtId="166" fontId="223" fillId="58" borderId="0" xfId="171" applyNumberFormat="1" applyFont="1" applyFill="1"/>
    <xf numFmtId="166" fontId="223" fillId="0" borderId="0" xfId="171" applyNumberFormat="1" applyFont="1"/>
    <xf numFmtId="0" fontId="220" fillId="58" borderId="10" xfId="171" applyFont="1" applyFill="1" applyBorder="1" applyAlignment="1">
      <alignment horizontal="left"/>
    </xf>
    <xf numFmtId="0" fontId="220" fillId="58" borderId="10" xfId="171" applyFont="1" applyFill="1" applyBorder="1"/>
    <xf numFmtId="10" fontId="223" fillId="52" borderId="10" xfId="171" applyNumberFormat="1" applyFont="1" applyFill="1" applyBorder="1"/>
    <xf numFmtId="0" fontId="237" fillId="0" borderId="43" xfId="171" applyFont="1" applyBorder="1" applyAlignment="1">
      <alignment horizontal="center" vertical="center" wrapText="1"/>
    </xf>
    <xf numFmtId="2" fontId="223" fillId="30" borderId="10" xfId="171" applyNumberFormat="1" applyFont="1" applyFill="1" applyBorder="1"/>
    <xf numFmtId="166" fontId="223" fillId="30" borderId="10" xfId="171" applyNumberFormat="1" applyFont="1" applyFill="1" applyBorder="1"/>
    <xf numFmtId="2" fontId="223" fillId="0" borderId="31" xfId="171" applyNumberFormat="1" applyFont="1" applyBorder="1"/>
    <xf numFmtId="2" fontId="223" fillId="0" borderId="26" xfId="171" applyNumberFormat="1" applyFont="1" applyBorder="1"/>
    <xf numFmtId="2" fontId="223" fillId="0" borderId="27" xfId="171" applyNumberFormat="1" applyFont="1" applyBorder="1"/>
    <xf numFmtId="166" fontId="223" fillId="54" borderId="10" xfId="171" applyNumberFormat="1" applyFont="1" applyFill="1" applyBorder="1"/>
    <xf numFmtId="2" fontId="223" fillId="0" borderId="28" xfId="171" applyNumberFormat="1" applyFont="1" applyBorder="1"/>
    <xf numFmtId="2" fontId="223" fillId="0" borderId="30" xfId="171" applyNumberFormat="1" applyFont="1" applyBorder="1"/>
    <xf numFmtId="0" fontId="223" fillId="56" borderId="0" xfId="171" applyFont="1" applyFill="1"/>
    <xf numFmtId="2" fontId="223" fillId="35" borderId="10" xfId="171" applyNumberFormat="1" applyFont="1" applyFill="1" applyBorder="1" applyAlignment="1">
      <alignment horizontal="center" vertical="center"/>
    </xf>
    <xf numFmtId="0" fontId="223" fillId="35" borderId="10" xfId="171" applyFont="1" applyFill="1" applyBorder="1"/>
    <xf numFmtId="10" fontId="223" fillId="35" borderId="10" xfId="171" applyNumberFormat="1" applyFont="1" applyFill="1" applyBorder="1"/>
    <xf numFmtId="0" fontId="223" fillId="35" borderId="0" xfId="171" applyFont="1" applyFill="1"/>
    <xf numFmtId="0" fontId="223" fillId="59" borderId="0" xfId="171" applyFont="1" applyFill="1"/>
    <xf numFmtId="0" fontId="223" fillId="32" borderId="0" xfId="171" applyFont="1" applyFill="1"/>
    <xf numFmtId="0" fontId="223" fillId="48" borderId="0" xfId="171" applyFont="1" applyFill="1"/>
    <xf numFmtId="0" fontId="223" fillId="54" borderId="0" xfId="171" applyFont="1" applyFill="1"/>
    <xf numFmtId="10" fontId="223" fillId="0" borderId="0" xfId="171" applyNumberFormat="1" applyFont="1"/>
    <xf numFmtId="0" fontId="239" fillId="0" borderId="10" xfId="171" applyFont="1" applyBorder="1" applyAlignment="1">
      <alignment vertical="center"/>
    </xf>
    <xf numFmtId="0" fontId="220" fillId="0" borderId="70" xfId="171" applyFont="1" applyBorder="1"/>
    <xf numFmtId="0" fontId="240" fillId="0" borderId="10" xfId="171" applyFont="1" applyBorder="1" applyAlignment="1">
      <alignment vertical="center"/>
    </xf>
    <xf numFmtId="43" fontId="240" fillId="0" borderId="10" xfId="37" applyFont="1" applyBorder="1" applyAlignment="1">
      <alignment vertical="center"/>
    </xf>
    <xf numFmtId="43" fontId="223" fillId="0" borderId="25" xfId="37" applyFont="1" applyFill="1" applyBorder="1"/>
    <xf numFmtId="0" fontId="239" fillId="60" borderId="10" xfId="171" applyFont="1" applyFill="1" applyBorder="1" applyAlignment="1">
      <alignment vertical="center"/>
    </xf>
    <xf numFmtId="43" fontId="220" fillId="33" borderId="25" xfId="37" applyFont="1" applyFill="1" applyBorder="1"/>
    <xf numFmtId="14" fontId="47" fillId="0" borderId="10" xfId="0" applyNumberFormat="1" applyFont="1" applyBorder="1" applyAlignment="1">
      <alignment vertical="center"/>
    </xf>
    <xf numFmtId="2" fontId="159" fillId="0" borderId="10" xfId="0" applyNumberFormat="1" applyFont="1" applyBorder="1" applyAlignment="1">
      <alignment vertical="center"/>
    </xf>
    <xf numFmtId="43" fontId="47" fillId="0" borderId="10" xfId="37" applyFont="1" applyFill="1" applyBorder="1" applyAlignment="1">
      <alignment vertical="center"/>
    </xf>
    <xf numFmtId="43" fontId="47" fillId="28" borderId="10" xfId="37" applyFont="1" applyFill="1" applyBorder="1" applyAlignment="1">
      <alignment vertical="center"/>
    </xf>
    <xf numFmtId="43" fontId="137" fillId="28" borderId="10" xfId="37" applyFont="1" applyFill="1" applyBorder="1" applyAlignment="1">
      <alignment vertical="center"/>
    </xf>
    <xf numFmtId="0" fontId="131" fillId="61" borderId="10" xfId="141" applyFont="1" applyFill="1" applyBorder="1" applyAlignment="1">
      <alignment horizontal="center" vertical="center"/>
    </xf>
    <xf numFmtId="0" fontId="131" fillId="61" borderId="10" xfId="141" applyFont="1" applyFill="1" applyBorder="1" applyAlignment="1">
      <alignment horizontal="center" vertical="center" wrapText="1"/>
    </xf>
    <xf numFmtId="43" fontId="131" fillId="0" borderId="0" xfId="37" applyFont="1" applyAlignment="1">
      <alignment horizontal="center" vertical="center"/>
    </xf>
    <xf numFmtId="43" fontId="64" fillId="0" borderId="10" xfId="37" applyFont="1" applyFill="1" applyBorder="1"/>
    <xf numFmtId="43" fontId="59" fillId="0" borderId="10" xfId="37" applyFont="1" applyFill="1" applyBorder="1"/>
    <xf numFmtId="43" fontId="64" fillId="0" borderId="0" xfId="37" applyFont="1" applyFill="1"/>
    <xf numFmtId="0" fontId="194" fillId="31" borderId="31" xfId="158" applyFont="1" applyFill="1" applyBorder="1"/>
    <xf numFmtId="0" fontId="164" fillId="31" borderId="10" xfId="158" applyFont="1" applyFill="1" applyBorder="1"/>
    <xf numFmtId="0" fontId="195" fillId="31" borderId="31" xfId="158" applyFont="1" applyFill="1" applyBorder="1"/>
    <xf numFmtId="43" fontId="131" fillId="0" borderId="10" xfId="37" applyFont="1" applyBorder="1" applyAlignment="1">
      <alignment horizontal="right"/>
    </xf>
    <xf numFmtId="2" fontId="47" fillId="28" borderId="10" xfId="78" applyNumberFormat="1" applyFont="1" applyFill="1" applyBorder="1" applyAlignment="1">
      <alignment wrapText="1"/>
    </xf>
    <xf numFmtId="1" fontId="33" fillId="28" borderId="10" xfId="78" applyNumberFormat="1" applyFont="1" applyFill="1" applyBorder="1" applyAlignment="1">
      <alignment horizontal="center"/>
    </xf>
    <xf numFmtId="2" fontId="44" fillId="28" borderId="10" xfId="78" applyNumberFormat="1" applyFont="1" applyFill="1" applyBorder="1" applyAlignment="1">
      <alignment wrapText="1"/>
    </xf>
    <xf numFmtId="2" fontId="47" fillId="0" borderId="10" xfId="78" applyNumberFormat="1" applyFont="1" applyBorder="1" applyAlignment="1">
      <alignment wrapText="1"/>
    </xf>
    <xf numFmtId="0" fontId="47" fillId="28" borderId="0" xfId="78" applyFont="1" applyFill="1"/>
    <xf numFmtId="164" fontId="108" fillId="0" borderId="0" xfId="0" applyNumberFormat="1" applyFont="1"/>
    <xf numFmtId="188" fontId="0" fillId="0" borderId="0" xfId="37" applyNumberFormat="1" applyFont="1" applyFill="1"/>
    <xf numFmtId="188" fontId="127" fillId="0" borderId="0" xfId="37" applyNumberFormat="1" applyFont="1" applyFill="1"/>
    <xf numFmtId="10" fontId="127" fillId="0" borderId="10" xfId="0" applyNumberFormat="1" applyFont="1" applyBorder="1"/>
    <xf numFmtId="0" fontId="20" fillId="28" borderId="57" xfId="148" applyFont="1" applyFill="1" applyBorder="1" applyAlignment="1">
      <alignment vertical="top"/>
    </xf>
    <xf numFmtId="164" fontId="129" fillId="28" borderId="133" xfId="148" applyNumberFormat="1" applyFont="1" applyFill="1" applyBorder="1"/>
    <xf numFmtId="164" fontId="129" fillId="28" borderId="68" xfId="148" applyNumberFormat="1" applyFont="1" applyFill="1" applyBorder="1"/>
    <xf numFmtId="10" fontId="108" fillId="0" borderId="0" xfId="92" applyNumberFormat="1" applyFont="1" applyFill="1"/>
    <xf numFmtId="43" fontId="108" fillId="0" borderId="0" xfId="37" applyFont="1" applyAlignment="1">
      <alignment vertical="center"/>
    </xf>
    <xf numFmtId="43" fontId="108" fillId="0" borderId="0" xfId="0" applyNumberFormat="1" applyFont="1" applyAlignment="1">
      <alignment vertical="center"/>
    </xf>
    <xf numFmtId="164" fontId="108" fillId="0" borderId="0" xfId="0" applyNumberFormat="1" applyFont="1" applyAlignment="1">
      <alignment vertical="center"/>
    </xf>
    <xf numFmtId="188" fontId="21" fillId="0" borderId="10" xfId="37" applyNumberFormat="1" applyFont="1" applyFill="1" applyBorder="1"/>
    <xf numFmtId="188" fontId="0" fillId="0" borderId="10" xfId="37" applyNumberFormat="1" applyFont="1" applyFill="1" applyBorder="1"/>
    <xf numFmtId="0" fontId="20" fillId="0" borderId="10" xfId="0" applyFont="1" applyBorder="1" applyAlignment="1">
      <alignment horizontal="center" vertical="center" wrapText="1"/>
    </xf>
    <xf numFmtId="0" fontId="21" fillId="28" borderId="10" xfId="78" applyFont="1" applyFill="1" applyBorder="1" applyAlignment="1">
      <alignment horizontal="left" vertical="center" wrapText="1"/>
    </xf>
    <xf numFmtId="43" fontId="129" fillId="0" borderId="0" xfId="37" applyFont="1"/>
    <xf numFmtId="164" fontId="130" fillId="0" borderId="0" xfId="0" applyNumberFormat="1" applyFont="1"/>
    <xf numFmtId="0" fontId="130" fillId="0" borderId="0" xfId="0" applyFont="1" applyAlignment="1">
      <alignment horizontal="center"/>
    </xf>
    <xf numFmtId="0" fontId="129" fillId="28" borderId="0" xfId="148" applyFont="1" applyFill="1" applyAlignment="1">
      <alignment wrapText="1"/>
    </xf>
    <xf numFmtId="10" fontId="0" fillId="0" borderId="0" xfId="0" applyNumberFormat="1"/>
    <xf numFmtId="9" fontId="129" fillId="0" borderId="0" xfId="0" applyNumberFormat="1" applyFont="1"/>
    <xf numFmtId="0" fontId="130" fillId="0" borderId="0" xfId="0" applyFont="1"/>
    <xf numFmtId="0" fontId="21" fillId="33" borderId="33" xfId="148" applyFont="1" applyFill="1" applyBorder="1" applyAlignment="1">
      <alignment vertical="top"/>
    </xf>
    <xf numFmtId="188" fontId="129" fillId="0" borderId="0" xfId="37" applyNumberFormat="1" applyFont="1" applyFill="1" applyBorder="1"/>
    <xf numFmtId="188" fontId="20" fillId="0" borderId="0" xfId="37" applyNumberFormat="1" applyFont="1" applyFill="1" applyBorder="1" applyAlignment="1">
      <alignment horizontal="center"/>
    </xf>
    <xf numFmtId="0" fontId="129" fillId="0" borderId="109" xfId="148" applyFont="1" applyBorder="1"/>
    <xf numFmtId="0" fontId="20" fillId="0" borderId="114" xfId="148" applyFont="1" applyBorder="1" applyAlignment="1">
      <alignment horizontal="center"/>
    </xf>
    <xf numFmtId="164" fontId="129" fillId="0" borderId="114" xfId="148" applyNumberFormat="1" applyFont="1" applyBorder="1"/>
    <xf numFmtId="0" fontId="3" fillId="0" borderId="0" xfId="173"/>
    <xf numFmtId="0" fontId="3" fillId="0" borderId="0" xfId="173" applyAlignment="1">
      <alignment horizontal="left"/>
    </xf>
    <xf numFmtId="191" fontId="3" fillId="0" borderId="0" xfId="174" applyNumberFormat="1" applyFont="1"/>
    <xf numFmtId="164" fontId="0" fillId="0" borderId="0" xfId="175" applyFont="1" applyFill="1"/>
    <xf numFmtId="0" fontId="131" fillId="0" borderId="10" xfId="173" applyFont="1" applyBorder="1"/>
    <xf numFmtId="0" fontId="131" fillId="0" borderId="10" xfId="173" applyFont="1" applyBorder="1" applyAlignment="1">
      <alignment horizontal="left"/>
    </xf>
    <xf numFmtId="0" fontId="136" fillId="0" borderId="10" xfId="173" applyFont="1" applyBorder="1" applyAlignment="1">
      <alignment vertical="top"/>
    </xf>
    <xf numFmtId="191" fontId="136" fillId="0" borderId="10" xfId="174" applyNumberFormat="1" applyFont="1" applyFill="1" applyBorder="1" applyAlignment="1">
      <alignment vertical="top"/>
    </xf>
    <xf numFmtId="164" fontId="136" fillId="0" borderId="10" xfId="175" applyFont="1" applyFill="1" applyBorder="1" applyAlignment="1">
      <alignment vertical="top"/>
    </xf>
    <xf numFmtId="0" fontId="242" fillId="0" borderId="10" xfId="173" applyFont="1" applyBorder="1" applyAlignment="1">
      <alignment horizontal="left"/>
    </xf>
    <xf numFmtId="0" fontId="132" fillId="0" borderId="10" xfId="173" applyFont="1" applyBorder="1" applyAlignment="1">
      <alignment horizontal="center" wrapText="1"/>
    </xf>
    <xf numFmtId="0" fontId="132" fillId="0" borderId="10" xfId="173" applyFont="1" applyBorder="1" applyAlignment="1">
      <alignment horizontal="left" wrapText="1"/>
    </xf>
    <xf numFmtId="1" fontId="132" fillId="0" borderId="10" xfId="173" applyNumberFormat="1" applyFont="1" applyBorder="1"/>
    <xf numFmtId="198" fontId="132" fillId="0" borderId="10" xfId="164" applyNumberFormat="1" applyFont="1" applyBorder="1" applyAlignment="1">
      <alignment horizontal="left" wrapText="1"/>
    </xf>
    <xf numFmtId="191" fontId="132" fillId="0" borderId="10" xfId="174" applyNumberFormat="1" applyFont="1" applyFill="1" applyBorder="1" applyAlignment="1">
      <alignment vertical="top"/>
    </xf>
    <xf numFmtId="164" fontId="3" fillId="0" borderId="0" xfId="173" applyNumberFormat="1"/>
    <xf numFmtId="0" fontId="132" fillId="0" borderId="10" xfId="173" applyFont="1" applyBorder="1"/>
    <xf numFmtId="0" fontId="242" fillId="0" borderId="10" xfId="173" applyFont="1" applyBorder="1"/>
    <xf numFmtId="198" fontId="132" fillId="0" borderId="10" xfId="164" applyNumberFormat="1" applyFont="1" applyBorder="1" applyAlignment="1">
      <alignment horizontal="left"/>
    </xf>
    <xf numFmtId="1" fontId="242" fillId="0" borderId="10" xfId="173" applyNumberFormat="1" applyFont="1" applyBorder="1"/>
    <xf numFmtId="198" fontId="242" fillId="0" borderId="10" xfId="164" applyNumberFormat="1" applyFont="1" applyBorder="1" applyAlignment="1">
      <alignment horizontal="left" wrapText="1"/>
    </xf>
    <xf numFmtId="164" fontId="132" fillId="0" borderId="10" xfId="175" applyFont="1" applyFill="1" applyBorder="1" applyAlignment="1">
      <alignment vertical="top"/>
    </xf>
    <xf numFmtId="0" fontId="132" fillId="0" borderId="10" xfId="173" applyFont="1" applyBorder="1" applyAlignment="1">
      <alignment horizontal="left" vertical="center"/>
    </xf>
    <xf numFmtId="1" fontId="132" fillId="0" borderId="10" xfId="173" applyNumberFormat="1" applyFont="1" applyBorder="1" applyAlignment="1">
      <alignment vertical="center"/>
    </xf>
    <xf numFmtId="198" fontId="132" fillId="0" borderId="10" xfId="164" applyNumberFormat="1" applyFont="1" applyBorder="1" applyAlignment="1">
      <alignment horizontal="left" vertical="center" wrapText="1"/>
    </xf>
    <xf numFmtId="191" fontId="132" fillId="0" borderId="10" xfId="174" applyNumberFormat="1" applyFont="1" applyFill="1" applyBorder="1" applyAlignment="1">
      <alignment vertical="center"/>
    </xf>
    <xf numFmtId="191" fontId="3" fillId="0" borderId="0" xfId="173" applyNumberFormat="1"/>
    <xf numFmtId="191" fontId="131" fillId="0" borderId="15" xfId="174" applyNumberFormat="1" applyFont="1" applyFill="1" applyBorder="1"/>
    <xf numFmtId="0" fontId="131" fillId="0" borderId="15" xfId="173" applyFont="1" applyBorder="1"/>
    <xf numFmtId="0" fontId="3" fillId="0" borderId="0" xfId="173" applyAlignment="1">
      <alignment horizontal="right"/>
    </xf>
    <xf numFmtId="191" fontId="0" fillId="0" borderId="0" xfId="174" applyNumberFormat="1" applyFont="1" applyFill="1"/>
    <xf numFmtId="10" fontId="0" fillId="0" borderId="0" xfId="176" applyNumberFormat="1" applyFont="1" applyFill="1"/>
    <xf numFmtId="191" fontId="132" fillId="0" borderId="0" xfId="174" applyNumberFormat="1" applyFont="1"/>
    <xf numFmtId="191" fontId="131" fillId="0" borderId="15" xfId="174" applyNumberFormat="1" applyFont="1" applyBorder="1"/>
    <xf numFmtId="0" fontId="0" fillId="0" borderId="0" xfId="0" applyAlignment="1">
      <alignment horizontal="center"/>
    </xf>
    <xf numFmtId="43" fontId="130" fillId="0" borderId="0" xfId="37" applyFont="1" applyAlignment="1">
      <alignment horizontal="center"/>
    </xf>
    <xf numFmtId="164" fontId="130" fillId="0" borderId="0" xfId="0" applyNumberFormat="1" applyFont="1" applyAlignment="1">
      <alignment horizontal="center"/>
    </xf>
    <xf numFmtId="164" fontId="129" fillId="0" borderId="0" xfId="0" applyNumberFormat="1" applyFont="1" applyAlignment="1">
      <alignment horizontal="center"/>
    </xf>
    <xf numFmtId="43" fontId="129" fillId="0" borderId="0" xfId="37" applyFont="1" applyAlignment="1">
      <alignment horizontal="center"/>
    </xf>
    <xf numFmtId="0" fontId="129" fillId="0" borderId="0" xfId="0" applyFont="1" applyAlignment="1">
      <alignment horizontal="center"/>
    </xf>
    <xf numFmtId="10" fontId="129" fillId="0" borderId="0" xfId="0" applyNumberFormat="1" applyFont="1" applyAlignment="1">
      <alignment horizontal="center"/>
    </xf>
    <xf numFmtId="0" fontId="20" fillId="28" borderId="10" xfId="148" applyFont="1" applyFill="1" applyBorder="1" applyAlignment="1">
      <alignment wrapText="1"/>
    </xf>
    <xf numFmtId="10" fontId="20" fillId="0" borderId="10" xfId="0" applyNumberFormat="1" applyFont="1" applyBorder="1"/>
    <xf numFmtId="0" fontId="129" fillId="0" borderId="111" xfId="0" applyFont="1" applyBorder="1"/>
    <xf numFmtId="164" fontId="129" fillId="0" borderId="0" xfId="148" applyNumberFormat="1" applyFont="1"/>
    <xf numFmtId="164" fontId="129" fillId="0" borderId="69" xfId="148" applyNumberFormat="1" applyFont="1" applyBorder="1"/>
    <xf numFmtId="10" fontId="129" fillId="0" borderId="0" xfId="92" applyNumberFormat="1" applyFont="1" applyFill="1" applyBorder="1"/>
    <xf numFmtId="10" fontId="129" fillId="0" borderId="69" xfId="92" applyNumberFormat="1" applyFont="1" applyFill="1" applyBorder="1"/>
    <xf numFmtId="0" fontId="129" fillId="0" borderId="100" xfId="0" applyFont="1" applyBorder="1"/>
    <xf numFmtId="164" fontId="129" fillId="0" borderId="16" xfId="148" applyNumberFormat="1" applyFont="1" applyBorder="1"/>
    <xf numFmtId="9" fontId="20" fillId="0" borderId="0" xfId="0" applyNumberFormat="1" applyFont="1"/>
    <xf numFmtId="2" fontId="129" fillId="0" borderId="0" xfId="92" applyNumberFormat="1" applyFont="1" applyFill="1" applyBorder="1"/>
    <xf numFmtId="0" fontId="129" fillId="0" borderId="17" xfId="0" applyFont="1" applyBorder="1"/>
    <xf numFmtId="188" fontId="129" fillId="0" borderId="18" xfId="37" applyNumberFormat="1" applyFont="1" applyFill="1" applyBorder="1"/>
    <xf numFmtId="188" fontId="20" fillId="0" borderId="18" xfId="37" applyNumberFormat="1" applyFont="1" applyFill="1" applyBorder="1" applyAlignment="1">
      <alignment horizontal="center"/>
    </xf>
    <xf numFmtId="9" fontId="129" fillId="0" borderId="18" xfId="0" applyNumberFormat="1" applyFont="1" applyBorder="1"/>
    <xf numFmtId="0" fontId="130" fillId="0" borderId="17" xfId="0" applyFont="1" applyBorder="1"/>
    <xf numFmtId="164" fontId="130" fillId="0" borderId="18" xfId="0" applyNumberFormat="1" applyFont="1" applyBorder="1"/>
    <xf numFmtId="164" fontId="129" fillId="0" borderId="110" xfId="148" applyNumberFormat="1" applyFont="1" applyBorder="1"/>
    <xf numFmtId="0" fontId="27" fillId="0" borderId="0" xfId="120" applyFont="1" applyFill="1" applyAlignment="1">
      <alignment horizontal="center" vertical="center"/>
    </xf>
    <xf numFmtId="0" fontId="110" fillId="0" borderId="10" xfId="120" applyFont="1" applyFill="1" applyBorder="1" applyAlignment="1">
      <alignment horizontal="center" vertical="center" wrapText="1"/>
    </xf>
    <xf numFmtId="0" fontId="30" fillId="0" borderId="10" xfId="120" applyFont="1" applyFill="1" applyBorder="1" applyAlignment="1">
      <alignment horizontal="center" vertical="center" wrapText="1"/>
    </xf>
    <xf numFmtId="43" fontId="44" fillId="0" borderId="10" xfId="41" applyNumberFormat="1" applyFont="1" applyBorder="1" applyAlignment="1">
      <alignment horizontal="center" vertical="center" wrapText="1"/>
    </xf>
    <xf numFmtId="166" fontId="44" fillId="0" borderId="10" xfId="41" applyNumberFormat="1" applyFont="1" applyBorder="1" applyAlignment="1">
      <alignment horizontal="center" vertical="center" wrapText="1"/>
    </xf>
    <xf numFmtId="0" fontId="22" fillId="0" borderId="10" xfId="120" applyFont="1" applyFill="1" applyBorder="1" applyAlignment="1">
      <alignment horizontal="center"/>
    </xf>
    <xf numFmtId="0" fontId="30" fillId="0" borderId="10" xfId="120" applyFont="1" applyFill="1" applyBorder="1" applyAlignment="1">
      <alignment horizontal="center"/>
    </xf>
    <xf numFmtId="43" fontId="20" fillId="0" borderId="0" xfId="37" applyFont="1"/>
    <xf numFmtId="9" fontId="108" fillId="0" borderId="0" xfId="92" applyFont="1" applyFill="1"/>
    <xf numFmtId="191" fontId="132" fillId="27" borderId="10" xfId="174" applyNumberFormat="1" applyFont="1" applyFill="1" applyBorder="1" applyAlignment="1">
      <alignment vertical="top"/>
    </xf>
    <xf numFmtId="43" fontId="181" fillId="0" borderId="10" xfId="37" applyFont="1" applyFill="1" applyBorder="1"/>
    <xf numFmtId="43" fontId="21" fillId="0" borderId="0" xfId="37" applyFont="1"/>
    <xf numFmtId="1" fontId="21" fillId="0" borderId="10" xfId="0" applyNumberFormat="1" applyFont="1" applyBorder="1"/>
    <xf numFmtId="10" fontId="20" fillId="0" borderId="0" xfId="92" applyNumberFormat="1" applyFont="1"/>
    <xf numFmtId="186" fontId="31" fillId="0" borderId="0" xfId="120" applyNumberFormat="1" applyFont="1" applyFill="1" applyAlignment="1">
      <alignment vertical="center"/>
    </xf>
    <xf numFmtId="43" fontId="31" fillId="0" borderId="0" xfId="37" applyFont="1" applyFill="1" applyBorder="1" applyAlignment="1">
      <alignment vertical="center"/>
    </xf>
    <xf numFmtId="2" fontId="22" fillId="0" borderId="0" xfId="120" applyNumberFormat="1" applyFont="1" applyFill="1" applyAlignment="1">
      <alignment vertical="center"/>
    </xf>
    <xf numFmtId="2" fontId="153" fillId="0" borderId="0" xfId="120" applyNumberFormat="1" applyFont="1" applyFill="1" applyAlignment="1">
      <alignment vertical="center"/>
    </xf>
    <xf numFmtId="43" fontId="33" fillId="0" borderId="0" xfId="37" applyFont="1" applyFill="1" applyAlignment="1">
      <alignment vertical="center"/>
    </xf>
    <xf numFmtId="186" fontId="31" fillId="0" borderId="0" xfId="37" applyNumberFormat="1" applyFont="1" applyFill="1" applyBorder="1" applyAlignment="1">
      <alignment vertical="center"/>
    </xf>
    <xf numFmtId="43" fontId="31" fillId="0" borderId="0" xfId="120" applyNumberFormat="1" applyFont="1" applyFill="1" applyAlignment="1">
      <alignment vertical="center"/>
    </xf>
    <xf numFmtId="0" fontId="34" fillId="0" borderId="133" xfId="120" applyFont="1" applyFill="1" applyBorder="1" applyAlignment="1">
      <alignment horizontal="center" vertical="center"/>
    </xf>
    <xf numFmtId="0" fontId="34" fillId="0" borderId="128" xfId="120" applyFont="1" applyFill="1" applyBorder="1" applyAlignment="1">
      <alignment horizontal="center" vertical="center"/>
    </xf>
    <xf numFmtId="0" fontId="34" fillId="0" borderId="127" xfId="120" applyFont="1" applyFill="1" applyBorder="1" applyAlignment="1">
      <alignment horizontal="center" vertical="center"/>
    </xf>
    <xf numFmtId="0" fontId="113" fillId="0" borderId="128" xfId="120" applyFont="1" applyFill="1" applyBorder="1" applyAlignment="1">
      <alignment horizontal="center" vertical="center"/>
    </xf>
    <xf numFmtId="2" fontId="34" fillId="0" borderId="128" xfId="120" applyNumberFormat="1" applyFont="1" applyFill="1" applyBorder="1" applyAlignment="1">
      <alignment horizontal="center" vertical="center"/>
    </xf>
    <xf numFmtId="0" fontId="34" fillId="0" borderId="99" xfId="120" applyFont="1" applyFill="1" applyBorder="1" applyAlignment="1">
      <alignment horizontal="center" vertical="center"/>
    </xf>
    <xf numFmtId="2" fontId="213" fillId="0" borderId="0" xfId="120" applyNumberFormat="1" applyFont="1" applyFill="1" applyAlignment="1">
      <alignment vertical="center"/>
    </xf>
    <xf numFmtId="0" fontId="153" fillId="0" borderId="0" xfId="120" applyFont="1" applyFill="1" applyAlignment="1">
      <alignment vertical="center"/>
    </xf>
    <xf numFmtId="0" fontId="34" fillId="0" borderId="133" xfId="120" applyFont="1" applyFill="1" applyBorder="1" applyAlignment="1">
      <alignment horizontal="center"/>
    </xf>
    <xf numFmtId="0" fontId="34" fillId="0" borderId="111" xfId="120" applyFont="1" applyFill="1" applyBorder="1" applyAlignment="1">
      <alignment horizontal="center"/>
    </xf>
    <xf numFmtId="0" fontId="34" fillId="0" borderId="128" xfId="120" applyFont="1" applyFill="1" applyBorder="1" applyAlignment="1">
      <alignment horizontal="center"/>
    </xf>
    <xf numFmtId="0" fontId="34" fillId="0" borderId="127" xfId="120" applyFont="1" applyFill="1" applyBorder="1" applyAlignment="1">
      <alignment horizontal="center"/>
    </xf>
    <xf numFmtId="0" fontId="113" fillId="0" borderId="128" xfId="120" applyFont="1" applyFill="1" applyBorder="1" applyAlignment="1">
      <alignment horizontal="center"/>
    </xf>
    <xf numFmtId="2" fontId="34" fillId="0" borderId="128" xfId="120" applyNumberFormat="1" applyFont="1" applyFill="1" applyBorder="1" applyAlignment="1">
      <alignment horizontal="center"/>
    </xf>
    <xf numFmtId="0" fontId="34" fillId="0" borderId="100" xfId="120" applyFont="1" applyFill="1" applyBorder="1" applyAlignment="1">
      <alignment horizontal="center"/>
    </xf>
    <xf numFmtId="0" fontId="34" fillId="0" borderId="99" xfId="120" applyFont="1" applyFill="1" applyBorder="1" applyAlignment="1">
      <alignment horizontal="center"/>
    </xf>
    <xf numFmtId="0" fontId="153" fillId="0" borderId="0" xfId="120" applyFont="1" applyFill="1"/>
    <xf numFmtId="2" fontId="172" fillId="0" borderId="10" xfId="120" applyNumberFormat="1" applyFont="1" applyFill="1" applyBorder="1" applyAlignment="1">
      <alignment horizontal="right" vertical="center"/>
    </xf>
    <xf numFmtId="2" fontId="20" fillId="28" borderId="10" xfId="78" applyNumberFormat="1" applyFill="1" applyBorder="1" applyAlignment="1">
      <alignment vertical="center" wrapText="1"/>
    </xf>
    <xf numFmtId="49" fontId="70" fillId="0" borderId="48" xfId="0" applyNumberFormat="1" applyFont="1" applyBorder="1" applyAlignment="1">
      <alignment horizontal="center" vertical="center" wrapText="1"/>
    </xf>
    <xf numFmtId="188" fontId="47" fillId="0" borderId="0" xfId="0" applyNumberFormat="1" applyFont="1" applyAlignment="1">
      <alignment horizontal="center" vertical="center" wrapText="1"/>
    </xf>
    <xf numFmtId="188" fontId="47" fillId="0" borderId="0" xfId="37" applyNumberFormat="1" applyFont="1" applyFill="1" applyBorder="1" applyAlignment="1">
      <alignment horizontal="center" vertical="center" wrapText="1"/>
    </xf>
    <xf numFmtId="43" fontId="128" fillId="0" borderId="0" xfId="37" applyFont="1" applyFill="1" applyBorder="1"/>
    <xf numFmtId="0" fontId="127" fillId="0" borderId="0" xfId="0" applyFont="1"/>
    <xf numFmtId="0" fontId="21" fillId="0" borderId="10" xfId="78" applyFont="1" applyBorder="1"/>
    <xf numFmtId="0" fontId="134" fillId="0" borderId="0" xfId="0" applyFont="1"/>
    <xf numFmtId="0" fontId="231" fillId="0" borderId="10" xfId="0" applyFont="1" applyBorder="1"/>
    <xf numFmtId="0" fontId="134" fillId="0" borderId="10" xfId="0" applyFont="1" applyBorder="1"/>
    <xf numFmtId="43" fontId="134" fillId="0" borderId="10" xfId="167" applyFont="1" applyFill="1" applyBorder="1"/>
    <xf numFmtId="9" fontId="134" fillId="0" borderId="0" xfId="0" applyNumberFormat="1" applyFont="1" applyAlignment="1">
      <alignment horizontal="left"/>
    </xf>
    <xf numFmtId="164" fontId="134" fillId="0" borderId="0" xfId="0" applyNumberFormat="1" applyFont="1"/>
    <xf numFmtId="0" fontId="231" fillId="0" borderId="0" xfId="0" applyFont="1"/>
    <xf numFmtId="0" fontId="137" fillId="0" borderId="0" xfId="0" applyFont="1"/>
    <xf numFmtId="0" fontId="158" fillId="0" borderId="0" xfId="0" applyFont="1"/>
    <xf numFmtId="0" fontId="160" fillId="0" borderId="0" xfId="0" applyFont="1"/>
    <xf numFmtId="0" fontId="134" fillId="0" borderId="10" xfId="0" applyFont="1" applyBorder="1" applyAlignment="1">
      <alignment horizontal="center"/>
    </xf>
    <xf numFmtId="43" fontId="47" fillId="0" borderId="10" xfId="167" applyFont="1" applyFill="1" applyBorder="1"/>
    <xf numFmtId="10" fontId="134" fillId="0" borderId="0" xfId="92" applyNumberFormat="1" applyFont="1"/>
    <xf numFmtId="164" fontId="47" fillId="0" borderId="0" xfId="0" applyNumberFormat="1" applyFont="1"/>
    <xf numFmtId="43" fontId="231" fillId="0" borderId="10" xfId="0" applyNumberFormat="1" applyFont="1" applyBorder="1"/>
    <xf numFmtId="43" fontId="0" fillId="0" borderId="10" xfId="37" applyFont="1" applyFill="1" applyBorder="1" applyAlignment="1">
      <alignment horizontal="center"/>
    </xf>
    <xf numFmtId="43" fontId="0" fillId="0" borderId="10" xfId="37" applyFont="1" applyFill="1" applyBorder="1"/>
    <xf numFmtId="0" fontId="20" fillId="0" borderId="0" xfId="0" applyFont="1" applyAlignment="1">
      <alignment vertical="top"/>
    </xf>
    <xf numFmtId="0" fontId="45" fillId="0" borderId="112" xfId="0" applyFont="1" applyBorder="1" applyAlignment="1">
      <alignment horizontal="center" vertical="top"/>
    </xf>
    <xf numFmtId="0" fontId="45" fillId="0" borderId="99" xfId="0" applyFont="1" applyBorder="1" applyAlignment="1">
      <alignment horizontal="center" vertical="top"/>
    </xf>
    <xf numFmtId="0" fontId="45" fillId="0" borderId="113" xfId="0" applyFont="1" applyBorder="1" applyAlignment="1">
      <alignment vertical="top"/>
    </xf>
    <xf numFmtId="0" fontId="45" fillId="0" borderId="26" xfId="0" applyFont="1" applyBorder="1" applyAlignment="1">
      <alignment horizontal="center" vertical="top"/>
    </xf>
    <xf numFmtId="0" fontId="45" fillId="0" borderId="10" xfId="0" applyFont="1" applyBorder="1" applyAlignment="1">
      <alignment horizontal="center" vertical="top"/>
    </xf>
    <xf numFmtId="0" fontId="45" fillId="0" borderId="27" xfId="0" applyFont="1" applyBorder="1" applyAlignment="1">
      <alignment vertical="top"/>
    </xf>
    <xf numFmtId="43" fontId="45" fillId="0" borderId="10" xfId="167" applyFont="1" applyFill="1" applyBorder="1" applyAlignment="1">
      <alignment vertical="top"/>
    </xf>
    <xf numFmtId="43" fontId="45" fillId="0" borderId="27" xfId="167" applyFont="1" applyFill="1" applyBorder="1" applyAlignment="1">
      <alignment vertical="top"/>
    </xf>
    <xf numFmtId="0" fontId="45" fillId="0" borderId="10" xfId="0" applyFont="1" applyBorder="1" applyAlignment="1">
      <alignment horizontal="left" vertical="top" wrapText="1"/>
    </xf>
    <xf numFmtId="164" fontId="20" fillId="0" borderId="0" xfId="0" applyNumberFormat="1" applyFont="1" applyAlignment="1">
      <alignment vertical="top"/>
    </xf>
    <xf numFmtId="0" fontId="45" fillId="0" borderId="28" xfId="0" applyFont="1" applyBorder="1" applyAlignment="1">
      <alignment vertical="top"/>
    </xf>
    <xf numFmtId="0" fontId="45" fillId="0" borderId="29" xfId="0" applyFont="1" applyBorder="1" applyAlignment="1">
      <alignment vertical="top"/>
    </xf>
    <xf numFmtId="0" fontId="45" fillId="0" borderId="30" xfId="0" applyFont="1" applyBorder="1" applyAlignment="1">
      <alignment vertical="top"/>
    </xf>
    <xf numFmtId="164" fontId="45" fillId="0" borderId="29" xfId="0" applyNumberFormat="1" applyFont="1" applyBorder="1" applyAlignment="1">
      <alignment vertical="top"/>
    </xf>
    <xf numFmtId="0" fontId="20" fillId="0" borderId="19" xfId="0" applyFont="1" applyBorder="1" applyAlignment="1">
      <alignment vertical="top"/>
    </xf>
    <xf numFmtId="0" fontId="20" fillId="0" borderId="121" xfId="0" applyFont="1" applyBorder="1" applyAlignment="1">
      <alignment vertical="top"/>
    </xf>
    <xf numFmtId="0" fontId="20" fillId="0" borderId="20" xfId="0" applyFont="1" applyBorder="1" applyAlignment="1">
      <alignment vertical="top"/>
    </xf>
    <xf numFmtId="0" fontId="43" fillId="0" borderId="26" xfId="0" applyFont="1" applyBorder="1" applyAlignment="1">
      <alignment horizontal="centerContinuous" vertical="top"/>
    </xf>
    <xf numFmtId="43" fontId="207" fillId="0" borderId="0" xfId="37" applyFont="1" applyFill="1" applyBorder="1" applyAlignment="1">
      <alignment horizontal="center" vertical="center" wrapText="1"/>
    </xf>
    <xf numFmtId="9" fontId="232" fillId="0" borderId="0" xfId="78" applyNumberFormat="1" applyFont="1"/>
    <xf numFmtId="0" fontId="206" fillId="0" borderId="15" xfId="78" applyFont="1" applyBorder="1" applyAlignment="1">
      <alignment horizontal="center" vertical="center" wrapText="1"/>
    </xf>
    <xf numFmtId="10" fontId="206" fillId="0" borderId="0" xfId="92" applyNumberFormat="1" applyFont="1" applyFill="1"/>
    <xf numFmtId="43" fontId="182" fillId="0" borderId="10" xfId="167" applyFont="1" applyFill="1" applyBorder="1" applyAlignment="1">
      <alignment wrapText="1"/>
    </xf>
    <xf numFmtId="43" fontId="33" fillId="0" borderId="10" xfId="37" applyFont="1" applyFill="1" applyBorder="1" applyAlignment="1">
      <alignment vertical="center"/>
    </xf>
    <xf numFmtId="2" fontId="129" fillId="0" borderId="10" xfId="78" applyNumberFormat="1" applyFont="1" applyBorder="1" applyAlignment="1">
      <alignment vertical="center"/>
    </xf>
    <xf numFmtId="164" fontId="20" fillId="0" borderId="0" xfId="78" applyNumberFormat="1" applyAlignment="1">
      <alignment vertical="center"/>
    </xf>
    <xf numFmtId="166" fontId="20" fillId="28" borderId="10" xfId="120" applyNumberFormat="1" applyFont="1" applyFill="1" applyBorder="1" applyAlignment="1">
      <alignment horizontal="center" vertical="center" wrapText="1"/>
    </xf>
    <xf numFmtId="166" fontId="33" fillId="28" borderId="10" xfId="41" applyNumberFormat="1" applyFont="1" applyFill="1" applyBorder="1" applyAlignment="1">
      <alignment vertical="center"/>
    </xf>
    <xf numFmtId="2" fontId="108" fillId="0" borderId="10" xfId="0" applyNumberFormat="1" applyFont="1" applyBorder="1" applyAlignment="1">
      <alignment vertical="center"/>
    </xf>
    <xf numFmtId="0" fontId="243" fillId="0" borderId="10" xfId="0" applyFont="1" applyBorder="1" applyAlignment="1">
      <alignment vertical="center"/>
    </xf>
    <xf numFmtId="2" fontId="108" fillId="0" borderId="0" xfId="0" applyNumberFormat="1" applyFont="1" applyAlignment="1">
      <alignment horizontal="center" vertical="center" wrapText="1"/>
    </xf>
    <xf numFmtId="0" fontId="21" fillId="33" borderId="10" xfId="148" applyFont="1" applyFill="1" applyBorder="1" applyAlignment="1">
      <alignment vertical="top"/>
    </xf>
    <xf numFmtId="0" fontId="21" fillId="33" borderId="10" xfId="148" applyFont="1" applyFill="1" applyBorder="1" applyAlignment="1">
      <alignment horizontal="center"/>
    </xf>
    <xf numFmtId="0" fontId="130" fillId="28" borderId="10" xfId="148" applyFont="1" applyFill="1" applyBorder="1"/>
    <xf numFmtId="164" fontId="130" fillId="28" borderId="10" xfId="148" applyNumberFormat="1" applyFont="1" applyFill="1" applyBorder="1"/>
    <xf numFmtId="10" fontId="129" fillId="28" borderId="10" xfId="148" applyNumberFormat="1" applyFont="1" applyFill="1" applyBorder="1"/>
    <xf numFmtId="164" fontId="0" fillId="0" borderId="10" xfId="0" applyNumberFormat="1" applyBorder="1"/>
    <xf numFmtId="0" fontId="21" fillId="33" borderId="10" xfId="148" applyFont="1" applyFill="1" applyBorder="1" applyAlignment="1">
      <alignment horizontal="center" vertical="top" wrapText="1"/>
    </xf>
    <xf numFmtId="0" fontId="21" fillId="33" borderId="10" xfId="148" applyFont="1" applyFill="1" applyBorder="1" applyAlignment="1">
      <alignment horizontal="center" vertical="top"/>
    </xf>
    <xf numFmtId="0" fontId="129" fillId="0" borderId="10" xfId="148" applyFont="1" applyBorder="1"/>
    <xf numFmtId="164" fontId="129" fillId="0" borderId="10" xfId="148" applyNumberFormat="1" applyFont="1" applyBorder="1"/>
    <xf numFmtId="0" fontId="164" fillId="0" borderId="10" xfId="0" applyFont="1" applyBorder="1" applyAlignment="1">
      <alignment vertical="center"/>
    </xf>
    <xf numFmtId="0" fontId="177" fillId="0" borderId="10" xfId="0" applyFont="1" applyBorder="1" applyAlignment="1">
      <alignment vertical="center"/>
    </xf>
    <xf numFmtId="0" fontId="163" fillId="42" borderId="10" xfId="0" applyFont="1" applyFill="1" applyBorder="1" applyAlignment="1">
      <alignment horizontal="center" vertical="center"/>
    </xf>
    <xf numFmtId="0" fontId="244" fillId="42" borderId="10" xfId="0" applyFont="1" applyFill="1" applyBorder="1" applyAlignment="1">
      <alignment horizontal="center" vertical="center"/>
    </xf>
    <xf numFmtId="0" fontId="244" fillId="42" borderId="10" xfId="0" applyFont="1" applyFill="1" applyBorder="1" applyAlignment="1">
      <alignment horizontal="center" vertical="center" wrapText="1"/>
    </xf>
    <xf numFmtId="0" fontId="164" fillId="0" borderId="10" xfId="0" applyFont="1" applyBorder="1" applyAlignment="1">
      <alignment horizontal="center" vertical="center"/>
    </xf>
    <xf numFmtId="0" fontId="164" fillId="42" borderId="10" xfId="0" applyFont="1" applyFill="1" applyBorder="1" applyAlignment="1">
      <alignment horizontal="center" vertical="center"/>
    </xf>
    <xf numFmtId="0" fontId="164" fillId="42" borderId="10" xfId="0" applyFont="1" applyFill="1" applyBorder="1" applyAlignment="1">
      <alignment vertical="center"/>
    </xf>
    <xf numFmtId="2" fontId="20" fillId="42" borderId="10" xfId="0" applyNumberFormat="1" applyFont="1" applyFill="1" applyBorder="1"/>
    <xf numFmtId="0" fontId="245" fillId="35" borderId="10" xfId="0" applyFont="1" applyFill="1" applyBorder="1" applyAlignment="1">
      <alignment horizontal="center" vertical="center"/>
    </xf>
    <xf numFmtId="0" fontId="245" fillId="35" borderId="10" xfId="0" applyFont="1" applyFill="1" applyBorder="1" applyAlignment="1">
      <alignment horizontal="center" vertical="center" wrapText="1"/>
    </xf>
    <xf numFmtId="0" fontId="244" fillId="35" borderId="10" xfId="0" applyFont="1" applyFill="1" applyBorder="1" applyAlignment="1">
      <alignment horizontal="right" vertical="center"/>
    </xf>
    <xf numFmtId="2" fontId="65" fillId="35" borderId="10" xfId="0" applyNumberFormat="1" applyFont="1" applyFill="1" applyBorder="1" applyAlignment="1">
      <alignment vertical="center"/>
    </xf>
    <xf numFmtId="0" fontId="68" fillId="0" borderId="10" xfId="0" applyFont="1" applyBorder="1" applyAlignment="1">
      <alignment horizontal="center" vertical="center" wrapText="1"/>
    </xf>
    <xf numFmtId="0" fontId="95" fillId="0" borderId="10" xfId="83" applyFont="1" applyBorder="1" applyAlignment="1">
      <alignment horizontal="center" vertical="center" wrapText="1"/>
    </xf>
    <xf numFmtId="0" fontId="20" fillId="0" borderId="0" xfId="78" applyAlignment="1">
      <alignment horizontal="center"/>
    </xf>
    <xf numFmtId="0" fontId="131" fillId="0" borderId="0" xfId="78" applyFont="1" applyAlignment="1">
      <alignment horizontal="center"/>
    </xf>
    <xf numFmtId="0" fontId="147" fillId="0" borderId="10" xfId="121" applyFont="1" applyFill="1" applyBorder="1" applyAlignment="1">
      <alignment horizontal="center" vertical="center" wrapText="1"/>
    </xf>
    <xf numFmtId="0" fontId="135" fillId="0" borderId="0" xfId="78" applyFont="1" applyAlignment="1">
      <alignment horizontal="center" wrapText="1"/>
    </xf>
    <xf numFmtId="0" fontId="95" fillId="0" borderId="99" xfId="86" applyFont="1" applyFill="1" applyBorder="1" applyAlignment="1">
      <alignment horizontal="center" vertical="center" wrapText="1"/>
    </xf>
    <xf numFmtId="0" fontId="96" fillId="0" borderId="0" xfId="86" applyFont="1" applyFill="1" applyAlignment="1">
      <alignment horizontal="center" vertical="center" wrapText="1"/>
    </xf>
    <xf numFmtId="0" fontId="50" fillId="0" borderId="10" xfId="86" applyFont="1" applyFill="1" applyBorder="1" applyAlignment="1">
      <alignment horizontal="center" vertical="center" wrapText="1"/>
    </xf>
    <xf numFmtId="0" fontId="101" fillId="0" borderId="49" xfId="78" applyFont="1" applyBorder="1" applyAlignment="1">
      <alignment horizontal="center" vertical="center" wrapText="1"/>
    </xf>
    <xf numFmtId="0" fontId="101" fillId="0" borderId="64" xfId="78" applyFont="1" applyBorder="1" applyAlignment="1">
      <alignment horizontal="center" vertical="center" wrapText="1"/>
    </xf>
    <xf numFmtId="0" fontId="44" fillId="0" borderId="0" xfId="0" applyFont="1" applyAlignment="1">
      <alignment horizontal="center" vertical="center" wrapText="1"/>
    </xf>
    <xf numFmtId="0" fontId="2" fillId="0" borderId="0" xfId="177"/>
    <xf numFmtId="0" fontId="133" fillId="0" borderId="0" xfId="177" applyFont="1" applyAlignment="1">
      <alignment horizontal="left"/>
    </xf>
    <xf numFmtId="0" fontId="2" fillId="0" borderId="0" xfId="177" applyAlignment="1">
      <alignment horizontal="center"/>
    </xf>
    <xf numFmtId="0" fontId="131" fillId="0" borderId="0" xfId="177" applyFont="1"/>
    <xf numFmtId="0" fontId="131" fillId="0" borderId="0" xfId="177" applyFont="1" applyAlignment="1">
      <alignment horizontal="right"/>
    </xf>
    <xf numFmtId="184" fontId="131" fillId="0" borderId="111" xfId="177" applyNumberFormat="1" applyFont="1" applyBorder="1"/>
    <xf numFmtId="0" fontId="179" fillId="63" borderId="31" xfId="177" applyFont="1" applyFill="1" applyBorder="1" applyAlignment="1">
      <alignment horizontal="center" vertical="center"/>
    </xf>
    <xf numFmtId="0" fontId="136" fillId="28" borderId="47" xfId="177" applyFont="1" applyFill="1" applyBorder="1" applyAlignment="1">
      <alignment horizontal="center" vertical="center"/>
    </xf>
    <xf numFmtId="1" fontId="131" fillId="28" borderId="47" xfId="177" applyNumberFormat="1" applyFont="1" applyFill="1" applyBorder="1" applyAlignment="1">
      <alignment horizontal="center" vertical="center"/>
    </xf>
    <xf numFmtId="1" fontId="136" fillId="28" borderId="47" xfId="177" applyNumberFormat="1" applyFont="1" applyFill="1" applyBorder="1" applyAlignment="1">
      <alignment horizontal="center" vertical="center"/>
    </xf>
    <xf numFmtId="1" fontId="136" fillId="28" borderId="47" xfId="177" applyNumberFormat="1" applyFont="1" applyFill="1" applyBorder="1" applyAlignment="1">
      <alignment horizontal="center" vertical="center" wrapText="1"/>
    </xf>
    <xf numFmtId="0" fontId="136" fillId="28" borderId="47" xfId="177" applyFont="1" applyFill="1" applyBorder="1" applyAlignment="1">
      <alignment horizontal="center" vertical="center" wrapText="1"/>
    </xf>
    <xf numFmtId="17" fontId="136" fillId="28" borderId="47" xfId="177" applyNumberFormat="1" applyFont="1" applyFill="1" applyBorder="1" applyAlignment="1">
      <alignment horizontal="center" vertical="center"/>
    </xf>
    <xf numFmtId="0" fontId="2" fillId="0" borderId="31" xfId="177" applyBorder="1"/>
    <xf numFmtId="0" fontId="2" fillId="0" borderId="47" xfId="177" applyBorder="1" applyAlignment="1">
      <alignment horizontal="center"/>
    </xf>
    <xf numFmtId="0" fontId="2" fillId="0" borderId="47" xfId="177" applyBorder="1"/>
    <xf numFmtId="0" fontId="2" fillId="0" borderId="47" xfId="177" applyBorder="1" applyAlignment="1">
      <alignment horizontal="right"/>
    </xf>
    <xf numFmtId="2" fontId="2" fillId="0" borderId="47" xfId="177" applyNumberFormat="1" applyBorder="1" applyAlignment="1">
      <alignment horizontal="right"/>
    </xf>
    <xf numFmtId="0" fontId="2" fillId="28" borderId="31" xfId="177" applyFill="1" applyBorder="1"/>
    <xf numFmtId="0" fontId="2" fillId="28" borderId="47" xfId="177" applyFill="1" applyBorder="1" applyAlignment="1">
      <alignment horizontal="center"/>
    </xf>
    <xf numFmtId="0" fontId="2" fillId="28" borderId="47" xfId="177" applyFill="1" applyBorder="1" applyAlignment="1">
      <alignment horizontal="left"/>
    </xf>
    <xf numFmtId="0" fontId="2" fillId="28" borderId="47" xfId="177" applyFill="1" applyBorder="1"/>
    <xf numFmtId="0" fontId="212" fillId="28" borderId="47" xfId="177" applyFont="1" applyFill="1" applyBorder="1" applyAlignment="1">
      <alignment horizontal="right" vertical="center" wrapText="1"/>
    </xf>
    <xf numFmtId="0" fontId="2" fillId="28" borderId="47" xfId="177" applyFill="1" applyBorder="1" applyAlignment="1">
      <alignment horizontal="right"/>
    </xf>
    <xf numFmtId="2" fontId="2" fillId="28" borderId="47" xfId="177" applyNumberFormat="1" applyFill="1" applyBorder="1" applyAlignment="1">
      <alignment horizontal="right"/>
    </xf>
    <xf numFmtId="0" fontId="2" fillId="28" borderId="0" xfId="177" applyFill="1"/>
    <xf numFmtId="0" fontId="212" fillId="28" borderId="47" xfId="177" applyFont="1" applyFill="1" applyBorder="1" applyAlignment="1">
      <alignment horizontal="left" vertical="center" wrapText="1"/>
    </xf>
    <xf numFmtId="1" fontId="131" fillId="27" borderId="47" xfId="177" applyNumberFormat="1" applyFont="1" applyFill="1" applyBorder="1" applyAlignment="1">
      <alignment horizontal="center"/>
    </xf>
    <xf numFmtId="0" fontId="131" fillId="27" borderId="47" xfId="177" applyFont="1" applyFill="1" applyBorder="1"/>
    <xf numFmtId="0" fontId="131" fillId="27" borderId="47" xfId="177" applyFont="1" applyFill="1" applyBorder="1" applyAlignment="1">
      <alignment horizontal="center"/>
    </xf>
    <xf numFmtId="1" fontId="131" fillId="27" borderId="47" xfId="177" applyNumberFormat="1" applyFont="1" applyFill="1" applyBorder="1" applyAlignment="1">
      <alignment horizontal="left"/>
    </xf>
    <xf numFmtId="1" fontId="131" fillId="27" borderId="47" xfId="177" applyNumberFormat="1" applyFont="1" applyFill="1" applyBorder="1" applyAlignment="1">
      <alignment horizontal="right"/>
    </xf>
    <xf numFmtId="0" fontId="132" fillId="28" borderId="47" xfId="177" applyFont="1" applyFill="1" applyBorder="1" applyAlignment="1">
      <alignment horizontal="right"/>
    </xf>
    <xf numFmtId="0" fontId="132" fillId="0" borderId="31" xfId="177" applyFont="1" applyBorder="1"/>
    <xf numFmtId="0" fontId="132" fillId="0" borderId="47" xfId="177" applyFont="1" applyBorder="1" applyAlignment="1">
      <alignment horizontal="center"/>
    </xf>
    <xf numFmtId="0" fontId="132" fillId="0" borderId="47" xfId="177" applyFont="1" applyBorder="1"/>
    <xf numFmtId="0" fontId="132" fillId="0" borderId="47" xfId="177" applyFont="1" applyBorder="1" applyAlignment="1">
      <alignment horizontal="right"/>
    </xf>
    <xf numFmtId="2" fontId="132" fillId="0" borderId="47" xfId="177" applyNumberFormat="1" applyFont="1" applyBorder="1" applyAlignment="1">
      <alignment horizontal="right"/>
    </xf>
    <xf numFmtId="0" fontId="132" fillId="0" borderId="0" xfId="177" applyFont="1"/>
    <xf numFmtId="0" fontId="246" fillId="0" borderId="47" xfId="177" applyFont="1" applyBorder="1" applyAlignment="1">
      <alignment horizontal="left" vertical="center" wrapText="1"/>
    </xf>
    <xf numFmtId="0" fontId="246" fillId="64" borderId="47" xfId="177" applyFont="1" applyFill="1" applyBorder="1" applyAlignment="1">
      <alignment horizontal="center" vertical="center" wrapText="1"/>
    </xf>
    <xf numFmtId="0" fontId="246" fillId="28" borderId="47" xfId="177" applyFont="1" applyFill="1" applyBorder="1" applyAlignment="1">
      <alignment horizontal="center" vertical="center" wrapText="1"/>
    </xf>
    <xf numFmtId="0" fontId="247" fillId="28" borderId="47" xfId="177" applyFont="1" applyFill="1" applyBorder="1" applyAlignment="1">
      <alignment horizontal="center"/>
    </xf>
    <xf numFmtId="1" fontId="212" fillId="28" borderId="47" xfId="177" applyNumberFormat="1" applyFont="1" applyFill="1" applyBorder="1" applyAlignment="1">
      <alignment horizontal="right" vertical="center" wrapText="1"/>
    </xf>
    <xf numFmtId="0" fontId="132" fillId="28" borderId="31" xfId="177" applyFont="1" applyFill="1" applyBorder="1"/>
    <xf numFmtId="0" fontId="132" fillId="28" borderId="47" xfId="177" applyFont="1" applyFill="1" applyBorder="1" applyAlignment="1">
      <alignment horizontal="center"/>
    </xf>
    <xf numFmtId="0" fontId="246" fillId="28" borderId="47" xfId="177" applyFont="1" applyFill="1" applyBorder="1" applyAlignment="1">
      <alignment vertical="center" wrapText="1"/>
    </xf>
    <xf numFmtId="0" fontId="132" fillId="28" borderId="47" xfId="177" applyFont="1" applyFill="1" applyBorder="1"/>
    <xf numFmtId="1" fontId="246" fillId="28" borderId="47" xfId="177" applyNumberFormat="1" applyFont="1" applyFill="1" applyBorder="1" applyAlignment="1">
      <alignment horizontal="center" vertical="center" wrapText="1"/>
    </xf>
    <xf numFmtId="2" fontId="132" fillId="28" borderId="47" xfId="177" applyNumberFormat="1" applyFont="1" applyFill="1" applyBorder="1" applyAlignment="1">
      <alignment horizontal="right"/>
    </xf>
    <xf numFmtId="0" fontId="132" fillId="28" borderId="0" xfId="177" applyFont="1" applyFill="1"/>
    <xf numFmtId="0" fontId="132" fillId="28" borderId="47" xfId="177" applyFont="1" applyFill="1" applyBorder="1" applyAlignment="1">
      <alignment vertical="center"/>
    </xf>
    <xf numFmtId="1" fontId="246" fillId="28" borderId="47" xfId="177" applyNumberFormat="1" applyFont="1" applyFill="1" applyBorder="1" applyAlignment="1">
      <alignment horizontal="right" vertical="center" wrapText="1"/>
    </xf>
    <xf numFmtId="0" fontId="246" fillId="28" borderId="47" xfId="177" applyFont="1" applyFill="1" applyBorder="1" applyAlignment="1">
      <alignment horizontal="left" vertical="center" wrapText="1"/>
    </xf>
    <xf numFmtId="0" fontId="136" fillId="28" borderId="47" xfId="177" applyFont="1" applyFill="1" applyBorder="1" applyAlignment="1">
      <alignment horizontal="center"/>
    </xf>
    <xf numFmtId="0" fontId="136" fillId="28" borderId="47" xfId="177" applyFont="1" applyFill="1" applyBorder="1" applyAlignment="1">
      <alignment horizontal="right"/>
    </xf>
    <xf numFmtId="0" fontId="132" fillId="28" borderId="47" xfId="177" applyFont="1" applyFill="1" applyBorder="1" applyAlignment="1">
      <alignment horizontal="left"/>
    </xf>
    <xf numFmtId="1" fontId="2" fillId="27" borderId="47" xfId="177" applyNumberFormat="1" applyFill="1" applyBorder="1" applyAlignment="1">
      <alignment horizontal="center"/>
    </xf>
    <xf numFmtId="1" fontId="2" fillId="27" borderId="47" xfId="177" applyNumberFormat="1" applyFill="1" applyBorder="1" applyAlignment="1">
      <alignment horizontal="right"/>
    </xf>
    <xf numFmtId="1" fontId="248" fillId="27" borderId="47" xfId="177" applyNumberFormat="1" applyFont="1" applyFill="1" applyBorder="1" applyAlignment="1">
      <alignment horizontal="center"/>
    </xf>
    <xf numFmtId="0" fontId="248" fillId="27" borderId="47" xfId="177" applyFont="1" applyFill="1" applyBorder="1" applyAlignment="1">
      <alignment horizontal="left" vertical="center" wrapText="1"/>
    </xf>
    <xf numFmtId="0" fontId="248" fillId="27" borderId="47" xfId="177" applyFont="1" applyFill="1" applyBorder="1" applyAlignment="1">
      <alignment horizontal="center"/>
    </xf>
    <xf numFmtId="0" fontId="248" fillId="27" borderId="47" xfId="177" applyFont="1" applyFill="1" applyBorder="1"/>
    <xf numFmtId="1" fontId="248" fillId="27" borderId="47" xfId="177" applyNumberFormat="1" applyFont="1" applyFill="1" applyBorder="1" applyAlignment="1">
      <alignment horizontal="right"/>
    </xf>
    <xf numFmtId="0" fontId="2" fillId="0" borderId="0" xfId="178"/>
    <xf numFmtId="0" fontId="164" fillId="0" borderId="10" xfId="0" applyFont="1" applyBorder="1" applyAlignment="1">
      <alignment horizontal="center" vertical="center" wrapText="1"/>
    </xf>
    <xf numFmtId="0" fontId="47" fillId="0" borderId="89" xfId="121" applyFont="1" applyFill="1" applyBorder="1" applyAlignment="1">
      <alignment vertical="center" wrapText="1"/>
    </xf>
    <xf numFmtId="0" fontId="47" fillId="0" borderId="10" xfId="121" applyFont="1" applyFill="1" applyBorder="1" applyAlignment="1">
      <alignment horizontal="center" vertical="center" wrapText="1"/>
    </xf>
    <xf numFmtId="0" fontId="50" fillId="28" borderId="141" xfId="83" applyFont="1" applyFill="1" applyBorder="1" applyAlignment="1">
      <alignment horizontal="center" vertical="center" wrapText="1"/>
    </xf>
    <xf numFmtId="0" fontId="50" fillId="28" borderId="142" xfId="83" applyFont="1" applyFill="1" applyBorder="1" applyAlignment="1">
      <alignment horizontal="center" vertical="center" wrapText="1"/>
    </xf>
    <xf numFmtId="0" fontId="50" fillId="28" borderId="49" xfId="83" applyFont="1" applyFill="1" applyBorder="1" applyAlignment="1">
      <alignment horizontal="center" vertical="center" wrapText="1"/>
    </xf>
    <xf numFmtId="0" fontId="50" fillId="28" borderId="50" xfId="83" applyFont="1" applyFill="1" applyBorder="1" applyAlignment="1">
      <alignment horizontal="center" vertical="center" wrapText="1"/>
    </xf>
    <xf numFmtId="0" fontId="50" fillId="28" borderId="51" xfId="83" applyFont="1" applyFill="1" applyBorder="1" applyAlignment="1">
      <alignment horizontal="center" vertical="center" wrapText="1"/>
    </xf>
    <xf numFmtId="3" fontId="2" fillId="0" borderId="0" xfId="178" applyNumberFormat="1" applyAlignment="1">
      <alignment horizontal="center"/>
    </xf>
    <xf numFmtId="0" fontId="20" fillId="0" borderId="0" xfId="121" applyFont="1" applyFill="1" applyAlignment="1">
      <alignment vertical="center"/>
    </xf>
    <xf numFmtId="0" fontId="21" fillId="0" borderId="43" xfId="121" applyFont="1" applyFill="1" applyBorder="1" applyAlignment="1">
      <alignment horizontal="center" vertical="center" wrapText="1"/>
    </xf>
    <xf numFmtId="0" fontId="25" fillId="0" borderId="43" xfId="121" applyFont="1" applyFill="1" applyBorder="1" applyAlignment="1">
      <alignment horizontal="center" vertical="center"/>
    </xf>
    <xf numFmtId="0" fontId="25" fillId="0" borderId="43" xfId="121" applyFont="1" applyFill="1" applyBorder="1" applyAlignment="1">
      <alignment horizontal="center" vertical="center" wrapText="1"/>
    </xf>
    <xf numFmtId="0" fontId="20" fillId="0" borderId="10" xfId="121" applyFont="1" applyFill="1" applyBorder="1" applyAlignment="1">
      <alignment horizontal="center" vertical="center"/>
    </xf>
    <xf numFmtId="0" fontId="21" fillId="0" borderId="10" xfId="121" applyFont="1" applyFill="1" applyBorder="1" applyAlignment="1">
      <alignment horizontal="center" vertical="center"/>
    </xf>
    <xf numFmtId="0" fontId="20" fillId="0" borderId="10" xfId="121" applyFont="1" applyFill="1" applyBorder="1" applyAlignment="1">
      <alignment vertical="center"/>
    </xf>
    <xf numFmtId="0" fontId="20" fillId="0" borderId="10" xfId="121" applyFont="1" applyFill="1" applyBorder="1" applyAlignment="1">
      <alignment vertical="center" wrapText="1"/>
    </xf>
    <xf numFmtId="0" fontId="20" fillId="0" borderId="10" xfId="121" applyFont="1" applyFill="1" applyBorder="1" applyAlignment="1">
      <alignment horizontal="left" vertical="center" wrapText="1"/>
    </xf>
    <xf numFmtId="0" fontId="20" fillId="0" borderId="10" xfId="121" applyFont="1" applyFill="1" applyBorder="1" applyAlignment="1">
      <alignment horizontal="center" vertical="center" wrapText="1"/>
    </xf>
    <xf numFmtId="9" fontId="33" fillId="0" borderId="10" xfId="92" applyFont="1" applyFill="1" applyBorder="1" applyAlignment="1">
      <alignment horizontal="right" vertical="center"/>
    </xf>
    <xf numFmtId="17" fontId="141" fillId="0" borderId="47" xfId="78" applyNumberFormat="1" applyFont="1" applyBorder="1" applyAlignment="1">
      <alignment horizontal="center" vertical="center"/>
    </xf>
    <xf numFmtId="10" fontId="141" fillId="0" borderId="47" xfId="78" applyNumberFormat="1" applyFont="1" applyBorder="1" applyAlignment="1">
      <alignment horizontal="center" vertical="center" wrapText="1"/>
    </xf>
    <xf numFmtId="0" fontId="20" fillId="0" borderId="47" xfId="78" applyBorder="1" applyAlignment="1">
      <alignment horizontal="center" vertical="center" wrapText="1"/>
    </xf>
    <xf numFmtId="0" fontId="131" fillId="30" borderId="47" xfId="78" applyFont="1" applyFill="1" applyBorder="1" applyAlignment="1">
      <alignment vertical="center" wrapText="1"/>
    </xf>
    <xf numFmtId="10" fontId="20" fillId="0" borderId="47" xfId="78" applyNumberFormat="1" applyBorder="1" applyAlignment="1">
      <alignment vertical="center" wrapText="1"/>
    </xf>
    <xf numFmtId="10" fontId="21" fillId="0" borderId="47" xfId="78" applyNumberFormat="1" applyFont="1" applyBorder="1" applyAlignment="1">
      <alignment horizontal="center" vertical="center" wrapText="1"/>
    </xf>
    <xf numFmtId="0" fontId="20" fillId="0" borderId="47" xfId="78" applyBorder="1" applyAlignment="1">
      <alignment horizontal="center"/>
    </xf>
    <xf numFmtId="0" fontId="20" fillId="0" borderId="47" xfId="78" applyBorder="1"/>
    <xf numFmtId="0" fontId="249" fillId="0" borderId="47" xfId="78" applyFont="1" applyBorder="1" applyAlignment="1">
      <alignment horizontal="right"/>
    </xf>
    <xf numFmtId="10" fontId="0" fillId="0" borderId="47" xfId="92" applyNumberFormat="1" applyFont="1" applyBorder="1"/>
    <xf numFmtId="10" fontId="21" fillId="0" borderId="47" xfId="92" applyNumberFormat="1" applyFont="1" applyBorder="1"/>
    <xf numFmtId="0" fontId="131" fillId="0" borderId="47" xfId="78" applyFont="1" applyBorder="1" applyAlignment="1">
      <alignment horizontal="center"/>
    </xf>
    <xf numFmtId="0" fontId="131" fillId="27" borderId="47" xfId="78" applyFont="1" applyFill="1" applyBorder="1"/>
    <xf numFmtId="0" fontId="131" fillId="0" borderId="47" xfId="78" applyFont="1" applyBorder="1"/>
    <xf numFmtId="10" fontId="131" fillId="0" borderId="47" xfId="78" applyNumberFormat="1" applyFont="1" applyBorder="1"/>
    <xf numFmtId="10" fontId="20" fillId="0" borderId="47" xfId="78" applyNumberFormat="1" applyBorder="1"/>
    <xf numFmtId="10" fontId="21" fillId="0" borderId="47" xfId="78" applyNumberFormat="1" applyFont="1" applyBorder="1"/>
    <xf numFmtId="10" fontId="20" fillId="0" borderId="47" xfId="78" applyNumberFormat="1" applyBorder="1" applyAlignment="1">
      <alignment horizontal="center" vertical="center" wrapText="1"/>
    </xf>
    <xf numFmtId="0" fontId="250" fillId="0" borderId="47" xfId="78" applyFont="1" applyBorder="1"/>
    <xf numFmtId="0" fontId="250" fillId="0" borderId="47" xfId="78" applyFont="1" applyBorder="1" applyAlignment="1">
      <alignment horizontal="center"/>
    </xf>
    <xf numFmtId="0" fontId="136" fillId="0" borderId="0" xfId="78" applyFont="1"/>
    <xf numFmtId="0" fontId="251" fillId="0" borderId="0" xfId="78" applyFont="1" applyAlignment="1">
      <alignment horizontal="left"/>
    </xf>
    <xf numFmtId="0" fontId="252" fillId="0" borderId="0" xfId="78" applyFont="1"/>
    <xf numFmtId="0" fontId="252" fillId="0" borderId="0" xfId="78" applyFont="1" applyAlignment="1">
      <alignment horizontal="center"/>
    </xf>
    <xf numFmtId="0" fontId="252" fillId="0" borderId="0" xfId="78" applyFont="1" applyAlignment="1">
      <alignment horizontal="center" vertical="center" wrapText="1"/>
    </xf>
    <xf numFmtId="0" fontId="252" fillId="0" borderId="0" xfId="78" applyFont="1" applyAlignment="1">
      <alignment vertical="center" wrapText="1"/>
    </xf>
    <xf numFmtId="1" fontId="253" fillId="0" borderId="47" xfId="78" applyNumberFormat="1" applyFont="1" applyBorder="1" applyAlignment="1">
      <alignment horizontal="center"/>
    </xf>
    <xf numFmtId="0" fontId="253" fillId="0" borderId="47" xfId="78" applyFont="1" applyBorder="1"/>
    <xf numFmtId="0" fontId="251" fillId="0" borderId="47" xfId="78" applyFont="1" applyBorder="1" applyAlignment="1">
      <alignment horizontal="center" vertical="center" wrapText="1"/>
    </xf>
    <xf numFmtId="2" fontId="251" fillId="0" borderId="47" xfId="78" applyNumberFormat="1" applyFont="1" applyBorder="1" applyAlignment="1">
      <alignment horizontal="center" vertical="center" wrapText="1"/>
    </xf>
    <xf numFmtId="0" fontId="253" fillId="0" borderId="47" xfId="78" applyFont="1" applyBorder="1" applyAlignment="1">
      <alignment horizontal="center" vertical="center" wrapText="1"/>
    </xf>
    <xf numFmtId="1" fontId="21" fillId="0" borderId="47" xfId="78" applyNumberFormat="1" applyFont="1" applyBorder="1" applyAlignment="1">
      <alignment horizontal="center"/>
    </xf>
    <xf numFmtId="0" fontId="254" fillId="0" borderId="47" xfId="78" applyFont="1" applyBorder="1" applyAlignment="1">
      <alignment horizontal="center" vertical="center" wrapText="1"/>
    </xf>
    <xf numFmtId="2" fontId="254" fillId="0" borderId="47" xfId="78" applyNumberFormat="1" applyFont="1" applyBorder="1" applyAlignment="1">
      <alignment horizontal="center" vertical="center" wrapText="1"/>
    </xf>
    <xf numFmtId="0" fontId="141" fillId="0" borderId="47" xfId="78" applyFont="1" applyBorder="1" applyAlignment="1">
      <alignment horizontal="center" vertical="center" wrapText="1"/>
    </xf>
    <xf numFmtId="1" fontId="20" fillId="0" borderId="47" xfId="78" applyNumberFormat="1" applyBorder="1" applyAlignment="1">
      <alignment horizontal="center"/>
    </xf>
    <xf numFmtId="0" fontId="249" fillId="0" borderId="47" xfId="78" applyFont="1" applyBorder="1" applyAlignment="1">
      <alignment horizontal="center"/>
    </xf>
    <xf numFmtId="0" fontId="198" fillId="0" borderId="47" xfId="78" applyFont="1" applyBorder="1" applyAlignment="1">
      <alignment horizontal="center"/>
    </xf>
    <xf numFmtId="0" fontId="255" fillId="27" borderId="47" xfId="78" applyFont="1" applyFill="1" applyBorder="1" applyAlignment="1">
      <alignment horizontal="center"/>
    </xf>
    <xf numFmtId="0" fontId="131" fillId="27" borderId="47" xfId="78" applyFont="1" applyFill="1" applyBorder="1" applyAlignment="1">
      <alignment horizontal="center"/>
    </xf>
    <xf numFmtId="0" fontId="21" fillId="0" borderId="47" xfId="78" applyFont="1" applyBorder="1" applyAlignment="1">
      <alignment horizontal="center"/>
    </xf>
    <xf numFmtId="0" fontId="21" fillId="0" borderId="47" xfId="78" applyFont="1" applyBorder="1"/>
    <xf numFmtId="0" fontId="21" fillId="27" borderId="47" xfId="78" applyFont="1" applyFill="1" applyBorder="1" applyAlignment="1">
      <alignment horizontal="center"/>
    </xf>
    <xf numFmtId="0" fontId="20" fillId="28" borderId="0" xfId="78" applyFill="1" applyAlignment="1">
      <alignment horizontal="center" vertical="center"/>
    </xf>
    <xf numFmtId="1" fontId="21" fillId="0" borderId="0" xfId="78" applyNumberFormat="1" applyFont="1"/>
    <xf numFmtId="0" fontId="21" fillId="0" borderId="0" xfId="78" applyFont="1" applyAlignment="1">
      <alignment horizontal="center"/>
    </xf>
    <xf numFmtId="0" fontId="21" fillId="0" borderId="0" xfId="78" applyFont="1"/>
    <xf numFmtId="0" fontId="21" fillId="28" borderId="0" xfId="78" applyFont="1" applyFill="1" applyAlignment="1">
      <alignment horizontal="center" vertical="center"/>
    </xf>
    <xf numFmtId="0" fontId="21" fillId="0" borderId="149" xfId="78" applyFont="1" applyBorder="1" applyAlignment="1">
      <alignment horizontal="center" vertical="center"/>
    </xf>
    <xf numFmtId="0" fontId="21" fillId="0" borderId="150" xfId="78" applyFont="1" applyBorder="1" applyAlignment="1">
      <alignment horizontal="center" vertical="center"/>
    </xf>
    <xf numFmtId="1" fontId="250" fillId="0" borderId="0" xfId="78" applyNumberFormat="1" applyFont="1" applyAlignment="1">
      <alignment wrapText="1"/>
    </xf>
    <xf numFmtId="1" fontId="256" fillId="0" borderId="47" xfId="78" applyNumberFormat="1" applyFont="1" applyBorder="1" applyAlignment="1">
      <alignment horizontal="center" wrapText="1"/>
    </xf>
    <xf numFmtId="0" fontId="256" fillId="0" borderId="47" xfId="78" applyFont="1" applyBorder="1" applyAlignment="1">
      <alignment wrapText="1"/>
    </xf>
    <xf numFmtId="0" fontId="199" fillId="0" borderId="47" xfId="78" applyFont="1" applyBorder="1" applyAlignment="1">
      <alignment horizontal="center" vertical="center" wrapText="1"/>
    </xf>
    <xf numFmtId="0" fontId="199" fillId="28" borderId="47" xfId="78" applyFont="1" applyFill="1" applyBorder="1" applyAlignment="1">
      <alignment horizontal="center" vertical="center" wrapText="1"/>
    </xf>
    <xf numFmtId="2" fontId="199" fillId="0" borderId="47" xfId="78" applyNumberFormat="1" applyFont="1" applyBorder="1" applyAlignment="1">
      <alignment horizontal="center" vertical="center" wrapText="1"/>
    </xf>
    <xf numFmtId="0" fontId="256" fillId="0" borderId="47" xfId="78" applyFont="1" applyBorder="1" applyAlignment="1">
      <alignment horizontal="center" vertical="center" wrapText="1"/>
    </xf>
    <xf numFmtId="0" fontId="20" fillId="0" borderId="0" xfId="78" applyAlignment="1">
      <alignment wrapText="1"/>
    </xf>
    <xf numFmtId="1" fontId="250" fillId="0" borderId="0" xfId="78" applyNumberFormat="1" applyFont="1"/>
    <xf numFmtId="1" fontId="250" fillId="0" borderId="47" xfId="78" applyNumberFormat="1" applyFont="1" applyBorder="1" applyAlignment="1">
      <alignment horizontal="center" wrapText="1"/>
    </xf>
    <xf numFmtId="0" fontId="250" fillId="0" borderId="47" xfId="78" applyFont="1" applyBorder="1" applyAlignment="1">
      <alignment horizontal="center" vertical="center"/>
    </xf>
    <xf numFmtId="0" fontId="257" fillId="0" borderId="47" xfId="78" applyFont="1" applyBorder="1" applyAlignment="1">
      <alignment horizontal="center" vertical="center"/>
    </xf>
    <xf numFmtId="0" fontId="250" fillId="28" borderId="47" xfId="78" applyFont="1" applyFill="1" applyBorder="1" applyAlignment="1">
      <alignment horizontal="center" vertical="center"/>
    </xf>
    <xf numFmtId="0" fontId="20" fillId="0" borderId="47" xfId="78" applyBorder="1" applyAlignment="1">
      <alignment horizontal="center" vertical="center"/>
    </xf>
    <xf numFmtId="0" fontId="20" fillId="28" borderId="47" xfId="78" applyFill="1" applyBorder="1" applyAlignment="1">
      <alignment horizontal="center" vertical="center"/>
    </xf>
    <xf numFmtId="0" fontId="132" fillId="0" borderId="47" xfId="78" applyFont="1" applyBorder="1"/>
    <xf numFmtId="0" fontId="132" fillId="0" borderId="47" xfId="78" applyFont="1" applyBorder="1" applyAlignment="1">
      <alignment horizontal="center"/>
    </xf>
    <xf numFmtId="1" fontId="258" fillId="0" borderId="0" xfId="78" applyNumberFormat="1" applyFont="1"/>
    <xf numFmtId="0" fontId="256" fillId="0" borderId="47" xfId="78" applyFont="1" applyBorder="1" applyAlignment="1">
      <alignment horizontal="center"/>
    </xf>
    <xf numFmtId="0" fontId="256" fillId="0" borderId="47" xfId="78" applyFont="1" applyBorder="1"/>
    <xf numFmtId="0" fontId="256" fillId="0" borderId="47" xfId="78" applyFont="1" applyBorder="1" applyAlignment="1">
      <alignment horizontal="center" vertical="center"/>
    </xf>
    <xf numFmtId="0" fontId="259" fillId="27" borderId="47" xfId="78" applyFont="1" applyFill="1" applyBorder="1" applyAlignment="1">
      <alignment horizontal="center" vertical="center"/>
    </xf>
    <xf numFmtId="0" fontId="259" fillId="28" borderId="47" xfId="78" applyFont="1" applyFill="1" applyBorder="1" applyAlignment="1">
      <alignment horizontal="center" vertical="center"/>
    </xf>
    <xf numFmtId="0" fontId="259" fillId="0" borderId="47" xfId="78" applyFont="1" applyBorder="1" applyAlignment="1">
      <alignment horizontal="center" vertical="center"/>
    </xf>
    <xf numFmtId="0" fontId="256" fillId="28" borderId="47" xfId="78" applyFont="1" applyFill="1" applyBorder="1" applyAlignment="1">
      <alignment horizontal="center" vertical="center"/>
    </xf>
    <xf numFmtId="0" fontId="131" fillId="27" borderId="142" xfId="78" applyFont="1" applyFill="1" applyBorder="1" applyAlignment="1">
      <alignment horizontal="center"/>
    </xf>
    <xf numFmtId="0" fontId="131" fillId="27" borderId="99" xfId="78" applyFont="1" applyFill="1" applyBorder="1"/>
    <xf numFmtId="0" fontId="21" fillId="0" borderId="99" xfId="78" applyFont="1" applyBorder="1" applyAlignment="1">
      <alignment horizontal="center"/>
    </xf>
    <xf numFmtId="0" fontId="21" fillId="0" borderId="99" xfId="78" applyFont="1" applyBorder="1"/>
    <xf numFmtId="0" fontId="21" fillId="0" borderId="99" xfId="78" applyFont="1" applyBorder="1" applyAlignment="1">
      <alignment horizontal="center" vertical="center"/>
    </xf>
    <xf numFmtId="0" fontId="259" fillId="27" borderId="99" xfId="78" applyFont="1" applyFill="1" applyBorder="1" applyAlignment="1">
      <alignment horizontal="center" vertical="center"/>
    </xf>
    <xf numFmtId="0" fontId="259" fillId="28" borderId="99" xfId="78" applyFont="1" applyFill="1" applyBorder="1" applyAlignment="1">
      <alignment horizontal="center" vertical="center"/>
    </xf>
    <xf numFmtId="0" fontId="259" fillId="27" borderId="141" xfId="78" applyFont="1" applyFill="1" applyBorder="1" applyAlignment="1">
      <alignment horizontal="center" vertical="center"/>
    </xf>
    <xf numFmtId="0" fontId="21" fillId="27" borderId="53" xfId="78" applyFont="1" applyFill="1" applyBorder="1" applyAlignment="1">
      <alignment horizontal="center"/>
    </xf>
    <xf numFmtId="0" fontId="131" fillId="27" borderId="62" xfId="78" applyFont="1" applyFill="1" applyBorder="1"/>
    <xf numFmtId="0" fontId="21" fillId="0" borderId="62" xfId="78" applyFont="1" applyBorder="1" applyAlignment="1">
      <alignment horizontal="center"/>
    </xf>
    <xf numFmtId="0" fontId="21" fillId="0" borderId="62" xfId="78" applyFont="1" applyBorder="1"/>
    <xf numFmtId="0" fontId="21" fillId="0" borderId="62" xfId="78" applyFont="1" applyBorder="1" applyAlignment="1">
      <alignment horizontal="center" vertical="center"/>
    </xf>
    <xf numFmtId="0" fontId="21" fillId="27" borderId="62" xfId="78" applyFont="1" applyFill="1" applyBorder="1" applyAlignment="1">
      <alignment horizontal="center" vertical="center"/>
    </xf>
    <xf numFmtId="0" fontId="21" fillId="28" borderId="62" xfId="78" applyFont="1" applyFill="1" applyBorder="1" applyAlignment="1">
      <alignment horizontal="center" vertical="center"/>
    </xf>
    <xf numFmtId="0" fontId="21" fillId="27" borderId="45" xfId="78" applyFont="1" applyFill="1" applyBorder="1" applyAlignment="1">
      <alignment horizontal="center" vertical="center"/>
    </xf>
    <xf numFmtId="1" fontId="20" fillId="0" borderId="0" xfId="78" applyNumberFormat="1" applyAlignment="1">
      <alignment horizontal="center"/>
    </xf>
    <xf numFmtId="0" fontId="250" fillId="0" borderId="0" xfId="78" applyFont="1" applyAlignment="1">
      <alignment horizontal="center" vertical="center"/>
    </xf>
    <xf numFmtId="0" fontId="94" fillId="0" borderId="10" xfId="121" applyFont="1" applyFill="1" applyBorder="1" applyAlignment="1">
      <alignment horizontal="center" vertical="center" wrapText="1"/>
    </xf>
    <xf numFmtId="17" fontId="97" fillId="28" borderId="10" xfId="121" applyNumberFormat="1" applyFont="1" applyFill="1" applyBorder="1" applyAlignment="1">
      <alignment horizontal="center" vertical="center" wrapText="1"/>
    </xf>
    <xf numFmtId="2" fontId="260" fillId="28" borderId="43" xfId="0" applyNumberFormat="1" applyFont="1" applyFill="1" applyBorder="1" applyAlignment="1">
      <alignment horizontal="center" vertical="center"/>
    </xf>
    <xf numFmtId="189" fontId="204" fillId="28" borderId="10" xfId="78" applyNumberFormat="1" applyFont="1" applyFill="1" applyBorder="1" applyAlignment="1">
      <alignment horizontal="center" vertical="center"/>
    </xf>
    <xf numFmtId="2" fontId="260" fillId="28" borderId="10" xfId="0" applyNumberFormat="1" applyFont="1" applyFill="1" applyBorder="1" applyAlignment="1">
      <alignment horizontal="center" vertical="center"/>
    </xf>
    <xf numFmtId="1" fontId="97" fillId="28" borderId="10" xfId="121" applyNumberFormat="1" applyFont="1" applyFill="1" applyBorder="1" applyAlignment="1">
      <alignment horizontal="center" vertical="center" wrapText="1"/>
    </xf>
    <xf numFmtId="0" fontId="260" fillId="28" borderId="10" xfId="0" applyFont="1" applyFill="1" applyBorder="1" applyAlignment="1">
      <alignment horizontal="center" vertical="center"/>
    </xf>
    <xf numFmtId="190" fontId="204" fillId="28" borderId="10" xfId="78" applyNumberFormat="1" applyFont="1" applyFill="1" applyBorder="1" applyAlignment="1">
      <alignment horizontal="center" vertical="center"/>
    </xf>
    <xf numFmtId="184" fontId="21" fillId="0" borderId="0" xfId="78" applyNumberFormat="1" applyFont="1" applyAlignment="1">
      <alignment horizontal="center"/>
    </xf>
    <xf numFmtId="0" fontId="135" fillId="0" borderId="0" xfId="78" applyFont="1" applyAlignment="1">
      <alignment horizontal="centerContinuous" wrapText="1"/>
    </xf>
    <xf numFmtId="0" fontId="135" fillId="0" borderId="0" xfId="78" applyFont="1" applyAlignment="1">
      <alignment horizontal="left" wrapText="1"/>
    </xf>
    <xf numFmtId="0" fontId="135" fillId="0" borderId="0" xfId="78" applyFont="1" applyAlignment="1">
      <alignment horizontal="left"/>
    </xf>
    <xf numFmtId="1" fontId="21" fillId="0" borderId="10" xfId="0" applyNumberFormat="1" applyFont="1" applyBorder="1" applyAlignment="1">
      <alignment vertical="center"/>
    </xf>
    <xf numFmtId="1" fontId="21" fillId="0" borderId="10" xfId="0" applyNumberFormat="1" applyFont="1" applyBorder="1" applyAlignment="1">
      <alignment horizontal="center"/>
    </xf>
    <xf numFmtId="1" fontId="0" fillId="0" borderId="10" xfId="0" applyNumberFormat="1" applyBorder="1" applyAlignment="1">
      <alignment horizontal="center"/>
    </xf>
    <xf numFmtId="0" fontId="0" fillId="0" borderId="0" xfId="0" applyAlignment="1">
      <alignment horizontal="right"/>
    </xf>
    <xf numFmtId="0" fontId="261" fillId="0" borderId="0" xfId="0" applyFont="1" applyAlignment="1">
      <alignment horizontal="right"/>
    </xf>
    <xf numFmtId="184" fontId="21" fillId="0" borderId="0" xfId="0" applyNumberFormat="1" applyFont="1"/>
    <xf numFmtId="0" fontId="21" fillId="0" borderId="0" xfId="0" applyFont="1" applyAlignment="1">
      <alignment horizontal="centerContinuous" wrapText="1"/>
    </xf>
    <xf numFmtId="1" fontId="21" fillId="0" borderId="10" xfId="0" applyNumberFormat="1" applyFont="1" applyBorder="1" applyAlignment="1">
      <alignment horizontal="center" vertical="center" wrapText="1"/>
    </xf>
    <xf numFmtId="0" fontId="136" fillId="0" borderId="10" xfId="0" applyFont="1" applyBorder="1" applyAlignment="1">
      <alignment horizontal="center" vertical="center" wrapText="1"/>
    </xf>
    <xf numFmtId="1" fontId="136" fillId="0" borderId="10" xfId="0" applyNumberFormat="1" applyFont="1" applyBorder="1" applyAlignment="1">
      <alignment horizontal="center" vertical="center" wrapText="1"/>
    </xf>
    <xf numFmtId="0" fontId="0" fillId="0" borderId="10" xfId="0" applyBorder="1" applyAlignment="1">
      <alignment horizontal="right"/>
    </xf>
    <xf numFmtId="0" fontId="50" fillId="0" borderId="133" xfId="86" applyFont="1" applyFill="1" applyBorder="1" applyAlignment="1">
      <alignment horizontal="center" vertical="center" wrapText="1"/>
    </xf>
    <xf numFmtId="0" fontId="95" fillId="0" borderId="31" xfId="78" applyFont="1" applyBorder="1" applyAlignment="1">
      <alignment horizontal="center" vertical="center" wrapText="1"/>
    </xf>
    <xf numFmtId="0" fontId="50" fillId="0" borderId="10" xfId="78" applyFont="1" applyBorder="1" applyAlignment="1">
      <alignment horizontal="center" vertical="center" wrapText="1"/>
    </xf>
    <xf numFmtId="0" fontId="50" fillId="0" borderId="10" xfId="78" applyFont="1" applyBorder="1" applyAlignment="1">
      <alignment horizontal="left" vertical="center" wrapText="1"/>
    </xf>
    <xf numFmtId="0" fontId="148" fillId="0" borderId="10" xfId="0" applyFont="1" applyBorder="1" applyAlignment="1">
      <alignment horizontal="center" vertical="center" wrapText="1"/>
    </xf>
    <xf numFmtId="199" fontId="100" fillId="0" borderId="10" xfId="76" applyNumberFormat="1" applyBorder="1" applyAlignment="1">
      <alignment horizontal="center" vertical="center"/>
    </xf>
    <xf numFmtId="46" fontId="164" fillId="0" borderId="10" xfId="0" applyNumberFormat="1" applyFont="1" applyBorder="1" applyAlignment="1">
      <alignment horizontal="center" vertical="center" wrapText="1"/>
    </xf>
    <xf numFmtId="1" fontId="50" fillId="0" borderId="10" xfId="78" applyNumberFormat="1" applyFont="1" applyBorder="1" applyAlignment="1">
      <alignment horizontal="center" vertical="center" wrapText="1"/>
    </xf>
    <xf numFmtId="0" fontId="50" fillId="0" borderId="133" xfId="86" applyFont="1" applyFill="1" applyBorder="1" applyAlignment="1">
      <alignment vertical="center" wrapText="1"/>
    </xf>
    <xf numFmtId="0" fontId="96" fillId="0" borderId="69" xfId="86" applyFont="1" applyFill="1" applyBorder="1" applyAlignment="1">
      <alignment horizontal="center" vertical="center" wrapText="1"/>
    </xf>
    <xf numFmtId="170" fontId="50" fillId="0" borderId="0" xfId="86" applyNumberFormat="1" applyFont="1" applyFill="1" applyAlignment="1">
      <alignment horizontal="center" vertical="center" wrapText="1"/>
    </xf>
    <xf numFmtId="0" fontId="95" fillId="0" borderId="69" xfId="86" applyFont="1" applyFill="1" applyBorder="1" applyAlignment="1">
      <alignment horizontal="center" vertical="center" wrapText="1"/>
    </xf>
    <xf numFmtId="0" fontId="95" fillId="28" borderId="10" xfId="86" applyFont="1" applyFill="1" applyBorder="1" applyAlignment="1">
      <alignment horizontal="center" vertical="center" wrapText="1"/>
    </xf>
    <xf numFmtId="0" fontId="50" fillId="28" borderId="10" xfId="86" applyFont="1" applyFill="1" applyBorder="1" applyAlignment="1">
      <alignment horizontal="center" vertical="center" wrapText="1"/>
    </xf>
    <xf numFmtId="0" fontId="50" fillId="28" borderId="10" xfId="86" quotePrefix="1" applyFont="1" applyFill="1" applyBorder="1" applyAlignment="1">
      <alignment horizontal="center" vertical="center" wrapText="1"/>
    </xf>
    <xf numFmtId="0" fontId="95" fillId="28" borderId="10" xfId="86" quotePrefix="1" applyFont="1" applyFill="1" applyBorder="1" applyAlignment="1">
      <alignment horizontal="center" vertical="center" wrapText="1"/>
    </xf>
    <xf numFmtId="0" fontId="50" fillId="0" borderId="16" xfId="86" applyFont="1" applyFill="1" applyBorder="1" applyAlignment="1">
      <alignment horizontal="center" vertical="center" wrapText="1"/>
    </xf>
    <xf numFmtId="0" fontId="50" fillId="0" borderId="70" xfId="86" applyFont="1" applyFill="1" applyBorder="1" applyAlignment="1">
      <alignment horizontal="center" vertical="center" wrapText="1"/>
    </xf>
    <xf numFmtId="0" fontId="98" fillId="28" borderId="59" xfId="78" applyFont="1" applyFill="1" applyBorder="1" applyAlignment="1">
      <alignment horizontal="center" vertical="center" wrapText="1"/>
    </xf>
    <xf numFmtId="0" fontId="262" fillId="25" borderId="0" xfId="121" applyFont="1" applyAlignment="1">
      <alignment vertical="center" wrapText="1"/>
    </xf>
    <xf numFmtId="0" fontId="47" fillId="0" borderId="0" xfId="121" applyFont="1" applyFill="1" applyAlignment="1">
      <alignment vertical="center" wrapText="1"/>
    </xf>
    <xf numFmtId="43" fontId="263" fillId="0" borderId="10" xfId="122" applyFont="1" applyBorder="1" applyAlignment="1">
      <alignment horizontal="left" vertical="center" wrapText="1"/>
    </xf>
    <xf numFmtId="43" fontId="69" fillId="0" borderId="10" xfId="122" applyFont="1" applyFill="1" applyBorder="1" applyAlignment="1">
      <alignment horizontal="center" vertical="center" wrapText="1"/>
    </xf>
    <xf numFmtId="43" fontId="69" fillId="0" borderId="10" xfId="122" applyFont="1" applyBorder="1" applyAlignment="1">
      <alignment horizontal="left" vertical="center" wrapText="1"/>
    </xf>
    <xf numFmtId="188" fontId="47" fillId="28" borderId="10" xfId="122" applyNumberFormat="1" applyFont="1" applyFill="1" applyBorder="1" applyAlignment="1">
      <alignment vertical="center" wrapText="1"/>
    </xf>
    <xf numFmtId="43" fontId="47" fillId="0" borderId="10" xfId="122" applyFont="1" applyBorder="1" applyAlignment="1">
      <alignment horizontal="left" vertical="center" wrapText="1"/>
    </xf>
    <xf numFmtId="1" fontId="47" fillId="28" borderId="31" xfId="78" applyNumberFormat="1" applyFont="1" applyFill="1" applyBorder="1" applyAlignment="1">
      <alignment horizontal="center" vertical="center" wrapText="1"/>
    </xf>
    <xf numFmtId="0" fontId="170" fillId="28" borderId="10" xfId="0" applyFont="1" applyFill="1" applyBorder="1" applyAlignment="1">
      <alignment horizontal="center" vertical="center" wrapText="1"/>
    </xf>
    <xf numFmtId="1" fontId="47" fillId="28" borderId="10" xfId="122" applyNumberFormat="1" applyFont="1" applyFill="1" applyBorder="1" applyAlignment="1">
      <alignment horizontal="center" vertical="center" wrapText="1"/>
    </xf>
    <xf numFmtId="43" fontId="44" fillId="0" borderId="10" xfId="122" applyFont="1" applyBorder="1" applyAlignment="1">
      <alignment horizontal="left" vertical="center" wrapText="1"/>
    </xf>
    <xf numFmtId="1" fontId="44" fillId="28" borderId="31" xfId="166" applyNumberFormat="1" applyFont="1" applyFill="1" applyBorder="1" applyAlignment="1">
      <alignment horizontal="center" vertical="center" wrapText="1"/>
    </xf>
    <xf numFmtId="2" fontId="47" fillId="28" borderId="10" xfId="122" applyNumberFormat="1" applyFont="1" applyFill="1" applyBorder="1" applyAlignment="1">
      <alignment horizontal="center" vertical="center" wrapText="1"/>
    </xf>
    <xf numFmtId="43" fontId="47" fillId="0" borderId="10" xfId="122" applyFont="1" applyBorder="1" applyAlignment="1">
      <alignment vertical="center" wrapText="1"/>
    </xf>
    <xf numFmtId="2" fontId="47" fillId="28" borderId="31" xfId="78" applyNumberFormat="1" applyFont="1" applyFill="1" applyBorder="1" applyAlignment="1">
      <alignment horizontal="center" vertical="center" wrapText="1"/>
    </xf>
    <xf numFmtId="2" fontId="47" fillId="28" borderId="10" xfId="78" applyNumberFormat="1" applyFont="1" applyFill="1" applyBorder="1" applyAlignment="1">
      <alignment horizontal="center" vertical="center" wrapText="1"/>
    </xf>
    <xf numFmtId="2" fontId="47" fillId="28" borderId="10" xfId="122" quotePrefix="1" applyNumberFormat="1" applyFont="1" applyFill="1" applyBorder="1" applyAlignment="1">
      <alignment horizontal="center" vertical="center" wrapText="1"/>
    </xf>
    <xf numFmtId="2" fontId="69" fillId="28" borderId="10" xfId="122" applyNumberFormat="1" applyFont="1" applyFill="1" applyBorder="1" applyAlignment="1">
      <alignment horizontal="center" vertical="center" wrapText="1"/>
    </xf>
    <xf numFmtId="1" fontId="134" fillId="28" borderId="10" xfId="122" applyNumberFormat="1" applyFont="1" applyFill="1" applyBorder="1" applyAlignment="1">
      <alignment horizontal="center" vertical="center" wrapText="1"/>
    </xf>
    <xf numFmtId="1" fontId="47" fillId="28" borderId="10" xfId="121" applyNumberFormat="1" applyFont="1" applyFill="1" applyBorder="1" applyAlignment="1">
      <alignment horizontal="center" vertical="center" wrapText="1"/>
    </xf>
    <xf numFmtId="43" fontId="69" fillId="0" borderId="10" xfId="122" applyFont="1" applyBorder="1" applyAlignment="1">
      <alignment vertical="center" wrapText="1"/>
    </xf>
    <xf numFmtId="1" fontId="170" fillId="28" borderId="10" xfId="0" applyNumberFormat="1" applyFont="1" applyFill="1" applyBorder="1" applyAlignment="1">
      <alignment horizontal="center" vertical="center" wrapText="1"/>
    </xf>
    <xf numFmtId="2" fontId="47" fillId="28" borderId="10" xfId="121" applyNumberFormat="1" applyFont="1" applyFill="1" applyBorder="1" applyAlignment="1">
      <alignment horizontal="center" vertical="center" wrapText="1"/>
    </xf>
    <xf numFmtId="2" fontId="170" fillId="28" borderId="10" xfId="0" applyNumberFormat="1" applyFont="1" applyFill="1" applyBorder="1" applyAlignment="1">
      <alignment horizontal="center" vertical="center" wrapText="1"/>
    </xf>
    <xf numFmtId="1" fontId="134" fillId="28" borderId="10" xfId="78" applyNumberFormat="1" applyFont="1" applyFill="1" applyBorder="1" applyAlignment="1">
      <alignment horizontal="center" vertical="center" wrapText="1"/>
    </xf>
    <xf numFmtId="1" fontId="47" fillId="28" borderId="10" xfId="37" applyNumberFormat="1" applyFont="1" applyFill="1" applyBorder="1" applyAlignment="1">
      <alignment horizontal="center" vertical="center" wrapText="1"/>
    </xf>
    <xf numFmtId="0" fontId="69" fillId="25" borderId="10" xfId="121" applyFont="1" applyBorder="1" applyAlignment="1">
      <alignment vertical="center" wrapText="1"/>
    </xf>
    <xf numFmtId="0" fontId="47" fillId="25" borderId="10" xfId="121" applyFont="1" applyBorder="1" applyAlignment="1">
      <alignment vertical="center" wrapText="1"/>
    </xf>
    <xf numFmtId="1" fontId="47" fillId="28" borderId="99" xfId="122" applyNumberFormat="1" applyFont="1" applyFill="1" applyBorder="1" applyAlignment="1">
      <alignment horizontal="center" vertical="center" wrapText="1"/>
    </xf>
    <xf numFmtId="0" fontId="47" fillId="28" borderId="10" xfId="121" applyFont="1" applyFill="1" applyBorder="1" applyAlignment="1">
      <alignment vertical="center" wrapText="1"/>
    </xf>
    <xf numFmtId="2" fontId="134" fillId="28" borderId="10" xfId="122" applyNumberFormat="1" applyFont="1" applyFill="1" applyBorder="1" applyAlignment="1">
      <alignment horizontal="center" vertical="center" wrapText="1"/>
    </xf>
    <xf numFmtId="43" fontId="108" fillId="0" borderId="0" xfId="37" applyFont="1" applyFill="1"/>
    <xf numFmtId="43" fontId="65" fillId="0" borderId="0" xfId="37" applyFont="1" applyFill="1" applyBorder="1"/>
    <xf numFmtId="43" fontId="65" fillId="0" borderId="0" xfId="37" applyFont="1" applyFill="1"/>
    <xf numFmtId="4" fontId="132" fillId="0" borderId="10" xfId="173" applyNumberFormat="1" applyFont="1" applyBorder="1" applyAlignment="1">
      <alignment vertical="top"/>
    </xf>
    <xf numFmtId="4" fontId="132" fillId="0" borderId="10" xfId="173" applyNumberFormat="1" applyFont="1" applyBorder="1" applyAlignment="1">
      <alignment vertical="center"/>
    </xf>
    <xf numFmtId="0" fontId="3" fillId="0" borderId="10" xfId="173" applyBorder="1" applyAlignment="1">
      <alignment horizontal="left"/>
    </xf>
    <xf numFmtId="0" fontId="132" fillId="0" borderId="0" xfId="173" applyFont="1" applyAlignment="1">
      <alignment horizontal="left" wrapText="1"/>
    </xf>
    <xf numFmtId="0" fontId="131" fillId="0" borderId="0" xfId="173" applyFont="1" applyAlignment="1">
      <alignment horizontal="left"/>
    </xf>
    <xf numFmtId="0" fontId="131" fillId="0" borderId="0" xfId="173" applyFont="1"/>
    <xf numFmtId="191" fontId="131" fillId="0" borderId="0" xfId="174" applyNumberFormat="1" applyFont="1"/>
    <xf numFmtId="191" fontId="0" fillId="0" borderId="0" xfId="175" applyNumberFormat="1" applyFont="1" applyFill="1"/>
    <xf numFmtId="191" fontId="21" fillId="0" borderId="0" xfId="175" applyNumberFormat="1" applyFont="1" applyFill="1"/>
    <xf numFmtId="188" fontId="3" fillId="0" borderId="0" xfId="173" applyNumberFormat="1"/>
    <xf numFmtId="2" fontId="20" fillId="0" borderId="10" xfId="78" applyNumberFormat="1" applyBorder="1" applyAlignment="1">
      <alignment vertical="center"/>
    </xf>
    <xf numFmtId="0" fontId="33" fillId="0" borderId="10" xfId="0" applyFont="1" applyBorder="1" applyAlignment="1">
      <alignment horizontal="center" vertical="center" wrapText="1"/>
    </xf>
    <xf numFmtId="0" fontId="64" fillId="0" borderId="0" xfId="80" applyFont="1" applyAlignment="1">
      <alignment horizontal="center" vertical="center" wrapText="1"/>
    </xf>
    <xf numFmtId="1" fontId="132" fillId="27" borderId="10" xfId="173" applyNumberFormat="1" applyFont="1" applyFill="1" applyBorder="1"/>
    <xf numFmtId="0" fontId="258" fillId="0" borderId="0" xfId="173" applyFont="1"/>
    <xf numFmtId="43" fontId="129" fillId="0" borderId="10" xfId="37" applyFont="1" applyFill="1" applyBorder="1"/>
    <xf numFmtId="164" fontId="129" fillId="0" borderId="10" xfId="153" applyFont="1" applyFill="1" applyBorder="1"/>
    <xf numFmtId="164" fontId="130" fillId="0" borderId="10" xfId="37" applyNumberFormat="1" applyFont="1" applyFill="1" applyBorder="1"/>
    <xf numFmtId="164" fontId="130" fillId="0" borderId="10" xfId="153" applyFont="1" applyFill="1" applyBorder="1"/>
    <xf numFmtId="164" fontId="130" fillId="0" borderId="10" xfId="148" applyNumberFormat="1" applyFont="1" applyBorder="1"/>
    <xf numFmtId="2" fontId="127" fillId="0" borderId="10" xfId="148" applyNumberFormat="1" applyFont="1" applyBorder="1"/>
    <xf numFmtId="1" fontId="129" fillId="0" borderId="10" xfId="148" applyNumberFormat="1" applyFont="1" applyBorder="1"/>
    <xf numFmtId="2" fontId="129" fillId="0" borderId="10" xfId="148" applyNumberFormat="1" applyFont="1" applyBorder="1"/>
    <xf numFmtId="164" fontId="130" fillId="0" borderId="0" xfId="148" applyNumberFormat="1" applyFont="1"/>
    <xf numFmtId="2" fontId="20" fillId="0" borderId="10" xfId="148" applyNumberFormat="1" applyFont="1" applyBorder="1"/>
    <xf numFmtId="0" fontId="130" fillId="0" borderId="10" xfId="148" applyFont="1" applyBorder="1"/>
    <xf numFmtId="0" fontId="130" fillId="0" borderId="10" xfId="78" applyFont="1" applyBorder="1" applyAlignment="1">
      <alignment horizontal="center" vertical="center"/>
    </xf>
    <xf numFmtId="0" fontId="130" fillId="0" borderId="10" xfId="78" applyFont="1" applyBorder="1" applyAlignment="1">
      <alignment horizontal="center" vertical="center" wrapText="1"/>
    </xf>
    <xf numFmtId="0" fontId="21" fillId="0" borderId="10" xfId="78" applyFont="1" applyBorder="1" applyAlignment="1">
      <alignment horizontal="center" vertical="center" wrapText="1"/>
    </xf>
    <xf numFmtId="0" fontId="129" fillId="0" borderId="10" xfId="78" applyFont="1" applyBorder="1" applyAlignment="1">
      <alignment vertical="center"/>
    </xf>
    <xf numFmtId="0" fontId="130" fillId="0" borderId="10" xfId="78" applyFont="1" applyBorder="1" applyAlignment="1">
      <alignment vertical="center"/>
    </xf>
    <xf numFmtId="2" fontId="130" fillId="0" borderId="10" xfId="78" applyNumberFormat="1" applyFont="1" applyBorder="1" applyAlignment="1">
      <alignment vertical="center"/>
    </xf>
    <xf numFmtId="2" fontId="21" fillId="0" borderId="10" xfId="78" applyNumberFormat="1" applyFont="1" applyBorder="1" applyAlignment="1">
      <alignment vertical="center"/>
    </xf>
    <xf numFmtId="0" fontId="22" fillId="0" borderId="81" xfId="0" applyFont="1" applyBorder="1" applyAlignment="1">
      <alignment horizontal="center" vertical="center" wrapText="1"/>
    </xf>
    <xf numFmtId="0" fontId="33" fillId="0" borderId="10" xfId="0" applyFont="1" applyBorder="1" applyAlignment="1">
      <alignment horizontal="center"/>
    </xf>
    <xf numFmtId="0" fontId="33" fillId="0" borderId="10" xfId="0" applyFont="1" applyBorder="1" applyAlignment="1">
      <alignment vertical="top" wrapText="1"/>
    </xf>
    <xf numFmtId="43" fontId="33" fillId="0" borderId="10" xfId="167" applyFont="1" applyFill="1" applyBorder="1" applyAlignment="1">
      <alignment horizontal="center" vertical="center"/>
    </xf>
    <xf numFmtId="43" fontId="33" fillId="0" borderId="10" xfId="167" applyFont="1" applyFill="1" applyBorder="1" applyAlignment="1">
      <alignment vertical="center"/>
    </xf>
    <xf numFmtId="0" fontId="33" fillId="0" borderId="10" xfId="0" applyFont="1" applyBorder="1" applyAlignment="1">
      <alignment horizontal="left" vertical="top" wrapText="1"/>
    </xf>
    <xf numFmtId="43" fontId="33" fillId="0" borderId="0" xfId="167" applyFont="1" applyFill="1" applyAlignment="1">
      <alignment vertical="center"/>
    </xf>
    <xf numFmtId="188" fontId="33" fillId="0" borderId="10" xfId="167" applyNumberFormat="1" applyFont="1" applyFill="1" applyBorder="1" applyAlignment="1">
      <alignment vertical="center"/>
    </xf>
    <xf numFmtId="2" fontId="33" fillId="0" borderId="10" xfId="0" applyNumberFormat="1" applyFont="1" applyBorder="1" applyAlignment="1">
      <alignment vertical="top" wrapText="1"/>
    </xf>
    <xf numFmtId="0" fontId="30" fillId="0" borderId="0" xfId="0" applyFont="1" applyAlignment="1">
      <alignment horizontal="right" vertical="center"/>
    </xf>
    <xf numFmtId="10" fontId="33" fillId="0" borderId="10" xfId="168" applyNumberFormat="1" applyFont="1" applyFill="1" applyBorder="1" applyAlignment="1">
      <alignment vertical="center"/>
    </xf>
    <xf numFmtId="0" fontId="172" fillId="0" borderId="0" xfId="0" applyFont="1" applyAlignment="1">
      <alignment vertical="center"/>
    </xf>
    <xf numFmtId="0" fontId="265" fillId="0" borderId="0" xfId="0" applyFont="1" applyAlignment="1">
      <alignment horizontal="center" vertical="center" wrapText="1"/>
    </xf>
    <xf numFmtId="0" fontId="265" fillId="0" borderId="10" xfId="0" applyFont="1" applyBorder="1" applyAlignment="1">
      <alignment horizontal="center" vertical="center" wrapText="1"/>
    </xf>
    <xf numFmtId="0" fontId="172" fillId="28" borderId="10" xfId="0" applyFont="1" applyFill="1" applyBorder="1" applyAlignment="1">
      <alignment horizontal="center" vertical="center"/>
    </xf>
    <xf numFmtId="0" fontId="172" fillId="28" borderId="10" xfId="0" applyFont="1" applyFill="1" applyBorder="1" applyAlignment="1">
      <alignment vertical="center"/>
    </xf>
    <xf numFmtId="0" fontId="172" fillId="28" borderId="0" xfId="0" applyFont="1" applyFill="1" applyAlignment="1">
      <alignment vertical="center"/>
    </xf>
    <xf numFmtId="0" fontId="265" fillId="28" borderId="10" xfId="0" applyFont="1" applyFill="1" applyBorder="1" applyAlignment="1">
      <alignment horizontal="center" vertical="center" wrapText="1"/>
    </xf>
    <xf numFmtId="0" fontId="265" fillId="0" borderId="10" xfId="0" applyFont="1" applyBorder="1" applyAlignment="1">
      <alignment horizontal="right" vertical="center"/>
    </xf>
    <xf numFmtId="0" fontId="172" fillId="0" borderId="10" xfId="0" applyFont="1" applyBorder="1" applyAlignment="1">
      <alignment horizontal="center" vertical="center"/>
    </xf>
    <xf numFmtId="0" fontId="172" fillId="0" borderId="10" xfId="0" applyFont="1" applyBorder="1" applyAlignment="1">
      <alignment vertical="center"/>
    </xf>
    <xf numFmtId="43" fontId="172" fillId="28" borderId="10" xfId="167" applyFont="1" applyFill="1" applyBorder="1" applyAlignment="1">
      <alignment horizontal="center" vertical="center"/>
    </xf>
    <xf numFmtId="43" fontId="172" fillId="28" borderId="10" xfId="167" applyFont="1" applyFill="1" applyBorder="1" applyAlignment="1">
      <alignment horizontal="center"/>
    </xf>
    <xf numFmtId="0" fontId="43" fillId="0" borderId="112" xfId="0" applyFont="1" applyBorder="1" applyAlignment="1">
      <alignment horizontal="center" vertical="top"/>
    </xf>
    <xf numFmtId="0" fontId="43" fillId="0" borderId="99" xfId="0" applyFont="1" applyBorder="1" applyAlignment="1">
      <alignment horizontal="center" vertical="top"/>
    </xf>
    <xf numFmtId="0" fontId="43" fillId="0" borderId="26" xfId="0" applyFont="1" applyBorder="1" applyAlignment="1">
      <alignment horizontal="center" vertical="top"/>
    </xf>
    <xf numFmtId="0" fontId="43" fillId="0" borderId="10" xfId="0" applyFont="1" applyBorder="1" applyAlignment="1">
      <alignment horizontal="center" vertical="top"/>
    </xf>
    <xf numFmtId="0" fontId="43" fillId="0" borderId="113" xfId="0" applyFont="1" applyBorder="1" applyAlignment="1">
      <alignment horizontal="center" vertical="top"/>
    </xf>
    <xf numFmtId="0" fontId="43" fillId="0" borderId="27" xfId="0" applyFont="1" applyBorder="1" applyAlignment="1">
      <alignment horizontal="center" vertical="top"/>
    </xf>
    <xf numFmtId="0" fontId="43" fillId="0" borderId="10" xfId="78" applyFont="1" applyBorder="1" applyAlignment="1">
      <alignment horizontal="centerContinuous" vertical="top" wrapText="1"/>
    </xf>
    <xf numFmtId="0" fontId="43" fillId="0" borderId="99" xfId="0" applyFont="1" applyBorder="1" applyAlignment="1">
      <alignment horizontal="center" vertical="top" wrapText="1"/>
    </xf>
    <xf numFmtId="164" fontId="43" fillId="0" borderId="10" xfId="0" applyNumberFormat="1" applyFont="1" applyBorder="1" applyAlignment="1">
      <alignment horizontal="center" vertical="top" wrapText="1"/>
    </xf>
    <xf numFmtId="0" fontId="45" fillId="0" borderId="10" xfId="0" applyFont="1" applyBorder="1" applyAlignment="1">
      <alignment vertical="top" wrapText="1"/>
    </xf>
    <xf numFmtId="0" fontId="45" fillId="0" borderId="29" xfId="0" applyFont="1" applyBorder="1" applyAlignment="1">
      <alignment vertical="top" wrapText="1"/>
    </xf>
    <xf numFmtId="0" fontId="43" fillId="0" borderId="10" xfId="0" applyFont="1" applyBorder="1" applyAlignment="1">
      <alignment horizontal="center" vertical="top" wrapText="1"/>
    </xf>
    <xf numFmtId="0" fontId="20" fillId="0" borderId="121" xfId="0" applyFont="1" applyBorder="1" applyAlignment="1">
      <alignment vertical="top" wrapText="1"/>
    </xf>
    <xf numFmtId="0" fontId="45" fillId="0" borderId="10" xfId="78" applyFont="1" applyBorder="1" applyAlignment="1">
      <alignment horizontal="centerContinuous" vertical="top" wrapText="1"/>
    </xf>
    <xf numFmtId="0" fontId="45" fillId="0" borderId="99" xfId="0" applyFont="1" applyBorder="1" applyAlignment="1">
      <alignment horizontal="center" vertical="top" wrapText="1"/>
    </xf>
    <xf numFmtId="0" fontId="45" fillId="0" borderId="10" xfId="0" applyFont="1" applyBorder="1" applyAlignment="1">
      <alignment horizontal="center" vertical="top" wrapText="1"/>
    </xf>
    <xf numFmtId="0" fontId="222" fillId="0" borderId="0" xfId="0" applyFont="1" applyAlignment="1">
      <alignment vertical="top" wrapText="1"/>
    </xf>
    <xf numFmtId="0" fontId="129" fillId="0" borderId="0" xfId="0" applyFont="1" applyAlignment="1">
      <alignment vertical="top" wrapText="1"/>
    </xf>
    <xf numFmtId="0" fontId="0" fillId="0" borderId="0" xfId="0" applyAlignment="1">
      <alignment vertical="top" wrapText="1"/>
    </xf>
    <xf numFmtId="0" fontId="266" fillId="0" borderId="0" xfId="0" applyFont="1"/>
    <xf numFmtId="0" fontId="266" fillId="0" borderId="116" xfId="0" applyFont="1" applyBorder="1"/>
    <xf numFmtId="0" fontId="266" fillId="0" borderId="26" xfId="0" applyFont="1" applyBorder="1"/>
    <xf numFmtId="0" fontId="266" fillId="0" borderId="10" xfId="0" applyFont="1" applyBorder="1"/>
    <xf numFmtId="0" fontId="266" fillId="0" borderId="27" xfId="0" applyFont="1" applyBorder="1"/>
    <xf numFmtId="0" fontId="266" fillId="0" borderId="28" xfId="0" applyFont="1" applyBorder="1"/>
    <xf numFmtId="0" fontId="266" fillId="0" borderId="30" xfId="0" applyFont="1" applyBorder="1"/>
    <xf numFmtId="0" fontId="266" fillId="0" borderId="0" xfId="0" applyFont="1" applyAlignment="1">
      <alignment wrapText="1"/>
    </xf>
    <xf numFmtId="0" fontId="65" fillId="0" borderId="10" xfId="0" applyFont="1" applyBorder="1" applyAlignment="1">
      <alignment vertical="top" wrapText="1"/>
    </xf>
    <xf numFmtId="0" fontId="181" fillId="0" borderId="10" xfId="0" applyFont="1" applyBorder="1" applyAlignment="1">
      <alignment wrapText="1"/>
    </xf>
    <xf numFmtId="0" fontId="214" fillId="0" borderId="10" xfId="0" applyFont="1" applyBorder="1" applyAlignment="1">
      <alignment wrapText="1"/>
    </xf>
    <xf numFmtId="0" fontId="181" fillId="0" borderId="0" xfId="0" applyFont="1" applyAlignment="1">
      <alignment wrapText="1"/>
    </xf>
    <xf numFmtId="0" fontId="267" fillId="0" borderId="117" xfId="0" applyFont="1" applyBorder="1" applyAlignment="1">
      <alignment horizontal="center" vertical="center" wrapText="1"/>
    </xf>
    <xf numFmtId="0" fontId="267" fillId="0" borderId="118" xfId="0" applyFont="1" applyBorder="1" applyAlignment="1">
      <alignment horizontal="center" vertical="center" wrapText="1"/>
    </xf>
    <xf numFmtId="0" fontId="172" fillId="0" borderId="10" xfId="0" applyFont="1" applyBorder="1"/>
    <xf numFmtId="0" fontId="129" fillId="0" borderId="10" xfId="0" applyFont="1" applyBorder="1"/>
    <xf numFmtId="0" fontId="265" fillId="0" borderId="10" xfId="0" applyFont="1" applyBorder="1" applyAlignment="1">
      <alignment wrapText="1"/>
    </xf>
    <xf numFmtId="0" fontId="264" fillId="0" borderId="10" xfId="0" applyFont="1" applyBorder="1" applyAlignment="1">
      <alignment horizontal="center" vertical="center" textRotation="35" wrapText="1"/>
    </xf>
    <xf numFmtId="0" fontId="222" fillId="0" borderId="10" xfId="0" applyFont="1" applyBorder="1" applyAlignment="1">
      <alignment horizontal="center" vertical="center" textRotation="35" wrapText="1"/>
    </xf>
    <xf numFmtId="43" fontId="222" fillId="0" borderId="10" xfId="37" applyFont="1" applyFill="1" applyBorder="1" applyAlignment="1">
      <alignment horizontal="center" vertical="center"/>
    </xf>
    <xf numFmtId="0" fontId="266" fillId="0" borderId="10" xfId="78" applyFont="1" applyBorder="1" applyAlignment="1">
      <alignment horizontal="center" vertical="center"/>
    </xf>
    <xf numFmtId="2" fontId="266" fillId="0" borderId="10" xfId="0" applyNumberFormat="1" applyFont="1" applyBorder="1" applyAlignment="1">
      <alignment horizontal="center" vertical="center"/>
    </xf>
    <xf numFmtId="0" fontId="266" fillId="0" borderId="10" xfId="0" applyFont="1" applyBorder="1" applyAlignment="1">
      <alignment horizontal="center" vertical="center"/>
    </xf>
    <xf numFmtId="2" fontId="266" fillId="0" borderId="10" xfId="78" applyNumberFormat="1" applyFont="1" applyBorder="1" applyAlignment="1">
      <alignment horizontal="center" vertical="center"/>
    </xf>
    <xf numFmtId="2" fontId="267" fillId="0" borderId="29" xfId="0" applyNumberFormat="1" applyFont="1" applyBorder="1" applyAlignment="1">
      <alignment horizontal="center" vertical="center"/>
    </xf>
    <xf numFmtId="0" fontId="267" fillId="0" borderId="10" xfId="0" applyFont="1" applyBorder="1" applyAlignment="1">
      <alignment vertical="center" wrapText="1"/>
    </xf>
    <xf numFmtId="0" fontId="266" fillId="0" borderId="10" xfId="0" applyFont="1" applyBorder="1" applyAlignment="1">
      <alignment vertical="center" wrapText="1"/>
    </xf>
    <xf numFmtId="0" fontId="267" fillId="0" borderId="29" xfId="0" applyFont="1" applyBorder="1" applyAlignment="1">
      <alignment vertical="center" wrapText="1"/>
    </xf>
    <xf numFmtId="0" fontId="265" fillId="0" borderId="10" xfId="0" applyFont="1" applyBorder="1" applyAlignment="1">
      <alignment vertical="center" wrapText="1"/>
    </xf>
    <xf numFmtId="0" fontId="129" fillId="0" borderId="10" xfId="0" applyFont="1" applyBorder="1" applyAlignment="1">
      <alignment vertical="center"/>
    </xf>
    <xf numFmtId="0" fontId="172" fillId="0" borderId="10" xfId="0" applyFont="1" applyBorder="1" applyAlignment="1">
      <alignment vertical="center" wrapText="1"/>
    </xf>
    <xf numFmtId="0" fontId="172" fillId="0" borderId="10" xfId="78" applyFont="1" applyBorder="1" applyAlignment="1">
      <alignment vertical="center" wrapText="1"/>
    </xf>
    <xf numFmtId="0" fontId="265" fillId="0" borderId="10" xfId="0" applyFont="1" applyBorder="1"/>
    <xf numFmtId="0" fontId="265" fillId="0" borderId="10" xfId="0" applyFont="1" applyBorder="1" applyAlignment="1">
      <alignment horizontal="centerContinuous"/>
    </xf>
    <xf numFmtId="0" fontId="265" fillId="0" borderId="10" xfId="0" applyFont="1" applyBorder="1" applyAlignment="1">
      <alignment horizontal="center"/>
    </xf>
    <xf numFmtId="0" fontId="265" fillId="0" borderId="10" xfId="0" applyFont="1" applyBorder="1" applyAlignment="1">
      <alignment vertical="center"/>
    </xf>
    <xf numFmtId="0" fontId="265" fillId="0" borderId="10" xfId="0" applyFont="1" applyBorder="1" applyAlignment="1">
      <alignment horizontal="centerContinuous" vertical="center"/>
    </xf>
    <xf numFmtId="0" fontId="265" fillId="0" borderId="10" xfId="0" applyFont="1" applyBorder="1" applyAlignment="1">
      <alignment horizontal="center" vertical="center"/>
    </xf>
    <xf numFmtId="0" fontId="22" fillId="0" borderId="10" xfId="0" applyFont="1" applyBorder="1" applyAlignment="1">
      <alignment vertical="center"/>
    </xf>
    <xf numFmtId="0" fontId="33" fillId="0" borderId="10" xfId="0" applyFont="1" applyBorder="1" applyAlignment="1">
      <alignment vertical="center"/>
    </xf>
    <xf numFmtId="2" fontId="33" fillId="0" borderId="10" xfId="0" applyNumberFormat="1" applyFont="1" applyBorder="1" applyAlignment="1">
      <alignment vertical="center"/>
    </xf>
    <xf numFmtId="43" fontId="20" fillId="0" borderId="10" xfId="166" applyFont="1" applyFill="1" applyBorder="1" applyAlignment="1">
      <alignment vertical="center"/>
    </xf>
    <xf numFmtId="43" fontId="20" fillId="0" borderId="26" xfId="166" applyFont="1" applyFill="1" applyBorder="1" applyAlignment="1">
      <alignment vertical="center"/>
    </xf>
    <xf numFmtId="2" fontId="22" fillId="0" borderId="10" xfId="0" applyNumberFormat="1" applyFont="1" applyBorder="1" applyAlignment="1">
      <alignment vertical="center"/>
    </xf>
    <xf numFmtId="2" fontId="22" fillId="0" borderId="10" xfId="80" applyNumberFormat="1" applyFont="1" applyBorder="1" applyAlignment="1">
      <alignment vertical="center"/>
    </xf>
    <xf numFmtId="0" fontId="265" fillId="0" borderId="43" xfId="0" applyFont="1" applyBorder="1" applyAlignment="1">
      <alignment vertical="center"/>
    </xf>
    <xf numFmtId="0" fontId="22" fillId="0" borderId="43" xfId="0" applyFont="1" applyBorder="1" applyAlignment="1">
      <alignment vertical="center"/>
    </xf>
    <xf numFmtId="2" fontId="22" fillId="0" borderId="43" xfId="0" applyNumberFormat="1" applyFont="1" applyBorder="1" applyAlignment="1">
      <alignment vertical="center"/>
    </xf>
    <xf numFmtId="191" fontId="1" fillId="0" borderId="0" xfId="174" applyNumberFormat="1" applyFont="1"/>
    <xf numFmtId="0" fontId="163" fillId="65" borderId="10" xfId="0" applyFont="1" applyFill="1" applyBorder="1" applyAlignment="1">
      <alignment vertical="center"/>
    </xf>
    <xf numFmtId="0" fontId="163" fillId="65" borderId="10" xfId="0" applyFont="1" applyFill="1" applyBorder="1" applyAlignment="1">
      <alignment horizontal="center" vertical="center"/>
    </xf>
    <xf numFmtId="0" fontId="164" fillId="31" borderId="10" xfId="0" applyFont="1" applyFill="1" applyBorder="1" applyAlignment="1">
      <alignment vertical="center"/>
    </xf>
    <xf numFmtId="191" fontId="1" fillId="0" borderId="10" xfId="174" applyNumberFormat="1" applyFont="1" applyBorder="1"/>
    <xf numFmtId="188" fontId="164" fillId="31" borderId="10" xfId="37" applyNumberFormat="1" applyFont="1" applyFill="1" applyBorder="1" applyAlignment="1">
      <alignment horizontal="right" vertical="center"/>
    </xf>
    <xf numFmtId="188" fontId="163" fillId="65" borderId="10" xfId="37" applyNumberFormat="1" applyFont="1" applyFill="1" applyBorder="1" applyAlignment="1">
      <alignment horizontal="right" vertical="center"/>
    </xf>
    <xf numFmtId="0" fontId="172" fillId="0" borderId="10" xfId="0" applyFont="1" applyBorder="1" applyAlignment="1">
      <alignment horizontal="center"/>
    </xf>
    <xf numFmtId="43" fontId="265" fillId="0" borderId="10" xfId="167" applyFont="1" applyFill="1" applyBorder="1"/>
    <xf numFmtId="2" fontId="172" fillId="0" borderId="10" xfId="80" applyNumberFormat="1" applyFont="1" applyBorder="1"/>
    <xf numFmtId="43" fontId="172" fillId="0" borderId="10" xfId="167" applyFont="1" applyFill="1" applyBorder="1"/>
    <xf numFmtId="164" fontId="265" fillId="0" borderId="10" xfId="0" applyNumberFormat="1" applyFont="1" applyBorder="1"/>
    <xf numFmtId="0" fontId="172" fillId="0" borderId="0" xfId="0" applyFont="1"/>
    <xf numFmtId="0" fontId="265" fillId="0" borderId="0" xfId="0" applyFont="1"/>
    <xf numFmtId="0" fontId="265" fillId="0" borderId="10" xfId="0" applyFont="1" applyBorder="1" applyAlignment="1">
      <alignment horizontal="center" wrapText="1"/>
    </xf>
    <xf numFmtId="0" fontId="33" fillId="0" borderId="10" xfId="80" applyFont="1" applyBorder="1" applyAlignment="1">
      <alignment horizontal="center"/>
    </xf>
    <xf numFmtId="0" fontId="172" fillId="0" borderId="10" xfId="80" applyFont="1" applyBorder="1" applyAlignment="1">
      <alignment horizontal="center"/>
    </xf>
    <xf numFmtId="1" fontId="172" fillId="0" borderId="10" xfId="80" applyNumberFormat="1" applyFont="1" applyBorder="1" applyAlignment="1">
      <alignment horizontal="center"/>
    </xf>
    <xf numFmtId="1" fontId="172" fillId="0" borderId="10" xfId="0" applyNumberFormat="1" applyFont="1" applyBorder="1" applyAlignment="1">
      <alignment horizontal="center"/>
    </xf>
    <xf numFmtId="167" fontId="172" fillId="0" borderId="10" xfId="80" applyNumberFormat="1" applyFont="1" applyBorder="1" applyAlignment="1">
      <alignment horizontal="center"/>
    </xf>
    <xf numFmtId="167" fontId="172" fillId="0" borderId="10" xfId="0" applyNumberFormat="1" applyFont="1" applyBorder="1" applyAlignment="1">
      <alignment horizontal="center"/>
    </xf>
    <xf numFmtId="0" fontId="265" fillId="0" borderId="0" xfId="80" applyFont="1"/>
    <xf numFmtId="1" fontId="265" fillId="0" borderId="0" xfId="80" applyNumberFormat="1" applyFont="1"/>
    <xf numFmtId="0" fontId="265" fillId="0" borderId="10" xfId="0" applyFont="1" applyBorder="1" applyAlignment="1">
      <alignment vertical="top" wrapText="1"/>
    </xf>
    <xf numFmtId="0" fontId="265" fillId="0" borderId="10" xfId="0" applyFont="1" applyBorder="1" applyAlignment="1">
      <alignment horizontal="center" vertical="top" wrapText="1"/>
    </xf>
    <xf numFmtId="0" fontId="265" fillId="0" borderId="0" xfId="0" applyFont="1" applyAlignment="1">
      <alignment horizontal="center" vertical="top" wrapText="1"/>
    </xf>
    <xf numFmtId="0" fontId="172" fillId="0" borderId="10" xfId="80" applyFont="1" applyBorder="1" applyAlignment="1">
      <alignment horizontal="justify" vertical="top" wrapText="1"/>
    </xf>
    <xf numFmtId="0" fontId="172" fillId="0" borderId="10" xfId="80" applyFont="1" applyBorder="1" applyAlignment="1">
      <alignment horizontal="center" vertical="center" wrapText="1"/>
    </xf>
    <xf numFmtId="0" fontId="172" fillId="0" borderId="0" xfId="0" applyFont="1" applyAlignment="1">
      <alignment horizontal="center" vertical="top" wrapText="1"/>
    </xf>
    <xf numFmtId="0" fontId="172" fillId="0" borderId="10" xfId="80" applyFont="1" applyBorder="1" applyAlignment="1">
      <alignment vertical="top" wrapText="1"/>
    </xf>
    <xf numFmtId="1" fontId="172" fillId="0" borderId="10" xfId="80" applyNumberFormat="1" applyFont="1" applyBorder="1" applyAlignment="1">
      <alignment horizontal="center" vertical="center" wrapText="1"/>
    </xf>
    <xf numFmtId="1" fontId="172" fillId="0" borderId="10" xfId="80" applyNumberFormat="1" applyFont="1" applyBorder="1" applyAlignment="1">
      <alignment horizontal="center" vertical="center"/>
    </xf>
    <xf numFmtId="0" fontId="172" fillId="0" borderId="0" xfId="0" applyFont="1" applyAlignment="1">
      <alignment horizontal="center" vertical="center" wrapText="1"/>
    </xf>
    <xf numFmtId="0" fontId="172" fillId="0" borderId="10" xfId="80" applyFont="1" applyBorder="1" applyAlignment="1">
      <alignment vertical="center" wrapText="1"/>
    </xf>
    <xf numFmtId="1" fontId="33" fillId="0" borderId="10" xfId="0" applyNumberFormat="1" applyFont="1" applyBorder="1" applyAlignment="1">
      <alignment horizontal="center" vertical="center" wrapText="1"/>
    </xf>
    <xf numFmtId="1" fontId="172" fillId="0" borderId="0" xfId="0" applyNumberFormat="1" applyFont="1" applyAlignment="1">
      <alignment horizontal="center" vertical="center" wrapText="1"/>
    </xf>
    <xf numFmtId="1" fontId="22" fillId="0" borderId="10" xfId="0" applyNumberFormat="1" applyFont="1" applyBorder="1" applyAlignment="1">
      <alignment horizontal="center" vertical="center" wrapText="1"/>
    </xf>
    <xf numFmtId="1" fontId="265" fillId="0" borderId="0" xfId="0" applyNumberFormat="1" applyFont="1" applyAlignment="1">
      <alignment horizontal="center" vertical="center" wrapText="1"/>
    </xf>
    <xf numFmtId="0" fontId="265" fillId="0" borderId="31" xfId="0" applyFont="1" applyBorder="1" applyAlignment="1">
      <alignment horizontal="left" wrapText="1"/>
    </xf>
    <xf numFmtId="17" fontId="172" fillId="0" borderId="31" xfId="0" applyNumberFormat="1" applyFont="1" applyBorder="1" applyAlignment="1">
      <alignment horizontal="left"/>
    </xf>
    <xf numFmtId="39" fontId="172" fillId="0" borderId="10" xfId="166" applyNumberFormat="1" applyFont="1" applyBorder="1" applyAlignment="1">
      <alignment horizontal="center" vertical="top" wrapText="1"/>
    </xf>
    <xf numFmtId="39" fontId="172" fillId="0" borderId="0" xfId="166" applyNumberFormat="1" applyFont="1" applyBorder="1" applyAlignment="1">
      <alignment horizontal="center" vertical="top" wrapText="1"/>
    </xf>
    <xf numFmtId="39" fontId="172" fillId="0" borderId="10" xfId="166" applyNumberFormat="1" applyFont="1" applyBorder="1" applyAlignment="1">
      <alignment horizontal="center" vertical="top"/>
    </xf>
    <xf numFmtId="39" fontId="172" fillId="0" borderId="0" xfId="166" applyNumberFormat="1" applyFont="1" applyBorder="1" applyAlignment="1">
      <alignment horizontal="center" vertical="top"/>
    </xf>
    <xf numFmtId="0" fontId="265" fillId="0" borderId="31" xfId="0" applyFont="1" applyBorder="1"/>
    <xf numFmtId="0" fontId="264" fillId="0" borderId="31" xfId="0" applyFont="1" applyBorder="1" applyAlignment="1">
      <alignment wrapText="1"/>
    </xf>
    <xf numFmtId="0" fontId="264" fillId="0" borderId="10" xfId="0" applyFont="1" applyBorder="1"/>
    <xf numFmtId="0" fontId="264" fillId="0" borderId="0" xfId="0" applyFont="1"/>
    <xf numFmtId="17" fontId="172" fillId="0" borderId="31" xfId="80" applyNumberFormat="1" applyFont="1" applyBorder="1" applyAlignment="1">
      <alignment horizontal="left"/>
    </xf>
    <xf numFmtId="188" fontId="172" fillId="0" borderId="10" xfId="37" applyNumberFormat="1" applyFont="1" applyBorder="1" applyAlignment="1">
      <alignment horizontal="center"/>
    </xf>
    <xf numFmtId="188" fontId="172" fillId="27" borderId="0" xfId="37" applyNumberFormat="1" applyFont="1" applyFill="1" applyBorder="1" applyAlignment="1">
      <alignment horizontal="center"/>
    </xf>
    <xf numFmtId="188" fontId="172" fillId="27" borderId="0" xfId="37" applyNumberFormat="1" applyFont="1" applyFill="1"/>
    <xf numFmtId="188" fontId="172" fillId="0" borderId="0" xfId="37" applyNumberFormat="1" applyFont="1" applyBorder="1" applyAlignment="1">
      <alignment horizontal="center"/>
    </xf>
    <xf numFmtId="188" fontId="172" fillId="0" borderId="0" xfId="37" applyNumberFormat="1" applyFont="1" applyFill="1"/>
    <xf numFmtId="0" fontId="265" fillId="0" borderId="31" xfId="0" applyFont="1" applyBorder="1" applyAlignment="1">
      <alignment wrapText="1"/>
    </xf>
    <xf numFmtId="188" fontId="265" fillId="0" borderId="10" xfId="37" applyNumberFormat="1" applyFont="1" applyBorder="1" applyAlignment="1">
      <alignment horizontal="center"/>
    </xf>
    <xf numFmtId="188" fontId="265" fillId="0" borderId="0" xfId="37" applyNumberFormat="1" applyFont="1" applyBorder="1" applyAlignment="1">
      <alignment horizontal="center"/>
    </xf>
    <xf numFmtId="188" fontId="172" fillId="0" borderId="0" xfId="37" applyNumberFormat="1" applyFont="1" applyFill="1" applyBorder="1"/>
    <xf numFmtId="17" fontId="172" fillId="0" borderId="10" xfId="0" applyNumberFormat="1" applyFont="1" applyBorder="1" applyAlignment="1">
      <alignment horizontal="left"/>
    </xf>
    <xf numFmtId="2" fontId="20" fillId="0" borderId="0" xfId="0" applyNumberFormat="1" applyFont="1" applyAlignment="1">
      <alignment horizontal="center"/>
    </xf>
    <xf numFmtId="1" fontId="20" fillId="0" borderId="0" xfId="0" applyNumberFormat="1" applyFont="1"/>
    <xf numFmtId="10" fontId="20" fillId="0" borderId="0" xfId="105" applyNumberFormat="1" applyFont="1" applyFill="1" applyAlignment="1">
      <alignment horizontal="center"/>
    </xf>
    <xf numFmtId="10" fontId="20" fillId="0" borderId="0" xfId="0" applyNumberFormat="1" applyFont="1"/>
    <xf numFmtId="10" fontId="20" fillId="0" borderId="0" xfId="105" applyNumberFormat="1" applyFont="1" applyFill="1"/>
    <xf numFmtId="9" fontId="20" fillId="0" borderId="0" xfId="105" applyFont="1" applyFill="1"/>
    <xf numFmtId="0" fontId="134" fillId="45" borderId="32" xfId="0" applyFont="1" applyFill="1" applyBorder="1" applyAlignment="1">
      <alignment vertical="center" wrapText="1"/>
    </xf>
    <xf numFmtId="0" fontId="231" fillId="45" borderId="33" xfId="0" applyFont="1" applyFill="1" applyBorder="1" applyAlignment="1">
      <alignment horizontal="center" vertical="center" wrapText="1"/>
    </xf>
    <xf numFmtId="0" fontId="134" fillId="0" borderId="80" xfId="0" applyFont="1" applyBorder="1" applyAlignment="1">
      <alignment vertical="center" wrapText="1"/>
    </xf>
    <xf numFmtId="164" fontId="134" fillId="0" borderId="110" xfId="0" applyNumberFormat="1" applyFont="1" applyBorder="1" applyAlignment="1">
      <alignment horizontal="right" vertical="center" wrapText="1"/>
    </xf>
    <xf numFmtId="2" fontId="134" fillId="0" borderId="110" xfId="0" applyNumberFormat="1" applyFont="1" applyBorder="1" applyAlignment="1">
      <alignment horizontal="right" vertical="center" wrapText="1"/>
    </xf>
    <xf numFmtId="0" fontId="134" fillId="45" borderId="80" xfId="0" applyFont="1" applyFill="1" applyBorder="1" applyAlignment="1">
      <alignment vertical="center" wrapText="1"/>
    </xf>
    <xf numFmtId="164" fontId="134" fillId="62" borderId="110" xfId="0" applyNumberFormat="1" applyFont="1" applyFill="1" applyBorder="1" applyAlignment="1">
      <alignment horizontal="right" vertical="center" wrapText="1"/>
    </xf>
    <xf numFmtId="0" fontId="268" fillId="0" borderId="0" xfId="0" applyFont="1" applyAlignment="1">
      <alignment horizontal="centerContinuous"/>
    </xf>
    <xf numFmtId="0" fontId="22" fillId="0" borderId="0" xfId="0" applyFont="1" applyAlignment="1">
      <alignment horizontal="center"/>
    </xf>
    <xf numFmtId="0" fontId="172" fillId="0" borderId="10" xfId="0" applyFont="1" applyBorder="1" applyAlignment="1">
      <alignment horizontal="left"/>
    </xf>
    <xf numFmtId="0" fontId="172" fillId="0" borderId="10" xfId="0" applyFont="1" applyBorder="1" applyAlignment="1">
      <alignment horizontal="right"/>
    </xf>
    <xf numFmtId="43" fontId="129" fillId="0" borderId="10" xfId="167" applyFont="1" applyFill="1" applyBorder="1"/>
    <xf numFmtId="164" fontId="129" fillId="0" borderId="10" xfId="0" applyNumberFormat="1" applyFont="1" applyBorder="1"/>
    <xf numFmtId="2" fontId="129" fillId="0" borderId="0" xfId="0" applyNumberFormat="1" applyFont="1"/>
    <xf numFmtId="43" fontId="130" fillId="0" borderId="10" xfId="0" applyNumberFormat="1" applyFont="1" applyBorder="1"/>
    <xf numFmtId="0" fontId="172" fillId="0" borderId="0" xfId="0" applyFont="1" applyAlignment="1">
      <alignment horizontal="right"/>
    </xf>
    <xf numFmtId="0" fontId="172" fillId="0" borderId="0" xfId="0" applyFont="1" applyAlignment="1">
      <alignment horizontal="left"/>
    </xf>
    <xf numFmtId="43" fontId="20" fillId="28" borderId="10" xfId="37" applyFont="1" applyFill="1" applyBorder="1"/>
    <xf numFmtId="2" fontId="21" fillId="28" borderId="10" xfId="0" applyNumberFormat="1" applyFont="1" applyFill="1" applyBorder="1"/>
    <xf numFmtId="4" fontId="21" fillId="28" borderId="10" xfId="0" applyNumberFormat="1" applyFont="1" applyFill="1" applyBorder="1"/>
    <xf numFmtId="166" fontId="47" fillId="28" borderId="10" xfId="0" applyNumberFormat="1" applyFont="1" applyFill="1" applyBorder="1" applyAlignment="1">
      <alignment horizontal="center" vertical="center"/>
    </xf>
    <xf numFmtId="17" fontId="47" fillId="28" borderId="10" xfId="0" applyNumberFormat="1" applyFont="1" applyFill="1" applyBorder="1" applyAlignment="1">
      <alignment vertical="center"/>
    </xf>
    <xf numFmtId="166" fontId="44" fillId="28" borderId="10" xfId="0" applyNumberFormat="1" applyFont="1" applyFill="1" applyBorder="1" applyAlignment="1">
      <alignment horizontal="center" vertical="center"/>
    </xf>
    <xf numFmtId="0" fontId="44" fillId="28" borderId="10" xfId="0" applyFont="1" applyFill="1" applyBorder="1" applyAlignment="1">
      <alignment vertical="center"/>
    </xf>
    <xf numFmtId="2" fontId="47" fillId="28" borderId="10" xfId="0" applyNumberFormat="1" applyFont="1" applyFill="1" applyBorder="1" applyAlignment="1">
      <alignment horizontal="center" vertical="center"/>
    </xf>
    <xf numFmtId="43" fontId="134" fillId="28" borderId="10" xfId="37" applyFont="1" applyFill="1" applyBorder="1" applyAlignment="1">
      <alignment vertical="center"/>
    </xf>
    <xf numFmtId="2" fontId="67" fillId="28" borderId="10" xfId="0" applyNumberFormat="1" applyFont="1" applyFill="1" applyBorder="1" applyAlignment="1">
      <alignment horizontal="center" vertical="center"/>
    </xf>
    <xf numFmtId="2" fontId="44" fillId="28" borderId="10" xfId="0" applyNumberFormat="1" applyFont="1" applyFill="1" applyBorder="1" applyAlignment="1">
      <alignment horizontal="center" vertical="center"/>
    </xf>
    <xf numFmtId="171" fontId="44" fillId="28" borderId="10" xfId="78" applyNumberFormat="1" applyFont="1" applyFill="1" applyBorder="1" applyAlignment="1">
      <alignment horizontal="center" vertical="center"/>
    </xf>
    <xf numFmtId="0" fontId="0" fillId="0" borderId="10" xfId="0" applyBorder="1" applyAlignment="1">
      <alignment horizontal="center" vertical="center"/>
    </xf>
    <xf numFmtId="0" fontId="25" fillId="0" borderId="10" xfId="0" applyFont="1" applyBorder="1" applyAlignment="1">
      <alignment horizontal="center" vertical="center"/>
    </xf>
    <xf numFmtId="0" fontId="22" fillId="0" borderId="81" xfId="0" applyFont="1" applyBorder="1" applyAlignment="1">
      <alignment horizontal="center" wrapText="1"/>
    </xf>
    <xf numFmtId="0" fontId="65" fillId="0" borderId="10" xfId="0" applyFont="1" applyBorder="1" applyAlignment="1">
      <alignment horizontal="center" vertical="center"/>
    </xf>
    <xf numFmtId="0" fontId="108" fillId="0" borderId="10" xfId="0" applyFont="1" applyBorder="1" applyAlignment="1">
      <alignment horizontal="center" vertical="center"/>
    </xf>
    <xf numFmtId="2" fontId="108" fillId="0" borderId="10" xfId="0" applyNumberFormat="1" applyFont="1" applyBorder="1" applyAlignment="1">
      <alignment horizontal="center" vertical="center"/>
    </xf>
    <xf numFmtId="0" fontId="134" fillId="0" borderId="0" xfId="0" applyFont="1" applyAlignment="1">
      <alignment vertical="center"/>
    </xf>
    <xf numFmtId="0" fontId="134" fillId="0" borderId="10" xfId="0" applyFont="1" applyBorder="1" applyAlignment="1">
      <alignment vertical="center"/>
    </xf>
    <xf numFmtId="0" fontId="231" fillId="0" borderId="10" xfId="0" applyFont="1" applyBorder="1" applyAlignment="1">
      <alignment horizontal="center" vertical="center" wrapText="1"/>
    </xf>
    <xf numFmtId="0" fontId="231" fillId="0" borderId="10" xfId="0" applyFont="1" applyBorder="1" applyAlignment="1">
      <alignment horizontal="center" vertical="center"/>
    </xf>
    <xf numFmtId="0" fontId="134" fillId="0" borderId="10" xfId="0" applyFont="1" applyBorder="1" applyAlignment="1">
      <alignment horizontal="justify" vertical="center" wrapText="1"/>
    </xf>
    <xf numFmtId="2" fontId="134" fillId="0" borderId="10" xfId="0" applyNumberFormat="1" applyFont="1" applyBorder="1" applyAlignment="1">
      <alignment horizontal="center" vertical="center" wrapText="1"/>
    </xf>
    <xf numFmtId="10" fontId="134" fillId="0" borderId="10" xfId="92" applyNumberFormat="1" applyFont="1" applyBorder="1" applyAlignment="1">
      <alignment horizontal="center" vertical="center" wrapText="1"/>
    </xf>
    <xf numFmtId="10" fontId="134" fillId="0" borderId="10" xfId="0" applyNumberFormat="1" applyFont="1" applyBorder="1" applyAlignment="1">
      <alignment horizontal="center" vertical="center" wrapText="1"/>
    </xf>
    <xf numFmtId="2" fontId="134" fillId="0" borderId="10" xfId="0" applyNumberFormat="1" applyFont="1" applyBorder="1" applyAlignment="1">
      <alignment horizontal="center" vertical="center"/>
    </xf>
    <xf numFmtId="2" fontId="231" fillId="0" borderId="10" xfId="0" applyNumberFormat="1" applyFont="1" applyBorder="1" applyAlignment="1">
      <alignment horizontal="center" vertical="center"/>
    </xf>
    <xf numFmtId="2" fontId="134" fillId="0" borderId="10" xfId="0" applyNumberFormat="1" applyFont="1" applyBorder="1" applyAlignment="1">
      <alignment vertical="center"/>
    </xf>
    <xf numFmtId="0" fontId="231" fillId="0" borderId="10" xfId="0" applyFont="1" applyBorder="1" applyAlignment="1">
      <alignment vertical="center"/>
    </xf>
    <xf numFmtId="0" fontId="231" fillId="0" borderId="10" xfId="0" applyFont="1" applyBorder="1" applyAlignment="1">
      <alignment vertical="center" wrapText="1"/>
    </xf>
    <xf numFmtId="0" fontId="134" fillId="0" borderId="10" xfId="0" applyFont="1" applyBorder="1" applyAlignment="1">
      <alignment horizontal="center" vertical="center"/>
    </xf>
    <xf numFmtId="43" fontId="134" fillId="0" borderId="10" xfId="37" applyFont="1" applyFill="1" applyBorder="1" applyAlignment="1">
      <alignment vertical="center"/>
    </xf>
    <xf numFmtId="0" fontId="134" fillId="0" borderId="10" xfId="0" applyFont="1" applyBorder="1" applyAlignment="1">
      <alignment vertical="center" wrapText="1"/>
    </xf>
    <xf numFmtId="0" fontId="231" fillId="0" borderId="10" xfId="0" applyFont="1" applyBorder="1" applyAlignment="1">
      <alignment horizontal="right" vertical="center"/>
    </xf>
    <xf numFmtId="2" fontId="231" fillId="0" borderId="10" xfId="0" applyNumberFormat="1" applyFont="1" applyBorder="1" applyAlignment="1">
      <alignment vertical="center"/>
    </xf>
    <xf numFmtId="0" fontId="44" fillId="0" borderId="0" xfId="0" applyFont="1" applyAlignment="1">
      <alignment horizontal="right" vertical="center"/>
    </xf>
    <xf numFmtId="2" fontId="44" fillId="0" borderId="0" xfId="0" applyNumberFormat="1" applyFont="1" applyAlignment="1">
      <alignment vertical="center"/>
    </xf>
    <xf numFmtId="0" fontId="29" fillId="28" borderId="0" xfId="78" applyFont="1" applyFill="1" applyAlignment="1">
      <alignment vertical="center"/>
    </xf>
    <xf numFmtId="0" fontId="44" fillId="28" borderId="10" xfId="0" applyFont="1" applyFill="1" applyBorder="1" applyAlignment="1">
      <alignment horizontal="center" vertical="center"/>
    </xf>
    <xf numFmtId="0" fontId="44" fillId="28" borderId="10" xfId="0" applyFont="1" applyFill="1" applyBorder="1" applyAlignment="1">
      <alignment horizontal="center" vertical="center" wrapText="1"/>
    </xf>
    <xf numFmtId="14" fontId="44" fillId="28" borderId="10" xfId="0" applyNumberFormat="1" applyFont="1" applyFill="1" applyBorder="1" applyAlignment="1">
      <alignment horizontal="center" vertical="center"/>
    </xf>
    <xf numFmtId="0" fontId="22" fillId="28" borderId="0" xfId="78" applyFont="1" applyFill="1"/>
    <xf numFmtId="0" fontId="47" fillId="28" borderId="10" xfId="0" applyFont="1" applyFill="1" applyBorder="1" applyAlignment="1">
      <alignment horizontal="center" vertical="center" wrapText="1"/>
    </xf>
    <xf numFmtId="0" fontId="75" fillId="0" borderId="0" xfId="0" applyFont="1" applyAlignment="1">
      <alignment wrapText="1"/>
    </xf>
    <xf numFmtId="0" fontId="59" fillId="0" borderId="0" xfId="0" applyFont="1" applyAlignment="1">
      <alignment horizontal="centerContinuous" wrapText="1"/>
    </xf>
    <xf numFmtId="0" fontId="64" fillId="0" borderId="99" xfId="0" applyFont="1" applyBorder="1" applyAlignment="1">
      <alignment wrapText="1"/>
    </xf>
    <xf numFmtId="0" fontId="59" fillId="0" borderId="10" xfId="0" applyFont="1" applyBorder="1" applyAlignment="1">
      <alignment wrapText="1"/>
    </xf>
    <xf numFmtId="0" fontId="59" fillId="0" borderId="10" xfId="0" applyFont="1" applyBorder="1" applyAlignment="1">
      <alignment horizontal="right" wrapText="1"/>
    </xf>
    <xf numFmtId="0" fontId="59" fillId="0" borderId="0" xfId="0" applyFont="1" applyAlignment="1">
      <alignment wrapText="1"/>
    </xf>
    <xf numFmtId="0" fontId="214" fillId="0" borderId="0" xfId="0" applyFont="1" applyAlignment="1">
      <alignment wrapText="1"/>
    </xf>
    <xf numFmtId="0" fontId="226" fillId="0" borderId="0" xfId="0" applyFont="1" applyAlignment="1">
      <alignment wrapText="1"/>
    </xf>
    <xf numFmtId="0" fontId="227" fillId="0" borderId="0" xfId="0" applyFont="1" applyAlignment="1">
      <alignment horizontal="centerContinuous" wrapText="1"/>
    </xf>
    <xf numFmtId="0" fontId="216" fillId="0" borderId="0" xfId="0" applyFont="1" applyAlignment="1">
      <alignment wrapText="1"/>
    </xf>
    <xf numFmtId="0" fontId="227" fillId="0" borderId="10" xfId="0" applyFont="1" applyBorder="1" applyAlignment="1">
      <alignment wrapText="1"/>
    </xf>
    <xf numFmtId="0" fontId="228" fillId="0" borderId="10" xfId="0" applyFont="1" applyBorder="1" applyAlignment="1">
      <alignment wrapText="1"/>
    </xf>
    <xf numFmtId="0" fontId="22" fillId="0" borderId="10" xfId="0" applyFont="1" applyBorder="1" applyAlignment="1">
      <alignment horizontal="left" vertical="center" wrapText="1"/>
    </xf>
    <xf numFmtId="2" fontId="33" fillId="0" borderId="10" xfId="0" applyNumberFormat="1" applyFont="1" applyBorder="1" applyAlignment="1">
      <alignment horizontal="center" vertical="center" wrapText="1"/>
    </xf>
    <xf numFmtId="2" fontId="213" fillId="0" borderId="10" xfId="0" applyNumberFormat="1" applyFont="1" applyBorder="1" applyAlignment="1">
      <alignment horizontal="center" vertical="center" wrapText="1"/>
    </xf>
    <xf numFmtId="43" fontId="47" fillId="0" borderId="10" xfId="37" applyFont="1" applyFill="1" applyBorder="1" applyAlignment="1">
      <alignment horizontal="center" vertical="center" wrapText="1"/>
    </xf>
    <xf numFmtId="43" fontId="44" fillId="0" borderId="10" xfId="37" applyFont="1" applyFill="1" applyBorder="1" applyAlignment="1">
      <alignment horizontal="center" vertical="center" wrapText="1"/>
    </xf>
    <xf numFmtId="2" fontId="44" fillId="0" borderId="10" xfId="0" applyNumberFormat="1" applyFont="1" applyBorder="1" applyAlignment="1">
      <alignment horizontal="center" vertical="center" wrapText="1"/>
    </xf>
    <xf numFmtId="0" fontId="71" fillId="0" borderId="10" xfId="0" applyFont="1" applyBorder="1" applyAlignment="1">
      <alignment horizontal="left" vertical="center" wrapText="1"/>
    </xf>
    <xf numFmtId="43" fontId="134" fillId="0" borderId="10" xfId="37" applyFont="1" applyFill="1" applyBorder="1" applyAlignment="1">
      <alignment horizontal="center" vertical="center" wrapText="1"/>
    </xf>
    <xf numFmtId="3" fontId="47" fillId="0" borderId="10" xfId="37" applyNumberFormat="1" applyFont="1" applyFill="1" applyBorder="1" applyAlignment="1">
      <alignment horizontal="center" vertical="center" wrapText="1"/>
    </xf>
    <xf numFmtId="3" fontId="44" fillId="0" borderId="10" xfId="37" applyNumberFormat="1" applyFont="1" applyFill="1" applyBorder="1" applyAlignment="1">
      <alignment horizontal="center" vertical="center" wrapText="1"/>
    </xf>
    <xf numFmtId="0" fontId="44" fillId="0" borderId="10" xfId="0" applyFont="1" applyBorder="1" applyAlignment="1">
      <alignment horizontal="left" vertical="center"/>
    </xf>
    <xf numFmtId="0" fontId="44" fillId="0" borderId="10" xfId="0" applyFont="1" applyBorder="1" applyAlignment="1">
      <alignment horizontal="left" vertical="center" wrapText="1"/>
    </xf>
    <xf numFmtId="0" fontId="231" fillId="0" borderId="10" xfId="0" applyFont="1" applyBorder="1" applyAlignment="1">
      <alignment vertical="top"/>
    </xf>
    <xf numFmtId="43" fontId="231" fillId="0" borderId="10" xfId="37" applyFont="1" applyFill="1" applyBorder="1" applyAlignment="1">
      <alignment vertical="top"/>
    </xf>
    <xf numFmtId="0" fontId="0" fillId="0" borderId="106" xfId="0" applyBorder="1" applyAlignment="1">
      <alignment horizontal="center"/>
    </xf>
    <xf numFmtId="0" fontId="163" fillId="35" borderId="10" xfId="0" applyFont="1" applyFill="1" applyBorder="1" applyAlignment="1">
      <alignment horizontal="center" vertical="center" wrapText="1"/>
    </xf>
    <xf numFmtId="0" fontId="21" fillId="0" borderId="0" xfId="0" applyFont="1" applyAlignment="1">
      <alignment horizontal="center" vertical="center" wrapText="1"/>
    </xf>
    <xf numFmtId="0" fontId="182" fillId="0" borderId="10" xfId="0" applyFont="1" applyBorder="1" applyAlignment="1">
      <alignment horizontal="center" vertical="center" wrapText="1"/>
    </xf>
    <xf numFmtId="43" fontId="168" fillId="0" borderId="10" xfId="37" applyFont="1" applyFill="1" applyBorder="1"/>
    <xf numFmtId="0" fontId="72" fillId="0" borderId="10" xfId="0" applyFont="1" applyBorder="1" applyAlignment="1">
      <alignment horizontal="left" vertical="center" wrapText="1"/>
    </xf>
    <xf numFmtId="188" fontId="47" fillId="0" borderId="10" xfId="37" applyNumberFormat="1" applyFont="1" applyFill="1" applyBorder="1" applyAlignment="1">
      <alignment horizontal="center" vertical="center" wrapText="1"/>
    </xf>
    <xf numFmtId="188" fontId="47" fillId="0" borderId="10" xfId="37" applyNumberFormat="1" applyFont="1" applyFill="1" applyBorder="1" applyAlignment="1">
      <alignment vertical="center" wrapText="1"/>
    </xf>
    <xf numFmtId="0" fontId="44" fillId="0" borderId="151" xfId="0" applyFont="1" applyBorder="1" applyAlignment="1">
      <alignment horizontal="center" vertical="center" wrapText="1"/>
    </xf>
    <xf numFmtId="0" fontId="20" fillId="0" borderId="10" xfId="78" applyBorder="1" applyAlignment="1">
      <alignment vertical="top" wrapText="1"/>
    </xf>
    <xf numFmtId="0" fontId="21" fillId="0" borderId="10" xfId="78" applyFont="1" applyBorder="1" applyAlignment="1">
      <alignment vertical="center"/>
    </xf>
    <xf numFmtId="0" fontId="20" fillId="28" borderId="10" xfId="78" applyFill="1" applyBorder="1"/>
    <xf numFmtId="2" fontId="20" fillId="28" borderId="10" xfId="78" applyNumberFormat="1" applyFill="1" applyBorder="1"/>
    <xf numFmtId="0" fontId="21" fillId="28" borderId="10" xfId="78" applyFont="1" applyFill="1" applyBorder="1"/>
    <xf numFmtId="2" fontId="20" fillId="28" borderId="10" xfId="78" applyNumberFormat="1" applyFill="1" applyBorder="1" applyAlignment="1">
      <alignment horizontal="center"/>
    </xf>
    <xf numFmtId="43" fontId="20" fillId="28" borderId="10" xfId="37" applyFont="1" applyFill="1" applyBorder="1" applyAlignment="1">
      <alignment horizontal="right"/>
    </xf>
    <xf numFmtId="43" fontId="127" fillId="28" borderId="10" xfId="37" applyFont="1" applyFill="1" applyBorder="1" applyAlignment="1">
      <alignment horizontal="right"/>
    </xf>
    <xf numFmtId="2" fontId="127" fillId="28" borderId="10" xfId="78" applyNumberFormat="1" applyFont="1" applyFill="1" applyBorder="1"/>
    <xf numFmtId="2" fontId="20" fillId="28" borderId="10" xfId="78" applyNumberFormat="1" applyFill="1" applyBorder="1" applyAlignment="1">
      <alignment horizontal="right"/>
    </xf>
    <xf numFmtId="0" fontId="130" fillId="0" borderId="0" xfId="78" applyFont="1" applyAlignment="1">
      <alignment horizontal="right" vertical="center"/>
    </xf>
    <xf numFmtId="0" fontId="134" fillId="0" borderId="10" xfId="0" applyFont="1" applyBorder="1" applyAlignment="1">
      <alignment wrapText="1"/>
    </xf>
    <xf numFmtId="43" fontId="134" fillId="0" borderId="10" xfId="167" applyFont="1" applyFill="1" applyBorder="1" applyAlignment="1">
      <alignment vertical="center"/>
    </xf>
    <xf numFmtId="10" fontId="134" fillId="0" borderId="10" xfId="170" applyNumberFormat="1" applyFont="1" applyBorder="1" applyAlignment="1">
      <alignment vertical="center"/>
    </xf>
    <xf numFmtId="164" fontId="231" fillId="0" borderId="10" xfId="0" applyNumberFormat="1" applyFont="1" applyBorder="1" applyAlignment="1">
      <alignment vertical="center"/>
    </xf>
    <xf numFmtId="0" fontId="134" fillId="0" borderId="10" xfId="0" applyFont="1" applyBorder="1" applyAlignment="1">
      <alignment horizontal="center" vertical="center" wrapText="1"/>
    </xf>
    <xf numFmtId="166" fontId="44" fillId="28" borderId="10" xfId="41" applyNumberFormat="1" applyFont="1" applyFill="1" applyBorder="1" applyAlignment="1">
      <alignment vertical="center"/>
    </xf>
    <xf numFmtId="2" fontId="44" fillId="28" borderId="10" xfId="41" applyNumberFormat="1" applyFont="1" applyFill="1" applyBorder="1" applyAlignment="1">
      <alignment horizontal="center" vertical="center"/>
    </xf>
    <xf numFmtId="0" fontId="46" fillId="0" borderId="0" xfId="120" applyFont="1" applyFill="1" applyAlignment="1">
      <alignment horizontal="centerContinuous"/>
    </xf>
    <xf numFmtId="0" fontId="104" fillId="0" borderId="0" xfId="120" applyFont="1" applyFill="1"/>
    <xf numFmtId="0" fontId="47" fillId="0" borderId="0" xfId="120" applyFont="1" applyFill="1" applyAlignment="1">
      <alignment horizontal="centerContinuous"/>
    </xf>
    <xf numFmtId="0" fontId="20" fillId="0" borderId="10" xfId="0" applyFont="1" applyBorder="1" applyAlignment="1">
      <alignment vertical="center" wrapText="1"/>
    </xf>
    <xf numFmtId="2" fontId="20" fillId="0" borderId="10" xfId="0" applyNumberFormat="1" applyFont="1" applyBorder="1" applyAlignment="1">
      <alignment horizontal="right" vertical="center" wrapText="1"/>
    </xf>
    <xf numFmtId="9" fontId="20" fillId="0" borderId="10" xfId="0" applyNumberFormat="1" applyFont="1" applyBorder="1" applyAlignment="1">
      <alignment horizontal="center" vertical="center" wrapText="1"/>
    </xf>
    <xf numFmtId="0" fontId="21" fillId="0" borderId="10" xfId="0" applyFont="1" applyBorder="1" applyAlignment="1">
      <alignment horizontal="right" vertical="center" wrapText="1"/>
    </xf>
    <xf numFmtId="2" fontId="21" fillId="0" borderId="10" xfId="0" applyNumberFormat="1" applyFont="1" applyBorder="1" applyAlignment="1">
      <alignment horizontal="right" vertical="center" wrapText="1"/>
    </xf>
    <xf numFmtId="0" fontId="163" fillId="0" borderId="10" xfId="0" applyFont="1" applyBorder="1" applyAlignment="1">
      <alignment vertical="center" wrapText="1"/>
    </xf>
    <xf numFmtId="4" fontId="20" fillId="0" borderId="10" xfId="37" applyNumberFormat="1" applyFont="1" applyBorder="1" applyAlignment="1">
      <alignment horizontal="right" vertical="center" wrapText="1"/>
    </xf>
    <xf numFmtId="2" fontId="20" fillId="0" borderId="10" xfId="37" applyNumberFormat="1" applyFont="1" applyBorder="1" applyAlignment="1">
      <alignment horizontal="right" vertical="center" wrapText="1"/>
    </xf>
    <xf numFmtId="0" fontId="21" fillId="0" borderId="10" xfId="0" applyFont="1" applyBorder="1" applyAlignment="1">
      <alignment horizontal="center" wrapText="1"/>
    </xf>
    <xf numFmtId="0" fontId="21" fillId="35" borderId="10" xfId="0" applyFont="1" applyFill="1" applyBorder="1" applyAlignment="1">
      <alignment horizontal="center" wrapText="1"/>
    </xf>
    <xf numFmtId="2" fontId="21" fillId="35" borderId="10" xfId="0" applyNumberFormat="1" applyFont="1" applyFill="1" applyBorder="1" applyAlignment="1">
      <alignment vertical="center"/>
    </xf>
    <xf numFmtId="0" fontId="21" fillId="35" borderId="10" xfId="0" applyFont="1" applyFill="1" applyBorder="1" applyAlignment="1">
      <alignment vertical="center"/>
    </xf>
    <xf numFmtId="0" fontId="0" fillId="0" borderId="0" xfId="0" applyAlignment="1">
      <alignment horizontal="left" vertical="top" wrapText="1" shrinkToFit="1"/>
    </xf>
    <xf numFmtId="0" fontId="44" fillId="0" borderId="0" xfId="0" applyFont="1"/>
    <xf numFmtId="0" fontId="20" fillId="33" borderId="10" xfId="148" applyFont="1" applyFill="1" applyBorder="1" applyAlignment="1">
      <alignment vertical="top"/>
    </xf>
    <xf numFmtId="43" fontId="20" fillId="0" borderId="0" xfId="37"/>
    <xf numFmtId="43" fontId="20" fillId="0" borderId="0" xfId="37" applyFont="1" applyFill="1"/>
    <xf numFmtId="43" fontId="21" fillId="0" borderId="0" xfId="0" applyNumberFormat="1" applyFont="1"/>
    <xf numFmtId="166" fontId="44" fillId="0" borderId="0" xfId="0" applyNumberFormat="1" applyFont="1"/>
    <xf numFmtId="0" fontId="270" fillId="0" borderId="0" xfId="0" applyFont="1" applyAlignment="1">
      <alignment horizontal="center" vertical="center"/>
    </xf>
    <xf numFmtId="1" fontId="0" fillId="0" borderId="0" xfId="0" applyNumberFormat="1" applyAlignment="1">
      <alignment horizontal="center" vertical="center"/>
    </xf>
    <xf numFmtId="1" fontId="20" fillId="0" borderId="0" xfId="92" applyNumberFormat="1" applyAlignment="1">
      <alignment horizontal="center" vertical="center"/>
    </xf>
    <xf numFmtId="1" fontId="21" fillId="0" borderId="0" xfId="0" applyNumberFormat="1" applyFont="1" applyAlignment="1">
      <alignment horizontal="center" vertical="center"/>
    </xf>
    <xf numFmtId="1" fontId="129" fillId="0" borderId="0" xfId="0" applyNumberFormat="1" applyFont="1" applyAlignment="1">
      <alignment horizontal="center" vertical="center"/>
    </xf>
    <xf numFmtId="0" fontId="270" fillId="0" borderId="0" xfId="0" applyFont="1" applyAlignment="1">
      <alignment vertical="center"/>
    </xf>
    <xf numFmtId="0" fontId="21" fillId="0" borderId="10" xfId="0" applyFont="1" applyBorder="1" applyAlignment="1">
      <alignment vertical="center" wrapText="1"/>
    </xf>
    <xf numFmtId="49" fontId="47" fillId="0" borderId="10" xfId="0" applyNumberFormat="1" applyFont="1" applyBorder="1" applyAlignment="1">
      <alignment horizontal="center" vertical="center" wrapText="1"/>
    </xf>
    <xf numFmtId="0" fontId="172" fillId="0" borderId="10" xfId="0" applyFont="1" applyBorder="1" applyAlignment="1">
      <alignment wrapText="1"/>
    </xf>
    <xf numFmtId="9" fontId="34" fillId="0" borderId="128" xfId="92" applyFont="1" applyFill="1" applyBorder="1" applyAlignment="1">
      <alignment horizontal="center"/>
    </xf>
    <xf numFmtId="9" fontId="34" fillId="0" borderId="128" xfId="92" quotePrefix="1" applyFont="1" applyFill="1" applyBorder="1" applyAlignment="1">
      <alignment horizontal="center"/>
    </xf>
    <xf numFmtId="0" fontId="34" fillId="0" borderId="128" xfId="120" quotePrefix="1" applyFont="1" applyFill="1" applyBorder="1" applyAlignment="1">
      <alignment horizontal="center"/>
    </xf>
    <xf numFmtId="0" fontId="20" fillId="0" borderId="10" xfId="0" applyFont="1" applyBorder="1" applyAlignment="1">
      <alignment horizontal="right"/>
    </xf>
    <xf numFmtId="188" fontId="20" fillId="0" borderId="10" xfId="37" applyNumberFormat="1" applyFont="1" applyFill="1" applyBorder="1"/>
    <xf numFmtId="188" fontId="20" fillId="0" borderId="0" xfId="37" applyNumberFormat="1" applyFont="1" applyFill="1"/>
    <xf numFmtId="0" fontId="20" fillId="0" borderId="0" xfId="0" applyFont="1" applyAlignment="1">
      <alignment horizontal="centerContinuous"/>
    </xf>
    <xf numFmtId="0" fontId="20" fillId="0" borderId="10" xfId="0" applyFont="1" applyBorder="1" applyAlignment="1">
      <alignment horizontal="center"/>
    </xf>
    <xf numFmtId="1" fontId="20" fillId="0" borderId="10" xfId="0" applyNumberFormat="1" applyFont="1" applyBorder="1"/>
    <xf numFmtId="4" fontId="20" fillId="32" borderId="0" xfId="0" applyNumberFormat="1" applyFont="1" applyFill="1"/>
    <xf numFmtId="2" fontId="20" fillId="32" borderId="0" xfId="0" applyNumberFormat="1" applyFont="1" applyFill="1"/>
    <xf numFmtId="164" fontId="20" fillId="0" borderId="10" xfId="0" applyNumberFormat="1" applyFont="1" applyBorder="1"/>
    <xf numFmtId="43" fontId="20" fillId="0" borderId="5" xfId="37" applyFont="1" applyFill="1" applyBorder="1"/>
    <xf numFmtId="4" fontId="20" fillId="0" borderId="10" xfId="0" applyNumberFormat="1" applyFont="1" applyBorder="1"/>
    <xf numFmtId="0" fontId="20" fillId="0" borderId="119" xfId="0" applyFont="1" applyBorder="1"/>
    <xf numFmtId="0" fontId="20" fillId="0" borderId="114" xfId="0" applyFont="1" applyBorder="1"/>
    <xf numFmtId="0" fontId="20" fillId="0" borderId="5" xfId="0" applyFont="1" applyBorder="1" applyAlignment="1">
      <alignment horizontal="center"/>
    </xf>
    <xf numFmtId="188" fontId="129" fillId="28" borderId="133" xfId="37" applyNumberFormat="1" applyFont="1" applyFill="1" applyBorder="1"/>
    <xf numFmtId="0" fontId="177" fillId="0" borderId="110" xfId="138" applyFont="1" applyBorder="1" applyAlignment="1">
      <alignment vertical="center" wrapText="1"/>
    </xf>
    <xf numFmtId="43" fontId="20" fillId="0" borderId="0" xfId="37" applyFont="1" applyFill="1" applyBorder="1"/>
    <xf numFmtId="0" fontId="177" fillId="0" borderId="110" xfId="138" applyFont="1" applyBorder="1" applyAlignment="1">
      <alignment horizontal="center" vertical="center" wrapText="1"/>
    </xf>
    <xf numFmtId="0" fontId="176" fillId="36" borderId="110" xfId="138" applyFont="1" applyFill="1" applyBorder="1" applyAlignment="1">
      <alignment horizontal="center" vertical="center" wrapText="1"/>
    </xf>
    <xf numFmtId="43" fontId="1" fillId="0" borderId="10" xfId="37" applyFont="1" applyBorder="1"/>
    <xf numFmtId="0" fontId="177" fillId="0" borderId="117" xfId="148" applyFont="1" applyBorder="1" applyAlignment="1">
      <alignment horizontal="center" vertical="center" wrapText="1"/>
    </xf>
    <xf numFmtId="0" fontId="177" fillId="0" borderId="117" xfId="148" applyFont="1" applyBorder="1" applyAlignment="1">
      <alignment horizontal="left" vertical="center" wrapText="1"/>
    </xf>
    <xf numFmtId="0" fontId="129" fillId="28" borderId="117" xfId="148" applyFont="1" applyFill="1" applyBorder="1" applyAlignment="1">
      <alignment vertical="center" wrapText="1"/>
    </xf>
    <xf numFmtId="0" fontId="129" fillId="28" borderId="118" xfId="148" applyFont="1" applyFill="1" applyBorder="1" applyAlignment="1">
      <alignment vertical="center" wrapText="1"/>
    </xf>
    <xf numFmtId="0" fontId="130" fillId="28" borderId="115" xfId="148" applyFont="1" applyFill="1" applyBorder="1"/>
    <xf numFmtId="0" fontId="130" fillId="28" borderId="115" xfId="148" applyFont="1" applyFill="1" applyBorder="1" applyAlignment="1">
      <alignment horizontal="center"/>
    </xf>
    <xf numFmtId="0" fontId="20" fillId="28" borderId="116" xfId="148" applyFont="1" applyFill="1" applyBorder="1" applyAlignment="1">
      <alignment vertical="top"/>
    </xf>
    <xf numFmtId="164" fontId="129" fillId="28" borderId="117" xfId="148" applyNumberFormat="1" applyFont="1" applyFill="1" applyBorder="1"/>
    <xf numFmtId="0" fontId="129" fillId="28" borderId="118" xfId="148" applyFont="1" applyFill="1" applyBorder="1"/>
    <xf numFmtId="0" fontId="130" fillId="33" borderId="115" xfId="148" applyFont="1" applyFill="1" applyBorder="1" applyAlignment="1">
      <alignment horizontal="center"/>
    </xf>
    <xf numFmtId="0" fontId="129" fillId="28" borderId="116" xfId="148" applyFont="1" applyFill="1" applyBorder="1"/>
    <xf numFmtId="164" fontId="129" fillId="28" borderId="118" xfId="148" applyNumberFormat="1" applyFont="1" applyFill="1" applyBorder="1"/>
    <xf numFmtId="1" fontId="20" fillId="0" borderId="26" xfId="0" applyNumberFormat="1" applyFont="1" applyBorder="1"/>
    <xf numFmtId="0" fontId="47" fillId="0" borderId="111" xfId="0" applyFont="1" applyBorder="1" applyAlignment="1">
      <alignment vertical="center"/>
    </xf>
    <xf numFmtId="0" fontId="119" fillId="28" borderId="110" xfId="0" applyFont="1" applyFill="1" applyBorder="1" applyAlignment="1">
      <alignment vertical="center" wrapText="1"/>
    </xf>
    <xf numFmtId="0" fontId="122" fillId="51" borderId="110" xfId="0" applyFont="1" applyFill="1" applyBorder="1" applyAlignment="1">
      <alignment horizontal="right" vertical="center" wrapText="1"/>
    </xf>
    <xf numFmtId="166" fontId="122" fillId="28" borderId="110" xfId="0" applyNumberFormat="1" applyFont="1" applyFill="1" applyBorder="1" applyAlignment="1">
      <alignment vertical="center" wrapText="1"/>
    </xf>
    <xf numFmtId="185" fontId="122" fillId="28" borderId="110" xfId="0" applyNumberFormat="1" applyFont="1" applyFill="1" applyBorder="1" applyAlignment="1">
      <alignment horizontal="right" vertical="center" wrapText="1"/>
    </xf>
    <xf numFmtId="171" fontId="123" fillId="28" borderId="110" xfId="0" applyNumberFormat="1" applyFont="1" applyFill="1" applyBorder="1" applyAlignment="1">
      <alignment horizontal="right" vertical="center"/>
    </xf>
    <xf numFmtId="0" fontId="120" fillId="28" borderId="110" xfId="0" applyFont="1" applyFill="1" applyBorder="1" applyAlignment="1">
      <alignment vertical="center" wrapText="1"/>
    </xf>
    <xf numFmtId="0" fontId="123" fillId="51" borderId="110" xfId="0" applyFont="1" applyFill="1" applyBorder="1" applyAlignment="1">
      <alignment horizontal="right" vertical="center"/>
    </xf>
    <xf numFmtId="2" fontId="123" fillId="28" borderId="110" xfId="0" applyNumberFormat="1" applyFont="1" applyFill="1" applyBorder="1" applyAlignment="1">
      <alignment vertical="center"/>
    </xf>
    <xf numFmtId="171" fontId="122" fillId="28" borderId="110" xfId="0" applyNumberFormat="1" applyFont="1" applyFill="1" applyBorder="1" applyAlignment="1">
      <alignment horizontal="right" vertical="center" wrapText="1"/>
    </xf>
    <xf numFmtId="0" fontId="123" fillId="28" borderId="110" xfId="0" applyFont="1" applyFill="1" applyBorder="1" applyAlignment="1">
      <alignment horizontal="right" vertical="center"/>
    </xf>
    <xf numFmtId="0" fontId="124" fillId="28" borderId="110" xfId="0" applyFont="1" applyFill="1" applyBorder="1" applyAlignment="1">
      <alignment horizontal="right" vertical="center"/>
    </xf>
    <xf numFmtId="2" fontId="124" fillId="28" borderId="110" xfId="0" applyNumberFormat="1" applyFont="1" applyFill="1" applyBorder="1" applyAlignment="1">
      <alignment vertical="center"/>
    </xf>
    <xf numFmtId="10" fontId="122" fillId="51" borderId="110" xfId="92" applyNumberFormat="1" applyFont="1" applyFill="1" applyBorder="1" applyAlignment="1">
      <alignment horizontal="right" vertical="center"/>
    </xf>
    <xf numFmtId="10" fontId="122" fillId="28" borderId="110" xfId="92" applyNumberFormat="1" applyFont="1" applyFill="1" applyBorder="1" applyAlignment="1">
      <alignment vertical="center"/>
    </xf>
    <xf numFmtId="2" fontId="122" fillId="51" borderId="110" xfId="0" applyNumberFormat="1" applyFont="1" applyFill="1" applyBorder="1" applyAlignment="1">
      <alignment vertical="center"/>
    </xf>
    <xf numFmtId="2" fontId="123" fillId="51" borderId="110" xfId="0" applyNumberFormat="1" applyFont="1" applyFill="1" applyBorder="1" applyAlignment="1">
      <alignment horizontal="right" vertical="center"/>
    </xf>
    <xf numFmtId="0" fontId="119" fillId="28" borderId="110" xfId="0" applyFont="1" applyFill="1" applyBorder="1" applyAlignment="1">
      <alignment vertical="center"/>
    </xf>
    <xf numFmtId="171" fontId="124" fillId="28" borderId="110" xfId="0" applyNumberFormat="1" applyFont="1" applyFill="1" applyBorder="1" applyAlignment="1">
      <alignment vertical="center"/>
    </xf>
    <xf numFmtId="0" fontId="29" fillId="0" borderId="10" xfId="0" applyFont="1" applyBorder="1"/>
    <xf numFmtId="0" fontId="20" fillId="0" borderId="0" xfId="87" applyFont="1" applyFill="1"/>
    <xf numFmtId="0" fontId="1" fillId="0" borderId="10" xfId="158" applyFont="1" applyBorder="1" applyAlignment="1">
      <alignment horizontal="center"/>
    </xf>
    <xf numFmtId="43" fontId="1" fillId="0" borderId="10" xfId="37" applyFont="1" applyBorder="1" applyAlignment="1">
      <alignment horizontal="right"/>
    </xf>
    <xf numFmtId="166" fontId="20" fillId="0" borderId="114" xfId="0" applyNumberFormat="1" applyFont="1" applyBorder="1" applyAlignment="1">
      <alignment horizontal="center"/>
    </xf>
    <xf numFmtId="0" fontId="20" fillId="0" borderId="114" xfId="0" applyFont="1" applyBorder="1" applyAlignment="1">
      <alignment horizontal="center"/>
    </xf>
    <xf numFmtId="166" fontId="20" fillId="0" borderId="114" xfId="0" applyNumberFormat="1" applyFont="1" applyBorder="1"/>
    <xf numFmtId="1" fontId="20" fillId="0" borderId="114" xfId="0" applyNumberFormat="1" applyFont="1" applyBorder="1"/>
    <xf numFmtId="191" fontId="1" fillId="0" borderId="0" xfId="174" applyNumberFormat="1" applyFont="1" applyFill="1"/>
    <xf numFmtId="188" fontId="1" fillId="0" borderId="0" xfId="37" applyNumberFormat="1" applyFont="1"/>
    <xf numFmtId="10" fontId="1" fillId="0" borderId="0" xfId="92" applyNumberFormat="1" applyFont="1"/>
    <xf numFmtId="188" fontId="1" fillId="27" borderId="0" xfId="37" applyNumberFormat="1" applyFont="1" applyFill="1"/>
    <xf numFmtId="0" fontId="1" fillId="0" borderId="0" xfId="173" applyFont="1"/>
    <xf numFmtId="10" fontId="1" fillId="0" borderId="0" xfId="176" applyNumberFormat="1" applyFont="1" applyFill="1"/>
    <xf numFmtId="191" fontId="1" fillId="27" borderId="0" xfId="174" applyNumberFormat="1" applyFont="1" applyFill="1"/>
    <xf numFmtId="0" fontId="1" fillId="0" borderId="0" xfId="173" applyFont="1" applyAlignment="1">
      <alignment horizontal="left"/>
    </xf>
    <xf numFmtId="0" fontId="20" fillId="0" borderId="121" xfId="0" applyFont="1" applyBorder="1"/>
    <xf numFmtId="2" fontId="20" fillId="0" borderId="121" xfId="0" applyNumberFormat="1" applyFont="1" applyBorder="1"/>
    <xf numFmtId="0" fontId="20" fillId="0" borderId="109" xfId="0" applyFont="1" applyBorder="1"/>
    <xf numFmtId="0" fontId="20" fillId="0" borderId="110" xfId="0" applyFont="1" applyBorder="1"/>
    <xf numFmtId="0" fontId="0" fillId="0" borderId="109" xfId="0" applyBorder="1" applyAlignment="1">
      <alignment vertical="center"/>
    </xf>
    <xf numFmtId="0" fontId="0" fillId="0" borderId="133" xfId="0" applyBorder="1" applyAlignment="1">
      <alignment horizontal="center"/>
    </xf>
    <xf numFmtId="0" fontId="0" fillId="0" borderId="133" xfId="0" applyBorder="1"/>
    <xf numFmtId="0" fontId="21" fillId="0" borderId="133" xfId="0" applyFont="1" applyBorder="1"/>
    <xf numFmtId="0" fontId="68" fillId="0" borderId="10" xfId="0" applyFont="1" applyBorder="1" applyAlignment="1">
      <alignment horizontal="center" vertical="center" wrapText="1"/>
    </xf>
    <xf numFmtId="0" fontId="69" fillId="0" borderId="0" xfId="0" applyFont="1" applyAlignment="1">
      <alignment horizontal="center" vertical="center" wrapText="1"/>
    </xf>
    <xf numFmtId="0" fontId="27" fillId="0" borderId="0" xfId="120" applyFont="1" applyFill="1" applyAlignment="1">
      <alignment horizontal="center" vertical="center"/>
    </xf>
    <xf numFmtId="0" fontId="110" fillId="0" borderId="10" xfId="120" applyFont="1" applyFill="1" applyBorder="1" applyAlignment="1">
      <alignment horizontal="center" vertical="center" wrapText="1"/>
    </xf>
    <xf numFmtId="0" fontId="29" fillId="0" borderId="10" xfId="120" applyFont="1" applyFill="1" applyBorder="1" applyAlignment="1">
      <alignment horizontal="center" vertical="center"/>
    </xf>
    <xf numFmtId="0" fontId="31" fillId="0" borderId="31" xfId="120" applyFont="1" applyFill="1" applyBorder="1" applyAlignment="1">
      <alignment horizontal="center" vertical="center"/>
    </xf>
    <xf numFmtId="0" fontId="31" fillId="0" borderId="25" xfId="120" applyFont="1" applyFill="1" applyBorder="1" applyAlignment="1">
      <alignment horizontal="center" vertical="center"/>
    </xf>
    <xf numFmtId="0" fontId="30" fillId="0" borderId="10" xfId="120" applyFont="1" applyFill="1" applyBorder="1" applyAlignment="1">
      <alignment horizontal="center" vertical="center" wrapText="1"/>
    </xf>
    <xf numFmtId="0" fontId="33" fillId="0" borderId="10" xfId="120" applyFill="1" applyBorder="1" applyAlignment="1">
      <alignment horizontal="center" vertical="center"/>
    </xf>
    <xf numFmtId="0" fontId="31" fillId="0" borderId="10" xfId="120" applyFont="1" applyFill="1" applyBorder="1" applyAlignment="1">
      <alignment horizontal="center" vertical="center" wrapText="1"/>
    </xf>
    <xf numFmtId="1" fontId="31" fillId="0" borderId="10" xfId="120" applyNumberFormat="1" applyFont="1" applyFill="1" applyBorder="1" applyAlignment="1">
      <alignment horizontal="center" vertical="center" wrapText="1"/>
    </xf>
    <xf numFmtId="2" fontId="31" fillId="0" borderId="31" xfId="120" applyNumberFormat="1" applyFont="1" applyFill="1" applyBorder="1" applyAlignment="1">
      <alignment horizontal="center" vertical="center"/>
    </xf>
    <xf numFmtId="2" fontId="31" fillId="0" borderId="25" xfId="120" applyNumberFormat="1" applyFont="1" applyFill="1" applyBorder="1" applyAlignment="1">
      <alignment horizontal="center" vertical="center"/>
    </xf>
    <xf numFmtId="0" fontId="30" fillId="0" borderId="0" xfId="120" applyFont="1" applyFill="1" applyAlignment="1">
      <alignment horizontal="center" vertical="center"/>
    </xf>
    <xf numFmtId="0" fontId="30" fillId="0" borderId="16" xfId="120" applyFont="1" applyFill="1" applyBorder="1" applyAlignment="1">
      <alignment horizontal="center" vertical="center"/>
    </xf>
    <xf numFmtId="0" fontId="30" fillId="0" borderId="6" xfId="120" applyFont="1" applyFill="1" applyBorder="1" applyAlignment="1">
      <alignment horizontal="center" vertical="center" wrapText="1"/>
    </xf>
    <xf numFmtId="0" fontId="30" fillId="0" borderId="25" xfId="120" applyFont="1" applyFill="1" applyBorder="1" applyAlignment="1">
      <alignment horizontal="center" vertical="center" wrapText="1"/>
    </xf>
    <xf numFmtId="0" fontId="23" fillId="0" borderId="0" xfId="120" applyFont="1" applyFill="1" applyAlignment="1">
      <alignment horizontal="center" vertical="center"/>
    </xf>
    <xf numFmtId="0" fontId="33" fillId="0" borderId="0" xfId="120" applyFill="1" applyAlignment="1">
      <alignment horizontal="center" vertical="center"/>
    </xf>
    <xf numFmtId="0" fontId="44" fillId="0" borderId="10" xfId="120" applyFont="1" applyFill="1" applyBorder="1" applyAlignment="1">
      <alignment horizontal="center" vertical="center"/>
    </xf>
    <xf numFmtId="166" fontId="44" fillId="0" borderId="10" xfId="41" applyNumberFormat="1" applyFont="1" applyFill="1" applyBorder="1" applyAlignment="1">
      <alignment horizontal="center" vertical="center" wrapText="1"/>
    </xf>
    <xf numFmtId="166" fontId="44" fillId="0" borderId="10" xfId="120" applyNumberFormat="1" applyFont="1" applyFill="1" applyBorder="1" applyAlignment="1">
      <alignment horizontal="center" vertical="center" wrapText="1"/>
    </xf>
    <xf numFmtId="166" fontId="44" fillId="0" borderId="10" xfId="41" applyNumberFormat="1" applyFont="1" applyBorder="1" applyAlignment="1">
      <alignment horizontal="center" vertical="center" wrapText="1"/>
    </xf>
    <xf numFmtId="0" fontId="32" fillId="0" borderId="0" xfId="120" applyFont="1" applyFill="1" applyAlignment="1">
      <alignment horizontal="center" vertical="center"/>
    </xf>
    <xf numFmtId="0" fontId="23" fillId="0" borderId="43" xfId="120" applyFont="1" applyFill="1" applyBorder="1" applyAlignment="1">
      <alignment horizontal="center" vertical="center" wrapText="1"/>
    </xf>
    <xf numFmtId="0" fontId="23" fillId="0" borderId="99" xfId="120" applyFont="1" applyFill="1" applyBorder="1" applyAlignment="1">
      <alignment horizontal="center" vertical="center" wrapText="1"/>
    </xf>
    <xf numFmtId="0" fontId="22" fillId="0" borderId="10" xfId="120" applyFont="1" applyFill="1" applyBorder="1" applyAlignment="1">
      <alignment horizontal="center" vertical="center"/>
    </xf>
    <xf numFmtId="186" fontId="44" fillId="0" borderId="10" xfId="41" applyNumberFormat="1" applyFont="1" applyFill="1" applyBorder="1" applyAlignment="1">
      <alignment horizontal="center" vertical="center" wrapText="1"/>
    </xf>
    <xf numFmtId="43" fontId="44" fillId="0" borderId="10" xfId="41" applyNumberFormat="1" applyFont="1" applyBorder="1" applyAlignment="1">
      <alignment horizontal="center" vertical="center" wrapText="1"/>
    </xf>
    <xf numFmtId="0" fontId="22" fillId="0" borderId="10" xfId="120" applyFont="1" applyFill="1" applyBorder="1" applyAlignment="1">
      <alignment horizontal="center"/>
    </xf>
    <xf numFmtId="0" fontId="30" fillId="0" borderId="10" xfId="120" applyFont="1" applyFill="1" applyBorder="1" applyAlignment="1">
      <alignment horizontal="center"/>
    </xf>
    <xf numFmtId="0" fontId="30" fillId="0" borderId="0" xfId="120" applyFont="1" applyFill="1" applyAlignment="1">
      <alignment horizontal="center"/>
    </xf>
    <xf numFmtId="0" fontId="51" fillId="0" borderId="0" xfId="120" applyFont="1" applyFill="1" applyAlignment="1">
      <alignment horizontal="left" vertical="center"/>
    </xf>
    <xf numFmtId="0" fontId="51" fillId="0" borderId="0" xfId="120" applyFont="1" applyFill="1" applyAlignment="1">
      <alignment horizontal="left"/>
    </xf>
    <xf numFmtId="0" fontId="26" fillId="0" borderId="0" xfId="120" applyFont="1" applyFill="1" applyAlignment="1">
      <alignment horizontal="left"/>
    </xf>
    <xf numFmtId="0" fontId="26" fillId="0" borderId="0" xfId="120" applyFont="1" applyFill="1" applyAlignment="1">
      <alignment horizontal="center"/>
    </xf>
    <xf numFmtId="0" fontId="33" fillId="0" borderId="0" xfId="120" applyFill="1" applyAlignment="1">
      <alignment horizontal="center"/>
    </xf>
    <xf numFmtId="2" fontId="0" fillId="0" borderId="111" xfId="0" applyNumberFormat="1" applyBorder="1" applyAlignment="1">
      <alignment horizontal="center" vertical="center"/>
    </xf>
    <xf numFmtId="0" fontId="0" fillId="0" borderId="111" xfId="0" applyBorder="1" applyAlignment="1">
      <alignment horizontal="center" vertical="center"/>
    </xf>
    <xf numFmtId="0" fontId="22" fillId="0" borderId="0" xfId="0" applyFont="1" applyAlignment="1">
      <alignment horizontal="center" vertical="center"/>
    </xf>
    <xf numFmtId="0" fontId="265" fillId="0" borderId="10" xfId="0" applyFont="1" applyBorder="1" applyAlignment="1">
      <alignment horizontal="center"/>
    </xf>
    <xf numFmtId="0" fontId="231" fillId="0" borderId="0" xfId="0" applyFont="1" applyAlignment="1">
      <alignment horizontal="center" vertical="center"/>
    </xf>
    <xf numFmtId="0" fontId="265" fillId="0" borderId="10" xfId="0" applyFont="1" applyBorder="1" applyAlignment="1">
      <alignment horizontal="center" vertical="center"/>
    </xf>
    <xf numFmtId="0" fontId="21" fillId="0" borderId="10" xfId="0" applyFont="1" applyBorder="1" applyAlignment="1">
      <alignment horizontal="center"/>
    </xf>
    <xf numFmtId="0" fontId="21" fillId="0" borderId="121" xfId="0" applyFont="1" applyBorder="1" applyAlignment="1">
      <alignment horizontal="center"/>
    </xf>
    <xf numFmtId="0" fontId="174" fillId="0" borderId="10" xfId="138" applyFont="1" applyBorder="1" applyAlignment="1">
      <alignment horizontal="center" vertical="center" wrapText="1"/>
    </xf>
    <xf numFmtId="0" fontId="174" fillId="0" borderId="10" xfId="138" applyFont="1" applyBorder="1" applyAlignment="1">
      <alignment horizontal="center" vertical="center"/>
    </xf>
    <xf numFmtId="0" fontId="170" fillId="0" borderId="10" xfId="138" applyFont="1" applyBorder="1" applyAlignment="1">
      <alignment horizontal="center" vertical="center" wrapText="1"/>
    </xf>
    <xf numFmtId="0" fontId="171" fillId="34" borderId="10" xfId="138" applyFont="1" applyFill="1" applyBorder="1" applyAlignment="1">
      <alignment horizontal="center" vertical="center"/>
    </xf>
    <xf numFmtId="0" fontId="179" fillId="40" borderId="43" xfId="138" applyFont="1" applyFill="1" applyBorder="1" applyAlignment="1">
      <alignment horizontal="center" vertical="center" wrapText="1"/>
    </xf>
    <xf numFmtId="0" fontId="179" fillId="40" borderId="99" xfId="138" applyFont="1" applyFill="1" applyBorder="1" applyAlignment="1">
      <alignment horizontal="center" vertical="center" wrapText="1"/>
    </xf>
    <xf numFmtId="0" fontId="170" fillId="0" borderId="10" xfId="138" applyFont="1" applyBorder="1" applyAlignment="1">
      <alignment horizontal="center" vertical="center"/>
    </xf>
    <xf numFmtId="0" fontId="179" fillId="40" borderId="10" xfId="138" applyFont="1" applyFill="1" applyBorder="1" applyAlignment="1">
      <alignment horizontal="center" vertical="center" wrapText="1"/>
    </xf>
    <xf numFmtId="0" fontId="178" fillId="40" borderId="10" xfId="138" applyFont="1" applyFill="1" applyBorder="1" applyAlignment="1">
      <alignment horizontal="center" vertical="center" wrapText="1"/>
    </xf>
    <xf numFmtId="0" fontId="177" fillId="0" borderId="10" xfId="138" applyFont="1" applyBorder="1" applyAlignment="1">
      <alignment horizontal="center" vertical="center" wrapText="1"/>
    </xf>
    <xf numFmtId="0" fontId="129" fillId="27" borderId="10" xfId="138" applyFont="1" applyFill="1" applyBorder="1" applyAlignment="1">
      <alignment horizontal="center" wrapText="1"/>
    </xf>
    <xf numFmtId="0" fontId="176" fillId="33" borderId="115" xfId="138" applyFont="1" applyFill="1" applyBorder="1" applyAlignment="1">
      <alignment horizontal="center" vertical="center" wrapText="1"/>
    </xf>
    <xf numFmtId="0" fontId="176" fillId="33" borderId="80" xfId="138" applyFont="1" applyFill="1" applyBorder="1" applyAlignment="1">
      <alignment horizontal="center" vertical="center" wrapText="1"/>
    </xf>
    <xf numFmtId="0" fontId="129" fillId="27" borderId="10" xfId="138" applyFont="1" applyFill="1" applyBorder="1" applyAlignment="1">
      <alignment horizontal="center"/>
    </xf>
    <xf numFmtId="0" fontId="176" fillId="28" borderId="0" xfId="138" applyFont="1" applyFill="1" applyAlignment="1">
      <alignment horizontal="center" vertical="center" wrapText="1"/>
    </xf>
    <xf numFmtId="43" fontId="129" fillId="27" borderId="10" xfId="37" applyFont="1" applyFill="1" applyBorder="1" applyAlignment="1">
      <alignment horizontal="center" wrapText="1"/>
    </xf>
    <xf numFmtId="0" fontId="176" fillId="33" borderId="108" xfId="138" applyFont="1" applyFill="1" applyBorder="1" applyAlignment="1">
      <alignment horizontal="center" vertical="center"/>
    </xf>
    <xf numFmtId="0" fontId="177" fillId="0" borderId="10" xfId="138" applyFont="1" applyBorder="1" applyAlignment="1">
      <alignment horizontal="center" vertical="center"/>
    </xf>
    <xf numFmtId="0" fontId="176" fillId="28" borderId="0" xfId="138" applyFont="1" applyFill="1" applyAlignment="1">
      <alignment horizontal="center" vertical="center"/>
    </xf>
    <xf numFmtId="0" fontId="176" fillId="33" borderId="10" xfId="138" applyFont="1" applyFill="1" applyBorder="1" applyAlignment="1">
      <alignment horizontal="center" vertical="center" wrapText="1"/>
    </xf>
    <xf numFmtId="0" fontId="236" fillId="27" borderId="10" xfId="171" applyFont="1" applyFill="1" applyBorder="1" applyAlignment="1">
      <alignment horizontal="center" vertical="center" wrapText="1"/>
    </xf>
    <xf numFmtId="0" fontId="220" fillId="0" borderId="34" xfId="171" applyFont="1" applyBorder="1" applyAlignment="1">
      <alignment horizontal="center"/>
    </xf>
    <xf numFmtId="0" fontId="220" fillId="0" borderId="35" xfId="171" applyFont="1" applyBorder="1" applyAlignment="1">
      <alignment horizontal="center"/>
    </xf>
    <xf numFmtId="0" fontId="237" fillId="0" borderId="10" xfId="171" applyFont="1" applyBorder="1" applyAlignment="1">
      <alignment horizontal="center" vertical="center" wrapText="1"/>
    </xf>
    <xf numFmtId="0" fontId="236" fillId="41" borderId="10" xfId="171" applyFont="1" applyFill="1" applyBorder="1" applyAlignment="1">
      <alignment horizontal="center" vertical="center" wrapText="1"/>
    </xf>
    <xf numFmtId="0" fontId="220" fillId="0" borderId="10" xfId="171" applyFont="1" applyBorder="1" applyAlignment="1">
      <alignment horizontal="center"/>
    </xf>
    <xf numFmtId="0" fontId="220" fillId="0" borderId="31" xfId="171" applyFont="1" applyBorder="1" applyAlignment="1">
      <alignment horizontal="center"/>
    </xf>
    <xf numFmtId="0" fontId="220" fillId="0" borderId="25" xfId="171" applyFont="1" applyBorder="1" applyAlignment="1">
      <alignment horizontal="center"/>
    </xf>
    <xf numFmtId="0" fontId="220" fillId="0" borderId="143" xfId="171" applyFont="1" applyBorder="1" applyAlignment="1">
      <alignment horizontal="center"/>
    </xf>
    <xf numFmtId="0" fontId="220" fillId="0" borderId="140" xfId="171" applyFont="1" applyBorder="1" applyAlignment="1">
      <alignment horizontal="center"/>
    </xf>
    <xf numFmtId="0" fontId="220" fillId="0" borderId="144" xfId="171" applyFont="1" applyBorder="1" applyAlignment="1">
      <alignment horizontal="center"/>
    </xf>
    <xf numFmtId="0" fontId="220" fillId="0" borderId="145" xfId="171" applyFont="1" applyBorder="1" applyAlignment="1">
      <alignment horizontal="center"/>
    </xf>
    <xf numFmtId="0" fontId="220" fillId="0" borderId="82" xfId="171" applyFont="1" applyBorder="1" applyAlignment="1">
      <alignment horizontal="center"/>
    </xf>
    <xf numFmtId="0" fontId="237" fillId="0" borderId="43" xfId="171" applyFont="1" applyBorder="1" applyAlignment="1">
      <alignment horizontal="center" vertical="center" wrapText="1"/>
    </xf>
    <xf numFmtId="0" fontId="237" fillId="0" borderId="99" xfId="171" applyFont="1" applyBorder="1" applyAlignment="1">
      <alignment horizontal="center" vertical="center" wrapText="1"/>
    </xf>
    <xf numFmtId="0" fontId="220" fillId="0" borderId="123" xfId="171" applyFont="1" applyBorder="1" applyAlignment="1">
      <alignment horizontal="center"/>
    </xf>
    <xf numFmtId="0" fontId="220" fillId="0" borderId="146" xfId="171" applyFont="1" applyBorder="1" applyAlignment="1">
      <alignment horizontal="center"/>
    </xf>
    <xf numFmtId="0" fontId="220" fillId="0" borderId="26" xfId="171" applyFont="1" applyBorder="1" applyAlignment="1">
      <alignment horizontal="center"/>
    </xf>
    <xf numFmtId="0" fontId="220" fillId="0" borderId="27" xfId="171" applyFont="1" applyBorder="1" applyAlignment="1">
      <alignment horizontal="center"/>
    </xf>
    <xf numFmtId="0" fontId="220" fillId="0" borderId="5" xfId="171" applyFont="1" applyBorder="1" applyAlignment="1">
      <alignment horizontal="center"/>
    </xf>
    <xf numFmtId="0" fontId="220" fillId="0" borderId="33" xfId="171" applyFont="1" applyBorder="1" applyAlignment="1">
      <alignment horizontal="center"/>
    </xf>
    <xf numFmtId="0" fontId="220" fillId="0" borderId="108" xfId="171" applyFont="1" applyBorder="1" applyAlignment="1">
      <alignment horizontal="center"/>
    </xf>
    <xf numFmtId="0" fontId="220" fillId="0" borderId="99" xfId="171" applyFont="1" applyBorder="1" applyAlignment="1">
      <alignment horizontal="center"/>
    </xf>
    <xf numFmtId="0" fontId="220" fillId="0" borderId="70" xfId="171" applyFont="1" applyBorder="1" applyAlignment="1">
      <alignment horizontal="center"/>
    </xf>
    <xf numFmtId="0" fontId="220" fillId="0" borderId="113" xfId="171" applyFont="1" applyBorder="1" applyAlignment="1">
      <alignment horizontal="center"/>
    </xf>
    <xf numFmtId="0" fontId="237" fillId="28" borderId="10" xfId="171" applyFont="1" applyFill="1" applyBorder="1" applyAlignment="1">
      <alignment horizontal="center" vertical="center" wrapText="1"/>
    </xf>
    <xf numFmtId="0" fontId="236" fillId="28" borderId="10" xfId="171" applyFont="1" applyFill="1" applyBorder="1" applyAlignment="1">
      <alignment horizontal="center" vertical="center" wrapText="1"/>
    </xf>
    <xf numFmtId="0" fontId="223" fillId="0" borderId="147" xfId="171" applyFont="1" applyBorder="1" applyAlignment="1">
      <alignment horizontal="center"/>
    </xf>
    <xf numFmtId="0" fontId="223" fillId="0" borderId="146" xfId="171" applyFont="1" applyBorder="1" applyAlignment="1">
      <alignment horizontal="center"/>
    </xf>
    <xf numFmtId="0" fontId="176" fillId="33" borderId="115" xfId="148" applyFont="1" applyFill="1" applyBorder="1" applyAlignment="1">
      <alignment horizontal="center" vertical="center" wrapText="1"/>
    </xf>
    <xf numFmtId="0" fontId="176" fillId="33" borderId="80" xfId="148" applyFont="1" applyFill="1" applyBorder="1" applyAlignment="1">
      <alignment horizontal="center" vertical="center" wrapText="1"/>
    </xf>
    <xf numFmtId="0" fontId="177" fillId="0" borderId="26" xfId="148" applyFont="1" applyBorder="1" applyAlignment="1">
      <alignment horizontal="center" vertical="center" wrapText="1"/>
    </xf>
    <xf numFmtId="0" fontId="177" fillId="0" borderId="10" xfId="148" applyFont="1" applyBorder="1" applyAlignment="1">
      <alignment horizontal="center" vertical="center"/>
    </xf>
    <xf numFmtId="0" fontId="177" fillId="0" borderId="10" xfId="148" applyFont="1" applyBorder="1" applyAlignment="1">
      <alignment horizontal="center" vertical="center" wrapText="1"/>
    </xf>
    <xf numFmtId="0" fontId="176" fillId="39" borderId="28" xfId="148" applyFont="1" applyFill="1" applyBorder="1" applyAlignment="1">
      <alignment horizontal="center" vertical="center"/>
    </xf>
    <xf numFmtId="0" fontId="176" fillId="39" borderId="29" xfId="148" applyFont="1" applyFill="1" applyBorder="1" applyAlignment="1">
      <alignment horizontal="center" vertical="center"/>
    </xf>
    <xf numFmtId="0" fontId="177" fillId="0" borderId="116" xfId="148" applyFont="1" applyBorder="1" applyAlignment="1">
      <alignment horizontal="center" vertical="center"/>
    </xf>
    <xf numFmtId="0" fontId="177" fillId="0" borderId="112" xfId="148" applyFont="1" applyBorder="1" applyAlignment="1">
      <alignment horizontal="center" vertical="center"/>
    </xf>
    <xf numFmtId="0" fontId="177" fillId="0" borderId="26" xfId="148" applyFont="1" applyBorder="1" applyAlignment="1">
      <alignment horizontal="center" vertical="center"/>
    </xf>
    <xf numFmtId="0" fontId="177" fillId="0" borderId="117" xfId="148" applyFont="1" applyBorder="1" applyAlignment="1">
      <alignment horizontal="center" vertical="center" wrapText="1"/>
    </xf>
    <xf numFmtId="0" fontId="177" fillId="0" borderId="99" xfId="148" applyFont="1" applyBorder="1" applyAlignment="1">
      <alignment horizontal="center" vertical="center" wrapText="1"/>
    </xf>
    <xf numFmtId="0" fontId="176" fillId="33" borderId="108" xfId="148" applyFont="1" applyFill="1" applyBorder="1" applyAlignment="1">
      <alignment horizontal="center" vertical="center"/>
    </xf>
    <xf numFmtId="0" fontId="176" fillId="33" borderId="107" xfId="148" applyFont="1" applyFill="1" applyBorder="1" applyAlignment="1">
      <alignment horizontal="center" vertical="center" wrapText="1"/>
    </xf>
    <xf numFmtId="0" fontId="130" fillId="28" borderId="0" xfId="148" applyFont="1" applyFill="1" applyAlignment="1">
      <alignment horizontal="center"/>
    </xf>
    <xf numFmtId="0" fontId="130" fillId="28" borderId="16" xfId="148" applyFont="1" applyFill="1" applyBorder="1" applyAlignment="1">
      <alignment horizontal="right"/>
    </xf>
    <xf numFmtId="0" fontId="196" fillId="45" borderId="109" xfId="0" applyFont="1" applyFill="1" applyBorder="1" applyAlignment="1">
      <alignment horizontal="center" vertical="center"/>
    </xf>
    <xf numFmtId="0" fontId="196" fillId="45" borderId="114" xfId="0" applyFont="1" applyFill="1" applyBorder="1" applyAlignment="1">
      <alignment horizontal="center" vertical="center"/>
    </xf>
    <xf numFmtId="0" fontId="196" fillId="45" borderId="110" xfId="0" applyFont="1" applyFill="1" applyBorder="1" applyAlignment="1">
      <alignment horizontal="center" vertical="center"/>
    </xf>
    <xf numFmtId="0" fontId="196" fillId="45" borderId="17" xfId="0" applyFont="1" applyFill="1" applyBorder="1" applyAlignment="1">
      <alignment horizontal="center" vertical="center" wrapText="1"/>
    </xf>
    <xf numFmtId="0" fontId="196" fillId="45" borderId="109" xfId="0" applyFont="1" applyFill="1" applyBorder="1" applyAlignment="1">
      <alignment horizontal="center" vertical="center" wrapText="1"/>
    </xf>
    <xf numFmtId="0" fontId="21" fillId="32" borderId="117" xfId="0" applyFont="1" applyFill="1" applyBorder="1" applyAlignment="1">
      <alignment horizontal="center"/>
    </xf>
    <xf numFmtId="0" fontId="21" fillId="32" borderId="118" xfId="0" applyFont="1" applyFill="1" applyBorder="1" applyAlignment="1">
      <alignment horizontal="center"/>
    </xf>
    <xf numFmtId="0" fontId="21" fillId="32" borderId="116" xfId="0" applyFont="1" applyFill="1" applyBorder="1" applyAlignment="1">
      <alignment horizontal="center" vertical="center" wrapText="1"/>
    </xf>
    <xf numFmtId="0" fontId="21" fillId="32" borderId="26" xfId="0" applyFont="1" applyFill="1" applyBorder="1" applyAlignment="1">
      <alignment horizontal="center" vertical="center" wrapText="1"/>
    </xf>
    <xf numFmtId="0" fontId="21" fillId="32" borderId="117" xfId="0" applyFont="1" applyFill="1" applyBorder="1" applyAlignment="1">
      <alignment horizontal="center" vertical="center" wrapText="1"/>
    </xf>
    <xf numFmtId="0" fontId="21" fillId="32" borderId="10" xfId="0" applyFont="1" applyFill="1" applyBorder="1" applyAlignment="1">
      <alignment horizontal="center" vertical="center" wrapText="1"/>
    </xf>
    <xf numFmtId="0" fontId="196" fillId="45" borderId="18" xfId="0" applyFont="1" applyFill="1" applyBorder="1" applyAlignment="1">
      <alignment horizontal="center" vertical="center" wrapText="1"/>
    </xf>
    <xf numFmtId="0" fontId="196" fillId="45" borderId="110" xfId="0" applyFont="1" applyFill="1" applyBorder="1" applyAlignment="1">
      <alignment horizontal="center" vertical="center" wrapText="1"/>
    </xf>
    <xf numFmtId="0" fontId="196" fillId="45" borderId="107" xfId="0" applyFont="1" applyFill="1" applyBorder="1" applyAlignment="1">
      <alignment horizontal="center" vertical="center" wrapText="1"/>
    </xf>
    <xf numFmtId="0" fontId="196" fillId="45" borderId="80" xfId="0" applyFont="1"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xf>
    <xf numFmtId="0" fontId="21"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47" fillId="0" borderId="10" xfId="0" applyFont="1" applyBorder="1" applyAlignment="1">
      <alignment horizontal="center" vertical="center" wrapText="1"/>
    </xf>
    <xf numFmtId="0" fontId="44" fillId="0" borderId="0" xfId="0" applyFont="1" applyAlignment="1">
      <alignment horizontal="right" vertical="center"/>
    </xf>
    <xf numFmtId="0" fontId="104" fillId="0" borderId="0" xfId="0" applyFont="1" applyAlignment="1">
      <alignment horizontal="center" vertical="center" wrapText="1"/>
    </xf>
    <xf numFmtId="0" fontId="47" fillId="0" borderId="0" xfId="0" applyFont="1" applyAlignment="1">
      <alignment horizontal="left" vertical="center"/>
    </xf>
    <xf numFmtId="0" fontId="104" fillId="0" borderId="16" xfId="0" applyFont="1" applyBorder="1" applyAlignment="1">
      <alignment horizontal="center" vertical="center" wrapText="1"/>
    </xf>
    <xf numFmtId="0" fontId="104" fillId="0" borderId="70" xfId="0" applyFont="1" applyBorder="1" applyAlignment="1">
      <alignment horizontal="center" vertical="center" wrapText="1"/>
    </xf>
    <xf numFmtId="171" fontId="43" fillId="0" borderId="16" xfId="78" applyNumberFormat="1" applyFont="1" applyBorder="1" applyAlignment="1">
      <alignment horizontal="center" vertical="center"/>
    </xf>
    <xf numFmtId="171" fontId="52" fillId="0" borderId="16" xfId="78" applyNumberFormat="1" applyFont="1" applyBorder="1" applyAlignment="1">
      <alignment horizontal="center" vertical="center"/>
    </xf>
    <xf numFmtId="171" fontId="44" fillId="0" borderId="10" xfId="78" applyNumberFormat="1" applyFont="1" applyBorder="1" applyAlignment="1">
      <alignment horizontal="center" vertical="center"/>
    </xf>
    <xf numFmtId="0" fontId="120" fillId="28" borderId="115" xfId="0" applyFont="1" applyFill="1" applyBorder="1" applyAlignment="1">
      <alignment vertical="center"/>
    </xf>
    <xf numFmtId="0" fontId="120" fillId="28" borderId="80" xfId="0" applyFont="1" applyFill="1" applyBorder="1" applyAlignment="1">
      <alignment vertical="center"/>
    </xf>
    <xf numFmtId="0" fontId="119" fillId="28" borderId="115" xfId="0" applyFont="1" applyFill="1" applyBorder="1" applyAlignment="1">
      <alignment vertical="center" wrapText="1"/>
    </xf>
    <xf numFmtId="0" fontId="119" fillId="28" borderId="80" xfId="0" applyFont="1" applyFill="1" applyBorder="1" applyAlignment="1">
      <alignment vertical="center" wrapText="1"/>
    </xf>
    <xf numFmtId="171" fontId="118" fillId="0" borderId="0" xfId="78" applyNumberFormat="1" applyFont="1" applyAlignment="1">
      <alignment horizontal="center" vertical="center"/>
    </xf>
    <xf numFmtId="0" fontId="33" fillId="0" borderId="10" xfId="0" applyFont="1" applyBorder="1" applyAlignment="1">
      <alignment horizontal="center" vertical="center" wrapText="1"/>
    </xf>
    <xf numFmtId="0" fontId="29" fillId="0" borderId="10" xfId="0" applyFont="1" applyBorder="1" applyAlignment="1">
      <alignment horizontal="center"/>
    </xf>
    <xf numFmtId="0" fontId="29" fillId="0" borderId="0" xfId="0" applyFont="1" applyAlignment="1">
      <alignment horizontal="center" vertical="center" wrapText="1"/>
    </xf>
    <xf numFmtId="0" fontId="20" fillId="0" borderId="43" xfId="0" applyFont="1" applyBorder="1" applyAlignment="1">
      <alignment horizontal="center" vertical="center"/>
    </xf>
    <xf numFmtId="0" fontId="0" fillId="0" borderId="55" xfId="0" applyBorder="1" applyAlignment="1">
      <alignment horizontal="center" vertical="center"/>
    </xf>
    <xf numFmtId="0" fontId="0" fillId="0" borderId="99" xfId="0" applyBorder="1" applyAlignment="1">
      <alignment horizontal="center" vertical="center"/>
    </xf>
    <xf numFmtId="0" fontId="265" fillId="28" borderId="10" xfId="0" applyFont="1" applyFill="1" applyBorder="1" applyAlignment="1">
      <alignment horizontal="center" vertical="center" wrapText="1"/>
    </xf>
    <xf numFmtId="0" fontId="30" fillId="0" borderId="0" xfId="0" applyFont="1" applyAlignment="1">
      <alignment horizontal="center" vertical="center"/>
    </xf>
    <xf numFmtId="0" fontId="23" fillId="0" borderId="0" xfId="0" applyFont="1" applyAlignment="1">
      <alignment horizontal="center" vertical="center"/>
    </xf>
    <xf numFmtId="0" fontId="265" fillId="0" borderId="0" xfId="0" applyFont="1" applyAlignment="1">
      <alignment horizontal="center" vertical="center"/>
    </xf>
    <xf numFmtId="0" fontId="265" fillId="0" borderId="10" xfId="0" applyFont="1" applyBorder="1" applyAlignment="1">
      <alignment horizontal="center" vertical="center" wrapText="1"/>
    </xf>
    <xf numFmtId="0" fontId="43" fillId="0" borderId="10" xfId="0" applyFont="1" applyBorder="1" applyAlignment="1">
      <alignment horizontal="center" vertical="top"/>
    </xf>
    <xf numFmtId="0" fontId="43" fillId="0" borderId="27" xfId="0" applyFont="1" applyBorder="1" applyAlignment="1">
      <alignment horizontal="center" vertical="top"/>
    </xf>
    <xf numFmtId="0" fontId="221" fillId="0" borderId="147" xfId="0" applyFont="1" applyBorder="1" applyAlignment="1">
      <alignment horizontal="center" vertical="center"/>
    </xf>
    <xf numFmtId="0" fontId="221" fillId="0" borderId="123" xfId="0" applyFont="1" applyBorder="1" applyAlignment="1">
      <alignment horizontal="center" vertical="center"/>
    </xf>
    <xf numFmtId="0" fontId="221" fillId="0" borderId="146" xfId="0" applyFont="1" applyBorder="1" applyAlignment="1">
      <alignment horizontal="center" vertical="center"/>
    </xf>
    <xf numFmtId="0" fontId="45" fillId="0" borderId="10" xfId="0" applyFont="1" applyBorder="1" applyAlignment="1">
      <alignment horizontal="center" vertical="top"/>
    </xf>
    <xf numFmtId="0" fontId="45" fillId="0" borderId="27" xfId="0" applyFont="1" applyBorder="1" applyAlignment="1">
      <alignment horizontal="center" vertical="top"/>
    </xf>
    <xf numFmtId="0" fontId="45" fillId="0" borderId="148" xfId="0" applyFont="1" applyBorder="1" applyAlignment="1">
      <alignment horizontal="left" vertical="top"/>
    </xf>
    <xf numFmtId="0" fontId="45" fillId="0" borderId="121" xfId="0" applyFont="1" applyBorder="1" applyAlignment="1">
      <alignment horizontal="left" vertical="top"/>
    </xf>
    <xf numFmtId="0" fontId="43" fillId="0" borderId="17" xfId="0" applyFont="1" applyBorder="1" applyAlignment="1">
      <alignment horizontal="center" vertical="top"/>
    </xf>
    <xf numFmtId="0" fontId="43" fillId="0" borderId="0" xfId="0" applyFont="1" applyAlignment="1">
      <alignment horizontal="center" vertical="top"/>
    </xf>
    <xf numFmtId="0" fontId="43" fillId="0" borderId="18" xfId="0" applyFont="1" applyBorder="1" applyAlignment="1">
      <alignment horizontal="center" vertical="top"/>
    </xf>
    <xf numFmtId="0" fontId="267" fillId="0" borderId="0" xfId="0" applyFont="1" applyAlignment="1">
      <alignment horizontal="center"/>
    </xf>
    <xf numFmtId="0" fontId="265" fillId="0" borderId="43" xfId="0" applyFont="1" applyBorder="1" applyAlignment="1">
      <alignment horizontal="center"/>
    </xf>
    <xf numFmtId="0" fontId="181" fillId="0" borderId="43" xfId="0" applyFont="1" applyBorder="1" applyAlignment="1">
      <alignment horizontal="center"/>
    </xf>
    <xf numFmtId="0" fontId="192" fillId="27" borderId="115" xfId="158" applyFont="1" applyFill="1" applyBorder="1" applyAlignment="1">
      <alignment horizontal="center" wrapText="1"/>
    </xf>
    <xf numFmtId="0" fontId="192" fillId="27" borderId="80" xfId="158" applyFont="1" applyFill="1" applyBorder="1" applyAlignment="1">
      <alignment horizontal="center" wrapText="1"/>
    </xf>
    <xf numFmtId="0" fontId="176" fillId="27" borderId="115" xfId="158" applyFont="1" applyFill="1" applyBorder="1" applyAlignment="1">
      <alignment horizontal="center" wrapText="1"/>
    </xf>
    <xf numFmtId="0" fontId="176" fillId="27" borderId="80" xfId="158" applyFont="1" applyFill="1" applyBorder="1" applyAlignment="1">
      <alignment horizontal="center" wrapText="1"/>
    </xf>
    <xf numFmtId="0" fontId="265" fillId="0" borderId="31" xfId="0" applyFont="1" applyBorder="1" applyAlignment="1">
      <alignment horizontal="center"/>
    </xf>
    <xf numFmtId="0" fontId="265" fillId="0" borderId="25" xfId="0" applyFont="1" applyBorder="1" applyAlignment="1">
      <alignment horizontal="center"/>
    </xf>
    <xf numFmtId="0" fontId="265" fillId="0" borderId="31" xfId="0" applyFont="1" applyBorder="1" applyAlignment="1">
      <alignment horizontal="left"/>
    </xf>
    <xf numFmtId="0" fontId="265" fillId="0" borderId="25" xfId="0" applyFont="1" applyBorder="1" applyAlignment="1">
      <alignment horizontal="left"/>
    </xf>
    <xf numFmtId="0" fontId="265" fillId="0" borderId="6" xfId="0" applyFont="1" applyBorder="1" applyAlignment="1">
      <alignment horizontal="center"/>
    </xf>
    <xf numFmtId="0" fontId="264" fillId="0" borderId="31" xfId="0" applyFont="1" applyBorder="1" applyAlignment="1">
      <alignment horizontal="center" vertical="center"/>
    </xf>
    <xf numFmtId="0" fontId="264" fillId="0" borderId="6" xfId="0" applyFont="1" applyBorder="1" applyAlignment="1">
      <alignment horizontal="center" vertical="center"/>
    </xf>
    <xf numFmtId="0" fontId="264" fillId="0" borderId="25" xfId="0" applyFont="1" applyBorder="1" applyAlignment="1">
      <alignment horizontal="center" vertical="center"/>
    </xf>
    <xf numFmtId="0" fontId="265" fillId="0" borderId="31" xfId="0" applyFont="1" applyBorder="1" applyAlignment="1">
      <alignment horizontal="center" vertical="center"/>
    </xf>
    <xf numFmtId="0" fontId="265" fillId="0" borderId="6" xfId="0" applyFont="1" applyBorder="1" applyAlignment="1">
      <alignment horizontal="center" vertical="center"/>
    </xf>
    <xf numFmtId="0" fontId="265" fillId="0" borderId="25" xfId="0" applyFont="1" applyBorder="1" applyAlignment="1">
      <alignment horizontal="center" vertical="center"/>
    </xf>
    <xf numFmtId="0" fontId="21" fillId="0" borderId="16" xfId="0" applyFont="1" applyBorder="1" applyAlignment="1">
      <alignment horizontal="center"/>
    </xf>
    <xf numFmtId="0" fontId="44" fillId="0" borderId="16" xfId="0" applyFont="1" applyBorder="1" applyAlignment="1">
      <alignment horizontal="center" vertical="center"/>
    </xf>
    <xf numFmtId="0" fontId="231" fillId="0" borderId="133" xfId="0" applyFont="1" applyBorder="1" applyAlignment="1">
      <alignment horizontal="left" vertical="center"/>
    </xf>
    <xf numFmtId="2" fontId="218" fillId="0" borderId="0" xfId="0" applyNumberFormat="1" applyFont="1" applyAlignment="1">
      <alignment horizontal="center" vertical="center" wrapText="1"/>
    </xf>
    <xf numFmtId="0" fontId="218" fillId="0" borderId="0" xfId="0" applyFont="1" applyAlignment="1">
      <alignment horizontal="center" vertical="center" wrapText="1"/>
    </xf>
    <xf numFmtId="0" fontId="231" fillId="0" borderId="10" xfId="0" applyFont="1" applyBorder="1" applyAlignment="1">
      <alignment vertical="center"/>
    </xf>
    <xf numFmtId="0" fontId="231" fillId="0" borderId="10" xfId="0" applyFont="1" applyBorder="1" applyAlignment="1">
      <alignment horizontal="center" vertical="center" wrapText="1"/>
    </xf>
    <xf numFmtId="0" fontId="231" fillId="0" borderId="10" xfId="0" applyFont="1" applyBorder="1" applyAlignment="1">
      <alignment horizontal="center" vertical="center"/>
    </xf>
    <xf numFmtId="0" fontId="21" fillId="0" borderId="114" xfId="0" applyFont="1" applyBorder="1" applyAlignment="1">
      <alignment horizontal="center"/>
    </xf>
    <xf numFmtId="0" fontId="44" fillId="28" borderId="31" xfId="0" applyFont="1" applyFill="1" applyBorder="1" applyAlignment="1">
      <alignment horizontal="center" vertical="center"/>
    </xf>
    <xf numFmtId="0" fontId="44" fillId="28" borderId="6" xfId="0" applyFont="1" applyFill="1" applyBorder="1" applyAlignment="1">
      <alignment horizontal="center" vertical="center"/>
    </xf>
    <xf numFmtId="0" fontId="44" fillId="28" borderId="25" xfId="0" applyFont="1" applyFill="1" applyBorder="1" applyAlignment="1">
      <alignment horizontal="center" vertical="center"/>
    </xf>
    <xf numFmtId="0" fontId="39" fillId="0" borderId="57" xfId="0" applyFont="1" applyBorder="1" applyAlignment="1">
      <alignment horizontal="center" vertical="center" textRotation="19" wrapText="1"/>
    </xf>
    <xf numFmtId="0" fontId="39" fillId="0" borderId="133" xfId="0" applyFont="1" applyBorder="1" applyAlignment="1">
      <alignment horizontal="center" vertical="center" textRotation="19" wrapText="1"/>
    </xf>
    <xf numFmtId="0" fontId="39" fillId="0" borderId="68" xfId="0" applyFont="1" applyBorder="1" applyAlignment="1">
      <alignment horizontal="center" vertical="center" textRotation="19" wrapText="1"/>
    </xf>
    <xf numFmtId="0" fontId="39" fillId="0" borderId="111" xfId="0" applyFont="1" applyBorder="1" applyAlignment="1">
      <alignment horizontal="center" vertical="center" textRotation="19" wrapText="1"/>
    </xf>
    <xf numFmtId="0" fontId="39" fillId="0" borderId="0" xfId="0" applyFont="1" applyAlignment="1">
      <alignment horizontal="center" vertical="center" textRotation="19" wrapText="1"/>
    </xf>
    <xf numFmtId="0" fontId="39" fillId="0" borderId="69" xfId="0" applyFont="1" applyBorder="1" applyAlignment="1">
      <alignment horizontal="center" vertical="center" textRotation="19" wrapText="1"/>
    </xf>
    <xf numFmtId="0" fontId="39" fillId="0" borderId="100" xfId="0" applyFont="1" applyBorder="1" applyAlignment="1">
      <alignment horizontal="center" vertical="center" textRotation="19" wrapText="1"/>
    </xf>
    <xf numFmtId="0" fontId="39" fillId="0" borderId="16" xfId="0" applyFont="1" applyBorder="1" applyAlignment="1">
      <alignment horizontal="center" vertical="center" textRotation="19" wrapText="1"/>
    </xf>
    <xf numFmtId="0" fontId="39" fillId="0" borderId="70" xfId="0" applyFont="1" applyBorder="1" applyAlignment="1">
      <alignment horizontal="center" vertical="center" textRotation="19" wrapText="1"/>
    </xf>
    <xf numFmtId="0" fontId="206" fillId="27" borderId="16" xfId="78" applyFont="1" applyFill="1" applyBorder="1" applyAlignment="1">
      <alignment horizontal="center"/>
    </xf>
    <xf numFmtId="0" fontId="206" fillId="29" borderId="16" xfId="78" applyFont="1" applyFill="1" applyBorder="1" applyAlignment="1">
      <alignment horizontal="center"/>
    </xf>
    <xf numFmtId="0" fontId="217" fillId="0" borderId="0" xfId="0" applyFont="1" applyAlignment="1">
      <alignment horizontal="center"/>
    </xf>
    <xf numFmtId="0" fontId="128" fillId="0" borderId="0" xfId="0" applyFont="1" applyAlignment="1">
      <alignment horizontal="center"/>
    </xf>
    <xf numFmtId="0" fontId="227" fillId="0" borderId="0" xfId="0" applyFont="1" applyAlignment="1">
      <alignment horizontal="center"/>
    </xf>
    <xf numFmtId="0" fontId="227" fillId="0" borderId="10" xfId="0" applyFont="1" applyBorder="1" applyAlignment="1">
      <alignment horizontal="center"/>
    </xf>
    <xf numFmtId="0" fontId="182" fillId="0" borderId="16" xfId="0" applyFont="1" applyBorder="1" applyAlignment="1">
      <alignment horizontal="center" vertical="center" wrapText="1"/>
    </xf>
    <xf numFmtId="0" fontId="59" fillId="0" borderId="82" xfId="0" applyFont="1" applyBorder="1" applyAlignment="1">
      <alignment horizontal="center" vertical="top" wrapText="1"/>
    </xf>
    <xf numFmtId="0" fontId="59" fillId="0" borderId="5" xfId="0" applyFont="1" applyBorder="1" applyAlignment="1">
      <alignment horizontal="center" vertical="top" wrapText="1"/>
    </xf>
    <xf numFmtId="0" fontId="59" fillId="0" borderId="83" xfId="0" applyFont="1" applyBorder="1" applyAlignment="1">
      <alignment horizontal="center" vertical="top" wrapText="1"/>
    </xf>
    <xf numFmtId="0" fontId="59" fillId="0" borderId="0" xfId="0" applyFont="1" applyAlignment="1">
      <alignment horizontal="center"/>
    </xf>
    <xf numFmtId="0" fontId="59" fillId="0" borderId="114" xfId="0" applyFont="1" applyBorder="1" applyAlignment="1">
      <alignment horizontal="center"/>
    </xf>
    <xf numFmtId="0" fontId="33" fillId="0" borderId="133" xfId="0" applyFont="1" applyBorder="1" applyAlignment="1">
      <alignment horizontal="justify" vertical="center" wrapText="1"/>
    </xf>
    <xf numFmtId="0" fontId="44" fillId="0" borderId="10" xfId="0" applyFont="1" applyBorder="1" applyAlignment="1">
      <alignment horizontal="left" vertical="center" wrapText="1"/>
    </xf>
    <xf numFmtId="0" fontId="44" fillId="0" borderId="0" xfId="0" applyFont="1" applyAlignment="1">
      <alignment horizontal="center" vertical="center" wrapText="1"/>
    </xf>
    <xf numFmtId="0" fontId="22" fillId="0" borderId="45"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53" xfId="0" applyFont="1" applyBorder="1" applyAlignment="1">
      <alignment horizontal="center" vertical="center" wrapText="1"/>
    </xf>
    <xf numFmtId="0" fontId="181" fillId="0" borderId="0" xfId="0" applyFont="1" applyAlignment="1">
      <alignment horizontal="left" vertical="center" wrapText="1"/>
    </xf>
    <xf numFmtId="0" fontId="44" fillId="0" borderId="60" xfId="0" applyFont="1" applyBorder="1" applyAlignment="1">
      <alignment horizontal="center" vertical="center" wrapText="1"/>
    </xf>
    <xf numFmtId="0" fontId="44" fillId="0" borderId="152" xfId="0" applyFont="1" applyBorder="1" applyAlignment="1">
      <alignment horizontal="center" vertical="center" wrapText="1"/>
    </xf>
    <xf numFmtId="0" fontId="44" fillId="0" borderId="153" xfId="0" applyFont="1" applyBorder="1" applyAlignment="1">
      <alignment horizontal="center" vertical="center" wrapText="1"/>
    </xf>
    <xf numFmtId="0" fontId="33" fillId="0" borderId="10" xfId="0" applyFont="1" applyBorder="1" applyAlignment="1">
      <alignment horizontal="center" vertical="center"/>
    </xf>
    <xf numFmtId="0" fontId="43" fillId="0" borderId="0" xfId="0" applyFont="1" applyAlignment="1">
      <alignment horizontal="center" vertical="center"/>
    </xf>
    <xf numFmtId="0" fontId="22" fillId="0" borderId="31" xfId="0" applyFont="1" applyBorder="1" applyAlignment="1">
      <alignment horizontal="left" vertical="center" wrapText="1"/>
    </xf>
    <xf numFmtId="0" fontId="22" fillId="0" borderId="6" xfId="0" applyFont="1" applyBorder="1" applyAlignment="1">
      <alignment horizontal="left" vertical="center" wrapText="1"/>
    </xf>
    <xf numFmtId="0" fontId="22" fillId="0" borderId="84" xfId="0" applyFont="1" applyBorder="1" applyAlignment="1">
      <alignment horizontal="left" vertical="center" wrapText="1"/>
    </xf>
    <xf numFmtId="0" fontId="29" fillId="0" borderId="31" xfId="0" applyFont="1" applyBorder="1" applyAlignment="1">
      <alignment horizontal="left" vertical="center" wrapText="1"/>
    </xf>
    <xf numFmtId="0" fontId="29" fillId="0" borderId="6" xfId="0" applyFont="1" applyBorder="1" applyAlignment="1">
      <alignment horizontal="left" vertical="center" wrapText="1"/>
    </xf>
    <xf numFmtId="0" fontId="29" fillId="0" borderId="84" xfId="0" applyFont="1" applyBorder="1" applyAlignment="1">
      <alignment horizontal="left" vertical="center" wrapText="1"/>
    </xf>
    <xf numFmtId="0" fontId="33" fillId="0" borderId="43" xfId="0" applyFont="1" applyBorder="1" applyAlignment="1">
      <alignment horizontal="center" vertical="center"/>
    </xf>
    <xf numFmtId="0" fontId="48" fillId="0" borderId="19" xfId="0" applyFont="1" applyBorder="1" applyAlignment="1">
      <alignment horizontal="justify" vertical="center" wrapText="1"/>
    </xf>
    <xf numFmtId="0" fontId="49" fillId="0" borderId="121" xfId="0" applyFont="1" applyBorder="1" applyAlignment="1">
      <alignment horizontal="justify" vertical="center" wrapText="1"/>
    </xf>
    <xf numFmtId="0" fontId="49" fillId="0" borderId="20" xfId="0" applyFont="1" applyBorder="1" applyAlignment="1">
      <alignment horizontal="justify" vertical="center" wrapText="1"/>
    </xf>
    <xf numFmtId="0" fontId="33" fillId="0" borderId="0" xfId="0" applyFont="1" applyAlignment="1">
      <alignment horizontal="left" vertical="center" wrapText="1"/>
    </xf>
    <xf numFmtId="0" fontId="33" fillId="0" borderId="18" xfId="0" applyFont="1" applyBorder="1" applyAlignment="1">
      <alignment horizontal="left" vertical="center" wrapText="1"/>
    </xf>
    <xf numFmtId="0" fontId="33" fillId="0" borderId="0" xfId="0" applyFont="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vertical="center" wrapText="1"/>
    </xf>
    <xf numFmtId="0" fontId="33" fillId="0" borderId="0" xfId="0" applyFont="1" applyAlignment="1">
      <alignment vertical="center" wrapText="1"/>
    </xf>
    <xf numFmtId="0" fontId="33" fillId="0" borderId="18" xfId="0" applyFont="1" applyBorder="1" applyAlignment="1">
      <alignment vertical="center" wrapText="1"/>
    </xf>
    <xf numFmtId="0" fontId="33" fillId="0" borderId="114" xfId="0" applyFont="1" applyBorder="1" applyAlignment="1">
      <alignment horizontal="left" vertical="center" wrapText="1"/>
    </xf>
    <xf numFmtId="0" fontId="33" fillId="0" borderId="110" xfId="0" applyFont="1" applyBorder="1" applyAlignment="1">
      <alignment horizontal="left" vertical="center" wrapText="1"/>
    </xf>
    <xf numFmtId="0" fontId="21" fillId="0" borderId="0" xfId="78" applyFont="1" applyAlignment="1">
      <alignment horizontal="center" vertical="center" wrapText="1"/>
    </xf>
    <xf numFmtId="0" fontId="21" fillId="0" borderId="0" xfId="78" applyFont="1" applyAlignment="1">
      <alignment horizontal="center"/>
    </xf>
    <xf numFmtId="0" fontId="22" fillId="0" borderId="16" xfId="0" applyFont="1" applyBorder="1" applyAlignment="1">
      <alignment horizontal="center"/>
    </xf>
    <xf numFmtId="0" fontId="107" fillId="0" borderId="19" xfId="78" applyFont="1" applyBorder="1" applyAlignment="1">
      <alignment horizontal="center" vertical="center" wrapText="1"/>
    </xf>
    <xf numFmtId="0" fontId="107" fillId="0" borderId="121" xfId="78" applyFont="1" applyBorder="1" applyAlignment="1">
      <alignment horizontal="center" vertical="center" wrapText="1"/>
    </xf>
    <xf numFmtId="0" fontId="107" fillId="0" borderId="20" xfId="78" applyFont="1" applyBorder="1" applyAlignment="1">
      <alignment horizontal="center" vertical="center" wrapText="1"/>
    </xf>
    <xf numFmtId="0" fontId="108" fillId="0" borderId="10" xfId="78" applyFont="1" applyBorder="1" applyAlignment="1">
      <alignment horizontal="center" vertical="center"/>
    </xf>
    <xf numFmtId="0" fontId="107" fillId="0" borderId="31" xfId="78" applyFont="1" applyBorder="1" applyAlignment="1">
      <alignment horizontal="center" vertical="center" wrapText="1"/>
    </xf>
    <xf numFmtId="0" fontId="107" fillId="0" borderId="6" xfId="78" applyFont="1" applyBorder="1" applyAlignment="1">
      <alignment horizontal="center" vertical="center" wrapText="1"/>
    </xf>
    <xf numFmtId="0" fontId="107" fillId="0" borderId="25" xfId="78" applyFont="1" applyBorder="1" applyAlignment="1">
      <alignment horizontal="center" vertical="center" wrapText="1"/>
    </xf>
    <xf numFmtId="0" fontId="21" fillId="0" borderId="0" xfId="78" applyFont="1" applyAlignment="1">
      <alignment horizontal="center" vertical="center"/>
    </xf>
    <xf numFmtId="0" fontId="52" fillId="0" borderId="0" xfId="78" applyFont="1" applyAlignment="1">
      <alignment horizontal="center" vertical="center"/>
    </xf>
    <xf numFmtId="0" fontId="48" fillId="0" borderId="16" xfId="78" applyFont="1" applyBorder="1" applyAlignment="1">
      <alignment horizontal="center" vertical="center"/>
    </xf>
    <xf numFmtId="0" fontId="231" fillId="0" borderId="0" xfId="78" applyFont="1" applyAlignment="1">
      <alignment horizontal="center" vertical="center" wrapText="1"/>
    </xf>
    <xf numFmtId="0" fontId="269" fillId="0" borderId="0" xfId="78" applyFont="1" applyAlignment="1">
      <alignment horizontal="left" vertical="center"/>
    </xf>
    <xf numFmtId="0" fontId="231" fillId="0" borderId="111" xfId="0" applyFont="1" applyBorder="1" applyAlignment="1">
      <alignment horizontal="center" vertical="center" wrapText="1"/>
    </xf>
    <xf numFmtId="0" fontId="231" fillId="0" borderId="0" xfId="0" applyFont="1" applyAlignment="1">
      <alignment horizontal="center" vertical="center" wrapText="1"/>
    </xf>
    <xf numFmtId="0" fontId="231" fillId="0" borderId="10" xfId="0" applyFont="1" applyBorder="1" applyAlignment="1">
      <alignment horizontal="center"/>
    </xf>
    <xf numFmtId="0" fontId="141" fillId="0" borderId="31" xfId="0" applyFont="1" applyBorder="1" applyAlignment="1">
      <alignment horizontal="left" vertical="center" wrapText="1"/>
    </xf>
    <xf numFmtId="0" fontId="141" fillId="0" borderId="6" xfId="0" applyFont="1" applyBorder="1" applyAlignment="1">
      <alignment horizontal="left" vertical="center" wrapText="1"/>
    </xf>
    <xf numFmtId="0" fontId="141" fillId="0" borderId="25" xfId="0" applyFont="1" applyBorder="1" applyAlignment="1">
      <alignment horizontal="left" vertical="center" wrapText="1"/>
    </xf>
    <xf numFmtId="0" fontId="21" fillId="0" borderId="0" xfId="0" applyFont="1" applyAlignment="1">
      <alignment horizontal="center"/>
    </xf>
    <xf numFmtId="0" fontId="30" fillId="0" borderId="0" xfId="121" applyFont="1" applyFill="1" applyAlignment="1">
      <alignment horizontal="center" vertical="center"/>
    </xf>
    <xf numFmtId="0" fontId="29" fillId="0" borderId="57" xfId="121" applyFont="1" applyFill="1" applyBorder="1" applyAlignment="1">
      <alignment horizontal="center" vertical="center" wrapText="1"/>
    </xf>
    <xf numFmtId="0" fontId="29" fillId="0" borderId="68" xfId="121" applyFont="1" applyFill="1" applyBorder="1" applyAlignment="1">
      <alignment horizontal="center" vertical="center" wrapText="1"/>
    </xf>
    <xf numFmtId="0" fontId="98" fillId="0" borderId="62" xfId="83" applyFont="1" applyBorder="1" applyAlignment="1">
      <alignment horizontal="center" vertical="center" wrapText="1"/>
    </xf>
    <xf numFmtId="0" fontId="98" fillId="0" borderId="59" xfId="83" applyFont="1" applyBorder="1" applyAlignment="1">
      <alignment horizontal="center" vertical="center" wrapText="1"/>
    </xf>
    <xf numFmtId="0" fontId="29" fillId="0" borderId="10" xfId="121" applyFont="1" applyFill="1" applyBorder="1" applyAlignment="1">
      <alignment horizontal="center" vertical="center" wrapText="1"/>
    </xf>
    <xf numFmtId="0" fontId="25" fillId="0" borderId="0" xfId="121" applyFont="1" applyFill="1" applyAlignment="1">
      <alignment horizontal="center" vertical="center" wrapText="1"/>
    </xf>
    <xf numFmtId="0" fontId="22" fillId="0" borderId="16" xfId="121" applyFont="1" applyFill="1" applyBorder="1" applyAlignment="1">
      <alignment horizontal="center" vertical="center" wrapText="1"/>
    </xf>
    <xf numFmtId="0" fontId="33" fillId="0" borderId="43" xfId="121" applyFill="1" applyBorder="1" applyAlignment="1">
      <alignment horizontal="center" vertical="center" wrapText="1"/>
    </xf>
    <xf numFmtId="0" fontId="33" fillId="0" borderId="55" xfId="121" applyFill="1" applyBorder="1" applyAlignment="1">
      <alignment horizontal="center" vertical="center" wrapText="1"/>
    </xf>
    <xf numFmtId="0" fontId="33" fillId="0" borderId="99" xfId="121" applyFill="1" applyBorder="1" applyAlignment="1">
      <alignment horizontal="center" vertical="center" wrapText="1"/>
    </xf>
    <xf numFmtId="0" fontId="47" fillId="0" borderId="91" xfId="83" applyFont="1" applyBorder="1" applyAlignment="1">
      <alignment horizontal="left" vertical="center" wrapText="1"/>
    </xf>
    <xf numFmtId="0" fontId="47" fillId="0" borderId="69" xfId="83" applyFont="1" applyBorder="1" applyAlignment="1">
      <alignment horizontal="left" vertical="center" wrapText="1"/>
    </xf>
    <xf numFmtId="0" fontId="47" fillId="0" borderId="70" xfId="83" applyFont="1" applyBorder="1" applyAlignment="1">
      <alignment horizontal="left" vertical="center" wrapText="1"/>
    </xf>
    <xf numFmtId="0" fontId="50" fillId="0" borderId="100" xfId="83" applyFont="1" applyBorder="1" applyAlignment="1">
      <alignment horizontal="center" vertical="center" wrapText="1"/>
    </xf>
    <xf numFmtId="0" fontId="50" fillId="0" borderId="16" xfId="83" applyFont="1" applyBorder="1" applyAlignment="1">
      <alignment horizontal="center" vertical="center" wrapText="1"/>
    </xf>
    <xf numFmtId="0" fontId="50" fillId="0" borderId="70" xfId="83" applyFont="1" applyBorder="1" applyAlignment="1">
      <alignment horizontal="center" vertical="center" wrapText="1"/>
    </xf>
    <xf numFmtId="0" fontId="22" fillId="0" borderId="43" xfId="121" applyFont="1" applyFill="1" applyBorder="1" applyAlignment="1">
      <alignment horizontal="center" vertical="center" wrapText="1"/>
    </xf>
    <xf numFmtId="0" fontId="22" fillId="0" borderId="55" xfId="121" applyFont="1" applyFill="1" applyBorder="1" applyAlignment="1">
      <alignment horizontal="center" vertical="center" wrapText="1"/>
    </xf>
    <xf numFmtId="0" fontId="22" fillId="0" borderId="138" xfId="121" applyFont="1" applyFill="1" applyBorder="1" applyAlignment="1">
      <alignment horizontal="center" vertical="center" wrapText="1"/>
    </xf>
    <xf numFmtId="0" fontId="33" fillId="0" borderId="31" xfId="121" applyFill="1" applyBorder="1" applyAlignment="1">
      <alignment horizontal="center" vertical="center" wrapText="1"/>
    </xf>
    <xf numFmtId="0" fontId="33" fillId="0" borderId="25" xfId="121" applyFill="1" applyBorder="1" applyAlignment="1">
      <alignment horizontal="center" vertical="center" wrapText="1"/>
    </xf>
    <xf numFmtId="0" fontId="94" fillId="0" borderId="0" xfId="86" applyFont="1" applyFill="1" applyAlignment="1">
      <alignment horizontal="left" vertical="center" wrapText="1"/>
    </xf>
    <xf numFmtId="0" fontId="95" fillId="0" borderId="0" xfId="86" applyFont="1" applyFill="1" applyAlignment="1">
      <alignment horizontal="right" vertical="center" wrapText="1"/>
    </xf>
    <xf numFmtId="0" fontId="50" fillId="0" borderId="0" xfId="86" applyFont="1" applyFill="1" applyAlignment="1">
      <alignment horizontal="right" vertical="center" wrapText="1"/>
    </xf>
    <xf numFmtId="0" fontId="95" fillId="0" borderId="0" xfId="83" applyFont="1" applyAlignment="1">
      <alignment horizontal="center" vertical="center" wrapText="1"/>
    </xf>
    <xf numFmtId="0" fontId="95" fillId="0" borderId="10" xfId="83" applyFont="1" applyBorder="1" applyAlignment="1">
      <alignment horizontal="center" vertical="center" wrapText="1"/>
    </xf>
    <xf numFmtId="0" fontId="95" fillId="0" borderId="45" xfId="83" applyFont="1" applyBorder="1" applyAlignment="1">
      <alignment horizontal="center" vertical="center" wrapText="1"/>
    </xf>
    <xf numFmtId="0" fontId="95" fillId="0" borderId="52" xfId="83" applyFont="1" applyBorder="1" applyAlignment="1">
      <alignment horizontal="center" vertical="center" wrapText="1"/>
    </xf>
    <xf numFmtId="0" fontId="95" fillId="0" borderId="53" xfId="83" applyFont="1" applyBorder="1" applyAlignment="1">
      <alignment horizontal="center" vertical="center" wrapText="1"/>
    </xf>
    <xf numFmtId="0" fontId="50" fillId="0" borderId="139" xfId="83" applyFont="1" applyBorder="1" applyAlignment="1">
      <alignment horizontal="center" vertical="center" wrapText="1"/>
    </xf>
    <xf numFmtId="0" fontId="50" fillId="0" borderId="74" xfId="83" applyFont="1" applyBorder="1" applyAlignment="1">
      <alignment horizontal="center" vertical="center" wrapText="1"/>
    </xf>
    <xf numFmtId="0" fontId="50" fillId="0" borderId="0" xfId="83" applyFont="1" applyAlignment="1">
      <alignment horizontal="center" vertical="center" wrapText="1"/>
    </xf>
    <xf numFmtId="0" fontId="147" fillId="0" borderId="0" xfId="86" applyFont="1" applyFill="1" applyAlignment="1">
      <alignment horizontal="left" vertical="center" wrapText="1"/>
    </xf>
    <xf numFmtId="0" fontId="101" fillId="0" borderId="0" xfId="86" applyFont="1" applyFill="1" applyAlignment="1">
      <alignment horizontal="right" vertical="center" wrapText="1"/>
    </xf>
    <xf numFmtId="0" fontId="166" fillId="0" borderId="0" xfId="83" applyFont="1" applyAlignment="1">
      <alignment horizontal="center" vertical="center" wrapText="1"/>
    </xf>
    <xf numFmtId="0" fontId="95" fillId="0" borderId="87" xfId="83" applyFont="1" applyBorder="1" applyAlignment="1">
      <alignment horizontal="center" vertical="center" wrapText="1"/>
    </xf>
    <xf numFmtId="0" fontId="95" fillId="0" borderId="88" xfId="83" applyFont="1" applyBorder="1" applyAlignment="1">
      <alignment horizontal="center" vertical="center" wrapText="1"/>
    </xf>
    <xf numFmtId="0" fontId="25" fillId="0" borderId="0" xfId="121" applyFont="1" applyFill="1" applyAlignment="1">
      <alignment horizontal="center" vertical="center"/>
    </xf>
    <xf numFmtId="0" fontId="32" fillId="0" borderId="0" xfId="121" applyFont="1" applyFill="1" applyAlignment="1">
      <alignment horizontal="center" vertical="center"/>
    </xf>
    <xf numFmtId="10" fontId="141" fillId="0" borderId="47" xfId="78" applyNumberFormat="1" applyFont="1" applyBorder="1" applyAlignment="1">
      <alignment horizontal="center" vertical="center" wrapText="1"/>
    </xf>
    <xf numFmtId="0" fontId="21" fillId="0" borderId="47" xfId="78" applyFont="1" applyBorder="1" applyAlignment="1">
      <alignment horizontal="center" vertical="center" wrapText="1"/>
    </xf>
    <xf numFmtId="0" fontId="253" fillId="0" borderId="59" xfId="78" applyFont="1" applyBorder="1" applyAlignment="1">
      <alignment horizontal="center"/>
    </xf>
    <xf numFmtId="0" fontId="253" fillId="0" borderId="46" xfId="78" applyFont="1" applyBorder="1" applyAlignment="1">
      <alignment horizontal="center"/>
    </xf>
    <xf numFmtId="17" fontId="253" fillId="0" borderId="48" xfId="78" applyNumberFormat="1" applyFont="1" applyBorder="1" applyAlignment="1">
      <alignment horizontal="center"/>
    </xf>
    <xf numFmtId="17" fontId="253" fillId="0" borderId="59" xfId="78" applyNumberFormat="1" applyFont="1" applyBorder="1" applyAlignment="1">
      <alignment horizontal="center"/>
    </xf>
    <xf numFmtId="0" fontId="21" fillId="0" borderId="59" xfId="78" applyFont="1" applyBorder="1" applyAlignment="1">
      <alignment horizontal="center" vertical="center"/>
    </xf>
    <xf numFmtId="0" fontId="21" fillId="0" borderId="46" xfId="78" applyFont="1" applyBorder="1" applyAlignment="1">
      <alignment horizontal="center" vertical="center"/>
    </xf>
    <xf numFmtId="0" fontId="21" fillId="0" borderId="48" xfId="78" applyFont="1" applyBorder="1" applyAlignment="1">
      <alignment horizontal="center" vertical="center"/>
    </xf>
    <xf numFmtId="0" fontId="143" fillId="0" borderId="0" xfId="121" applyFont="1" applyFill="1" applyAlignment="1">
      <alignment horizontal="left" vertical="center" wrapText="1"/>
    </xf>
    <xf numFmtId="0" fontId="147" fillId="0" borderId="10" xfId="121" applyFont="1" applyFill="1" applyBorder="1" applyAlignment="1">
      <alignment horizontal="center" vertical="center" wrapText="1"/>
    </xf>
    <xf numFmtId="0" fontId="94" fillId="0" borderId="10" xfId="121" applyFont="1" applyFill="1" applyBorder="1" applyAlignment="1">
      <alignment horizontal="center" vertical="center" wrapText="1"/>
    </xf>
    <xf numFmtId="0" fontId="94" fillId="0" borderId="57" xfId="86" applyFont="1" applyFill="1" applyBorder="1" applyAlignment="1">
      <alignment horizontal="left" vertical="center" wrapText="1"/>
    </xf>
    <xf numFmtId="0" fontId="94" fillId="0" borderId="133" xfId="86" applyFont="1" applyFill="1" applyBorder="1" applyAlignment="1">
      <alignment horizontal="left" vertical="center" wrapText="1"/>
    </xf>
    <xf numFmtId="0" fontId="95" fillId="0" borderId="133" xfId="86" applyFont="1" applyFill="1" applyBorder="1" applyAlignment="1">
      <alignment horizontal="right" vertical="center" wrapText="1"/>
    </xf>
    <xf numFmtId="0" fontId="50" fillId="0" borderId="68" xfId="86" applyFont="1" applyFill="1" applyBorder="1" applyAlignment="1">
      <alignment horizontal="right" vertical="center" wrapText="1"/>
    </xf>
    <xf numFmtId="0" fontId="95" fillId="0" borderId="111" xfId="78" applyFont="1" applyBorder="1" applyAlignment="1">
      <alignment horizontal="center" vertical="center" wrapText="1"/>
    </xf>
    <xf numFmtId="0" fontId="95" fillId="0" borderId="0" xfId="78" applyFont="1" applyAlignment="1">
      <alignment horizontal="center" vertical="center" wrapText="1"/>
    </xf>
    <xf numFmtId="0" fontId="95" fillId="0" borderId="69" xfId="78" applyFont="1" applyBorder="1" applyAlignment="1">
      <alignment horizontal="center" vertical="center" wrapText="1"/>
    </xf>
    <xf numFmtId="0" fontId="26" fillId="0" borderId="0" xfId="76" applyFont="1" applyAlignment="1">
      <alignment horizontal="center" vertical="center"/>
    </xf>
    <xf numFmtId="0" fontId="48" fillId="0" borderId="0" xfId="76" applyFont="1" applyAlignment="1">
      <alignment horizontal="center" vertical="center"/>
    </xf>
    <xf numFmtId="0" fontId="35" fillId="0" borderId="10" xfId="76" applyFont="1" applyBorder="1" applyAlignment="1">
      <alignment horizontal="center" vertical="center"/>
    </xf>
    <xf numFmtId="0" fontId="50" fillId="0" borderId="0" xfId="86" applyFont="1" applyFill="1" applyAlignment="1">
      <alignment horizontal="center" vertical="center" wrapText="1"/>
    </xf>
    <xf numFmtId="0" fontId="95" fillId="0" borderId="10" xfId="86" applyFont="1" applyFill="1" applyBorder="1" applyAlignment="1">
      <alignment horizontal="center" vertical="center" wrapText="1"/>
    </xf>
    <xf numFmtId="0" fontId="50" fillId="0" borderId="10" xfId="86" applyFont="1" applyFill="1" applyBorder="1" applyAlignment="1">
      <alignment horizontal="center" vertical="center" wrapText="1"/>
    </xf>
    <xf numFmtId="0" fontId="95" fillId="0" borderId="99" xfId="86" applyFont="1" applyFill="1" applyBorder="1" applyAlignment="1">
      <alignment horizontal="center" vertical="center" wrapText="1"/>
    </xf>
    <xf numFmtId="0" fontId="95" fillId="0" borderId="68" xfId="86" applyFont="1" applyFill="1" applyBorder="1" applyAlignment="1">
      <alignment horizontal="right" vertical="center" wrapText="1"/>
    </xf>
    <xf numFmtId="0" fontId="96" fillId="0" borderId="111" xfId="86" applyFont="1" applyFill="1" applyBorder="1" applyAlignment="1">
      <alignment horizontal="center" vertical="center" wrapText="1"/>
    </xf>
    <xf numFmtId="0" fontId="96" fillId="0" borderId="0" xfId="86" applyFont="1" applyFill="1" applyAlignment="1">
      <alignment horizontal="center" vertical="center" wrapText="1"/>
    </xf>
    <xf numFmtId="0" fontId="101" fillId="0" borderId="67" xfId="78" applyFont="1" applyBorder="1" applyAlignment="1">
      <alignment horizontal="center" vertical="center" wrapText="1"/>
    </xf>
    <xf numFmtId="0" fontId="101" fillId="0" borderId="46" xfId="78" applyFont="1" applyBorder="1" applyAlignment="1">
      <alignment horizontal="center" vertical="center" wrapText="1"/>
    </xf>
    <xf numFmtId="0" fontId="50" fillId="25" borderId="0" xfId="86" applyFont="1" applyAlignment="1">
      <alignment horizontal="right" vertical="center" wrapText="1"/>
    </xf>
    <xf numFmtId="0" fontId="229" fillId="0" borderId="0" xfId="78" applyFont="1" applyAlignment="1">
      <alignment horizontal="center" vertical="center" wrapText="1"/>
    </xf>
    <xf numFmtId="0" fontId="101" fillId="0" borderId="45" xfId="78" applyFont="1" applyBorder="1" applyAlignment="1">
      <alignment horizontal="center" vertical="center" wrapText="1"/>
    </xf>
    <xf numFmtId="0" fontId="101" fillId="0" borderId="49" xfId="78" applyFont="1" applyBorder="1" applyAlignment="1">
      <alignment horizontal="center" vertical="center" wrapText="1"/>
    </xf>
    <xf numFmtId="0" fontId="101" fillId="0" borderId="52" xfId="78" applyFont="1" applyBorder="1" applyAlignment="1">
      <alignment horizontal="center" vertical="center" wrapText="1"/>
    </xf>
    <xf numFmtId="0" fontId="101" fillId="0" borderId="64" xfId="78" applyFont="1" applyBorder="1" applyAlignment="1">
      <alignment horizontal="center" vertical="center" wrapText="1"/>
    </xf>
    <xf numFmtId="0" fontId="101" fillId="0" borderId="85" xfId="78" applyFont="1" applyBorder="1" applyAlignment="1">
      <alignment horizontal="center" vertical="center" wrapText="1"/>
    </xf>
    <xf numFmtId="0" fontId="101" fillId="0" borderId="86" xfId="78" applyFont="1" applyBorder="1" applyAlignment="1">
      <alignment horizontal="center" vertical="center" wrapText="1"/>
    </xf>
    <xf numFmtId="0" fontId="262" fillId="25" borderId="133" xfId="121" applyFont="1" applyBorder="1" applyAlignment="1">
      <alignment horizontal="right" vertical="center" wrapText="1"/>
    </xf>
    <xf numFmtId="0" fontId="262" fillId="25" borderId="68" xfId="121" applyFont="1" applyBorder="1" applyAlignment="1">
      <alignment horizontal="right" vertical="center" wrapText="1"/>
    </xf>
    <xf numFmtId="0" fontId="149" fillId="0" borderId="0" xfId="78" applyFont="1" applyAlignment="1">
      <alignment horizontal="center" vertical="center" wrapText="1"/>
    </xf>
    <xf numFmtId="0" fontId="151" fillId="0" borderId="10" xfId="78" applyFont="1" applyBorder="1" applyAlignment="1">
      <alignment horizontal="center"/>
    </xf>
    <xf numFmtId="0" fontId="151" fillId="0" borderId="10" xfId="78" applyFont="1" applyBorder="1" applyAlignment="1">
      <alignment horizontal="center" vertical="center"/>
    </xf>
    <xf numFmtId="0" fontId="20" fillId="0" borderId="114" xfId="80" applyBorder="1" applyAlignment="1">
      <alignment horizontal="left" vertical="center" wrapText="1"/>
    </xf>
    <xf numFmtId="0" fontId="20" fillId="0" borderId="110" xfId="80" applyBorder="1" applyAlignment="1">
      <alignment horizontal="left" vertical="center" wrapText="1"/>
    </xf>
    <xf numFmtId="0" fontId="20" fillId="0" borderId="0" xfId="80" applyAlignment="1">
      <alignment horizontal="left" vertical="center" wrapText="1"/>
    </xf>
    <xf numFmtId="0" fontId="20" fillId="0" borderId="18" xfId="80" applyBorder="1" applyAlignment="1">
      <alignment horizontal="left" vertical="center" wrapText="1"/>
    </xf>
    <xf numFmtId="0" fontId="73" fillId="0" borderId="19" xfId="80" applyFont="1" applyBorder="1" applyAlignment="1">
      <alignment horizontal="center" vertical="center"/>
    </xf>
    <xf numFmtId="0" fontId="73" fillId="0" borderId="121" xfId="80" applyFont="1" applyBorder="1" applyAlignment="1">
      <alignment horizontal="center" vertical="center"/>
    </xf>
    <xf numFmtId="0" fontId="73" fillId="0" borderId="20" xfId="80" applyFont="1" applyBorder="1" applyAlignment="1">
      <alignment horizontal="center" vertical="center"/>
    </xf>
    <xf numFmtId="0" fontId="59" fillId="0" borderId="133" xfId="80" applyFont="1" applyBorder="1" applyAlignment="1">
      <alignment vertical="center" wrapText="1"/>
    </xf>
    <xf numFmtId="0" fontId="59" fillId="0" borderId="134" xfId="80" applyFont="1" applyBorder="1" applyAlignment="1">
      <alignment vertical="center" wrapText="1"/>
    </xf>
    <xf numFmtId="0" fontId="64" fillId="0" borderId="0" xfId="80" applyFont="1" applyAlignment="1">
      <alignment horizontal="left" vertical="center"/>
    </xf>
    <xf numFmtId="0" fontId="64" fillId="0" borderId="0" xfId="80" applyFont="1" applyAlignment="1">
      <alignment horizontal="center" vertical="center" wrapText="1"/>
    </xf>
    <xf numFmtId="0" fontId="14" fillId="28" borderId="0" xfId="138" applyFill="1" applyAlignment="1"/>
    <xf numFmtId="0" fontId="14" fillId="0" borderId="5" xfId="138" applyBorder="1" applyAlignment="1"/>
    <xf numFmtId="0" fontId="14" fillId="0" borderId="33" xfId="138" applyBorder="1" applyAlignment="1"/>
    <xf numFmtId="0" fontId="10" fillId="0" borderId="5" xfId="148" applyBorder="1" applyAlignment="1"/>
    <xf numFmtId="0" fontId="10" fillId="0" borderId="33" xfId="148" applyBorder="1" applyAlignment="1"/>
  </cellXfs>
  <cellStyles count="1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ody" xfId="26" xr:uid="{00000000-0005-0000-0000-000019000000}"/>
    <cellStyle name="Calc Currency (0)" xfId="27" xr:uid="{00000000-0005-0000-0000-00001A000000}"/>
    <cellStyle name="Calc Currency (2)" xfId="28" xr:uid="{00000000-0005-0000-0000-00001B000000}"/>
    <cellStyle name="Calc Percent (0)" xfId="29" xr:uid="{00000000-0005-0000-0000-00001C000000}"/>
    <cellStyle name="Calc Percent (1)" xfId="30" xr:uid="{00000000-0005-0000-0000-00001D000000}"/>
    <cellStyle name="Calc Percent (2)" xfId="31" xr:uid="{00000000-0005-0000-0000-00001E000000}"/>
    <cellStyle name="Calc Units (0)" xfId="32" xr:uid="{00000000-0005-0000-0000-00001F000000}"/>
    <cellStyle name="Calc Units (1)" xfId="33" xr:uid="{00000000-0005-0000-0000-000020000000}"/>
    <cellStyle name="Calc Units (2)" xfId="34" xr:uid="{00000000-0005-0000-0000-000021000000}"/>
    <cellStyle name="Calculation" xfId="35" builtinId="22" customBuiltin="1"/>
    <cellStyle name="Check Cell" xfId="36" builtinId="23" customBuiltin="1"/>
    <cellStyle name="Comma" xfId="37" builtinId="3"/>
    <cellStyle name="Comma  - Style1" xfId="38" xr:uid="{00000000-0005-0000-0000-000025000000}"/>
    <cellStyle name="Comma [00]" xfId="39" xr:uid="{00000000-0005-0000-0000-000026000000}"/>
    <cellStyle name="Comma 10" xfId="162" xr:uid="{00000000-0005-0000-0000-000027000000}"/>
    <cellStyle name="Comma 11" xfId="156" xr:uid="{00000000-0005-0000-0000-000028000000}"/>
    <cellStyle name="Comma 12" xfId="167" xr:uid="{00000000-0005-0000-0000-000029000000}"/>
    <cellStyle name="Comma 13" xfId="174" xr:uid="{00000000-0005-0000-0000-00002A000000}"/>
    <cellStyle name="Comma 2" xfId="40" xr:uid="{00000000-0005-0000-0000-00002B000000}"/>
    <cellStyle name="Comma 2 2" xfId="41" xr:uid="{00000000-0005-0000-0000-00002C000000}"/>
    <cellStyle name="Comma 2 2 2 2" xfId="153" xr:uid="{00000000-0005-0000-0000-00002D000000}"/>
    <cellStyle name="Comma 2 3" xfId="147" xr:uid="{00000000-0005-0000-0000-00002E000000}"/>
    <cellStyle name="Comma 2 4" xfId="166" xr:uid="{00000000-0005-0000-0000-00002F000000}"/>
    <cellStyle name="Comma 2 5" xfId="175" xr:uid="{00000000-0005-0000-0000-000030000000}"/>
    <cellStyle name="Comma 2 6" xfId="152" xr:uid="{00000000-0005-0000-0000-000031000000}"/>
    <cellStyle name="Comma 3" xfId="42" xr:uid="{00000000-0005-0000-0000-000032000000}"/>
    <cellStyle name="Comma 3 2" xfId="130" xr:uid="{00000000-0005-0000-0000-000033000000}"/>
    <cellStyle name="Comma 4" xfId="43" xr:uid="{00000000-0005-0000-0000-000034000000}"/>
    <cellStyle name="Comma 4 2" xfId="44" xr:uid="{00000000-0005-0000-0000-000035000000}"/>
    <cellStyle name="Comma 4 3" xfId="45" xr:uid="{00000000-0005-0000-0000-000036000000}"/>
    <cellStyle name="Comma 5" xfId="119" xr:uid="{00000000-0005-0000-0000-000037000000}"/>
    <cellStyle name="Comma 5 2" xfId="122" xr:uid="{00000000-0005-0000-0000-000038000000}"/>
    <cellStyle name="Comma 5 3" xfId="172" xr:uid="{00000000-0005-0000-0000-000039000000}"/>
    <cellStyle name="Comma 51" xfId="151" xr:uid="{00000000-0005-0000-0000-00003A000000}"/>
    <cellStyle name="Comma 6" xfId="139" xr:uid="{00000000-0005-0000-0000-00003B000000}"/>
    <cellStyle name="Comma 7" xfId="144" xr:uid="{00000000-0005-0000-0000-00003C000000}"/>
    <cellStyle name="Comma 8" xfId="149" xr:uid="{00000000-0005-0000-0000-00003D000000}"/>
    <cellStyle name="Comma 9" xfId="159" xr:uid="{00000000-0005-0000-0000-00003E000000}"/>
    <cellStyle name="Curren - Style2" xfId="46" xr:uid="{00000000-0005-0000-0000-00003F000000}"/>
    <cellStyle name="Currency [00]" xfId="47" xr:uid="{00000000-0005-0000-0000-000040000000}"/>
    <cellStyle name="date" xfId="48" xr:uid="{00000000-0005-0000-0000-000041000000}"/>
    <cellStyle name="Date Short" xfId="49" xr:uid="{00000000-0005-0000-0000-000042000000}"/>
    <cellStyle name="DELTA" xfId="50" xr:uid="{00000000-0005-0000-0000-000043000000}"/>
    <cellStyle name="Enter Currency (0)" xfId="51" xr:uid="{00000000-0005-0000-0000-000044000000}"/>
    <cellStyle name="Enter Currency (2)" xfId="52" xr:uid="{00000000-0005-0000-0000-000045000000}"/>
    <cellStyle name="Enter Units (0)" xfId="53" xr:uid="{00000000-0005-0000-0000-000046000000}"/>
    <cellStyle name="Enter Units (1)" xfId="54" xr:uid="{00000000-0005-0000-0000-000047000000}"/>
    <cellStyle name="Enter Units (2)" xfId="55" xr:uid="{00000000-0005-0000-0000-000048000000}"/>
    <cellStyle name="Explanatory Text" xfId="56" builtinId="53" customBuiltin="1"/>
    <cellStyle name="Good" xfId="57" builtinId="26" customBuiltin="1"/>
    <cellStyle name="Grey" xfId="58" xr:uid="{00000000-0005-0000-0000-00004B000000}"/>
    <cellStyle name="Header1" xfId="59" xr:uid="{00000000-0005-0000-0000-00004C000000}"/>
    <cellStyle name="Header2" xfId="60" xr:uid="{00000000-0005-0000-0000-00004D000000}"/>
    <cellStyle name="Heading 1" xfId="61" builtinId="16" customBuiltin="1"/>
    <cellStyle name="Heading 2" xfId="62" builtinId="17" customBuiltin="1"/>
    <cellStyle name="Heading 3" xfId="63" builtinId="18" customBuiltin="1"/>
    <cellStyle name="Heading 4" xfId="64" builtinId="19" customBuiltin="1"/>
    <cellStyle name="Input" xfId="65" builtinId="20" customBuiltin="1"/>
    <cellStyle name="Input [yellow]" xfId="66" xr:uid="{00000000-0005-0000-0000-000053000000}"/>
    <cellStyle name="Link Currency (0)" xfId="67" xr:uid="{00000000-0005-0000-0000-000054000000}"/>
    <cellStyle name="Link Currency (2)" xfId="68" xr:uid="{00000000-0005-0000-0000-000055000000}"/>
    <cellStyle name="Link Units (0)" xfId="69" xr:uid="{00000000-0005-0000-0000-000056000000}"/>
    <cellStyle name="Link Units (1)" xfId="70" xr:uid="{00000000-0005-0000-0000-000057000000}"/>
    <cellStyle name="Link Units (2)" xfId="71" xr:uid="{00000000-0005-0000-0000-000058000000}"/>
    <cellStyle name="Linked Cell" xfId="72" builtinId="24" customBuiltin="1"/>
    <cellStyle name="Neutral" xfId="73" builtinId="28" customBuiltin="1"/>
    <cellStyle name="no dec" xfId="74" xr:uid="{00000000-0005-0000-0000-00005B000000}"/>
    <cellStyle name="Normal" xfId="0" builtinId="0"/>
    <cellStyle name="Normal - Style1" xfId="75" xr:uid="{00000000-0005-0000-0000-00005D000000}"/>
    <cellStyle name="Normal 10" xfId="138" xr:uid="{00000000-0005-0000-0000-00005E000000}"/>
    <cellStyle name="Normal 11" xfId="141" xr:uid="{00000000-0005-0000-0000-00005F000000}"/>
    <cellStyle name="Normal 12" xfId="142" xr:uid="{00000000-0005-0000-0000-000060000000}"/>
    <cellStyle name="Normal 12 2" xfId="173" xr:uid="{00000000-0005-0000-0000-000061000000}"/>
    <cellStyle name="Normal 13" xfId="146" xr:uid="{00000000-0005-0000-0000-000062000000}"/>
    <cellStyle name="Normal 14" xfId="148" xr:uid="{00000000-0005-0000-0000-000063000000}"/>
    <cellStyle name="Normal 14 2" xfId="170" xr:uid="{00000000-0005-0000-0000-000064000000}"/>
    <cellStyle name="Normal 15" xfId="158" xr:uid="{00000000-0005-0000-0000-000065000000}"/>
    <cellStyle name="Normal 16" xfId="161" xr:uid="{00000000-0005-0000-0000-000066000000}"/>
    <cellStyle name="Normal 17" xfId="165" xr:uid="{00000000-0005-0000-0000-000067000000}"/>
    <cellStyle name="Normal 17 2" xfId="178" xr:uid="{00000000-0005-0000-0000-000068000000}"/>
    <cellStyle name="Normal 18" xfId="177" xr:uid="{00000000-0005-0000-0000-000069000000}"/>
    <cellStyle name="Normal 2" xfId="76" xr:uid="{00000000-0005-0000-0000-00006A000000}"/>
    <cellStyle name="Normal 2 2" xfId="77" xr:uid="{00000000-0005-0000-0000-00006B000000}"/>
    <cellStyle name="Normal 2 2 2" xfId="78" xr:uid="{00000000-0005-0000-0000-00006C000000}"/>
    <cellStyle name="Normal 2 2 3" xfId="129" xr:uid="{00000000-0005-0000-0000-00006D000000}"/>
    <cellStyle name="Normal 2 24" xfId="150" xr:uid="{00000000-0005-0000-0000-00006E000000}"/>
    <cellStyle name="Normal 3" xfId="79" xr:uid="{00000000-0005-0000-0000-00006F000000}"/>
    <cellStyle name="Normal 3 2" xfId="80" xr:uid="{00000000-0005-0000-0000-000070000000}"/>
    <cellStyle name="Normal 3 3" xfId="81" xr:uid="{00000000-0005-0000-0000-000071000000}"/>
    <cellStyle name="Normal 3 4" xfId="82" xr:uid="{00000000-0005-0000-0000-000072000000}"/>
    <cellStyle name="Normal 3 4 2" xfId="125" xr:uid="{00000000-0005-0000-0000-000073000000}"/>
    <cellStyle name="Normal 3 4 2 2" xfId="128" xr:uid="{00000000-0005-0000-0000-000074000000}"/>
    <cellStyle name="Normal 3 4 2 2 2" xfId="132" xr:uid="{00000000-0005-0000-0000-000075000000}"/>
    <cellStyle name="Normal 3 4 2 2 3" xfId="134" xr:uid="{00000000-0005-0000-0000-000076000000}"/>
    <cellStyle name="Normal 3 5" xfId="157" xr:uid="{00000000-0005-0000-0000-000077000000}"/>
    <cellStyle name="Normal 4" xfId="83" xr:uid="{00000000-0005-0000-0000-000078000000}"/>
    <cellStyle name="Normal 4 2" xfId="123" xr:uid="{00000000-0005-0000-0000-000079000000}"/>
    <cellStyle name="Normal 4 2 2" xfId="127" xr:uid="{00000000-0005-0000-0000-00007A000000}"/>
    <cellStyle name="Normal 4 2 2 2" xfId="133" xr:uid="{00000000-0005-0000-0000-00007B000000}"/>
    <cellStyle name="Normal 4 2 2 3" xfId="135" xr:uid="{00000000-0005-0000-0000-00007C000000}"/>
    <cellStyle name="Normal 4_Nesco_Board_MIS_-Apr'10_Dec'10_Revised" xfId="124" xr:uid="{00000000-0005-0000-0000-00007D000000}"/>
    <cellStyle name="Normal 5" xfId="84" xr:uid="{00000000-0005-0000-0000-00007E000000}"/>
    <cellStyle name="Normal 6" xfId="85" xr:uid="{00000000-0005-0000-0000-00007F000000}"/>
    <cellStyle name="Normal 6 2" xfId="120" xr:uid="{00000000-0005-0000-0000-000080000000}"/>
    <cellStyle name="Normal 7" xfId="117" xr:uid="{00000000-0005-0000-0000-000081000000}"/>
    <cellStyle name="Normal 7 2" xfId="121" xr:uid="{00000000-0005-0000-0000-000082000000}"/>
    <cellStyle name="Normal 8" xfId="131" xr:uid="{00000000-0005-0000-0000-000083000000}"/>
    <cellStyle name="Normal 8 2" xfId="171" xr:uid="{00000000-0005-0000-0000-000084000000}"/>
    <cellStyle name="Normal 9" xfId="137" xr:uid="{00000000-0005-0000-0000-000085000000}"/>
    <cellStyle name="Normal 9 2" xfId="143" xr:uid="{00000000-0005-0000-0000-000086000000}"/>
    <cellStyle name="Normal 9 3" xfId="155" xr:uid="{00000000-0005-0000-0000-000087000000}"/>
    <cellStyle name="Normal 9 4" xfId="160" xr:uid="{00000000-0005-0000-0000-000088000000}"/>
    <cellStyle name="Normal_NDPL BS 31.03.2003 AS ON 26.5.2003" xfId="163" xr:uid="{00000000-0005-0000-0000-000089000000}"/>
    <cellStyle name="Normal_OERC  Performance formats-P-1 to P-15 3" xfId="86" xr:uid="{00000000-0005-0000-0000-00008A000000}"/>
    <cellStyle name="Normal_tarif revision" xfId="87" xr:uid="{00000000-0005-0000-0000-00008B000000}"/>
    <cellStyle name="Normal_Tariff 05-06" xfId="88" xr:uid="{00000000-0005-0000-0000-00008C000000}"/>
    <cellStyle name="Normal_TEMPLATE" xfId="89" xr:uid="{00000000-0005-0000-0000-00008D000000}"/>
    <cellStyle name="Normal_TEMPLATE 2 2" xfId="136" xr:uid="{00000000-0005-0000-0000-00008E000000}"/>
    <cellStyle name="Normal_TRIAL 2" xfId="164" xr:uid="{00000000-0005-0000-0000-00008F000000}"/>
    <cellStyle name="Note" xfId="90" builtinId="10" customBuiltin="1"/>
    <cellStyle name="Output" xfId="91" builtinId="21" customBuiltin="1"/>
    <cellStyle name="Percent" xfId="92" builtinId="5"/>
    <cellStyle name="Percent [0]" xfId="93" xr:uid="{00000000-0005-0000-0000-000093000000}"/>
    <cellStyle name="Percent [00]" xfId="94" xr:uid="{00000000-0005-0000-0000-000094000000}"/>
    <cellStyle name="Percent [2]" xfId="95" xr:uid="{00000000-0005-0000-0000-000095000000}"/>
    <cellStyle name="Percent 10" xfId="154" xr:uid="{00000000-0005-0000-0000-000096000000}"/>
    <cellStyle name="Percent 11" xfId="169" xr:uid="{00000000-0005-0000-0000-000097000000}"/>
    <cellStyle name="Percent 12" xfId="176" xr:uid="{00000000-0005-0000-0000-000098000000}"/>
    <cellStyle name="Percent 2" xfId="96" xr:uid="{00000000-0005-0000-0000-000099000000}"/>
    <cellStyle name="Percent 2 2" xfId="97" xr:uid="{00000000-0005-0000-0000-00009A000000}"/>
    <cellStyle name="Percent 2 3" xfId="98" xr:uid="{00000000-0005-0000-0000-00009B000000}"/>
    <cellStyle name="Percent 2 4" xfId="168" xr:uid="{00000000-0005-0000-0000-00009C000000}"/>
    <cellStyle name="Percent 3" xfId="99" xr:uid="{00000000-0005-0000-0000-00009D000000}"/>
    <cellStyle name="Percent 3 2" xfId="118" xr:uid="{00000000-0005-0000-0000-00009E000000}"/>
    <cellStyle name="Percent 4" xfId="100" xr:uid="{00000000-0005-0000-0000-00009F000000}"/>
    <cellStyle name="Percent 5" xfId="101" xr:uid="{00000000-0005-0000-0000-0000A0000000}"/>
    <cellStyle name="Percent 5 2" xfId="102" xr:uid="{00000000-0005-0000-0000-0000A1000000}"/>
    <cellStyle name="Percent 5 3" xfId="103" xr:uid="{00000000-0005-0000-0000-0000A2000000}"/>
    <cellStyle name="Percent 6" xfId="104" xr:uid="{00000000-0005-0000-0000-0000A3000000}"/>
    <cellStyle name="Percent 7" xfId="126" xr:uid="{00000000-0005-0000-0000-0000A4000000}"/>
    <cellStyle name="Percent 8" xfId="140" xr:uid="{00000000-0005-0000-0000-0000A5000000}"/>
    <cellStyle name="Percent 9" xfId="145" xr:uid="{00000000-0005-0000-0000-0000A6000000}"/>
    <cellStyle name="Percent_laroux_BINV" xfId="105" xr:uid="{00000000-0005-0000-0000-0000A7000000}"/>
    <cellStyle name="PrePop Currency (0)" xfId="106" xr:uid="{00000000-0005-0000-0000-0000A8000000}"/>
    <cellStyle name="PrePop Currency (2)" xfId="107" xr:uid="{00000000-0005-0000-0000-0000A9000000}"/>
    <cellStyle name="PrePop Units (0)" xfId="108" xr:uid="{00000000-0005-0000-0000-0000AA000000}"/>
    <cellStyle name="PrePop Units (1)" xfId="109" xr:uid="{00000000-0005-0000-0000-0000AB000000}"/>
    <cellStyle name="PrePop Units (2)" xfId="110" xr:uid="{00000000-0005-0000-0000-0000AC000000}"/>
    <cellStyle name="Text Indent A" xfId="111" xr:uid="{00000000-0005-0000-0000-0000AD000000}"/>
    <cellStyle name="Text Indent B" xfId="112" xr:uid="{00000000-0005-0000-0000-0000AE000000}"/>
    <cellStyle name="Text Indent C" xfId="113" xr:uid="{00000000-0005-0000-0000-0000AF000000}"/>
    <cellStyle name="Title" xfId="114" builtinId="15" customBuiltin="1"/>
    <cellStyle name="Total" xfId="115" builtinId="25" customBuiltin="1"/>
    <cellStyle name="Warning Text" xfId="116" builtinId="11" customBuiltin="1"/>
  </cellStyles>
  <dxfs count="39">
    <dxf>
      <font>
        <color rgb="FF9C0006"/>
      </font>
      <fill>
        <patternFill>
          <bgColor rgb="FFFFC7CE"/>
        </patternFill>
      </fill>
    </dxf>
    <dxf>
      <fill>
        <patternFill>
          <bgColor rgb="FF00B0F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00B0F0"/>
        </patternFill>
      </fill>
    </dxf>
  </dxfs>
  <tableStyles count="0" defaultTableStyle="TableStyleMedium9" defaultPivotStyle="PivotStyleLight16"/>
  <colors>
    <mruColors>
      <color rgb="FF00800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7.xml"/><Relationship Id="rId16" Type="http://schemas.openxmlformats.org/officeDocument/2006/relationships/worksheet" Target="worksheets/sheet16.xml"/><Relationship Id="rId107" Type="http://schemas.openxmlformats.org/officeDocument/2006/relationships/externalLink" Target="externalLinks/externalLink1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7.xml"/><Relationship Id="rId123" Type="http://schemas.openxmlformats.org/officeDocument/2006/relationships/externalLink" Target="externalLinks/externalLink28.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8.xml"/><Relationship Id="rId118" Type="http://schemas.openxmlformats.org/officeDocument/2006/relationships/externalLink" Target="externalLinks/externalLink2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8.xml"/><Relationship Id="rId108" Type="http://schemas.openxmlformats.org/officeDocument/2006/relationships/externalLink" Target="externalLinks/externalLink13.xml"/><Relationship Id="rId124" Type="http://schemas.openxmlformats.org/officeDocument/2006/relationships/externalLink" Target="externalLinks/externalLink29.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9.xml"/><Relationship Id="rId119" Type="http://schemas.openxmlformats.org/officeDocument/2006/relationships/externalLink" Target="externalLinks/externalLink2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120" Type="http://schemas.openxmlformats.org/officeDocument/2006/relationships/externalLink" Target="externalLinks/externalLink25.xml"/><Relationship Id="rId125"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5.xml"/><Relationship Id="rId115" Type="http://schemas.openxmlformats.org/officeDocument/2006/relationships/externalLink" Target="externalLinks/externalLink20.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121" Type="http://schemas.openxmlformats.org/officeDocument/2006/relationships/externalLink" Target="externalLinks/externalLink2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6.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1.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122"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53</xdr:row>
      <xdr:rowOff>0</xdr:rowOff>
    </xdr:from>
    <xdr:to>
      <xdr:col>5</xdr:col>
      <xdr:colOff>95250</xdr:colOff>
      <xdr:row>54</xdr:row>
      <xdr:rowOff>38100</xdr:rowOff>
    </xdr:to>
    <xdr:sp macro="" textlink="">
      <xdr:nvSpPr>
        <xdr:cNvPr id="68611" name="Text Box 5">
          <a:extLst>
            <a:ext uri="{FF2B5EF4-FFF2-40B4-BE49-F238E27FC236}">
              <a16:creationId xmlns:a16="http://schemas.microsoft.com/office/drawing/2014/main" id="{00000000-0008-0000-4600-0000030C0100}"/>
            </a:ext>
          </a:extLst>
        </xdr:cNvPr>
        <xdr:cNvSpPr txBox="1">
          <a:spLocks noChangeArrowheads="1"/>
        </xdr:cNvSpPr>
      </xdr:nvSpPr>
      <xdr:spPr bwMode="auto">
        <a:xfrm>
          <a:off x="6858000" y="36337875"/>
          <a:ext cx="95250" cy="21907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pnodl-my.sharepoint.com/TARIFF%202006-07/Query-Tariff-2006-07/Distribution/SOUTHC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O%20E%20R%20C\ARRWESCO%20NOV-2006\Distribution\Consumer%20Analysis%20working%20she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Consumer%20Analysis%20working%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in-server\Ajeet\Documents%20and%20Settings\H066\Desktop\AAS%20March%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enith\c\Harichandan\Tax%20Audit\Tax%20Audit-06-07\E-Return-06-07-Original\ITR5_G6_form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enith\c\E-Filling-IT\VersionI_CD_5\VersionI_CD_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etservermum\benip\Documents%20and%20Settings\Excise_aetl\Local%20Settings\Temporary%20Internet%20Files\OLK3A4\CostSheet-Apr-0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pnodl-my.sharepoint.com/TARIFF%202006-07/Query-Tariff-2006-07/Distribution/Consumer%20Analysis%20working%20shee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fa-hp\f\TARIFF%202006-07\Query-Tariff-2006-07\Distribution\Consumer%20Analysis%20working%20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pnodl-my.sharepoint.com/personal/dinesh_mahato_tpnodl_com/Documents/Desktop/TPNODL_ARR_Application_2024-25%20-Draft_22.11.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ssengupta\Documents\D%20DRIVE%20DATA\Siladitya%20Sengupta\ssengupta\d%20drive\Siladitya\Study\NESCO\TPNODL\ARR\ARR%20Calculation%20back-up%20FY-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fa-hp\f\TARIFF%202006-07\Query-Tariff-2006-07\Distribution\SOUTH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ssengupta\Documents\D%20DRIVE%20DATA\Siladitya%20Sengupta\ssengupta\d%20drive\Siladitya\Study\NESCO\TPNODL\Capex\TONODL%20CAPEX%20Planner_FY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ssengupta\Documents\D%20DRIVE%20DATA\Siladitya%20Sengupta\ssengupta\d%20drive\Siladitya\Study\NESCO\TPNODL\ARR\Capex%2022-23%20in%20finance%20forma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ssengupta\Documents\D%20DRIVE%20DATA\Siladitya%20Sengupta\ssengupta\d%20drive\Siladitya\Study\NESCO\TPNODL\NESCO_Capex%20%20Opex%20Plan_FY22_Boar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tpnodl-my.sharepoint.com/Data/1-MIS/06-Sep%2023/ACM%20&amp;%20Board/Mar'23%20Revenue%20Schedule_Q4FY23%20%20Final%202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tpnodl-my.sharepoint.com/Data/8-AOP%20&amp;%20ABP/2024-25/HR/Final%20HR%20Budget_ARR_FY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agannath.sha\AppData\Local\Microsoft\Windows\INetCache\Content.Outlook\I6GOXRU4\TPNODL%20TRUING%20UP%20APPLICATION%20FY%202022-23-%20FORMATS-Final_20.11%20(0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pnodl-my.sharepoint.com/OERC/ARR%20FY%202022-23/Expenses/3.%20A&amp;G%20FY2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tpnodl-my.sharepoint.com/personal/dinesh_mahato_tpnodl_com/Documents/Desktop/TPNODL_ARR_2024-25%20-Capitalisation%20Requirement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tpnodl-my.sharepoint.com/Data/2-Financial/2022-23/TPNODL%20FS%20FY23_Signed%20FS%20Freez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pnodl-my.sharepoint.com/personal/dinesh_mahato_tpnodl_com/Documents/Desktop/Copy%20of%20Book1%20(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pnodl-my.sharepoint.com/Users/cso/AppData/Local/Microsoft/Windows/Temporary%20Internet%20Files/Low/Content.IE5/SBBZUIBU/Distribution/SOUTHC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tpnodl-my.sharepoint.com/personal/dinesh_mahato_tpnodl_com/Documents/Desktop/ledger%20202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O%20E%20R%20C\ARRWESCO%20NOV-2006\Distribution\SOUTH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fa-hp\f\Users\cso\AppData\Local\Microsoft\Windows\Temporary%20Internet%20Files\Low\Content.IE5\SBBZUIBU\Distribution\SOUTHC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in-server\Ajeet\Documents%20and%20Settings\h032.CORPORATE\Local%20Settings\Temporary%20Internet%20Files\Content.Outlook\YO97GD2J\2010-11%20-%20work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ande\d\Client\OPTSOE\2006\Client\MLS\2006\TDS%20REturns\eTDSRPUForm26Q_ver3.22%20-EGPL%20Q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pnodl-my.sharepoint.com/FIXED%20ASSETS%20REGISTER/FY%202023-24/MIS/Oct'23/CapEx%20&amp;%20Capitalisation%20as%20on%2031.10.2023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pnodl-my.sharepoint.com/Users/cso/AppData/Local/Microsoft/Windows/Temporary%20Internet%20Files/Low/Content.IE5/SBBZUIBU/Distribution/Consumer%20Analysis%20working%20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sion"/>
      <sheetName val="DIR FEES"/>
      <sheetName val="MD REM"/>
      <sheetName val="REMU"/>
      <sheetName val="REM S 198&amp;309"/>
      <sheetName val="SEC. DEPOSIT"/>
      <sheetName val="UNPAID W,S,B"/>
      <sheetName val="LE paid 2 Staff"/>
      <sheetName val="prepaid exp"/>
      <sheetName val="ADVS(2)"/>
      <sheetName val="LTA Medical"/>
      <sheetName val="ann-dr-2"/>
      <sheetName val="BRIEF"/>
      <sheetName val="DON 1960 TO 2007-08"/>
      <sheetName val="DONATION 82-2010"/>
      <sheetName val="DON5YR"/>
      <sheetName val="INT RECVABLE"/>
      <sheetName val="PROD64"/>
      <sheetName val="Canteen &amp; Shop Deposit"/>
      <sheetName val="Unpaid Medical Workers"/>
      <sheetName val="Communication  Exp"/>
      <sheetName val="UNPAID"/>
      <sheetName val="Leave Enc W Mthly"/>
      <sheetName val="PKL"/>
      <sheetName val="RATE-PARTA"/>
      <sheetName val="Sales &amp; Others"/>
      <sheetName val="OUTRIGHT"/>
      <sheetName val="COM FIG P&amp;S(2)"/>
      <sheetName val="Depreciation"/>
      <sheetName val="2009-10-Electricity"/>
      <sheetName val="ELE UNI 2 in one"/>
      <sheetName val="Spares Consumption"/>
      <sheetName val="Misc Income"/>
      <sheetName val="CL STOCK"/>
      <sheetName val="FIN GOODS"/>
      <sheetName val="April 2010 - March 2011"/>
      <sheetName val="st value new"/>
      <sheetName val="Raw Material Consumed"/>
      <sheetName val="Export"/>
      <sheetName val="Raw Material Purchase"/>
      <sheetName val="CRARMC"/>
      <sheetName val="P &amp; D (C)"/>
      <sheetName val="P&amp;S(P)"/>
      <sheetName val="P&amp;S(T)"/>
      <sheetName val="P&amp;S(B)"/>
      <sheetName val="CF P&amp;S"/>
      <sheetName val="COM PROD"/>
      <sheetName val="PROCESS"/>
      <sheetName val="Sheet1"/>
      <sheetName val="MELT LOS(PS)"/>
      <sheetName val="OWN A-C PROD"/>
      <sheetName val="P&amp;S (3)"/>
      <sheetName val="DR"/>
      <sheetName val="FDR"/>
      <sheetName val="SLS(PKL)"/>
      <sheetName val="T ADV"/>
      <sheetName val="Pend Ex Matt"/>
      <sheetName val="Excise Netting"/>
      <sheetName val="Credit Limit"/>
      <sheetName val="Finished &amp; Process Stock"/>
      <sheetName val="fexch"/>
      <sheetName val="Bank chg"/>
      <sheetName val="Ex. diff"/>
      <sheetName val="BILLS PUR EXPORT"/>
      <sheetName val="BILLS PURCH"/>
      <sheetName val="INV"/>
      <sheetName val="RE RECD"/>
      <sheetName val="I S &amp; C CONS"/>
      <sheetName val="I S RECD"/>
      <sheetName val="Deemed Export"/>
      <sheetName val="Copper Advance"/>
      <sheetName val="Repair - Other Assets"/>
      <sheetName val="Retention Money"/>
      <sheetName val="Smelting Adv"/>
      <sheetName val="Stores Advance - Bhandup"/>
      <sheetName val="Capital Account"/>
      <sheetName val="Books &amp; Periodicals - Forex"/>
      <sheetName val="Exp in FC"/>
      <sheetName val="Cash &amp; Bank Bal"/>
      <sheetName val="FD List"/>
      <sheetName val="Gas Units"/>
      <sheetName val="Conversion Stock"/>
      <sheetName val="Job Work - 574"/>
      <sheetName val="RM Stock Own AC"/>
      <sheetName val="Cash &amp; Bank Bhandup"/>
      <sheetName val="Bills Purchased BOB"/>
      <sheetName val="SUM BS5YR"/>
      <sheetName val="Notes 1"/>
      <sheetName val="Notes 2"/>
      <sheetName val="Notes 3"/>
      <sheetName val="Notes 4"/>
      <sheetName val="Notes 5"/>
      <sheetName val="Notes 6"/>
      <sheetName val="Notes 7"/>
      <sheetName val="Notes 8"/>
      <sheetName val="Cost-Dist"/>
      <sheetName val="PART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nar salary"/>
      <sheetName val="Cost-Dist"/>
      <sheetName val="PRODUCT-COST"/>
      <sheetName val="RM-COST-GROSS"/>
      <sheetName val="Assump06"/>
      <sheetName val="RM-COST"/>
      <sheetName val="Batch-Ratio-07-08"/>
      <sheetName val="RM-COST-OLD"/>
      <sheetName val="RM-RATES"/>
      <sheetName val="SALARY-APR-Mar 08"/>
      <sheetName val="PRODUCTION-QTY-07-08"/>
      <sheetName val="Yield-07-08"/>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0"/>
      <sheetName val="Contents"/>
      <sheetName val="table of contents"/>
      <sheetName val="T-1"/>
      <sheetName val="T-2_22-23"/>
      <sheetName val="T-2"/>
      <sheetName val="T-3_22-23"/>
      <sheetName val="T-3"/>
      <sheetName val="T-4"/>
      <sheetName val="T-5"/>
      <sheetName val="T-6_22-23"/>
      <sheetName val="T-6"/>
      <sheetName val="T-7_Current_Year"/>
      <sheetName val="T-7_Ensuing_Year"/>
      <sheetName val="T-8"/>
      <sheetName val="average Tariff"/>
      <sheetName val="T-9"/>
      <sheetName val="asset-pre-license"/>
      <sheetName val=" F-1 "/>
      <sheetName val="cwip"/>
      <sheetName val="F-2"/>
      <sheetName val="IDC"/>
      <sheetName val="Depreciation-New"/>
      <sheetName val="Interest"/>
      <sheetName val="Capex Plan 2122"/>
      <sheetName val="Revenue,WC,ROE"/>
      <sheetName val="Capex Plan 2223"/>
      <sheetName val="Govt. Funded Capex 2122 2223"/>
      <sheetName val="Tax"/>
      <sheetName val="Capex"/>
      <sheetName val="Employee cost (2)"/>
      <sheetName val="O&amp;M"/>
      <sheetName val="Detail break-up"/>
      <sheetName val="Non-tariff"/>
      <sheetName val="Depreciation"/>
      <sheetName val="EIR borrowing"/>
      <sheetName val="CAPITALISATION SUMMARY"/>
      <sheetName val="Own_Capex"/>
      <sheetName val="F-3"/>
      <sheetName val="F-4"/>
      <sheetName val="F-5"/>
      <sheetName val="Sheet2"/>
      <sheetName val="Allocation - Assumptions"/>
      <sheetName val="ARR Wheeling"/>
      <sheetName val="ARR Retail Supply Business"/>
      <sheetName val="Allocation Totality"/>
      <sheetName val="F-6"/>
      <sheetName val="F-7"/>
      <sheetName val="F-8"/>
      <sheetName val="F-9"/>
      <sheetName val="Inventory Plan"/>
      <sheetName val="F-10"/>
      <sheetName val="F-11"/>
      <sheetName val="Employee cost CAPITALISATION"/>
      <sheetName val="F-12"/>
      <sheetName val="F-13"/>
      <sheetName val="F-14"/>
      <sheetName val="A &amp; G - expns"/>
      <sheetName val="Sheet3"/>
      <sheetName val="dummy f-15"/>
      <sheetName val="F-15"/>
      <sheetName val="F-16"/>
      <sheetName val="F-17"/>
      <sheetName val="F-18"/>
      <sheetName val="F-19"/>
      <sheetName val="F-20"/>
      <sheetName val="Accounts Payable 310321"/>
      <sheetName val="F-21"/>
      <sheetName val="F-22"/>
      <sheetName val="F-23"/>
      <sheetName val="Tariff Highlights 05-06"/>
      <sheetName val="F-24"/>
      <sheetName val="Analysis"/>
      <sheetName val="F-33-old"/>
      <sheetName val="Employee cost"/>
      <sheetName val="F-25 NA"/>
      <sheetName val="F-26 NA"/>
      <sheetName val="F-27_20-21"/>
      <sheetName val="F-27_21-22"/>
      <sheetName val="P-1"/>
      <sheetName val="P-2"/>
      <sheetName val="P-3"/>
      <sheetName val="P-4"/>
      <sheetName val="P-5"/>
      <sheetName val="P-6"/>
      <sheetName val="P-7"/>
      <sheetName val="P8_20-21"/>
      <sheetName val="P8_21-22"/>
      <sheetName val="P9_20-21"/>
      <sheetName val="P9_21-22"/>
      <sheetName val="P-10"/>
      <sheetName val="P11_20-21"/>
      <sheetName val="P11_21-22"/>
      <sheetName val="P-12"/>
      <sheetName val="P-13"/>
      <sheetName val="P-14"/>
      <sheetName val="P-15"/>
      <sheetName val="P-16"/>
      <sheetName val="P-17_20-21"/>
      <sheetName val="P-17_21-22"/>
      <sheetName val="tariff 22-23"/>
      <sheetName val="Corss -Sub -TPNODL"/>
      <sheetName val="TPNODL-Wheeling "/>
    </sheetNames>
    <sheetDataSet>
      <sheetData sheetId="0"/>
      <sheetData sheetId="1"/>
      <sheetData sheetId="2"/>
      <sheetData sheetId="3">
        <row r="9">
          <cell r="G9">
            <v>42329</v>
          </cell>
          <cell r="H9">
            <v>7559</v>
          </cell>
          <cell r="K9">
            <v>5.0599999999999996</v>
          </cell>
          <cell r="M9">
            <v>16877</v>
          </cell>
          <cell r="N9">
            <v>4402</v>
          </cell>
          <cell r="O9">
            <v>5.468</v>
          </cell>
          <cell r="Q9">
            <v>5.0599999999999996</v>
          </cell>
          <cell r="R9">
            <v>5.468</v>
          </cell>
        </row>
        <row r="10">
          <cell r="G10">
            <v>1830722</v>
          </cell>
          <cell r="H10">
            <v>1892545</v>
          </cell>
          <cell r="K10">
            <v>1660.7170000000001</v>
          </cell>
          <cell r="M10">
            <v>1792477</v>
          </cell>
          <cell r="N10">
            <v>1766478</v>
          </cell>
          <cell r="O10">
            <v>1710.049</v>
          </cell>
          <cell r="Q10">
            <v>1660.7170000000001</v>
          </cell>
          <cell r="R10">
            <v>1710.049</v>
          </cell>
        </row>
        <row r="11">
          <cell r="K11">
            <v>721.21362579141305</v>
          </cell>
          <cell r="O11">
            <v>742.63745091486396</v>
          </cell>
          <cell r="Q11">
            <v>721.21362579141305</v>
          </cell>
          <cell r="R11">
            <v>742.63745091486396</v>
          </cell>
        </row>
        <row r="12">
          <cell r="K12">
            <v>662.8970934191384</v>
          </cell>
          <cell r="O12">
            <v>682.58861184916157</v>
          </cell>
          <cell r="Q12">
            <v>662.8970934191384</v>
          </cell>
          <cell r="R12">
            <v>682.58861184916157</v>
          </cell>
        </row>
        <row r="13">
          <cell r="K13">
            <v>202.20583468943477</v>
          </cell>
          <cell r="O13">
            <v>208.21240789660922</v>
          </cell>
          <cell r="Q13">
            <v>202.20583468943477</v>
          </cell>
          <cell r="R13">
            <v>208.21240789660922</v>
          </cell>
        </row>
        <row r="14">
          <cell r="K14">
            <v>74.400446100013809</v>
          </cell>
          <cell r="O14">
            <v>76.610529339365158</v>
          </cell>
          <cell r="Q14">
            <v>74.400446100013809</v>
          </cell>
          <cell r="R14">
            <v>76.610529339365158</v>
          </cell>
        </row>
        <row r="16">
          <cell r="G16">
            <v>108910</v>
          </cell>
          <cell r="H16">
            <v>306805</v>
          </cell>
          <cell r="K16">
            <v>465.07799999999997</v>
          </cell>
          <cell r="M16">
            <v>121147</v>
          </cell>
          <cell r="N16">
            <v>331940</v>
          </cell>
          <cell r="O16">
            <v>515.88699999999994</v>
          </cell>
          <cell r="Q16">
            <v>465.07799999999997</v>
          </cell>
          <cell r="R16">
            <v>515.88699999999994</v>
          </cell>
        </row>
        <row r="17">
          <cell r="K17">
            <v>104.72084093534227</v>
          </cell>
          <cell r="O17">
            <v>116.16141909015458</v>
          </cell>
          <cell r="Q17">
            <v>104.72084093534227</v>
          </cell>
          <cell r="R17">
            <v>116.16141909015458</v>
          </cell>
        </row>
        <row r="18">
          <cell r="K18">
            <v>87.566471315998868</v>
          </cell>
          <cell r="O18">
            <v>97.132963046621654</v>
          </cell>
          <cell r="Q18">
            <v>87.566471315998868</v>
          </cell>
          <cell r="R18">
            <v>97.132963046621654</v>
          </cell>
        </row>
        <row r="19">
          <cell r="K19">
            <v>272.7906877486588</v>
          </cell>
          <cell r="O19">
            <v>302.59261786322367</v>
          </cell>
          <cell r="Q19">
            <v>272.7906877486588</v>
          </cell>
          <cell r="R19">
            <v>302.59261786322367</v>
          </cell>
        </row>
        <row r="21">
          <cell r="G21">
            <v>28815</v>
          </cell>
          <cell r="H21">
            <v>116603</v>
          </cell>
          <cell r="K21">
            <v>86.043000000000006</v>
          </cell>
          <cell r="M21">
            <v>27249</v>
          </cell>
          <cell r="N21">
            <v>110266</v>
          </cell>
          <cell r="O21">
            <v>133.52500000000001</v>
          </cell>
          <cell r="Q21">
            <v>86.043000000000006</v>
          </cell>
          <cell r="R21">
            <v>133.52500000000001</v>
          </cell>
        </row>
        <row r="22">
          <cell r="G22">
            <v>2603</v>
          </cell>
          <cell r="H22">
            <v>31755</v>
          </cell>
          <cell r="K22">
            <v>60.427999999999997</v>
          </cell>
          <cell r="M22">
            <v>3580</v>
          </cell>
          <cell r="N22">
            <v>52821</v>
          </cell>
          <cell r="O22">
            <v>81.510000000000005</v>
          </cell>
          <cell r="Q22">
            <v>60.427999999999997</v>
          </cell>
          <cell r="R22">
            <v>81.510000000000005</v>
          </cell>
        </row>
        <row r="23">
          <cell r="G23">
            <v>57</v>
          </cell>
          <cell r="H23">
            <v>858</v>
          </cell>
          <cell r="K23">
            <v>1.734</v>
          </cell>
          <cell r="M23">
            <v>70</v>
          </cell>
          <cell r="N23">
            <v>1040</v>
          </cell>
          <cell r="O23">
            <v>2.0659999999999998</v>
          </cell>
          <cell r="Q23">
            <v>1.734</v>
          </cell>
          <cell r="R23">
            <v>2.0659999999999998</v>
          </cell>
        </row>
        <row r="24">
          <cell r="G24">
            <v>1421</v>
          </cell>
          <cell r="H24">
            <v>7022</v>
          </cell>
          <cell r="K24">
            <v>29.614000000000001</v>
          </cell>
          <cell r="M24">
            <v>2023</v>
          </cell>
          <cell r="N24">
            <v>9058</v>
          </cell>
          <cell r="O24">
            <v>36.634</v>
          </cell>
          <cell r="Q24">
            <v>29.614000000000001</v>
          </cell>
          <cell r="R24">
            <v>36.634</v>
          </cell>
        </row>
        <row r="25">
          <cell r="G25">
            <v>4357</v>
          </cell>
          <cell r="H25">
            <v>40529</v>
          </cell>
          <cell r="K25">
            <v>22.155999999999999</v>
          </cell>
          <cell r="M25">
            <v>4383</v>
          </cell>
          <cell r="N25">
            <v>40713</v>
          </cell>
          <cell r="O25">
            <v>22.963999999999999</v>
          </cell>
          <cell r="Q25">
            <v>22.155999999999999</v>
          </cell>
          <cell r="R25">
            <v>22.963999999999999</v>
          </cell>
        </row>
        <row r="26">
          <cell r="G26">
            <v>1132</v>
          </cell>
          <cell r="H26">
            <v>49238</v>
          </cell>
          <cell r="K26">
            <v>42.741999999999997</v>
          </cell>
          <cell r="M26">
            <v>1155</v>
          </cell>
          <cell r="N26">
            <v>50851</v>
          </cell>
          <cell r="O26">
            <v>45.781999999999996</v>
          </cell>
          <cell r="Q26">
            <v>42.741999999999997</v>
          </cell>
          <cell r="R26">
            <v>45.781999999999996</v>
          </cell>
        </row>
        <row r="27">
          <cell r="G27">
            <v>16052</v>
          </cell>
          <cell r="H27">
            <v>34048</v>
          </cell>
          <cell r="K27">
            <v>49.100999999999999</v>
          </cell>
          <cell r="M27">
            <v>19643</v>
          </cell>
          <cell r="N27">
            <v>40628</v>
          </cell>
          <cell r="O27">
            <v>58.494999999999997</v>
          </cell>
          <cell r="Q27">
            <v>49.100999999999999</v>
          </cell>
          <cell r="R27">
            <v>58.494999999999997</v>
          </cell>
        </row>
        <row r="28">
          <cell r="G28">
            <v>4490</v>
          </cell>
          <cell r="H28">
            <v>29204</v>
          </cell>
          <cell r="K28">
            <v>60.904000000000003</v>
          </cell>
          <cell r="M28">
            <v>4945</v>
          </cell>
          <cell r="N28">
            <v>32141</v>
          </cell>
          <cell r="O28">
            <v>66.402000000000001</v>
          </cell>
          <cell r="Q28">
            <v>60.904000000000003</v>
          </cell>
          <cell r="R28">
            <v>66.402000000000001</v>
          </cell>
        </row>
        <row r="32">
          <cell r="K32">
            <v>2483.5770000000002</v>
          </cell>
          <cell r="O32">
            <v>2678.7820000000002</v>
          </cell>
        </row>
        <row r="34">
          <cell r="G34">
            <v>26</v>
          </cell>
          <cell r="H34">
            <v>9826</v>
          </cell>
          <cell r="K34">
            <v>16.71</v>
          </cell>
          <cell r="M34">
            <v>26</v>
          </cell>
          <cell r="N34">
            <v>10025</v>
          </cell>
          <cell r="O34">
            <v>16.989000000000001</v>
          </cell>
          <cell r="Q34">
            <v>17.225000000000001</v>
          </cell>
          <cell r="R34">
            <v>17.512</v>
          </cell>
        </row>
        <row r="35">
          <cell r="G35">
            <v>9</v>
          </cell>
          <cell r="H35">
            <v>35524</v>
          </cell>
          <cell r="K35">
            <v>4.5270000000000001</v>
          </cell>
          <cell r="M35">
            <v>11</v>
          </cell>
          <cell r="N35">
            <v>41650</v>
          </cell>
          <cell r="O35">
            <v>6.2210000000000001</v>
          </cell>
          <cell r="Q35">
            <v>4.681</v>
          </cell>
          <cell r="R35">
            <v>6.4850000000000003</v>
          </cell>
        </row>
        <row r="36">
          <cell r="G36">
            <v>73</v>
          </cell>
          <cell r="H36">
            <v>18523</v>
          </cell>
          <cell r="K36">
            <v>21.719000000000001</v>
          </cell>
          <cell r="M36">
            <v>82</v>
          </cell>
          <cell r="N36">
            <v>20185</v>
          </cell>
          <cell r="O36">
            <v>24.324000000000002</v>
          </cell>
          <cell r="Q36">
            <v>27.888000000000002</v>
          </cell>
          <cell r="R36">
            <v>31.154</v>
          </cell>
        </row>
        <row r="37">
          <cell r="G37">
            <v>13</v>
          </cell>
          <cell r="H37">
            <v>8895</v>
          </cell>
          <cell r="K37">
            <v>42.414000000000001</v>
          </cell>
          <cell r="O37">
            <v>47.619</v>
          </cell>
          <cell r="Q37">
            <v>43.787999999999997</v>
          </cell>
          <cell r="R37">
            <v>49.17</v>
          </cell>
        </row>
        <row r="38">
          <cell r="G38">
            <v>46</v>
          </cell>
          <cell r="H38">
            <v>12679</v>
          </cell>
          <cell r="K38">
            <v>16.690999999999999</v>
          </cell>
          <cell r="M38">
            <v>60</v>
          </cell>
          <cell r="N38">
            <v>32807</v>
          </cell>
          <cell r="O38">
            <v>25.443000000000001</v>
          </cell>
          <cell r="Q38">
            <v>17.266999999999999</v>
          </cell>
          <cell r="R38">
            <v>26.318999999999999</v>
          </cell>
        </row>
        <row r="40">
          <cell r="G40">
            <v>127</v>
          </cell>
          <cell r="H40">
            <v>33547</v>
          </cell>
          <cell r="K40">
            <v>59.686</v>
          </cell>
          <cell r="M40">
            <v>160</v>
          </cell>
          <cell r="N40">
            <v>44840</v>
          </cell>
          <cell r="O40">
            <v>69.808999999999997</v>
          </cell>
          <cell r="Q40">
            <v>63.767000000000003</v>
          </cell>
          <cell r="R40">
            <v>74.994</v>
          </cell>
        </row>
        <row r="42">
          <cell r="G42">
            <v>20</v>
          </cell>
          <cell r="H42">
            <v>7046</v>
          </cell>
          <cell r="K42">
            <v>14.752000000000001</v>
          </cell>
          <cell r="M42">
            <v>51</v>
          </cell>
          <cell r="N42">
            <v>21908</v>
          </cell>
          <cell r="O42">
            <v>18.518000000000001</v>
          </cell>
          <cell r="Q42">
            <v>16.838000000000001</v>
          </cell>
          <cell r="R42">
            <v>21.05</v>
          </cell>
        </row>
        <row r="43">
          <cell r="G43">
            <v>342</v>
          </cell>
          <cell r="H43">
            <v>185007</v>
          </cell>
          <cell r="K43">
            <v>482.03399999999999</v>
          </cell>
          <cell r="M43">
            <v>406</v>
          </cell>
          <cell r="N43">
            <v>223001</v>
          </cell>
          <cell r="O43">
            <v>538.78499999999997</v>
          </cell>
          <cell r="Q43">
            <v>507.65199999999999</v>
          </cell>
          <cell r="R43">
            <v>569.51199999999994</v>
          </cell>
        </row>
        <row r="44">
          <cell r="G44">
            <v>1</v>
          </cell>
          <cell r="H44">
            <v>555</v>
          </cell>
          <cell r="K44">
            <v>6.6639999999999997</v>
          </cell>
          <cell r="M44">
            <v>1</v>
          </cell>
          <cell r="N44">
            <v>10700</v>
          </cell>
          <cell r="O44">
            <v>25.32</v>
          </cell>
          <cell r="Q44">
            <v>6.9960000000000004</v>
          </cell>
          <cell r="R44">
            <v>25.632999999999999</v>
          </cell>
        </row>
        <row r="47">
          <cell r="G47">
            <v>2</v>
          </cell>
          <cell r="H47">
            <v>3100</v>
          </cell>
          <cell r="K47">
            <v>0.371</v>
          </cell>
          <cell r="M47">
            <v>2</v>
          </cell>
          <cell r="N47">
            <v>3100</v>
          </cell>
          <cell r="O47">
            <v>1.7999999999999999E-2</v>
          </cell>
          <cell r="Q47">
            <v>0.38700000000000001</v>
          </cell>
          <cell r="R47">
            <v>1.7999999999999999E-2</v>
          </cell>
        </row>
        <row r="49">
          <cell r="K49">
            <v>665.56799999999998</v>
          </cell>
          <cell r="O49">
            <v>773.04600000000005</v>
          </cell>
        </row>
        <row r="51">
          <cell r="G51">
            <v>1</v>
          </cell>
          <cell r="H51">
            <v>20000</v>
          </cell>
          <cell r="K51">
            <v>91.807000000000002</v>
          </cell>
          <cell r="M51">
            <v>1</v>
          </cell>
          <cell r="N51">
            <v>20000</v>
          </cell>
          <cell r="O51">
            <v>93.081999999999994</v>
          </cell>
          <cell r="Q51">
            <v>91.917000000000002</v>
          </cell>
          <cell r="R51">
            <v>93.194000000000003</v>
          </cell>
        </row>
        <row r="52">
          <cell r="G52">
            <v>26</v>
          </cell>
          <cell r="H52">
            <v>495667</v>
          </cell>
          <cell r="K52">
            <v>2246.2269999999999</v>
          </cell>
          <cell r="M52">
            <v>25</v>
          </cell>
          <cell r="N52">
            <v>542667</v>
          </cell>
          <cell r="O52">
            <v>2417.232</v>
          </cell>
          <cell r="Q52">
            <v>2267.5839999999998</v>
          </cell>
          <cell r="R52">
            <v>2440.623</v>
          </cell>
        </row>
        <row r="53">
          <cell r="G53">
            <v>8</v>
          </cell>
          <cell r="H53">
            <v>151000</v>
          </cell>
          <cell r="K53">
            <v>470.77600000000001</v>
          </cell>
          <cell r="M53">
            <v>9</v>
          </cell>
          <cell r="N53">
            <v>164500</v>
          </cell>
          <cell r="O53">
            <v>477.31400000000002</v>
          </cell>
          <cell r="Q53">
            <v>482.38</v>
          </cell>
          <cell r="R53">
            <v>489.08</v>
          </cell>
        </row>
        <row r="54">
          <cell r="G54">
            <v>1</v>
          </cell>
          <cell r="H54">
            <v>16667</v>
          </cell>
          <cell r="K54">
            <v>374.166</v>
          </cell>
          <cell r="M54">
            <v>2</v>
          </cell>
          <cell r="N54">
            <v>88667</v>
          </cell>
          <cell r="O54">
            <v>434.55099999999999</v>
          </cell>
          <cell r="Q54">
            <v>378.65800000000002</v>
          </cell>
          <cell r="R54">
            <v>445.23700000000002</v>
          </cell>
        </row>
        <row r="55">
          <cell r="G55">
            <v>3</v>
          </cell>
          <cell r="H55">
            <v>35000</v>
          </cell>
          <cell r="K55">
            <v>131.20699999999999</v>
          </cell>
          <cell r="M55">
            <v>3</v>
          </cell>
          <cell r="N55">
            <v>41500</v>
          </cell>
          <cell r="O55">
            <v>133.029</v>
          </cell>
          <cell r="Q55">
            <v>132.66300000000001</v>
          </cell>
          <cell r="R55">
            <v>134.506</v>
          </cell>
        </row>
        <row r="57">
          <cell r="G57">
            <v>2</v>
          </cell>
          <cell r="H57">
            <v>13333</v>
          </cell>
          <cell r="K57">
            <v>0.38300000000000001</v>
          </cell>
          <cell r="M57">
            <v>2</v>
          </cell>
          <cell r="N57">
            <v>13333</v>
          </cell>
          <cell r="O57">
            <v>7.1999999999999995E-2</v>
          </cell>
          <cell r="Q57">
            <v>0.41</v>
          </cell>
          <cell r="R57">
            <v>7.1999999999999995E-2</v>
          </cell>
        </row>
        <row r="59">
          <cell r="K59">
            <v>3314.5659999999993</v>
          </cell>
          <cell r="O59">
            <v>3555.2799999999997</v>
          </cell>
        </row>
        <row r="61">
          <cell r="O61">
            <v>7007.1080000000002</v>
          </cell>
        </row>
        <row r="62">
          <cell r="K62">
            <v>7717.8639999999996</v>
          </cell>
          <cell r="O62">
            <v>8161.085</v>
          </cell>
        </row>
      </sheetData>
      <sheetData sheetId="4"/>
      <sheetData sheetId="5">
        <row r="10">
          <cell r="D10">
            <v>84495</v>
          </cell>
        </row>
        <row r="11">
          <cell r="C11">
            <v>55790</v>
          </cell>
        </row>
        <row r="12">
          <cell r="C12">
            <v>29049</v>
          </cell>
        </row>
        <row r="13">
          <cell r="C13">
            <v>12852</v>
          </cell>
        </row>
        <row r="14">
          <cell r="C14">
            <v>12411</v>
          </cell>
        </row>
        <row r="29">
          <cell r="D29">
            <v>1014099</v>
          </cell>
        </row>
        <row r="30">
          <cell r="C30">
            <v>165678</v>
          </cell>
        </row>
        <row r="31">
          <cell r="C31">
            <v>37578</v>
          </cell>
        </row>
        <row r="32">
          <cell r="C32">
            <v>10005</v>
          </cell>
        </row>
        <row r="33">
          <cell r="C33">
            <v>7200</v>
          </cell>
        </row>
        <row r="43">
          <cell r="F43">
            <v>408.94699999999995</v>
          </cell>
          <cell r="G43">
            <v>375.88</v>
          </cell>
          <cell r="H43">
            <v>114.65600000000001</v>
          </cell>
          <cell r="I43">
            <v>42.186999999999998</v>
          </cell>
        </row>
      </sheetData>
      <sheetData sheetId="6"/>
      <sheetData sheetId="7">
        <row r="10">
          <cell r="D10">
            <v>14288</v>
          </cell>
        </row>
        <row r="11">
          <cell r="C11">
            <v>6609</v>
          </cell>
        </row>
        <row r="12">
          <cell r="C12">
            <v>3779</v>
          </cell>
        </row>
        <row r="13">
          <cell r="C13">
            <v>1490</v>
          </cell>
        </row>
        <row r="14">
          <cell r="C14">
            <v>2041</v>
          </cell>
        </row>
        <row r="16">
          <cell r="C16">
            <v>10282</v>
          </cell>
        </row>
        <row r="25">
          <cell r="D25">
            <v>31066</v>
          </cell>
        </row>
        <row r="26">
          <cell r="C26">
            <v>12058</v>
          </cell>
        </row>
        <row r="27">
          <cell r="C27">
            <v>5328</v>
          </cell>
        </row>
        <row r="28">
          <cell r="C28">
            <v>1690</v>
          </cell>
        </row>
        <row r="29">
          <cell r="C29">
            <v>2128</v>
          </cell>
        </row>
        <row r="31">
          <cell r="C31">
            <v>1167</v>
          </cell>
        </row>
        <row r="35">
          <cell r="E35">
            <v>52.634</v>
          </cell>
          <cell r="F35">
            <v>44.012</v>
          </cell>
          <cell r="G35">
            <v>137.108</v>
          </cell>
        </row>
      </sheetData>
      <sheetData sheetId="8"/>
      <sheetData sheetId="9"/>
      <sheetData sheetId="10"/>
      <sheetData sheetId="11"/>
      <sheetData sheetId="12">
        <row r="65">
          <cell r="U65">
            <v>3739.6313737925229</v>
          </cell>
        </row>
      </sheetData>
      <sheetData sheetId="13">
        <row r="57">
          <cell r="Z57">
            <v>319.92242039999996</v>
          </cell>
        </row>
        <row r="65">
          <cell r="Z65">
            <v>4033.3444813605356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4">
          <cell r="M34" t="e">
            <v>#DIV/0!</v>
          </cell>
          <cell r="Q34" t="e">
            <v>#DIV/0!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cost"/>
      <sheetName val="IDC"/>
      <sheetName val="O&amp;M"/>
      <sheetName val="Revenue,WC,ROE"/>
      <sheetName val="Depreciation"/>
      <sheetName val="EIR borrowing"/>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duck_SK_1"/>
      <sheetName val="Summary"/>
      <sheetName val="Capitalization Plan FY 21-22"/>
      <sheetName val="Sheet1 (3)"/>
      <sheetName val="Sheet3"/>
      <sheetName val="transformer burnt in 20-21"/>
    </sheetNames>
    <sheetDataSet>
      <sheetData sheetId="0" refreshError="1"/>
      <sheetData sheetId="1" refreshError="1"/>
      <sheetData sheetId="2">
        <row r="3">
          <cell r="I3">
            <v>0</v>
          </cell>
          <cell r="J3">
            <v>4.78</v>
          </cell>
          <cell r="K3">
            <v>0</v>
          </cell>
          <cell r="L3">
            <v>4.78</v>
          </cell>
        </row>
        <row r="4">
          <cell r="I4">
            <v>0.2</v>
          </cell>
          <cell r="J4">
            <v>0.9</v>
          </cell>
          <cell r="K4">
            <v>0</v>
          </cell>
          <cell r="L4">
            <v>1</v>
          </cell>
        </row>
        <row r="5">
          <cell r="I5">
            <v>2.0499999999999998</v>
          </cell>
          <cell r="J5">
            <v>5.05</v>
          </cell>
          <cell r="K5">
            <v>2</v>
          </cell>
          <cell r="L5">
            <v>4.5</v>
          </cell>
        </row>
        <row r="6">
          <cell r="I6">
            <v>1.92</v>
          </cell>
          <cell r="J6">
            <v>4.32</v>
          </cell>
          <cell r="K6">
            <v>1.8</v>
          </cell>
          <cell r="L6">
            <v>4</v>
          </cell>
        </row>
        <row r="7">
          <cell r="I7">
            <v>0</v>
          </cell>
          <cell r="J7">
            <v>2.17</v>
          </cell>
          <cell r="K7">
            <v>0</v>
          </cell>
          <cell r="L7">
            <v>1.95</v>
          </cell>
        </row>
        <row r="9">
          <cell r="I9">
            <v>0.16</v>
          </cell>
          <cell r="J9">
            <v>0</v>
          </cell>
          <cell r="K9">
            <v>0.16</v>
          </cell>
          <cell r="L9">
            <v>0</v>
          </cell>
        </row>
        <row r="10">
          <cell r="I10">
            <v>0.16</v>
          </cell>
          <cell r="J10">
            <v>0</v>
          </cell>
          <cell r="K10">
            <v>0.16</v>
          </cell>
          <cell r="L10">
            <v>0</v>
          </cell>
        </row>
        <row r="11">
          <cell r="I11">
            <v>1.5</v>
          </cell>
          <cell r="J11">
            <v>8.59</v>
          </cell>
          <cell r="K11">
            <v>0</v>
          </cell>
          <cell r="L11">
            <v>9.17</v>
          </cell>
        </row>
        <row r="12">
          <cell r="I12">
            <v>0</v>
          </cell>
          <cell r="J12">
            <v>1.76</v>
          </cell>
          <cell r="K12">
            <v>0</v>
          </cell>
          <cell r="L12">
            <v>1.76</v>
          </cell>
        </row>
        <row r="14">
          <cell r="I14">
            <v>5.12</v>
          </cell>
          <cell r="J14">
            <v>12.559999999999999</v>
          </cell>
          <cell r="K14">
            <v>0</v>
          </cell>
          <cell r="L14">
            <v>14.53</v>
          </cell>
        </row>
        <row r="15">
          <cell r="I15">
            <v>1.5</v>
          </cell>
          <cell r="J15">
            <v>11.04</v>
          </cell>
          <cell r="K15">
            <v>0</v>
          </cell>
          <cell r="L15">
            <v>11.4</v>
          </cell>
        </row>
        <row r="16">
          <cell r="I16">
            <v>5.47</v>
          </cell>
          <cell r="J16">
            <v>14.650000000000002</v>
          </cell>
          <cell r="K16">
            <v>0</v>
          </cell>
          <cell r="L16">
            <v>16.21</v>
          </cell>
        </row>
        <row r="17">
          <cell r="I17">
            <v>1.67</v>
          </cell>
          <cell r="J17">
            <v>5.18</v>
          </cell>
          <cell r="K17">
            <v>0</v>
          </cell>
          <cell r="L17">
            <v>6.23</v>
          </cell>
        </row>
        <row r="18">
          <cell r="I18">
            <v>1.5</v>
          </cell>
          <cell r="J18">
            <v>3.5</v>
          </cell>
          <cell r="K18">
            <v>0.5</v>
          </cell>
          <cell r="L18">
            <v>4.04</v>
          </cell>
        </row>
        <row r="19">
          <cell r="I19">
            <v>0</v>
          </cell>
          <cell r="J19">
            <v>3.9</v>
          </cell>
          <cell r="K19">
            <v>0</v>
          </cell>
          <cell r="L19">
            <v>3.5</v>
          </cell>
        </row>
        <row r="20">
          <cell r="I20">
            <v>0</v>
          </cell>
          <cell r="J20">
            <v>1.1499999999999999</v>
          </cell>
          <cell r="K20">
            <v>0</v>
          </cell>
          <cell r="L20">
            <v>1.1499999999999999</v>
          </cell>
        </row>
        <row r="21">
          <cell r="I21">
            <v>0</v>
          </cell>
          <cell r="J21">
            <v>0</v>
          </cell>
          <cell r="K21">
            <v>0</v>
          </cell>
          <cell r="L21">
            <v>0</v>
          </cell>
        </row>
        <row r="22">
          <cell r="I22">
            <v>0</v>
          </cell>
          <cell r="J22">
            <v>4.9000000000000004</v>
          </cell>
          <cell r="K22">
            <v>0</v>
          </cell>
          <cell r="L22">
            <v>4.9000000000000004</v>
          </cell>
        </row>
        <row r="23">
          <cell r="I23">
            <v>0.41</v>
          </cell>
          <cell r="J23">
            <v>0.5</v>
          </cell>
          <cell r="K23">
            <v>0.2</v>
          </cell>
          <cell r="L23">
            <v>0.61</v>
          </cell>
        </row>
        <row r="24">
          <cell r="I24">
            <v>0.2</v>
          </cell>
          <cell r="J24">
            <v>1.07</v>
          </cell>
          <cell r="K24">
            <v>0</v>
          </cell>
          <cell r="L24">
            <v>1.1599999999999999</v>
          </cell>
        </row>
        <row r="26">
          <cell r="I26">
            <v>0</v>
          </cell>
          <cell r="J26">
            <v>8.6999999999999993</v>
          </cell>
          <cell r="K26">
            <v>0</v>
          </cell>
          <cell r="L26">
            <v>8.6999999999999993</v>
          </cell>
        </row>
        <row r="27">
          <cell r="I27">
            <v>0.35</v>
          </cell>
          <cell r="J27">
            <v>3.65</v>
          </cell>
          <cell r="K27">
            <v>0</v>
          </cell>
          <cell r="L27">
            <v>3.63</v>
          </cell>
        </row>
        <row r="28">
          <cell r="I28">
            <v>0.14000000000000001</v>
          </cell>
          <cell r="J28">
            <v>3</v>
          </cell>
          <cell r="K28">
            <v>0</v>
          </cell>
          <cell r="L28">
            <v>2.86</v>
          </cell>
        </row>
        <row r="29">
          <cell r="I29">
            <v>0</v>
          </cell>
          <cell r="J29">
            <v>1.29</v>
          </cell>
          <cell r="K29">
            <v>0</v>
          </cell>
          <cell r="L29">
            <v>1.18</v>
          </cell>
        </row>
        <row r="30">
          <cell r="I30">
            <v>0</v>
          </cell>
          <cell r="J30">
            <v>1.59</v>
          </cell>
          <cell r="K30">
            <v>0</v>
          </cell>
          <cell r="L30">
            <v>1.44</v>
          </cell>
        </row>
        <row r="32">
          <cell r="I32">
            <v>0</v>
          </cell>
          <cell r="J32">
            <v>0.32</v>
          </cell>
          <cell r="K32">
            <v>0</v>
          </cell>
          <cell r="L32">
            <v>0.32</v>
          </cell>
        </row>
        <row r="33">
          <cell r="I33">
            <v>2</v>
          </cell>
          <cell r="J33">
            <v>3.67</v>
          </cell>
          <cell r="K33">
            <v>2</v>
          </cell>
          <cell r="L33">
            <v>3.67</v>
          </cell>
        </row>
        <row r="34">
          <cell r="I34">
            <v>7.47</v>
          </cell>
          <cell r="J34">
            <v>5.7510000000000003</v>
          </cell>
          <cell r="K34">
            <v>7.47</v>
          </cell>
          <cell r="L34">
            <v>5.7510000000000003</v>
          </cell>
        </row>
        <row r="35">
          <cell r="I35">
            <v>13.28</v>
          </cell>
          <cell r="J35">
            <v>1.49</v>
          </cell>
          <cell r="K35">
            <v>13.28</v>
          </cell>
          <cell r="L35">
            <v>1.49</v>
          </cell>
        </row>
        <row r="36">
          <cell r="I36">
            <v>0</v>
          </cell>
          <cell r="J36">
            <v>2</v>
          </cell>
          <cell r="K36">
            <v>0</v>
          </cell>
          <cell r="L36">
            <v>2</v>
          </cell>
        </row>
        <row r="37">
          <cell r="I37">
            <v>0</v>
          </cell>
          <cell r="J37">
            <v>2.5499999999999998</v>
          </cell>
          <cell r="K37">
            <v>0</v>
          </cell>
          <cell r="L37">
            <v>2.5499999999999998</v>
          </cell>
        </row>
        <row r="38">
          <cell r="I38">
            <v>0</v>
          </cell>
          <cell r="J38">
            <v>9.1</v>
          </cell>
          <cell r="K38">
            <v>0</v>
          </cell>
          <cell r="L38">
            <v>9.1</v>
          </cell>
        </row>
        <row r="39">
          <cell r="I39">
            <v>0</v>
          </cell>
          <cell r="J39">
            <v>7</v>
          </cell>
          <cell r="K39">
            <v>0</v>
          </cell>
          <cell r="L39">
            <v>7</v>
          </cell>
        </row>
        <row r="40">
          <cell r="I40">
            <v>0</v>
          </cell>
          <cell r="J40">
            <v>0</v>
          </cell>
          <cell r="K40">
            <v>0</v>
          </cell>
          <cell r="L40">
            <v>0</v>
          </cell>
        </row>
        <row r="41">
          <cell r="I41">
            <v>6.45</v>
          </cell>
          <cell r="J41">
            <v>7.82</v>
          </cell>
          <cell r="K41">
            <v>4</v>
          </cell>
          <cell r="L41">
            <v>8.9</v>
          </cell>
        </row>
        <row r="42">
          <cell r="I42">
            <v>0</v>
          </cell>
          <cell r="J42">
            <v>0.5</v>
          </cell>
          <cell r="K42">
            <v>0</v>
          </cell>
          <cell r="L42">
            <v>0</v>
          </cell>
        </row>
        <row r="43">
          <cell r="I43">
            <v>0.25</v>
          </cell>
          <cell r="J43">
            <v>0.5</v>
          </cell>
          <cell r="K43">
            <v>0</v>
          </cell>
          <cell r="L43">
            <v>0.75</v>
          </cell>
        </row>
        <row r="44">
          <cell r="I44">
            <v>1.9609000000000001</v>
          </cell>
          <cell r="J44">
            <v>2.1562000000000001</v>
          </cell>
          <cell r="K44">
            <v>2.2501000000000002</v>
          </cell>
          <cell r="L44">
            <v>1.6592</v>
          </cell>
        </row>
        <row r="45">
          <cell r="I45">
            <v>0</v>
          </cell>
          <cell r="J45">
            <v>0.5</v>
          </cell>
          <cell r="K45">
            <v>0</v>
          </cell>
          <cell r="L45">
            <v>0</v>
          </cell>
        </row>
      </sheetData>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s>
    <sheetDataSet>
      <sheetData sheetId="0">
        <row r="7">
          <cell r="D7">
            <v>1.8</v>
          </cell>
        </row>
        <row r="8">
          <cell r="D8">
            <v>4.6806045921882342</v>
          </cell>
        </row>
        <row r="9">
          <cell r="D9">
            <v>4.95</v>
          </cell>
        </row>
        <row r="10">
          <cell r="D10">
            <v>3.05</v>
          </cell>
        </row>
        <row r="11">
          <cell r="D11">
            <v>2</v>
          </cell>
        </row>
        <row r="12">
          <cell r="D12">
            <v>38</v>
          </cell>
        </row>
        <row r="14">
          <cell r="D14">
            <v>14.796817086545456</v>
          </cell>
        </row>
        <row r="15">
          <cell r="D15">
            <v>1.19</v>
          </cell>
        </row>
        <row r="16">
          <cell r="D16">
            <v>0.92</v>
          </cell>
        </row>
        <row r="17">
          <cell r="D17">
            <v>0.5</v>
          </cell>
        </row>
        <row r="18">
          <cell r="D18">
            <v>25</v>
          </cell>
        </row>
        <row r="19">
          <cell r="D19">
            <v>1</v>
          </cell>
        </row>
        <row r="21">
          <cell r="D21">
            <v>25</v>
          </cell>
        </row>
        <row r="22">
          <cell r="D22">
            <v>11.2</v>
          </cell>
        </row>
        <row r="23">
          <cell r="D23">
            <v>8.8000000000000007</v>
          </cell>
        </row>
        <row r="24">
          <cell r="D24">
            <v>4.8</v>
          </cell>
        </row>
        <row r="25">
          <cell r="D25">
            <v>5.5424281415999994</v>
          </cell>
        </row>
        <row r="26">
          <cell r="D26">
            <v>21.186093599999996</v>
          </cell>
        </row>
        <row r="27">
          <cell r="D27">
            <v>4.2</v>
          </cell>
        </row>
        <row r="28">
          <cell r="D28">
            <v>2.3384380600000001</v>
          </cell>
        </row>
        <row r="29">
          <cell r="D29">
            <v>2.595944776981558</v>
          </cell>
        </row>
        <row r="30">
          <cell r="D30">
            <v>0.88</v>
          </cell>
        </row>
        <row r="31">
          <cell r="D31">
            <v>0.97499999999999998</v>
          </cell>
        </row>
        <row r="32">
          <cell r="D32">
            <v>4.5</v>
          </cell>
        </row>
        <row r="34">
          <cell r="D34">
            <v>14.936874349579352</v>
          </cell>
        </row>
        <row r="35">
          <cell r="D35">
            <v>27.746178891165425</v>
          </cell>
        </row>
        <row r="36">
          <cell r="D36">
            <v>17.078214696233697</v>
          </cell>
        </row>
        <row r="37">
          <cell r="D37">
            <v>50.9440502609568</v>
          </cell>
        </row>
        <row r="38">
          <cell r="D38">
            <v>43.477546858190486</v>
          </cell>
        </row>
        <row r="39">
          <cell r="D39">
            <v>31.151337323778694</v>
          </cell>
        </row>
        <row r="40">
          <cell r="D40">
            <v>45</v>
          </cell>
        </row>
        <row r="42">
          <cell r="D42">
            <v>7.0597610950000007</v>
          </cell>
        </row>
        <row r="43">
          <cell r="D43">
            <v>8.9408165000000004</v>
          </cell>
        </row>
        <row r="44">
          <cell r="D44">
            <v>7.3017000000000003</v>
          </cell>
        </row>
        <row r="45">
          <cell r="D45">
            <v>6.37</v>
          </cell>
        </row>
        <row r="46">
          <cell r="D46">
            <v>1.2</v>
          </cell>
        </row>
        <row r="47">
          <cell r="D47">
            <v>18.247547999999998</v>
          </cell>
        </row>
        <row r="48">
          <cell r="D48">
            <v>25.3</v>
          </cell>
        </row>
        <row r="49">
          <cell r="D49">
            <v>81.764044999999996</v>
          </cell>
        </row>
        <row r="50">
          <cell r="D50">
            <v>25.12</v>
          </cell>
        </row>
        <row r="51">
          <cell r="D51">
            <v>0.96</v>
          </cell>
        </row>
        <row r="52">
          <cell r="D52">
            <v>3.93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DA"/>
      <sheetName val="Assumptions"/>
      <sheetName val="ARR"/>
      <sheetName val="Dep"/>
      <sheetName val="FS"/>
      <sheetName val="Consumer data sheet"/>
      <sheetName val="Capex"/>
      <sheetName val="WCap Loan"/>
      <sheetName val="Capex Loan"/>
      <sheetName val="Profit Reco"/>
      <sheetName val="R&amp;M+A&amp;G"/>
      <sheetName val="Board PPT"/>
      <sheetName val="Employee cost"/>
      <sheetName val="Pending"/>
    </sheetNames>
    <sheetDataSet>
      <sheetData sheetId="0"/>
      <sheetData sheetId="1"/>
      <sheetData sheetId="2"/>
      <sheetData sheetId="3"/>
      <sheetData sheetId="4"/>
      <sheetData sheetId="5">
        <row r="5">
          <cell r="O5">
            <v>15</v>
          </cell>
        </row>
      </sheetData>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Revenue"/>
      <sheetName val="Actual Units"/>
      <sheetName val="AT&amp;C"/>
      <sheetName val="Units Summary"/>
      <sheetName val="Revenue Summary"/>
      <sheetName val="Billed_Unbilled"/>
      <sheetName val="Collection Sheet"/>
      <sheetName val="New HTEHT"/>
      <sheetName val="New LT3ph"/>
      <sheetName val="New LT1P"/>
      <sheetName val="LT1P"/>
      <sheetName val="Unbilled 3p"/>
      <sheetName val="LT1 Unbilled"/>
      <sheetName val="GRIDCO Reporting"/>
      <sheetName val="Summary"/>
      <sheetName val="Unbilled Factor"/>
      <sheetName val="EC GL"/>
      <sheetName val="corrections"/>
      <sheetName val="GRIDCO"/>
      <sheetName val="D-Bill"/>
      <sheetName val="Liquidation Plan"/>
      <sheetName val="Rohit Ferro"/>
      <sheetName val="ED Collection"/>
      <sheetName val="ED Data"/>
      <sheetName val="ED FORMA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0">
          <cell r="C20">
            <v>27362938.186100658</v>
          </cell>
        </row>
        <row r="21">
          <cell r="C21">
            <v>155467136.36460036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AOP"/>
      <sheetName val="Summary-ARR-12"/>
      <sheetName val="Employee cost FY 2022-23 Final"/>
      <sheetName val="Budget"/>
      <sheetName val="CTC Basic+OA"/>
      <sheetName val="Final Nesco"/>
      <sheetName val="Erstwhile salaries"/>
      <sheetName val="Staff welfare"/>
      <sheetName val="L&amp; D Budget"/>
      <sheetName val="Sheet1"/>
      <sheetName val="BA Cell"/>
      <sheetName val="CTC Salaries"/>
      <sheetName val="FY 2022-23"/>
    </sheetNames>
    <sheetDataSet>
      <sheetData sheetId="0"/>
      <sheetData sheetId="1"/>
      <sheetData sheetId="2"/>
      <sheetData sheetId="3">
        <row r="4">
          <cell r="C4">
            <v>349531631.16800016</v>
          </cell>
        </row>
      </sheetData>
      <sheetData sheetId="4"/>
      <sheetData sheetId="5"/>
      <sheetData sheetId="6">
        <row r="2">
          <cell r="I2">
            <v>2</v>
          </cell>
          <cell r="K2">
            <v>1</v>
          </cell>
          <cell r="L2">
            <v>2</v>
          </cell>
          <cell r="M2">
            <v>2</v>
          </cell>
          <cell r="N2">
            <v>5</v>
          </cell>
          <cell r="O2">
            <v>4</v>
          </cell>
          <cell r="P2">
            <v>3</v>
          </cell>
          <cell r="Q2">
            <v>8</v>
          </cell>
          <cell r="R2">
            <v>9</v>
          </cell>
          <cell r="S2">
            <v>5</v>
          </cell>
          <cell r="T2">
            <v>4</v>
          </cell>
          <cell r="U2">
            <v>2</v>
          </cell>
          <cell r="V2">
            <v>1</v>
          </cell>
          <cell r="W2">
            <v>1</v>
          </cell>
          <cell r="X2">
            <v>1</v>
          </cell>
          <cell r="Y2">
            <v>0</v>
          </cell>
          <cell r="Z2">
            <v>2</v>
          </cell>
          <cell r="AA2">
            <v>3</v>
          </cell>
          <cell r="AB2">
            <v>2</v>
          </cell>
        </row>
        <row r="5">
          <cell r="L5">
            <v>81068429.645599991</v>
          </cell>
          <cell r="M5">
            <v>80983630.032999992</v>
          </cell>
          <cell r="N5">
            <v>80898830.420399994</v>
          </cell>
          <cell r="O5">
            <v>80686831.388899997</v>
          </cell>
          <cell r="P5">
            <v>80517232.163699999</v>
          </cell>
        </row>
      </sheetData>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U-1-Truing Up"/>
      <sheetName val="TU -2-PP Cost"/>
      <sheetName val="TU-3-Employee"/>
      <sheetName val="TU-4-R&amp;M"/>
      <sheetName val="TU-5-A&amp;G"/>
      <sheetName val="TU-6- Return on Equity"/>
      <sheetName val="TU-7-Misc income"/>
      <sheetName val="TU-8-Normative TL Interest"/>
      <sheetName val="TU-9-Wc Interest Cost"/>
      <sheetName val="TU-10-ASL"/>
    </sheetNames>
    <sheetDataSet>
      <sheetData sheetId="0" refreshError="1"/>
      <sheetData sheetId="1" refreshError="1"/>
      <sheetData sheetId="2" refreshError="1"/>
      <sheetData sheetId="3" refreshError="1"/>
      <sheetData sheetId="4">
        <row r="4">
          <cell r="D4">
            <v>45.93</v>
          </cell>
        </row>
        <row r="5">
          <cell r="D5">
            <v>2.21</v>
          </cell>
        </row>
        <row r="6">
          <cell r="D6">
            <v>12.41</v>
          </cell>
        </row>
        <row r="7">
          <cell r="D7">
            <v>0.17</v>
          </cell>
        </row>
        <row r="9">
          <cell r="D9">
            <v>8.1</v>
          </cell>
        </row>
        <row r="10">
          <cell r="D10">
            <v>3.16</v>
          </cell>
        </row>
        <row r="11">
          <cell r="D11">
            <v>11.28</v>
          </cell>
        </row>
        <row r="12">
          <cell r="D12">
            <v>0.24</v>
          </cell>
        </row>
        <row r="13">
          <cell r="D13">
            <v>0.04</v>
          </cell>
        </row>
        <row r="14">
          <cell r="D14">
            <v>0.39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summary"/>
      <sheetName val="ARR A&amp;G Group"/>
      <sheetName val="HR+Admin"/>
      <sheetName val="A&amp;G"/>
    </sheetNames>
    <sheetDataSet>
      <sheetData sheetId="0" refreshError="1"/>
      <sheetData sheetId="1" refreshError="1">
        <row r="4">
          <cell r="A4" t="str">
            <v>Admin AMCs</v>
          </cell>
          <cell r="B4">
            <v>0</v>
          </cell>
          <cell r="C4">
            <v>16.8</v>
          </cell>
          <cell r="D4">
            <v>0</v>
          </cell>
          <cell r="E4">
            <v>0.16800000000000001</v>
          </cell>
        </row>
        <row r="5">
          <cell r="A5" t="str">
            <v>Advertisement</v>
          </cell>
          <cell r="B5">
            <v>195.36705549999999</v>
          </cell>
          <cell r="C5">
            <v>128.85000000000002</v>
          </cell>
          <cell r="D5">
            <v>1.953670555</v>
          </cell>
          <cell r="E5">
            <v>1.2885000000000002</v>
          </cell>
        </row>
        <row r="6">
          <cell r="A6" t="str">
            <v>Audit fees</v>
          </cell>
          <cell r="B6">
            <v>112.33668520000001</v>
          </cell>
          <cell r="C6">
            <v>122.31854659999996</v>
          </cell>
          <cell r="D6">
            <v>1.123366852</v>
          </cell>
          <cell r="E6">
            <v>1.2231854659999997</v>
          </cell>
        </row>
        <row r="7">
          <cell r="A7" t="str">
            <v>Books &amp; Periodicals</v>
          </cell>
          <cell r="B7">
            <v>1.60581</v>
          </cell>
          <cell r="C7">
            <v>1.7182167000000002</v>
          </cell>
          <cell r="D7">
            <v>1.6058099999999999E-2</v>
          </cell>
          <cell r="E7">
            <v>1.7182167000000002E-2</v>
          </cell>
        </row>
        <row r="8">
          <cell r="A8" t="str">
            <v>Compensation Expenses to Outsiders</v>
          </cell>
          <cell r="B8">
            <v>215.61697999999996</v>
          </cell>
          <cell r="C8">
            <v>250.00000000000003</v>
          </cell>
          <cell r="D8">
            <v>2.1561697999999994</v>
          </cell>
          <cell r="E8">
            <v>2.5000000000000004</v>
          </cell>
        </row>
        <row r="9">
          <cell r="A9" t="str">
            <v>Consultancy charges</v>
          </cell>
          <cell r="B9">
            <v>536.12390149999987</v>
          </cell>
          <cell r="C9">
            <v>658.35183200000006</v>
          </cell>
          <cell r="D9">
            <v>5.3612390149999989</v>
          </cell>
          <cell r="E9">
            <v>6.5835183200000005</v>
          </cell>
        </row>
        <row r="10">
          <cell r="A10" t="str">
            <v>Consumer Care Center &amp; Call Center Exp</v>
          </cell>
          <cell r="B10">
            <v>1.3800000000000001</v>
          </cell>
          <cell r="C10">
            <v>107.47055999999999</v>
          </cell>
          <cell r="D10">
            <v>1.3800000000000002E-2</v>
          </cell>
          <cell r="E10">
            <v>1.0747055999999999</v>
          </cell>
        </row>
        <row r="11">
          <cell r="A11" t="str">
            <v>Electricity Expenses</v>
          </cell>
          <cell r="B11">
            <v>376.23115000000001</v>
          </cell>
          <cell r="C11">
            <v>393</v>
          </cell>
          <cell r="D11">
            <v>3.7623115</v>
          </cell>
          <cell r="E11">
            <v>3.93</v>
          </cell>
        </row>
        <row r="12">
          <cell r="A12" t="str">
            <v>Employee Cost</v>
          </cell>
          <cell r="B12">
            <v>40441.110125500003</v>
          </cell>
          <cell r="C12">
            <v>44290.515202541719</v>
          </cell>
          <cell r="D12">
            <v>404.41110125500001</v>
          </cell>
          <cell r="E12">
            <v>442.90515202541718</v>
          </cell>
        </row>
        <row r="13">
          <cell r="A13" t="str">
            <v>Employee welfare expense</v>
          </cell>
          <cell r="B13">
            <v>592.54349419999858</v>
          </cell>
          <cell r="C13">
            <v>830.59340669400001</v>
          </cell>
          <cell r="D13">
            <v>5.9254349419999857</v>
          </cell>
          <cell r="E13">
            <v>8.3059340669400008</v>
          </cell>
        </row>
        <row r="14">
          <cell r="A14" t="str">
            <v>Events and Campaign Expenses</v>
          </cell>
          <cell r="B14">
            <v>0</v>
          </cell>
          <cell r="C14">
            <v>216.95</v>
          </cell>
          <cell r="D14">
            <v>0</v>
          </cell>
          <cell r="E14">
            <v>2.1694999999999998</v>
          </cell>
        </row>
        <row r="15">
          <cell r="A15" t="str">
            <v>Expenditure for Energy Audit</v>
          </cell>
          <cell r="B15">
            <v>7.1240000000000006</v>
          </cell>
          <cell r="C15">
            <v>7.6226799999999999</v>
          </cell>
          <cell r="D15">
            <v>7.1240000000000012E-2</v>
          </cell>
          <cell r="E15">
            <v>7.6226799999999997E-2</v>
          </cell>
        </row>
        <row r="16">
          <cell r="A16" t="str">
            <v xml:space="preserve">Expenditure on IT - Automation </v>
          </cell>
          <cell r="B16">
            <v>638.76354519999995</v>
          </cell>
          <cell r="C16">
            <v>1839.904458</v>
          </cell>
          <cell r="D16">
            <v>6.3876354519999996</v>
          </cell>
          <cell r="E16">
            <v>18.399044579999998</v>
          </cell>
        </row>
        <row r="17">
          <cell r="A17" t="str">
            <v>Facility Management Expenses</v>
          </cell>
          <cell r="B17">
            <v>117.5729188</v>
          </cell>
          <cell r="C17">
            <v>708.53130850000002</v>
          </cell>
          <cell r="D17">
            <v>1.175729188</v>
          </cell>
          <cell r="E17">
            <v>7.0853130850000001</v>
          </cell>
        </row>
        <row r="18">
          <cell r="A18" t="str">
            <v>Fees &amp; Subscription</v>
          </cell>
          <cell r="B18">
            <v>17.414580000000001</v>
          </cell>
          <cell r="C18">
            <v>18.633600600000001</v>
          </cell>
          <cell r="D18">
            <v>0.17414580000000002</v>
          </cell>
          <cell r="E18">
            <v>0.186336006</v>
          </cell>
        </row>
        <row r="19">
          <cell r="A19" t="str">
            <v>Hire charges of vehicle</v>
          </cell>
          <cell r="B19">
            <v>361.2988641</v>
          </cell>
          <cell r="C19">
            <v>1011.2596799999998</v>
          </cell>
          <cell r="D19">
            <v>3.6129886409999998</v>
          </cell>
          <cell r="E19">
            <v>10.112596799999999</v>
          </cell>
        </row>
        <row r="20">
          <cell r="A20" t="str">
            <v>Insurance</v>
          </cell>
          <cell r="B20">
            <v>287.72298999999998</v>
          </cell>
          <cell r="C20">
            <v>307.86359929999998</v>
          </cell>
          <cell r="D20">
            <v>2.8772298999999997</v>
          </cell>
          <cell r="E20">
            <v>3.0786359929999998</v>
          </cell>
        </row>
        <row r="21">
          <cell r="A21" t="str">
            <v>Lease Rent</v>
          </cell>
          <cell r="B21">
            <v>107.28958399999999</v>
          </cell>
          <cell r="C21">
            <v>215.14439999999999</v>
          </cell>
          <cell r="D21">
            <v>1.0728958399999999</v>
          </cell>
          <cell r="E21">
            <v>2.1514439999999997</v>
          </cell>
        </row>
        <row r="22">
          <cell r="A22" t="str">
            <v xml:space="preserve">Legal expenses </v>
          </cell>
          <cell r="B22">
            <v>43.037588300000003</v>
          </cell>
          <cell r="C22">
            <v>76.082838181</v>
          </cell>
          <cell r="D22">
            <v>0.43037588300000001</v>
          </cell>
          <cell r="E22">
            <v>0.76082838181000001</v>
          </cell>
        </row>
        <row r="23">
          <cell r="A23" t="str">
            <v>Licence Fees</v>
          </cell>
          <cell r="B23">
            <v>193.6857852</v>
          </cell>
          <cell r="C23">
            <v>196.00000000000003</v>
          </cell>
          <cell r="D23">
            <v>1.9368578519999999</v>
          </cell>
          <cell r="E23">
            <v>1.9600000000000002</v>
          </cell>
        </row>
        <row r="24">
          <cell r="A24" t="str">
            <v>Others-Misc.</v>
          </cell>
          <cell r="B24">
            <v>507.76669100000004</v>
          </cell>
          <cell r="C24">
            <v>365.44822153500007</v>
          </cell>
          <cell r="D24">
            <v>5.0776669100000005</v>
          </cell>
          <cell r="E24">
            <v>3.6544822153500007</v>
          </cell>
        </row>
        <row r="25">
          <cell r="A25" t="str">
            <v>Postage &amp; Telegram</v>
          </cell>
          <cell r="B25">
            <v>3.4555540000000002</v>
          </cell>
          <cell r="C25">
            <v>4</v>
          </cell>
          <cell r="D25">
            <v>3.4555540000000003E-2</v>
          </cell>
          <cell r="E25">
            <v>0.04</v>
          </cell>
        </row>
        <row r="26">
          <cell r="A26" t="str">
            <v>Printing &amp; Stationery</v>
          </cell>
          <cell r="B26">
            <v>0</v>
          </cell>
          <cell r="C26">
            <v>18</v>
          </cell>
          <cell r="D26">
            <v>0</v>
          </cell>
          <cell r="E26">
            <v>0.18</v>
          </cell>
        </row>
        <row r="27">
          <cell r="A27" t="str">
            <v>Security &amp; Surveillance</v>
          </cell>
          <cell r="B27">
            <v>651.18612860000007</v>
          </cell>
          <cell r="C27">
            <v>589.76915760200006</v>
          </cell>
          <cell r="D27">
            <v>6.5118612860000011</v>
          </cell>
          <cell r="E27">
            <v>5.8976915760200006</v>
          </cell>
        </row>
        <row r="28">
          <cell r="A28" t="str">
            <v>Telephone &amp; Mobile reimbursements / Internet IT Chgs</v>
          </cell>
          <cell r="B28">
            <v>16.711260199999998</v>
          </cell>
          <cell r="C28">
            <v>20</v>
          </cell>
          <cell r="D28">
            <v>0.16711260199999997</v>
          </cell>
          <cell r="E28">
            <v>0.2</v>
          </cell>
        </row>
        <row r="29">
          <cell r="A29" t="str">
            <v>Training</v>
          </cell>
          <cell r="B29">
            <v>74.373760599999997</v>
          </cell>
          <cell r="C29">
            <v>393.41739999999999</v>
          </cell>
          <cell r="D29">
            <v>0.74373760599999994</v>
          </cell>
          <cell r="E29">
            <v>3.9341740000000001</v>
          </cell>
        </row>
        <row r="30">
          <cell r="A30" t="str">
            <v>Travelling expenses</v>
          </cell>
          <cell r="B30">
            <v>473.36712539999985</v>
          </cell>
          <cell r="C30">
            <v>601.62461878600004</v>
          </cell>
          <cell r="D30">
            <v>4.7336712539999981</v>
          </cell>
          <cell r="E30">
            <v>6.0162461878600002</v>
          </cell>
        </row>
        <row r="31">
          <cell r="A31" t="str">
            <v>Grand Total</v>
          </cell>
          <cell r="B31">
            <v>46429.751806466666</v>
          </cell>
          <cell r="C31">
            <v>53878.502592248049</v>
          </cell>
          <cell r="D31">
            <v>464.29751806466663</v>
          </cell>
          <cell r="E31">
            <v>538.78502592248049</v>
          </cell>
        </row>
        <row r="32">
          <cell r="D32">
            <v>0</v>
          </cell>
          <cell r="E32">
            <v>0</v>
          </cell>
        </row>
      </sheetData>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Avlb"/>
      <sheetName val="F-2"/>
      <sheetName val="CWIP"/>
      <sheetName val="Cap'n Summary"/>
      <sheetName val="Depreciation-New"/>
      <sheetName val="RoE"/>
      <sheetName val="Meter FY24 &amp; 25"/>
      <sheetName val="CapEx Plan Summary"/>
      <sheetName val="Govt. Project Data"/>
      <sheetName val="Proposed FY 23-24"/>
      <sheetName val="Proposal FY 24-25"/>
      <sheetName val="Proposal FY 25-26"/>
      <sheetName val="Proposal FY 26-27"/>
      <sheetName val="Proposed FY 27-28"/>
    </sheetNames>
    <sheetDataSet>
      <sheetData sheetId="0" refreshError="1"/>
      <sheetData sheetId="1">
        <row r="8">
          <cell r="L8">
            <v>0</v>
          </cell>
          <cell r="Q8">
            <v>0</v>
          </cell>
        </row>
        <row r="9">
          <cell r="L9">
            <v>5081.7055796999975</v>
          </cell>
          <cell r="Q9">
            <v>4911.2</v>
          </cell>
        </row>
        <row r="10">
          <cell r="L10">
            <v>421.74776460000027</v>
          </cell>
          <cell r="Q10">
            <v>118.5</v>
          </cell>
        </row>
        <row r="11">
          <cell r="L11">
            <v>127.2111</v>
          </cell>
          <cell r="Q11">
            <v>160</v>
          </cell>
        </row>
        <row r="12">
          <cell r="L12">
            <v>9139.0883518000101</v>
          </cell>
          <cell r="Q12">
            <v>5915.3</v>
          </cell>
        </row>
        <row r="13">
          <cell r="L13">
            <v>1114.3890495000001</v>
          </cell>
          <cell r="Q13">
            <v>407.4</v>
          </cell>
        </row>
        <row r="15">
          <cell r="L15">
            <v>57003.654194874543</v>
          </cell>
        </row>
        <row r="18">
          <cell r="L18">
            <v>968.74874663999992</v>
          </cell>
          <cell r="Q18">
            <v>636.68537615999992</v>
          </cell>
        </row>
        <row r="19">
          <cell r="L19">
            <v>10468.447275539998</v>
          </cell>
          <cell r="Q19">
            <v>4287.0328875599998</v>
          </cell>
        </row>
        <row r="20">
          <cell r="G20">
            <v>249.50552999999999</v>
          </cell>
          <cell r="L20">
            <v>0</v>
          </cell>
          <cell r="Q20">
            <v>0</v>
          </cell>
        </row>
        <row r="21">
          <cell r="L21">
            <v>0</v>
          </cell>
          <cell r="Q21">
            <v>0</v>
          </cell>
        </row>
        <row r="22">
          <cell r="L22">
            <v>6199.3614724199997</v>
          </cell>
          <cell r="Q22">
            <v>4132.9076482800001</v>
          </cell>
        </row>
        <row r="23">
          <cell r="L23">
            <v>15.809958</v>
          </cell>
          <cell r="Q23">
            <v>10.539971999999999</v>
          </cell>
        </row>
        <row r="24">
          <cell r="L24">
            <v>754.1860812000001</v>
          </cell>
          <cell r="Q24">
            <v>502.79072079999997</v>
          </cell>
        </row>
        <row r="25">
          <cell r="L25">
            <v>450.69301999999857</v>
          </cell>
          <cell r="Q25">
            <v>0</v>
          </cell>
        </row>
        <row r="26">
          <cell r="L26">
            <v>2847.5226841999975</v>
          </cell>
          <cell r="Q26">
            <v>0</v>
          </cell>
        </row>
        <row r="27">
          <cell r="L27">
            <v>78.288985839999995</v>
          </cell>
          <cell r="Q27">
            <v>31.471454760000007</v>
          </cell>
        </row>
        <row r="28">
          <cell r="L28">
            <v>332.49290130000009</v>
          </cell>
          <cell r="Q28">
            <v>0</v>
          </cell>
        </row>
        <row r="29">
          <cell r="L29">
            <v>8032.6871274999985</v>
          </cell>
          <cell r="Q29">
            <v>0</v>
          </cell>
        </row>
        <row r="30">
          <cell r="L30">
            <v>0</v>
          </cell>
          <cell r="Q30">
            <v>0</v>
          </cell>
        </row>
        <row r="31">
          <cell r="L31">
            <v>682.8</v>
          </cell>
          <cell r="Q31">
            <v>614.52</v>
          </cell>
        </row>
        <row r="32">
          <cell r="L32">
            <v>492</v>
          </cell>
          <cell r="Q32">
            <v>442.8</v>
          </cell>
        </row>
        <row r="33">
          <cell r="L33">
            <v>4460</v>
          </cell>
          <cell r="Q33">
            <v>4014</v>
          </cell>
        </row>
        <row r="34">
          <cell r="L34">
            <v>145.43932799999999</v>
          </cell>
          <cell r="Q34">
            <v>96.959552000000016</v>
          </cell>
        </row>
        <row r="36">
          <cell r="L36">
            <v>13328.351446299999</v>
          </cell>
          <cell r="Q36">
            <v>9410.4369600000009</v>
          </cell>
        </row>
        <row r="37">
          <cell r="L37">
            <v>29954.136561773332</v>
          </cell>
          <cell r="Q37">
            <v>23229.216976493324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8">
          <cell r="G68">
            <v>37.076000000000001</v>
          </cell>
        </row>
        <row r="70">
          <cell r="G70">
            <v>165.952</v>
          </cell>
        </row>
        <row r="72">
          <cell r="G72">
            <v>6.9</v>
          </cell>
        </row>
        <row r="74">
          <cell r="G74">
            <v>0.4</v>
          </cell>
        </row>
        <row r="76">
          <cell r="G76">
            <v>7.64</v>
          </cell>
        </row>
        <row r="78">
          <cell r="G78">
            <v>13.808</v>
          </cell>
        </row>
        <row r="83">
          <cell r="G83">
            <v>45.800047904191644</v>
          </cell>
        </row>
      </sheetData>
      <sheetData sheetId="12">
        <row r="52">
          <cell r="M52">
            <v>28.116</v>
          </cell>
        </row>
        <row r="53">
          <cell r="M53">
            <v>159.80200000000002</v>
          </cell>
        </row>
        <row r="54">
          <cell r="M54">
            <v>0</v>
          </cell>
        </row>
        <row r="55">
          <cell r="M55">
            <v>3.1</v>
          </cell>
        </row>
        <row r="56">
          <cell r="M56">
            <v>2.4</v>
          </cell>
        </row>
        <row r="57">
          <cell r="M57">
            <v>1.5599999999999996</v>
          </cell>
        </row>
        <row r="58">
          <cell r="M58">
            <v>6.91</v>
          </cell>
        </row>
        <row r="59">
          <cell r="M59">
            <v>9.6</v>
          </cell>
        </row>
        <row r="60">
          <cell r="M60">
            <v>0.75</v>
          </cell>
        </row>
        <row r="65">
          <cell r="M65">
            <v>41.939245508982054</v>
          </cell>
        </row>
      </sheetData>
      <sheetData sheetId="13">
        <row r="53">
          <cell r="L53">
            <v>25.82</v>
          </cell>
        </row>
        <row r="54">
          <cell r="L54">
            <v>157.40199999999999</v>
          </cell>
        </row>
        <row r="55">
          <cell r="L55">
            <v>0</v>
          </cell>
        </row>
        <row r="56">
          <cell r="L56">
            <v>1.5</v>
          </cell>
        </row>
        <row r="57">
          <cell r="L57">
            <v>2.5999999999999996</v>
          </cell>
        </row>
        <row r="58">
          <cell r="L58">
            <v>1.032</v>
          </cell>
        </row>
        <row r="59">
          <cell r="L59">
            <v>8.4499999999999993</v>
          </cell>
        </row>
        <row r="60">
          <cell r="L60">
            <v>9.7079999999999984</v>
          </cell>
        </row>
        <row r="61">
          <cell r="L61">
            <v>3.55</v>
          </cell>
        </row>
        <row r="66">
          <cell r="L66">
            <v>41.509257485029963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Reclassification"/>
      <sheetName val="TPTCL GL UPLOAD"/>
      <sheetName val="SEBI LODR -June"/>
      <sheetName val="Chart2"/>
      <sheetName val="BS"/>
      <sheetName val="SPL"/>
      <sheetName val="CFS"/>
      <sheetName val="tax worings"/>
      <sheetName val="SOCIE"/>
      <sheetName val="1-3"/>
      <sheetName val="4.01"/>
      <sheetName val="4.02-5"/>
      <sheetName val="4.04"/>
      <sheetName val="6"/>
      <sheetName val="7-15"/>
      <sheetName val="16-17"/>
      <sheetName val="Sheet5"/>
      <sheetName val="18"/>
      <sheetName val="19-24"/>
      <sheetName val="25"/>
      <sheetName val="26-29"/>
      <sheetName val="30-33"/>
      <sheetName val="34-36"/>
      <sheetName val="37.0"/>
      <sheetName val="38"/>
      <sheetName val="39"/>
      <sheetName val="40-41"/>
      <sheetName val="41"/>
      <sheetName val="42-45"/>
      <sheetName val="Trade payable non MSME"/>
      <sheetName val="7.0"/>
      <sheetName val="MSME ageing"/>
      <sheetName val="Reclassification adj"/>
      <sheetName val="Sheet1"/>
      <sheetName val="Tax"/>
      <sheetName val=" Out of books entries"/>
      <sheetName val="Adva from consumers"/>
      <sheetName val="Trial Ind AS"/>
      <sheetName val="out of books-1"/>
      <sheetName val="Sheet4"/>
      <sheetName val="FB Trail"/>
      <sheetName val="Truing Up"/>
      <sheetName val="BE Gain"/>
      <sheetName val="Profit Driver"/>
      <sheetName val="RDA"/>
      <sheetName val="Trueing up"/>
      <sheetName val="TB0904 FROM SAP"/>
      <sheetName val="GL CHECK"/>
      <sheetName val="EPS Workings"/>
      <sheetName val="List of consumers"/>
      <sheetName val="Out of Books"/>
    </sheetNames>
    <sheetDataSet>
      <sheetData sheetId="0" refreshError="1"/>
      <sheetData sheetId="1" refreshError="1"/>
      <sheetData sheetId="2" refreshError="1"/>
      <sheetData sheetId="3" refreshError="1"/>
      <sheetData sheetId="4" refreshError="1"/>
      <sheetData sheetId="5">
        <row r="15">
          <cell r="F15">
            <v>415.65858086399993</v>
          </cell>
        </row>
        <row r="17">
          <cell r="F17">
            <v>381.15546697500002</v>
          </cell>
        </row>
        <row r="19">
          <cell r="F19">
            <v>23.530278675000002</v>
          </cell>
        </row>
        <row r="20">
          <cell r="F20">
            <v>49.415327880000007</v>
          </cell>
        </row>
        <row r="23">
          <cell r="F23">
            <v>53.971956214000009</v>
          </cell>
        </row>
        <row r="25">
          <cell r="F25">
            <v>259.86260538900001</v>
          </cell>
        </row>
        <row r="26">
          <cell r="F26">
            <v>295.71587050000005</v>
          </cell>
        </row>
        <row r="29">
          <cell r="F29">
            <v>25.099997249999991</v>
          </cell>
        </row>
        <row r="30">
          <cell r="F30">
            <v>23.754338758999999</v>
          </cell>
        </row>
        <row r="39">
          <cell r="F39">
            <v>398.14816400000001</v>
          </cell>
        </row>
        <row r="40">
          <cell r="F40">
            <v>189.59190607649407</v>
          </cell>
        </row>
        <row r="52">
          <cell r="F52">
            <v>237.47151210000001</v>
          </cell>
        </row>
        <row r="53">
          <cell r="F53">
            <v>158.13831622400005</v>
          </cell>
        </row>
        <row r="55">
          <cell r="F55">
            <v>20.291793868999999</v>
          </cell>
        </row>
        <row r="61">
          <cell r="F61">
            <v>187.70048498200003</v>
          </cell>
        </row>
        <row r="63">
          <cell r="F63">
            <v>15.1394968</v>
          </cell>
        </row>
        <row r="64">
          <cell r="F64">
            <v>587.63797607000004</v>
          </cell>
        </row>
        <row r="66">
          <cell r="F66">
            <v>15.797760700000001</v>
          </cell>
        </row>
        <row r="67">
          <cell r="F67">
            <v>119.03570539899997</v>
          </cell>
        </row>
      </sheetData>
      <sheetData sheetId="6" refreshError="1"/>
      <sheetData sheetId="7">
        <row r="68">
          <cell r="J68">
            <v>52.634261000000002</v>
          </cell>
        </row>
        <row r="70">
          <cell r="J70">
            <v>188.00598584600016</v>
          </cell>
        </row>
        <row r="72">
          <cell r="J72">
            <v>183.05794448000012</v>
          </cell>
        </row>
        <row r="75">
          <cell r="J75">
            <v>17.213132078999983</v>
          </cell>
        </row>
        <row r="78">
          <cell r="J78">
            <v>237.47151210000001</v>
          </cell>
        </row>
      </sheetData>
      <sheetData sheetId="8" refreshError="1"/>
      <sheetData sheetId="9" refreshError="1"/>
      <sheetData sheetId="10" refreshError="1"/>
      <sheetData sheetId="11" refreshError="1"/>
      <sheetData sheetId="12">
        <row r="26">
          <cell r="H26">
            <v>2246.6458906849998</v>
          </cell>
          <cell r="M26">
            <v>187.99571980800005</v>
          </cell>
        </row>
      </sheetData>
      <sheetData sheetId="13" refreshError="1"/>
      <sheetData sheetId="14">
        <row r="32">
          <cell r="E32">
            <v>56.900462829999995</v>
          </cell>
        </row>
        <row r="41">
          <cell r="E41">
            <v>6.2988231420000007</v>
          </cell>
        </row>
      </sheetData>
      <sheetData sheetId="15" refreshError="1"/>
      <sheetData sheetId="16" refreshError="1"/>
      <sheetData sheetId="17" refreshError="1"/>
      <sheetData sheetId="18" refreshError="1"/>
      <sheetData sheetId="19">
        <row r="15">
          <cell r="I15">
            <v>1063.509225883</v>
          </cell>
        </row>
        <row r="16">
          <cell r="I16">
            <v>16.252525306999985</v>
          </cell>
        </row>
        <row r="37">
          <cell r="I37">
            <v>501.04684525800002</v>
          </cell>
        </row>
        <row r="38">
          <cell r="I38">
            <v>181.82224859899995</v>
          </cell>
        </row>
        <row r="39">
          <cell r="I39">
            <v>36.692010491000005</v>
          </cell>
        </row>
        <row r="218">
          <cell r="I218">
            <v>35.816934854999992</v>
          </cell>
        </row>
        <row r="219">
          <cell r="I219">
            <v>795.82257712700005</v>
          </cell>
        </row>
        <row r="221">
          <cell r="I221">
            <v>144.15287058400003</v>
          </cell>
        </row>
        <row r="223">
          <cell r="I223">
            <v>42.541319582</v>
          </cell>
        </row>
        <row r="224">
          <cell r="I224">
            <v>78.966476408000005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Unrestricted"/>
    </sheetNames>
    <sheetDataSet>
      <sheetData sheetId="0">
        <row r="10">
          <cell r="O10">
            <v>147.97999999999999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23 (2)"/>
      <sheetName val="Apr'23"/>
      <sheetName val="May'22"/>
      <sheetName val="June'23"/>
      <sheetName val="July'23"/>
      <sheetName val="Aug'23"/>
      <sheetName val="Sept'23"/>
      <sheetName val="Oct'23"/>
    </sheetNames>
    <sheetDataSet>
      <sheetData sheetId="0"/>
      <sheetData sheetId="1"/>
      <sheetData sheetId="2"/>
      <sheetData sheetId="3"/>
      <sheetData sheetId="4"/>
      <sheetData sheetId="5"/>
      <sheetData sheetId="6">
        <row r="1">
          <cell r="F1" t="str">
            <v>SCNO</v>
          </cell>
          <cell r="G1" t="str">
            <v>NAME</v>
          </cell>
          <cell r="H1" t="str">
            <v>ADDRESS_1</v>
          </cell>
          <cell r="I1" t="str">
            <v>CREATE_DATE</v>
          </cell>
          <cell r="J1" t="str">
            <v>BILL_PRINT_FLAG</v>
          </cell>
          <cell r="K1" t="str">
            <v>ADDRESS_2</v>
          </cell>
          <cell r="L1" t="str">
            <v>ADDRESS_3</v>
          </cell>
          <cell r="M1" t="str">
            <v>BILL_NO</v>
          </cell>
          <cell r="N1" t="str">
            <v>ACCOUNT_NO</v>
          </cell>
          <cell r="O1" t="str">
            <v>OLD_SCNO</v>
          </cell>
          <cell r="P1" t="str">
            <v>FEEDER_NO</v>
          </cell>
          <cell r="Q1" t="str">
            <v>CAT_CODE</v>
          </cell>
          <cell r="R1" t="str">
            <v>CONN_TYPE</v>
          </cell>
          <cell r="S1" t="str">
            <v>BILL_ISSUE_DATE</v>
          </cell>
          <cell r="T1" t="str">
            <v>BILL_PROCESSED_DATE</v>
          </cell>
          <cell r="U1" t="str">
            <v>REBATE_DATE</v>
          </cell>
          <cell r="V1" t="str">
            <v>BILL_DUE_DATE</v>
          </cell>
          <cell r="W1" t="str">
            <v>BILLMNTHYR</v>
          </cell>
          <cell r="X1" t="str">
            <v>VOLSUPLY</v>
          </cell>
          <cell r="Y1" t="str">
            <v>METER_SIDE</v>
          </cell>
          <cell r="Z1" t="str">
            <v>BILLABLE_DEMAND</v>
          </cell>
          <cell r="AA1" t="str">
            <v>AVG_PF</v>
          </cell>
          <cell r="AB1" t="str">
            <v>LOAD_FACTOR</v>
          </cell>
          <cell r="AC1" t="str">
            <v>BILL_PERIOD</v>
          </cell>
          <cell r="AD1" t="str">
            <v>BILL_PERIOD1</v>
          </cell>
          <cell r="AE1" t="str">
            <v>BILLDAYSMONTHS</v>
          </cell>
          <cell r="AF1" t="str">
            <v>CONTRACT_DEMAND</v>
          </cell>
          <cell r="AG1" t="str">
            <v>LOAD_UNIT</v>
          </cell>
          <cell r="AH1" t="str">
            <v>CONTRACTED_LOAD</v>
          </cell>
          <cell r="AI1" t="str">
            <v>CONSUMER_STATUS</v>
          </cell>
          <cell r="AJ1" t="str">
            <v>SECURITY_DEPOSIT</v>
          </cell>
          <cell r="AK1" t="str">
            <v>PRST_RDG_DATE</v>
          </cell>
          <cell r="AL1" t="str">
            <v>METER_NO</v>
          </cell>
          <cell r="AM1" t="str">
            <v>METER_CONN_TYPE</v>
          </cell>
          <cell r="AN1" t="str">
            <v>METER_CONS_TYPE</v>
          </cell>
          <cell r="AO1" t="str">
            <v>TRANSFORMER_RATING</v>
          </cell>
          <cell r="AP1" t="str">
            <v>TYPE_OF_METER</v>
          </cell>
          <cell r="AQ1" t="str">
            <v>ACD_AMOUNT</v>
          </cell>
          <cell r="AR1" t="str">
            <v>ISD_AMOUNT</v>
          </cell>
          <cell r="AS1" t="str">
            <v>ICD_AMOUNT</v>
          </cell>
          <cell r="AT1" t="str">
            <v>COLONY_ENERGY_CHG</v>
          </cell>
          <cell r="AU1" t="str">
            <v>LOAD_FACTOR_REBATE</v>
          </cell>
          <cell r="AV1" t="str">
            <v>BILL_COLONY_MTRUNITS</v>
          </cell>
          <cell r="AW1" t="str">
            <v>KWH_UNITS</v>
          </cell>
          <cell r="AX1" t="str">
            <v>KVAH_UNITS</v>
          </cell>
          <cell r="AY1" t="str">
            <v>KVAH</v>
          </cell>
          <cell r="AZ1" t="str">
            <v>KVA_UNITS</v>
          </cell>
          <cell r="BA1" t="str">
            <v>MD recorded</v>
          </cell>
        </row>
        <row r="2">
          <cell r="F2">
            <v>122000000001</v>
          </cell>
          <cell r="G2" t="str">
            <v>M/S.KRISHNA ICE FACTORY</v>
          </cell>
          <cell r="H2" t="str">
            <v>C/O-SUNIL MOHARANA,</v>
          </cell>
          <cell r="I2" t="str">
            <v>10/31/2020 00:00:00</v>
          </cell>
          <cell r="J2">
            <v>1</v>
          </cell>
          <cell r="K2" t="str">
            <v xml:space="preserve"> </v>
          </cell>
          <cell r="L2" t="str">
            <v xml:space="preserve"> </v>
          </cell>
          <cell r="M2" t="str">
            <v>321000010231492942</v>
          </cell>
          <cell r="N2" t="str">
            <v>1220000001</v>
          </cell>
          <cell r="O2" t="str">
            <v xml:space="preserve"> </v>
          </cell>
          <cell r="P2" t="str">
            <v>432114401</v>
          </cell>
          <cell r="Q2" t="str">
            <v>LARGE INDUSTRY</v>
          </cell>
          <cell r="R2" t="str">
            <v>HT</v>
          </cell>
          <cell r="S2" t="str">
            <v>01/10/2023</v>
          </cell>
          <cell r="T2" t="str">
            <v>01/10/2023</v>
          </cell>
          <cell r="U2" t="str">
            <v>06/10/2023</v>
          </cell>
          <cell r="V2" t="str">
            <v>09/10/2023</v>
          </cell>
          <cell r="W2" t="str">
            <v>2023/09</v>
          </cell>
          <cell r="X2" t="str">
            <v>11 KV</v>
          </cell>
          <cell r="Y2" t="str">
            <v>HT</v>
          </cell>
          <cell r="Z2">
            <v>213.6</v>
          </cell>
          <cell r="AA2">
            <v>0.99239999999999995</v>
          </cell>
          <cell r="AB2">
            <v>55.64</v>
          </cell>
          <cell r="AC2" t="str">
            <v xml:space="preserve">01/09/2023 -     </v>
          </cell>
          <cell r="AD2" t="str">
            <v>30.09.2023</v>
          </cell>
          <cell r="AE2" t="str">
            <v>30/1.0000</v>
          </cell>
          <cell r="AF2">
            <v>175</v>
          </cell>
          <cell r="AG2" t="str">
            <v>KVA</v>
          </cell>
          <cell r="AH2">
            <v>175</v>
          </cell>
          <cell r="AI2" t="str">
            <v>R</v>
          </cell>
          <cell r="AJ2">
            <v>973798.5</v>
          </cell>
          <cell r="AK2" t="str">
            <v>30/09/2023</v>
          </cell>
          <cell r="AL2" t="str">
            <v>NES50405</v>
          </cell>
          <cell r="AM2" t="str">
            <v>TRI-VECTOR METER FOR RAILWAY TRACTION</v>
          </cell>
          <cell r="AN2" t="str">
            <v>POST PAID</v>
          </cell>
          <cell r="AO2">
            <v>250</v>
          </cell>
          <cell r="AP2" t="str">
            <v>TOD</v>
          </cell>
          <cell r="AQ2">
            <v>636465.1</v>
          </cell>
          <cell r="AR2">
            <v>0</v>
          </cell>
          <cell r="AS2">
            <v>0</v>
          </cell>
          <cell r="AT2">
            <v>0</v>
          </cell>
          <cell r="AU2">
            <v>0</v>
          </cell>
          <cell r="AV2">
            <v>0</v>
          </cell>
          <cell r="AW2">
            <v>84932</v>
          </cell>
          <cell r="AX2">
            <v>85574</v>
          </cell>
          <cell r="AY2">
            <v>85574</v>
          </cell>
          <cell r="AZ2">
            <v>1453.76</v>
          </cell>
          <cell r="BA2">
            <v>213.60000000000002</v>
          </cell>
        </row>
        <row r="3">
          <cell r="F3">
            <v>122000000002</v>
          </cell>
          <cell r="G3" t="str">
            <v>E.C.P. INDUSTRIES LTD.</v>
          </cell>
          <cell r="H3" t="str">
            <v>O.T.ROAD,BALASORE.,</v>
          </cell>
          <cell r="I3" t="str">
            <v>10/31/2020 00:00:00</v>
          </cell>
          <cell r="J3">
            <v>1</v>
          </cell>
          <cell r="K3" t="str">
            <v xml:space="preserve"> </v>
          </cell>
          <cell r="L3" t="str">
            <v xml:space="preserve"> </v>
          </cell>
          <cell r="M3" t="str">
            <v>321000010231492696</v>
          </cell>
          <cell r="N3" t="str">
            <v>1220000002</v>
          </cell>
          <cell r="O3" t="str">
            <v>11908</v>
          </cell>
          <cell r="P3" t="str">
            <v>43287401001</v>
          </cell>
          <cell r="Q3" t="str">
            <v>LARGE INDUSTRY</v>
          </cell>
          <cell r="R3" t="str">
            <v>HT</v>
          </cell>
          <cell r="S3" t="str">
            <v>01/10/2023</v>
          </cell>
          <cell r="T3" t="str">
            <v>01/10/2023</v>
          </cell>
          <cell r="U3" t="str">
            <v>06/10/2023</v>
          </cell>
          <cell r="V3" t="str">
            <v>09/10/2023</v>
          </cell>
          <cell r="W3" t="str">
            <v>2023/09</v>
          </cell>
          <cell r="X3" t="str">
            <v>33 KV</v>
          </cell>
          <cell r="Y3" t="str">
            <v>HT</v>
          </cell>
          <cell r="Z3">
            <v>400</v>
          </cell>
          <cell r="AA3">
            <v>1</v>
          </cell>
          <cell r="AB3">
            <v>49.11</v>
          </cell>
          <cell r="AC3" t="str">
            <v xml:space="preserve">01/09/2023 -     </v>
          </cell>
          <cell r="AD3" t="str">
            <v>30.09.2023</v>
          </cell>
          <cell r="AE3" t="str">
            <v>30/1.0000</v>
          </cell>
          <cell r="AF3">
            <v>500</v>
          </cell>
          <cell r="AG3" t="str">
            <v>KVA</v>
          </cell>
          <cell r="AH3">
            <v>500</v>
          </cell>
          <cell r="AI3" t="str">
            <v>R</v>
          </cell>
          <cell r="AJ3">
            <v>1099823.74</v>
          </cell>
          <cell r="AK3" t="str">
            <v>30/09/2023</v>
          </cell>
          <cell r="AL3" t="str">
            <v>TPN64461</v>
          </cell>
          <cell r="AM3" t="str">
            <v>THREE PHASE STATIC TRI-VECTOR METER</v>
          </cell>
          <cell r="AN3" t="str">
            <v>POST PAID</v>
          </cell>
          <cell r="AO3">
            <v>1000</v>
          </cell>
          <cell r="AP3" t="str">
            <v>TOD</v>
          </cell>
          <cell r="AQ3">
            <v>-336889.94</v>
          </cell>
          <cell r="AR3">
            <v>0</v>
          </cell>
          <cell r="AS3">
            <v>0</v>
          </cell>
          <cell r="AT3">
            <v>0</v>
          </cell>
          <cell r="AU3">
            <v>0</v>
          </cell>
          <cell r="AV3">
            <v>0</v>
          </cell>
          <cell r="AW3">
            <v>5940</v>
          </cell>
          <cell r="AX3">
            <v>5940</v>
          </cell>
          <cell r="AY3">
            <v>5940</v>
          </cell>
          <cell r="AZ3">
            <v>1.4E-2</v>
          </cell>
          <cell r="BA3">
            <v>16.8</v>
          </cell>
        </row>
        <row r="4">
          <cell r="F4">
            <v>122000000004</v>
          </cell>
          <cell r="G4" t="str">
            <v>GARRISON ENGNR-R&amp;D, OT ROAD</v>
          </cell>
          <cell r="H4" t="str">
            <v>BALASORE,</v>
          </cell>
          <cell r="I4" t="str">
            <v>10/31/2020 00:00:00</v>
          </cell>
          <cell r="J4">
            <v>1</v>
          </cell>
          <cell r="K4" t="str">
            <v xml:space="preserve"> </v>
          </cell>
          <cell r="L4" t="str">
            <v xml:space="preserve"> </v>
          </cell>
          <cell r="M4" t="str">
            <v>321000010231492795</v>
          </cell>
          <cell r="N4" t="str">
            <v>1220000003</v>
          </cell>
          <cell r="O4" t="str">
            <v>12984</v>
          </cell>
          <cell r="P4" t="str">
            <v>432121101</v>
          </cell>
          <cell r="Q4" t="str">
            <v>BULK SUPPLY DOMESTIC</v>
          </cell>
          <cell r="R4" t="str">
            <v>HT</v>
          </cell>
          <cell r="S4" t="str">
            <v>01/10/2023</v>
          </cell>
          <cell r="T4" t="str">
            <v>01/10/2023</v>
          </cell>
          <cell r="U4" t="str">
            <v>09/10/2023</v>
          </cell>
          <cell r="V4" t="str">
            <v>09/10/2023</v>
          </cell>
          <cell r="W4" t="str">
            <v>2023/09</v>
          </cell>
          <cell r="X4" t="str">
            <v>11 KV</v>
          </cell>
          <cell r="Y4" t="str">
            <v>HT</v>
          </cell>
          <cell r="Z4">
            <v>284.44</v>
          </cell>
          <cell r="AA4">
            <v>0.98080000000000001</v>
          </cell>
          <cell r="AB4">
            <v>0</v>
          </cell>
          <cell r="AC4" t="str">
            <v xml:space="preserve">01/09/2023 -     </v>
          </cell>
          <cell r="AD4" t="str">
            <v>30.09.2023</v>
          </cell>
          <cell r="AE4" t="str">
            <v>30/1.0000</v>
          </cell>
          <cell r="AF4">
            <v>284.44</v>
          </cell>
          <cell r="AG4" t="str">
            <v>KVA</v>
          </cell>
          <cell r="AH4">
            <v>284.44</v>
          </cell>
          <cell r="AI4" t="str">
            <v>R</v>
          </cell>
          <cell r="AJ4">
            <v>489590.79</v>
          </cell>
          <cell r="AK4" t="str">
            <v>30/09/2023</v>
          </cell>
          <cell r="AL4" t="str">
            <v>NES50966</v>
          </cell>
          <cell r="AM4" t="str">
            <v>TRI-VECTOR METER FOR RAILWAY TRACTION</v>
          </cell>
          <cell r="AN4" t="str">
            <v>POST PAID</v>
          </cell>
          <cell r="AO4">
            <v>500</v>
          </cell>
          <cell r="AP4" t="str">
            <v>TOD</v>
          </cell>
          <cell r="AQ4">
            <v>-128813.79</v>
          </cell>
          <cell r="AR4">
            <v>0</v>
          </cell>
          <cell r="AS4">
            <v>0</v>
          </cell>
          <cell r="AT4">
            <v>0</v>
          </cell>
          <cell r="AU4">
            <v>0</v>
          </cell>
          <cell r="AV4">
            <v>0</v>
          </cell>
          <cell r="AW4">
            <v>39058</v>
          </cell>
          <cell r="AX4">
            <v>39820</v>
          </cell>
          <cell r="AY4">
            <v>39820</v>
          </cell>
          <cell r="AZ4">
            <v>740.16</v>
          </cell>
          <cell r="BA4">
            <v>102.08</v>
          </cell>
        </row>
        <row r="5">
          <cell r="F5">
            <v>122000000005</v>
          </cell>
          <cell r="G5" t="str">
            <v>GARRISON ENGNR-R&amp;D, CHANDIPUR</v>
          </cell>
          <cell r="H5" t="str">
            <v>BALASORE,</v>
          </cell>
          <cell r="I5" t="str">
            <v>10/31/2020 00:00:00</v>
          </cell>
          <cell r="J5">
            <v>1</v>
          </cell>
          <cell r="K5" t="str">
            <v xml:space="preserve"> </v>
          </cell>
          <cell r="L5" t="str">
            <v xml:space="preserve"> </v>
          </cell>
          <cell r="M5" t="str">
            <v>321000010231493073</v>
          </cell>
          <cell r="N5" t="str">
            <v>1220000004</v>
          </cell>
          <cell r="O5" t="str">
            <v>13240</v>
          </cell>
          <cell r="P5" t="str">
            <v>43287401004</v>
          </cell>
          <cell r="Q5" t="str">
            <v>GENERAL PURPOSE &gt;= 110 KVA</v>
          </cell>
          <cell r="R5" t="str">
            <v>HT</v>
          </cell>
          <cell r="S5" t="str">
            <v>01/10/2023</v>
          </cell>
          <cell r="T5" t="str">
            <v>01/10/2023</v>
          </cell>
          <cell r="U5" t="str">
            <v>06/10/2023</v>
          </cell>
          <cell r="V5" t="str">
            <v>09/10/2023</v>
          </cell>
          <cell r="W5" t="str">
            <v>2023/09</v>
          </cell>
          <cell r="X5" t="str">
            <v>33 KV</v>
          </cell>
          <cell r="Y5" t="str">
            <v>HT</v>
          </cell>
          <cell r="Z5">
            <v>3326.4</v>
          </cell>
          <cell r="AA5">
            <v>0.98080000000000001</v>
          </cell>
          <cell r="AB5">
            <v>32.17</v>
          </cell>
          <cell r="AC5" t="str">
            <v xml:space="preserve">01/09/2023 -     </v>
          </cell>
          <cell r="AD5" t="str">
            <v>30.09.2023</v>
          </cell>
          <cell r="AE5" t="str">
            <v>30/1.0000</v>
          </cell>
          <cell r="AF5">
            <v>3000</v>
          </cell>
          <cell r="AG5" t="str">
            <v>KVA</v>
          </cell>
          <cell r="AH5">
            <v>3000</v>
          </cell>
          <cell r="AI5" t="str">
            <v>R</v>
          </cell>
          <cell r="AJ5">
            <v>10124983</v>
          </cell>
          <cell r="AK5" t="str">
            <v>30/09/2023</v>
          </cell>
          <cell r="AL5" t="str">
            <v>NES50938</v>
          </cell>
          <cell r="AM5" t="str">
            <v>THREE PHASE HT CT METER-33KV</v>
          </cell>
          <cell r="AN5" t="str">
            <v>POST PAID</v>
          </cell>
          <cell r="AO5">
            <v>3150</v>
          </cell>
          <cell r="AP5" t="str">
            <v>TOD</v>
          </cell>
          <cell r="AQ5">
            <v>-1051068.7</v>
          </cell>
          <cell r="AR5">
            <v>0</v>
          </cell>
          <cell r="AS5">
            <v>0</v>
          </cell>
          <cell r="AT5">
            <v>0</v>
          </cell>
          <cell r="AU5">
            <v>0</v>
          </cell>
          <cell r="AV5">
            <v>0</v>
          </cell>
          <cell r="AW5">
            <v>755640</v>
          </cell>
          <cell r="AX5">
            <v>770430</v>
          </cell>
          <cell r="AY5">
            <v>770430</v>
          </cell>
          <cell r="AZ5">
            <v>21854.400000000001</v>
          </cell>
          <cell r="BA5">
            <v>3326.4</v>
          </cell>
        </row>
        <row r="6">
          <cell r="F6">
            <v>122000000006</v>
          </cell>
          <cell r="G6" t="str">
            <v>GARRISON ENGNR-R&amp;D, ANGARGADIA</v>
          </cell>
          <cell r="H6" t="str">
            <v>DEFENCE COLONY, BALASORE</v>
          </cell>
          <cell r="I6" t="str">
            <v>10/31/2020 00:00:00</v>
          </cell>
          <cell r="J6">
            <v>1</v>
          </cell>
          <cell r="K6" t="str">
            <v xml:space="preserve"> </v>
          </cell>
          <cell r="L6" t="str">
            <v xml:space="preserve"> </v>
          </cell>
          <cell r="M6" t="str">
            <v>321000010231492868</v>
          </cell>
          <cell r="N6" t="str">
            <v>1220000005</v>
          </cell>
          <cell r="O6" t="str">
            <v>12148</v>
          </cell>
          <cell r="P6" t="str">
            <v>432121103</v>
          </cell>
          <cell r="Q6" t="str">
            <v>BULK SUPPLY DOMESTIC</v>
          </cell>
          <cell r="R6" t="str">
            <v>HT</v>
          </cell>
          <cell r="S6" t="str">
            <v>01/10/2023</v>
          </cell>
          <cell r="T6" t="str">
            <v>01/10/2023</v>
          </cell>
          <cell r="U6" t="str">
            <v>09/10/2023</v>
          </cell>
          <cell r="V6" t="str">
            <v>09/10/2023</v>
          </cell>
          <cell r="W6" t="str">
            <v>2023/09</v>
          </cell>
          <cell r="X6" t="str">
            <v>11 KV</v>
          </cell>
          <cell r="Y6" t="str">
            <v>HT</v>
          </cell>
          <cell r="Z6">
            <v>810</v>
          </cell>
          <cell r="AA6">
            <v>0.97440000000000004</v>
          </cell>
          <cell r="AB6">
            <v>0</v>
          </cell>
          <cell r="AC6" t="str">
            <v xml:space="preserve">01/09/2023 -     </v>
          </cell>
          <cell r="AD6" t="str">
            <v>30.09.2023</v>
          </cell>
          <cell r="AE6" t="str">
            <v>30/1.0000</v>
          </cell>
          <cell r="AF6">
            <v>810</v>
          </cell>
          <cell r="AG6" t="str">
            <v>KVA</v>
          </cell>
          <cell r="AH6">
            <v>810</v>
          </cell>
          <cell r="AI6" t="str">
            <v>R</v>
          </cell>
          <cell r="AJ6">
            <v>1080276</v>
          </cell>
          <cell r="AK6" t="str">
            <v>30/09/2023</v>
          </cell>
          <cell r="AL6" t="str">
            <v>NES52059</v>
          </cell>
          <cell r="AM6" t="str">
            <v>LT SINGLE PHASE AMR/AMI COMPLIANT METER-TOD</v>
          </cell>
          <cell r="AN6" t="str">
            <v>POST PAID</v>
          </cell>
          <cell r="AO6">
            <v>1000</v>
          </cell>
          <cell r="AP6" t="str">
            <v>TOD</v>
          </cell>
          <cell r="AQ6">
            <v>-3882</v>
          </cell>
          <cell r="AR6">
            <v>0</v>
          </cell>
          <cell r="AS6">
            <v>0</v>
          </cell>
          <cell r="AT6">
            <v>0</v>
          </cell>
          <cell r="AU6">
            <v>0</v>
          </cell>
          <cell r="AV6">
            <v>0</v>
          </cell>
          <cell r="AW6">
            <v>116380</v>
          </cell>
          <cell r="AX6">
            <v>119435</v>
          </cell>
          <cell r="AY6">
            <v>119435</v>
          </cell>
          <cell r="AZ6">
            <v>2191.1999999999998</v>
          </cell>
          <cell r="BA6">
            <v>293.60000000000002</v>
          </cell>
        </row>
        <row r="7">
          <cell r="F7">
            <v>122000000007</v>
          </cell>
          <cell r="G7" t="str">
            <v>SHANKAR ICE PROCESSING</v>
          </cell>
          <cell r="H7" t="str">
            <v>IND.CHANDIPUR,BALASORE</v>
          </cell>
          <cell r="I7" t="str">
            <v>10/31/2020 00:00:00</v>
          </cell>
          <cell r="J7">
            <v>1</v>
          </cell>
          <cell r="K7" t="str">
            <v xml:space="preserve"> </v>
          </cell>
          <cell r="L7" t="str">
            <v xml:space="preserve"> </v>
          </cell>
          <cell r="M7" t="str">
            <v>321000010231493172</v>
          </cell>
          <cell r="N7" t="str">
            <v>1220000006</v>
          </cell>
          <cell r="O7" t="str">
            <v>22861</v>
          </cell>
          <cell r="P7" t="str">
            <v>432114401</v>
          </cell>
          <cell r="Q7" t="str">
            <v>LARGE INDUSTRY</v>
          </cell>
          <cell r="R7" t="str">
            <v>HT</v>
          </cell>
          <cell r="S7" t="str">
            <v>01/10/2023</v>
          </cell>
          <cell r="T7" t="str">
            <v>01/10/2023</v>
          </cell>
          <cell r="U7" t="str">
            <v>06/10/2023</v>
          </cell>
          <cell r="V7" t="str">
            <v>09/10/2023</v>
          </cell>
          <cell r="W7" t="str">
            <v>2023/09</v>
          </cell>
          <cell r="X7" t="str">
            <v>11 KV</v>
          </cell>
          <cell r="Y7" t="str">
            <v>HT</v>
          </cell>
          <cell r="Z7">
            <v>230.88</v>
          </cell>
          <cell r="AA7">
            <v>0.995</v>
          </cell>
          <cell r="AB7">
            <v>38</v>
          </cell>
          <cell r="AC7" t="str">
            <v xml:space="preserve">01/09/2023 -     </v>
          </cell>
          <cell r="AD7" t="str">
            <v>30.09.2023</v>
          </cell>
          <cell r="AE7" t="str">
            <v>30/1.0000</v>
          </cell>
          <cell r="AF7">
            <v>268</v>
          </cell>
          <cell r="AG7" t="str">
            <v>KVA</v>
          </cell>
          <cell r="AH7">
            <v>268</v>
          </cell>
          <cell r="AI7" t="str">
            <v>R</v>
          </cell>
          <cell r="AJ7">
            <v>1369738.18</v>
          </cell>
          <cell r="AK7" t="str">
            <v>30/09/2023</v>
          </cell>
          <cell r="AL7" t="str">
            <v>NSC94537</v>
          </cell>
          <cell r="AM7" t="str">
            <v>LT SINGLE PHASE AMR/AMI COMPLIANT METER-TOD</v>
          </cell>
          <cell r="AN7" t="str">
            <v>POST PAID</v>
          </cell>
          <cell r="AO7">
            <v>250</v>
          </cell>
          <cell r="AP7" t="str">
            <v>TOD</v>
          </cell>
          <cell r="AQ7">
            <v>-731639.92</v>
          </cell>
          <cell r="AR7">
            <v>0</v>
          </cell>
          <cell r="AS7">
            <v>0</v>
          </cell>
          <cell r="AT7">
            <v>0</v>
          </cell>
          <cell r="AU7">
            <v>0</v>
          </cell>
          <cell r="AV7">
            <v>0</v>
          </cell>
          <cell r="AW7">
            <v>62857</v>
          </cell>
          <cell r="AX7">
            <v>63172</v>
          </cell>
          <cell r="AY7">
            <v>63172</v>
          </cell>
          <cell r="AZ7">
            <v>1596.24</v>
          </cell>
          <cell r="BA7">
            <v>230.88</v>
          </cell>
        </row>
        <row r="8">
          <cell r="F8">
            <v>122000000009</v>
          </cell>
          <cell r="G8" t="str">
            <v>M/S.  ORIPLAST LIMITED</v>
          </cell>
          <cell r="H8" t="str">
            <v>OT ROAD, BALASORE,</v>
          </cell>
          <cell r="I8" t="str">
            <v>10/31/2020 00:00:00</v>
          </cell>
          <cell r="J8">
            <v>1</v>
          </cell>
          <cell r="K8" t="str">
            <v xml:space="preserve"> </v>
          </cell>
          <cell r="L8" t="str">
            <v xml:space="preserve"> </v>
          </cell>
          <cell r="M8" t="str">
            <v>321000010231492964</v>
          </cell>
          <cell r="N8" t="str">
            <v>1220000007</v>
          </cell>
          <cell r="O8" t="str">
            <v>19256</v>
          </cell>
          <cell r="P8" t="str">
            <v>43287401001</v>
          </cell>
          <cell r="Q8" t="str">
            <v>LARGE INDUSTRY</v>
          </cell>
          <cell r="R8" t="str">
            <v>HT</v>
          </cell>
          <cell r="S8" t="str">
            <v>01/10/2023</v>
          </cell>
          <cell r="T8" t="str">
            <v>01/10/2023</v>
          </cell>
          <cell r="U8" t="str">
            <v>06/10/2023</v>
          </cell>
          <cell r="V8" t="str">
            <v>09/10/2023</v>
          </cell>
          <cell r="W8" t="str">
            <v>2023/09</v>
          </cell>
          <cell r="X8" t="str">
            <v>33 KV</v>
          </cell>
          <cell r="Y8" t="str">
            <v>HT</v>
          </cell>
          <cell r="Z8">
            <v>1450.8</v>
          </cell>
          <cell r="AA8">
            <v>0.99209999999999998</v>
          </cell>
          <cell r="AB8">
            <v>61.8</v>
          </cell>
          <cell r="AC8" t="str">
            <v xml:space="preserve">01/09/2023 -     </v>
          </cell>
          <cell r="AD8" t="str">
            <v>30.09.2023</v>
          </cell>
          <cell r="AE8" t="str">
            <v>30/1.0000</v>
          </cell>
          <cell r="AF8">
            <v>1650</v>
          </cell>
          <cell r="AG8" t="str">
            <v>KVA</v>
          </cell>
          <cell r="AH8">
            <v>1650</v>
          </cell>
          <cell r="AI8" t="str">
            <v>R</v>
          </cell>
          <cell r="AJ8">
            <v>10128359.7139</v>
          </cell>
          <cell r="AK8" t="str">
            <v>30/09/2023</v>
          </cell>
          <cell r="AL8" t="str">
            <v>NES50989</v>
          </cell>
          <cell r="AM8" t="str">
            <v>THREE PHASE HT CT METER-33KV</v>
          </cell>
          <cell r="AN8" t="str">
            <v>POST PAID</v>
          </cell>
          <cell r="AO8">
            <v>2000</v>
          </cell>
          <cell r="AP8" t="str">
            <v>TOD</v>
          </cell>
          <cell r="AQ8">
            <v>-718327.46</v>
          </cell>
          <cell r="AR8">
            <v>0</v>
          </cell>
          <cell r="AS8">
            <v>0</v>
          </cell>
          <cell r="AT8">
            <v>0</v>
          </cell>
          <cell r="AU8">
            <v>0</v>
          </cell>
          <cell r="AV8">
            <v>0</v>
          </cell>
          <cell r="AW8">
            <v>640485</v>
          </cell>
          <cell r="AX8">
            <v>645570</v>
          </cell>
          <cell r="AY8">
            <v>645570</v>
          </cell>
          <cell r="AZ8">
            <v>23511.599999999999</v>
          </cell>
          <cell r="BA8">
            <v>1450.8</v>
          </cell>
        </row>
        <row r="9">
          <cell r="F9">
            <v>122000000010</v>
          </cell>
          <cell r="G9" t="str">
            <v>M/S HENA POLY PRODUCTS</v>
          </cell>
          <cell r="H9" t="str">
            <v>C/O  UJAL KUMAR CHAND</v>
          </cell>
          <cell r="I9" t="str">
            <v>10/31/2020 00:00:00</v>
          </cell>
          <cell r="J9">
            <v>1</v>
          </cell>
          <cell r="K9" t="str">
            <v xml:space="preserve"> </v>
          </cell>
          <cell r="L9" t="str">
            <v xml:space="preserve"> </v>
          </cell>
          <cell r="M9" t="str">
            <v>321000010231492749</v>
          </cell>
          <cell r="N9" t="str">
            <v>1220000008</v>
          </cell>
          <cell r="O9" t="str">
            <v>11115</v>
          </cell>
          <cell r="P9" t="str">
            <v>432123202</v>
          </cell>
          <cell r="Q9" t="str">
            <v>LARGE INDUSTRY</v>
          </cell>
          <cell r="R9" t="str">
            <v>HT</v>
          </cell>
          <cell r="S9" t="str">
            <v>01/10/2023</v>
          </cell>
          <cell r="T9" t="str">
            <v>01/10/2023</v>
          </cell>
          <cell r="U9" t="str">
            <v>06/10/2023</v>
          </cell>
          <cell r="V9" t="str">
            <v>09/10/2023</v>
          </cell>
          <cell r="W9" t="str">
            <v>2023/09</v>
          </cell>
          <cell r="X9" t="str">
            <v>11 KV</v>
          </cell>
          <cell r="Y9" t="str">
            <v>HT</v>
          </cell>
          <cell r="Z9">
            <v>126.8</v>
          </cell>
          <cell r="AA9">
            <v>0.76029999999999998</v>
          </cell>
          <cell r="AB9">
            <v>28.75</v>
          </cell>
          <cell r="AC9" t="str">
            <v xml:space="preserve">01/09/2023 -     </v>
          </cell>
          <cell r="AD9" t="str">
            <v>30.09.2023</v>
          </cell>
          <cell r="AE9" t="str">
            <v>30/1.0000</v>
          </cell>
          <cell r="AF9">
            <v>134</v>
          </cell>
          <cell r="AG9" t="str">
            <v>KVA</v>
          </cell>
          <cell r="AH9">
            <v>134</v>
          </cell>
          <cell r="AI9" t="str">
            <v>R</v>
          </cell>
          <cell r="AJ9">
            <v>287508</v>
          </cell>
          <cell r="AK9" t="str">
            <v>30/09/2023</v>
          </cell>
          <cell r="AL9" t="str">
            <v>NES52009</v>
          </cell>
          <cell r="AM9" t="str">
            <v>TRI-VECTOR METER FOR RAILWAY TRACTION</v>
          </cell>
          <cell r="AN9" t="str">
            <v>POST PAID</v>
          </cell>
          <cell r="AO9">
            <v>250</v>
          </cell>
          <cell r="AP9" t="str">
            <v>TOD</v>
          </cell>
          <cell r="AQ9">
            <v>47886.36</v>
          </cell>
          <cell r="AR9">
            <v>0</v>
          </cell>
          <cell r="AS9">
            <v>0</v>
          </cell>
          <cell r="AT9">
            <v>0</v>
          </cell>
          <cell r="AU9">
            <v>0</v>
          </cell>
          <cell r="AV9">
            <v>0</v>
          </cell>
          <cell r="AW9">
            <v>19955</v>
          </cell>
          <cell r="AX9">
            <v>26245</v>
          </cell>
          <cell r="AY9">
            <v>26245</v>
          </cell>
          <cell r="AZ9">
            <v>908</v>
          </cell>
          <cell r="BA9">
            <v>126.8</v>
          </cell>
        </row>
        <row r="10">
          <cell r="F10">
            <v>122000000011</v>
          </cell>
          <cell r="G10" t="str">
            <v>UTKAL POLYWAVE IND.PVT.LTD</v>
          </cell>
          <cell r="H10" t="str">
            <v>26, GANESWARPUR INDL. ESTATE</v>
          </cell>
          <cell r="I10" t="str">
            <v>10/31/2020 00:00:00</v>
          </cell>
          <cell r="J10">
            <v>1</v>
          </cell>
          <cell r="K10" t="str">
            <v xml:space="preserve"> JANUGANJ, BALASORE-756019</v>
          </cell>
          <cell r="L10" t="str">
            <v xml:space="preserve"> </v>
          </cell>
          <cell r="M10" t="str">
            <v>321000010231492838</v>
          </cell>
          <cell r="N10" t="str">
            <v>1220000009</v>
          </cell>
          <cell r="O10" t="str">
            <v>12150</v>
          </cell>
          <cell r="P10" t="str">
            <v>432123201</v>
          </cell>
          <cell r="Q10" t="str">
            <v>LARGE INDUSTRY</v>
          </cell>
          <cell r="R10" t="str">
            <v>HT</v>
          </cell>
          <cell r="S10" t="str">
            <v>01/10/2023</v>
          </cell>
          <cell r="T10" t="str">
            <v>01/10/2023</v>
          </cell>
          <cell r="U10" t="str">
            <v>06/10/2023</v>
          </cell>
          <cell r="V10" t="str">
            <v>09/10/2023</v>
          </cell>
          <cell r="W10" t="str">
            <v>2023/09</v>
          </cell>
          <cell r="X10" t="str">
            <v>11 KV</v>
          </cell>
          <cell r="Y10" t="str">
            <v>HT</v>
          </cell>
          <cell r="Z10">
            <v>792</v>
          </cell>
          <cell r="AA10">
            <v>0.99909999999999999</v>
          </cell>
          <cell r="AB10">
            <v>74.48</v>
          </cell>
          <cell r="AC10" t="str">
            <v xml:space="preserve">01/09/2023 -     </v>
          </cell>
          <cell r="AD10" t="str">
            <v>30.09.2023</v>
          </cell>
          <cell r="AE10" t="str">
            <v>30/1.0000</v>
          </cell>
          <cell r="AF10">
            <v>860</v>
          </cell>
          <cell r="AG10" t="str">
            <v>KVA</v>
          </cell>
          <cell r="AH10">
            <v>860</v>
          </cell>
          <cell r="AI10" t="str">
            <v>R</v>
          </cell>
          <cell r="AJ10">
            <v>5117422.9000000004</v>
          </cell>
          <cell r="AK10" t="str">
            <v>30/09/2023</v>
          </cell>
          <cell r="AL10" t="str">
            <v>NSC95091</v>
          </cell>
          <cell r="AM10" t="str">
            <v>LT SINGLE PHASE AMR/AMI COMPLIANT METER-TOD</v>
          </cell>
          <cell r="AN10" t="str">
            <v>POST PAID</v>
          </cell>
          <cell r="AO10">
            <v>1260</v>
          </cell>
          <cell r="AP10" t="str">
            <v>TOD</v>
          </cell>
          <cell r="AQ10">
            <v>581639.12</v>
          </cell>
          <cell r="AR10">
            <v>0</v>
          </cell>
          <cell r="AS10">
            <v>0</v>
          </cell>
          <cell r="AT10">
            <v>0</v>
          </cell>
          <cell r="AU10">
            <v>0</v>
          </cell>
          <cell r="AV10">
            <v>0</v>
          </cell>
          <cell r="AW10">
            <v>424380</v>
          </cell>
          <cell r="AX10">
            <v>424735</v>
          </cell>
          <cell r="AY10">
            <v>424735</v>
          </cell>
          <cell r="AZ10">
            <v>5612</v>
          </cell>
          <cell r="BA10">
            <v>792</v>
          </cell>
        </row>
        <row r="11">
          <cell r="F11">
            <v>122000000012</v>
          </cell>
          <cell r="G11" t="str">
            <v>M/S. ALOM  EXTRUSIONS LTD.</v>
          </cell>
          <cell r="H11" t="str">
            <v>GANESWARPUR IND.ESTATE</v>
          </cell>
          <cell r="I11" t="str">
            <v>10/31/2020 00:00:00</v>
          </cell>
          <cell r="J11">
            <v>1</v>
          </cell>
          <cell r="K11" t="str">
            <v xml:space="preserve"> </v>
          </cell>
          <cell r="L11" t="str">
            <v xml:space="preserve"> </v>
          </cell>
          <cell r="M11" t="str">
            <v>321000010231495093</v>
          </cell>
          <cell r="N11" t="str">
            <v>1220000010</v>
          </cell>
          <cell r="O11" t="str">
            <v>D-31259</v>
          </cell>
          <cell r="P11" t="str">
            <v>43287401002</v>
          </cell>
          <cell r="Q11" t="str">
            <v>LARGE INDUSTRY</v>
          </cell>
          <cell r="R11" t="str">
            <v>HT</v>
          </cell>
          <cell r="S11" t="str">
            <v>01/10/2023</v>
          </cell>
          <cell r="T11" t="str">
            <v>01/10/2023</v>
          </cell>
          <cell r="U11" t="str">
            <v>06/10/2023</v>
          </cell>
          <cell r="V11" t="str">
            <v>09/10/2023</v>
          </cell>
          <cell r="W11" t="str">
            <v>2023/09</v>
          </cell>
          <cell r="X11" t="str">
            <v>33 KV</v>
          </cell>
          <cell r="Y11" t="str">
            <v>HT</v>
          </cell>
          <cell r="Z11">
            <v>1468.8</v>
          </cell>
          <cell r="AA11">
            <v>0.97789999999999999</v>
          </cell>
          <cell r="AB11">
            <v>54.02</v>
          </cell>
          <cell r="AC11" t="str">
            <v xml:space="preserve">01/09/2023 -     </v>
          </cell>
          <cell r="AD11" t="str">
            <v>30.09.2023</v>
          </cell>
          <cell r="AE11" t="str">
            <v>30/1.0000</v>
          </cell>
          <cell r="AF11">
            <v>1350</v>
          </cell>
          <cell r="AG11" t="str">
            <v>KVA</v>
          </cell>
          <cell r="AH11">
            <v>1350</v>
          </cell>
          <cell r="AI11" t="str">
            <v>R</v>
          </cell>
          <cell r="AJ11">
            <v>6867864.7599999998</v>
          </cell>
          <cell r="AK11" t="str">
            <v>30/09/2023</v>
          </cell>
          <cell r="AL11" t="str">
            <v>NES50153</v>
          </cell>
          <cell r="AM11" t="str">
            <v>THREE PHASE HT CT METER-33KV</v>
          </cell>
          <cell r="AN11" t="str">
            <v>POST PAID</v>
          </cell>
          <cell r="AO11">
            <v>2000</v>
          </cell>
          <cell r="AP11" t="str">
            <v>TOD</v>
          </cell>
          <cell r="AQ11">
            <v>-900550.36</v>
          </cell>
          <cell r="AR11">
            <v>0</v>
          </cell>
          <cell r="AS11">
            <v>0</v>
          </cell>
          <cell r="AT11">
            <v>0</v>
          </cell>
          <cell r="AU11">
            <v>0</v>
          </cell>
          <cell r="AV11">
            <v>0</v>
          </cell>
          <cell r="AW11">
            <v>0</v>
          </cell>
          <cell r="AX11">
            <v>0</v>
          </cell>
          <cell r="AY11">
            <v>571329</v>
          </cell>
          <cell r="AZ11">
            <v>0</v>
          </cell>
          <cell r="BA11">
            <v>0</v>
          </cell>
        </row>
        <row r="12">
          <cell r="F12">
            <v>122000000013</v>
          </cell>
          <cell r="G12" t="str">
            <v>M/S ABHAY TRANSFORMERS P. LTD.</v>
          </cell>
          <cell r="H12" t="str">
            <v>O.T.ROAD , BALASORE,</v>
          </cell>
          <cell r="I12" t="str">
            <v>10/31/2020 00:00:00</v>
          </cell>
          <cell r="J12">
            <v>1</v>
          </cell>
          <cell r="K12" t="str">
            <v xml:space="preserve"> </v>
          </cell>
          <cell r="L12" t="str">
            <v xml:space="preserve"> </v>
          </cell>
          <cell r="M12" t="str">
            <v>321000010232495539</v>
          </cell>
          <cell r="N12" t="str">
            <v>1220000011</v>
          </cell>
          <cell r="O12" t="str">
            <v>12479</v>
          </cell>
          <cell r="P12" t="str">
            <v>432121101</v>
          </cell>
          <cell r="Q12" t="str">
            <v>ALLIED AGRO-INDUSTRIAL ACTIVITIES</v>
          </cell>
          <cell r="R12" t="str">
            <v>HT</v>
          </cell>
          <cell r="S12" t="str">
            <v>01/10/2023</v>
          </cell>
          <cell r="T12" t="str">
            <v>01/10/2023</v>
          </cell>
          <cell r="U12" t="str">
            <v>06/10/2023</v>
          </cell>
          <cell r="V12" t="str">
            <v>09/10/2023</v>
          </cell>
          <cell r="W12" t="str">
            <v>2023/09</v>
          </cell>
          <cell r="X12" t="str">
            <v>11 KV</v>
          </cell>
          <cell r="Y12" t="str">
            <v>HT</v>
          </cell>
          <cell r="Z12">
            <v>189</v>
          </cell>
          <cell r="AA12">
            <v>0.97160000000000002</v>
          </cell>
          <cell r="AB12">
            <v>0</v>
          </cell>
          <cell r="AC12" t="str">
            <v xml:space="preserve">01/09/2023 -     </v>
          </cell>
          <cell r="AD12" t="str">
            <v>30.09.2023</v>
          </cell>
          <cell r="AE12" t="str">
            <v>30/1.0000</v>
          </cell>
          <cell r="AF12">
            <v>189</v>
          </cell>
          <cell r="AG12" t="str">
            <v>KVA</v>
          </cell>
          <cell r="AH12">
            <v>189</v>
          </cell>
          <cell r="AI12" t="str">
            <v>R</v>
          </cell>
          <cell r="AJ12">
            <v>531390</v>
          </cell>
          <cell r="AK12" t="str">
            <v>30/09/2023</v>
          </cell>
          <cell r="AL12" t="str">
            <v>TPN64672</v>
          </cell>
          <cell r="AM12" t="str">
            <v>THREE PHASE STATIC TRI-VECTOR METER-TOD</v>
          </cell>
          <cell r="AN12" t="str">
            <v>BI DIRECTIONAL</v>
          </cell>
          <cell r="AO12">
            <v>400</v>
          </cell>
          <cell r="AP12" t="str">
            <v>TOD</v>
          </cell>
          <cell r="AQ12">
            <v>-53076</v>
          </cell>
          <cell r="AR12">
            <v>0</v>
          </cell>
          <cell r="AS12">
            <v>0</v>
          </cell>
          <cell r="AT12">
            <v>0</v>
          </cell>
          <cell r="AU12">
            <v>0</v>
          </cell>
          <cell r="AV12">
            <v>0</v>
          </cell>
          <cell r="AW12">
            <v>24880</v>
          </cell>
          <cell r="AX12">
            <v>25605</v>
          </cell>
          <cell r="AY12">
            <v>22868</v>
          </cell>
          <cell r="AZ12">
            <v>0.12559999999999999</v>
          </cell>
          <cell r="BA12">
            <v>62.8</v>
          </cell>
        </row>
        <row r="13">
          <cell r="F13">
            <v>122000000014</v>
          </cell>
          <cell r="G13" t="str">
            <v>TELECOM DIST.ENGINEER</v>
          </cell>
          <cell r="H13" t="str">
            <v>BALASORE.,</v>
          </cell>
          <cell r="I13" t="str">
            <v>10/31/2020 00:00:00</v>
          </cell>
          <cell r="J13">
            <v>1</v>
          </cell>
          <cell r="K13" t="str">
            <v xml:space="preserve"> </v>
          </cell>
          <cell r="L13" t="str">
            <v xml:space="preserve"> </v>
          </cell>
          <cell r="M13" t="str">
            <v>321000010231493079</v>
          </cell>
          <cell r="N13" t="str">
            <v>1220000012</v>
          </cell>
          <cell r="O13" t="str">
            <v>15832</v>
          </cell>
          <cell r="P13" t="str">
            <v>432121102</v>
          </cell>
          <cell r="Q13" t="str">
            <v>GENERAL PURPOSE &gt;= 110 KVA</v>
          </cell>
          <cell r="R13" t="str">
            <v>HT</v>
          </cell>
          <cell r="S13" t="str">
            <v>01/10/2023</v>
          </cell>
          <cell r="T13" t="str">
            <v>01/10/2023</v>
          </cell>
          <cell r="U13" t="str">
            <v>06/10/2023</v>
          </cell>
          <cell r="V13" t="str">
            <v>09/10/2023</v>
          </cell>
          <cell r="W13" t="str">
            <v>2023/09</v>
          </cell>
          <cell r="X13" t="str">
            <v>11 KV</v>
          </cell>
          <cell r="Y13" t="str">
            <v>HT</v>
          </cell>
          <cell r="Z13">
            <v>141.6</v>
          </cell>
          <cell r="AA13">
            <v>0.99990000000000001</v>
          </cell>
          <cell r="AB13">
            <v>56.87</v>
          </cell>
          <cell r="AC13" t="str">
            <v xml:space="preserve">01/09/2023 -     </v>
          </cell>
          <cell r="AD13" t="str">
            <v>30.09.2023</v>
          </cell>
          <cell r="AE13" t="str">
            <v>30/1.0000</v>
          </cell>
          <cell r="AF13">
            <v>177</v>
          </cell>
          <cell r="AG13" t="str">
            <v>KVA</v>
          </cell>
          <cell r="AH13">
            <v>177</v>
          </cell>
          <cell r="AI13" t="str">
            <v>R</v>
          </cell>
          <cell r="AJ13">
            <v>713415.6</v>
          </cell>
          <cell r="AK13" t="str">
            <v>30/09/2023</v>
          </cell>
          <cell r="AL13" t="str">
            <v>NES50377</v>
          </cell>
          <cell r="AM13" t="str">
            <v>TRI-VECTOR METER FOR RAILWAY TRACTION</v>
          </cell>
          <cell r="AN13" t="str">
            <v>POST PAID</v>
          </cell>
          <cell r="AO13">
            <v>250</v>
          </cell>
          <cell r="AP13" t="str">
            <v>TOD</v>
          </cell>
          <cell r="AQ13">
            <v>-202461.6</v>
          </cell>
          <cell r="AR13">
            <v>0</v>
          </cell>
          <cell r="AS13">
            <v>0</v>
          </cell>
          <cell r="AT13">
            <v>0</v>
          </cell>
          <cell r="AU13">
            <v>0</v>
          </cell>
          <cell r="AV13">
            <v>0</v>
          </cell>
          <cell r="AW13">
            <v>39865</v>
          </cell>
          <cell r="AX13">
            <v>39868</v>
          </cell>
          <cell r="AY13">
            <v>39868</v>
          </cell>
          <cell r="AZ13">
            <v>737.12</v>
          </cell>
          <cell r="BA13">
            <v>97.36</v>
          </cell>
        </row>
        <row r="14">
          <cell r="F14">
            <v>122000000019</v>
          </cell>
          <cell r="G14" t="str">
            <v>TARATARINI RUBBER(INDIA)P.LTD</v>
          </cell>
          <cell r="H14" t="str">
            <v>GANESWARPUR IND.ESTATE</v>
          </cell>
          <cell r="I14" t="str">
            <v>10/31/2020 00:00:00</v>
          </cell>
          <cell r="J14">
            <v>1</v>
          </cell>
          <cell r="K14" t="str">
            <v xml:space="preserve"> </v>
          </cell>
          <cell r="L14" t="str">
            <v xml:space="preserve"> </v>
          </cell>
          <cell r="M14" t="str">
            <v>321000010231492941</v>
          </cell>
          <cell r="N14" t="str">
            <v>1220000016</v>
          </cell>
          <cell r="O14" t="str">
            <v>16226</v>
          </cell>
          <cell r="P14" t="str">
            <v>432123201</v>
          </cell>
          <cell r="Q14" t="str">
            <v>LARGE INDUSTRY</v>
          </cell>
          <cell r="R14" t="str">
            <v>HT</v>
          </cell>
          <cell r="S14" t="str">
            <v>01/10/2023</v>
          </cell>
          <cell r="T14" t="str">
            <v>01/10/2023</v>
          </cell>
          <cell r="U14" t="str">
            <v>06/10/2023</v>
          </cell>
          <cell r="V14" t="str">
            <v>09/10/2023</v>
          </cell>
          <cell r="W14" t="str">
            <v>2023/09</v>
          </cell>
          <cell r="X14" t="str">
            <v>11 KV</v>
          </cell>
          <cell r="Y14" t="str">
            <v>HT</v>
          </cell>
          <cell r="Z14">
            <v>285.8</v>
          </cell>
          <cell r="AA14">
            <v>0.99529999999999996</v>
          </cell>
          <cell r="AB14">
            <v>70.02</v>
          </cell>
          <cell r="AC14" t="str">
            <v xml:space="preserve">01/09/2023 -     </v>
          </cell>
          <cell r="AD14" t="str">
            <v>30.09.2023</v>
          </cell>
          <cell r="AE14" t="str">
            <v>30/1.0000</v>
          </cell>
          <cell r="AF14">
            <v>300</v>
          </cell>
          <cell r="AG14" t="str">
            <v>KVA</v>
          </cell>
          <cell r="AH14">
            <v>300</v>
          </cell>
          <cell r="AI14" t="str">
            <v>R</v>
          </cell>
          <cell r="AJ14">
            <v>1671629.8</v>
          </cell>
          <cell r="AK14" t="str">
            <v>30/09/2023</v>
          </cell>
          <cell r="AL14" t="str">
            <v>TPN64703</v>
          </cell>
          <cell r="AM14" t="str">
            <v>THREE PHASE STATIC TRI-VECTOR METER</v>
          </cell>
          <cell r="AN14" t="str">
            <v>POST PAID</v>
          </cell>
          <cell r="AO14">
            <v>500</v>
          </cell>
          <cell r="AP14" t="str">
            <v>TOD</v>
          </cell>
          <cell r="AQ14">
            <v>61068.160000000003</v>
          </cell>
          <cell r="AR14">
            <v>0</v>
          </cell>
          <cell r="AS14">
            <v>0</v>
          </cell>
          <cell r="AT14">
            <v>0</v>
          </cell>
          <cell r="AU14">
            <v>0</v>
          </cell>
          <cell r="AV14">
            <v>0</v>
          </cell>
          <cell r="AW14">
            <v>143415</v>
          </cell>
          <cell r="AX14">
            <v>144087</v>
          </cell>
          <cell r="AY14">
            <v>144087</v>
          </cell>
          <cell r="AZ14">
            <v>2005.4</v>
          </cell>
          <cell r="BA14">
            <v>285.8</v>
          </cell>
        </row>
        <row r="15">
          <cell r="F15">
            <v>122000000020</v>
          </cell>
          <cell r="G15" t="str">
            <v>RAILWAY STATION,BALASORE</v>
          </cell>
          <cell r="H15" t="str">
            <v>C/O DIVISIONAL ELECTRICAL</v>
          </cell>
          <cell r="I15" t="str">
            <v>10/31/2020 00:00:00</v>
          </cell>
          <cell r="J15">
            <v>1</v>
          </cell>
          <cell r="K15" t="str">
            <v xml:space="preserve"> </v>
          </cell>
          <cell r="L15" t="str">
            <v xml:space="preserve"> </v>
          </cell>
          <cell r="M15" t="str">
            <v>321000010231493167</v>
          </cell>
          <cell r="N15" t="str">
            <v>1220000017</v>
          </cell>
          <cell r="O15" t="str">
            <v>303</v>
          </cell>
          <cell r="P15" t="str">
            <v>432121101</v>
          </cell>
          <cell r="Q15" t="str">
            <v>GENERAL PURPOSE &gt;= 110 KVA</v>
          </cell>
          <cell r="R15" t="str">
            <v>HT</v>
          </cell>
          <cell r="S15" t="str">
            <v>01/10/2023</v>
          </cell>
          <cell r="T15" t="str">
            <v>01/10/2023</v>
          </cell>
          <cell r="U15" t="str">
            <v>06/10/2023</v>
          </cell>
          <cell r="V15" t="str">
            <v>09/10/2023</v>
          </cell>
          <cell r="W15" t="str">
            <v>2023/09</v>
          </cell>
          <cell r="X15" t="str">
            <v>11 KV</v>
          </cell>
          <cell r="Y15" t="str">
            <v>HT</v>
          </cell>
          <cell r="Z15">
            <v>200</v>
          </cell>
          <cell r="AA15">
            <v>0.9718</v>
          </cell>
          <cell r="AB15">
            <v>67.88</v>
          </cell>
          <cell r="AC15" t="str">
            <v xml:space="preserve">01/09/2023 -     </v>
          </cell>
          <cell r="AD15" t="str">
            <v>30.09.2023</v>
          </cell>
          <cell r="AE15" t="str">
            <v>30/1.0000</v>
          </cell>
          <cell r="AF15">
            <v>250</v>
          </cell>
          <cell r="AG15" t="str">
            <v>KVA</v>
          </cell>
          <cell r="AH15">
            <v>250</v>
          </cell>
          <cell r="AI15" t="str">
            <v>R</v>
          </cell>
          <cell r="AJ15">
            <v>705453</v>
          </cell>
          <cell r="AK15" t="str">
            <v>30/09/2023</v>
          </cell>
          <cell r="AL15" t="str">
            <v>NES50998</v>
          </cell>
          <cell r="AM15" t="str">
            <v>SINGLE PHASE ELECTRO-MAGNETIC KWH METER-TOD</v>
          </cell>
          <cell r="AN15" t="str">
            <v>POST PAID</v>
          </cell>
          <cell r="AO15">
            <v>250</v>
          </cell>
          <cell r="AP15" t="str">
            <v>TOD</v>
          </cell>
          <cell r="AQ15">
            <v>23000.799999999999</v>
          </cell>
          <cell r="AR15">
            <v>0</v>
          </cell>
          <cell r="AS15">
            <v>0</v>
          </cell>
          <cell r="AT15">
            <v>0</v>
          </cell>
          <cell r="AU15">
            <v>0</v>
          </cell>
          <cell r="AV15">
            <v>0</v>
          </cell>
          <cell r="AW15">
            <v>77666</v>
          </cell>
          <cell r="AX15">
            <v>79914</v>
          </cell>
          <cell r="AY15">
            <v>79914</v>
          </cell>
          <cell r="AZ15">
            <v>1264.8</v>
          </cell>
          <cell r="BA15">
            <v>163.52000000000001</v>
          </cell>
        </row>
        <row r="16">
          <cell r="F16">
            <v>122000000027</v>
          </cell>
          <cell r="G16" t="str">
            <v>M/S SUBARNA ICE FACTORY</v>
          </cell>
          <cell r="H16" t="str">
            <v>C/O P.K MAHAPATRA,</v>
          </cell>
          <cell r="I16" t="str">
            <v>10/31/2020 00:00:00</v>
          </cell>
          <cell r="J16">
            <v>1</v>
          </cell>
          <cell r="K16" t="str">
            <v xml:space="preserve"> </v>
          </cell>
          <cell r="L16" t="str">
            <v xml:space="preserve"> </v>
          </cell>
          <cell r="M16" t="str">
            <v>321000010231493275</v>
          </cell>
          <cell r="N16" t="str">
            <v>1220000021</v>
          </cell>
          <cell r="O16" t="str">
            <v>25015</v>
          </cell>
          <cell r="P16" t="str">
            <v>432114401</v>
          </cell>
          <cell r="Q16" t="str">
            <v>LARGE INDUSTRY</v>
          </cell>
          <cell r="R16" t="str">
            <v>HT</v>
          </cell>
          <cell r="S16" t="str">
            <v>01/10/2023</v>
          </cell>
          <cell r="T16" t="str">
            <v>01/10/2023</v>
          </cell>
          <cell r="U16" t="str">
            <v>06/10/2023</v>
          </cell>
          <cell r="V16" t="str">
            <v>09/10/2023</v>
          </cell>
          <cell r="W16" t="str">
            <v>2023/09</v>
          </cell>
          <cell r="X16" t="str">
            <v>11 KV</v>
          </cell>
          <cell r="Y16" t="str">
            <v>HT</v>
          </cell>
          <cell r="Z16">
            <v>225.92</v>
          </cell>
          <cell r="AA16">
            <v>0.98519999999999996</v>
          </cell>
          <cell r="AB16">
            <v>39.51</v>
          </cell>
          <cell r="AC16" t="str">
            <v xml:space="preserve">01/09/2023 -     </v>
          </cell>
          <cell r="AD16" t="str">
            <v>30.09.2023</v>
          </cell>
          <cell r="AE16" t="str">
            <v>30/1.0000</v>
          </cell>
          <cell r="AF16">
            <v>200</v>
          </cell>
          <cell r="AG16" t="str">
            <v>KVA</v>
          </cell>
          <cell r="AH16">
            <v>200</v>
          </cell>
          <cell r="AI16" t="str">
            <v>R</v>
          </cell>
          <cell r="AJ16">
            <v>317431.38</v>
          </cell>
          <cell r="AK16" t="str">
            <v>30/09/2023</v>
          </cell>
          <cell r="AL16" t="str">
            <v>TPN64234</v>
          </cell>
          <cell r="AM16" t="str">
            <v>THREE PHASE STATIC TRI-VECTOR METER-TOD</v>
          </cell>
          <cell r="AN16" t="str">
            <v>POST PAID</v>
          </cell>
          <cell r="AO16">
            <v>250</v>
          </cell>
          <cell r="AP16" t="str">
            <v>TOD</v>
          </cell>
          <cell r="AQ16">
            <v>395050.88</v>
          </cell>
          <cell r="AR16">
            <v>0</v>
          </cell>
          <cell r="AS16">
            <v>0</v>
          </cell>
          <cell r="AT16">
            <v>0</v>
          </cell>
          <cell r="AU16">
            <v>0</v>
          </cell>
          <cell r="AV16">
            <v>0</v>
          </cell>
          <cell r="AW16">
            <v>63326</v>
          </cell>
          <cell r="AX16">
            <v>64274</v>
          </cell>
          <cell r="AY16">
            <v>64274</v>
          </cell>
          <cell r="AZ16">
            <v>1694.08</v>
          </cell>
          <cell r="BA16">
            <v>225.92</v>
          </cell>
        </row>
        <row r="17">
          <cell r="F17">
            <v>122000000032</v>
          </cell>
          <cell r="G17" t="str">
            <v>M/S.GAMPAS PLASTECH PVT.LTD.</v>
          </cell>
          <cell r="H17" t="str">
            <v>AT-INDUSTRIAL ESTATE,</v>
          </cell>
          <cell r="I17" t="str">
            <v>10/31/2020 00:00:00</v>
          </cell>
          <cell r="J17">
            <v>1</v>
          </cell>
          <cell r="K17" t="str">
            <v xml:space="preserve"> </v>
          </cell>
          <cell r="L17" t="str">
            <v xml:space="preserve"> </v>
          </cell>
          <cell r="M17" t="str">
            <v>321000010231493063</v>
          </cell>
          <cell r="N17" t="str">
            <v>1220000023</v>
          </cell>
          <cell r="O17" t="str">
            <v>29416</v>
          </cell>
          <cell r="P17" t="str">
            <v>432123201</v>
          </cell>
          <cell r="Q17" t="str">
            <v>LARGE INDUSTRY</v>
          </cell>
          <cell r="R17" t="str">
            <v>HT</v>
          </cell>
          <cell r="S17" t="str">
            <v>01/10/2023</v>
          </cell>
          <cell r="T17" t="str">
            <v>01/10/2023</v>
          </cell>
          <cell r="U17" t="str">
            <v>06/10/2023</v>
          </cell>
          <cell r="V17" t="str">
            <v>09/10/2023</v>
          </cell>
          <cell r="W17" t="str">
            <v>2023/09</v>
          </cell>
          <cell r="X17" t="str">
            <v>11 KV</v>
          </cell>
          <cell r="Y17" t="str">
            <v>HT</v>
          </cell>
          <cell r="Z17">
            <v>322.08</v>
          </cell>
          <cell r="AA17">
            <v>0.98850000000000005</v>
          </cell>
          <cell r="AB17">
            <v>49.91</v>
          </cell>
          <cell r="AC17" t="str">
            <v xml:space="preserve">01/09/2023 -     </v>
          </cell>
          <cell r="AD17" t="str">
            <v>30.09.2023</v>
          </cell>
          <cell r="AE17" t="str">
            <v>30/1.0000</v>
          </cell>
          <cell r="AF17">
            <v>400</v>
          </cell>
          <cell r="AG17" t="str">
            <v>KVA</v>
          </cell>
          <cell r="AH17">
            <v>400</v>
          </cell>
          <cell r="AI17" t="str">
            <v>R</v>
          </cell>
          <cell r="AJ17">
            <v>2273208.36</v>
          </cell>
          <cell r="AK17" t="str">
            <v>30/09/2023</v>
          </cell>
          <cell r="AL17" t="str">
            <v>NES51027</v>
          </cell>
          <cell r="AM17" t="str">
            <v>LT SINGLE PHASE AMR/AMI COMPLIANT METER-TOD</v>
          </cell>
          <cell r="AN17" t="str">
            <v>POST PAID</v>
          </cell>
          <cell r="AO17">
            <v>600</v>
          </cell>
          <cell r="AP17" t="str">
            <v>TOD</v>
          </cell>
          <cell r="AQ17">
            <v>-58631.86</v>
          </cell>
          <cell r="AR17">
            <v>0</v>
          </cell>
          <cell r="AS17">
            <v>0</v>
          </cell>
          <cell r="AT17">
            <v>0</v>
          </cell>
          <cell r="AU17">
            <v>0</v>
          </cell>
          <cell r="AV17">
            <v>0</v>
          </cell>
          <cell r="AW17">
            <v>114408</v>
          </cell>
          <cell r="AX17">
            <v>115734</v>
          </cell>
          <cell r="AY17">
            <v>115734</v>
          </cell>
          <cell r="AZ17">
            <v>2494.3200000000002</v>
          </cell>
          <cell r="BA17">
            <v>322.08000000000004</v>
          </cell>
        </row>
        <row r="18">
          <cell r="F18">
            <v>122000000038</v>
          </cell>
          <cell r="G18" t="str">
            <v>M/S.ORIPOL INDUSTRIES LTD</v>
          </cell>
          <cell r="H18" t="str">
            <v>AT/PO:REMUNA,</v>
          </cell>
          <cell r="I18" t="str">
            <v>10/31/2020 00:00:00</v>
          </cell>
          <cell r="J18">
            <v>1</v>
          </cell>
          <cell r="K18" t="str">
            <v xml:space="preserve"> </v>
          </cell>
          <cell r="L18" t="str">
            <v xml:space="preserve"> </v>
          </cell>
          <cell r="M18" t="str">
            <v>321000010231493149</v>
          </cell>
          <cell r="N18" t="str">
            <v>1220000024</v>
          </cell>
          <cell r="O18" t="str">
            <v>BM-18444</v>
          </cell>
          <cell r="P18" t="str">
            <v>432123202</v>
          </cell>
          <cell r="Q18" t="str">
            <v>LARGE INDUSTRY</v>
          </cell>
          <cell r="R18" t="str">
            <v>HT</v>
          </cell>
          <cell r="S18" t="str">
            <v>01/10/2023</v>
          </cell>
          <cell r="T18" t="str">
            <v>01/10/2023</v>
          </cell>
          <cell r="U18" t="str">
            <v>06/10/2023</v>
          </cell>
          <cell r="V18" t="str">
            <v>09/10/2023</v>
          </cell>
          <cell r="W18" t="str">
            <v>2023/09</v>
          </cell>
          <cell r="X18" t="str">
            <v>11 KV</v>
          </cell>
          <cell r="Y18" t="str">
            <v>HT</v>
          </cell>
          <cell r="Z18">
            <v>472.56</v>
          </cell>
          <cell r="AA18">
            <v>0.98350000000000004</v>
          </cell>
          <cell r="AB18">
            <v>35.32</v>
          </cell>
          <cell r="AC18" t="str">
            <v xml:space="preserve">01/09/2023 -     </v>
          </cell>
          <cell r="AD18" t="str">
            <v>30.09.2023</v>
          </cell>
          <cell r="AE18" t="str">
            <v>30/1.0000</v>
          </cell>
          <cell r="AF18">
            <v>400</v>
          </cell>
          <cell r="AG18" t="str">
            <v>KVA</v>
          </cell>
          <cell r="AH18">
            <v>400</v>
          </cell>
          <cell r="AI18" t="str">
            <v>R</v>
          </cell>
          <cell r="AJ18">
            <v>1894494.9</v>
          </cell>
          <cell r="AK18" t="str">
            <v>30/09/2023</v>
          </cell>
          <cell r="AL18" t="str">
            <v>TPN64134</v>
          </cell>
          <cell r="AM18" t="str">
            <v>LT SINGLE PHASE AMR/AMI COMPLIANT METER-TOD</v>
          </cell>
          <cell r="AN18" t="str">
            <v>POST PAID</v>
          </cell>
          <cell r="AO18">
            <v>750</v>
          </cell>
          <cell r="AP18" t="str">
            <v>TOD</v>
          </cell>
          <cell r="AQ18">
            <v>-270121.09999999998</v>
          </cell>
          <cell r="AR18">
            <v>0</v>
          </cell>
          <cell r="AS18">
            <v>0</v>
          </cell>
          <cell r="AT18">
            <v>0</v>
          </cell>
          <cell r="AU18">
            <v>0</v>
          </cell>
          <cell r="AV18">
            <v>0</v>
          </cell>
          <cell r="AW18">
            <v>118200</v>
          </cell>
          <cell r="AX18">
            <v>120171</v>
          </cell>
          <cell r="AY18">
            <v>120171</v>
          </cell>
          <cell r="AZ18">
            <v>2816.64</v>
          </cell>
          <cell r="BA18">
            <v>472.56</v>
          </cell>
        </row>
        <row r="19">
          <cell r="F19">
            <v>122000000039</v>
          </cell>
          <cell r="G19" t="str">
            <v>BALASORE RAILWAY TRACTION</v>
          </cell>
          <cell r="H19" t="str">
            <v>SR DIV ELECT ENGNR (TRD)</v>
          </cell>
          <cell r="I19" t="str">
            <v>10/31/2020 00:00:00</v>
          </cell>
          <cell r="J19">
            <v>1</v>
          </cell>
          <cell r="K19" t="str">
            <v xml:space="preserve"> </v>
          </cell>
          <cell r="L19" t="str">
            <v xml:space="preserve"> </v>
          </cell>
          <cell r="M19" t="str">
            <v>321000010231495036</v>
          </cell>
          <cell r="N19" t="str">
            <v>1220000025</v>
          </cell>
          <cell r="O19" t="str">
            <v>C-33425</v>
          </cell>
          <cell r="P19" t="str">
            <v>NULL</v>
          </cell>
          <cell r="Q19" t="str">
            <v>RAILWAY TRACTION</v>
          </cell>
          <cell r="R19" t="str">
            <v>EHT</v>
          </cell>
          <cell r="S19" t="str">
            <v>01/10/2023</v>
          </cell>
          <cell r="T19" t="str">
            <v>01/10/2023</v>
          </cell>
          <cell r="U19" t="str">
            <v>06/10/2023</v>
          </cell>
          <cell r="V19" t="str">
            <v>09/10/2023</v>
          </cell>
          <cell r="W19" t="str">
            <v>2023/09</v>
          </cell>
          <cell r="X19" t="str">
            <v>132 KV</v>
          </cell>
          <cell r="Y19" t="str">
            <v>HT</v>
          </cell>
          <cell r="Z19">
            <v>16720</v>
          </cell>
          <cell r="AA19">
            <v>0.97130000000000005</v>
          </cell>
          <cell r="AB19">
            <v>51.68</v>
          </cell>
          <cell r="AC19" t="str">
            <v xml:space="preserve">01/09/2023 -     </v>
          </cell>
          <cell r="AD19" t="str">
            <v>30.09.2023</v>
          </cell>
          <cell r="AE19" t="str">
            <v>30/1.0000</v>
          </cell>
          <cell r="AF19">
            <v>18000</v>
          </cell>
          <cell r="AG19" t="str">
            <v>KVA</v>
          </cell>
          <cell r="AH19">
            <v>18000</v>
          </cell>
          <cell r="AI19" t="str">
            <v>R</v>
          </cell>
          <cell r="AJ19">
            <v>65571794</v>
          </cell>
          <cell r="AK19" t="str">
            <v>30/09/2023</v>
          </cell>
          <cell r="AL19" t="str">
            <v>OPT01264</v>
          </cell>
          <cell r="AM19" t="str">
            <v>TRI-VECTOR METER FOR RAILWAY TRACTION</v>
          </cell>
          <cell r="AN19" t="str">
            <v>POST PAID</v>
          </cell>
          <cell r="AO19">
            <v>21600</v>
          </cell>
          <cell r="AP19" t="str">
            <v>TOD</v>
          </cell>
          <cell r="AQ19">
            <v>11715794.140000001</v>
          </cell>
          <cell r="AR19">
            <v>0</v>
          </cell>
          <cell r="AS19">
            <v>0</v>
          </cell>
          <cell r="AT19">
            <v>0</v>
          </cell>
          <cell r="AU19">
            <v>0</v>
          </cell>
          <cell r="AV19">
            <v>0</v>
          </cell>
          <cell r="AW19">
            <v>6042740</v>
          </cell>
          <cell r="AX19">
            <v>6220980</v>
          </cell>
          <cell r="AY19">
            <v>6220980</v>
          </cell>
          <cell r="AZ19">
            <v>16.72</v>
          </cell>
          <cell r="BA19">
            <v>16720</v>
          </cell>
        </row>
        <row r="20">
          <cell r="F20">
            <v>122000000040</v>
          </cell>
          <cell r="G20" t="str">
            <v>M/S.OMFED DAIRY PLANT</v>
          </cell>
          <cell r="H20" t="str">
            <v>REMUNA,BALASORE,</v>
          </cell>
          <cell r="I20" t="str">
            <v>10/31/2020 00:00:00</v>
          </cell>
          <cell r="J20">
            <v>1</v>
          </cell>
          <cell r="K20" t="str">
            <v xml:space="preserve"> </v>
          </cell>
          <cell r="L20" t="str">
            <v xml:space="preserve"> </v>
          </cell>
          <cell r="M20" t="str">
            <v>321000010231493251</v>
          </cell>
          <cell r="N20" t="str">
            <v>1220000026</v>
          </cell>
          <cell r="O20" t="str">
            <v>BM-28135</v>
          </cell>
          <cell r="P20" t="str">
            <v>432123202</v>
          </cell>
          <cell r="Q20" t="str">
            <v>ALLIED AGRO-INDUSTRIAL ACTIVITIES</v>
          </cell>
          <cell r="R20" t="str">
            <v>HT</v>
          </cell>
          <cell r="S20" t="str">
            <v>01/10/2023</v>
          </cell>
          <cell r="T20" t="str">
            <v>01/10/2023</v>
          </cell>
          <cell r="U20" t="str">
            <v>06/10/2023</v>
          </cell>
          <cell r="V20" t="str">
            <v>09/10/2023</v>
          </cell>
          <cell r="W20" t="str">
            <v>2023/09</v>
          </cell>
          <cell r="X20" t="str">
            <v>11 KV</v>
          </cell>
          <cell r="Y20" t="str">
            <v>HT</v>
          </cell>
          <cell r="Z20">
            <v>400</v>
          </cell>
          <cell r="AA20">
            <v>0.99029999999999996</v>
          </cell>
          <cell r="AB20">
            <v>0</v>
          </cell>
          <cell r="AC20" t="str">
            <v xml:space="preserve">01/09/2023 -     </v>
          </cell>
          <cell r="AD20" t="str">
            <v>30.09.2023</v>
          </cell>
          <cell r="AE20" t="str">
            <v>30/1.0000</v>
          </cell>
          <cell r="AF20">
            <v>400</v>
          </cell>
          <cell r="AG20" t="str">
            <v>KVA</v>
          </cell>
          <cell r="AH20">
            <v>400</v>
          </cell>
          <cell r="AI20" t="str">
            <v>R</v>
          </cell>
          <cell r="AJ20">
            <v>1965814</v>
          </cell>
          <cell r="AK20" t="str">
            <v>30/09/2023</v>
          </cell>
          <cell r="AL20" t="str">
            <v>TPNODL38110470</v>
          </cell>
          <cell r="AM20" t="str">
            <v>THREE PHASE SMART HT CT METER (AMR/AMI)-11KV</v>
          </cell>
          <cell r="AN20" t="str">
            <v>SMART METER</v>
          </cell>
          <cell r="AO20">
            <v>315</v>
          </cell>
          <cell r="AP20" t="str">
            <v>TOD</v>
          </cell>
          <cell r="AQ20">
            <v>-1241554.8</v>
          </cell>
          <cell r="AR20">
            <v>0</v>
          </cell>
          <cell r="AS20">
            <v>0</v>
          </cell>
          <cell r="AT20">
            <v>0</v>
          </cell>
          <cell r="AU20">
            <v>0</v>
          </cell>
          <cell r="AV20">
            <v>0</v>
          </cell>
          <cell r="AW20">
            <v>87855</v>
          </cell>
          <cell r="AX20">
            <v>88712</v>
          </cell>
          <cell r="AY20">
            <v>88712</v>
          </cell>
          <cell r="AZ20">
            <v>1361.5632000000001</v>
          </cell>
          <cell r="BA20">
            <v>251.05800000000002</v>
          </cell>
        </row>
        <row r="21">
          <cell r="F21">
            <v>122000000043</v>
          </cell>
          <cell r="G21" t="str">
            <v>M/S JAGADAMBA POLYMER PVT.LTD.</v>
          </cell>
          <cell r="H21" t="str">
            <v>GANESWARPUR,</v>
          </cell>
          <cell r="I21" t="str">
            <v>10/31/2020 00:00:00</v>
          </cell>
          <cell r="J21">
            <v>1</v>
          </cell>
          <cell r="K21" t="str">
            <v xml:space="preserve"> </v>
          </cell>
          <cell r="L21" t="str">
            <v xml:space="preserve"> </v>
          </cell>
          <cell r="M21" t="str">
            <v>321000010231494903</v>
          </cell>
          <cell r="N21" t="str">
            <v>1220000028</v>
          </cell>
          <cell r="O21" t="str">
            <v>19414</v>
          </cell>
          <cell r="P21" t="str">
            <v>432123201</v>
          </cell>
          <cell r="Q21" t="str">
            <v>LARGE INDUSTRY</v>
          </cell>
          <cell r="R21" t="str">
            <v>HT</v>
          </cell>
          <cell r="S21" t="str">
            <v>01/10/2023</v>
          </cell>
          <cell r="T21" t="str">
            <v>01/10/2023</v>
          </cell>
          <cell r="U21" t="str">
            <v>06/10/2023</v>
          </cell>
          <cell r="V21" t="str">
            <v>09/10/2023</v>
          </cell>
          <cell r="W21" t="str">
            <v>2023/09</v>
          </cell>
          <cell r="X21" t="str">
            <v>11 KV</v>
          </cell>
          <cell r="Y21" t="str">
            <v>HT</v>
          </cell>
          <cell r="Z21">
            <v>240</v>
          </cell>
          <cell r="AA21">
            <v>0.99239999999999995</v>
          </cell>
          <cell r="AB21">
            <v>58.27</v>
          </cell>
          <cell r="AC21" t="str">
            <v xml:space="preserve">01/09/2023 -     </v>
          </cell>
          <cell r="AD21" t="str">
            <v>30.09.2023</v>
          </cell>
          <cell r="AE21" t="str">
            <v>30/1.0000</v>
          </cell>
          <cell r="AF21">
            <v>300</v>
          </cell>
          <cell r="AG21" t="str">
            <v>KVA</v>
          </cell>
          <cell r="AH21">
            <v>300</v>
          </cell>
          <cell r="AI21" t="str">
            <v>R</v>
          </cell>
          <cell r="AJ21">
            <v>1338882.3999999999</v>
          </cell>
          <cell r="AK21" t="str">
            <v>30/09/2023</v>
          </cell>
          <cell r="AL21" t="str">
            <v>TPN64130</v>
          </cell>
          <cell r="AM21" t="str">
            <v>THREE PHASE STATIC TRI-VECTOR METER</v>
          </cell>
          <cell r="AN21" t="str">
            <v>POST PAID</v>
          </cell>
          <cell r="AO21">
            <v>500</v>
          </cell>
          <cell r="AP21" t="str">
            <v>TOD</v>
          </cell>
          <cell r="AQ21">
            <v>-667371.6</v>
          </cell>
          <cell r="AR21">
            <v>0</v>
          </cell>
          <cell r="AS21">
            <v>0</v>
          </cell>
          <cell r="AT21">
            <v>0</v>
          </cell>
          <cell r="AU21">
            <v>0</v>
          </cell>
          <cell r="AV21">
            <v>0</v>
          </cell>
          <cell r="AW21">
            <v>75738</v>
          </cell>
          <cell r="AX21">
            <v>76318</v>
          </cell>
          <cell r="AY21">
            <v>76318</v>
          </cell>
          <cell r="AZ21">
            <v>1401.92</v>
          </cell>
          <cell r="BA21">
            <v>181.92</v>
          </cell>
        </row>
        <row r="22">
          <cell r="F22">
            <v>122000000044</v>
          </cell>
          <cell r="G22" t="str">
            <v>M/S NILACHAL METALS</v>
          </cell>
          <cell r="H22" t="str">
            <v>C/O- PROP. BIRESH CH. BINDHANI</v>
          </cell>
          <cell r="I22" t="str">
            <v>10/31/2020 00:00:00</v>
          </cell>
          <cell r="J22">
            <v>1</v>
          </cell>
          <cell r="K22" t="str">
            <v xml:space="preserve"> </v>
          </cell>
          <cell r="L22" t="str">
            <v xml:space="preserve"> </v>
          </cell>
          <cell r="M22" t="str">
            <v>321000010231493274</v>
          </cell>
          <cell r="N22" t="str">
            <v>1220000029</v>
          </cell>
          <cell r="O22" t="str">
            <v>D21392</v>
          </cell>
          <cell r="P22" t="str">
            <v>432121106</v>
          </cell>
          <cell r="Q22" t="str">
            <v>LARGE INDUSTRY</v>
          </cell>
          <cell r="R22" t="str">
            <v>HT</v>
          </cell>
          <cell r="S22" t="str">
            <v>01/10/2023</v>
          </cell>
          <cell r="T22" t="str">
            <v>01/10/2023</v>
          </cell>
          <cell r="U22" t="str">
            <v>06/10/2023</v>
          </cell>
          <cell r="V22" t="str">
            <v>09/10/2023</v>
          </cell>
          <cell r="W22" t="str">
            <v>2023/09</v>
          </cell>
          <cell r="X22" t="str">
            <v>11 KV</v>
          </cell>
          <cell r="Y22" t="str">
            <v>HT</v>
          </cell>
          <cell r="Z22">
            <v>133.6</v>
          </cell>
          <cell r="AA22">
            <v>0.41499999999999998</v>
          </cell>
          <cell r="AB22">
            <v>54.06</v>
          </cell>
          <cell r="AC22" t="str">
            <v xml:space="preserve">01/09/2023 -     </v>
          </cell>
          <cell r="AD22" t="str">
            <v>30.09.2023</v>
          </cell>
          <cell r="AE22" t="str">
            <v>30/1.0000</v>
          </cell>
          <cell r="AF22">
            <v>167</v>
          </cell>
          <cell r="AG22" t="str">
            <v>KVA</v>
          </cell>
          <cell r="AH22">
            <v>167</v>
          </cell>
          <cell r="AI22" t="str">
            <v>R</v>
          </cell>
          <cell r="AJ22">
            <v>359305.7</v>
          </cell>
          <cell r="AK22" t="str">
            <v>30/09/2023</v>
          </cell>
          <cell r="AL22" t="str">
            <v>TPN64260</v>
          </cell>
          <cell r="AM22" t="str">
            <v>THREE PHASE STATIC TRI-VECTOR METER-TOD</v>
          </cell>
          <cell r="AN22" t="str">
            <v>POST PAID</v>
          </cell>
          <cell r="AO22">
            <v>200</v>
          </cell>
          <cell r="AP22" t="str">
            <v>TOD</v>
          </cell>
          <cell r="AQ22">
            <v>-199171.1</v>
          </cell>
          <cell r="AR22">
            <v>0</v>
          </cell>
          <cell r="AS22">
            <v>0</v>
          </cell>
          <cell r="AT22">
            <v>0</v>
          </cell>
          <cell r="AU22">
            <v>0</v>
          </cell>
          <cell r="AV22">
            <v>0</v>
          </cell>
          <cell r="AW22">
            <v>1202</v>
          </cell>
          <cell r="AX22">
            <v>2896</v>
          </cell>
          <cell r="AY22">
            <v>2896</v>
          </cell>
          <cell r="AZ22">
            <v>73.92</v>
          </cell>
          <cell r="BA22">
            <v>7.4399999999999995</v>
          </cell>
        </row>
        <row r="23">
          <cell r="F23">
            <v>122000000045</v>
          </cell>
          <cell r="G23" t="str">
            <v>M/S NEELAM RUBBER</v>
          </cell>
          <cell r="H23" t="str">
            <v>C/O REKHADEVI CHANDAK</v>
          </cell>
          <cell r="I23" t="str">
            <v>10/31/2020 00:00:00</v>
          </cell>
          <cell r="J23">
            <v>1</v>
          </cell>
          <cell r="K23" t="str">
            <v xml:space="preserve"> </v>
          </cell>
          <cell r="L23" t="str">
            <v xml:space="preserve"> </v>
          </cell>
          <cell r="M23" t="str">
            <v>321000010231493455</v>
          </cell>
          <cell r="N23" t="str">
            <v>1220000030</v>
          </cell>
          <cell r="O23" t="str">
            <v>C24143</v>
          </cell>
          <cell r="P23" t="str">
            <v>432123201</v>
          </cell>
          <cell r="Q23" t="str">
            <v>LARGE INDUSTRY</v>
          </cell>
          <cell r="R23" t="str">
            <v>HT</v>
          </cell>
          <cell r="S23" t="str">
            <v>01/10/2023</v>
          </cell>
          <cell r="T23" t="str">
            <v>01/10/2023</v>
          </cell>
          <cell r="U23" t="str">
            <v>06/10/2023</v>
          </cell>
          <cell r="V23" t="str">
            <v>09/10/2023</v>
          </cell>
          <cell r="W23" t="str">
            <v>2023/09</v>
          </cell>
          <cell r="X23" t="str">
            <v>11 KV</v>
          </cell>
          <cell r="Y23" t="str">
            <v>HT</v>
          </cell>
          <cell r="Z23">
            <v>276.8</v>
          </cell>
          <cell r="AA23">
            <v>0.95599999999999996</v>
          </cell>
          <cell r="AB23">
            <v>49.46</v>
          </cell>
          <cell r="AC23" t="str">
            <v xml:space="preserve">01/09/2023 -     </v>
          </cell>
          <cell r="AD23" t="str">
            <v>30.09.2023</v>
          </cell>
          <cell r="AE23" t="str">
            <v>30/1.0000</v>
          </cell>
          <cell r="AF23">
            <v>333</v>
          </cell>
          <cell r="AG23" t="str">
            <v>KVA</v>
          </cell>
          <cell r="AH23">
            <v>333</v>
          </cell>
          <cell r="AI23" t="str">
            <v>R</v>
          </cell>
          <cell r="AJ23">
            <v>1096135.3400000001</v>
          </cell>
          <cell r="AK23" t="str">
            <v>30/09/2023</v>
          </cell>
          <cell r="AL23" t="str">
            <v>TPN64069</v>
          </cell>
          <cell r="AM23" t="str">
            <v>THREE PHASE STATIC TRI-VECTOR METER-TOD</v>
          </cell>
          <cell r="AN23" t="str">
            <v>POST PAID</v>
          </cell>
          <cell r="AO23">
            <v>500</v>
          </cell>
          <cell r="AP23" t="str">
            <v>TOD</v>
          </cell>
          <cell r="AQ23">
            <v>40255.32</v>
          </cell>
          <cell r="AR23">
            <v>0</v>
          </cell>
          <cell r="AS23">
            <v>0</v>
          </cell>
          <cell r="AT23">
            <v>0</v>
          </cell>
          <cell r="AU23">
            <v>0</v>
          </cell>
          <cell r="AV23">
            <v>0</v>
          </cell>
          <cell r="AW23">
            <v>94235</v>
          </cell>
          <cell r="AX23">
            <v>98565</v>
          </cell>
          <cell r="AY23">
            <v>98565</v>
          </cell>
          <cell r="AZ23">
            <v>1901.4</v>
          </cell>
          <cell r="BA23">
            <v>276.8</v>
          </cell>
        </row>
        <row r="24">
          <cell r="F24">
            <v>122000000046</v>
          </cell>
          <cell r="G24" t="str">
            <v>SR. DIVISIONAL (ELECT) ENG. SERLY</v>
          </cell>
          <cell r="H24" t="str">
            <v>FOR WESTERN COLLONY,BHASKARGANJBALASORE</v>
          </cell>
          <cell r="I24" t="str">
            <v>10/31/2020 00:00:00</v>
          </cell>
          <cell r="J24">
            <v>1</v>
          </cell>
          <cell r="K24" t="str">
            <v xml:space="preserve"> </v>
          </cell>
          <cell r="L24" t="str">
            <v xml:space="preserve"> </v>
          </cell>
          <cell r="M24" t="str">
            <v>321000010231493377</v>
          </cell>
          <cell r="N24" t="str">
            <v>1220000031</v>
          </cell>
          <cell r="O24" t="str">
            <v>36829</v>
          </cell>
          <cell r="P24" t="str">
            <v>432122402</v>
          </cell>
          <cell r="Q24" t="str">
            <v>BULK SUPPLY DOMESTIC</v>
          </cell>
          <cell r="R24" t="str">
            <v>HT</v>
          </cell>
          <cell r="S24" t="str">
            <v>01/10/2023</v>
          </cell>
          <cell r="T24" t="str">
            <v>01/10/2023</v>
          </cell>
          <cell r="U24" t="str">
            <v>09/10/2023</v>
          </cell>
          <cell r="V24" t="str">
            <v>09/10/2023</v>
          </cell>
          <cell r="W24" t="str">
            <v>2023/09</v>
          </cell>
          <cell r="X24" t="str">
            <v>11 KV</v>
          </cell>
          <cell r="Y24" t="str">
            <v>HT</v>
          </cell>
          <cell r="Z24">
            <v>185.56</v>
          </cell>
          <cell r="AA24">
            <v>0.9506</v>
          </cell>
          <cell r="AB24">
            <v>0</v>
          </cell>
          <cell r="AC24" t="str">
            <v xml:space="preserve">01/09/2023 -     </v>
          </cell>
          <cell r="AD24" t="str">
            <v>30.09.2023</v>
          </cell>
          <cell r="AE24" t="str">
            <v>30/1.0000</v>
          </cell>
          <cell r="AF24">
            <v>185.56</v>
          </cell>
          <cell r="AG24" t="str">
            <v>KVA</v>
          </cell>
          <cell r="AH24">
            <v>185.56</v>
          </cell>
          <cell r="AI24" t="str">
            <v>R</v>
          </cell>
          <cell r="AJ24">
            <v>384069.7</v>
          </cell>
          <cell r="AK24" t="str">
            <v>30/09/2023</v>
          </cell>
          <cell r="AL24" t="str">
            <v>TPN64246</v>
          </cell>
          <cell r="AM24" t="str">
            <v>THREE PHASE STATIC TRI-VECTOR METER-TOD</v>
          </cell>
          <cell r="AN24" t="str">
            <v>POST PAID</v>
          </cell>
          <cell r="AO24">
            <v>250</v>
          </cell>
          <cell r="AP24" t="str">
            <v>TOD</v>
          </cell>
          <cell r="AQ24">
            <v>-176737.1</v>
          </cell>
          <cell r="AR24">
            <v>0</v>
          </cell>
          <cell r="AS24">
            <v>0</v>
          </cell>
          <cell r="AT24">
            <v>0</v>
          </cell>
          <cell r="AU24">
            <v>0</v>
          </cell>
          <cell r="AV24">
            <v>0</v>
          </cell>
          <cell r="AW24">
            <v>21861</v>
          </cell>
          <cell r="AX24">
            <v>22997</v>
          </cell>
          <cell r="AY24">
            <v>22997</v>
          </cell>
          <cell r="AZ24">
            <v>461.88</v>
          </cell>
          <cell r="BA24">
            <v>63.6</v>
          </cell>
        </row>
        <row r="25">
          <cell r="F25">
            <v>122000000049</v>
          </cell>
          <cell r="G25" t="str">
            <v>M/S GAYATRI PLASTICS</v>
          </cell>
          <cell r="H25" t="str">
            <v>C/O PRAKASH KISHORE NAYAK</v>
          </cell>
          <cell r="I25" t="str">
            <v>10/31/2020 00:00:00</v>
          </cell>
          <cell r="J25">
            <v>1</v>
          </cell>
          <cell r="K25" t="str">
            <v xml:space="preserve"> </v>
          </cell>
          <cell r="L25" t="str">
            <v xml:space="preserve"> </v>
          </cell>
          <cell r="M25" t="str">
            <v>321000010231493569</v>
          </cell>
          <cell r="N25" t="str">
            <v>1220000034</v>
          </cell>
          <cell r="O25" t="str">
            <v>C-39464</v>
          </cell>
          <cell r="P25" t="str">
            <v>432123201</v>
          </cell>
          <cell r="Q25" t="str">
            <v>LARGE INDUSTRY</v>
          </cell>
          <cell r="R25" t="str">
            <v>HT</v>
          </cell>
          <cell r="S25" t="str">
            <v>01/10/2023</v>
          </cell>
          <cell r="T25" t="str">
            <v>01/10/2023</v>
          </cell>
          <cell r="U25" t="str">
            <v>06/10/2023</v>
          </cell>
          <cell r="V25" t="str">
            <v>09/10/2023</v>
          </cell>
          <cell r="W25" t="str">
            <v>2023/09</v>
          </cell>
          <cell r="X25" t="str">
            <v>11 KV</v>
          </cell>
          <cell r="Y25" t="str">
            <v>HT</v>
          </cell>
          <cell r="Z25">
            <v>97.12</v>
          </cell>
          <cell r="AA25">
            <v>0.41849999999999998</v>
          </cell>
          <cell r="AB25">
            <v>37.43</v>
          </cell>
          <cell r="AC25" t="str">
            <v xml:space="preserve">01/09/2023 -     </v>
          </cell>
          <cell r="AD25" t="str">
            <v>30.09.2023</v>
          </cell>
          <cell r="AE25" t="str">
            <v>30/1.0000</v>
          </cell>
          <cell r="AF25">
            <v>121.4</v>
          </cell>
          <cell r="AG25" t="str">
            <v>KVA</v>
          </cell>
          <cell r="AH25">
            <v>121.4</v>
          </cell>
          <cell r="AI25" t="str">
            <v>R</v>
          </cell>
          <cell r="AJ25">
            <v>588217</v>
          </cell>
          <cell r="AK25" t="str">
            <v>30/09/2023</v>
          </cell>
          <cell r="AL25" t="str">
            <v>TPNODL38110469</v>
          </cell>
          <cell r="AM25" t="str">
            <v>THREE PHASE SMART HT CT METER (AMR/AMI)-11KV</v>
          </cell>
          <cell r="AN25" t="str">
            <v>SMART METER</v>
          </cell>
          <cell r="AO25">
            <v>250</v>
          </cell>
          <cell r="AP25" t="str">
            <v>TOD</v>
          </cell>
          <cell r="AQ25">
            <v>-375903.8</v>
          </cell>
          <cell r="AR25">
            <v>0</v>
          </cell>
          <cell r="AS25">
            <v>0</v>
          </cell>
          <cell r="AT25">
            <v>0</v>
          </cell>
          <cell r="AU25">
            <v>0</v>
          </cell>
          <cell r="AV25">
            <v>0</v>
          </cell>
          <cell r="AW25">
            <v>1357</v>
          </cell>
          <cell r="AX25">
            <v>3242</v>
          </cell>
          <cell r="AY25">
            <v>3242</v>
          </cell>
          <cell r="AZ25">
            <v>212.07400000000001</v>
          </cell>
          <cell r="BA25">
            <v>12.026</v>
          </cell>
        </row>
        <row r="26">
          <cell r="F26">
            <v>122000000050</v>
          </cell>
          <cell r="G26" t="str">
            <v>M/S BALASORE MARINE EXPORTS</v>
          </cell>
          <cell r="H26" t="str">
            <v>PVT. LTD. GANESWARPUR, JANUGANJ BALASORE</v>
          </cell>
          <cell r="I26" t="str">
            <v>10/31/2020 00:00:00</v>
          </cell>
          <cell r="J26">
            <v>1</v>
          </cell>
          <cell r="K26" t="str">
            <v xml:space="preserve"> </v>
          </cell>
          <cell r="L26" t="str">
            <v xml:space="preserve"> </v>
          </cell>
          <cell r="M26" t="str">
            <v>321000010231493667</v>
          </cell>
          <cell r="N26" t="str">
            <v>1220000035</v>
          </cell>
          <cell r="O26" t="str">
            <v>C-40127</v>
          </cell>
          <cell r="P26" t="str">
            <v>432123201</v>
          </cell>
          <cell r="Q26" t="str">
            <v>ALLIED AGRO-INDUSTRIAL ACTIVITIES</v>
          </cell>
          <cell r="R26" t="str">
            <v>HT</v>
          </cell>
          <cell r="S26" t="str">
            <v>01/10/2023</v>
          </cell>
          <cell r="T26" t="str">
            <v>01/10/2023</v>
          </cell>
          <cell r="U26" t="str">
            <v>06/10/2023</v>
          </cell>
          <cell r="V26" t="str">
            <v>09/10/2023</v>
          </cell>
          <cell r="W26" t="str">
            <v>2023/09</v>
          </cell>
          <cell r="X26" t="str">
            <v>11 KV</v>
          </cell>
          <cell r="Y26" t="str">
            <v>HT</v>
          </cell>
          <cell r="Z26">
            <v>350.64</v>
          </cell>
          <cell r="AA26">
            <v>0.9819</v>
          </cell>
          <cell r="AB26">
            <v>0</v>
          </cell>
          <cell r="AC26" t="str">
            <v xml:space="preserve">01/09/2023 -     </v>
          </cell>
          <cell r="AD26" t="str">
            <v>30.09.2023</v>
          </cell>
          <cell r="AE26" t="str">
            <v>30/1.0000</v>
          </cell>
          <cell r="AF26">
            <v>278</v>
          </cell>
          <cell r="AG26" t="str">
            <v>KVA</v>
          </cell>
          <cell r="AH26">
            <v>278</v>
          </cell>
          <cell r="AI26" t="str">
            <v>R</v>
          </cell>
          <cell r="AJ26">
            <v>2684625.12</v>
          </cell>
          <cell r="AK26" t="str">
            <v>30/09/2023</v>
          </cell>
          <cell r="AL26" t="str">
            <v>TPN64125</v>
          </cell>
          <cell r="AM26" t="str">
            <v>TRI-VECTOR METER FOR RAILWAY TRACTION</v>
          </cell>
          <cell r="AN26" t="str">
            <v>POST PAID</v>
          </cell>
          <cell r="AO26">
            <v>500</v>
          </cell>
          <cell r="AP26" t="str">
            <v>TOD</v>
          </cell>
          <cell r="AQ26">
            <v>-1462579.32</v>
          </cell>
          <cell r="AR26">
            <v>0</v>
          </cell>
          <cell r="AS26">
            <v>0</v>
          </cell>
          <cell r="AT26">
            <v>0</v>
          </cell>
          <cell r="AU26">
            <v>0</v>
          </cell>
          <cell r="AV26">
            <v>0</v>
          </cell>
          <cell r="AW26">
            <v>103381</v>
          </cell>
          <cell r="AX26">
            <v>105286</v>
          </cell>
          <cell r="AY26">
            <v>105286</v>
          </cell>
          <cell r="AZ26">
            <v>2396.04</v>
          </cell>
          <cell r="BA26">
            <v>350.64000000000004</v>
          </cell>
        </row>
        <row r="27">
          <cell r="F27">
            <v>122000000052</v>
          </cell>
          <cell r="G27" t="str">
            <v>M/S EASTERN MEDIA. LTD.</v>
          </cell>
          <cell r="H27" t="str">
            <v>C/O- SANJEEB KUMAR MOHANTY</v>
          </cell>
          <cell r="I27" t="str">
            <v>10/31/2020 00:00:00</v>
          </cell>
          <cell r="J27">
            <v>1</v>
          </cell>
          <cell r="K27" t="str">
            <v xml:space="preserve"> </v>
          </cell>
          <cell r="L27" t="str">
            <v xml:space="preserve"> </v>
          </cell>
          <cell r="M27" t="str">
            <v>321000010231495090</v>
          </cell>
          <cell r="N27" t="str">
            <v>1220000037</v>
          </cell>
          <cell r="O27" t="str">
            <v>40116</v>
          </cell>
          <cell r="P27" t="str">
            <v>432121106</v>
          </cell>
          <cell r="Q27" t="str">
            <v>GENERAL PURPOSE &gt;= 110 KVA</v>
          </cell>
          <cell r="R27" t="str">
            <v>HT</v>
          </cell>
          <cell r="S27" t="str">
            <v>01/10/2023</v>
          </cell>
          <cell r="T27" t="str">
            <v>01/10/2023</v>
          </cell>
          <cell r="U27" t="str">
            <v>06/10/2023</v>
          </cell>
          <cell r="V27" t="str">
            <v>09/10/2023</v>
          </cell>
          <cell r="W27" t="str">
            <v>2023/09</v>
          </cell>
          <cell r="X27" t="str">
            <v>11 KV</v>
          </cell>
          <cell r="Y27" t="str">
            <v>HT</v>
          </cell>
          <cell r="Z27">
            <v>185.46</v>
          </cell>
          <cell r="AA27">
            <v>0.96379999999999999</v>
          </cell>
          <cell r="AB27">
            <v>10.64</v>
          </cell>
          <cell r="AC27" t="str">
            <v xml:space="preserve">01/09/2023 -     </v>
          </cell>
          <cell r="AD27" t="str">
            <v>30.09.2023</v>
          </cell>
          <cell r="AE27" t="str">
            <v>30/1.0000</v>
          </cell>
          <cell r="AF27">
            <v>151</v>
          </cell>
          <cell r="AG27" t="str">
            <v>KVA</v>
          </cell>
          <cell r="AH27">
            <v>151</v>
          </cell>
          <cell r="AI27" t="str">
            <v>R</v>
          </cell>
          <cell r="AJ27">
            <v>290895.90000000002</v>
          </cell>
          <cell r="AK27" t="str">
            <v>30/09/2023</v>
          </cell>
          <cell r="AL27" t="str">
            <v>TPNODL38110652</v>
          </cell>
          <cell r="AM27" t="str">
            <v>THREE PHASE SMART HT CT METER (AMR/AMI)-11KV</v>
          </cell>
          <cell r="AN27" t="str">
            <v>SMART METER</v>
          </cell>
          <cell r="AO27">
            <v>250</v>
          </cell>
          <cell r="AP27" t="str">
            <v>TOD</v>
          </cell>
          <cell r="AQ27">
            <v>-42281.4</v>
          </cell>
          <cell r="AR27">
            <v>0</v>
          </cell>
          <cell r="AS27">
            <v>0</v>
          </cell>
          <cell r="AT27">
            <v>0</v>
          </cell>
          <cell r="AU27">
            <v>0</v>
          </cell>
          <cell r="AV27">
            <v>0</v>
          </cell>
          <cell r="AW27">
            <v>13688</v>
          </cell>
          <cell r="AX27">
            <v>14202</v>
          </cell>
          <cell r="AY27">
            <v>14202</v>
          </cell>
          <cell r="AZ27">
            <v>1083.508</v>
          </cell>
          <cell r="BA27">
            <v>185.46</v>
          </cell>
        </row>
        <row r="28">
          <cell r="F28">
            <v>122000000053</v>
          </cell>
          <cell r="G28" t="str">
            <v>M/S KAVERI FREEZERS</v>
          </cell>
          <cell r="H28" t="str">
            <v>PROP: MADHUMITA MOHARANA</v>
          </cell>
          <cell r="I28" t="str">
            <v>10/31/2020 00:00:00</v>
          </cell>
          <cell r="J28">
            <v>1</v>
          </cell>
          <cell r="K28" t="str">
            <v xml:space="preserve"> </v>
          </cell>
          <cell r="L28" t="str">
            <v xml:space="preserve"> </v>
          </cell>
          <cell r="M28" t="str">
            <v>321000010231493385</v>
          </cell>
          <cell r="N28" t="str">
            <v>1220000038</v>
          </cell>
          <cell r="O28" t="str">
            <v>CN-30312</v>
          </cell>
          <cell r="P28" t="str">
            <v>432114401</v>
          </cell>
          <cell r="Q28" t="str">
            <v>LARGE INDUSTRY</v>
          </cell>
          <cell r="R28" t="str">
            <v>HT</v>
          </cell>
          <cell r="S28" t="str">
            <v>01/10/2023</v>
          </cell>
          <cell r="T28" t="str">
            <v>01/10/2023</v>
          </cell>
          <cell r="U28" t="str">
            <v>06/10/2023</v>
          </cell>
          <cell r="V28" t="str">
            <v>09/10/2023</v>
          </cell>
          <cell r="W28" t="str">
            <v>2023/09</v>
          </cell>
          <cell r="X28" t="str">
            <v>11 KV</v>
          </cell>
          <cell r="Y28" t="str">
            <v>HT</v>
          </cell>
          <cell r="Z28">
            <v>171.12</v>
          </cell>
          <cell r="AA28">
            <v>0.99960000000000004</v>
          </cell>
          <cell r="AB28">
            <v>29.58</v>
          </cell>
          <cell r="AC28" t="str">
            <v xml:space="preserve">01/09/2023 -     </v>
          </cell>
          <cell r="AD28" t="str">
            <v>30.09.2023</v>
          </cell>
          <cell r="AE28" t="str">
            <v>30/1.0000</v>
          </cell>
          <cell r="AF28">
            <v>174</v>
          </cell>
          <cell r="AG28" t="str">
            <v>KVA</v>
          </cell>
          <cell r="AH28">
            <v>174</v>
          </cell>
          <cell r="AI28" t="str">
            <v>R</v>
          </cell>
          <cell r="AJ28">
            <v>804081.32</v>
          </cell>
          <cell r="AK28" t="str">
            <v>30/09/2023</v>
          </cell>
          <cell r="AL28" t="str">
            <v>TPN64702</v>
          </cell>
          <cell r="AM28" t="str">
            <v>THREE PHASE STATIC TRI-VECTOR METER</v>
          </cell>
          <cell r="AN28" t="str">
            <v>POST PAID</v>
          </cell>
          <cell r="AO28">
            <v>250</v>
          </cell>
          <cell r="AP28" t="str">
            <v>TOD</v>
          </cell>
          <cell r="AQ28">
            <v>-109465.68</v>
          </cell>
          <cell r="AR28">
            <v>0</v>
          </cell>
          <cell r="AS28">
            <v>0</v>
          </cell>
          <cell r="AT28">
            <v>0</v>
          </cell>
          <cell r="AU28">
            <v>0</v>
          </cell>
          <cell r="AV28">
            <v>0</v>
          </cell>
          <cell r="AW28">
            <v>36429</v>
          </cell>
          <cell r="AX28">
            <v>36443</v>
          </cell>
          <cell r="AY28">
            <v>36443</v>
          </cell>
          <cell r="AZ28">
            <v>1176.4000000000001</v>
          </cell>
          <cell r="BA28">
            <v>171.12</v>
          </cell>
        </row>
        <row r="29">
          <cell r="F29">
            <v>122000000054</v>
          </cell>
          <cell r="G29" t="str">
            <v>SRI RABINDRA KUMAR JENA</v>
          </cell>
          <cell r="H29" t="str">
            <v>MANSING BAZAR,MOTIGANJBALASORE</v>
          </cell>
          <cell r="I29" t="str">
            <v>10/31/2020 00:00:00</v>
          </cell>
          <cell r="J29">
            <v>1</v>
          </cell>
          <cell r="K29" t="str">
            <v xml:space="preserve"> </v>
          </cell>
          <cell r="L29" t="str">
            <v xml:space="preserve"> </v>
          </cell>
          <cell r="M29" t="str">
            <v>321000010231492333</v>
          </cell>
          <cell r="N29" t="str">
            <v>1220000039</v>
          </cell>
          <cell r="O29" t="str">
            <v>39482</v>
          </cell>
          <cell r="P29" t="str">
            <v>432121103</v>
          </cell>
          <cell r="Q29" t="str">
            <v>BULK SUPPLY DOMESTIC</v>
          </cell>
          <cell r="R29" t="str">
            <v>HT</v>
          </cell>
          <cell r="S29" t="str">
            <v>01/10/2023</v>
          </cell>
          <cell r="T29" t="str">
            <v>01/10/2023</v>
          </cell>
          <cell r="U29" t="str">
            <v>09/10/2023</v>
          </cell>
          <cell r="V29" t="str">
            <v>09/10/2023</v>
          </cell>
          <cell r="W29" t="str">
            <v>2023/09</v>
          </cell>
          <cell r="X29" t="str">
            <v>11 KV</v>
          </cell>
          <cell r="Y29" t="str">
            <v>HT</v>
          </cell>
          <cell r="Z29">
            <v>133.33000000000001</v>
          </cell>
          <cell r="AA29">
            <v>0.92190000000000005</v>
          </cell>
          <cell r="AB29">
            <v>0</v>
          </cell>
          <cell r="AC29" t="str">
            <v xml:space="preserve">01/09/2023 -     </v>
          </cell>
          <cell r="AD29" t="str">
            <v>30.09.2023</v>
          </cell>
          <cell r="AE29" t="str">
            <v>30/1.0000</v>
          </cell>
          <cell r="AF29">
            <v>133.33000000000001</v>
          </cell>
          <cell r="AG29" t="str">
            <v>KVA</v>
          </cell>
          <cell r="AH29">
            <v>133.33000000000001</v>
          </cell>
          <cell r="AI29" t="str">
            <v>R</v>
          </cell>
          <cell r="AJ29">
            <v>74448</v>
          </cell>
          <cell r="AK29" t="str">
            <v>30/09/2023</v>
          </cell>
          <cell r="AL29" t="str">
            <v>TPN64247</v>
          </cell>
          <cell r="AM29" t="str">
            <v>THREE PHASE STATIC TRI-VECTOR METER-TOD</v>
          </cell>
          <cell r="AN29" t="str">
            <v>POST PAID</v>
          </cell>
          <cell r="AO29">
            <v>250</v>
          </cell>
          <cell r="AP29" t="str">
            <v>TOD</v>
          </cell>
          <cell r="AQ29">
            <v>-6933.8</v>
          </cell>
          <cell r="AR29">
            <v>0</v>
          </cell>
          <cell r="AS29">
            <v>0</v>
          </cell>
          <cell r="AT29">
            <v>0</v>
          </cell>
          <cell r="AU29">
            <v>0</v>
          </cell>
          <cell r="AV29">
            <v>0</v>
          </cell>
          <cell r="AW29">
            <v>5862</v>
          </cell>
          <cell r="AX29">
            <v>6358</v>
          </cell>
          <cell r="AY29">
            <v>6358</v>
          </cell>
          <cell r="AZ29">
            <v>336.96</v>
          </cell>
          <cell r="BA29">
            <v>61.12</v>
          </cell>
        </row>
        <row r="30">
          <cell r="F30">
            <v>122000000055</v>
          </cell>
          <cell r="G30" t="str">
            <v>M/S WEMAK PLASTIK</v>
          </cell>
          <cell r="H30" t="str">
            <v>PROP- SOVENDRA PRASAD DASH</v>
          </cell>
          <cell r="I30" t="str">
            <v>10/31/2020 00:00:00</v>
          </cell>
          <cell r="J30">
            <v>1</v>
          </cell>
          <cell r="K30" t="str">
            <v xml:space="preserve"> </v>
          </cell>
          <cell r="L30" t="str">
            <v xml:space="preserve"> </v>
          </cell>
          <cell r="M30" t="str">
            <v>321000010231493776</v>
          </cell>
          <cell r="N30" t="str">
            <v>1220000040</v>
          </cell>
          <cell r="O30" t="str">
            <v>G-1500</v>
          </cell>
          <cell r="P30" t="str">
            <v>432123201</v>
          </cell>
          <cell r="Q30" t="str">
            <v>LARGE INDUSTRY</v>
          </cell>
          <cell r="R30" t="str">
            <v>HT</v>
          </cell>
          <cell r="S30" t="str">
            <v>01/10/2023</v>
          </cell>
          <cell r="T30" t="str">
            <v>01/10/2023</v>
          </cell>
          <cell r="U30" t="str">
            <v>06/10/2023</v>
          </cell>
          <cell r="V30" t="str">
            <v>09/10/2023</v>
          </cell>
          <cell r="W30" t="str">
            <v>2023/09</v>
          </cell>
          <cell r="X30" t="str">
            <v>11 KV</v>
          </cell>
          <cell r="Y30" t="str">
            <v>HT</v>
          </cell>
          <cell r="Z30">
            <v>259.92</v>
          </cell>
          <cell r="AA30">
            <v>0.97819999999999996</v>
          </cell>
          <cell r="AB30">
            <v>38.64</v>
          </cell>
          <cell r="AC30" t="str">
            <v xml:space="preserve">01/09/2023 -     </v>
          </cell>
          <cell r="AD30" t="str">
            <v>30.09.2023</v>
          </cell>
          <cell r="AE30" t="str">
            <v>30/1.0000</v>
          </cell>
          <cell r="AF30">
            <v>274</v>
          </cell>
          <cell r="AG30" t="str">
            <v>KVA</v>
          </cell>
          <cell r="AH30">
            <v>274</v>
          </cell>
          <cell r="AI30" t="str">
            <v>R</v>
          </cell>
          <cell r="AJ30">
            <v>1450118</v>
          </cell>
          <cell r="AK30" t="str">
            <v>30/09/2023</v>
          </cell>
          <cell r="AL30" t="str">
            <v>TPN64231</v>
          </cell>
          <cell r="AM30" t="str">
            <v>THREE PHASE STATIC TRI-VECTOR METER-TOD</v>
          </cell>
          <cell r="AN30" t="str">
            <v>POST PAID</v>
          </cell>
          <cell r="AO30">
            <v>500</v>
          </cell>
          <cell r="AP30" t="str">
            <v>TOD</v>
          </cell>
          <cell r="AQ30">
            <v>-508857.7</v>
          </cell>
          <cell r="AR30">
            <v>0</v>
          </cell>
          <cell r="AS30">
            <v>0</v>
          </cell>
          <cell r="AT30">
            <v>0</v>
          </cell>
          <cell r="AU30">
            <v>0</v>
          </cell>
          <cell r="AV30">
            <v>0</v>
          </cell>
          <cell r="AW30">
            <v>70746</v>
          </cell>
          <cell r="AX30">
            <v>72321</v>
          </cell>
          <cell r="AY30">
            <v>72321</v>
          </cell>
          <cell r="AZ30">
            <v>2012.28</v>
          </cell>
          <cell r="BA30">
            <v>259.91999999999996</v>
          </cell>
        </row>
        <row r="31">
          <cell r="F31">
            <v>122000000057</v>
          </cell>
          <cell r="G31" t="str">
            <v>M/S PACKERS INDIA</v>
          </cell>
          <cell r="H31" t="str">
            <v>C/o- Gaurav Rathi, B-7 and B-7/A Industrial Estate</v>
          </cell>
          <cell r="I31" t="str">
            <v>10/31/2020 00:00:00</v>
          </cell>
          <cell r="J31">
            <v>1</v>
          </cell>
          <cell r="K31" t="str">
            <v>Somnathpur</v>
          </cell>
          <cell r="L31" t="str">
            <v>Balasore</v>
          </cell>
          <cell r="M31" t="str">
            <v>321000010231493474</v>
          </cell>
          <cell r="N31" t="str">
            <v>1220000042</v>
          </cell>
          <cell r="O31" t="str">
            <v>D42525</v>
          </cell>
          <cell r="P31" t="str">
            <v>432121106</v>
          </cell>
          <cell r="Q31" t="str">
            <v>LARGE INDUSTRY</v>
          </cell>
          <cell r="R31" t="str">
            <v>HT</v>
          </cell>
          <cell r="S31" t="str">
            <v>01/10/2023</v>
          </cell>
          <cell r="T31" t="str">
            <v>01/10/2023</v>
          </cell>
          <cell r="U31" t="str">
            <v>06/10/2023</v>
          </cell>
          <cell r="V31" t="str">
            <v>09/10/2023</v>
          </cell>
          <cell r="W31" t="str">
            <v>2023/09</v>
          </cell>
          <cell r="X31" t="str">
            <v>11 KV</v>
          </cell>
          <cell r="Y31" t="str">
            <v>HT</v>
          </cell>
          <cell r="Z31">
            <v>160</v>
          </cell>
          <cell r="AA31">
            <v>0.95489999999999997</v>
          </cell>
          <cell r="AB31">
            <v>52.23</v>
          </cell>
          <cell r="AC31" t="str">
            <v xml:space="preserve">01/09/2023 -     </v>
          </cell>
          <cell r="AD31" t="str">
            <v>30.09.2023</v>
          </cell>
          <cell r="AE31" t="str">
            <v>30/1.0000</v>
          </cell>
          <cell r="AF31">
            <v>200</v>
          </cell>
          <cell r="AG31" t="str">
            <v>KVA</v>
          </cell>
          <cell r="AH31">
            <v>200</v>
          </cell>
          <cell r="AI31" t="str">
            <v>R</v>
          </cell>
          <cell r="AJ31">
            <v>1022192</v>
          </cell>
          <cell r="AK31" t="str">
            <v>30/09/2023</v>
          </cell>
          <cell r="AL31" t="str">
            <v>TPNODL38110573</v>
          </cell>
          <cell r="AM31" t="str">
            <v>THREE PHASE SMART HT CT METER (AMR/AMI)-11KV</v>
          </cell>
          <cell r="AN31" t="str">
            <v>SMART METER</v>
          </cell>
          <cell r="AO31">
            <v>250</v>
          </cell>
          <cell r="AP31" t="str">
            <v>TOD</v>
          </cell>
          <cell r="AQ31">
            <v>-558818.1</v>
          </cell>
          <cell r="AR31">
            <v>0</v>
          </cell>
          <cell r="AS31">
            <v>0</v>
          </cell>
          <cell r="AT31">
            <v>0</v>
          </cell>
          <cell r="AU31">
            <v>0</v>
          </cell>
          <cell r="AV31">
            <v>0</v>
          </cell>
          <cell r="AW31">
            <v>28300</v>
          </cell>
          <cell r="AX31">
            <v>29636</v>
          </cell>
          <cell r="AY31">
            <v>29636</v>
          </cell>
          <cell r="AZ31">
            <v>378.7</v>
          </cell>
          <cell r="BA31">
            <v>78.811999999999998</v>
          </cell>
        </row>
        <row r="32">
          <cell r="F32">
            <v>122000000058</v>
          </cell>
          <cell r="G32" t="str">
            <v>ASHAMANI POLY PRODUCTS P.LTD.</v>
          </cell>
          <cell r="H32" t="str">
            <v>C/O- BHAGABAT DAS.,GANESWARPURJANUGANJ</v>
          </cell>
          <cell r="I32" t="str">
            <v>10/31/2020 00:00:00</v>
          </cell>
          <cell r="J32">
            <v>1</v>
          </cell>
          <cell r="K32" t="str">
            <v xml:space="preserve"> </v>
          </cell>
          <cell r="L32" t="str">
            <v xml:space="preserve"> </v>
          </cell>
          <cell r="M32" t="str">
            <v>321000010231493886</v>
          </cell>
          <cell r="N32" t="str">
            <v>1220000043</v>
          </cell>
          <cell r="O32" t="str">
            <v>42513</v>
          </cell>
          <cell r="P32" t="str">
            <v>432123202</v>
          </cell>
          <cell r="Q32" t="str">
            <v>LARGE INDUSTRY</v>
          </cell>
          <cell r="R32" t="str">
            <v>HT</v>
          </cell>
          <cell r="S32" t="str">
            <v>01/10/2023</v>
          </cell>
          <cell r="T32" t="str">
            <v>01/10/2023</v>
          </cell>
          <cell r="U32" t="str">
            <v>06/10/2023</v>
          </cell>
          <cell r="V32" t="str">
            <v>09/10/2023</v>
          </cell>
          <cell r="W32" t="str">
            <v>2023/09</v>
          </cell>
          <cell r="X32" t="str">
            <v>11 KV</v>
          </cell>
          <cell r="Y32" t="str">
            <v>HT</v>
          </cell>
          <cell r="Z32">
            <v>480</v>
          </cell>
          <cell r="AA32">
            <v>0.99339999999999995</v>
          </cell>
          <cell r="AB32">
            <v>41.69</v>
          </cell>
          <cell r="AC32" t="str">
            <v xml:space="preserve">01/09/2023 -     </v>
          </cell>
          <cell r="AD32" t="str">
            <v>30.09.2023</v>
          </cell>
          <cell r="AE32" t="str">
            <v>30/1.0000</v>
          </cell>
          <cell r="AF32">
            <v>600</v>
          </cell>
          <cell r="AG32" t="str">
            <v>KVA</v>
          </cell>
          <cell r="AH32">
            <v>600</v>
          </cell>
          <cell r="AI32" t="str">
            <v>R</v>
          </cell>
          <cell r="AJ32">
            <v>3066576.24</v>
          </cell>
          <cell r="AK32" t="str">
            <v>30/09/2023</v>
          </cell>
          <cell r="AL32" t="str">
            <v>NES52029</v>
          </cell>
          <cell r="AM32" t="str">
            <v>SINGLE PHASE ELECTRO-MAGNETIC KWH METER-TOD</v>
          </cell>
          <cell r="AN32" t="str">
            <v>POST PAID</v>
          </cell>
          <cell r="AO32">
            <v>750</v>
          </cell>
          <cell r="AP32" t="str">
            <v>TOD</v>
          </cell>
          <cell r="AQ32">
            <v>-1185651.24</v>
          </cell>
          <cell r="AR32">
            <v>0</v>
          </cell>
          <cell r="AS32">
            <v>0</v>
          </cell>
          <cell r="AT32">
            <v>0</v>
          </cell>
          <cell r="AU32">
            <v>0</v>
          </cell>
          <cell r="AV32">
            <v>0</v>
          </cell>
          <cell r="AW32">
            <v>91130</v>
          </cell>
          <cell r="AX32">
            <v>91735</v>
          </cell>
          <cell r="AY32">
            <v>91735</v>
          </cell>
          <cell r="AZ32">
            <v>2972.4</v>
          </cell>
          <cell r="BA32">
            <v>305.59999999999997</v>
          </cell>
        </row>
        <row r="33">
          <cell r="F33">
            <v>122000000059</v>
          </cell>
          <cell r="G33" t="str">
            <v>MAA TARINI ICE FACTORY</v>
          </cell>
          <cell r="H33" t="str">
            <v>C/O DEEPAK KU. DAS,CHANDIPUR</v>
          </cell>
          <cell r="I33" t="str">
            <v>10/31/2020 00:00:00</v>
          </cell>
          <cell r="J33">
            <v>1</v>
          </cell>
          <cell r="K33" t="str">
            <v xml:space="preserve"> </v>
          </cell>
          <cell r="L33" t="str">
            <v xml:space="preserve"> </v>
          </cell>
          <cell r="M33" t="str">
            <v>321000010231493513</v>
          </cell>
          <cell r="N33" t="str">
            <v>1220000044</v>
          </cell>
          <cell r="O33" t="str">
            <v>B43045</v>
          </cell>
          <cell r="P33" t="str">
            <v>432114401</v>
          </cell>
          <cell r="Q33" t="str">
            <v>LARGE INDUSTRY</v>
          </cell>
          <cell r="R33" t="str">
            <v>HT</v>
          </cell>
          <cell r="S33" t="str">
            <v>01/10/2023</v>
          </cell>
          <cell r="T33" t="str">
            <v>01/10/2023</v>
          </cell>
          <cell r="U33" t="str">
            <v>06/10/2023</v>
          </cell>
          <cell r="V33" t="str">
            <v>09/10/2023</v>
          </cell>
          <cell r="W33" t="str">
            <v>2023/09</v>
          </cell>
          <cell r="X33" t="str">
            <v>11 KV</v>
          </cell>
          <cell r="Y33" t="str">
            <v>HT</v>
          </cell>
          <cell r="Z33">
            <v>191.75</v>
          </cell>
          <cell r="AA33">
            <v>0.96930000000000005</v>
          </cell>
          <cell r="AB33">
            <v>44.91</v>
          </cell>
          <cell r="AC33" t="str">
            <v xml:space="preserve">01/09/2023 -     </v>
          </cell>
          <cell r="AD33" t="str">
            <v>30.09.2023</v>
          </cell>
          <cell r="AE33" t="str">
            <v>30/1.0000</v>
          </cell>
          <cell r="AF33">
            <v>174</v>
          </cell>
          <cell r="AG33" t="str">
            <v>KVA</v>
          </cell>
          <cell r="AH33">
            <v>174</v>
          </cell>
          <cell r="AI33" t="str">
            <v>R</v>
          </cell>
          <cell r="AJ33">
            <v>843079</v>
          </cell>
          <cell r="AK33" t="str">
            <v>30/09/2023</v>
          </cell>
          <cell r="AL33" t="str">
            <v>TPNODL38110741</v>
          </cell>
          <cell r="AM33" t="str">
            <v>THREE PHASE SMART HT CT METER (AMR/AMI)-11KV</v>
          </cell>
          <cell r="AN33" t="str">
            <v>SMART METER</v>
          </cell>
          <cell r="AO33">
            <v>250</v>
          </cell>
          <cell r="AP33" t="str">
            <v>TOD</v>
          </cell>
          <cell r="AQ33">
            <v>-212038.24</v>
          </cell>
          <cell r="AR33">
            <v>0</v>
          </cell>
          <cell r="AS33">
            <v>0</v>
          </cell>
          <cell r="AT33">
            <v>0</v>
          </cell>
          <cell r="AU33">
            <v>0</v>
          </cell>
          <cell r="AV33">
            <v>0</v>
          </cell>
          <cell r="AW33">
            <v>60095</v>
          </cell>
          <cell r="AX33">
            <v>61998</v>
          </cell>
          <cell r="AY33">
            <v>61998</v>
          </cell>
          <cell r="AZ33">
            <v>974.29830000000004</v>
          </cell>
          <cell r="BA33">
            <v>191.74799999999999</v>
          </cell>
        </row>
        <row r="34">
          <cell r="F34">
            <v>122000000061</v>
          </cell>
          <cell r="G34" t="str">
            <v>ORISSA RUBBER PRODUCTS</v>
          </cell>
          <cell r="H34" t="str">
            <v>OT ROAD BALASORE,BALASORE</v>
          </cell>
          <cell r="I34" t="str">
            <v>10/31/2020 00:00:00</v>
          </cell>
          <cell r="J34">
            <v>1</v>
          </cell>
          <cell r="K34" t="str">
            <v xml:space="preserve"> </v>
          </cell>
          <cell r="L34" t="str">
            <v xml:space="preserve"> </v>
          </cell>
          <cell r="M34" t="str">
            <v>321000010231493589</v>
          </cell>
          <cell r="N34" t="str">
            <v>1220000046</v>
          </cell>
          <cell r="O34" t="str">
            <v>16022</v>
          </cell>
          <cell r="P34" t="str">
            <v>432121105</v>
          </cell>
          <cell r="Q34" t="str">
            <v>LARGE INDUSTRY</v>
          </cell>
          <cell r="R34" t="str">
            <v>HT</v>
          </cell>
          <cell r="S34" t="str">
            <v>01/10/2023</v>
          </cell>
          <cell r="T34" t="str">
            <v>01/10/2023</v>
          </cell>
          <cell r="U34" t="str">
            <v>06/10/2023</v>
          </cell>
          <cell r="V34" t="str">
            <v>09/10/2023</v>
          </cell>
          <cell r="W34" t="str">
            <v>2023/09</v>
          </cell>
          <cell r="X34" t="str">
            <v>11 KV</v>
          </cell>
          <cell r="Y34" t="str">
            <v>HT</v>
          </cell>
          <cell r="Z34">
            <v>104.8</v>
          </cell>
          <cell r="AA34">
            <v>0.77710000000000001</v>
          </cell>
          <cell r="AB34">
            <v>36.729999999999997</v>
          </cell>
          <cell r="AC34" t="str">
            <v xml:space="preserve">01/09/2023 -     </v>
          </cell>
          <cell r="AD34" t="str">
            <v>30.09.2023</v>
          </cell>
          <cell r="AE34" t="str">
            <v>30/1.0000</v>
          </cell>
          <cell r="AF34">
            <v>131</v>
          </cell>
          <cell r="AG34" t="str">
            <v>KVA</v>
          </cell>
          <cell r="AH34">
            <v>131</v>
          </cell>
          <cell r="AI34" t="str">
            <v>R</v>
          </cell>
          <cell r="AJ34">
            <v>636149.02</v>
          </cell>
          <cell r="AK34" t="str">
            <v>30/09/2023</v>
          </cell>
          <cell r="AL34" t="str">
            <v>NES51030</v>
          </cell>
          <cell r="AM34" t="str">
            <v>SINGLE PHASE ELECTRO-MAGNETIC KWH METER-TOD</v>
          </cell>
          <cell r="AN34" t="str">
            <v>POST PAID</v>
          </cell>
          <cell r="AO34">
            <v>250</v>
          </cell>
          <cell r="AP34" t="str">
            <v>TOD</v>
          </cell>
          <cell r="AQ34">
            <v>-310231.36</v>
          </cell>
          <cell r="AR34">
            <v>0</v>
          </cell>
          <cell r="AS34">
            <v>0</v>
          </cell>
          <cell r="AT34">
            <v>0</v>
          </cell>
          <cell r="AU34">
            <v>0</v>
          </cell>
          <cell r="AV34">
            <v>0</v>
          </cell>
          <cell r="AW34">
            <v>18203</v>
          </cell>
          <cell r="AX34">
            <v>23423</v>
          </cell>
          <cell r="AY34">
            <v>23423</v>
          </cell>
          <cell r="AZ34">
            <v>619.44000000000005</v>
          </cell>
          <cell r="BA34">
            <v>88.56</v>
          </cell>
        </row>
        <row r="35">
          <cell r="F35">
            <v>122000000062</v>
          </cell>
          <cell r="G35" t="str">
            <v>THE PRINCIPAL, GOVT ITI BALASORE</v>
          </cell>
          <cell r="H35" t="str">
            <v>ITI BALASORE,BALASORE</v>
          </cell>
          <cell r="I35" t="str">
            <v>10/31/2020 00:00:00</v>
          </cell>
          <cell r="J35">
            <v>1</v>
          </cell>
          <cell r="K35" t="str">
            <v xml:space="preserve"> </v>
          </cell>
          <cell r="L35" t="str">
            <v xml:space="preserve"> </v>
          </cell>
          <cell r="M35" t="str">
            <v>321000010231493692</v>
          </cell>
          <cell r="N35" t="str">
            <v>1220000047</v>
          </cell>
          <cell r="O35" t="str">
            <v>D-962</v>
          </cell>
          <cell r="P35" t="str">
            <v>432121103</v>
          </cell>
          <cell r="Q35" t="str">
            <v>SPECIFIED PUBLIC PURPOSE</v>
          </cell>
          <cell r="R35" t="str">
            <v>HT</v>
          </cell>
          <cell r="S35" t="str">
            <v>01/10/2023</v>
          </cell>
          <cell r="T35" t="str">
            <v>01/10/2023</v>
          </cell>
          <cell r="U35" t="str">
            <v>06/10/2023</v>
          </cell>
          <cell r="V35" t="str">
            <v>09/10/2023</v>
          </cell>
          <cell r="W35" t="str">
            <v>2023/09</v>
          </cell>
          <cell r="X35" t="str">
            <v>11 KV</v>
          </cell>
          <cell r="Y35" t="str">
            <v>HT</v>
          </cell>
          <cell r="Z35">
            <v>120</v>
          </cell>
          <cell r="AA35">
            <v>0.96619999999999995</v>
          </cell>
          <cell r="AB35">
            <v>28.9</v>
          </cell>
          <cell r="AC35" t="str">
            <v xml:space="preserve">01/09/2023 -     </v>
          </cell>
          <cell r="AD35" t="str">
            <v>30.09.2023</v>
          </cell>
          <cell r="AE35" t="str">
            <v>30/1.0000</v>
          </cell>
          <cell r="AF35">
            <v>150</v>
          </cell>
          <cell r="AG35" t="str">
            <v>KVA</v>
          </cell>
          <cell r="AH35">
            <v>150</v>
          </cell>
          <cell r="AI35" t="str">
            <v>R</v>
          </cell>
          <cell r="AJ35">
            <v>354516.02</v>
          </cell>
          <cell r="AK35" t="str">
            <v>30/09/2023</v>
          </cell>
          <cell r="AL35" t="str">
            <v>TPN64258</v>
          </cell>
          <cell r="AM35" t="str">
            <v>THREE PHASE STATIC TRI-VECTOR METER-TOD</v>
          </cell>
          <cell r="AN35" t="str">
            <v>POST PAID</v>
          </cell>
          <cell r="AO35">
            <v>250</v>
          </cell>
          <cell r="AP35" t="str">
            <v>TOD</v>
          </cell>
          <cell r="AQ35">
            <v>-210814.22</v>
          </cell>
          <cell r="AR35">
            <v>0</v>
          </cell>
          <cell r="AS35">
            <v>0</v>
          </cell>
          <cell r="AT35">
            <v>0</v>
          </cell>
          <cell r="AU35">
            <v>0</v>
          </cell>
          <cell r="AV35">
            <v>0</v>
          </cell>
          <cell r="AW35">
            <v>14700</v>
          </cell>
          <cell r="AX35">
            <v>15214</v>
          </cell>
          <cell r="AY35">
            <v>15214</v>
          </cell>
          <cell r="AZ35">
            <v>500.32</v>
          </cell>
          <cell r="BA35">
            <v>73.11999999999999</v>
          </cell>
        </row>
        <row r="36">
          <cell r="F36">
            <v>122000000063</v>
          </cell>
          <cell r="G36" t="str">
            <v>M/S R.R. INFRA DEVLOPERS PVT. LTD.</v>
          </cell>
          <cell r="H36" t="str">
            <v>C/O- SRI SHANKARLAL CHANDAK</v>
          </cell>
          <cell r="I36" t="str">
            <v>10/31/2020 00:00:00</v>
          </cell>
          <cell r="J36">
            <v>1</v>
          </cell>
          <cell r="K36" t="str">
            <v xml:space="preserve"> </v>
          </cell>
          <cell r="L36" t="str">
            <v xml:space="preserve"> </v>
          </cell>
          <cell r="M36" t="str">
            <v>321000010231494267</v>
          </cell>
          <cell r="N36" t="str">
            <v>1220000048</v>
          </cell>
          <cell r="O36" t="str">
            <v>123</v>
          </cell>
          <cell r="P36" t="str">
            <v>43287401004</v>
          </cell>
          <cell r="Q36" t="str">
            <v>GENERAL PURPOSE &gt;= 110 KVA</v>
          </cell>
          <cell r="R36" t="str">
            <v>HT</v>
          </cell>
          <cell r="S36" t="str">
            <v>01/10/2023</v>
          </cell>
          <cell r="T36" t="str">
            <v>01/10/2023</v>
          </cell>
          <cell r="U36" t="str">
            <v>06/10/2023</v>
          </cell>
          <cell r="V36" t="str">
            <v>09/10/2023</v>
          </cell>
          <cell r="W36" t="str">
            <v>2023/09</v>
          </cell>
          <cell r="X36" t="str">
            <v>11 KV</v>
          </cell>
          <cell r="Y36" t="str">
            <v>HT</v>
          </cell>
          <cell r="Z36">
            <v>267.2</v>
          </cell>
          <cell r="AA36">
            <v>0.94399999999999995</v>
          </cell>
          <cell r="AB36">
            <v>35.46</v>
          </cell>
          <cell r="AC36" t="str">
            <v xml:space="preserve">01/09/2023 -     </v>
          </cell>
          <cell r="AD36" t="str">
            <v>30.09.2023</v>
          </cell>
          <cell r="AE36" t="str">
            <v>30/1.0000</v>
          </cell>
          <cell r="AF36">
            <v>334</v>
          </cell>
          <cell r="AG36" t="str">
            <v>KVA</v>
          </cell>
          <cell r="AH36">
            <v>334</v>
          </cell>
          <cell r="AI36" t="str">
            <v>R</v>
          </cell>
          <cell r="AJ36">
            <v>446690</v>
          </cell>
          <cell r="AK36" t="str">
            <v>30/09/2023</v>
          </cell>
          <cell r="AL36" t="str">
            <v>NES50532</v>
          </cell>
          <cell r="AM36" t="str">
            <v>TRI-VECTOR METER FOR RAILWAY TRACTION</v>
          </cell>
          <cell r="AN36" t="str">
            <v>POST PAID</v>
          </cell>
          <cell r="AO36">
            <v>250</v>
          </cell>
          <cell r="AP36" t="str">
            <v>TOD</v>
          </cell>
          <cell r="AQ36">
            <v>-93071.5</v>
          </cell>
          <cell r="AR36">
            <v>0</v>
          </cell>
          <cell r="AS36">
            <v>0</v>
          </cell>
          <cell r="AT36">
            <v>0</v>
          </cell>
          <cell r="AU36">
            <v>0</v>
          </cell>
          <cell r="AV36">
            <v>0</v>
          </cell>
          <cell r="AW36">
            <v>26570</v>
          </cell>
          <cell r="AX36">
            <v>28146</v>
          </cell>
          <cell r="AY36">
            <v>28146</v>
          </cell>
          <cell r="AZ36">
            <v>839.84</v>
          </cell>
          <cell r="BA36">
            <v>110.24000000000001</v>
          </cell>
        </row>
        <row r="37">
          <cell r="F37">
            <v>122000000064</v>
          </cell>
          <cell r="G37" t="str">
            <v>M/S MAGNUM ESTATE LTD.</v>
          </cell>
          <cell r="H37" t="str">
            <v>C/O - PREM SANKAR SATPATHY</v>
          </cell>
          <cell r="I37" t="str">
            <v>10/31/2020 00:00:00</v>
          </cell>
          <cell r="J37">
            <v>1</v>
          </cell>
          <cell r="K37" t="str">
            <v>AT-NUAPALGADI</v>
          </cell>
          <cell r="L37" t="str">
            <v>CHANDIPUR</v>
          </cell>
          <cell r="M37" t="str">
            <v>321000010231493621</v>
          </cell>
          <cell r="N37" t="str">
            <v>1220000049</v>
          </cell>
          <cell r="O37" t="str">
            <v>B35742</v>
          </cell>
          <cell r="P37" t="str">
            <v>432114401</v>
          </cell>
          <cell r="Q37" t="str">
            <v>LARGE INDUSTRY</v>
          </cell>
          <cell r="R37" t="str">
            <v>HT</v>
          </cell>
          <cell r="S37" t="str">
            <v>01/10/2023</v>
          </cell>
          <cell r="T37" t="str">
            <v>01/10/2023</v>
          </cell>
          <cell r="U37" t="str">
            <v>06/10/2023</v>
          </cell>
          <cell r="V37" t="str">
            <v>09/10/2023</v>
          </cell>
          <cell r="W37" t="str">
            <v>2023/09</v>
          </cell>
          <cell r="X37" t="str">
            <v>11 KV</v>
          </cell>
          <cell r="Y37" t="str">
            <v>HT</v>
          </cell>
          <cell r="Z37">
            <v>184</v>
          </cell>
          <cell r="AA37">
            <v>0.82730000000000004</v>
          </cell>
          <cell r="AB37">
            <v>30.58</v>
          </cell>
          <cell r="AC37" t="str">
            <v xml:space="preserve">01/09/2023 -     </v>
          </cell>
          <cell r="AD37" t="str">
            <v>30.09.2023</v>
          </cell>
          <cell r="AE37" t="str">
            <v>30/1.0000</v>
          </cell>
          <cell r="AF37">
            <v>230</v>
          </cell>
          <cell r="AG37" t="str">
            <v>KVA</v>
          </cell>
          <cell r="AH37">
            <v>230</v>
          </cell>
          <cell r="AI37" t="str">
            <v>R</v>
          </cell>
          <cell r="AJ37">
            <v>1114414.93</v>
          </cell>
          <cell r="AK37" t="str">
            <v>30/09/2023</v>
          </cell>
          <cell r="AL37" t="str">
            <v>TPN64742</v>
          </cell>
          <cell r="AM37" t="str">
            <v>THREE PHASE STATIC TRI-VECTOR METER-TOD</v>
          </cell>
          <cell r="AN37" t="str">
            <v>POST PAID</v>
          </cell>
          <cell r="AO37">
            <v>250</v>
          </cell>
          <cell r="AP37" t="str">
            <v>TOD</v>
          </cell>
          <cell r="AQ37">
            <v>-557225.49</v>
          </cell>
          <cell r="AR37">
            <v>0</v>
          </cell>
          <cell r="AS37">
            <v>0</v>
          </cell>
          <cell r="AT37">
            <v>0</v>
          </cell>
          <cell r="AU37">
            <v>0</v>
          </cell>
          <cell r="AV37">
            <v>0</v>
          </cell>
          <cell r="AW37">
            <v>31910</v>
          </cell>
          <cell r="AX37">
            <v>38570</v>
          </cell>
          <cell r="AY37">
            <v>38570</v>
          </cell>
          <cell r="AZ37">
            <v>1167.5999999999999</v>
          </cell>
          <cell r="BA37">
            <v>175.2</v>
          </cell>
        </row>
        <row r="38">
          <cell r="F38">
            <v>122000000065</v>
          </cell>
          <cell r="G38" t="str">
            <v>M/S EASTERN INDIA FISHERIES &amp;</v>
          </cell>
          <cell r="H38" t="str">
            <v>AGRO PRODUCTS (P) LTD.</v>
          </cell>
          <cell r="I38" t="str">
            <v>10/31/2020 00:00:00</v>
          </cell>
          <cell r="J38">
            <v>1</v>
          </cell>
          <cell r="K38" t="str">
            <v xml:space="preserve"> </v>
          </cell>
          <cell r="L38" t="str">
            <v xml:space="preserve"> </v>
          </cell>
          <cell r="M38" t="str">
            <v>321000010231493730</v>
          </cell>
          <cell r="N38" t="str">
            <v>1220000050</v>
          </cell>
          <cell r="O38" t="str">
            <v>BN-77967</v>
          </cell>
          <cell r="P38" t="str">
            <v>432114403</v>
          </cell>
          <cell r="Q38" t="str">
            <v>ALLIED AGRICULTURE ACTIVITIES</v>
          </cell>
          <cell r="R38" t="str">
            <v>HT</v>
          </cell>
          <cell r="S38" t="str">
            <v>01/10/2023</v>
          </cell>
          <cell r="T38" t="str">
            <v>01/10/2023</v>
          </cell>
          <cell r="U38" t="str">
            <v>09/10/2023</v>
          </cell>
          <cell r="V38" t="str">
            <v>09/10/2023</v>
          </cell>
          <cell r="W38" t="str">
            <v>2023/09</v>
          </cell>
          <cell r="X38" t="str">
            <v>11 KV</v>
          </cell>
          <cell r="Y38" t="str">
            <v>HT</v>
          </cell>
          <cell r="Z38">
            <v>270</v>
          </cell>
          <cell r="AA38">
            <v>0.87570000000000003</v>
          </cell>
          <cell r="AB38">
            <v>0</v>
          </cell>
          <cell r="AC38" t="str">
            <v xml:space="preserve">01/09/2023 -     </v>
          </cell>
          <cell r="AD38" t="str">
            <v>30.09.2023</v>
          </cell>
          <cell r="AE38" t="str">
            <v>30/1.0000</v>
          </cell>
          <cell r="AF38">
            <v>270</v>
          </cell>
          <cell r="AG38" t="str">
            <v>KVA</v>
          </cell>
          <cell r="AH38">
            <v>270</v>
          </cell>
          <cell r="AI38" t="str">
            <v>R</v>
          </cell>
          <cell r="AJ38">
            <v>105478.71</v>
          </cell>
          <cell r="AK38" t="str">
            <v>30/09/2023</v>
          </cell>
          <cell r="AL38" t="str">
            <v>NES52044</v>
          </cell>
          <cell r="AM38" t="str">
            <v>TRI-VECTOR METER FOR RAILWAY TRACTION</v>
          </cell>
          <cell r="AN38" t="str">
            <v>POST PAID</v>
          </cell>
          <cell r="AO38">
            <v>250</v>
          </cell>
          <cell r="AP38" t="str">
            <v>TOD</v>
          </cell>
          <cell r="AQ38">
            <v>-42823.71</v>
          </cell>
          <cell r="AR38">
            <v>0</v>
          </cell>
          <cell r="AS38">
            <v>0</v>
          </cell>
          <cell r="AT38">
            <v>0</v>
          </cell>
          <cell r="AU38">
            <v>0</v>
          </cell>
          <cell r="AV38">
            <v>0</v>
          </cell>
          <cell r="AW38">
            <v>1191</v>
          </cell>
          <cell r="AX38">
            <v>1360</v>
          </cell>
          <cell r="AY38">
            <v>1360</v>
          </cell>
          <cell r="AZ38">
            <v>152.16</v>
          </cell>
          <cell r="BA38">
            <v>13.799999999999999</v>
          </cell>
        </row>
        <row r="39">
          <cell r="F39">
            <v>122000000067</v>
          </cell>
          <cell r="G39" t="str">
            <v>M/S MAGNUM ESTATE PVT. LTD.</v>
          </cell>
          <cell r="H39" t="str">
            <v>NAUPALGADI,CHANDIPURBALASORE</v>
          </cell>
          <cell r="I39" t="str">
            <v>10/31/2020 00:00:00</v>
          </cell>
          <cell r="J39">
            <v>1</v>
          </cell>
          <cell r="K39" t="str">
            <v xml:space="preserve"> </v>
          </cell>
          <cell r="L39" t="str">
            <v xml:space="preserve"> </v>
          </cell>
          <cell r="M39" t="str">
            <v>321000010231493823</v>
          </cell>
          <cell r="N39" t="str">
            <v>1220000052</v>
          </cell>
          <cell r="O39" t="str">
            <v>BED</v>
          </cell>
          <cell r="P39" t="str">
            <v>432114401</v>
          </cell>
          <cell r="Q39" t="str">
            <v>ALLIED AGRO-INDUSTRIAL ACTIVITIES</v>
          </cell>
          <cell r="R39" t="str">
            <v>HT</v>
          </cell>
          <cell r="S39" t="str">
            <v>01/10/2023</v>
          </cell>
          <cell r="T39" t="str">
            <v>01/10/2023</v>
          </cell>
          <cell r="U39" t="str">
            <v>06/10/2023</v>
          </cell>
          <cell r="V39" t="str">
            <v>09/10/2023</v>
          </cell>
          <cell r="W39" t="str">
            <v>2023/09</v>
          </cell>
          <cell r="X39" t="str">
            <v>11 KV</v>
          </cell>
          <cell r="Y39" t="str">
            <v>HT</v>
          </cell>
          <cell r="Z39">
            <v>300</v>
          </cell>
          <cell r="AA39">
            <v>0.82540000000000002</v>
          </cell>
          <cell r="AB39">
            <v>0</v>
          </cell>
          <cell r="AC39" t="str">
            <v xml:space="preserve">01/09/2023 -     </v>
          </cell>
          <cell r="AD39" t="str">
            <v>30.09.2023</v>
          </cell>
          <cell r="AE39" t="str">
            <v>30/1.0000</v>
          </cell>
          <cell r="AF39">
            <v>300</v>
          </cell>
          <cell r="AG39" t="str">
            <v>KVA</v>
          </cell>
          <cell r="AH39">
            <v>300</v>
          </cell>
          <cell r="AI39" t="str">
            <v>R</v>
          </cell>
          <cell r="AJ39">
            <v>1509403</v>
          </cell>
          <cell r="AK39" t="str">
            <v>30/09/2023</v>
          </cell>
          <cell r="AL39" t="str">
            <v>NES50984</v>
          </cell>
          <cell r="AM39" t="str">
            <v>TRI-VECTOR METER FOR RAILWAY TRACTION</v>
          </cell>
          <cell r="AN39" t="str">
            <v>POST PAID</v>
          </cell>
          <cell r="AO39">
            <v>500</v>
          </cell>
          <cell r="AP39" t="str">
            <v>TOD</v>
          </cell>
          <cell r="AQ39">
            <v>-1321117</v>
          </cell>
          <cell r="AR39">
            <v>0</v>
          </cell>
          <cell r="AS39">
            <v>0</v>
          </cell>
          <cell r="AT39">
            <v>0</v>
          </cell>
          <cell r="AU39">
            <v>0</v>
          </cell>
          <cell r="AV39">
            <v>0</v>
          </cell>
          <cell r="AW39">
            <v>2734</v>
          </cell>
          <cell r="AX39">
            <v>3312</v>
          </cell>
          <cell r="AY39">
            <v>3312</v>
          </cell>
          <cell r="AZ39">
            <v>924.48</v>
          </cell>
          <cell r="BA39">
            <v>75.680000000000007</v>
          </cell>
        </row>
        <row r="40">
          <cell r="F40">
            <v>122000000069</v>
          </cell>
          <cell r="G40" t="str">
            <v>M/S FALCON MARINE EXPORTS LTD.</v>
          </cell>
          <cell r="H40" t="str">
            <v>CHANDIPUR,BALASORE</v>
          </cell>
          <cell r="I40" t="str">
            <v>10/31/2020 00:00:00</v>
          </cell>
          <cell r="J40">
            <v>1</v>
          </cell>
          <cell r="K40" t="str">
            <v xml:space="preserve"> </v>
          </cell>
          <cell r="L40" t="str">
            <v xml:space="preserve"> </v>
          </cell>
          <cell r="M40" t="str">
            <v>321000010231493963</v>
          </cell>
          <cell r="N40" t="str">
            <v>1220000054</v>
          </cell>
          <cell r="O40" t="str">
            <v>BN-76444</v>
          </cell>
          <cell r="P40" t="str">
            <v>432114402</v>
          </cell>
          <cell r="Q40" t="str">
            <v>ALLIED AGRICULTURE ACTIVITIES</v>
          </cell>
          <cell r="R40" t="str">
            <v>HT</v>
          </cell>
          <cell r="S40" t="str">
            <v>01/10/2023</v>
          </cell>
          <cell r="T40" t="str">
            <v>01/10/2023</v>
          </cell>
          <cell r="U40" t="str">
            <v>09/10/2023</v>
          </cell>
          <cell r="V40" t="str">
            <v>09/10/2023</v>
          </cell>
          <cell r="W40" t="str">
            <v>2023/09</v>
          </cell>
          <cell r="X40" t="str">
            <v>11 KV</v>
          </cell>
          <cell r="Y40" t="str">
            <v>HT</v>
          </cell>
          <cell r="Z40">
            <v>395</v>
          </cell>
          <cell r="AA40">
            <v>0.71450000000000002</v>
          </cell>
          <cell r="AB40">
            <v>0</v>
          </cell>
          <cell r="AC40" t="str">
            <v xml:space="preserve">01/09/2023 -     </v>
          </cell>
          <cell r="AD40" t="str">
            <v>30.09.2023</v>
          </cell>
          <cell r="AE40" t="str">
            <v>30/1.0000</v>
          </cell>
          <cell r="AF40">
            <v>395</v>
          </cell>
          <cell r="AG40" t="str">
            <v>KVA</v>
          </cell>
          <cell r="AH40">
            <v>395</v>
          </cell>
          <cell r="AI40" t="str">
            <v>R</v>
          </cell>
          <cell r="AJ40">
            <v>332279</v>
          </cell>
          <cell r="AK40" t="str">
            <v>30/09/2023</v>
          </cell>
          <cell r="AL40" t="str">
            <v>NES51067</v>
          </cell>
          <cell r="AM40" t="str">
            <v>TRI-VECTOR METER FOR RAILWAY TRACTION</v>
          </cell>
          <cell r="AN40" t="str">
            <v>POST PAID</v>
          </cell>
          <cell r="AO40">
            <v>500</v>
          </cell>
          <cell r="AP40" t="str">
            <v>TOD</v>
          </cell>
          <cell r="AQ40">
            <v>-193466</v>
          </cell>
          <cell r="AR40">
            <v>0</v>
          </cell>
          <cell r="AS40">
            <v>0</v>
          </cell>
          <cell r="AT40">
            <v>0</v>
          </cell>
          <cell r="AU40">
            <v>0</v>
          </cell>
          <cell r="AV40">
            <v>0</v>
          </cell>
          <cell r="AW40">
            <v>28610</v>
          </cell>
          <cell r="AX40">
            <v>40040</v>
          </cell>
          <cell r="AY40">
            <v>40040</v>
          </cell>
          <cell r="AZ40">
            <v>1352.8</v>
          </cell>
          <cell r="BA40">
            <v>140.80000000000001</v>
          </cell>
        </row>
        <row r="41">
          <cell r="F41">
            <v>122000000070</v>
          </cell>
          <cell r="G41" t="str">
            <v>M/S ORISSA RUBBER PRODUCT</v>
          </cell>
          <cell r="H41" t="str">
            <v>C/O- SANJAY KUMAR DAS</v>
          </cell>
          <cell r="I41" t="str">
            <v>10/31/2020 00:00:00</v>
          </cell>
          <cell r="J41">
            <v>1</v>
          </cell>
          <cell r="K41" t="str">
            <v xml:space="preserve"> </v>
          </cell>
          <cell r="L41" t="str">
            <v xml:space="preserve"> </v>
          </cell>
          <cell r="M41" t="str">
            <v>321000010231493796</v>
          </cell>
          <cell r="N41" t="str">
            <v>1220000055</v>
          </cell>
          <cell r="O41" t="str">
            <v>D43345</v>
          </cell>
          <cell r="P41" t="str">
            <v>432121106</v>
          </cell>
          <cell r="Q41" t="str">
            <v>LARGE INDUSTRY</v>
          </cell>
          <cell r="R41" t="str">
            <v>HT</v>
          </cell>
          <cell r="S41" t="str">
            <v>01/10/2023</v>
          </cell>
          <cell r="T41" t="str">
            <v>01/10/2023</v>
          </cell>
          <cell r="U41" t="str">
            <v>06/10/2023</v>
          </cell>
          <cell r="V41" t="str">
            <v>09/10/2023</v>
          </cell>
          <cell r="W41" t="str">
            <v>2023/09</v>
          </cell>
          <cell r="X41" t="str">
            <v>11 KV</v>
          </cell>
          <cell r="Y41" t="str">
            <v>HT</v>
          </cell>
          <cell r="Z41">
            <v>151.19999999999999</v>
          </cell>
          <cell r="AA41">
            <v>0.99350000000000005</v>
          </cell>
          <cell r="AB41">
            <v>22.18</v>
          </cell>
          <cell r="AC41" t="str">
            <v xml:space="preserve">01/09/2023 -     </v>
          </cell>
          <cell r="AD41" t="str">
            <v>30.09.2023</v>
          </cell>
          <cell r="AE41" t="str">
            <v>30/1.0000</v>
          </cell>
          <cell r="AF41">
            <v>189</v>
          </cell>
          <cell r="AG41" t="str">
            <v>KVA</v>
          </cell>
          <cell r="AH41">
            <v>189</v>
          </cell>
          <cell r="AI41" t="str">
            <v>R</v>
          </cell>
          <cell r="AJ41">
            <v>950050</v>
          </cell>
          <cell r="AK41" t="str">
            <v>30/09/2023</v>
          </cell>
          <cell r="AL41" t="str">
            <v>NES50996</v>
          </cell>
          <cell r="AM41" t="str">
            <v>TRI-VECTOR METER FOR RAILWAY TRACTION</v>
          </cell>
          <cell r="AN41" t="str">
            <v>POST PAID</v>
          </cell>
          <cell r="AO41">
            <v>500</v>
          </cell>
          <cell r="AP41" t="str">
            <v>TOD</v>
          </cell>
          <cell r="AQ41">
            <v>-648534.69999999995</v>
          </cell>
          <cell r="AR41">
            <v>0</v>
          </cell>
          <cell r="AS41">
            <v>0</v>
          </cell>
          <cell r="AT41">
            <v>0</v>
          </cell>
          <cell r="AU41">
            <v>0</v>
          </cell>
          <cell r="AV41">
            <v>0</v>
          </cell>
          <cell r="AW41">
            <v>16258</v>
          </cell>
          <cell r="AX41">
            <v>16364</v>
          </cell>
          <cell r="AY41">
            <v>16364</v>
          </cell>
          <cell r="AZ41">
            <v>675.24</v>
          </cell>
          <cell r="BA41">
            <v>102.48</v>
          </cell>
        </row>
        <row r="42">
          <cell r="F42">
            <v>122000000071</v>
          </cell>
          <cell r="G42" t="str">
            <v>MANMOHAN DAS</v>
          </cell>
          <cell r="H42" t="str">
            <v>SRIKONA,CHANDIPURBALASORE</v>
          </cell>
          <cell r="I42" t="str">
            <v>10/31/2020 00:00:00</v>
          </cell>
          <cell r="J42">
            <v>1</v>
          </cell>
          <cell r="K42" t="str">
            <v xml:space="preserve"> </v>
          </cell>
          <cell r="L42" t="str">
            <v xml:space="preserve"> </v>
          </cell>
          <cell r="M42" t="str">
            <v>321000010231494046</v>
          </cell>
          <cell r="N42" t="str">
            <v>1220000056</v>
          </cell>
          <cell r="O42" t="str">
            <v>B43420</v>
          </cell>
          <cell r="P42" t="str">
            <v>432114401</v>
          </cell>
          <cell r="Q42" t="str">
            <v>ALLIED AGRICULTURE ACTIVITIES</v>
          </cell>
          <cell r="R42" t="str">
            <v>HT</v>
          </cell>
          <cell r="S42" t="str">
            <v>01/10/2023</v>
          </cell>
          <cell r="T42" t="str">
            <v>01/10/2023</v>
          </cell>
          <cell r="U42" t="str">
            <v>09/10/2023</v>
          </cell>
          <cell r="V42" t="str">
            <v>09/10/2023</v>
          </cell>
          <cell r="W42" t="str">
            <v>2023/09</v>
          </cell>
          <cell r="X42" t="str">
            <v>11 KV</v>
          </cell>
          <cell r="Y42" t="str">
            <v>HT</v>
          </cell>
          <cell r="Z42">
            <v>300</v>
          </cell>
          <cell r="AA42">
            <v>0.8992</v>
          </cell>
          <cell r="AB42">
            <v>0</v>
          </cell>
          <cell r="AC42" t="str">
            <v xml:space="preserve">01/09/2023 -     </v>
          </cell>
          <cell r="AD42" t="str">
            <v>30.09.2023</v>
          </cell>
          <cell r="AE42" t="str">
            <v>30/1.0000</v>
          </cell>
          <cell r="AF42">
            <v>300</v>
          </cell>
          <cell r="AG42" t="str">
            <v>KVA</v>
          </cell>
          <cell r="AH42">
            <v>300</v>
          </cell>
          <cell r="AI42" t="str">
            <v>R</v>
          </cell>
          <cell r="AJ42">
            <v>192960</v>
          </cell>
          <cell r="AK42" t="str">
            <v>30/09/2023</v>
          </cell>
          <cell r="AL42" t="str">
            <v>NES50255</v>
          </cell>
          <cell r="AM42" t="str">
            <v>SINGLE PHASE ELECTRO-MAGNETIC KWH METER-TOD</v>
          </cell>
          <cell r="AN42" t="str">
            <v>POST PAID</v>
          </cell>
          <cell r="AO42">
            <v>500</v>
          </cell>
          <cell r="AP42" t="str">
            <v>TOD</v>
          </cell>
          <cell r="AQ42">
            <v>-142662</v>
          </cell>
          <cell r="AR42">
            <v>0</v>
          </cell>
          <cell r="AS42">
            <v>0</v>
          </cell>
          <cell r="AT42">
            <v>0</v>
          </cell>
          <cell r="AU42">
            <v>0</v>
          </cell>
          <cell r="AV42">
            <v>0</v>
          </cell>
          <cell r="AW42">
            <v>3747</v>
          </cell>
          <cell r="AX42">
            <v>4167</v>
          </cell>
          <cell r="AY42">
            <v>4167</v>
          </cell>
          <cell r="AZ42">
            <v>749.04</v>
          </cell>
          <cell r="BA42">
            <v>27.599999999999998</v>
          </cell>
        </row>
        <row r="43">
          <cell r="F43">
            <v>122000000072</v>
          </cell>
          <cell r="G43" t="str">
            <v>UMAKANTA DAS</v>
          </cell>
          <cell r="H43" t="str">
            <v>GUDUPAHI,CHANDIPURBALASORE</v>
          </cell>
          <cell r="I43" t="str">
            <v>10/31/2020 00:00:00</v>
          </cell>
          <cell r="J43">
            <v>1</v>
          </cell>
          <cell r="K43" t="str">
            <v xml:space="preserve"> </v>
          </cell>
          <cell r="L43" t="str">
            <v xml:space="preserve"> </v>
          </cell>
          <cell r="M43" t="str">
            <v>321000010231494129</v>
          </cell>
          <cell r="N43" t="str">
            <v>1220000057</v>
          </cell>
          <cell r="O43" t="str">
            <v>B-43421</v>
          </cell>
          <cell r="P43" t="str">
            <v>432114404</v>
          </cell>
          <cell r="Q43" t="str">
            <v>ALLIED AGRICULTURE ACTIVITIES</v>
          </cell>
          <cell r="R43" t="str">
            <v>HT</v>
          </cell>
          <cell r="S43" t="str">
            <v>01/10/2023</v>
          </cell>
          <cell r="T43" t="str">
            <v>01/10/2023</v>
          </cell>
          <cell r="U43" t="str">
            <v>09/10/2023</v>
          </cell>
          <cell r="V43" t="str">
            <v>09/10/2023</v>
          </cell>
          <cell r="W43" t="str">
            <v>2023/09</v>
          </cell>
          <cell r="X43" t="str">
            <v>11 KV</v>
          </cell>
          <cell r="Y43" t="str">
            <v>HT</v>
          </cell>
          <cell r="Z43">
            <v>222</v>
          </cell>
          <cell r="AA43">
            <v>0.61509999999999998</v>
          </cell>
          <cell r="AB43">
            <v>0</v>
          </cell>
          <cell r="AC43" t="str">
            <v xml:space="preserve">01/09/2023 -     </v>
          </cell>
          <cell r="AD43" t="str">
            <v>30.09.2023</v>
          </cell>
          <cell r="AE43" t="str">
            <v>30/1.0000</v>
          </cell>
          <cell r="AF43">
            <v>222</v>
          </cell>
          <cell r="AG43" t="str">
            <v>KVA</v>
          </cell>
          <cell r="AH43">
            <v>222</v>
          </cell>
          <cell r="AI43" t="str">
            <v>R</v>
          </cell>
          <cell r="AJ43">
            <v>142791</v>
          </cell>
          <cell r="AK43" t="str">
            <v>30/09/2023</v>
          </cell>
          <cell r="AL43" t="str">
            <v>NES51001</v>
          </cell>
          <cell r="AM43" t="str">
            <v>THREE PHASE STATIC TRI-VECTOR METER</v>
          </cell>
          <cell r="AN43" t="str">
            <v>POST PAID</v>
          </cell>
          <cell r="AO43">
            <v>315</v>
          </cell>
          <cell r="AP43" t="str">
            <v>TOD</v>
          </cell>
          <cell r="AQ43">
            <v>-47424</v>
          </cell>
          <cell r="AR43">
            <v>0</v>
          </cell>
          <cell r="AS43">
            <v>0</v>
          </cell>
          <cell r="AT43">
            <v>0</v>
          </cell>
          <cell r="AU43">
            <v>0</v>
          </cell>
          <cell r="AV43">
            <v>0</v>
          </cell>
          <cell r="AW43">
            <v>12208</v>
          </cell>
          <cell r="AX43">
            <v>19846</v>
          </cell>
          <cell r="AY43">
            <v>19846</v>
          </cell>
          <cell r="AZ43">
            <v>629.12</v>
          </cell>
          <cell r="BA43">
            <v>115.84</v>
          </cell>
        </row>
        <row r="44">
          <cell r="F44">
            <v>122000000073</v>
          </cell>
          <cell r="G44" t="str">
            <v>M/S PRAKASH PLASTIC</v>
          </cell>
          <cell r="H44" t="str">
            <v>C/O - PRAKASH CHANDRA BEHURA</v>
          </cell>
          <cell r="I44" t="str">
            <v>10/31/2020 00:00:00</v>
          </cell>
          <cell r="J44">
            <v>1</v>
          </cell>
          <cell r="K44" t="str">
            <v xml:space="preserve"> </v>
          </cell>
          <cell r="L44" t="str">
            <v xml:space="preserve"> </v>
          </cell>
          <cell r="M44" t="str">
            <v>321000010231494000</v>
          </cell>
          <cell r="N44" t="str">
            <v>1220000058</v>
          </cell>
          <cell r="O44" t="str">
            <v>C-39451</v>
          </cell>
          <cell r="P44" t="str">
            <v>432123204</v>
          </cell>
          <cell r="Q44" t="str">
            <v>LARGE INDUSTRY</v>
          </cell>
          <cell r="R44" t="str">
            <v>HT</v>
          </cell>
          <cell r="S44" t="str">
            <v>01/10/2023</v>
          </cell>
          <cell r="T44" t="str">
            <v>01/10/2023</v>
          </cell>
          <cell r="U44" t="str">
            <v>06/10/2023</v>
          </cell>
          <cell r="V44" t="str">
            <v>09/10/2023</v>
          </cell>
          <cell r="W44" t="str">
            <v>2023/09</v>
          </cell>
          <cell r="X44" t="str">
            <v>11 KV</v>
          </cell>
          <cell r="Y44" t="str">
            <v>HT</v>
          </cell>
          <cell r="Z44">
            <v>151.19999999999999</v>
          </cell>
          <cell r="AA44">
            <v>0.94379999999999997</v>
          </cell>
          <cell r="AB44">
            <v>28.41</v>
          </cell>
          <cell r="AC44" t="str">
            <v xml:space="preserve">01/09/2023 -     </v>
          </cell>
          <cell r="AD44" t="str">
            <v>30.09.2023</v>
          </cell>
          <cell r="AE44" t="str">
            <v>30/1.0000</v>
          </cell>
          <cell r="AF44">
            <v>189</v>
          </cell>
          <cell r="AG44" t="str">
            <v>KVA</v>
          </cell>
          <cell r="AH44">
            <v>189</v>
          </cell>
          <cell r="AI44" t="str">
            <v>R</v>
          </cell>
          <cell r="AJ44">
            <v>1051702.8</v>
          </cell>
          <cell r="AK44" t="str">
            <v>30/09/2023</v>
          </cell>
          <cell r="AL44" t="str">
            <v>NES50307</v>
          </cell>
          <cell r="AM44" t="str">
            <v>TRI-VECTOR METER FOR RAILWAY TRACTION</v>
          </cell>
          <cell r="AN44" t="str">
            <v>POST PAID</v>
          </cell>
          <cell r="AO44">
            <v>250</v>
          </cell>
          <cell r="AP44" t="str">
            <v>TOD</v>
          </cell>
          <cell r="AQ44">
            <v>-711916.8</v>
          </cell>
          <cell r="AR44">
            <v>0</v>
          </cell>
          <cell r="AS44">
            <v>0</v>
          </cell>
          <cell r="AT44">
            <v>0</v>
          </cell>
          <cell r="AU44">
            <v>0</v>
          </cell>
          <cell r="AV44">
            <v>0</v>
          </cell>
          <cell r="AW44">
            <v>25396</v>
          </cell>
          <cell r="AX44">
            <v>26906</v>
          </cell>
          <cell r="AY44">
            <v>26906</v>
          </cell>
          <cell r="AZ44">
            <v>1042.8</v>
          </cell>
          <cell r="BA44">
            <v>131.51999999999998</v>
          </cell>
        </row>
        <row r="45">
          <cell r="F45">
            <v>122000000074</v>
          </cell>
          <cell r="G45" t="str">
            <v>SOVARANI SAHU</v>
          </cell>
          <cell r="H45" t="str">
            <v>KAYAKADAIA,BAYAPOKHARI</v>
          </cell>
          <cell r="I45" t="str">
            <v>10/31/2020 00:00:00</v>
          </cell>
          <cell r="J45">
            <v>1</v>
          </cell>
          <cell r="K45" t="str">
            <v xml:space="preserve"> </v>
          </cell>
          <cell r="L45" t="str">
            <v xml:space="preserve"> </v>
          </cell>
          <cell r="M45" t="str">
            <v>321000010231494220</v>
          </cell>
          <cell r="N45" t="str">
            <v>1220000059</v>
          </cell>
          <cell r="O45" t="str">
            <v>B43445</v>
          </cell>
          <cell r="P45" t="str">
            <v>432114404</v>
          </cell>
          <cell r="Q45" t="str">
            <v>ALLIED AGRICULTURE ACTIVITIES</v>
          </cell>
          <cell r="R45" t="str">
            <v>HT</v>
          </cell>
          <cell r="S45" t="str">
            <v>01/10/2023</v>
          </cell>
          <cell r="T45" t="str">
            <v>01/10/2023</v>
          </cell>
          <cell r="U45" t="str">
            <v>09/10/2023</v>
          </cell>
          <cell r="V45" t="str">
            <v>09/10/2023</v>
          </cell>
          <cell r="W45" t="str">
            <v>2023/09</v>
          </cell>
          <cell r="X45" t="str">
            <v>11 KV</v>
          </cell>
          <cell r="Y45" t="str">
            <v>HT</v>
          </cell>
          <cell r="Z45">
            <v>278</v>
          </cell>
          <cell r="AA45">
            <v>0.1875</v>
          </cell>
          <cell r="AB45">
            <v>0</v>
          </cell>
          <cell r="AC45" t="str">
            <v xml:space="preserve">01/09/2023 -     </v>
          </cell>
          <cell r="AD45" t="str">
            <v>30.09.2023</v>
          </cell>
          <cell r="AE45" t="str">
            <v>30/1.0000</v>
          </cell>
          <cell r="AF45">
            <v>278</v>
          </cell>
          <cell r="AG45" t="str">
            <v>KVA</v>
          </cell>
          <cell r="AH45">
            <v>278</v>
          </cell>
          <cell r="AI45" t="str">
            <v>R</v>
          </cell>
          <cell r="AJ45">
            <v>178810</v>
          </cell>
          <cell r="AK45" t="str">
            <v>30/09/2023</v>
          </cell>
          <cell r="AL45" t="str">
            <v>NES50290</v>
          </cell>
          <cell r="AM45" t="str">
            <v>SINGLE PHASE ELECTRO-MAGNETIC KWH METER-TOD</v>
          </cell>
          <cell r="AN45" t="str">
            <v>POST PAID</v>
          </cell>
          <cell r="AO45">
            <v>315</v>
          </cell>
          <cell r="AP45" t="str">
            <v>TOD</v>
          </cell>
          <cell r="AQ45">
            <v>-124531</v>
          </cell>
          <cell r="AR45">
            <v>0</v>
          </cell>
          <cell r="AS45">
            <v>0</v>
          </cell>
          <cell r="AT45">
            <v>0</v>
          </cell>
          <cell r="AU45">
            <v>0</v>
          </cell>
          <cell r="AV45">
            <v>0</v>
          </cell>
          <cell r="AW45">
            <v>174</v>
          </cell>
          <cell r="AX45">
            <v>928</v>
          </cell>
          <cell r="AY45">
            <v>928</v>
          </cell>
          <cell r="AZ45">
            <v>585</v>
          </cell>
          <cell r="BA45">
            <v>14.76</v>
          </cell>
        </row>
        <row r="46">
          <cell r="F46">
            <v>122000000076</v>
          </cell>
          <cell r="G46" t="str">
            <v>INDIAN OIL CORPN LTD.</v>
          </cell>
          <cell r="H46" t="str">
            <v>HIDIGAN,CHANDIPURBALASORE</v>
          </cell>
          <cell r="I46" t="str">
            <v>10/31/2020 00:00:00</v>
          </cell>
          <cell r="J46">
            <v>1</v>
          </cell>
          <cell r="K46" t="str">
            <v xml:space="preserve"> </v>
          </cell>
          <cell r="L46" t="str">
            <v xml:space="preserve"> </v>
          </cell>
          <cell r="M46" t="str">
            <v>321000010232495812</v>
          </cell>
          <cell r="N46" t="str">
            <v>1220000061</v>
          </cell>
          <cell r="O46" t="str">
            <v>B-43461</v>
          </cell>
          <cell r="P46" t="str">
            <v>43287401006</v>
          </cell>
          <cell r="Q46" t="str">
            <v>LARGE INDUSTRY</v>
          </cell>
          <cell r="R46" t="str">
            <v>HT</v>
          </cell>
          <cell r="S46" t="str">
            <v>01/10/2023</v>
          </cell>
          <cell r="T46" t="str">
            <v>01/10/2023</v>
          </cell>
          <cell r="U46" t="str">
            <v>06/10/2023</v>
          </cell>
          <cell r="V46" t="str">
            <v>09/10/2023</v>
          </cell>
          <cell r="W46" t="str">
            <v>2023/09</v>
          </cell>
          <cell r="X46" t="str">
            <v>33 KV</v>
          </cell>
          <cell r="Y46" t="str">
            <v>HT</v>
          </cell>
          <cell r="Z46">
            <v>4728.8</v>
          </cell>
          <cell r="AA46">
            <v>9.1999999999999998E-2</v>
          </cell>
          <cell r="AB46">
            <v>67.599999999999994</v>
          </cell>
          <cell r="AC46" t="str">
            <v xml:space="preserve">01/09/2023 -     </v>
          </cell>
          <cell r="AD46" t="str">
            <v>30.09.2023</v>
          </cell>
          <cell r="AE46" t="str">
            <v>30/1.0000</v>
          </cell>
          <cell r="AF46">
            <v>5911</v>
          </cell>
          <cell r="AG46" t="str">
            <v>KVA</v>
          </cell>
          <cell r="AH46">
            <v>5911</v>
          </cell>
          <cell r="AI46" t="str">
            <v>R</v>
          </cell>
          <cell r="AJ46">
            <v>34764392</v>
          </cell>
          <cell r="AK46" t="str">
            <v>30/09/2023</v>
          </cell>
          <cell r="AL46" t="str">
            <v>NES82814</v>
          </cell>
          <cell r="AM46" t="str">
            <v>THREE PHASE HT CT METER-33KV</v>
          </cell>
          <cell r="AN46" t="str">
            <v>POST PAID</v>
          </cell>
          <cell r="AO46">
            <v>20000</v>
          </cell>
          <cell r="AP46" t="str">
            <v>TOD</v>
          </cell>
          <cell r="AQ46">
            <v>-24210535</v>
          </cell>
          <cell r="AR46">
            <v>0</v>
          </cell>
          <cell r="AS46">
            <v>0</v>
          </cell>
          <cell r="AT46">
            <v>0</v>
          </cell>
          <cell r="AU46">
            <v>0</v>
          </cell>
          <cell r="AV46">
            <v>0</v>
          </cell>
          <cell r="AW46">
            <v>27960</v>
          </cell>
          <cell r="AX46">
            <v>303720</v>
          </cell>
          <cell r="AY46">
            <v>303720</v>
          </cell>
          <cell r="AZ46">
            <v>5.1999999999999998E-3</v>
          </cell>
          <cell r="BA46">
            <v>624</v>
          </cell>
        </row>
        <row r="47">
          <cell r="F47">
            <v>122000000077</v>
          </cell>
          <cell r="G47" t="str">
            <v>ALASHORE MARINE EXPORT P. LTD.</v>
          </cell>
          <cell r="H47" t="str">
            <v>SRIKONA,CHANDIPURBALASORE</v>
          </cell>
          <cell r="I47" t="str">
            <v>10/31/2020 00:00:00</v>
          </cell>
          <cell r="J47">
            <v>1</v>
          </cell>
          <cell r="K47" t="str">
            <v xml:space="preserve"> </v>
          </cell>
          <cell r="L47" t="str">
            <v xml:space="preserve"> </v>
          </cell>
          <cell r="M47" t="str">
            <v>321000010231494295</v>
          </cell>
          <cell r="N47" t="str">
            <v>1220000062</v>
          </cell>
          <cell r="O47" t="str">
            <v>B-43462</v>
          </cell>
          <cell r="P47" t="str">
            <v>432114401</v>
          </cell>
          <cell r="Q47" t="str">
            <v>LARGE INDUSTRY</v>
          </cell>
          <cell r="R47" t="str">
            <v>HT</v>
          </cell>
          <cell r="S47" t="str">
            <v>01/10/2023</v>
          </cell>
          <cell r="T47" t="str">
            <v>01/10/2023</v>
          </cell>
          <cell r="U47" t="str">
            <v>06/10/2023</v>
          </cell>
          <cell r="V47" t="str">
            <v>09/10/2023</v>
          </cell>
          <cell r="W47" t="str">
            <v>2023/09</v>
          </cell>
          <cell r="X47" t="str">
            <v>11 KV</v>
          </cell>
          <cell r="Y47" t="str">
            <v>HT</v>
          </cell>
          <cell r="Z47">
            <v>320</v>
          </cell>
          <cell r="AA47">
            <v>0.99770000000000003</v>
          </cell>
          <cell r="AB47">
            <v>47.38</v>
          </cell>
          <cell r="AC47" t="str">
            <v xml:space="preserve">01/09/2023 -     </v>
          </cell>
          <cell r="AD47" t="str">
            <v>30.09.2023</v>
          </cell>
          <cell r="AE47" t="str">
            <v>30/1.0000</v>
          </cell>
          <cell r="AF47">
            <v>400</v>
          </cell>
          <cell r="AG47" t="str">
            <v>KVA</v>
          </cell>
          <cell r="AH47">
            <v>400</v>
          </cell>
          <cell r="AI47" t="str">
            <v>R</v>
          </cell>
          <cell r="AJ47">
            <v>2044384</v>
          </cell>
          <cell r="AK47" t="str">
            <v>30/09/2023</v>
          </cell>
          <cell r="AL47" t="str">
            <v>NES50213</v>
          </cell>
          <cell r="AM47" t="str">
            <v>SINGLE PHASE ELECTRO-MAGNETIC KWH METER-TOD</v>
          </cell>
          <cell r="AN47" t="str">
            <v>POST PAID</v>
          </cell>
          <cell r="AO47">
            <v>500</v>
          </cell>
          <cell r="AP47" t="str">
            <v>TOD</v>
          </cell>
          <cell r="AQ47">
            <v>-1411081.04</v>
          </cell>
          <cell r="AR47">
            <v>0</v>
          </cell>
          <cell r="AS47">
            <v>0</v>
          </cell>
          <cell r="AT47">
            <v>0</v>
          </cell>
          <cell r="AU47">
            <v>0</v>
          </cell>
          <cell r="AV47">
            <v>0</v>
          </cell>
          <cell r="AW47">
            <v>85527</v>
          </cell>
          <cell r="AX47">
            <v>85719</v>
          </cell>
          <cell r="AY47">
            <v>85719</v>
          </cell>
          <cell r="AZ47">
            <v>1470</v>
          </cell>
          <cell r="BA47">
            <v>251.28</v>
          </cell>
        </row>
        <row r="48">
          <cell r="F48">
            <v>122000000078</v>
          </cell>
          <cell r="G48" t="str">
            <v>DAYANIDHI KHATUA</v>
          </cell>
          <cell r="H48" t="str">
            <v>C/O- LATE KALI KHATUA</v>
          </cell>
          <cell r="I48" t="str">
            <v>10/31/2020 00:00:00</v>
          </cell>
          <cell r="J48">
            <v>1</v>
          </cell>
          <cell r="K48" t="str">
            <v xml:space="preserve"> </v>
          </cell>
          <cell r="L48" t="str">
            <v xml:space="preserve"> </v>
          </cell>
          <cell r="M48" t="str">
            <v>321000010232495831</v>
          </cell>
          <cell r="N48" t="str">
            <v>1220000063</v>
          </cell>
          <cell r="O48" t="str">
            <v>B-43471</v>
          </cell>
          <cell r="P48" t="str">
            <v>432114402</v>
          </cell>
          <cell r="Q48" t="str">
            <v>ALLIED AGRICULTURE ACTIVITIES</v>
          </cell>
          <cell r="R48" t="str">
            <v>HT</v>
          </cell>
          <cell r="S48" t="str">
            <v>01/10/2023</v>
          </cell>
          <cell r="T48" t="str">
            <v>01/10/2023</v>
          </cell>
          <cell r="U48" t="str">
            <v>09/10/2023</v>
          </cell>
          <cell r="V48" t="str">
            <v>09/10/2023</v>
          </cell>
          <cell r="W48" t="str">
            <v>2023/09</v>
          </cell>
          <cell r="X48" t="str">
            <v>11 KV</v>
          </cell>
          <cell r="Y48" t="str">
            <v>HT</v>
          </cell>
          <cell r="Z48">
            <v>156</v>
          </cell>
          <cell r="AA48">
            <v>0</v>
          </cell>
          <cell r="AB48">
            <v>0</v>
          </cell>
          <cell r="AC48" t="str">
            <v xml:space="preserve">01/09/2023 -     </v>
          </cell>
          <cell r="AD48" t="str">
            <v>30.09.2023</v>
          </cell>
          <cell r="AE48" t="str">
            <v>30/1.0000</v>
          </cell>
          <cell r="AF48">
            <v>156</v>
          </cell>
          <cell r="AG48" t="str">
            <v>KVA</v>
          </cell>
          <cell r="AH48">
            <v>156</v>
          </cell>
          <cell r="AI48" t="str">
            <v>D</v>
          </cell>
          <cell r="AJ48">
            <v>100340</v>
          </cell>
          <cell r="AK48" t="str">
            <v>30/09/2023</v>
          </cell>
          <cell r="AL48" t="str">
            <v>NES50287</v>
          </cell>
          <cell r="AM48" t="str">
            <v>TRI-VECTOR METER FOR RAILWAY TRACTION</v>
          </cell>
          <cell r="AN48" t="str">
            <v>POST PAID</v>
          </cell>
          <cell r="AO48">
            <v>250</v>
          </cell>
          <cell r="AP48" t="str">
            <v>TOD</v>
          </cell>
          <cell r="AQ48">
            <v>-24470.799999999999</v>
          </cell>
          <cell r="AR48">
            <v>0</v>
          </cell>
          <cell r="AS48">
            <v>0</v>
          </cell>
          <cell r="AT48">
            <v>0</v>
          </cell>
          <cell r="AU48">
            <v>0</v>
          </cell>
          <cell r="AV48">
            <v>0</v>
          </cell>
          <cell r="AW48">
            <v>0</v>
          </cell>
          <cell r="AX48">
            <v>0</v>
          </cell>
          <cell r="AY48">
            <v>0</v>
          </cell>
          <cell r="AZ48">
            <v>0</v>
          </cell>
          <cell r="BA48">
            <v>0</v>
          </cell>
        </row>
        <row r="49">
          <cell r="F49">
            <v>122000000079</v>
          </cell>
          <cell r="G49" t="str">
            <v>SUDARSHAN BEHERA</v>
          </cell>
          <cell r="H49" t="str">
            <v>C/O- BANAMALI BEHERA,GUDUCHANDIPUR , BALASORE</v>
          </cell>
          <cell r="I49" t="str">
            <v>10/31/2020 00:00:00</v>
          </cell>
          <cell r="J49">
            <v>1</v>
          </cell>
          <cell r="K49" t="str">
            <v xml:space="preserve"> </v>
          </cell>
          <cell r="L49" t="str">
            <v xml:space="preserve"> </v>
          </cell>
          <cell r="M49" t="str">
            <v>321000010231494366</v>
          </cell>
          <cell r="N49" t="str">
            <v>1220000064</v>
          </cell>
          <cell r="O49" t="str">
            <v>B-43472</v>
          </cell>
          <cell r="P49" t="str">
            <v>432114403</v>
          </cell>
          <cell r="Q49" t="str">
            <v>ALLIED AGRICULTURE ACTIVITIES</v>
          </cell>
          <cell r="R49" t="str">
            <v>HT</v>
          </cell>
          <cell r="S49" t="str">
            <v>01/10/2023</v>
          </cell>
          <cell r="T49" t="str">
            <v>01/10/2023</v>
          </cell>
          <cell r="U49" t="str">
            <v>09/10/2023</v>
          </cell>
          <cell r="V49" t="str">
            <v>09/10/2023</v>
          </cell>
          <cell r="W49" t="str">
            <v>2023/09</v>
          </cell>
          <cell r="X49" t="str">
            <v>11 KV</v>
          </cell>
          <cell r="Y49" t="str">
            <v>HT</v>
          </cell>
          <cell r="Z49">
            <v>278</v>
          </cell>
          <cell r="AA49">
            <v>0.35560000000000003</v>
          </cell>
          <cell r="AB49">
            <v>0</v>
          </cell>
          <cell r="AC49" t="str">
            <v xml:space="preserve">01/09/2023 -     </v>
          </cell>
          <cell r="AD49" t="str">
            <v>30.09.2023</v>
          </cell>
          <cell r="AE49" t="str">
            <v>30/1.0000</v>
          </cell>
          <cell r="AF49">
            <v>278</v>
          </cell>
          <cell r="AG49" t="str">
            <v>KVA</v>
          </cell>
          <cell r="AH49">
            <v>278</v>
          </cell>
          <cell r="AI49" t="str">
            <v>R</v>
          </cell>
          <cell r="AJ49">
            <v>178810</v>
          </cell>
          <cell r="AK49" t="str">
            <v>30/09/2023</v>
          </cell>
          <cell r="AL49" t="str">
            <v>NSC94768</v>
          </cell>
          <cell r="AM49" t="str">
            <v>TRI-VECTOR METER FOR RAILWAY TRACTION</v>
          </cell>
          <cell r="AN49" t="str">
            <v>POST PAID</v>
          </cell>
          <cell r="AO49">
            <v>500</v>
          </cell>
          <cell r="AP49" t="str">
            <v>TOD</v>
          </cell>
          <cell r="AQ49">
            <v>-125242</v>
          </cell>
          <cell r="AR49">
            <v>0</v>
          </cell>
          <cell r="AS49">
            <v>0</v>
          </cell>
          <cell r="AT49">
            <v>0</v>
          </cell>
          <cell r="AU49">
            <v>0</v>
          </cell>
          <cell r="AV49">
            <v>0</v>
          </cell>
          <cell r="AW49">
            <v>944</v>
          </cell>
          <cell r="AX49">
            <v>2654</v>
          </cell>
          <cell r="AY49">
            <v>2654</v>
          </cell>
          <cell r="AZ49">
            <v>186.08</v>
          </cell>
          <cell r="BA49">
            <v>11.200000000000001</v>
          </cell>
        </row>
        <row r="50">
          <cell r="F50">
            <v>122000000080</v>
          </cell>
          <cell r="G50" t="str">
            <v>DIST HEAD QUARTER HOSPITAL</v>
          </cell>
          <cell r="H50" t="str">
            <v>BALASORE,BALASORE</v>
          </cell>
          <cell r="I50" t="str">
            <v>10/31/2020 00:00:00</v>
          </cell>
          <cell r="J50">
            <v>1</v>
          </cell>
          <cell r="K50" t="str">
            <v xml:space="preserve"> </v>
          </cell>
          <cell r="L50" t="str">
            <v xml:space="preserve"> </v>
          </cell>
          <cell r="M50" t="str">
            <v>321000010231494344</v>
          </cell>
          <cell r="N50" t="str">
            <v>1220000065</v>
          </cell>
          <cell r="O50" t="str">
            <v>A-43491</v>
          </cell>
          <cell r="P50" t="str">
            <v>43287401004</v>
          </cell>
          <cell r="Q50" t="str">
            <v>SPECIFIED PUBLIC PURPOSE</v>
          </cell>
          <cell r="R50" t="str">
            <v>HT</v>
          </cell>
          <cell r="S50" t="str">
            <v>01/10/2023</v>
          </cell>
          <cell r="T50" t="str">
            <v>01/10/2023</v>
          </cell>
          <cell r="U50" t="str">
            <v>06/10/2023</v>
          </cell>
          <cell r="V50" t="str">
            <v>09/10/2023</v>
          </cell>
          <cell r="W50" t="str">
            <v>2023/09</v>
          </cell>
          <cell r="X50" t="str">
            <v>33 KV</v>
          </cell>
          <cell r="Y50" t="str">
            <v>HT</v>
          </cell>
          <cell r="Z50">
            <v>618.72</v>
          </cell>
          <cell r="AA50">
            <v>0.98960000000000004</v>
          </cell>
          <cell r="AB50">
            <v>54.43</v>
          </cell>
          <cell r="AC50" t="str">
            <v xml:space="preserve">01/09/2023 -     </v>
          </cell>
          <cell r="AD50" t="str">
            <v>30.09.2023</v>
          </cell>
          <cell r="AE50" t="str">
            <v>30/1.0000</v>
          </cell>
          <cell r="AF50">
            <v>589</v>
          </cell>
          <cell r="AG50" t="str">
            <v>KVA</v>
          </cell>
          <cell r="AH50">
            <v>589</v>
          </cell>
          <cell r="AI50" t="str">
            <v>R</v>
          </cell>
          <cell r="AJ50">
            <v>2095024.87</v>
          </cell>
          <cell r="AK50" t="str">
            <v>30/09/2023</v>
          </cell>
          <cell r="AL50" t="str">
            <v>NES82981</v>
          </cell>
          <cell r="AM50" t="str">
            <v>THREE PHASE HT CT METER-33KV</v>
          </cell>
          <cell r="AN50" t="str">
            <v>POST PAID</v>
          </cell>
          <cell r="AO50">
            <v>1250</v>
          </cell>
          <cell r="AP50" t="str">
            <v>TOD</v>
          </cell>
          <cell r="AQ50">
            <v>126632.39</v>
          </cell>
          <cell r="AR50">
            <v>0</v>
          </cell>
          <cell r="AS50">
            <v>0</v>
          </cell>
          <cell r="AT50">
            <v>0</v>
          </cell>
          <cell r="AU50">
            <v>0</v>
          </cell>
          <cell r="AV50">
            <v>0</v>
          </cell>
          <cell r="AW50">
            <v>239940</v>
          </cell>
          <cell r="AX50">
            <v>242454</v>
          </cell>
          <cell r="AY50">
            <v>242454</v>
          </cell>
          <cell r="AZ50">
            <v>4207.68</v>
          </cell>
          <cell r="BA50">
            <v>618.71999999999991</v>
          </cell>
        </row>
        <row r="51">
          <cell r="F51">
            <v>122000000081</v>
          </cell>
          <cell r="G51" t="str">
            <v>SUBHAM JYOTI AGRO P. LTD.</v>
          </cell>
          <cell r="H51" t="str">
            <v>C/O- PRADEEP KU. ACHARY</v>
          </cell>
          <cell r="I51" t="str">
            <v>10/31/2020 00:00:00</v>
          </cell>
          <cell r="J51">
            <v>1</v>
          </cell>
          <cell r="K51" t="str">
            <v xml:space="preserve"> </v>
          </cell>
          <cell r="L51" t="str">
            <v xml:space="preserve"> </v>
          </cell>
          <cell r="M51" t="str">
            <v>321000010231494117</v>
          </cell>
          <cell r="N51" t="str">
            <v>1220000066</v>
          </cell>
          <cell r="O51" t="str">
            <v>23063</v>
          </cell>
          <cell r="P51" t="str">
            <v>432123201</v>
          </cell>
          <cell r="Q51" t="str">
            <v>LARGE INDUSTRY</v>
          </cell>
          <cell r="R51" t="str">
            <v>HT</v>
          </cell>
          <cell r="S51" t="str">
            <v>01/10/2023</v>
          </cell>
          <cell r="T51" t="str">
            <v>01/10/2023</v>
          </cell>
          <cell r="U51" t="str">
            <v>06/10/2023</v>
          </cell>
          <cell r="V51" t="str">
            <v>09/10/2023</v>
          </cell>
          <cell r="W51" t="str">
            <v>2023/09</v>
          </cell>
          <cell r="X51" t="str">
            <v>11 KV</v>
          </cell>
          <cell r="Y51" t="str">
            <v>HT</v>
          </cell>
          <cell r="Z51">
            <v>160</v>
          </cell>
          <cell r="AA51">
            <v>0.96919999999999995</v>
          </cell>
          <cell r="AB51">
            <v>24.66</v>
          </cell>
          <cell r="AC51" t="str">
            <v xml:space="preserve">01/09/2023 -     </v>
          </cell>
          <cell r="AD51" t="str">
            <v>30.09.2023</v>
          </cell>
          <cell r="AE51" t="str">
            <v>30/1.0000</v>
          </cell>
          <cell r="AF51">
            <v>200</v>
          </cell>
          <cell r="AG51" t="str">
            <v>KVA</v>
          </cell>
          <cell r="AH51">
            <v>200</v>
          </cell>
          <cell r="AI51" t="str">
            <v>R</v>
          </cell>
          <cell r="AJ51">
            <v>1032273.91</v>
          </cell>
          <cell r="AK51" t="str">
            <v>30/09/2023</v>
          </cell>
          <cell r="AL51" t="str">
            <v>TPN64232</v>
          </cell>
          <cell r="AM51" t="str">
            <v>THREE PHASE STATIC TRI-VECTOR METER-TOD</v>
          </cell>
          <cell r="AN51" t="str">
            <v>POST PAID</v>
          </cell>
          <cell r="AO51">
            <v>315</v>
          </cell>
          <cell r="AP51" t="str">
            <v>TOD</v>
          </cell>
          <cell r="AQ51">
            <v>-739977.41</v>
          </cell>
          <cell r="AR51">
            <v>0</v>
          </cell>
          <cell r="AS51">
            <v>0</v>
          </cell>
          <cell r="AT51">
            <v>0</v>
          </cell>
          <cell r="AU51">
            <v>0</v>
          </cell>
          <cell r="AV51">
            <v>0</v>
          </cell>
          <cell r="AW51">
            <v>13932</v>
          </cell>
          <cell r="AX51">
            <v>14374</v>
          </cell>
          <cell r="AY51">
            <v>14374</v>
          </cell>
          <cell r="AZ51">
            <v>507.6</v>
          </cell>
          <cell r="BA51">
            <v>80.959999999999994</v>
          </cell>
        </row>
        <row r="52">
          <cell r="F52">
            <v>122000000082</v>
          </cell>
          <cell r="G52" t="str">
            <v>M/S B-ONE BUSINESS HOUSE P.LTD.</v>
          </cell>
          <cell r="H52" t="str">
            <v>BALARAMGADI,CHANDIPURBALASORE</v>
          </cell>
          <cell r="I52" t="str">
            <v>10/31/2020 00:00:00</v>
          </cell>
          <cell r="J52">
            <v>1</v>
          </cell>
          <cell r="K52" t="str">
            <v xml:space="preserve"> </v>
          </cell>
          <cell r="L52" t="str">
            <v xml:space="preserve"> </v>
          </cell>
          <cell r="M52" t="str">
            <v>321000010231494417</v>
          </cell>
          <cell r="N52" t="str">
            <v>1220000067</v>
          </cell>
          <cell r="O52" t="str">
            <v>B43648</v>
          </cell>
          <cell r="P52" t="str">
            <v>432114401</v>
          </cell>
          <cell r="Q52" t="str">
            <v>ALLIED AGRO-INDUSTRIAL ACTIVITIES</v>
          </cell>
          <cell r="R52" t="str">
            <v>HT</v>
          </cell>
          <cell r="S52" t="str">
            <v>01/10/2023</v>
          </cell>
          <cell r="T52" t="str">
            <v>01/10/2023</v>
          </cell>
          <cell r="U52" t="str">
            <v>06/10/2023</v>
          </cell>
          <cell r="V52" t="str">
            <v>09/10/2023</v>
          </cell>
          <cell r="W52" t="str">
            <v>2023/09</v>
          </cell>
          <cell r="X52" t="str">
            <v>11 KV</v>
          </cell>
          <cell r="Y52" t="str">
            <v>HT</v>
          </cell>
          <cell r="Z52">
            <v>900</v>
          </cell>
          <cell r="AA52">
            <v>0.9698</v>
          </cell>
          <cell r="AB52">
            <v>0</v>
          </cell>
          <cell r="AC52" t="str">
            <v xml:space="preserve">01/09/2023 -     </v>
          </cell>
          <cell r="AD52" t="str">
            <v>29.09.2023</v>
          </cell>
          <cell r="AE52" t="str">
            <v>29/1.0000</v>
          </cell>
          <cell r="AF52">
            <v>900</v>
          </cell>
          <cell r="AG52" t="str">
            <v>KVA</v>
          </cell>
          <cell r="AH52">
            <v>900</v>
          </cell>
          <cell r="AI52" t="str">
            <v>R</v>
          </cell>
          <cell r="AJ52">
            <v>2634480</v>
          </cell>
          <cell r="AK52" t="str">
            <v>29/09/2023</v>
          </cell>
          <cell r="AL52" t="str">
            <v>NSC95094</v>
          </cell>
          <cell r="AM52" t="str">
            <v>THREE PHASE STATIC TRI-VECTOR METER</v>
          </cell>
          <cell r="AN52" t="str">
            <v>POST PAID</v>
          </cell>
          <cell r="AO52">
            <v>750</v>
          </cell>
          <cell r="AP52" t="str">
            <v>TOD</v>
          </cell>
          <cell r="AQ52">
            <v>-897909.2</v>
          </cell>
          <cell r="AR52">
            <v>0</v>
          </cell>
          <cell r="AS52">
            <v>0</v>
          </cell>
          <cell r="AT52">
            <v>0</v>
          </cell>
          <cell r="AU52">
            <v>0</v>
          </cell>
          <cell r="AV52">
            <v>0</v>
          </cell>
          <cell r="AW52">
            <v>70780</v>
          </cell>
          <cell r="AX52">
            <v>72980</v>
          </cell>
          <cell r="AY52">
            <v>72980</v>
          </cell>
          <cell r="AZ52">
            <v>5426.8</v>
          </cell>
          <cell r="BA52">
            <v>629.19999999999993</v>
          </cell>
        </row>
        <row r="53">
          <cell r="F53">
            <v>122000000083</v>
          </cell>
          <cell r="G53" t="str">
            <v>M/S SHIV SHANKAR ICE PROCESSING</v>
          </cell>
          <cell r="H53" t="str">
            <v>SRIKONA,CHANDIPURBALASORE</v>
          </cell>
          <cell r="I53" t="str">
            <v>10/31/2020 00:00:00</v>
          </cell>
          <cell r="J53">
            <v>1</v>
          </cell>
          <cell r="K53" t="str">
            <v xml:space="preserve"> </v>
          </cell>
          <cell r="L53" t="str">
            <v xml:space="preserve"> </v>
          </cell>
          <cell r="M53" t="str">
            <v>321000010231494462</v>
          </cell>
          <cell r="N53" t="str">
            <v>1220000068</v>
          </cell>
          <cell r="O53" t="str">
            <v>B43650</v>
          </cell>
          <cell r="P53" t="str">
            <v>432114401</v>
          </cell>
          <cell r="Q53" t="str">
            <v>LARGE INDUSTRY</v>
          </cell>
          <cell r="R53" t="str">
            <v>HT</v>
          </cell>
          <cell r="S53" t="str">
            <v>01/10/2023</v>
          </cell>
          <cell r="T53" t="str">
            <v>01/10/2023</v>
          </cell>
          <cell r="U53" t="str">
            <v>06/10/2023</v>
          </cell>
          <cell r="V53" t="str">
            <v>09/10/2023</v>
          </cell>
          <cell r="W53" t="str">
            <v>2023/09</v>
          </cell>
          <cell r="X53" t="str">
            <v>11 KV</v>
          </cell>
          <cell r="Y53" t="str">
            <v>HT</v>
          </cell>
          <cell r="Z53">
            <v>320</v>
          </cell>
          <cell r="AA53">
            <v>0.99970000000000003</v>
          </cell>
          <cell r="AB53">
            <v>23.62</v>
          </cell>
          <cell r="AC53" t="str">
            <v xml:space="preserve">01/09/2023 -     </v>
          </cell>
          <cell r="AD53" t="str">
            <v>30.09.2023</v>
          </cell>
          <cell r="AE53" t="str">
            <v>30/1.0000</v>
          </cell>
          <cell r="AF53">
            <v>400</v>
          </cell>
          <cell r="AG53" t="str">
            <v>KVA</v>
          </cell>
          <cell r="AH53">
            <v>400</v>
          </cell>
          <cell r="AI53" t="str">
            <v>R</v>
          </cell>
          <cell r="AJ53">
            <v>2044384</v>
          </cell>
          <cell r="AK53" t="str">
            <v>30/09/2023</v>
          </cell>
          <cell r="AL53" t="str">
            <v>NSC94675</v>
          </cell>
          <cell r="AM53" t="str">
            <v>SINGLE PHASE ELECTRO-MAGNETIC KWH METER-TOD</v>
          </cell>
          <cell r="AN53" t="str">
            <v>POST PAID</v>
          </cell>
          <cell r="AO53">
            <v>500</v>
          </cell>
          <cell r="AP53" t="str">
            <v>TOD</v>
          </cell>
          <cell r="AQ53">
            <v>-1359884.7</v>
          </cell>
          <cell r="AR53">
            <v>0</v>
          </cell>
          <cell r="AS53">
            <v>0</v>
          </cell>
          <cell r="AT53">
            <v>0</v>
          </cell>
          <cell r="AU53">
            <v>0</v>
          </cell>
          <cell r="AV53">
            <v>0</v>
          </cell>
          <cell r="AW53">
            <v>30435</v>
          </cell>
          <cell r="AX53">
            <v>30444</v>
          </cell>
          <cell r="AY53">
            <v>30444</v>
          </cell>
          <cell r="AZ53">
            <v>1422.48</v>
          </cell>
          <cell r="BA53">
            <v>179.04</v>
          </cell>
        </row>
        <row r="54">
          <cell r="F54">
            <v>122000000084</v>
          </cell>
          <cell r="G54" t="str">
            <v>DEAN &amp; PRINCIPAL FAKIR MOHAN</v>
          </cell>
          <cell r="H54" t="str">
            <v>MEDICAL COLLEGE HOSPITAL</v>
          </cell>
          <cell r="I54" t="str">
            <v>10/31/2020 00:00:00</v>
          </cell>
          <cell r="J54">
            <v>1</v>
          </cell>
          <cell r="K54" t="str">
            <v xml:space="preserve"> </v>
          </cell>
          <cell r="L54" t="str">
            <v xml:space="preserve"> </v>
          </cell>
          <cell r="M54" t="str">
            <v>321000010231494203</v>
          </cell>
          <cell r="N54" t="str">
            <v>1220000069</v>
          </cell>
          <cell r="O54" t="str">
            <v>C43662</v>
          </cell>
          <cell r="P54" t="str">
            <v>432123202</v>
          </cell>
          <cell r="Q54" t="str">
            <v>SPECIFIED PUBLIC PURPOSE</v>
          </cell>
          <cell r="R54" t="str">
            <v>HT</v>
          </cell>
          <cell r="S54" t="str">
            <v>01/10/2023</v>
          </cell>
          <cell r="T54" t="str">
            <v>01/10/2023</v>
          </cell>
          <cell r="U54" t="str">
            <v>06/10/2023</v>
          </cell>
          <cell r="V54" t="str">
            <v>09/10/2023</v>
          </cell>
          <cell r="W54" t="str">
            <v>2023/09</v>
          </cell>
          <cell r="X54" t="str">
            <v>33 KV</v>
          </cell>
          <cell r="Y54" t="str">
            <v>HT</v>
          </cell>
          <cell r="Z54">
            <v>688</v>
          </cell>
          <cell r="AA54">
            <v>0.99839999999999995</v>
          </cell>
          <cell r="AB54">
            <v>48.17</v>
          </cell>
          <cell r="AC54" t="str">
            <v xml:space="preserve">01/09/2023 -     </v>
          </cell>
          <cell r="AD54" t="str">
            <v>30.09.2023</v>
          </cell>
          <cell r="AE54" t="str">
            <v>30/1.0000</v>
          </cell>
          <cell r="AF54">
            <v>860</v>
          </cell>
          <cell r="AG54" t="str">
            <v>KVA</v>
          </cell>
          <cell r="AH54">
            <v>860</v>
          </cell>
          <cell r="AI54" t="str">
            <v>R</v>
          </cell>
          <cell r="AJ54">
            <v>2132869</v>
          </cell>
          <cell r="AK54" t="str">
            <v>30/09/2023</v>
          </cell>
          <cell r="AL54" t="str">
            <v>TPN64039</v>
          </cell>
          <cell r="AM54" t="str">
            <v>THREE PHASE HT CT METER-33KV</v>
          </cell>
          <cell r="AN54" t="str">
            <v>POST PAID</v>
          </cell>
          <cell r="AO54">
            <v>1130</v>
          </cell>
          <cell r="AP54" t="str">
            <v>TOD</v>
          </cell>
          <cell r="AQ54">
            <v>-1118704.7</v>
          </cell>
          <cell r="AR54">
            <v>0</v>
          </cell>
          <cell r="AS54">
            <v>0</v>
          </cell>
          <cell r="AT54">
            <v>0</v>
          </cell>
          <cell r="AU54">
            <v>0</v>
          </cell>
          <cell r="AV54">
            <v>0</v>
          </cell>
          <cell r="AW54">
            <v>129978</v>
          </cell>
          <cell r="AX54">
            <v>130182</v>
          </cell>
          <cell r="AY54">
            <v>130182</v>
          </cell>
          <cell r="AZ54">
            <v>2777.28</v>
          </cell>
          <cell r="BA54">
            <v>375.36</v>
          </cell>
        </row>
        <row r="55">
          <cell r="F55">
            <v>122000000086</v>
          </cell>
          <cell r="G55" t="str">
            <v>RELIANCE CORPORATE IT PARK</v>
          </cell>
          <cell r="H55" t="str">
            <v>C/O- PRASANTA KUMAR MOHANTY</v>
          </cell>
          <cell r="I55" t="str">
            <v>10/31/2020 00:00:00</v>
          </cell>
          <cell r="J55">
            <v>1</v>
          </cell>
          <cell r="K55" t="str">
            <v xml:space="preserve"> </v>
          </cell>
          <cell r="L55" t="str">
            <v xml:space="preserve"> </v>
          </cell>
          <cell r="M55" t="str">
            <v>321000010231493931</v>
          </cell>
          <cell r="N55" t="str">
            <v>1220000072</v>
          </cell>
          <cell r="O55" t="str">
            <v>D43707</v>
          </cell>
          <cell r="P55" t="str">
            <v>432121101</v>
          </cell>
          <cell r="Q55" t="str">
            <v>GENERAL PURPOSE &gt;= 110 KVA</v>
          </cell>
          <cell r="R55" t="str">
            <v>HT</v>
          </cell>
          <cell r="S55" t="str">
            <v>01/10/2023</v>
          </cell>
          <cell r="T55" t="str">
            <v>01/10/2023</v>
          </cell>
          <cell r="U55" t="str">
            <v>06/10/2023</v>
          </cell>
          <cell r="V55" t="str">
            <v>09/10/2023</v>
          </cell>
          <cell r="W55" t="str">
            <v>2023/09</v>
          </cell>
          <cell r="X55" t="str">
            <v>11 KV</v>
          </cell>
          <cell r="Y55" t="str">
            <v>HT</v>
          </cell>
          <cell r="Z55">
            <v>112</v>
          </cell>
          <cell r="AA55">
            <v>0.99750000000000005</v>
          </cell>
          <cell r="AB55">
            <v>55.33</v>
          </cell>
          <cell r="AC55" t="str">
            <v xml:space="preserve">01/09/2023 -     </v>
          </cell>
          <cell r="AD55" t="str">
            <v>30.09.2023</v>
          </cell>
          <cell r="AE55" t="str">
            <v>30/1.0000</v>
          </cell>
          <cell r="AF55">
            <v>140</v>
          </cell>
          <cell r="AG55" t="str">
            <v>KVA</v>
          </cell>
          <cell r="AH55">
            <v>140</v>
          </cell>
          <cell r="AI55" t="str">
            <v>R</v>
          </cell>
          <cell r="AJ55">
            <v>491505</v>
          </cell>
          <cell r="AK55" t="str">
            <v>30/09/2023</v>
          </cell>
          <cell r="AL55" t="str">
            <v>NSC94884</v>
          </cell>
          <cell r="AM55" t="str">
            <v>SINGLE PHASE ELECTRO-MAGNETIC KWH METER-TOD</v>
          </cell>
          <cell r="AN55" t="str">
            <v>POST PAID</v>
          </cell>
          <cell r="AO55">
            <v>250</v>
          </cell>
          <cell r="AP55" t="str">
            <v>TOD</v>
          </cell>
          <cell r="AQ55">
            <v>79713.100000000006</v>
          </cell>
          <cell r="AR55">
            <v>0</v>
          </cell>
          <cell r="AS55">
            <v>0</v>
          </cell>
          <cell r="AT55">
            <v>0</v>
          </cell>
          <cell r="AU55">
            <v>0</v>
          </cell>
          <cell r="AV55">
            <v>0</v>
          </cell>
          <cell r="AW55">
            <v>43239</v>
          </cell>
          <cell r="AX55">
            <v>43347</v>
          </cell>
          <cell r="AY55">
            <v>43347</v>
          </cell>
          <cell r="AZ55">
            <v>868.24</v>
          </cell>
          <cell r="BA55">
            <v>108.80000000000001</v>
          </cell>
        </row>
        <row r="56">
          <cell r="F56">
            <v>122000000087</v>
          </cell>
          <cell r="G56" t="str">
            <v>M/S  HIMALAYAN ICE FACTORY</v>
          </cell>
          <cell r="H56" t="str">
            <v>BALARAMGADI,CHANDIPURBALASORE</v>
          </cell>
          <cell r="I56" t="str">
            <v>10/31/2020 00:00:00</v>
          </cell>
          <cell r="J56">
            <v>1</v>
          </cell>
          <cell r="K56" t="str">
            <v xml:space="preserve"> </v>
          </cell>
          <cell r="L56" t="str">
            <v xml:space="preserve"> </v>
          </cell>
          <cell r="M56" t="str">
            <v>321000010231494500</v>
          </cell>
          <cell r="N56" t="str">
            <v>1220000071</v>
          </cell>
          <cell r="O56" t="str">
            <v>19170</v>
          </cell>
          <cell r="P56" t="str">
            <v>432114401</v>
          </cell>
          <cell r="Q56" t="str">
            <v>LARGE INDUSTRY</v>
          </cell>
          <cell r="R56" t="str">
            <v>HT</v>
          </cell>
          <cell r="S56" t="str">
            <v>01/10/2023</v>
          </cell>
          <cell r="T56" t="str">
            <v>01/10/2023</v>
          </cell>
          <cell r="U56" t="str">
            <v>06/10/2023</v>
          </cell>
          <cell r="V56" t="str">
            <v>09/10/2023</v>
          </cell>
          <cell r="W56" t="str">
            <v>2023/09</v>
          </cell>
          <cell r="X56" t="str">
            <v>11 KV</v>
          </cell>
          <cell r="Y56" t="str">
            <v>HT</v>
          </cell>
          <cell r="Z56">
            <v>166.4</v>
          </cell>
          <cell r="AA56">
            <v>0.91490000000000005</v>
          </cell>
          <cell r="AB56">
            <v>49.04</v>
          </cell>
          <cell r="AC56" t="str">
            <v xml:space="preserve">01/09/2023 -     </v>
          </cell>
          <cell r="AD56" t="str">
            <v>30.09.2023</v>
          </cell>
          <cell r="AE56" t="str">
            <v>30/1.0000</v>
          </cell>
          <cell r="AF56">
            <v>172</v>
          </cell>
          <cell r="AG56" t="str">
            <v>KVA</v>
          </cell>
          <cell r="AH56">
            <v>172</v>
          </cell>
          <cell r="AI56" t="str">
            <v>R</v>
          </cell>
          <cell r="AJ56">
            <v>879087.78</v>
          </cell>
          <cell r="AK56" t="str">
            <v>30/09/2023</v>
          </cell>
          <cell r="AL56" t="str">
            <v>TPCANES51991</v>
          </cell>
          <cell r="AM56" t="str">
            <v>TRI-VECTOR METER FOR RAILWAY TRACTION</v>
          </cell>
          <cell r="AN56" t="str">
            <v>POST PAID</v>
          </cell>
          <cell r="AO56">
            <v>250</v>
          </cell>
          <cell r="AP56" t="str">
            <v>TOD</v>
          </cell>
          <cell r="AQ56">
            <v>-180665.52</v>
          </cell>
          <cell r="AR56">
            <v>0</v>
          </cell>
          <cell r="AS56">
            <v>0</v>
          </cell>
          <cell r="AT56">
            <v>0</v>
          </cell>
          <cell r="AU56">
            <v>0</v>
          </cell>
          <cell r="AV56">
            <v>0</v>
          </cell>
          <cell r="AW56">
            <v>53758</v>
          </cell>
          <cell r="AX56">
            <v>58754</v>
          </cell>
          <cell r="AY56">
            <v>58754</v>
          </cell>
          <cell r="AZ56">
            <v>1167.44</v>
          </cell>
          <cell r="BA56">
            <v>166.4</v>
          </cell>
        </row>
        <row r="57">
          <cell r="F57">
            <v>122000000088</v>
          </cell>
          <cell r="G57" t="str">
            <v>M/S MAGNUM SEA FOOD LTD.</v>
          </cell>
          <cell r="H57" t="str">
            <v>NUAPALAGADI,CHANDIPURBALASORE</v>
          </cell>
          <cell r="I57" t="str">
            <v>10/31/2020 00:00:00</v>
          </cell>
          <cell r="J57">
            <v>1</v>
          </cell>
          <cell r="K57" t="str">
            <v xml:space="preserve"> </v>
          </cell>
          <cell r="L57" t="str">
            <v xml:space="preserve"> </v>
          </cell>
          <cell r="M57" t="str">
            <v>321000010231494544</v>
          </cell>
          <cell r="N57" t="str">
            <v>1220000073</v>
          </cell>
          <cell r="O57" t="str">
            <v>B-43048</v>
          </cell>
          <cell r="P57" t="str">
            <v>432114401</v>
          </cell>
          <cell r="Q57" t="str">
            <v>GENERAL PURPOSE &gt;= 110 KVA</v>
          </cell>
          <cell r="R57" t="str">
            <v>HT</v>
          </cell>
          <cell r="S57" t="str">
            <v>01/10/2023</v>
          </cell>
          <cell r="T57" t="str">
            <v>01/10/2023</v>
          </cell>
          <cell r="U57" t="str">
            <v>06/10/2023</v>
          </cell>
          <cell r="V57" t="str">
            <v>09/10/2023</v>
          </cell>
          <cell r="W57" t="str">
            <v>2023/09</v>
          </cell>
          <cell r="X57" t="str">
            <v>11 KV</v>
          </cell>
          <cell r="Y57" t="str">
            <v>HT</v>
          </cell>
          <cell r="Z57">
            <v>196</v>
          </cell>
          <cell r="AA57">
            <v>0.88529999999999998</v>
          </cell>
          <cell r="AB57">
            <v>24.77</v>
          </cell>
          <cell r="AC57" t="str">
            <v xml:space="preserve">01/09/2023 -     </v>
          </cell>
          <cell r="AD57" t="str">
            <v>30.09.2023</v>
          </cell>
          <cell r="AE57" t="str">
            <v>30/1.0000</v>
          </cell>
          <cell r="AF57">
            <v>245</v>
          </cell>
          <cell r="AG57" t="str">
            <v>KVA</v>
          </cell>
          <cell r="AH57">
            <v>245</v>
          </cell>
          <cell r="AI57" t="str">
            <v>R</v>
          </cell>
          <cell r="AJ57">
            <v>607620.31999999995</v>
          </cell>
          <cell r="AK57" t="str">
            <v>30/09/2023</v>
          </cell>
          <cell r="AL57" t="str">
            <v>NSC94532</v>
          </cell>
          <cell r="AM57" t="str">
            <v>SINGLE PHASE ELECTRO-MAGNETIC KWH METER-TOD</v>
          </cell>
          <cell r="AN57" t="str">
            <v>POST PAID</v>
          </cell>
          <cell r="AO57">
            <v>315</v>
          </cell>
          <cell r="AP57" t="str">
            <v>TOD</v>
          </cell>
          <cell r="AQ57">
            <v>-383576.22</v>
          </cell>
          <cell r="AR57">
            <v>0</v>
          </cell>
          <cell r="AS57">
            <v>0</v>
          </cell>
          <cell r="AT57">
            <v>0</v>
          </cell>
          <cell r="AU57">
            <v>0</v>
          </cell>
          <cell r="AV57">
            <v>0</v>
          </cell>
          <cell r="AW57">
            <v>26523</v>
          </cell>
          <cell r="AX57">
            <v>29958</v>
          </cell>
          <cell r="AY57">
            <v>29958</v>
          </cell>
          <cell r="AZ57">
            <v>1188</v>
          </cell>
          <cell r="BA57">
            <v>168.00000000000003</v>
          </cell>
        </row>
        <row r="58">
          <cell r="F58">
            <v>122000000089</v>
          </cell>
          <cell r="G58" t="str">
            <v>SAKTIBRATA ROY</v>
          </cell>
          <cell r="H58" t="str">
            <v>AT-SRIKONA,CHANDIPURBALASORE</v>
          </cell>
          <cell r="I58" t="str">
            <v>10/31/2020 00:00:00</v>
          </cell>
          <cell r="J58">
            <v>1</v>
          </cell>
          <cell r="K58" t="str">
            <v xml:space="preserve"> </v>
          </cell>
          <cell r="L58" t="str">
            <v xml:space="preserve"> </v>
          </cell>
          <cell r="M58" t="str">
            <v>321000010231494580</v>
          </cell>
          <cell r="N58" t="str">
            <v>1220000074</v>
          </cell>
          <cell r="O58" t="str">
            <v>B43389</v>
          </cell>
          <cell r="P58" t="str">
            <v>432114401</v>
          </cell>
          <cell r="Q58" t="str">
            <v>GENERAL PURPOSE &gt;= 110 KVA</v>
          </cell>
          <cell r="R58" t="str">
            <v>HT</v>
          </cell>
          <cell r="S58" t="str">
            <v>01/10/2023</v>
          </cell>
          <cell r="T58" t="str">
            <v>01/10/2023</v>
          </cell>
          <cell r="U58" t="str">
            <v>06/10/2023</v>
          </cell>
          <cell r="V58" t="str">
            <v>09/10/2023</v>
          </cell>
          <cell r="W58" t="str">
            <v>2023/09</v>
          </cell>
          <cell r="X58" t="str">
            <v>11 KV</v>
          </cell>
          <cell r="Y58" t="str">
            <v>HT</v>
          </cell>
          <cell r="Z58">
            <v>161.12</v>
          </cell>
          <cell r="AA58">
            <v>0.8548</v>
          </cell>
          <cell r="AB58">
            <v>23.44</v>
          </cell>
          <cell r="AC58" t="str">
            <v xml:space="preserve">01/09/2023 -     </v>
          </cell>
          <cell r="AD58" t="str">
            <v>30.09.2023</v>
          </cell>
          <cell r="AE58" t="str">
            <v>30/1.0000</v>
          </cell>
          <cell r="AF58">
            <v>138</v>
          </cell>
          <cell r="AG58" t="str">
            <v>KVA</v>
          </cell>
          <cell r="AH58">
            <v>138</v>
          </cell>
          <cell r="AI58" t="str">
            <v>R</v>
          </cell>
          <cell r="AJ58">
            <v>292400</v>
          </cell>
          <cell r="AK58" t="str">
            <v>30/09/2023</v>
          </cell>
          <cell r="AL58" t="str">
            <v>TPCANES52000</v>
          </cell>
          <cell r="AM58" t="str">
            <v>TRI-VECTOR METER FOR RAILWAY TRACTION</v>
          </cell>
          <cell r="AN58" t="str">
            <v>POST PAID</v>
          </cell>
          <cell r="AO58">
            <v>250</v>
          </cell>
          <cell r="AP58" t="str">
            <v>TOD</v>
          </cell>
          <cell r="AQ58">
            <v>330727.64</v>
          </cell>
          <cell r="AR58">
            <v>0</v>
          </cell>
          <cell r="AS58">
            <v>0</v>
          </cell>
          <cell r="AT58">
            <v>0</v>
          </cell>
          <cell r="AU58">
            <v>0</v>
          </cell>
          <cell r="AV58">
            <v>0</v>
          </cell>
          <cell r="AW58">
            <v>23241</v>
          </cell>
          <cell r="AX58">
            <v>27187</v>
          </cell>
          <cell r="AY58">
            <v>27187</v>
          </cell>
          <cell r="AZ58">
            <v>1159.04</v>
          </cell>
          <cell r="BA58">
            <v>161.12</v>
          </cell>
        </row>
        <row r="59">
          <cell r="F59">
            <v>122000000090</v>
          </cell>
          <cell r="G59" t="str">
            <v>SRI SAMBIT SRAVAN BISWAL</v>
          </cell>
          <cell r="H59" t="str">
            <v>AT-SRIKONA,CHANDIPURBALASORE</v>
          </cell>
          <cell r="I59" t="str">
            <v>10/31/2020 00:00:00</v>
          </cell>
          <cell r="J59">
            <v>1</v>
          </cell>
          <cell r="K59" t="str">
            <v xml:space="preserve"> </v>
          </cell>
          <cell r="L59" t="str">
            <v xml:space="preserve"> </v>
          </cell>
          <cell r="M59" t="str">
            <v>321000010232495835</v>
          </cell>
          <cell r="N59" t="str">
            <v>1220000075</v>
          </cell>
          <cell r="O59" t="str">
            <v>B43280</v>
          </cell>
          <cell r="P59" t="str">
            <v>432114401</v>
          </cell>
          <cell r="Q59" t="str">
            <v>ALLIED AGRICULTURE ACTIVITIES</v>
          </cell>
          <cell r="R59" t="str">
            <v>HT</v>
          </cell>
          <cell r="S59" t="str">
            <v>01/10/2023</v>
          </cell>
          <cell r="T59" t="str">
            <v>01/10/2023</v>
          </cell>
          <cell r="U59" t="str">
            <v>09/10/2023</v>
          </cell>
          <cell r="V59" t="str">
            <v>09/10/2023</v>
          </cell>
          <cell r="W59" t="str">
            <v>2023/09</v>
          </cell>
          <cell r="X59" t="str">
            <v>11 KV</v>
          </cell>
          <cell r="Y59" t="str">
            <v>HT</v>
          </cell>
          <cell r="Z59">
            <v>174</v>
          </cell>
          <cell r="AA59">
            <v>0</v>
          </cell>
          <cell r="AB59">
            <v>0</v>
          </cell>
          <cell r="AC59" t="str">
            <v xml:space="preserve">01/09/2023 -     </v>
          </cell>
          <cell r="AD59" t="str">
            <v>30.09.2023</v>
          </cell>
          <cell r="AE59" t="str">
            <v>30/1.0000</v>
          </cell>
          <cell r="AF59">
            <v>174</v>
          </cell>
          <cell r="AG59" t="str">
            <v>KVA</v>
          </cell>
          <cell r="AH59">
            <v>174</v>
          </cell>
          <cell r="AI59" t="str">
            <v>R</v>
          </cell>
          <cell r="AJ59">
            <v>78094.44</v>
          </cell>
          <cell r="AK59" t="str">
            <v>30/09/2023</v>
          </cell>
          <cell r="AL59" t="str">
            <v>TPCANES52096</v>
          </cell>
          <cell r="AM59" t="str">
            <v>TRI-VECTOR METER FOR RAILWAY TRACTION</v>
          </cell>
          <cell r="AN59" t="str">
            <v>POST PAID</v>
          </cell>
          <cell r="AO59">
            <v>200</v>
          </cell>
          <cell r="AP59" t="str">
            <v>TOD</v>
          </cell>
          <cell r="AQ59">
            <v>13055.96</v>
          </cell>
          <cell r="AR59">
            <v>0</v>
          </cell>
          <cell r="AS59">
            <v>0</v>
          </cell>
          <cell r="AT59">
            <v>0</v>
          </cell>
          <cell r="AU59">
            <v>0</v>
          </cell>
          <cell r="AV59">
            <v>0</v>
          </cell>
          <cell r="AW59">
            <v>0</v>
          </cell>
          <cell r="AX59">
            <v>0</v>
          </cell>
          <cell r="AY59">
            <v>0</v>
          </cell>
          <cell r="AZ59">
            <v>0</v>
          </cell>
          <cell r="BA59">
            <v>0</v>
          </cell>
        </row>
        <row r="60">
          <cell r="F60">
            <v>122000000091</v>
          </cell>
          <cell r="G60" t="str">
            <v>FALCON MARINE EXPORT LTD.</v>
          </cell>
          <cell r="H60" t="str">
            <v>NAUPALGADI,SRIKONA , CHANDIPURBALASORE</v>
          </cell>
          <cell r="I60" t="str">
            <v>10/31/2020 00:00:00</v>
          </cell>
          <cell r="J60">
            <v>1</v>
          </cell>
          <cell r="K60" t="str">
            <v xml:space="preserve"> </v>
          </cell>
          <cell r="L60" t="str">
            <v xml:space="preserve"> </v>
          </cell>
          <cell r="M60" t="str">
            <v>321000010231494614</v>
          </cell>
          <cell r="N60" t="str">
            <v>1220000076</v>
          </cell>
          <cell r="O60" t="str">
            <v xml:space="preserve"> </v>
          </cell>
          <cell r="P60" t="str">
            <v>432114401</v>
          </cell>
          <cell r="Q60" t="str">
            <v>LARGE INDUSTRY</v>
          </cell>
          <cell r="R60" t="str">
            <v>HT</v>
          </cell>
          <cell r="S60" t="str">
            <v>01/10/2023</v>
          </cell>
          <cell r="T60" t="str">
            <v>01/10/2023</v>
          </cell>
          <cell r="U60" t="str">
            <v>06/10/2023</v>
          </cell>
          <cell r="V60" t="str">
            <v>09/10/2023</v>
          </cell>
          <cell r="W60" t="str">
            <v>2023/09</v>
          </cell>
          <cell r="X60" t="str">
            <v>11 KV</v>
          </cell>
          <cell r="Y60" t="str">
            <v>HT</v>
          </cell>
          <cell r="Z60">
            <v>578.4</v>
          </cell>
          <cell r="AA60">
            <v>0.92830000000000001</v>
          </cell>
          <cell r="AB60">
            <v>46.3</v>
          </cell>
          <cell r="AC60" t="str">
            <v xml:space="preserve">01/09/2023 -     </v>
          </cell>
          <cell r="AD60" t="str">
            <v>30.09.2023</v>
          </cell>
          <cell r="AE60" t="str">
            <v>30/1.0000</v>
          </cell>
          <cell r="AF60">
            <v>723</v>
          </cell>
          <cell r="AG60" t="str">
            <v>KVA</v>
          </cell>
          <cell r="AH60">
            <v>723</v>
          </cell>
          <cell r="AI60" t="str">
            <v>R</v>
          </cell>
          <cell r="AJ60">
            <v>4438063</v>
          </cell>
          <cell r="AK60" t="str">
            <v>30/09/2023</v>
          </cell>
          <cell r="AL60" t="str">
            <v>NSC94849</v>
          </cell>
          <cell r="AM60" t="str">
            <v>SINGLE PHASE ELECTRO-MAGNETIC KWH METER-TOD</v>
          </cell>
          <cell r="AN60" t="str">
            <v>POST PAID</v>
          </cell>
          <cell r="AO60">
            <v>1000</v>
          </cell>
          <cell r="AP60" t="str">
            <v>TOD</v>
          </cell>
          <cell r="AQ60">
            <v>-773578.1</v>
          </cell>
          <cell r="AR60">
            <v>0</v>
          </cell>
          <cell r="AS60">
            <v>0</v>
          </cell>
          <cell r="AT60">
            <v>0</v>
          </cell>
          <cell r="AU60">
            <v>0</v>
          </cell>
          <cell r="AV60">
            <v>0</v>
          </cell>
          <cell r="AW60">
            <v>109670</v>
          </cell>
          <cell r="AX60">
            <v>118140</v>
          </cell>
          <cell r="AY60">
            <v>118140</v>
          </cell>
          <cell r="AZ60">
            <v>2374.4</v>
          </cell>
          <cell r="BA60">
            <v>354.4</v>
          </cell>
        </row>
        <row r="61">
          <cell r="F61">
            <v>122000000092</v>
          </cell>
          <cell r="G61" t="str">
            <v>LAXMI NARAYAN MOHANTY</v>
          </cell>
          <cell r="H61" t="str">
            <v>VISHAL MEGA MART,AT-FM GOLEIBALASORE</v>
          </cell>
          <cell r="I61" t="str">
            <v>10/31/2020 00:00:00</v>
          </cell>
          <cell r="J61">
            <v>1</v>
          </cell>
          <cell r="K61" t="str">
            <v xml:space="preserve"> </v>
          </cell>
          <cell r="L61" t="str">
            <v xml:space="preserve"> </v>
          </cell>
          <cell r="M61" t="str">
            <v>321000010231494908</v>
          </cell>
          <cell r="N61" t="str">
            <v>1220000077</v>
          </cell>
          <cell r="O61" t="str">
            <v>D43788</v>
          </cell>
          <cell r="P61" t="str">
            <v>432121101</v>
          </cell>
          <cell r="Q61" t="str">
            <v>GENERAL PURPOSE &gt;= 110 KVA</v>
          </cell>
          <cell r="R61" t="str">
            <v>HT</v>
          </cell>
          <cell r="S61" t="str">
            <v>01/10/2023</v>
          </cell>
          <cell r="T61" t="str">
            <v>01/10/2023</v>
          </cell>
          <cell r="U61" t="str">
            <v>06/10/2023</v>
          </cell>
          <cell r="V61" t="str">
            <v>09/10/2023</v>
          </cell>
          <cell r="W61" t="str">
            <v>2023/09</v>
          </cell>
          <cell r="X61" t="str">
            <v>11 KV</v>
          </cell>
          <cell r="Y61" t="str">
            <v>HT</v>
          </cell>
          <cell r="Z61">
            <v>152</v>
          </cell>
          <cell r="AA61">
            <v>0.97499999999999998</v>
          </cell>
          <cell r="AB61">
            <v>26.94</v>
          </cell>
          <cell r="AC61" t="str">
            <v xml:space="preserve">01/09/2023 -     </v>
          </cell>
          <cell r="AD61" t="str">
            <v>30.09.2023</v>
          </cell>
          <cell r="AE61" t="str">
            <v>30/1.0000</v>
          </cell>
          <cell r="AF61">
            <v>190</v>
          </cell>
          <cell r="AG61" t="str">
            <v>KVA</v>
          </cell>
          <cell r="AH61">
            <v>190</v>
          </cell>
          <cell r="AI61" t="str">
            <v>R</v>
          </cell>
          <cell r="AJ61">
            <v>971133</v>
          </cell>
          <cell r="AK61" t="str">
            <v>30/09/2023</v>
          </cell>
          <cell r="AL61" t="str">
            <v>NSC94833</v>
          </cell>
          <cell r="AM61" t="str">
            <v>SINGLE PHASE ELECTRO-MAGNETIC KWH METER-TOD</v>
          </cell>
          <cell r="AN61" t="str">
            <v>POST PAID</v>
          </cell>
          <cell r="AO61">
            <v>250</v>
          </cell>
          <cell r="AP61" t="str">
            <v>TOD</v>
          </cell>
          <cell r="AQ61">
            <v>-798011.3</v>
          </cell>
          <cell r="AR61">
            <v>0</v>
          </cell>
          <cell r="AS61">
            <v>0</v>
          </cell>
          <cell r="AT61">
            <v>0</v>
          </cell>
          <cell r="AU61">
            <v>0</v>
          </cell>
          <cell r="AV61">
            <v>0</v>
          </cell>
          <cell r="AW61">
            <v>15249</v>
          </cell>
          <cell r="AX61">
            <v>15639</v>
          </cell>
          <cell r="AY61">
            <v>15639</v>
          </cell>
          <cell r="AZ61">
            <v>733.44</v>
          </cell>
          <cell r="BA61">
            <v>80.64</v>
          </cell>
        </row>
        <row r="62">
          <cell r="F62">
            <v>122000000093</v>
          </cell>
          <cell r="G62" t="str">
            <v>M/S ASSOCIATED PLASTIC P. LTD.</v>
          </cell>
          <cell r="H62" t="str">
            <v>GANESWARPUR INDUSTRIAL ESTATE</v>
          </cell>
          <cell r="I62" t="str">
            <v>12/04/2020 00:00:00</v>
          </cell>
          <cell r="J62">
            <v>1</v>
          </cell>
          <cell r="K62" t="str">
            <v xml:space="preserve"> </v>
          </cell>
          <cell r="L62" t="str">
            <v xml:space="preserve"> </v>
          </cell>
          <cell r="M62" t="str">
            <v>321000010231492668</v>
          </cell>
          <cell r="N62" t="str">
            <v>1220000078</v>
          </cell>
          <cell r="O62" t="str">
            <v>12246</v>
          </cell>
          <cell r="P62" t="str">
            <v>432123201</v>
          </cell>
          <cell r="Q62" t="str">
            <v>LARGE INDUSTRY</v>
          </cell>
          <cell r="R62" t="str">
            <v>HT</v>
          </cell>
          <cell r="S62" t="str">
            <v>01/10/2023</v>
          </cell>
          <cell r="T62" t="str">
            <v>01/10/2023</v>
          </cell>
          <cell r="U62" t="str">
            <v>06/10/2023</v>
          </cell>
          <cell r="V62" t="str">
            <v>09/10/2023</v>
          </cell>
          <cell r="W62" t="str">
            <v>2023/09</v>
          </cell>
          <cell r="X62" t="str">
            <v>11 KV</v>
          </cell>
          <cell r="Y62" t="str">
            <v>HT</v>
          </cell>
          <cell r="Z62">
            <v>227.68</v>
          </cell>
          <cell r="AA62">
            <v>0.92120000000000002</v>
          </cell>
          <cell r="AB62">
            <v>55.85</v>
          </cell>
          <cell r="AC62" t="str">
            <v xml:space="preserve">01/09/2023 -     </v>
          </cell>
          <cell r="AD62" t="str">
            <v>30.09.2023</v>
          </cell>
          <cell r="AE62" t="str">
            <v>30/1.0000</v>
          </cell>
          <cell r="AF62">
            <v>250</v>
          </cell>
          <cell r="AG62" t="str">
            <v>KVA</v>
          </cell>
          <cell r="AH62">
            <v>250</v>
          </cell>
          <cell r="AI62" t="str">
            <v>R</v>
          </cell>
          <cell r="AJ62">
            <v>1323100.17</v>
          </cell>
          <cell r="AK62" t="str">
            <v>30/09/2023</v>
          </cell>
          <cell r="AL62" t="str">
            <v>NSC94452</v>
          </cell>
          <cell r="AM62" t="str">
            <v>LT SINGLE PHASE AMR/AMI COMPLIANT METER-TOD</v>
          </cell>
          <cell r="AN62" t="str">
            <v>POST PAID</v>
          </cell>
          <cell r="AO62">
            <v>500</v>
          </cell>
          <cell r="AP62" t="str">
            <v>TOD</v>
          </cell>
          <cell r="AQ62">
            <v>-274780.07</v>
          </cell>
          <cell r="AR62">
            <v>0</v>
          </cell>
          <cell r="AS62">
            <v>0</v>
          </cell>
          <cell r="AT62">
            <v>0</v>
          </cell>
          <cell r="AU62">
            <v>0</v>
          </cell>
          <cell r="AV62">
            <v>0</v>
          </cell>
          <cell r="AW62">
            <v>84338</v>
          </cell>
          <cell r="AX62">
            <v>91550</v>
          </cell>
          <cell r="AY62">
            <v>91550</v>
          </cell>
          <cell r="AZ62">
            <v>1851.2</v>
          </cell>
          <cell r="BA62">
            <v>227.68</v>
          </cell>
        </row>
        <row r="63">
          <cell r="F63">
            <v>122000000094</v>
          </cell>
          <cell r="G63" t="str">
            <v>SANJAY KUMAR MISHRA</v>
          </cell>
          <cell r="H63" t="str">
            <v>BAGBRUNDABAN,CHIDIAPOLBALASORE</v>
          </cell>
          <cell r="I63" t="str">
            <v>01/07/2021 00:00:00</v>
          </cell>
          <cell r="J63">
            <v>1</v>
          </cell>
          <cell r="K63" t="str">
            <v xml:space="preserve"> </v>
          </cell>
          <cell r="L63" t="str">
            <v xml:space="preserve"> </v>
          </cell>
          <cell r="M63" t="str">
            <v>321000010231494200</v>
          </cell>
          <cell r="N63" t="str">
            <v>1220000079</v>
          </cell>
          <cell r="O63" t="str">
            <v>A43813</v>
          </cell>
          <cell r="P63" t="str">
            <v>432111503</v>
          </cell>
          <cell r="Q63" t="str">
            <v>GENERAL PURPOSE &gt;= 110 KVA</v>
          </cell>
          <cell r="R63" t="str">
            <v>HT</v>
          </cell>
          <cell r="S63" t="str">
            <v>01/10/2023</v>
          </cell>
          <cell r="T63" t="str">
            <v>01/10/2023</v>
          </cell>
          <cell r="U63" t="str">
            <v>06/10/2023</v>
          </cell>
          <cell r="V63" t="str">
            <v>09/10/2023</v>
          </cell>
          <cell r="W63" t="str">
            <v>2023/09</v>
          </cell>
          <cell r="X63" t="str">
            <v>11 KV</v>
          </cell>
          <cell r="Y63" t="str">
            <v>HT</v>
          </cell>
          <cell r="Z63">
            <v>178.4</v>
          </cell>
          <cell r="AA63">
            <v>0.94520000000000004</v>
          </cell>
          <cell r="AB63">
            <v>28.88</v>
          </cell>
          <cell r="AC63" t="str">
            <v xml:space="preserve">01/09/2023 -     </v>
          </cell>
          <cell r="AD63" t="str">
            <v>30.09.2023</v>
          </cell>
          <cell r="AE63" t="str">
            <v>30/1.0000</v>
          </cell>
          <cell r="AF63">
            <v>223</v>
          </cell>
          <cell r="AG63" t="str">
            <v>KVA</v>
          </cell>
          <cell r="AH63">
            <v>223</v>
          </cell>
          <cell r="AI63" t="str">
            <v>R</v>
          </cell>
          <cell r="AJ63">
            <v>570399</v>
          </cell>
          <cell r="AK63" t="str">
            <v>30/09/2023</v>
          </cell>
          <cell r="AL63" t="str">
            <v>NSC95009</v>
          </cell>
          <cell r="AM63" t="str">
            <v>LT SINGLE PHASE AMR/AMI COMPLIANT METER-TOD</v>
          </cell>
          <cell r="AN63" t="str">
            <v>POST PAID</v>
          </cell>
          <cell r="AO63">
            <v>250</v>
          </cell>
          <cell r="AP63" t="str">
            <v>TOD</v>
          </cell>
          <cell r="AQ63">
            <v>-303066.5</v>
          </cell>
          <cell r="AR63">
            <v>0</v>
          </cell>
          <cell r="AS63">
            <v>0</v>
          </cell>
          <cell r="AT63">
            <v>0</v>
          </cell>
          <cell r="AU63">
            <v>0</v>
          </cell>
          <cell r="AV63">
            <v>0</v>
          </cell>
          <cell r="AW63">
            <v>24652</v>
          </cell>
          <cell r="AX63">
            <v>26080</v>
          </cell>
          <cell r="AY63">
            <v>26080</v>
          </cell>
          <cell r="AZ63">
            <v>874.72</v>
          </cell>
          <cell r="BA63">
            <v>125.44</v>
          </cell>
        </row>
        <row r="64">
          <cell r="F64">
            <v>122000000095</v>
          </cell>
          <cell r="G64" t="str">
            <v>REGISTRAR CIVIL COURT,BALASORE</v>
          </cell>
          <cell r="H64" t="str">
            <v>AT- FM GOLEI</v>
          </cell>
          <cell r="I64" t="str">
            <v>04/08/2021 00:00:00</v>
          </cell>
          <cell r="J64">
            <v>1</v>
          </cell>
          <cell r="K64" t="str">
            <v xml:space="preserve"> </v>
          </cell>
          <cell r="L64" t="str">
            <v>BALASORE</v>
          </cell>
          <cell r="M64" t="str">
            <v>321000010231492580</v>
          </cell>
          <cell r="N64" t="str">
            <v>132100000006</v>
          </cell>
          <cell r="O64" t="str">
            <v>D-34613</v>
          </cell>
          <cell r="P64" t="str">
            <v>432123204</v>
          </cell>
          <cell r="Q64" t="str">
            <v>GENERAL PURPOSE &gt;= 110 KVA</v>
          </cell>
          <cell r="R64" t="str">
            <v>HT</v>
          </cell>
          <cell r="S64" t="str">
            <v>01/10/2023</v>
          </cell>
          <cell r="T64" t="str">
            <v>01/10/2023</v>
          </cell>
          <cell r="U64" t="str">
            <v>06/10/2023</v>
          </cell>
          <cell r="V64" t="str">
            <v>09/10/2023</v>
          </cell>
          <cell r="W64" t="str">
            <v>2023/09</v>
          </cell>
          <cell r="X64" t="str">
            <v>11 KV</v>
          </cell>
          <cell r="Y64" t="str">
            <v>HT</v>
          </cell>
          <cell r="Z64">
            <v>253.6</v>
          </cell>
          <cell r="AA64">
            <v>0.99750000000000005</v>
          </cell>
          <cell r="AB64">
            <v>21.68</v>
          </cell>
          <cell r="AC64" t="str">
            <v xml:space="preserve">01/09/2023 -     </v>
          </cell>
          <cell r="AD64" t="str">
            <v>30.09.2023</v>
          </cell>
          <cell r="AE64" t="str">
            <v>30/1.0000</v>
          </cell>
          <cell r="AF64">
            <v>317</v>
          </cell>
          <cell r="AG64" t="str">
            <v>KVA</v>
          </cell>
          <cell r="AH64">
            <v>317</v>
          </cell>
          <cell r="AI64" t="str">
            <v>R</v>
          </cell>
          <cell r="AJ64">
            <v>898397</v>
          </cell>
          <cell r="AK64" t="str">
            <v>30/09/2023</v>
          </cell>
          <cell r="AL64" t="str">
            <v>NSC95031</v>
          </cell>
          <cell r="AM64" t="str">
            <v>HT THREE PHASE 3 WIRE AMR/AMI COMPLIANT METER</v>
          </cell>
          <cell r="AN64" t="str">
            <v>POST PAID</v>
          </cell>
          <cell r="AO64">
            <v>250</v>
          </cell>
          <cell r="AP64" t="str">
            <v>TOD</v>
          </cell>
          <cell r="AQ64">
            <v>-665676.9</v>
          </cell>
          <cell r="AR64">
            <v>0</v>
          </cell>
          <cell r="AS64">
            <v>0</v>
          </cell>
          <cell r="AT64">
            <v>0</v>
          </cell>
          <cell r="AU64">
            <v>0</v>
          </cell>
          <cell r="AV64">
            <v>0</v>
          </cell>
          <cell r="AW64">
            <v>25149</v>
          </cell>
          <cell r="AX64">
            <v>25212</v>
          </cell>
          <cell r="AY64">
            <v>25212</v>
          </cell>
          <cell r="AZ64">
            <v>943.44</v>
          </cell>
          <cell r="BA64">
            <v>161.52000000000001</v>
          </cell>
        </row>
        <row r="65">
          <cell r="F65">
            <v>122000000096</v>
          </cell>
          <cell r="G65" t="str">
            <v>THE SATELITE CENTER, AIIMS</v>
          </cell>
          <cell r="H65" t="str">
            <v>AT-GANESWARPUR</v>
          </cell>
          <cell r="I65" t="str">
            <v>01/01/2022 00:00:00</v>
          </cell>
          <cell r="J65">
            <v>1</v>
          </cell>
          <cell r="K65" t="str">
            <v>AT-GANESWARPUR</v>
          </cell>
          <cell r="L65" t="str">
            <v>BALASORE</v>
          </cell>
          <cell r="M65" t="str">
            <v>321000010231492607</v>
          </cell>
          <cell r="N65" t="str">
            <v>132200010112</v>
          </cell>
          <cell r="O65" t="str">
            <v>C43952</v>
          </cell>
          <cell r="P65" t="str">
            <v>432123206</v>
          </cell>
          <cell r="Q65" t="str">
            <v>SPECIFIED PUBLIC PURPOSE</v>
          </cell>
          <cell r="R65" t="str">
            <v>HT</v>
          </cell>
          <cell r="S65" t="str">
            <v>01/10/2023</v>
          </cell>
          <cell r="T65" t="str">
            <v>01/10/2023</v>
          </cell>
          <cell r="U65" t="str">
            <v>06/10/2023</v>
          </cell>
          <cell r="V65" t="str">
            <v>09/10/2023</v>
          </cell>
          <cell r="W65" t="str">
            <v>2023/09</v>
          </cell>
          <cell r="X65" t="str">
            <v>11 KV</v>
          </cell>
          <cell r="Y65" t="str">
            <v>HT</v>
          </cell>
          <cell r="Z65">
            <v>324.8</v>
          </cell>
          <cell r="AA65">
            <v>0.999</v>
          </cell>
          <cell r="AB65">
            <v>31.99</v>
          </cell>
          <cell r="AC65" t="str">
            <v xml:space="preserve">01/09/2023 -     </v>
          </cell>
          <cell r="AD65" t="str">
            <v>30.09.2023</v>
          </cell>
          <cell r="AE65" t="str">
            <v>30/1.0000</v>
          </cell>
          <cell r="AF65">
            <v>406</v>
          </cell>
          <cell r="AG65" t="str">
            <v>KVA</v>
          </cell>
          <cell r="AH65">
            <v>406</v>
          </cell>
          <cell r="AI65" t="str">
            <v>R</v>
          </cell>
          <cell r="AJ65">
            <v>1188443</v>
          </cell>
          <cell r="AK65" t="str">
            <v>30/09/2023</v>
          </cell>
          <cell r="AL65" t="str">
            <v>TPN64251</v>
          </cell>
          <cell r="AM65" t="str">
            <v>THREE PHASE STATIC TRI-VECTOR METER-TOD</v>
          </cell>
          <cell r="AN65" t="str">
            <v>POST PAID</v>
          </cell>
          <cell r="AO65">
            <v>500</v>
          </cell>
          <cell r="AP65" t="str">
            <v>TOD</v>
          </cell>
          <cell r="AQ65">
            <v>-999858.4</v>
          </cell>
          <cell r="AR65">
            <v>0</v>
          </cell>
          <cell r="AS65">
            <v>0</v>
          </cell>
          <cell r="AT65">
            <v>0</v>
          </cell>
          <cell r="AU65">
            <v>0</v>
          </cell>
          <cell r="AV65">
            <v>0</v>
          </cell>
          <cell r="AW65">
            <v>12759</v>
          </cell>
          <cell r="AX65">
            <v>12771</v>
          </cell>
          <cell r="AY65">
            <v>12771</v>
          </cell>
          <cell r="AZ65">
            <v>483.84</v>
          </cell>
          <cell r="BA65">
            <v>55.44</v>
          </cell>
        </row>
        <row r="66">
          <cell r="F66">
            <v>122000000097</v>
          </cell>
          <cell r="G66" t="str">
            <v>SRI YOGESH SHAH</v>
          </cell>
          <cell r="H66" t="str">
            <v>AT-BAGBRUNDABAN</v>
          </cell>
          <cell r="I66" t="str">
            <v>02/23/2022 00:00:00</v>
          </cell>
          <cell r="J66">
            <v>1</v>
          </cell>
          <cell r="K66" t="str">
            <v>HOSPITAL ROAD</v>
          </cell>
          <cell r="L66" t="str">
            <v>BALASORE</v>
          </cell>
          <cell r="M66" t="str">
            <v>321000010231494141</v>
          </cell>
          <cell r="N66" t="str">
            <v>132200038261</v>
          </cell>
          <cell r="O66" t="str">
            <v>A43985</v>
          </cell>
          <cell r="P66" t="str">
            <v>432121102</v>
          </cell>
          <cell r="Q66" t="str">
            <v>GENERAL PURPOSE &gt;= 110 KVA</v>
          </cell>
          <cell r="R66" t="str">
            <v>HT</v>
          </cell>
          <cell r="S66" t="str">
            <v>01/10/2023</v>
          </cell>
          <cell r="T66" t="str">
            <v>01/10/2023</v>
          </cell>
          <cell r="U66" t="str">
            <v>06/10/2023</v>
          </cell>
          <cell r="V66" t="str">
            <v>09/10/2023</v>
          </cell>
          <cell r="W66" t="str">
            <v>2023/09</v>
          </cell>
          <cell r="X66" t="str">
            <v>11 KV</v>
          </cell>
          <cell r="Y66" t="str">
            <v>HT</v>
          </cell>
          <cell r="Z66">
            <v>266.39999999999998</v>
          </cell>
          <cell r="AA66">
            <v>0.99760000000000004</v>
          </cell>
          <cell r="AB66">
            <v>35.700000000000003</v>
          </cell>
          <cell r="AC66" t="str">
            <v xml:space="preserve">01/09/2023 -     </v>
          </cell>
          <cell r="AD66" t="str">
            <v>30.09.2023</v>
          </cell>
          <cell r="AE66" t="str">
            <v>30/1.0000</v>
          </cell>
          <cell r="AF66">
            <v>333</v>
          </cell>
          <cell r="AG66" t="str">
            <v>KVA</v>
          </cell>
          <cell r="AH66">
            <v>333</v>
          </cell>
          <cell r="AI66" t="str">
            <v>R</v>
          </cell>
          <cell r="AJ66">
            <v>923902</v>
          </cell>
          <cell r="AK66" t="str">
            <v>30/09/2023</v>
          </cell>
          <cell r="AL66" t="str">
            <v>TPSENES50929</v>
          </cell>
          <cell r="AM66" t="str">
            <v>HT THREE PHASE 4 WIRE AMR/AMI COMPLAINT METER</v>
          </cell>
          <cell r="AN66" t="str">
            <v>POST PAID</v>
          </cell>
          <cell r="AO66">
            <v>500</v>
          </cell>
          <cell r="AP66" t="str">
            <v>TOD</v>
          </cell>
          <cell r="AQ66">
            <v>-598857.1</v>
          </cell>
          <cell r="AR66">
            <v>0</v>
          </cell>
          <cell r="AS66">
            <v>0</v>
          </cell>
          <cell r="AT66">
            <v>0</v>
          </cell>
          <cell r="AU66">
            <v>0</v>
          </cell>
          <cell r="AV66">
            <v>0</v>
          </cell>
          <cell r="AW66">
            <v>35490</v>
          </cell>
          <cell r="AX66">
            <v>35572</v>
          </cell>
          <cell r="AY66">
            <v>35572</v>
          </cell>
          <cell r="AZ66">
            <v>1033.76</v>
          </cell>
          <cell r="BA66">
            <v>138.39999999999998</v>
          </cell>
        </row>
        <row r="67">
          <cell r="F67">
            <v>122000000098</v>
          </cell>
          <cell r="G67" t="str">
            <v>SRI LAXMINARAYAN KAR</v>
          </cell>
          <cell r="H67" t="str">
            <v>AT-GUDUGAON</v>
          </cell>
          <cell r="I67" t="str">
            <v>03/30/2022 00:00:00</v>
          </cell>
          <cell r="J67">
            <v>1</v>
          </cell>
          <cell r="K67" t="str">
            <v>CHANDIPUR</v>
          </cell>
          <cell r="L67" t="str">
            <v>BALASORE</v>
          </cell>
          <cell r="M67" t="str">
            <v>321000010231492781</v>
          </cell>
          <cell r="N67" t="str">
            <v>132200049895</v>
          </cell>
          <cell r="O67" t="str">
            <v>B43996</v>
          </cell>
          <cell r="P67" t="str">
            <v>432114403</v>
          </cell>
          <cell r="Q67" t="str">
            <v>ALLIED AGRICULTURE ACTIVITIES</v>
          </cell>
          <cell r="R67" t="str">
            <v>HT</v>
          </cell>
          <cell r="S67" t="str">
            <v>01/10/2023</v>
          </cell>
          <cell r="T67" t="str">
            <v>01/10/2023</v>
          </cell>
          <cell r="U67" t="str">
            <v>09/10/2023</v>
          </cell>
          <cell r="V67" t="str">
            <v>09/10/2023</v>
          </cell>
          <cell r="W67" t="str">
            <v>2023/09</v>
          </cell>
          <cell r="X67" t="str">
            <v>11 KV</v>
          </cell>
          <cell r="Y67" t="str">
            <v>HT</v>
          </cell>
          <cell r="Z67">
            <v>178</v>
          </cell>
          <cell r="AA67">
            <v>0.67800000000000005</v>
          </cell>
          <cell r="AB67">
            <v>0</v>
          </cell>
          <cell r="AC67" t="str">
            <v xml:space="preserve">01/09/2023 -     </v>
          </cell>
          <cell r="AD67" t="str">
            <v>30.09.2023</v>
          </cell>
          <cell r="AE67" t="str">
            <v>30/1.0000</v>
          </cell>
          <cell r="AF67">
            <v>178</v>
          </cell>
          <cell r="AG67" t="str">
            <v>KVA</v>
          </cell>
          <cell r="AH67">
            <v>178</v>
          </cell>
          <cell r="AI67" t="str">
            <v>R</v>
          </cell>
          <cell r="AJ67">
            <v>494358</v>
          </cell>
          <cell r="AK67" t="str">
            <v>30/09/2023</v>
          </cell>
          <cell r="AL67" t="str">
            <v>TPN64744</v>
          </cell>
          <cell r="AM67" t="str">
            <v>HT THREE PHASE 4 WIRE AMR/AMI COMPLAINT METER</v>
          </cell>
          <cell r="AN67" t="str">
            <v>POST PAID</v>
          </cell>
          <cell r="AO67">
            <v>200</v>
          </cell>
          <cell r="AP67" t="str">
            <v>TOD</v>
          </cell>
          <cell r="AQ67">
            <v>-421052</v>
          </cell>
          <cell r="AR67">
            <v>0</v>
          </cell>
          <cell r="AS67">
            <v>0</v>
          </cell>
          <cell r="AT67">
            <v>0</v>
          </cell>
          <cell r="AU67">
            <v>0</v>
          </cell>
          <cell r="AV67">
            <v>0</v>
          </cell>
          <cell r="AW67">
            <v>8796</v>
          </cell>
          <cell r="AX67">
            <v>12972</v>
          </cell>
          <cell r="AY67">
            <v>12972</v>
          </cell>
          <cell r="AZ67">
            <v>510.24</v>
          </cell>
          <cell r="BA67">
            <v>62.56</v>
          </cell>
        </row>
        <row r="68">
          <cell r="F68">
            <v>122000000099</v>
          </cell>
          <cell r="G68" t="str">
            <v>The Commandant 03BN NDRF</v>
          </cell>
          <cell r="H68" t="str">
            <v xml:space="preserve"> </v>
          </cell>
          <cell r="I68" t="str">
            <v>06/30/2022 00:00:00</v>
          </cell>
          <cell r="J68">
            <v>1</v>
          </cell>
          <cell r="K68" t="str">
            <v>CHANDIPUR</v>
          </cell>
          <cell r="L68" t="str">
            <v>BALASORE</v>
          </cell>
          <cell r="M68" t="str">
            <v>321000010231492821</v>
          </cell>
          <cell r="N68" t="str">
            <v>132200077979</v>
          </cell>
          <cell r="O68" t="str">
            <v xml:space="preserve"> </v>
          </cell>
          <cell r="P68" t="str">
            <v>432114402</v>
          </cell>
          <cell r="Q68" t="str">
            <v>GENERAL PURPOSE &gt;= 110 KVA</v>
          </cell>
          <cell r="R68" t="str">
            <v>HT</v>
          </cell>
          <cell r="S68" t="str">
            <v>01/10/2023</v>
          </cell>
          <cell r="T68" t="str">
            <v>01/10/2023</v>
          </cell>
          <cell r="U68" t="str">
            <v>06/10/2023</v>
          </cell>
          <cell r="V68" t="str">
            <v>09/10/2023</v>
          </cell>
          <cell r="W68" t="str">
            <v>2023/09</v>
          </cell>
          <cell r="X68" t="str">
            <v>11 KV</v>
          </cell>
          <cell r="Y68" t="str">
            <v>HT</v>
          </cell>
          <cell r="Z68">
            <v>92</v>
          </cell>
          <cell r="AA68">
            <v>0.98929999999999996</v>
          </cell>
          <cell r="AB68">
            <v>39.700000000000003</v>
          </cell>
          <cell r="AC68" t="str">
            <v xml:space="preserve">01/09/2023 -     </v>
          </cell>
          <cell r="AD68" t="str">
            <v>30.09.2023</v>
          </cell>
          <cell r="AE68" t="str">
            <v>30/1.0000</v>
          </cell>
          <cell r="AF68">
            <v>115</v>
          </cell>
          <cell r="AG68" t="str">
            <v>KVA</v>
          </cell>
          <cell r="AH68">
            <v>115</v>
          </cell>
          <cell r="AI68" t="str">
            <v>R</v>
          </cell>
          <cell r="AJ68">
            <v>319566</v>
          </cell>
          <cell r="AK68" t="str">
            <v>30/09/2023</v>
          </cell>
          <cell r="AL68" t="str">
            <v>TPN64248</v>
          </cell>
          <cell r="AM68" t="str">
            <v>HT THREE PHASE 4 WIRE AMR/AMI COMPLAINT METER</v>
          </cell>
          <cell r="AN68" t="str">
            <v>POST PAID</v>
          </cell>
          <cell r="AO68">
            <v>160</v>
          </cell>
          <cell r="AP68" t="str">
            <v>TOD</v>
          </cell>
          <cell r="AQ68">
            <v>0</v>
          </cell>
          <cell r="AR68">
            <v>0</v>
          </cell>
          <cell r="AS68">
            <v>0</v>
          </cell>
          <cell r="AT68">
            <v>0</v>
          </cell>
          <cell r="AU68">
            <v>0</v>
          </cell>
          <cell r="AV68">
            <v>0</v>
          </cell>
          <cell r="AW68">
            <v>3054</v>
          </cell>
          <cell r="AX68">
            <v>3087</v>
          </cell>
          <cell r="AY68">
            <v>3087</v>
          </cell>
          <cell r="AZ68">
            <v>94.8</v>
          </cell>
          <cell r="BA68">
            <v>10.799999999999999</v>
          </cell>
        </row>
        <row r="69">
          <cell r="F69">
            <v>122000000100</v>
          </cell>
          <cell r="G69" t="str">
            <v>GENERAL MANAGER, CENTRAL TOOL ROOM AND TRAINING CENTRE, BHUBANESWAR</v>
          </cell>
          <cell r="H69" t="str">
            <v>EXTENSION CENTRE AT GOVERNMENT ITI CAMPUS BALASORE</v>
          </cell>
          <cell r="I69" t="str">
            <v>10/31/2022 00:00:00</v>
          </cell>
          <cell r="J69">
            <v>1</v>
          </cell>
          <cell r="K69" t="str">
            <v>O.T.ROAD</v>
          </cell>
          <cell r="L69" t="str">
            <v>BALASORE</v>
          </cell>
          <cell r="M69" t="str">
            <v>321000010231494075</v>
          </cell>
          <cell r="N69" t="str">
            <v>132202200001</v>
          </cell>
          <cell r="O69" t="str">
            <v>D44115</v>
          </cell>
          <cell r="P69" t="str">
            <v>432121103</v>
          </cell>
          <cell r="Q69" t="str">
            <v>GENERAL PURPOSE &gt;= 110 KVA</v>
          </cell>
          <cell r="R69" t="str">
            <v>HT</v>
          </cell>
          <cell r="S69" t="str">
            <v>01/10/2023</v>
          </cell>
          <cell r="T69" t="str">
            <v>01/10/2023</v>
          </cell>
          <cell r="U69" t="str">
            <v>06/10/2023</v>
          </cell>
          <cell r="V69" t="str">
            <v>09/10/2023</v>
          </cell>
          <cell r="W69" t="str">
            <v>2023/09</v>
          </cell>
          <cell r="X69" t="str">
            <v>11 KV</v>
          </cell>
          <cell r="Y69" t="str">
            <v>HT</v>
          </cell>
          <cell r="Z69">
            <v>120</v>
          </cell>
          <cell r="AA69">
            <v>0.39129999999999998</v>
          </cell>
          <cell r="AB69">
            <v>45.29</v>
          </cell>
          <cell r="AC69" t="str">
            <v xml:space="preserve">01/09/2023 -     </v>
          </cell>
          <cell r="AD69" t="str">
            <v>30.09.2023</v>
          </cell>
          <cell r="AE69" t="str">
            <v>30/1.0000</v>
          </cell>
          <cell r="AF69">
            <v>150</v>
          </cell>
          <cell r="AG69" t="str">
            <v>KVA</v>
          </cell>
          <cell r="AH69">
            <v>150</v>
          </cell>
          <cell r="AI69" t="str">
            <v>R</v>
          </cell>
          <cell r="AJ69">
            <v>416672</v>
          </cell>
          <cell r="AK69" t="str">
            <v>30/09/2023</v>
          </cell>
          <cell r="AL69" t="str">
            <v>TPN64199</v>
          </cell>
          <cell r="AM69" t="str">
            <v>HT THREE PHASE 4 WIRE AMR/AMI COMPLAINT METER</v>
          </cell>
          <cell r="AN69" t="str">
            <v>POST PAID</v>
          </cell>
          <cell r="AO69">
            <v>250</v>
          </cell>
          <cell r="AP69" t="str">
            <v>TOD</v>
          </cell>
          <cell r="AQ69">
            <v>0</v>
          </cell>
          <cell r="AR69">
            <v>0</v>
          </cell>
          <cell r="AS69">
            <v>0</v>
          </cell>
          <cell r="AT69">
            <v>0</v>
          </cell>
          <cell r="AU69">
            <v>0</v>
          </cell>
          <cell r="AV69">
            <v>0</v>
          </cell>
          <cell r="AW69">
            <v>919</v>
          </cell>
          <cell r="AX69">
            <v>2348</v>
          </cell>
          <cell r="AY69">
            <v>2348</v>
          </cell>
          <cell r="AZ69">
            <v>72.72</v>
          </cell>
          <cell r="BA69">
            <v>7.1999999999999993</v>
          </cell>
        </row>
        <row r="70">
          <cell r="F70">
            <v>122000000101</v>
          </cell>
          <cell r="G70" t="str">
            <v>M/S UTKAL PROIEINS</v>
          </cell>
          <cell r="H70" t="str">
            <v>AT-MIRZAPUR, CHANDIPUR</v>
          </cell>
          <cell r="I70" t="str">
            <v>11/29/2022 00:00:00</v>
          </cell>
          <cell r="J70">
            <v>1</v>
          </cell>
          <cell r="K70" t="str">
            <v>CHANDIPUR</v>
          </cell>
          <cell r="L70" t="str">
            <v>BALASORE</v>
          </cell>
          <cell r="M70" t="str">
            <v>321000010231492871</v>
          </cell>
          <cell r="N70" t="str">
            <v>132299953674</v>
          </cell>
          <cell r="O70" t="str">
            <v xml:space="preserve"> </v>
          </cell>
          <cell r="P70" t="str">
            <v>432114401</v>
          </cell>
          <cell r="Q70" t="str">
            <v>LARGE INDUSTRY</v>
          </cell>
          <cell r="R70" t="str">
            <v>HT</v>
          </cell>
          <cell r="S70" t="str">
            <v>01/10/2023</v>
          </cell>
          <cell r="T70" t="str">
            <v>01/10/2023</v>
          </cell>
          <cell r="U70" t="str">
            <v>06/10/2023</v>
          </cell>
          <cell r="V70" t="str">
            <v>09/10/2023</v>
          </cell>
          <cell r="W70" t="str">
            <v>2023/09</v>
          </cell>
          <cell r="X70" t="str">
            <v>11 KV</v>
          </cell>
          <cell r="Y70" t="str">
            <v>HT</v>
          </cell>
          <cell r="Z70">
            <v>210</v>
          </cell>
          <cell r="AA70">
            <v>0.99219999999999997</v>
          </cell>
          <cell r="AB70">
            <v>30.61</v>
          </cell>
          <cell r="AC70" t="str">
            <v xml:space="preserve">01/09/2023 -     </v>
          </cell>
          <cell r="AD70" t="str">
            <v>30.09.2023</v>
          </cell>
          <cell r="AE70" t="str">
            <v>30/1.0000</v>
          </cell>
          <cell r="AF70">
            <v>239</v>
          </cell>
          <cell r="AG70" t="str">
            <v>KVA</v>
          </cell>
          <cell r="AH70">
            <v>239</v>
          </cell>
          <cell r="AI70" t="str">
            <v>R</v>
          </cell>
          <cell r="AJ70">
            <v>1330430</v>
          </cell>
          <cell r="AK70" t="str">
            <v>30/09/2023</v>
          </cell>
          <cell r="AL70" t="str">
            <v>TPN64139</v>
          </cell>
          <cell r="AM70" t="str">
            <v>HT THREE PHASE 4 WIRE AMR/AMI COMPLAINT METER</v>
          </cell>
          <cell r="AN70" t="str">
            <v>POST PAID</v>
          </cell>
          <cell r="AO70">
            <v>315</v>
          </cell>
          <cell r="AP70" t="str">
            <v>TOD</v>
          </cell>
          <cell r="AQ70">
            <v>0</v>
          </cell>
          <cell r="AR70">
            <v>0</v>
          </cell>
          <cell r="AS70">
            <v>0</v>
          </cell>
          <cell r="AT70">
            <v>0</v>
          </cell>
          <cell r="AU70">
            <v>0</v>
          </cell>
          <cell r="AV70">
            <v>0</v>
          </cell>
          <cell r="AW70">
            <v>45927</v>
          </cell>
          <cell r="AX70">
            <v>46284</v>
          </cell>
          <cell r="AY70">
            <v>46284</v>
          </cell>
          <cell r="AZ70">
            <v>1177.2</v>
          </cell>
          <cell r="BA70">
            <v>210</v>
          </cell>
        </row>
        <row r="71">
          <cell r="F71">
            <v>122000000102</v>
          </cell>
          <cell r="G71" t="str">
            <v>Mr.     MD SABIR KHAN</v>
          </cell>
          <cell r="H71" t="str">
            <v>883/1709</v>
          </cell>
          <cell r="I71" t="str">
            <v>01/25/2023 00:00:00</v>
          </cell>
          <cell r="J71">
            <v>1</v>
          </cell>
          <cell r="K71" t="str">
            <v>BHASKARGANJ</v>
          </cell>
          <cell r="L71" t="str">
            <v>BHASKARGANJ</v>
          </cell>
          <cell r="M71" t="str">
            <v>321000010231492642</v>
          </cell>
          <cell r="N71" t="str">
            <v>132321225050</v>
          </cell>
          <cell r="O71" t="str">
            <v xml:space="preserve"> </v>
          </cell>
          <cell r="P71" t="str">
            <v>NULL</v>
          </cell>
          <cell r="Q71" t="str">
            <v>GENERAL PURPOSE &gt;= 110 KVA</v>
          </cell>
          <cell r="R71" t="str">
            <v>HT</v>
          </cell>
          <cell r="S71" t="str">
            <v>01/10/2023</v>
          </cell>
          <cell r="T71" t="str">
            <v>01/10/2023</v>
          </cell>
          <cell r="U71" t="str">
            <v>06/10/2023</v>
          </cell>
          <cell r="V71" t="str">
            <v>09/10/2023</v>
          </cell>
          <cell r="W71" t="str">
            <v>2023/09</v>
          </cell>
          <cell r="X71" t="str">
            <v>11 KV</v>
          </cell>
          <cell r="Y71" t="str">
            <v>HT</v>
          </cell>
          <cell r="Z71">
            <v>142.21600000000001</v>
          </cell>
          <cell r="AA71">
            <v>0.99990000000000001</v>
          </cell>
          <cell r="AB71">
            <v>39.630000000000003</v>
          </cell>
          <cell r="AC71" t="str">
            <v xml:space="preserve">01/09/2023 -     </v>
          </cell>
          <cell r="AD71" t="str">
            <v>30.09.2023</v>
          </cell>
          <cell r="AE71" t="str">
            <v>30/1.0000</v>
          </cell>
          <cell r="AF71">
            <v>177.77</v>
          </cell>
          <cell r="AG71" t="str">
            <v>KVA</v>
          </cell>
          <cell r="AH71">
            <v>177.77</v>
          </cell>
          <cell r="AI71" t="str">
            <v>R</v>
          </cell>
          <cell r="AJ71">
            <v>521041.6</v>
          </cell>
          <cell r="AK71" t="str">
            <v>30/09/2023</v>
          </cell>
          <cell r="AL71" t="str">
            <v>TPN64347</v>
          </cell>
          <cell r="AM71" t="str">
            <v>HT THREE PHASE 4 WIRE AMR/AMI COMPLAINT METER</v>
          </cell>
          <cell r="AN71" t="str">
            <v>POST PAID</v>
          </cell>
          <cell r="AO71">
            <v>250</v>
          </cell>
          <cell r="AP71" t="str">
            <v>TOD</v>
          </cell>
          <cell r="AQ71">
            <v>0</v>
          </cell>
          <cell r="AR71">
            <v>0</v>
          </cell>
          <cell r="AS71">
            <v>0</v>
          </cell>
          <cell r="AT71">
            <v>0</v>
          </cell>
          <cell r="AU71">
            <v>0</v>
          </cell>
          <cell r="AV71">
            <v>0</v>
          </cell>
          <cell r="AW71">
            <v>27484</v>
          </cell>
          <cell r="AX71">
            <v>27486</v>
          </cell>
          <cell r="AY71">
            <v>27486</v>
          </cell>
          <cell r="AZ71">
            <v>702.88</v>
          </cell>
          <cell r="BA71">
            <v>96.32</v>
          </cell>
        </row>
        <row r="72">
          <cell r="F72">
            <v>122000000103</v>
          </cell>
          <cell r="G72" t="str">
            <v>Mr.   RAJESH GROVER</v>
          </cell>
          <cell r="H72" t="str">
            <v>846/1564  848/1565</v>
          </cell>
          <cell r="I72" t="str">
            <v>07/10/2023 00:00:00</v>
          </cell>
          <cell r="J72">
            <v>1</v>
          </cell>
          <cell r="K72" t="str">
            <v xml:space="preserve">PANJAB SINDH BANK </v>
          </cell>
          <cell r="L72" t="str">
            <v>SAHADEVKHUNTA</v>
          </cell>
          <cell r="M72" t="str">
            <v>321000010231492330</v>
          </cell>
          <cell r="N72" t="str">
            <v>132328669679</v>
          </cell>
          <cell r="O72" t="str">
            <v xml:space="preserve"> </v>
          </cell>
          <cell r="P72" t="str">
            <v>NULL</v>
          </cell>
          <cell r="Q72" t="str">
            <v>GENERAL PURPOSE &gt;= 110 KVA</v>
          </cell>
          <cell r="R72" t="str">
            <v>HT</v>
          </cell>
          <cell r="S72" t="str">
            <v>01/10/2023</v>
          </cell>
          <cell r="T72" t="str">
            <v>01/10/2023</v>
          </cell>
          <cell r="U72" t="str">
            <v>06/10/2023</v>
          </cell>
          <cell r="V72" t="str">
            <v>09/10/2023</v>
          </cell>
          <cell r="W72" t="str">
            <v>2023/09</v>
          </cell>
          <cell r="X72" t="str">
            <v>11 KV</v>
          </cell>
          <cell r="Y72" t="str">
            <v>HT</v>
          </cell>
          <cell r="Z72">
            <v>151.19999999999999</v>
          </cell>
          <cell r="AA72">
            <v>0.98080000000000001</v>
          </cell>
          <cell r="AB72">
            <v>41.72</v>
          </cell>
          <cell r="AC72" t="str">
            <v xml:space="preserve">01/09/2023 -     </v>
          </cell>
          <cell r="AD72" t="str">
            <v>30.09.2023</v>
          </cell>
          <cell r="AE72" t="str">
            <v>30/1.0000</v>
          </cell>
          <cell r="AF72">
            <v>189</v>
          </cell>
          <cell r="AG72" t="str">
            <v>KVA</v>
          </cell>
          <cell r="AH72">
            <v>189</v>
          </cell>
          <cell r="AI72" t="str">
            <v>R</v>
          </cell>
          <cell r="AJ72">
            <v>553240.80000000005</v>
          </cell>
          <cell r="AK72" t="str">
            <v>30/09/2023</v>
          </cell>
          <cell r="AL72" t="str">
            <v>TPNODL38110752</v>
          </cell>
          <cell r="AM72" t="str">
            <v>THREE PHASE SMART HT CT METER (AMR/AMI)-11KV</v>
          </cell>
          <cell r="AN72" t="str">
            <v>POST PAID</v>
          </cell>
          <cell r="AO72">
            <v>400</v>
          </cell>
          <cell r="AP72" t="str">
            <v>TOD</v>
          </cell>
          <cell r="AQ72">
            <v>0</v>
          </cell>
          <cell r="AR72">
            <v>0</v>
          </cell>
          <cell r="AS72">
            <v>0</v>
          </cell>
          <cell r="AT72">
            <v>0</v>
          </cell>
          <cell r="AU72">
            <v>0</v>
          </cell>
          <cell r="AV72">
            <v>0</v>
          </cell>
          <cell r="AW72">
            <v>19108</v>
          </cell>
          <cell r="AX72">
            <v>19481</v>
          </cell>
          <cell r="AY72">
            <v>19481</v>
          </cell>
          <cell r="AZ72">
            <v>180.18360000000001</v>
          </cell>
          <cell r="BA72">
            <v>64.847999999999999</v>
          </cell>
        </row>
        <row r="73">
          <cell r="F73">
            <v>122000000104</v>
          </cell>
          <cell r="G73" t="str">
            <v>M/S.  KAIZEN INFRACON</v>
          </cell>
          <cell r="H73" t="str">
            <v xml:space="preserve">C/O-ASHIS KUMAR KALIA              </v>
          </cell>
          <cell r="I73" t="str">
            <v>01/25/2021 00:00:00</v>
          </cell>
          <cell r="J73">
            <v>1</v>
          </cell>
          <cell r="K73" t="str">
            <v xml:space="preserve">AT-BALASORE MEDICAL COLLEGE &amp;      </v>
          </cell>
          <cell r="L73" t="str">
            <v xml:space="preserve">HOSPITAL ,JANUGANJ                 </v>
          </cell>
          <cell r="M73" t="str">
            <v>321000010231495041</v>
          </cell>
          <cell r="N73" t="str">
            <v>33212018471</v>
          </cell>
          <cell r="O73" t="str">
            <v>C43801</v>
          </cell>
          <cell r="P73" t="str">
            <v>NULL</v>
          </cell>
          <cell r="Q73" t="str">
            <v>GENERAL PURPOSE &gt;= 110 KVA</v>
          </cell>
          <cell r="R73" t="str">
            <v>HT</v>
          </cell>
          <cell r="S73" t="str">
            <v>01/10/2023</v>
          </cell>
          <cell r="T73" t="str">
            <v>01/10/2023</v>
          </cell>
          <cell r="U73" t="str">
            <v>06/10/2023</v>
          </cell>
          <cell r="V73" t="str">
            <v>09/10/2023</v>
          </cell>
          <cell r="W73" t="str">
            <v>2023/09</v>
          </cell>
          <cell r="X73" t="str">
            <v>11 KV</v>
          </cell>
          <cell r="Y73" t="str">
            <v>HT</v>
          </cell>
          <cell r="Z73">
            <v>106.4</v>
          </cell>
          <cell r="AA73">
            <v>0.94099999999999995</v>
          </cell>
          <cell r="AB73">
            <v>39.82</v>
          </cell>
          <cell r="AC73" t="str">
            <v xml:space="preserve">01/09/2023 -     </v>
          </cell>
          <cell r="AD73" t="str">
            <v>30.09.2023</v>
          </cell>
          <cell r="AE73" t="str">
            <v>30/1.0000</v>
          </cell>
          <cell r="AF73">
            <v>133</v>
          </cell>
          <cell r="AG73" t="str">
            <v>KVA</v>
          </cell>
          <cell r="AH73">
            <v>133</v>
          </cell>
          <cell r="AI73" t="str">
            <v>R</v>
          </cell>
          <cell r="AJ73">
            <v>389317.6</v>
          </cell>
          <cell r="AK73" t="str">
            <v>30/09/2023</v>
          </cell>
          <cell r="AL73" t="str">
            <v>TPN64428</v>
          </cell>
          <cell r="AM73" t="str">
            <v>HT THREE PHASE 4 WIRE AMR/AMI COMPLAINT METER</v>
          </cell>
          <cell r="AN73" t="str">
            <v>POST PAID</v>
          </cell>
          <cell r="AO73">
            <v>250</v>
          </cell>
          <cell r="AP73" t="str">
            <v>TOD</v>
          </cell>
          <cell r="AQ73">
            <v>-53436.4</v>
          </cell>
          <cell r="AR73">
            <v>0</v>
          </cell>
          <cell r="AS73">
            <v>0</v>
          </cell>
          <cell r="AT73">
            <v>0</v>
          </cell>
          <cell r="AU73">
            <v>0</v>
          </cell>
          <cell r="AV73">
            <v>0</v>
          </cell>
          <cell r="AW73">
            <v>19640</v>
          </cell>
          <cell r="AX73">
            <v>20870</v>
          </cell>
          <cell r="AY73">
            <v>20870</v>
          </cell>
          <cell r="AZ73">
            <v>3.6400000000000002E-2</v>
          </cell>
          <cell r="BA73">
            <v>72.8</v>
          </cell>
        </row>
        <row r="74">
          <cell r="F74">
            <v>128000000002</v>
          </cell>
          <cell r="G74" t="str">
            <v>M/S GANAPATI PIPE &amp; INDRUSTRIES</v>
          </cell>
          <cell r="H74" t="str">
            <v>PVT. LTD.,GAHIRSIMULIAMATHANI</v>
          </cell>
          <cell r="I74" t="str">
            <v>10/31/2020 00:00:00</v>
          </cell>
          <cell r="J74">
            <v>1</v>
          </cell>
          <cell r="K74" t="str">
            <v xml:space="preserve"> </v>
          </cell>
          <cell r="L74" t="str">
            <v xml:space="preserve"> </v>
          </cell>
          <cell r="M74" t="str">
            <v>322000010231492318</v>
          </cell>
          <cell r="N74" t="str">
            <v>1280000002</v>
          </cell>
          <cell r="O74" t="str">
            <v>28910</v>
          </cell>
          <cell r="P74" t="str">
            <v>43207402002</v>
          </cell>
          <cell r="Q74" t="str">
            <v>LARGE INDUSTRY</v>
          </cell>
          <cell r="R74" t="str">
            <v>HT</v>
          </cell>
          <cell r="S74" t="str">
            <v>01/10/2023</v>
          </cell>
          <cell r="T74" t="str">
            <v>01/10/2023</v>
          </cell>
          <cell r="U74" t="str">
            <v>06/10/2023</v>
          </cell>
          <cell r="V74" t="str">
            <v>09/10/2023</v>
          </cell>
          <cell r="W74" t="str">
            <v>2023/09</v>
          </cell>
          <cell r="X74" t="str">
            <v>33 KV</v>
          </cell>
          <cell r="Y74" t="str">
            <v>HT</v>
          </cell>
          <cell r="Z74">
            <v>444</v>
          </cell>
          <cell r="AA74">
            <v>0.997</v>
          </cell>
          <cell r="AB74">
            <v>45</v>
          </cell>
          <cell r="AC74" t="str">
            <v xml:space="preserve">01/09/2023 -     </v>
          </cell>
          <cell r="AD74" t="str">
            <v>30.09.2023</v>
          </cell>
          <cell r="AE74" t="str">
            <v>30/1.0000</v>
          </cell>
          <cell r="AF74">
            <v>555</v>
          </cell>
          <cell r="AG74" t="str">
            <v>KVA</v>
          </cell>
          <cell r="AH74">
            <v>555</v>
          </cell>
          <cell r="AI74" t="str">
            <v>R</v>
          </cell>
          <cell r="AJ74">
            <v>1576599</v>
          </cell>
          <cell r="AK74" t="str">
            <v>30/09/2023</v>
          </cell>
          <cell r="AL74" t="str">
            <v>TPN64741</v>
          </cell>
          <cell r="AM74" t="str">
            <v>THREE PHASE HT CT METER-33KV</v>
          </cell>
          <cell r="AN74" t="str">
            <v>POST PAID</v>
          </cell>
          <cell r="AO74">
            <v>500</v>
          </cell>
          <cell r="AP74" t="str">
            <v>TOD</v>
          </cell>
          <cell r="AQ74">
            <v>-482118.3</v>
          </cell>
          <cell r="AR74">
            <v>0</v>
          </cell>
          <cell r="AS74">
            <v>0</v>
          </cell>
          <cell r="AT74">
            <v>0</v>
          </cell>
          <cell r="AU74">
            <v>0</v>
          </cell>
          <cell r="AV74">
            <v>0</v>
          </cell>
          <cell r="AW74">
            <v>111018</v>
          </cell>
          <cell r="AX74">
            <v>111348</v>
          </cell>
          <cell r="AY74">
            <v>111348</v>
          </cell>
          <cell r="AZ74">
            <v>2359.6799999999998</v>
          </cell>
          <cell r="BA74">
            <v>343.68</v>
          </cell>
        </row>
        <row r="75">
          <cell r="F75">
            <v>128000000005</v>
          </cell>
          <cell r="G75" t="str">
            <v>M/S ORCHID MARINE EXPORTS PVT. LTD.</v>
          </cell>
          <cell r="H75" t="str">
            <v>AT-KHALADIHA, NO.I, BADASIMULIA, BALIAPAL</v>
          </cell>
          <cell r="I75" t="str">
            <v>04/08/2021 00:00:00</v>
          </cell>
          <cell r="J75">
            <v>1</v>
          </cell>
          <cell r="K75" t="str">
            <v>KHALDIHA</v>
          </cell>
          <cell r="L75" t="str">
            <v>BALASORE</v>
          </cell>
          <cell r="M75" t="str">
            <v>322000010231492320</v>
          </cell>
          <cell r="N75" t="str">
            <v>132100000007</v>
          </cell>
          <cell r="O75" t="str">
            <v xml:space="preserve"> </v>
          </cell>
          <cell r="P75" t="str">
            <v>43207402003</v>
          </cell>
          <cell r="Q75" t="str">
            <v>ALLIED AGRO-INDUSTRIAL ACTIVITIES</v>
          </cell>
          <cell r="R75" t="str">
            <v>HT</v>
          </cell>
          <cell r="S75" t="str">
            <v>01/10/2023</v>
          </cell>
          <cell r="T75" t="str">
            <v>01/10/2023</v>
          </cell>
          <cell r="U75" t="str">
            <v>06/10/2023</v>
          </cell>
          <cell r="V75" t="str">
            <v>09/10/2023</v>
          </cell>
          <cell r="W75" t="str">
            <v>2023/09</v>
          </cell>
          <cell r="X75" t="str">
            <v>33 KV</v>
          </cell>
          <cell r="Y75" t="str">
            <v>HT</v>
          </cell>
          <cell r="Z75">
            <v>862.08</v>
          </cell>
          <cell r="AA75">
            <v>0.79239999999999999</v>
          </cell>
          <cell r="AB75">
            <v>0</v>
          </cell>
          <cell r="AC75" t="str">
            <v xml:space="preserve">01/09/2023 -     </v>
          </cell>
          <cell r="AD75" t="str">
            <v>30.09.2023</v>
          </cell>
          <cell r="AE75" t="str">
            <v>30/1.0000</v>
          </cell>
          <cell r="AF75">
            <v>555</v>
          </cell>
          <cell r="AG75" t="str">
            <v>KVA</v>
          </cell>
          <cell r="AH75">
            <v>555</v>
          </cell>
          <cell r="AI75" t="str">
            <v>R</v>
          </cell>
          <cell r="AJ75">
            <v>983372</v>
          </cell>
          <cell r="AK75" t="str">
            <v>30/09/2023</v>
          </cell>
          <cell r="AL75" t="str">
            <v>NSC94999</v>
          </cell>
          <cell r="AM75" t="str">
            <v>THREE PHASE HT CT METER-33KV</v>
          </cell>
          <cell r="AN75" t="str">
            <v>POST PAID</v>
          </cell>
          <cell r="AO75">
            <v>250</v>
          </cell>
          <cell r="AP75" t="str">
            <v>TOD</v>
          </cell>
          <cell r="AQ75">
            <v>-377011.4</v>
          </cell>
          <cell r="AR75">
            <v>0</v>
          </cell>
          <cell r="AS75">
            <v>0</v>
          </cell>
          <cell r="AT75">
            <v>0</v>
          </cell>
          <cell r="AU75">
            <v>0</v>
          </cell>
          <cell r="AV75">
            <v>0</v>
          </cell>
          <cell r="AW75">
            <v>169842</v>
          </cell>
          <cell r="AX75">
            <v>214326</v>
          </cell>
          <cell r="AY75">
            <v>214326</v>
          </cell>
          <cell r="AZ75">
            <v>5249.28</v>
          </cell>
          <cell r="BA75">
            <v>862.08</v>
          </cell>
        </row>
        <row r="76">
          <cell r="F76">
            <v>128000000006</v>
          </cell>
          <cell r="G76" t="str">
            <v>Mr. NIRANJAN SAHU</v>
          </cell>
          <cell r="H76" t="str">
            <v xml:space="preserve">S/O- MAHENDRA SAHU                 </v>
          </cell>
          <cell r="I76" t="str">
            <v>01/25/2021 00:00:00</v>
          </cell>
          <cell r="J76">
            <v>1</v>
          </cell>
          <cell r="K76" t="str">
            <v xml:space="preserve">KATHASAGADA                        </v>
          </cell>
          <cell r="L76" t="str">
            <v xml:space="preserve">BADAS                              </v>
          </cell>
          <cell r="M76" t="str">
            <v>322000010232494963</v>
          </cell>
          <cell r="N76" t="str">
            <v>33222033341</v>
          </cell>
          <cell r="O76" t="str">
            <v>J-84825</v>
          </cell>
          <cell r="P76" t="str">
            <v>NULL</v>
          </cell>
          <cell r="Q76" t="str">
            <v>GENERAL PURPOSE &gt;= 110 KVA</v>
          </cell>
          <cell r="R76" t="str">
            <v>HT</v>
          </cell>
          <cell r="S76" t="str">
            <v>01/10/2023</v>
          </cell>
          <cell r="T76" t="str">
            <v>01/10/2023</v>
          </cell>
          <cell r="U76" t="str">
            <v>06/10/2023</v>
          </cell>
          <cell r="V76" t="str">
            <v>09/10/2023</v>
          </cell>
          <cell r="W76" t="str">
            <v>2023/09</v>
          </cell>
          <cell r="X76" t="str">
            <v>11 KV</v>
          </cell>
          <cell r="Y76" t="str">
            <v>HT</v>
          </cell>
          <cell r="Z76">
            <v>224</v>
          </cell>
          <cell r="AA76">
            <v>0.72919999999999996</v>
          </cell>
          <cell r="AB76">
            <v>43.16</v>
          </cell>
          <cell r="AC76" t="str">
            <v xml:space="preserve">01/09/2023 -     </v>
          </cell>
          <cell r="AD76" t="str">
            <v>30.09.2023</v>
          </cell>
          <cell r="AE76" t="str">
            <v>30/1.0000</v>
          </cell>
          <cell r="AF76">
            <v>280</v>
          </cell>
          <cell r="AG76" t="str">
            <v>KVA</v>
          </cell>
          <cell r="AH76">
            <v>280</v>
          </cell>
          <cell r="AI76" t="str">
            <v>R</v>
          </cell>
          <cell r="AJ76">
            <v>137759.9368</v>
          </cell>
          <cell r="AK76" t="str">
            <v>30/09/2023</v>
          </cell>
          <cell r="AL76" t="str">
            <v>TPNODL38110688</v>
          </cell>
          <cell r="AM76" t="str">
            <v>THREE PHASE SMART HT CT METER (AMR/AMI)-11KV</v>
          </cell>
          <cell r="AN76" t="str">
            <v>SMART METER</v>
          </cell>
          <cell r="AO76">
            <v>500</v>
          </cell>
          <cell r="AP76" t="str">
            <v>TOD</v>
          </cell>
          <cell r="AQ76">
            <v>-32762</v>
          </cell>
          <cell r="AR76">
            <v>0</v>
          </cell>
          <cell r="AS76">
            <v>0</v>
          </cell>
          <cell r="AT76">
            <v>0</v>
          </cell>
          <cell r="AU76">
            <v>0</v>
          </cell>
          <cell r="AV76">
            <v>0</v>
          </cell>
          <cell r="AW76">
            <v>44264</v>
          </cell>
          <cell r="AX76">
            <v>60699</v>
          </cell>
          <cell r="AY76">
            <v>60699</v>
          </cell>
          <cell r="AZ76">
            <v>684.18200000000002</v>
          </cell>
          <cell r="BA76">
            <v>195.33</v>
          </cell>
        </row>
        <row r="77">
          <cell r="F77">
            <v>128000000007</v>
          </cell>
          <cell r="G77" t="str">
            <v>Ms. KANCHAN MOL</v>
          </cell>
          <cell r="H77" t="str">
            <v>2643/7427</v>
          </cell>
          <cell r="I77" t="str">
            <v>05/31/2023 00:00:00</v>
          </cell>
          <cell r="J77">
            <v>1</v>
          </cell>
          <cell r="K77" t="str">
            <v>KASAFAL</v>
          </cell>
          <cell r="L77" t="str">
            <v>BOLONG</v>
          </cell>
          <cell r="M77" t="str">
            <v>322000010231492316</v>
          </cell>
          <cell r="N77" t="str">
            <v>132328559555</v>
          </cell>
          <cell r="O77" t="str">
            <v xml:space="preserve"> </v>
          </cell>
          <cell r="P77" t="str">
            <v>NULL</v>
          </cell>
          <cell r="Q77" t="str">
            <v>ALLIED AGRICULTURE ACTIVITIES</v>
          </cell>
          <cell r="R77" t="str">
            <v>HT</v>
          </cell>
          <cell r="S77" t="str">
            <v>01/10/2023</v>
          </cell>
          <cell r="T77" t="str">
            <v>01/10/2023</v>
          </cell>
          <cell r="U77" t="str">
            <v>09/10/2023</v>
          </cell>
          <cell r="V77" t="str">
            <v>09/10/2023</v>
          </cell>
          <cell r="W77" t="str">
            <v>2023/09</v>
          </cell>
          <cell r="X77" t="str">
            <v>11 KV</v>
          </cell>
          <cell r="Y77" t="str">
            <v>HT</v>
          </cell>
          <cell r="Z77">
            <v>189</v>
          </cell>
          <cell r="AA77">
            <v>0.77259999999999995</v>
          </cell>
          <cell r="AB77">
            <v>0</v>
          </cell>
          <cell r="AC77" t="str">
            <v xml:space="preserve">01/09/2023 -     </v>
          </cell>
          <cell r="AD77" t="str">
            <v>30.09.2023</v>
          </cell>
          <cell r="AE77" t="str">
            <v>30/1.0000</v>
          </cell>
          <cell r="AF77">
            <v>189</v>
          </cell>
          <cell r="AG77" t="str">
            <v>KVA</v>
          </cell>
          <cell r="AH77">
            <v>189</v>
          </cell>
          <cell r="AI77" t="str">
            <v>R</v>
          </cell>
          <cell r="AJ77">
            <v>92933.34</v>
          </cell>
          <cell r="AK77" t="str">
            <v>30/09/2023</v>
          </cell>
          <cell r="AL77" t="str">
            <v>TPNODL38110743</v>
          </cell>
          <cell r="AM77" t="str">
            <v>THREE PHASE SMART HT CT METER (AMR/AMI)-11KV</v>
          </cell>
          <cell r="AN77" t="str">
            <v>SMART METER</v>
          </cell>
          <cell r="AO77">
            <v>250</v>
          </cell>
          <cell r="AP77" t="str">
            <v>TOD</v>
          </cell>
          <cell r="AQ77">
            <v>0</v>
          </cell>
          <cell r="AR77">
            <v>0</v>
          </cell>
          <cell r="AS77">
            <v>0</v>
          </cell>
          <cell r="AT77">
            <v>0</v>
          </cell>
          <cell r="AU77">
            <v>0</v>
          </cell>
          <cell r="AV77">
            <v>0</v>
          </cell>
          <cell r="AW77">
            <v>21321</v>
          </cell>
          <cell r="AX77">
            <v>27594</v>
          </cell>
          <cell r="AY77">
            <v>27594</v>
          </cell>
          <cell r="AZ77">
            <v>630.18700000000001</v>
          </cell>
          <cell r="BA77">
            <v>102.5</v>
          </cell>
        </row>
        <row r="78">
          <cell r="F78">
            <v>123000000002</v>
          </cell>
          <cell r="G78" t="str">
            <v>SHREE GIRIRAJ INDUSTRIES LTD.</v>
          </cell>
          <cell r="H78" t="str">
            <v>BANAPARIA,KURUDA,</v>
          </cell>
          <cell r="I78" t="str">
            <v>10/31/2020 00:00:00</v>
          </cell>
          <cell r="J78">
            <v>1</v>
          </cell>
          <cell r="K78" t="str">
            <v xml:space="preserve"> </v>
          </cell>
          <cell r="L78" t="str">
            <v xml:space="preserve"> </v>
          </cell>
          <cell r="M78" t="str">
            <v>324000010231494633</v>
          </cell>
          <cell r="N78" t="str">
            <v>1230000002</v>
          </cell>
          <cell r="O78" t="str">
            <v>30352</v>
          </cell>
          <cell r="P78" t="str">
            <v>43287401008</v>
          </cell>
          <cell r="Q78" t="str">
            <v>LARGE INDUSTRY</v>
          </cell>
          <cell r="R78" t="str">
            <v>HT</v>
          </cell>
          <cell r="S78" t="str">
            <v>01/10/2023</v>
          </cell>
          <cell r="T78" t="str">
            <v>01/10/2023</v>
          </cell>
          <cell r="U78" t="str">
            <v>06/10/2023</v>
          </cell>
          <cell r="V78" t="str">
            <v>09/10/2023</v>
          </cell>
          <cell r="W78" t="str">
            <v>2023/09</v>
          </cell>
          <cell r="X78" t="str">
            <v>33 KV</v>
          </cell>
          <cell r="Y78" t="str">
            <v>HT</v>
          </cell>
          <cell r="Z78">
            <v>414</v>
          </cell>
          <cell r="AA78">
            <v>0.99739999999999995</v>
          </cell>
          <cell r="AB78">
            <v>27.72</v>
          </cell>
          <cell r="AC78" t="str">
            <v xml:space="preserve">01/09/2023 -     </v>
          </cell>
          <cell r="AD78" t="str">
            <v>30.09.2023</v>
          </cell>
          <cell r="AE78" t="str">
            <v>30/1.0000</v>
          </cell>
          <cell r="AF78">
            <v>450</v>
          </cell>
          <cell r="AG78" t="str">
            <v>KVA</v>
          </cell>
          <cell r="AH78">
            <v>450</v>
          </cell>
          <cell r="AI78" t="str">
            <v>R</v>
          </cell>
          <cell r="AJ78">
            <v>1622303</v>
          </cell>
          <cell r="AK78" t="str">
            <v>30/09/2023</v>
          </cell>
          <cell r="AL78" t="str">
            <v>TPN64756</v>
          </cell>
          <cell r="AM78" t="str">
            <v>THREE PHASE HT CT METER-33KV</v>
          </cell>
          <cell r="AN78" t="str">
            <v>POST PAID</v>
          </cell>
          <cell r="AO78">
            <v>1000</v>
          </cell>
          <cell r="AP78" t="str">
            <v>TOD</v>
          </cell>
          <cell r="AQ78">
            <v>347931.48</v>
          </cell>
          <cell r="AR78">
            <v>0</v>
          </cell>
          <cell r="AS78">
            <v>0</v>
          </cell>
          <cell r="AT78">
            <v>0</v>
          </cell>
          <cell r="AU78">
            <v>0</v>
          </cell>
          <cell r="AV78">
            <v>0</v>
          </cell>
          <cell r="AW78">
            <v>82410</v>
          </cell>
          <cell r="AX78">
            <v>82620</v>
          </cell>
          <cell r="AY78">
            <v>82620</v>
          </cell>
          <cell r="AZ78">
            <v>3030</v>
          </cell>
          <cell r="BA78">
            <v>414.00000000000006</v>
          </cell>
        </row>
        <row r="79">
          <cell r="F79">
            <v>123000000005</v>
          </cell>
          <cell r="G79" t="str">
            <v>B&amp;A PACKAGING INDIA LTD.</v>
          </cell>
          <cell r="H79" t="str">
            <v>BALGOPALPUR,BALASORE</v>
          </cell>
          <cell r="I79" t="str">
            <v>10/31/2020 00:00:00</v>
          </cell>
          <cell r="J79">
            <v>1</v>
          </cell>
          <cell r="K79" t="str">
            <v xml:space="preserve"> </v>
          </cell>
          <cell r="L79" t="str">
            <v xml:space="preserve"> </v>
          </cell>
          <cell r="M79" t="str">
            <v>324000010231494410</v>
          </cell>
          <cell r="N79" t="str">
            <v>1230000005</v>
          </cell>
          <cell r="O79" t="str">
            <v>19292</v>
          </cell>
          <cell r="P79" t="str">
            <v>43207405001</v>
          </cell>
          <cell r="Q79" t="str">
            <v>LARGE INDUSTRY</v>
          </cell>
          <cell r="R79" t="str">
            <v>HT</v>
          </cell>
          <cell r="S79" t="str">
            <v>01/10/2023</v>
          </cell>
          <cell r="T79" t="str">
            <v>01/10/2023</v>
          </cell>
          <cell r="U79" t="str">
            <v>06/10/2023</v>
          </cell>
          <cell r="V79" t="str">
            <v>09/10/2023</v>
          </cell>
          <cell r="W79" t="str">
            <v>2023/09</v>
          </cell>
          <cell r="X79" t="str">
            <v>33 KV</v>
          </cell>
          <cell r="Y79" t="str">
            <v>HT</v>
          </cell>
          <cell r="Z79">
            <v>606.72</v>
          </cell>
          <cell r="AA79">
            <v>0.9738</v>
          </cell>
          <cell r="AB79">
            <v>74.34</v>
          </cell>
          <cell r="AC79" t="str">
            <v xml:space="preserve">01/09/2023 -     </v>
          </cell>
          <cell r="AD79" t="str">
            <v>30.09.2023</v>
          </cell>
          <cell r="AE79" t="str">
            <v>30/1.0000</v>
          </cell>
          <cell r="AF79">
            <v>600</v>
          </cell>
          <cell r="AG79" t="str">
            <v>KVA</v>
          </cell>
          <cell r="AH79">
            <v>600</v>
          </cell>
          <cell r="AI79" t="str">
            <v>R</v>
          </cell>
          <cell r="AJ79">
            <v>3226322</v>
          </cell>
          <cell r="AK79" t="str">
            <v>30/09/2023</v>
          </cell>
          <cell r="AL79" t="str">
            <v>NES50129</v>
          </cell>
          <cell r="AM79" t="str">
            <v>THREE PHASE HT CT METER-33KV</v>
          </cell>
          <cell r="AN79" t="str">
            <v>POST PAID</v>
          </cell>
          <cell r="AO79">
            <v>1000</v>
          </cell>
          <cell r="AP79" t="str">
            <v>TOD</v>
          </cell>
          <cell r="AQ79">
            <v>1150499.6599999999</v>
          </cell>
          <cell r="AR79">
            <v>0</v>
          </cell>
          <cell r="AS79">
            <v>0</v>
          </cell>
          <cell r="AT79">
            <v>0</v>
          </cell>
          <cell r="AU79">
            <v>0</v>
          </cell>
          <cell r="AV79">
            <v>0</v>
          </cell>
          <cell r="AW79">
            <v>316260</v>
          </cell>
          <cell r="AX79">
            <v>324744</v>
          </cell>
          <cell r="AY79">
            <v>324744</v>
          </cell>
          <cell r="AZ79">
            <v>3981.12</v>
          </cell>
          <cell r="BA79">
            <v>606.72</v>
          </cell>
        </row>
        <row r="80">
          <cell r="F80">
            <v>123000000007</v>
          </cell>
          <cell r="G80" t="str">
            <v>M/S Dada Ice Plant</v>
          </cell>
          <cell r="H80" t="str">
            <v>AT/PO-Bahabalpur,</v>
          </cell>
          <cell r="I80" t="str">
            <v>10/31/2020 00:00:00</v>
          </cell>
          <cell r="J80">
            <v>1</v>
          </cell>
          <cell r="K80" t="str">
            <v xml:space="preserve"> </v>
          </cell>
          <cell r="L80" t="str">
            <v xml:space="preserve"> </v>
          </cell>
          <cell r="M80" t="str">
            <v>324000010231494572</v>
          </cell>
          <cell r="N80" t="str">
            <v>1230000007</v>
          </cell>
          <cell r="O80" t="str">
            <v>BR-26176</v>
          </cell>
          <cell r="P80" t="str">
            <v>432413202</v>
          </cell>
          <cell r="Q80" t="str">
            <v>LARGE INDUSTRY</v>
          </cell>
          <cell r="R80" t="str">
            <v>HT</v>
          </cell>
          <cell r="S80" t="str">
            <v>01/10/2023</v>
          </cell>
          <cell r="T80" t="str">
            <v>01/10/2023</v>
          </cell>
          <cell r="U80" t="str">
            <v>06/10/2023</v>
          </cell>
          <cell r="V80" t="str">
            <v>09/10/2023</v>
          </cell>
          <cell r="W80" t="str">
            <v>2023/09</v>
          </cell>
          <cell r="X80" t="str">
            <v>11 KV</v>
          </cell>
          <cell r="Y80" t="str">
            <v>HT</v>
          </cell>
          <cell r="Z80">
            <v>112.24</v>
          </cell>
          <cell r="AA80">
            <v>0.998</v>
          </cell>
          <cell r="AB80">
            <v>65.02</v>
          </cell>
          <cell r="AC80" t="str">
            <v xml:space="preserve">01/09/2023 -     </v>
          </cell>
          <cell r="AD80" t="str">
            <v>30.09.2023</v>
          </cell>
          <cell r="AE80" t="str">
            <v>30/1.0000</v>
          </cell>
          <cell r="AF80">
            <v>134</v>
          </cell>
          <cell r="AG80" t="str">
            <v>KVA</v>
          </cell>
          <cell r="AH80">
            <v>134</v>
          </cell>
          <cell r="AI80" t="str">
            <v>R</v>
          </cell>
          <cell r="AJ80">
            <v>48621</v>
          </cell>
          <cell r="AK80" t="str">
            <v>30/09/2023</v>
          </cell>
          <cell r="AL80" t="str">
            <v>NSC94835</v>
          </cell>
          <cell r="AM80" t="str">
            <v>TRI-VECTOR METER FOR RAILWAY TRACTION</v>
          </cell>
          <cell r="AN80" t="str">
            <v>POST PAID</v>
          </cell>
          <cell r="AO80">
            <v>150</v>
          </cell>
          <cell r="AP80" t="str">
            <v>TOD</v>
          </cell>
          <cell r="AQ80">
            <v>412027.94</v>
          </cell>
          <cell r="AR80">
            <v>0</v>
          </cell>
          <cell r="AS80">
            <v>0</v>
          </cell>
          <cell r="AT80">
            <v>0</v>
          </cell>
          <cell r="AU80">
            <v>0</v>
          </cell>
          <cell r="AV80">
            <v>0</v>
          </cell>
          <cell r="AW80">
            <v>52443</v>
          </cell>
          <cell r="AX80">
            <v>52543</v>
          </cell>
          <cell r="AY80">
            <v>52543</v>
          </cell>
          <cell r="AZ80">
            <v>717.6</v>
          </cell>
          <cell r="BA80">
            <v>112.24000000000001</v>
          </cell>
        </row>
        <row r="81">
          <cell r="F81">
            <v>123000000008</v>
          </cell>
          <cell r="G81" t="str">
            <v>L.P.G.BOTTLING PLANT</v>
          </cell>
          <cell r="H81" t="str">
            <v>CHHANPUR, BALASORE,</v>
          </cell>
          <cell r="I81" t="str">
            <v>10/31/2020 00:00:00</v>
          </cell>
          <cell r="J81">
            <v>1</v>
          </cell>
          <cell r="K81" t="str">
            <v xml:space="preserve"> </v>
          </cell>
          <cell r="L81" t="str">
            <v xml:space="preserve"> </v>
          </cell>
          <cell r="M81" t="str">
            <v>324000010232495280</v>
          </cell>
          <cell r="N81" t="str">
            <v>1230000008</v>
          </cell>
          <cell r="O81" t="str">
            <v>19688</v>
          </cell>
          <cell r="P81" t="str">
            <v>432123206</v>
          </cell>
          <cell r="Q81" t="str">
            <v>LARGE INDUSTRY</v>
          </cell>
          <cell r="R81" t="str">
            <v>HT</v>
          </cell>
          <cell r="S81" t="str">
            <v>01/10/2023</v>
          </cell>
          <cell r="T81" t="str">
            <v>01/10/2023</v>
          </cell>
          <cell r="U81" t="str">
            <v>06/10/2023</v>
          </cell>
          <cell r="V81" t="str">
            <v>09/10/2023</v>
          </cell>
          <cell r="W81" t="str">
            <v>2023/09</v>
          </cell>
          <cell r="X81" t="str">
            <v>11 KV</v>
          </cell>
          <cell r="Y81" t="str">
            <v>HT</v>
          </cell>
          <cell r="Z81">
            <v>439.2</v>
          </cell>
          <cell r="AA81">
            <v>0.98770000000000002</v>
          </cell>
          <cell r="AB81">
            <v>48.71</v>
          </cell>
          <cell r="AC81" t="str">
            <v xml:space="preserve">01/09/2023 -     </v>
          </cell>
          <cell r="AD81" t="str">
            <v>30.09.2023</v>
          </cell>
          <cell r="AE81" t="str">
            <v>30/1.0000</v>
          </cell>
          <cell r="AF81">
            <v>335</v>
          </cell>
          <cell r="AG81" t="str">
            <v>KVA</v>
          </cell>
          <cell r="AH81">
            <v>335</v>
          </cell>
          <cell r="AI81" t="str">
            <v>R</v>
          </cell>
          <cell r="AJ81">
            <v>1915836.2</v>
          </cell>
          <cell r="AK81" t="str">
            <v>30/09/2023</v>
          </cell>
          <cell r="AL81" t="str">
            <v>NSC94474</v>
          </cell>
          <cell r="AM81" t="str">
            <v>TRI-VECTOR METER FOR RAILWAY TRACTION</v>
          </cell>
          <cell r="AN81" t="str">
            <v>BI DIRECTIONAL</v>
          </cell>
          <cell r="AO81">
            <v>100</v>
          </cell>
          <cell r="AP81" t="str">
            <v>TOD</v>
          </cell>
          <cell r="AQ81">
            <v>396145.16</v>
          </cell>
          <cell r="AR81">
            <v>0</v>
          </cell>
          <cell r="AS81">
            <v>0</v>
          </cell>
          <cell r="AT81">
            <v>0</v>
          </cell>
          <cell r="AU81">
            <v>0</v>
          </cell>
          <cell r="AV81">
            <v>0</v>
          </cell>
          <cell r="AW81">
            <v>152158</v>
          </cell>
          <cell r="AX81">
            <v>154048</v>
          </cell>
          <cell r="AY81">
            <v>154048</v>
          </cell>
          <cell r="AZ81">
            <v>1.0980000000000001</v>
          </cell>
          <cell r="BA81">
            <v>439.20000000000005</v>
          </cell>
        </row>
        <row r="82">
          <cell r="F82">
            <v>123000000012</v>
          </cell>
          <cell r="G82" t="str">
            <v>BIRLA TYRES</v>
          </cell>
          <cell r="H82" t="str">
            <v>CHHANAPUR,</v>
          </cell>
          <cell r="I82" t="str">
            <v>10/31/2020 00:00:00</v>
          </cell>
          <cell r="J82">
            <v>1</v>
          </cell>
          <cell r="K82" t="str">
            <v xml:space="preserve"> </v>
          </cell>
          <cell r="L82" t="str">
            <v xml:space="preserve"> </v>
          </cell>
          <cell r="M82" t="str">
            <v>324000010232495284</v>
          </cell>
          <cell r="N82" t="str">
            <v>1230000011</v>
          </cell>
          <cell r="O82" t="str">
            <v>22012-LI</v>
          </cell>
          <cell r="P82" t="str">
            <v>NULL</v>
          </cell>
          <cell r="Q82" t="str">
            <v>LARGE INDUSTRY</v>
          </cell>
          <cell r="R82" t="str">
            <v>EHT</v>
          </cell>
          <cell r="S82" t="str">
            <v>01/10/2023</v>
          </cell>
          <cell r="T82" t="str">
            <v>01/10/2023</v>
          </cell>
          <cell r="U82" t="str">
            <v>06/10/2023</v>
          </cell>
          <cell r="V82" t="str">
            <v>09/10/2023</v>
          </cell>
          <cell r="W82" t="str">
            <v>2023/09</v>
          </cell>
          <cell r="X82" t="str">
            <v>132 KV</v>
          </cell>
          <cell r="Y82" t="str">
            <v>HT</v>
          </cell>
          <cell r="Z82">
            <v>1600</v>
          </cell>
          <cell r="AA82">
            <v>1</v>
          </cell>
          <cell r="AB82">
            <v>87.09</v>
          </cell>
          <cell r="AC82" t="str">
            <v xml:space="preserve">01/09/2023 -     </v>
          </cell>
          <cell r="AD82" t="str">
            <v>30.09.2023</v>
          </cell>
          <cell r="AE82" t="str">
            <v>30/1.0000</v>
          </cell>
          <cell r="AF82">
            <v>2000</v>
          </cell>
          <cell r="AG82" t="str">
            <v>KVA</v>
          </cell>
          <cell r="AH82">
            <v>2000</v>
          </cell>
          <cell r="AI82" t="str">
            <v>R</v>
          </cell>
          <cell r="AJ82">
            <v>35459200.100000001</v>
          </cell>
          <cell r="AK82" t="str">
            <v>30/09/2023</v>
          </cell>
          <cell r="AL82" t="str">
            <v>NES51020</v>
          </cell>
          <cell r="AM82" t="str">
            <v>THREE PHASE HT CT METER-33KV</v>
          </cell>
          <cell r="AN82" t="str">
            <v>POST PAID</v>
          </cell>
          <cell r="AO82">
            <v>0</v>
          </cell>
          <cell r="AP82" t="str">
            <v>TOD</v>
          </cell>
          <cell r="AQ82">
            <v>-30026392.359999999</v>
          </cell>
          <cell r="AR82">
            <v>0</v>
          </cell>
          <cell r="AS82">
            <v>0</v>
          </cell>
          <cell r="AT82">
            <v>0</v>
          </cell>
          <cell r="AU82">
            <v>-1226</v>
          </cell>
          <cell r="AV82">
            <v>0</v>
          </cell>
          <cell r="AW82">
            <v>150500</v>
          </cell>
          <cell r="AX82">
            <v>150500</v>
          </cell>
          <cell r="AY82">
            <v>150500</v>
          </cell>
          <cell r="AZ82">
            <v>0.24</v>
          </cell>
          <cell r="BA82">
            <v>240</v>
          </cell>
        </row>
        <row r="83">
          <cell r="F83">
            <v>123000000013</v>
          </cell>
          <cell r="G83" t="str">
            <v>J.K.DASMAL JUTE PRODUCTS PVT.</v>
          </cell>
          <cell r="H83" t="str">
            <v>RUPSA,BALASORE,</v>
          </cell>
          <cell r="I83" t="str">
            <v>10/31/2020 00:00:00</v>
          </cell>
          <cell r="J83">
            <v>1</v>
          </cell>
          <cell r="K83" t="str">
            <v xml:space="preserve"> </v>
          </cell>
          <cell r="L83" t="str">
            <v xml:space="preserve"> </v>
          </cell>
          <cell r="M83" t="str">
            <v>324000010231494619</v>
          </cell>
          <cell r="N83" t="str">
            <v>1230000012</v>
          </cell>
          <cell r="O83" t="str">
            <v>8571/72</v>
          </cell>
          <cell r="P83" t="str">
            <v>43287401010</v>
          </cell>
          <cell r="Q83" t="str">
            <v>LARGE INDUSTRY</v>
          </cell>
          <cell r="R83" t="str">
            <v>HT</v>
          </cell>
          <cell r="S83" t="str">
            <v>01/10/2023</v>
          </cell>
          <cell r="T83" t="str">
            <v>01/10/2023</v>
          </cell>
          <cell r="U83" t="str">
            <v>06/10/2023</v>
          </cell>
          <cell r="V83" t="str">
            <v>09/10/2023</v>
          </cell>
          <cell r="W83" t="str">
            <v>2023/09</v>
          </cell>
          <cell r="X83" t="str">
            <v>33 KV</v>
          </cell>
          <cell r="Y83" t="str">
            <v>HT</v>
          </cell>
          <cell r="Z83">
            <v>360</v>
          </cell>
          <cell r="AA83">
            <v>0.98599999999999999</v>
          </cell>
          <cell r="AB83">
            <v>46.36</v>
          </cell>
          <cell r="AC83" t="str">
            <v xml:space="preserve">01/09/2023 -     </v>
          </cell>
          <cell r="AD83" t="str">
            <v>30.09.2023</v>
          </cell>
          <cell r="AE83" t="str">
            <v>30/1.0000</v>
          </cell>
          <cell r="AF83">
            <v>450</v>
          </cell>
          <cell r="AG83" t="str">
            <v>KVA</v>
          </cell>
          <cell r="AH83">
            <v>450</v>
          </cell>
          <cell r="AI83" t="str">
            <v>R</v>
          </cell>
          <cell r="AJ83">
            <v>1959663</v>
          </cell>
          <cell r="AK83" t="str">
            <v>30/09/2023</v>
          </cell>
          <cell r="AL83" t="str">
            <v>NES52170</v>
          </cell>
          <cell r="AM83" t="str">
            <v>THREE PHASE HT CT METER-33KV</v>
          </cell>
          <cell r="AN83" t="str">
            <v>POST PAID</v>
          </cell>
          <cell r="AO83">
            <v>1000</v>
          </cell>
          <cell r="AP83" t="str">
            <v>TOD</v>
          </cell>
          <cell r="AQ83">
            <v>-60149.3</v>
          </cell>
          <cell r="AR83">
            <v>0</v>
          </cell>
          <cell r="AS83">
            <v>0</v>
          </cell>
          <cell r="AT83">
            <v>0</v>
          </cell>
          <cell r="AU83">
            <v>0</v>
          </cell>
          <cell r="AV83">
            <v>0</v>
          </cell>
          <cell r="AW83">
            <v>114612</v>
          </cell>
          <cell r="AX83">
            <v>116229</v>
          </cell>
          <cell r="AY83">
            <v>116229</v>
          </cell>
          <cell r="AZ83">
            <v>2669.28</v>
          </cell>
          <cell r="BA83">
            <v>348.24</v>
          </cell>
        </row>
        <row r="84">
          <cell r="F84">
            <v>123000000016</v>
          </cell>
          <cell r="G84" t="str">
            <v>M/S GOLDEN AQUA FARM</v>
          </cell>
          <cell r="H84" t="str">
            <v>At/Po - Inchudi,</v>
          </cell>
          <cell r="I84" t="str">
            <v>10/31/2020 00:00:00</v>
          </cell>
          <cell r="J84">
            <v>1</v>
          </cell>
          <cell r="K84" t="str">
            <v xml:space="preserve"> </v>
          </cell>
          <cell r="L84" t="str">
            <v xml:space="preserve"> </v>
          </cell>
          <cell r="M84" t="str">
            <v>324000010231494241</v>
          </cell>
          <cell r="N84" t="str">
            <v>1230000015</v>
          </cell>
          <cell r="O84" t="str">
            <v>GP-54348</v>
          </cell>
          <cell r="P84" t="str">
            <v>432423402</v>
          </cell>
          <cell r="Q84" t="str">
            <v>ALLIED AGRICULTURE ACTIVITIES</v>
          </cell>
          <cell r="R84" t="str">
            <v>HT</v>
          </cell>
          <cell r="S84" t="str">
            <v>01/10/2023</v>
          </cell>
          <cell r="T84" t="str">
            <v>01/10/2023</v>
          </cell>
          <cell r="U84" t="str">
            <v>09/10/2023</v>
          </cell>
          <cell r="V84" t="str">
            <v>09/10/2023</v>
          </cell>
          <cell r="W84" t="str">
            <v>2023/09</v>
          </cell>
          <cell r="X84" t="str">
            <v>11 KV</v>
          </cell>
          <cell r="Y84" t="str">
            <v>LT</v>
          </cell>
          <cell r="Z84">
            <v>144</v>
          </cell>
          <cell r="AA84">
            <v>0.66159999999999997</v>
          </cell>
          <cell r="AB84">
            <v>0</v>
          </cell>
          <cell r="AC84" t="str">
            <v xml:space="preserve">01/09/2023 -     </v>
          </cell>
          <cell r="AD84" t="str">
            <v>30.09.2023</v>
          </cell>
          <cell r="AE84" t="str">
            <v>30/1.0000</v>
          </cell>
          <cell r="AF84">
            <v>144</v>
          </cell>
          <cell r="AG84" t="str">
            <v>KVA</v>
          </cell>
          <cell r="AH84">
            <v>144</v>
          </cell>
          <cell r="AI84" t="str">
            <v>R</v>
          </cell>
          <cell r="AJ84">
            <v>118890</v>
          </cell>
          <cell r="AK84" t="str">
            <v>30/09/2023</v>
          </cell>
          <cell r="AL84" t="str">
            <v>TPN64188</v>
          </cell>
          <cell r="AM84" t="str">
            <v>THREE PHASE STATIC TRI-VECTOR METER-TOD</v>
          </cell>
          <cell r="AN84" t="str">
            <v>POST PAID</v>
          </cell>
          <cell r="AO84">
            <v>250</v>
          </cell>
          <cell r="AP84" t="str">
            <v>TOD</v>
          </cell>
          <cell r="AQ84">
            <v>3284.26</v>
          </cell>
          <cell r="AR84">
            <v>0</v>
          </cell>
          <cell r="AS84">
            <v>0</v>
          </cell>
          <cell r="AT84">
            <v>0</v>
          </cell>
          <cell r="AU84">
            <v>0</v>
          </cell>
          <cell r="AV84">
            <v>0</v>
          </cell>
          <cell r="AW84">
            <v>2450</v>
          </cell>
          <cell r="AX84">
            <v>3703</v>
          </cell>
          <cell r="AY84">
            <v>4616</v>
          </cell>
          <cell r="AZ84">
            <v>168.48</v>
          </cell>
          <cell r="BA84">
            <v>22.69</v>
          </cell>
        </row>
        <row r="85">
          <cell r="F85">
            <v>123000000025</v>
          </cell>
          <cell r="G85" t="str">
            <v>M/S S.N.M BUSINESS (P) LTD.</v>
          </cell>
          <cell r="H85" t="str">
            <v>AT-SEREGARHA,</v>
          </cell>
          <cell r="I85" t="str">
            <v>10/31/2020 00:00:00</v>
          </cell>
          <cell r="J85">
            <v>1</v>
          </cell>
          <cell r="K85" t="str">
            <v xml:space="preserve"> </v>
          </cell>
          <cell r="L85" t="str">
            <v xml:space="preserve"> </v>
          </cell>
          <cell r="M85" t="str">
            <v>324000010231494664</v>
          </cell>
          <cell r="N85" t="str">
            <v>1230000019</v>
          </cell>
          <cell r="O85" t="str">
            <v>L-51637</v>
          </cell>
          <cell r="P85" t="str">
            <v>43287401008</v>
          </cell>
          <cell r="Q85" t="str">
            <v>LARGE INDUSTRY</v>
          </cell>
          <cell r="R85" t="str">
            <v>HT</v>
          </cell>
          <cell r="S85" t="str">
            <v>01/10/2023</v>
          </cell>
          <cell r="T85" t="str">
            <v>01/10/2023</v>
          </cell>
          <cell r="U85" t="str">
            <v>06/10/2023</v>
          </cell>
          <cell r="V85" t="str">
            <v>09/10/2023</v>
          </cell>
          <cell r="W85" t="str">
            <v>2023/09</v>
          </cell>
          <cell r="X85" t="str">
            <v>33 KV</v>
          </cell>
          <cell r="Y85" t="str">
            <v>HT</v>
          </cell>
          <cell r="Z85">
            <v>480</v>
          </cell>
          <cell r="AA85">
            <v>0.98670000000000002</v>
          </cell>
          <cell r="AB85">
            <v>45.58</v>
          </cell>
          <cell r="AC85" t="str">
            <v xml:space="preserve">01/09/2023 -     </v>
          </cell>
          <cell r="AD85" t="str">
            <v>30.09.2023</v>
          </cell>
          <cell r="AE85" t="str">
            <v>30/1.0000</v>
          </cell>
          <cell r="AF85">
            <v>600</v>
          </cell>
          <cell r="AG85" t="str">
            <v>KVA</v>
          </cell>
          <cell r="AH85">
            <v>600</v>
          </cell>
          <cell r="AI85" t="str">
            <v>R</v>
          </cell>
          <cell r="AJ85">
            <v>2821632.45</v>
          </cell>
          <cell r="AK85" t="str">
            <v>30/09/2023</v>
          </cell>
          <cell r="AL85" t="str">
            <v>NES50376</v>
          </cell>
          <cell r="AM85" t="str">
            <v>THREE PHASE HT CT METER-33KV</v>
          </cell>
          <cell r="AN85" t="str">
            <v>POST PAID</v>
          </cell>
          <cell r="AO85">
            <v>1000</v>
          </cell>
          <cell r="AP85" t="str">
            <v>TOD</v>
          </cell>
          <cell r="AQ85">
            <v>-429515.65</v>
          </cell>
          <cell r="AR85">
            <v>0</v>
          </cell>
          <cell r="AS85">
            <v>0</v>
          </cell>
          <cell r="AT85">
            <v>0</v>
          </cell>
          <cell r="AU85">
            <v>0</v>
          </cell>
          <cell r="AV85">
            <v>0</v>
          </cell>
          <cell r="AW85">
            <v>141075</v>
          </cell>
          <cell r="AX85">
            <v>142965</v>
          </cell>
          <cell r="AY85">
            <v>142965</v>
          </cell>
          <cell r="AZ85">
            <v>3325.2</v>
          </cell>
          <cell r="BA85">
            <v>435.59999999999997</v>
          </cell>
        </row>
        <row r="86">
          <cell r="F86">
            <v>123000000029</v>
          </cell>
          <cell r="G86" t="str">
            <v>INDIAN OIL CORPORATION LTD.</v>
          </cell>
          <cell r="H86" t="str">
            <v>SOMANATHPUR,</v>
          </cell>
          <cell r="I86" t="str">
            <v>10/31/2020 00:00:00</v>
          </cell>
          <cell r="J86">
            <v>1</v>
          </cell>
          <cell r="K86" t="str">
            <v xml:space="preserve"> </v>
          </cell>
          <cell r="L86" t="str">
            <v xml:space="preserve"> </v>
          </cell>
          <cell r="M86" t="str">
            <v>324000010232495288</v>
          </cell>
          <cell r="N86" t="str">
            <v>1230000020</v>
          </cell>
          <cell r="O86" t="str">
            <v>GP-69224</v>
          </cell>
          <cell r="P86" t="str">
            <v>43207405001</v>
          </cell>
          <cell r="Q86" t="str">
            <v>GENERAL PURPOSE &gt;= 110 KVA</v>
          </cell>
          <cell r="R86" t="str">
            <v>HT</v>
          </cell>
          <cell r="S86" t="str">
            <v>01/10/2023</v>
          </cell>
          <cell r="T86" t="str">
            <v>01/10/2023</v>
          </cell>
          <cell r="U86" t="str">
            <v>06/10/2023</v>
          </cell>
          <cell r="V86" t="str">
            <v>09/10/2023</v>
          </cell>
          <cell r="W86" t="str">
            <v>2023/09</v>
          </cell>
          <cell r="X86" t="str">
            <v>33 KV</v>
          </cell>
          <cell r="Y86" t="str">
            <v>HT</v>
          </cell>
          <cell r="Z86">
            <v>327.84</v>
          </cell>
          <cell r="AA86">
            <v>0.99560000000000004</v>
          </cell>
          <cell r="AB86">
            <v>36.21</v>
          </cell>
          <cell r="AC86" t="str">
            <v xml:space="preserve">01/09/2023 -     </v>
          </cell>
          <cell r="AD86" t="str">
            <v>30.09.2023</v>
          </cell>
          <cell r="AE86" t="str">
            <v>30/1.0000</v>
          </cell>
          <cell r="AF86">
            <v>350</v>
          </cell>
          <cell r="AG86" t="str">
            <v>KVA</v>
          </cell>
          <cell r="AH86">
            <v>350</v>
          </cell>
          <cell r="AI86" t="str">
            <v>R</v>
          </cell>
          <cell r="AJ86">
            <v>1454174.5</v>
          </cell>
          <cell r="AK86" t="str">
            <v>30/09/2023</v>
          </cell>
          <cell r="AL86" t="str">
            <v>NSC94670</v>
          </cell>
          <cell r="AM86" t="str">
            <v>THREE PHASE HT CT METER-33KV</v>
          </cell>
          <cell r="AN86" t="str">
            <v>BI DIRECTIONAL</v>
          </cell>
          <cell r="AO86">
            <v>0</v>
          </cell>
          <cell r="AP86" t="str">
            <v>TOD</v>
          </cell>
          <cell r="AQ86">
            <v>-760799.6</v>
          </cell>
          <cell r="AR86">
            <v>0</v>
          </cell>
          <cell r="AS86">
            <v>0</v>
          </cell>
          <cell r="AT86">
            <v>0</v>
          </cell>
          <cell r="AU86">
            <v>0</v>
          </cell>
          <cell r="AV86">
            <v>0</v>
          </cell>
          <cell r="AW86">
            <v>85824</v>
          </cell>
          <cell r="AX86">
            <v>86202</v>
          </cell>
          <cell r="AY86">
            <v>85476</v>
          </cell>
          <cell r="AZ86">
            <v>0.2732</v>
          </cell>
          <cell r="BA86">
            <v>327.84</v>
          </cell>
        </row>
        <row r="87">
          <cell r="F87">
            <v>123000000036</v>
          </cell>
          <cell r="G87" t="str">
            <v>BHARAT PETROLEUM LIMITED</v>
          </cell>
          <cell r="H87" t="str">
            <v>AT/PO-SOMANATHPUR,</v>
          </cell>
          <cell r="I87" t="str">
            <v>10/31/2020 00:00:00</v>
          </cell>
          <cell r="J87">
            <v>1</v>
          </cell>
          <cell r="K87" t="str">
            <v xml:space="preserve"> </v>
          </cell>
          <cell r="L87" t="str">
            <v xml:space="preserve"> </v>
          </cell>
          <cell r="M87" t="str">
            <v>324000010232495292</v>
          </cell>
          <cell r="N87" t="str">
            <v>1230000025</v>
          </cell>
          <cell r="O87" t="str">
            <v>BM-55249</v>
          </cell>
          <cell r="P87" t="str">
            <v>43207405001</v>
          </cell>
          <cell r="Q87" t="str">
            <v>LARGE INDUSTRY</v>
          </cell>
          <cell r="R87" t="str">
            <v>HT</v>
          </cell>
          <cell r="S87" t="str">
            <v>01/10/2023</v>
          </cell>
          <cell r="T87" t="str">
            <v>01/10/2023</v>
          </cell>
          <cell r="U87" t="str">
            <v>06/10/2023</v>
          </cell>
          <cell r="V87" t="str">
            <v>09/10/2023</v>
          </cell>
          <cell r="W87" t="str">
            <v>2023/09</v>
          </cell>
          <cell r="X87" t="str">
            <v>33 KV</v>
          </cell>
          <cell r="Y87" t="str">
            <v>HT</v>
          </cell>
          <cell r="Z87">
            <v>280</v>
          </cell>
          <cell r="AA87">
            <v>0.99370000000000003</v>
          </cell>
          <cell r="AB87">
            <v>18.54</v>
          </cell>
          <cell r="AC87" t="str">
            <v xml:space="preserve">01/09/2023 -     </v>
          </cell>
          <cell r="AD87" t="str">
            <v>30.09.2023</v>
          </cell>
          <cell r="AE87" t="str">
            <v>30/1.0000</v>
          </cell>
          <cell r="AF87">
            <v>350</v>
          </cell>
          <cell r="AG87" t="str">
            <v>KVA</v>
          </cell>
          <cell r="AH87">
            <v>350</v>
          </cell>
          <cell r="AI87" t="str">
            <v>R</v>
          </cell>
          <cell r="AJ87">
            <v>2148439.7999999998</v>
          </cell>
          <cell r="AK87" t="str">
            <v>30/09/2023</v>
          </cell>
          <cell r="AL87" t="str">
            <v>TPN64674</v>
          </cell>
          <cell r="AM87" t="str">
            <v>THREE PHASE HT CT METER-33KV</v>
          </cell>
          <cell r="AN87" t="str">
            <v>BI DIRECTIONAL</v>
          </cell>
          <cell r="AO87">
            <v>500</v>
          </cell>
          <cell r="AP87" t="str">
            <v>TOD</v>
          </cell>
          <cell r="AQ87">
            <v>-479758.4</v>
          </cell>
          <cell r="AR87">
            <v>0</v>
          </cell>
          <cell r="AS87">
            <v>0</v>
          </cell>
          <cell r="AT87">
            <v>0</v>
          </cell>
          <cell r="AU87">
            <v>0</v>
          </cell>
          <cell r="AV87">
            <v>0</v>
          </cell>
          <cell r="AW87">
            <v>33327</v>
          </cell>
          <cell r="AX87">
            <v>33537</v>
          </cell>
          <cell r="AY87">
            <v>33477</v>
          </cell>
          <cell r="AZ87">
            <v>0.41799999999999998</v>
          </cell>
          <cell r="BA87">
            <v>250.79999999999998</v>
          </cell>
        </row>
        <row r="88">
          <cell r="F88">
            <v>123000000037</v>
          </cell>
          <cell r="G88" t="str">
            <v>HINDUSTAN PETROLEUM LIMITED</v>
          </cell>
          <cell r="H88" t="str">
            <v>AT/PO-SOMANATHPUR,</v>
          </cell>
          <cell r="I88" t="str">
            <v>10/31/2020 00:00:00</v>
          </cell>
          <cell r="J88">
            <v>1</v>
          </cell>
          <cell r="K88" t="str">
            <v xml:space="preserve"> </v>
          </cell>
          <cell r="L88" t="str">
            <v xml:space="preserve"> </v>
          </cell>
          <cell r="M88" t="str">
            <v>324000010231495097</v>
          </cell>
          <cell r="N88" t="str">
            <v>1230000026</v>
          </cell>
          <cell r="O88" t="str">
            <v>BM-55250</v>
          </cell>
          <cell r="P88" t="str">
            <v>43207405001</v>
          </cell>
          <cell r="Q88" t="str">
            <v>LARGE INDUSTRY</v>
          </cell>
          <cell r="R88" t="str">
            <v>HT</v>
          </cell>
          <cell r="S88" t="str">
            <v>01/10/2023</v>
          </cell>
          <cell r="T88" t="str">
            <v>01/10/2023</v>
          </cell>
          <cell r="U88" t="str">
            <v>06/10/2023</v>
          </cell>
          <cell r="V88" t="str">
            <v>09/10/2023</v>
          </cell>
          <cell r="W88" t="str">
            <v>2023/09</v>
          </cell>
          <cell r="X88" t="str">
            <v>33 KV</v>
          </cell>
          <cell r="Y88" t="str">
            <v>HT</v>
          </cell>
          <cell r="Z88">
            <v>201.12</v>
          </cell>
          <cell r="AA88">
            <v>0.99390000000000001</v>
          </cell>
          <cell r="AB88">
            <v>17.13</v>
          </cell>
          <cell r="AC88" t="str">
            <v xml:space="preserve">01/09/2023 -     </v>
          </cell>
          <cell r="AD88" t="str">
            <v>30.09.2023</v>
          </cell>
          <cell r="AE88" t="str">
            <v>30/1.0000</v>
          </cell>
          <cell r="AF88">
            <v>210</v>
          </cell>
          <cell r="AG88" t="str">
            <v>KVA</v>
          </cell>
          <cell r="AH88">
            <v>210</v>
          </cell>
          <cell r="AI88" t="str">
            <v>R</v>
          </cell>
          <cell r="AJ88">
            <v>481866</v>
          </cell>
          <cell r="AK88" t="str">
            <v>30/09/2023</v>
          </cell>
          <cell r="AL88" t="str">
            <v>NSC95144</v>
          </cell>
          <cell r="AM88" t="str">
            <v>THREE PHASE HT CT METER-33KV</v>
          </cell>
          <cell r="AN88" t="str">
            <v>BI DIRECTIONAL</v>
          </cell>
          <cell r="AO88">
            <v>500</v>
          </cell>
          <cell r="AP88" t="str">
            <v>TOD</v>
          </cell>
          <cell r="AQ88">
            <v>-168510.1</v>
          </cell>
          <cell r="AR88">
            <v>0</v>
          </cell>
          <cell r="AS88">
            <v>0</v>
          </cell>
          <cell r="AT88">
            <v>0</v>
          </cell>
          <cell r="AU88">
            <v>0</v>
          </cell>
          <cell r="AV88">
            <v>0</v>
          </cell>
          <cell r="AW88">
            <v>24651</v>
          </cell>
          <cell r="AX88">
            <v>24801</v>
          </cell>
          <cell r="AY88">
            <v>24801</v>
          </cell>
          <cell r="AZ88">
            <v>0.3352</v>
          </cell>
          <cell r="BA88">
            <v>201.12</v>
          </cell>
        </row>
        <row r="89">
          <cell r="F89">
            <v>123000000047</v>
          </cell>
          <cell r="G89" t="str">
            <v>S.R.AQUA</v>
          </cell>
          <cell r="H89" t="str">
            <v>C/O-SANGRAM KUMAR DAS</v>
          </cell>
          <cell r="I89" t="str">
            <v>10/31/2020 00:00:00</v>
          </cell>
          <cell r="J89">
            <v>1</v>
          </cell>
          <cell r="K89" t="str">
            <v xml:space="preserve"> </v>
          </cell>
          <cell r="L89" t="str">
            <v xml:space="preserve"> </v>
          </cell>
          <cell r="M89" t="str">
            <v>324000010231494655</v>
          </cell>
          <cell r="N89" t="str">
            <v>1230000034</v>
          </cell>
          <cell r="O89" t="str">
            <v>BR-31834</v>
          </cell>
          <cell r="P89" t="str">
            <v>432413202</v>
          </cell>
          <cell r="Q89" t="str">
            <v>ALLIED AGRICULTURE ACTIVITIES</v>
          </cell>
          <cell r="R89" t="str">
            <v>HT</v>
          </cell>
          <cell r="S89" t="str">
            <v>01/10/2023</v>
          </cell>
          <cell r="T89" t="str">
            <v>01/10/2023</v>
          </cell>
          <cell r="U89" t="str">
            <v>09/10/2023</v>
          </cell>
          <cell r="V89" t="str">
            <v>09/10/2023</v>
          </cell>
          <cell r="W89" t="str">
            <v>2023/09</v>
          </cell>
          <cell r="X89" t="str">
            <v>11 KV</v>
          </cell>
          <cell r="Y89" t="str">
            <v>HT</v>
          </cell>
          <cell r="Z89">
            <v>350</v>
          </cell>
          <cell r="AA89">
            <v>0.55330000000000001</v>
          </cell>
          <cell r="AB89">
            <v>0</v>
          </cell>
          <cell r="AC89" t="str">
            <v xml:space="preserve">01/09/2023 -     </v>
          </cell>
          <cell r="AD89" t="str">
            <v>30.09.2023</v>
          </cell>
          <cell r="AE89" t="str">
            <v>30/1.0000</v>
          </cell>
          <cell r="AF89">
            <v>350</v>
          </cell>
          <cell r="AG89" t="str">
            <v>KVA</v>
          </cell>
          <cell r="AH89">
            <v>350</v>
          </cell>
          <cell r="AI89" t="str">
            <v>R</v>
          </cell>
          <cell r="AJ89">
            <v>235767</v>
          </cell>
          <cell r="AK89" t="str">
            <v>30/09/2023</v>
          </cell>
          <cell r="AL89" t="str">
            <v>NES50923</v>
          </cell>
          <cell r="AM89" t="str">
            <v>TRI-VECTOR METER FOR RAILWAY TRACTION</v>
          </cell>
          <cell r="AN89" t="str">
            <v>POST PAID</v>
          </cell>
          <cell r="AO89">
            <v>150</v>
          </cell>
          <cell r="AP89" t="str">
            <v>TOD</v>
          </cell>
          <cell r="AQ89">
            <v>-135552</v>
          </cell>
          <cell r="AR89">
            <v>0</v>
          </cell>
          <cell r="AS89">
            <v>0</v>
          </cell>
          <cell r="AT89">
            <v>0</v>
          </cell>
          <cell r="AU89">
            <v>0</v>
          </cell>
          <cell r="AV89">
            <v>0</v>
          </cell>
          <cell r="AW89">
            <v>17785</v>
          </cell>
          <cell r="AX89">
            <v>32140</v>
          </cell>
          <cell r="AY89">
            <v>32140</v>
          </cell>
          <cell r="AZ89">
            <v>1138</v>
          </cell>
          <cell r="BA89">
            <v>118.6</v>
          </cell>
        </row>
        <row r="90">
          <cell r="F90">
            <v>123000000048</v>
          </cell>
          <cell r="G90" t="str">
            <v>TARUMATA ICE FACTORY</v>
          </cell>
          <cell r="H90" t="str">
            <v>AT/PO BAHABALPUR,</v>
          </cell>
          <cell r="I90" t="str">
            <v>10/31/2020 00:00:00</v>
          </cell>
          <cell r="J90">
            <v>1</v>
          </cell>
          <cell r="K90" t="str">
            <v xml:space="preserve"> </v>
          </cell>
          <cell r="L90" t="str">
            <v xml:space="preserve"> </v>
          </cell>
          <cell r="M90" t="str">
            <v>324000010231494682</v>
          </cell>
          <cell r="N90" t="str">
            <v>1230000035</v>
          </cell>
          <cell r="O90" t="str">
            <v>BR-21226</v>
          </cell>
          <cell r="P90" t="str">
            <v>432413202</v>
          </cell>
          <cell r="Q90" t="str">
            <v>LARGE INDUSTRY</v>
          </cell>
          <cell r="R90" t="str">
            <v>HT</v>
          </cell>
          <cell r="S90" t="str">
            <v>01/10/2023</v>
          </cell>
          <cell r="T90" t="str">
            <v>01/10/2023</v>
          </cell>
          <cell r="U90" t="str">
            <v>06/10/2023</v>
          </cell>
          <cell r="V90" t="str">
            <v>09/10/2023</v>
          </cell>
          <cell r="W90" t="str">
            <v>2023/09</v>
          </cell>
          <cell r="X90" t="str">
            <v>11 KV</v>
          </cell>
          <cell r="Y90" t="str">
            <v>HT</v>
          </cell>
          <cell r="Z90">
            <v>181.04</v>
          </cell>
          <cell r="AA90">
            <v>0.97450000000000003</v>
          </cell>
          <cell r="AB90">
            <v>69.540000000000006</v>
          </cell>
          <cell r="AC90" t="str">
            <v xml:space="preserve">01/09/2023 -     </v>
          </cell>
          <cell r="AD90" t="str">
            <v>30.09.2023</v>
          </cell>
          <cell r="AE90" t="str">
            <v>30/1.0000</v>
          </cell>
          <cell r="AF90">
            <v>160</v>
          </cell>
          <cell r="AG90" t="str">
            <v>KVA</v>
          </cell>
          <cell r="AH90">
            <v>160</v>
          </cell>
          <cell r="AI90" t="str">
            <v>R</v>
          </cell>
          <cell r="AJ90">
            <v>566490.17000000004</v>
          </cell>
          <cell r="AK90" t="str">
            <v>30/09/2023</v>
          </cell>
          <cell r="AL90" t="str">
            <v>NSC94693</v>
          </cell>
          <cell r="AM90" t="str">
            <v>SINGLE PHASE ELECTRO-MAGNETIC KWH METER-TOD</v>
          </cell>
          <cell r="AN90" t="str">
            <v>POST PAID</v>
          </cell>
          <cell r="AO90">
            <v>250</v>
          </cell>
          <cell r="AP90" t="str">
            <v>TOD</v>
          </cell>
          <cell r="AQ90">
            <v>205790.43</v>
          </cell>
          <cell r="AR90">
            <v>0</v>
          </cell>
          <cell r="AS90">
            <v>0</v>
          </cell>
          <cell r="AT90">
            <v>0</v>
          </cell>
          <cell r="AU90">
            <v>0</v>
          </cell>
          <cell r="AV90">
            <v>0</v>
          </cell>
          <cell r="AW90">
            <v>88332</v>
          </cell>
          <cell r="AX90">
            <v>90639</v>
          </cell>
          <cell r="AY90">
            <v>90639</v>
          </cell>
          <cell r="AZ90">
            <v>1222.08</v>
          </cell>
          <cell r="BA90">
            <v>181.04</v>
          </cell>
        </row>
        <row r="91">
          <cell r="F91">
            <v>123000000049</v>
          </cell>
          <cell r="G91" t="str">
            <v>HARI UDYOG (P) LTD.</v>
          </cell>
          <cell r="H91" t="str">
            <v>AT/PO  KHANNAGAR,</v>
          </cell>
          <cell r="I91" t="str">
            <v>10/31/2020 00:00:00</v>
          </cell>
          <cell r="J91">
            <v>1</v>
          </cell>
          <cell r="K91" t="str">
            <v xml:space="preserve"> </v>
          </cell>
          <cell r="L91" t="str">
            <v xml:space="preserve"> </v>
          </cell>
          <cell r="M91" t="str">
            <v>324000010231494691</v>
          </cell>
          <cell r="N91" t="str">
            <v>1230000036</v>
          </cell>
          <cell r="O91" t="str">
            <v>84800</v>
          </cell>
          <cell r="P91" t="str">
            <v>43287401008</v>
          </cell>
          <cell r="Q91" t="str">
            <v>LARGE INDUSTRY</v>
          </cell>
          <cell r="R91" t="str">
            <v>HT</v>
          </cell>
          <cell r="S91" t="str">
            <v>01/10/2023</v>
          </cell>
          <cell r="T91" t="str">
            <v>01/10/2023</v>
          </cell>
          <cell r="U91" t="str">
            <v>06/10/2023</v>
          </cell>
          <cell r="V91" t="str">
            <v>09/10/2023</v>
          </cell>
          <cell r="W91" t="str">
            <v>2023/09</v>
          </cell>
          <cell r="X91" t="str">
            <v>33 KV</v>
          </cell>
          <cell r="Y91" t="str">
            <v>HT</v>
          </cell>
          <cell r="Z91">
            <v>960</v>
          </cell>
          <cell r="AA91">
            <v>0.99560000000000004</v>
          </cell>
          <cell r="AB91">
            <v>58.3</v>
          </cell>
          <cell r="AC91" t="str">
            <v xml:space="preserve">01/09/2023 -     </v>
          </cell>
          <cell r="AD91" t="str">
            <v>30.09.2023</v>
          </cell>
          <cell r="AE91" t="str">
            <v>30/1.0000</v>
          </cell>
          <cell r="AF91">
            <v>1200</v>
          </cell>
          <cell r="AG91" t="str">
            <v>KVA</v>
          </cell>
          <cell r="AH91">
            <v>1200</v>
          </cell>
          <cell r="AI91" t="str">
            <v>R</v>
          </cell>
          <cell r="AJ91">
            <v>6133152.4699999997</v>
          </cell>
          <cell r="AK91" t="str">
            <v>30/09/2023</v>
          </cell>
          <cell r="AL91" t="str">
            <v>NSC94435</v>
          </cell>
          <cell r="AM91" t="str">
            <v>THREE PHASE HT CT METER-33KV</v>
          </cell>
          <cell r="AN91" t="str">
            <v>POST PAID</v>
          </cell>
          <cell r="AO91">
            <v>1000</v>
          </cell>
          <cell r="AP91" t="str">
            <v>TOD</v>
          </cell>
          <cell r="AQ91">
            <v>-2468704.9700000002</v>
          </cell>
          <cell r="AR91">
            <v>0</v>
          </cell>
          <cell r="AS91">
            <v>0</v>
          </cell>
          <cell r="AT91">
            <v>0</v>
          </cell>
          <cell r="AU91">
            <v>0</v>
          </cell>
          <cell r="AV91">
            <v>0</v>
          </cell>
          <cell r="AW91">
            <v>250659</v>
          </cell>
          <cell r="AX91">
            <v>251757</v>
          </cell>
          <cell r="AY91">
            <v>251757</v>
          </cell>
          <cell r="AZ91">
            <v>4990.32</v>
          </cell>
          <cell r="BA91">
            <v>599.76</v>
          </cell>
        </row>
        <row r="92">
          <cell r="F92">
            <v>123000000054</v>
          </cell>
          <cell r="G92" t="str">
            <v>EMAMI PAPER MILLS LTD.</v>
          </cell>
          <cell r="H92" t="str">
            <v xml:space="preserve"> </v>
          </cell>
          <cell r="I92" t="str">
            <v>10/31/2020 00:00:00</v>
          </cell>
          <cell r="J92">
            <v>1</v>
          </cell>
          <cell r="K92" t="str">
            <v xml:space="preserve"> </v>
          </cell>
          <cell r="L92" t="str">
            <v xml:space="preserve"> </v>
          </cell>
          <cell r="M92" t="str">
            <v>324000010231495108</v>
          </cell>
          <cell r="N92" t="str">
            <v>1230000041</v>
          </cell>
          <cell r="O92" t="str">
            <v>8849B</v>
          </cell>
          <cell r="P92" t="str">
            <v>NULL</v>
          </cell>
          <cell r="Q92" t="str">
            <v>LARGE INDUSTRY</v>
          </cell>
          <cell r="R92" t="str">
            <v>EHT</v>
          </cell>
          <cell r="S92" t="str">
            <v>01/10/2023</v>
          </cell>
          <cell r="T92" t="str">
            <v>01/10/2023</v>
          </cell>
          <cell r="U92" t="str">
            <v>06/10/2023</v>
          </cell>
          <cell r="V92" t="str">
            <v>09/10/2023</v>
          </cell>
          <cell r="W92" t="str">
            <v>2023/09</v>
          </cell>
          <cell r="X92" t="str">
            <v>132 KV</v>
          </cell>
          <cell r="Y92" t="str">
            <v>HT</v>
          </cell>
          <cell r="Z92">
            <v>8000</v>
          </cell>
          <cell r="AA92">
            <v>0.99439999999999995</v>
          </cell>
          <cell r="AB92">
            <v>52.94</v>
          </cell>
          <cell r="AC92" t="str">
            <v xml:space="preserve">01/09/2023 -     </v>
          </cell>
          <cell r="AD92" t="str">
            <v>30.09.2023</v>
          </cell>
          <cell r="AE92" t="str">
            <v>30/1.0000</v>
          </cell>
          <cell r="AF92">
            <v>10000</v>
          </cell>
          <cell r="AG92" t="str">
            <v>KVA</v>
          </cell>
          <cell r="AH92">
            <v>10000</v>
          </cell>
          <cell r="AI92" t="str">
            <v>R</v>
          </cell>
          <cell r="AJ92">
            <v>57302082</v>
          </cell>
          <cell r="AK92" t="str">
            <v>30/09/2023</v>
          </cell>
          <cell r="AL92" t="str">
            <v>TPN64979</v>
          </cell>
          <cell r="AM92" t="str">
            <v>THREE PHASE SMART HT CT METER (AMR/AMI)-33KV</v>
          </cell>
          <cell r="AN92" t="str">
            <v>POST PAID</v>
          </cell>
          <cell r="AO92">
            <v>0</v>
          </cell>
          <cell r="AP92" t="str">
            <v>TOD</v>
          </cell>
          <cell r="AQ92">
            <v>-3449102.74</v>
          </cell>
          <cell r="AR92">
            <v>0</v>
          </cell>
          <cell r="AS92">
            <v>0</v>
          </cell>
          <cell r="AT92">
            <v>0</v>
          </cell>
          <cell r="AU92">
            <v>0</v>
          </cell>
          <cell r="AV92">
            <v>0</v>
          </cell>
          <cell r="AW92">
            <v>2429100</v>
          </cell>
          <cell r="AX92">
            <v>2442600</v>
          </cell>
          <cell r="AY92">
            <v>2442600</v>
          </cell>
          <cell r="AZ92">
            <v>53.4</v>
          </cell>
          <cell r="BA92">
            <v>6408</v>
          </cell>
        </row>
        <row r="93">
          <cell r="F93">
            <v>123000000055</v>
          </cell>
          <cell r="G93" t="str">
            <v>M/S HIL LTD.</v>
          </cell>
          <cell r="H93" t="str">
            <v>SOMANATHPUR,BALASORE</v>
          </cell>
          <cell r="I93" t="str">
            <v>10/31/2020 00:00:00</v>
          </cell>
          <cell r="J93">
            <v>1</v>
          </cell>
          <cell r="K93" t="str">
            <v xml:space="preserve"> </v>
          </cell>
          <cell r="L93" t="str">
            <v xml:space="preserve"> </v>
          </cell>
          <cell r="M93" t="str">
            <v>324000010231494460</v>
          </cell>
          <cell r="N93" t="str">
            <v>1230000042</v>
          </cell>
          <cell r="O93" t="str">
            <v>BM-87570</v>
          </cell>
          <cell r="P93" t="str">
            <v>43207405002</v>
          </cell>
          <cell r="Q93" t="str">
            <v>LARGE INDUSTRY</v>
          </cell>
          <cell r="R93" t="str">
            <v>HT</v>
          </cell>
          <cell r="S93" t="str">
            <v>01/10/2023</v>
          </cell>
          <cell r="T93" t="str">
            <v>01/10/2023</v>
          </cell>
          <cell r="U93" t="str">
            <v>06/10/2023</v>
          </cell>
          <cell r="V93" t="str">
            <v>09/10/2023</v>
          </cell>
          <cell r="W93" t="str">
            <v>2023/09</v>
          </cell>
          <cell r="X93" t="str">
            <v>33 KV</v>
          </cell>
          <cell r="Y93" t="str">
            <v>HT</v>
          </cell>
          <cell r="Z93">
            <v>800</v>
          </cell>
          <cell r="AA93">
            <v>0.999</v>
          </cell>
          <cell r="AB93">
            <v>51.48</v>
          </cell>
          <cell r="AC93" t="str">
            <v xml:space="preserve">26/08/2023 -     </v>
          </cell>
          <cell r="AD93" t="str">
            <v>30.09.2023</v>
          </cell>
          <cell r="AE93" t="str">
            <v>36/1.0000</v>
          </cell>
          <cell r="AF93">
            <v>1000</v>
          </cell>
          <cell r="AG93" t="str">
            <v>KVA</v>
          </cell>
          <cell r="AH93">
            <v>1000</v>
          </cell>
          <cell r="AI93" t="str">
            <v>R</v>
          </cell>
          <cell r="AJ93">
            <v>4749286.5</v>
          </cell>
          <cell r="AK93" t="str">
            <v>30/09/2023</v>
          </cell>
          <cell r="AL93" t="str">
            <v>NES51074</v>
          </cell>
          <cell r="AM93" t="str">
            <v>THREE PHASE HT CT METER-33KV</v>
          </cell>
          <cell r="AN93" t="str">
            <v>POST PAID</v>
          </cell>
          <cell r="AO93">
            <v>1600</v>
          </cell>
          <cell r="AP93" t="str">
            <v>TOD</v>
          </cell>
          <cell r="AQ93">
            <v>458397.6</v>
          </cell>
          <cell r="AR93">
            <v>0</v>
          </cell>
          <cell r="AS93">
            <v>0</v>
          </cell>
          <cell r="AT93">
            <v>0</v>
          </cell>
          <cell r="AU93">
            <v>0</v>
          </cell>
          <cell r="AV93">
            <v>0</v>
          </cell>
          <cell r="AW93">
            <v>307440</v>
          </cell>
          <cell r="AX93">
            <v>307725</v>
          </cell>
          <cell r="AY93">
            <v>307725</v>
          </cell>
          <cell r="AZ93">
            <v>5433</v>
          </cell>
          <cell r="BA93">
            <v>691.8</v>
          </cell>
        </row>
        <row r="94">
          <cell r="F94">
            <v>123000000057</v>
          </cell>
          <cell r="G94" t="str">
            <v>F.M.UNIVERSITY</v>
          </cell>
          <cell r="H94" t="str">
            <v>NUAPADHI,REMUNA,BALASORE</v>
          </cell>
          <cell r="I94" t="str">
            <v>10/31/2020 00:00:00</v>
          </cell>
          <cell r="J94">
            <v>1</v>
          </cell>
          <cell r="K94" t="str">
            <v xml:space="preserve"> </v>
          </cell>
          <cell r="L94" t="str">
            <v xml:space="preserve"> </v>
          </cell>
          <cell r="M94" t="str">
            <v>324000010231494084</v>
          </cell>
          <cell r="N94" t="str">
            <v>1230000044</v>
          </cell>
          <cell r="O94" t="str">
            <v>NM-86776</v>
          </cell>
          <cell r="P94" t="str">
            <v>432533301</v>
          </cell>
          <cell r="Q94" t="str">
            <v>SPECIFIED PUBLIC PURPOSE</v>
          </cell>
          <cell r="R94" t="str">
            <v>HT</v>
          </cell>
          <cell r="S94" t="str">
            <v>01/10/2023</v>
          </cell>
          <cell r="T94" t="str">
            <v>01/10/2023</v>
          </cell>
          <cell r="U94" t="str">
            <v>06/10/2023</v>
          </cell>
          <cell r="V94" t="str">
            <v>09/10/2023</v>
          </cell>
          <cell r="W94" t="str">
            <v>2023/09</v>
          </cell>
          <cell r="X94" t="str">
            <v>11 KV</v>
          </cell>
          <cell r="Y94" t="str">
            <v>HT</v>
          </cell>
          <cell r="Z94">
            <v>320</v>
          </cell>
          <cell r="AA94">
            <v>1</v>
          </cell>
          <cell r="AB94">
            <v>40.43</v>
          </cell>
          <cell r="AC94" t="str">
            <v xml:space="preserve">01/09/2023 -     </v>
          </cell>
          <cell r="AD94" t="str">
            <v>30.09.2023</v>
          </cell>
          <cell r="AE94" t="str">
            <v>30/1.0000</v>
          </cell>
          <cell r="AF94">
            <v>400</v>
          </cell>
          <cell r="AG94" t="str">
            <v>KVA</v>
          </cell>
          <cell r="AH94">
            <v>400</v>
          </cell>
          <cell r="AI94" t="str">
            <v>R</v>
          </cell>
          <cell r="AJ94">
            <v>997120</v>
          </cell>
          <cell r="AK94" t="str">
            <v>30/09/2023</v>
          </cell>
          <cell r="AL94" t="str">
            <v>TPN64284</v>
          </cell>
          <cell r="AM94" t="str">
            <v>LT SINGLE PHASE AMR/AMI COMPLIANT METER-TOD</v>
          </cell>
          <cell r="AN94" t="str">
            <v>POST PAID</v>
          </cell>
          <cell r="AO94">
            <v>1000</v>
          </cell>
          <cell r="AP94" t="str">
            <v>TOD</v>
          </cell>
          <cell r="AQ94">
            <v>-490156.5</v>
          </cell>
          <cell r="AR94">
            <v>0</v>
          </cell>
          <cell r="AS94">
            <v>0</v>
          </cell>
          <cell r="AT94">
            <v>0</v>
          </cell>
          <cell r="AU94">
            <v>0</v>
          </cell>
          <cell r="AV94">
            <v>0</v>
          </cell>
          <cell r="AW94">
            <v>84530</v>
          </cell>
          <cell r="AX94">
            <v>84530</v>
          </cell>
          <cell r="AY94">
            <v>84530</v>
          </cell>
          <cell r="AZ94">
            <v>1450.8</v>
          </cell>
          <cell r="BA94">
            <v>290.39999999999998</v>
          </cell>
        </row>
        <row r="95">
          <cell r="F95">
            <v>123000000059</v>
          </cell>
          <cell r="G95" t="str">
            <v>M/S STAR MARINA(P) LTD.</v>
          </cell>
          <cell r="H95" t="str">
            <v>C/O SRI LOKANATH SETHI</v>
          </cell>
          <cell r="I95" t="str">
            <v>10/31/2020 00:00:00</v>
          </cell>
          <cell r="J95">
            <v>1</v>
          </cell>
          <cell r="K95" t="str">
            <v xml:space="preserve"> </v>
          </cell>
          <cell r="L95" t="str">
            <v xml:space="preserve"> </v>
          </cell>
          <cell r="M95" t="str">
            <v>324000010231494242</v>
          </cell>
          <cell r="N95" t="str">
            <v>1230000046</v>
          </cell>
          <cell r="O95" t="str">
            <v>BN-79188</v>
          </cell>
          <cell r="P95" t="str">
            <v>432412302</v>
          </cell>
          <cell r="Q95" t="str">
            <v>ALLIED AGRICULTURE ACTIVITIES</v>
          </cell>
          <cell r="R95" t="str">
            <v>HT</v>
          </cell>
          <cell r="S95" t="str">
            <v>01/10/2023</v>
          </cell>
          <cell r="T95" t="str">
            <v>01/10/2023</v>
          </cell>
          <cell r="U95" t="str">
            <v>09/10/2023</v>
          </cell>
          <cell r="V95" t="str">
            <v>09/10/2023</v>
          </cell>
          <cell r="W95" t="str">
            <v>2023/09</v>
          </cell>
          <cell r="X95" t="str">
            <v>11 KV</v>
          </cell>
          <cell r="Y95" t="str">
            <v>HT</v>
          </cell>
          <cell r="Z95">
            <v>144.9</v>
          </cell>
          <cell r="AA95">
            <v>0.80020000000000002</v>
          </cell>
          <cell r="AB95">
            <v>0</v>
          </cell>
          <cell r="AC95" t="str">
            <v xml:space="preserve">01/09/2023 -     </v>
          </cell>
          <cell r="AD95" t="str">
            <v>30.09.2023</v>
          </cell>
          <cell r="AE95" t="str">
            <v>30/1.0000</v>
          </cell>
          <cell r="AF95">
            <v>144.9</v>
          </cell>
          <cell r="AG95" t="str">
            <v>KVA</v>
          </cell>
          <cell r="AH95">
            <v>144.9</v>
          </cell>
          <cell r="AI95" t="str">
            <v>R</v>
          </cell>
          <cell r="AJ95">
            <v>121024</v>
          </cell>
          <cell r="AK95" t="str">
            <v>30/09/2023</v>
          </cell>
          <cell r="AL95" t="str">
            <v>NES50399</v>
          </cell>
          <cell r="AM95" t="str">
            <v>TRI-VECTOR METER FOR RAILWAY TRACTION</v>
          </cell>
          <cell r="AN95" t="str">
            <v>POST PAID</v>
          </cell>
          <cell r="AO95">
            <v>150</v>
          </cell>
          <cell r="AP95" t="str">
            <v>TOD</v>
          </cell>
          <cell r="AQ95">
            <v>-88642</v>
          </cell>
          <cell r="AR95">
            <v>0</v>
          </cell>
          <cell r="AS95">
            <v>0</v>
          </cell>
          <cell r="AT95">
            <v>0</v>
          </cell>
          <cell r="AU95">
            <v>0</v>
          </cell>
          <cell r="AV95">
            <v>0</v>
          </cell>
          <cell r="AW95">
            <v>3946</v>
          </cell>
          <cell r="AX95">
            <v>4931</v>
          </cell>
          <cell r="AY95">
            <v>4931</v>
          </cell>
          <cell r="AZ95">
            <v>359.44</v>
          </cell>
          <cell r="BA95">
            <v>21.6</v>
          </cell>
        </row>
        <row r="96">
          <cell r="F96">
            <v>123000000060</v>
          </cell>
          <cell r="G96" t="str">
            <v>Mr.    PRAKASH CH KHANDELWAL</v>
          </cell>
          <cell r="H96" t="str">
            <v>SAMKONA,KURUDA</v>
          </cell>
          <cell r="I96" t="str">
            <v>10/31/2020 00:00:00</v>
          </cell>
          <cell r="J96">
            <v>1</v>
          </cell>
          <cell r="K96" t="str">
            <v xml:space="preserve"> </v>
          </cell>
          <cell r="L96" t="str">
            <v xml:space="preserve"> </v>
          </cell>
          <cell r="M96" t="str">
            <v>324000010231494714</v>
          </cell>
          <cell r="N96" t="str">
            <v>1230000047</v>
          </cell>
          <cell r="O96" t="str">
            <v>BG-88734</v>
          </cell>
          <cell r="P96" t="str">
            <v>43287401008</v>
          </cell>
          <cell r="Q96" t="str">
            <v>LARGE INDUSTRY</v>
          </cell>
          <cell r="R96" t="str">
            <v>HT</v>
          </cell>
          <cell r="S96" t="str">
            <v>01/10/2023</v>
          </cell>
          <cell r="T96" t="str">
            <v>01/10/2023</v>
          </cell>
          <cell r="U96" t="str">
            <v>06/10/2023</v>
          </cell>
          <cell r="V96" t="str">
            <v>09/10/2023</v>
          </cell>
          <cell r="W96" t="str">
            <v>2023/09</v>
          </cell>
          <cell r="X96" t="str">
            <v>33 KV</v>
          </cell>
          <cell r="Y96" t="str">
            <v>HT</v>
          </cell>
          <cell r="Z96">
            <v>224</v>
          </cell>
          <cell r="AA96">
            <v>0.98619999999999997</v>
          </cell>
          <cell r="AB96">
            <v>25.01</v>
          </cell>
          <cell r="AC96" t="str">
            <v xml:space="preserve">01/09/2023 -     </v>
          </cell>
          <cell r="AD96" t="str">
            <v>30.09.2023</v>
          </cell>
          <cell r="AE96" t="str">
            <v>30/1.0000</v>
          </cell>
          <cell r="AF96">
            <v>280</v>
          </cell>
          <cell r="AG96" t="str">
            <v>KVA</v>
          </cell>
          <cell r="AH96">
            <v>280</v>
          </cell>
          <cell r="AI96" t="str">
            <v>R</v>
          </cell>
          <cell r="AJ96">
            <v>1718752</v>
          </cell>
          <cell r="AK96" t="str">
            <v>30/09/2023</v>
          </cell>
          <cell r="AL96" t="str">
            <v>TPN64515</v>
          </cell>
          <cell r="AM96" t="str">
            <v>HT THREE PHASE 4 WIRE AMR/AMI COMPLAINT METER</v>
          </cell>
          <cell r="AN96" t="str">
            <v>POST PAID</v>
          </cell>
          <cell r="AO96">
            <v>315</v>
          </cell>
          <cell r="AP96" t="str">
            <v>TOD</v>
          </cell>
          <cell r="AQ96">
            <v>-200114.4</v>
          </cell>
          <cell r="AR96">
            <v>0</v>
          </cell>
          <cell r="AS96">
            <v>0</v>
          </cell>
          <cell r="AT96">
            <v>0</v>
          </cell>
          <cell r="AU96">
            <v>0</v>
          </cell>
          <cell r="AV96">
            <v>0</v>
          </cell>
          <cell r="AW96">
            <v>3666</v>
          </cell>
          <cell r="AX96">
            <v>3717</v>
          </cell>
          <cell r="AY96">
            <v>3717</v>
          </cell>
          <cell r="AZ96">
            <v>648.84</v>
          </cell>
          <cell r="BA96">
            <v>20.64</v>
          </cell>
        </row>
        <row r="97">
          <cell r="F97">
            <v>123000000062</v>
          </cell>
          <cell r="G97" t="str">
            <v>M/S MAGNUM ESATE LTD.</v>
          </cell>
          <cell r="H97" t="str">
            <v>C/O- Prem Sankar Satpathy</v>
          </cell>
          <cell r="I97" t="str">
            <v>10/31/2020 00:00:00</v>
          </cell>
          <cell r="J97">
            <v>1</v>
          </cell>
          <cell r="K97" t="str">
            <v xml:space="preserve"> </v>
          </cell>
          <cell r="L97" t="str">
            <v xml:space="preserve"> </v>
          </cell>
          <cell r="M97" t="str">
            <v>324000010231494311</v>
          </cell>
          <cell r="N97" t="str">
            <v>1230000049</v>
          </cell>
          <cell r="O97" t="str">
            <v>BN-79189</v>
          </cell>
          <cell r="P97" t="str">
            <v>432412302</v>
          </cell>
          <cell r="Q97" t="str">
            <v>ALLIED AGRICULTURE ACTIVITIES</v>
          </cell>
          <cell r="R97" t="str">
            <v>HT</v>
          </cell>
          <cell r="S97" t="str">
            <v>01/10/2023</v>
          </cell>
          <cell r="T97" t="str">
            <v>01/10/2023</v>
          </cell>
          <cell r="U97" t="str">
            <v>09/10/2023</v>
          </cell>
          <cell r="V97" t="str">
            <v>09/10/2023</v>
          </cell>
          <cell r="W97" t="str">
            <v>2023/09</v>
          </cell>
          <cell r="X97" t="str">
            <v>11 KV</v>
          </cell>
          <cell r="Y97" t="str">
            <v>HT</v>
          </cell>
          <cell r="Z97">
            <v>300</v>
          </cell>
          <cell r="AA97">
            <v>0.99360000000000004</v>
          </cell>
          <cell r="AB97">
            <v>0</v>
          </cell>
          <cell r="AC97" t="str">
            <v xml:space="preserve">01/09/2023 -     </v>
          </cell>
          <cell r="AD97" t="str">
            <v>30.09.2023</v>
          </cell>
          <cell r="AE97" t="str">
            <v>30/1.0000</v>
          </cell>
          <cell r="AF97">
            <v>300</v>
          </cell>
          <cell r="AG97" t="str">
            <v>KVA</v>
          </cell>
          <cell r="AH97">
            <v>300</v>
          </cell>
          <cell r="AI97" t="str">
            <v>R</v>
          </cell>
          <cell r="AJ97">
            <v>138583.04000000001</v>
          </cell>
          <cell r="AK97" t="str">
            <v>30/09/2023</v>
          </cell>
          <cell r="AL97" t="str">
            <v>NES50139</v>
          </cell>
          <cell r="AM97" t="str">
            <v>TRI-VECTOR METER FOR RAILWAY TRACTION</v>
          </cell>
          <cell r="AN97" t="str">
            <v>POST PAID</v>
          </cell>
          <cell r="AO97">
            <v>500</v>
          </cell>
          <cell r="AP97" t="str">
            <v>TOD</v>
          </cell>
          <cell r="AQ97">
            <v>-37729.040000000001</v>
          </cell>
          <cell r="AR97">
            <v>0</v>
          </cell>
          <cell r="AS97">
            <v>0</v>
          </cell>
          <cell r="AT97">
            <v>0</v>
          </cell>
          <cell r="AU97">
            <v>0</v>
          </cell>
          <cell r="AV97">
            <v>0</v>
          </cell>
          <cell r="AW97">
            <v>37596</v>
          </cell>
          <cell r="AX97">
            <v>37838</v>
          </cell>
          <cell r="AY97">
            <v>37838</v>
          </cell>
          <cell r="AZ97">
            <v>1160.32</v>
          </cell>
          <cell r="BA97">
            <v>237.44</v>
          </cell>
        </row>
        <row r="98">
          <cell r="F98">
            <v>123000000063</v>
          </cell>
          <cell r="G98" t="str">
            <v>THE SAMAJ</v>
          </cell>
          <cell r="H98" t="str">
            <v>C/O- M.S. DAS SR. BUSINESS</v>
          </cell>
          <cell r="I98" t="str">
            <v>10/31/2020 00:00:00</v>
          </cell>
          <cell r="J98">
            <v>1</v>
          </cell>
          <cell r="K98" t="str">
            <v xml:space="preserve"> </v>
          </cell>
          <cell r="L98" t="str">
            <v xml:space="preserve"> </v>
          </cell>
          <cell r="M98" t="str">
            <v>324000010231494739</v>
          </cell>
          <cell r="N98" t="str">
            <v>1230000050</v>
          </cell>
          <cell r="O98" t="str">
            <v>BG89328</v>
          </cell>
          <cell r="P98" t="str">
            <v>432123206</v>
          </cell>
          <cell r="Q98" t="str">
            <v>LARGE INDUSTRY</v>
          </cell>
          <cell r="R98" t="str">
            <v>HT</v>
          </cell>
          <cell r="S98" t="str">
            <v>01/10/2023</v>
          </cell>
          <cell r="T98" t="str">
            <v>01/10/2023</v>
          </cell>
          <cell r="U98" t="str">
            <v>06/10/2023</v>
          </cell>
          <cell r="V98" t="str">
            <v>09/10/2023</v>
          </cell>
          <cell r="W98" t="str">
            <v>2023/09</v>
          </cell>
          <cell r="X98" t="str">
            <v>11 KV</v>
          </cell>
          <cell r="Y98" t="str">
            <v>HT</v>
          </cell>
          <cell r="Z98">
            <v>137.80000000000001</v>
          </cell>
          <cell r="AA98">
            <v>0.84530000000000005</v>
          </cell>
          <cell r="AB98">
            <v>12.92</v>
          </cell>
          <cell r="AC98" t="str">
            <v xml:space="preserve">01/09/2023 -     </v>
          </cell>
          <cell r="AD98" t="str">
            <v>30.09.2023</v>
          </cell>
          <cell r="AE98" t="str">
            <v>30/1.0000</v>
          </cell>
          <cell r="AF98">
            <v>111</v>
          </cell>
          <cell r="AG98" t="str">
            <v>KVA</v>
          </cell>
          <cell r="AH98">
            <v>111</v>
          </cell>
          <cell r="AI98" t="str">
            <v>R</v>
          </cell>
          <cell r="AJ98">
            <v>233497.3</v>
          </cell>
          <cell r="AK98" t="str">
            <v>30/09/2023</v>
          </cell>
          <cell r="AL98" t="str">
            <v>TPN64070</v>
          </cell>
          <cell r="AM98" t="str">
            <v>THREE PHASE STATIC TRI-VECTOR METER-TOD</v>
          </cell>
          <cell r="AN98" t="str">
            <v>POST PAID</v>
          </cell>
          <cell r="AO98">
            <v>250</v>
          </cell>
          <cell r="AP98" t="str">
            <v>TOD</v>
          </cell>
          <cell r="AQ98">
            <v>32874.839999999997</v>
          </cell>
          <cell r="AR98">
            <v>0</v>
          </cell>
          <cell r="AS98">
            <v>0</v>
          </cell>
          <cell r="AT98">
            <v>0</v>
          </cell>
          <cell r="AU98">
            <v>0</v>
          </cell>
          <cell r="AV98">
            <v>0</v>
          </cell>
          <cell r="AW98">
            <v>10835</v>
          </cell>
          <cell r="AX98">
            <v>12817</v>
          </cell>
          <cell r="AY98">
            <v>12817</v>
          </cell>
          <cell r="AZ98">
            <v>1028</v>
          </cell>
          <cell r="BA98">
            <v>137.80000000000001</v>
          </cell>
        </row>
        <row r="99">
          <cell r="F99">
            <v>123000000064</v>
          </cell>
          <cell r="G99" t="str">
            <v>BALASORE COLLEGE OF ENGINEERING</v>
          </cell>
          <cell r="H99" t="str">
            <v>AND TECHNOLOGY,SERGARHBALASORE</v>
          </cell>
          <cell r="I99" t="str">
            <v>10/31/2020 00:00:00</v>
          </cell>
          <cell r="J99">
            <v>1</v>
          </cell>
          <cell r="K99" t="str">
            <v xml:space="preserve"> </v>
          </cell>
          <cell r="L99" t="str">
            <v xml:space="preserve"> </v>
          </cell>
          <cell r="M99" t="str">
            <v>324000010231494760</v>
          </cell>
          <cell r="N99" t="str">
            <v>1230000051</v>
          </cell>
          <cell r="O99" t="str">
            <v>BG-59297</v>
          </cell>
          <cell r="P99" t="str">
            <v>432432501</v>
          </cell>
          <cell r="Q99" t="str">
            <v>GENERAL PURPOSE &gt;= 110 KVA</v>
          </cell>
          <cell r="R99" t="str">
            <v>HT</v>
          </cell>
          <cell r="S99" t="str">
            <v>01/10/2023</v>
          </cell>
          <cell r="T99" t="str">
            <v>01/10/2023</v>
          </cell>
          <cell r="U99" t="str">
            <v>06/10/2023</v>
          </cell>
          <cell r="V99" t="str">
            <v>09/10/2023</v>
          </cell>
          <cell r="W99" t="str">
            <v>2023/09</v>
          </cell>
          <cell r="X99" t="str">
            <v>11 KV</v>
          </cell>
          <cell r="Y99" t="str">
            <v>HT</v>
          </cell>
          <cell r="Z99">
            <v>151.56</v>
          </cell>
          <cell r="AA99">
            <v>0.997</v>
          </cell>
          <cell r="AB99">
            <v>34.299999999999997</v>
          </cell>
          <cell r="AC99" t="str">
            <v xml:space="preserve">01/09/2023 -     </v>
          </cell>
          <cell r="AD99" t="str">
            <v>30.09.2023</v>
          </cell>
          <cell r="AE99" t="str">
            <v>30/1.0000</v>
          </cell>
          <cell r="AF99">
            <v>122</v>
          </cell>
          <cell r="AG99" t="str">
            <v>KVA</v>
          </cell>
          <cell r="AH99">
            <v>122</v>
          </cell>
          <cell r="AI99" t="str">
            <v>R</v>
          </cell>
          <cell r="AJ99">
            <v>284866.8</v>
          </cell>
          <cell r="AK99" t="str">
            <v>30/09/2023</v>
          </cell>
          <cell r="AL99" t="str">
            <v>TPN64252</v>
          </cell>
          <cell r="AM99" t="str">
            <v>THREE PHASE STATIC TRI-VECTOR METER-TOD</v>
          </cell>
          <cell r="AN99" t="str">
            <v>POST PAID</v>
          </cell>
          <cell r="AO99">
            <v>250</v>
          </cell>
          <cell r="AP99" t="str">
            <v>TOD</v>
          </cell>
          <cell r="AQ99">
            <v>-62486.06</v>
          </cell>
          <cell r="AR99">
            <v>0</v>
          </cell>
          <cell r="AS99">
            <v>0</v>
          </cell>
          <cell r="AT99">
            <v>0</v>
          </cell>
          <cell r="AU99">
            <v>0</v>
          </cell>
          <cell r="AV99">
            <v>0</v>
          </cell>
          <cell r="AW99">
            <v>37317</v>
          </cell>
          <cell r="AX99">
            <v>37428</v>
          </cell>
          <cell r="AY99">
            <v>37428</v>
          </cell>
          <cell r="AZ99">
            <v>923.16</v>
          </cell>
          <cell r="BA99">
            <v>151.56</v>
          </cell>
        </row>
        <row r="100">
          <cell r="F100">
            <v>123000000065</v>
          </cell>
          <cell r="G100" t="str">
            <v>M/S S S AGRI BUSINESS PVT LTD.</v>
          </cell>
          <cell r="H100" t="str">
            <v>C/O RAJENDRA KU GUPTA</v>
          </cell>
          <cell r="I100" t="str">
            <v>10/31/2020 00:00:00</v>
          </cell>
          <cell r="J100">
            <v>1</v>
          </cell>
          <cell r="K100" t="str">
            <v xml:space="preserve"> </v>
          </cell>
          <cell r="L100" t="str">
            <v xml:space="preserve"> </v>
          </cell>
          <cell r="M100" t="str">
            <v>324000010231494777</v>
          </cell>
          <cell r="N100" t="str">
            <v>1230000052</v>
          </cell>
          <cell r="O100" t="str">
            <v>BG92946</v>
          </cell>
          <cell r="P100" t="str">
            <v>43287401008</v>
          </cell>
          <cell r="Q100" t="str">
            <v>LARGE INDUSTRY</v>
          </cell>
          <cell r="R100" t="str">
            <v>HT</v>
          </cell>
          <cell r="S100" t="str">
            <v>01/10/2023</v>
          </cell>
          <cell r="T100" t="str">
            <v>01/10/2023</v>
          </cell>
          <cell r="U100" t="str">
            <v>06/10/2023</v>
          </cell>
          <cell r="V100" t="str">
            <v>09/10/2023</v>
          </cell>
          <cell r="W100" t="str">
            <v>2023/09</v>
          </cell>
          <cell r="X100" t="str">
            <v>33 KV</v>
          </cell>
          <cell r="Y100" t="str">
            <v>HT</v>
          </cell>
          <cell r="Z100">
            <v>651.6</v>
          </cell>
          <cell r="AA100">
            <v>0.99850000000000005</v>
          </cell>
          <cell r="AB100">
            <v>53.46</v>
          </cell>
          <cell r="AC100" t="str">
            <v xml:space="preserve">01/09/2023 -     </v>
          </cell>
          <cell r="AD100" t="str">
            <v>30.09.2023</v>
          </cell>
          <cell r="AE100" t="str">
            <v>30/1.0000</v>
          </cell>
          <cell r="AF100">
            <v>750</v>
          </cell>
          <cell r="AG100" t="str">
            <v>KVA</v>
          </cell>
          <cell r="AH100">
            <v>750</v>
          </cell>
          <cell r="AI100" t="str">
            <v>R</v>
          </cell>
          <cell r="AJ100">
            <v>3271015.3</v>
          </cell>
          <cell r="AK100" t="str">
            <v>30/09/2023</v>
          </cell>
          <cell r="AL100" t="str">
            <v>TPN64757</v>
          </cell>
          <cell r="AM100" t="str">
            <v>THREE PHASE HT CT METER-33KV</v>
          </cell>
          <cell r="AN100" t="str">
            <v>POST PAID</v>
          </cell>
          <cell r="AO100">
            <v>1000</v>
          </cell>
          <cell r="AP100" t="str">
            <v>TOD</v>
          </cell>
          <cell r="AQ100">
            <v>-25593.200000000001</v>
          </cell>
          <cell r="AR100">
            <v>0</v>
          </cell>
          <cell r="AS100">
            <v>0</v>
          </cell>
          <cell r="AT100">
            <v>0</v>
          </cell>
          <cell r="AU100">
            <v>0</v>
          </cell>
          <cell r="AV100">
            <v>0</v>
          </cell>
          <cell r="AW100">
            <v>250425</v>
          </cell>
          <cell r="AX100">
            <v>250800</v>
          </cell>
          <cell r="AY100">
            <v>250800</v>
          </cell>
          <cell r="AZ100">
            <v>4837.2</v>
          </cell>
          <cell r="BA100">
            <v>651.6</v>
          </cell>
        </row>
        <row r="101">
          <cell r="F101">
            <v>123000000068</v>
          </cell>
          <cell r="G101" t="str">
            <v>M/S SUCHETA ICE &amp; COLD STORAGE</v>
          </cell>
          <cell r="H101" t="str">
            <v>BAHABALPUR,BALASORE</v>
          </cell>
          <cell r="I101" t="str">
            <v>10/31/2020 00:00:00</v>
          </cell>
          <cell r="J101">
            <v>1</v>
          </cell>
          <cell r="K101" t="str">
            <v xml:space="preserve"> </v>
          </cell>
          <cell r="L101" t="str">
            <v xml:space="preserve"> </v>
          </cell>
          <cell r="M101" t="str">
            <v>324000010231494704</v>
          </cell>
          <cell r="N101" t="str">
            <v>1230000055</v>
          </cell>
          <cell r="O101" t="str">
            <v>BR-96329</v>
          </cell>
          <cell r="P101" t="str">
            <v>432413202</v>
          </cell>
          <cell r="Q101" t="str">
            <v>LARGE INDUSTRY</v>
          </cell>
          <cell r="R101" t="str">
            <v>HT</v>
          </cell>
          <cell r="S101" t="str">
            <v>01/10/2023</v>
          </cell>
          <cell r="T101" t="str">
            <v>01/10/2023</v>
          </cell>
          <cell r="U101" t="str">
            <v>06/10/2023</v>
          </cell>
          <cell r="V101" t="str">
            <v>09/10/2023</v>
          </cell>
          <cell r="W101" t="str">
            <v>2023/09</v>
          </cell>
          <cell r="X101" t="str">
            <v>11 KV</v>
          </cell>
          <cell r="Y101" t="str">
            <v>HT</v>
          </cell>
          <cell r="Z101">
            <v>196</v>
          </cell>
          <cell r="AA101">
            <v>0.95940000000000003</v>
          </cell>
          <cell r="AB101">
            <v>43.5</v>
          </cell>
          <cell r="AC101" t="str">
            <v xml:space="preserve">01/09/2023 -     </v>
          </cell>
          <cell r="AD101" t="str">
            <v>30.09.2023</v>
          </cell>
          <cell r="AE101" t="str">
            <v>30/1.0000</v>
          </cell>
          <cell r="AF101">
            <v>245</v>
          </cell>
          <cell r="AG101" t="str">
            <v>KVA</v>
          </cell>
          <cell r="AH101">
            <v>245</v>
          </cell>
          <cell r="AI101" t="str">
            <v>R</v>
          </cell>
          <cell r="AJ101">
            <v>1252186</v>
          </cell>
          <cell r="AK101" t="str">
            <v>30/09/2023</v>
          </cell>
          <cell r="AL101" t="str">
            <v>TPN64005</v>
          </cell>
          <cell r="AM101" t="str">
            <v>THREE PHASE STATIC TRI-VECTOR METER-TOD</v>
          </cell>
          <cell r="AN101" t="str">
            <v>POST PAID</v>
          </cell>
          <cell r="AO101">
            <v>250</v>
          </cell>
          <cell r="AP101" t="str">
            <v>TOD</v>
          </cell>
          <cell r="AQ101">
            <v>-810393.2</v>
          </cell>
          <cell r="AR101">
            <v>0</v>
          </cell>
          <cell r="AS101">
            <v>0</v>
          </cell>
          <cell r="AT101">
            <v>0</v>
          </cell>
          <cell r="AU101">
            <v>0</v>
          </cell>
          <cell r="AV101">
            <v>0</v>
          </cell>
          <cell r="AW101">
            <v>30034</v>
          </cell>
          <cell r="AX101">
            <v>31304</v>
          </cell>
          <cell r="AY101">
            <v>31304</v>
          </cell>
          <cell r="AZ101">
            <v>594.12</v>
          </cell>
          <cell r="BA101">
            <v>99.96</v>
          </cell>
        </row>
        <row r="102">
          <cell r="F102">
            <v>123000000069</v>
          </cell>
          <cell r="G102" t="str">
            <v>M/S. M/S PUSPA ICE PLANT</v>
          </cell>
          <cell r="H102" t="str">
            <v>C/O- SURAJIT SAHOO (PROPRIETOR)</v>
          </cell>
          <cell r="I102" t="str">
            <v>10/31/2020 00:00:00</v>
          </cell>
          <cell r="J102">
            <v>1</v>
          </cell>
          <cell r="K102" t="str">
            <v xml:space="preserve"> </v>
          </cell>
          <cell r="L102" t="str">
            <v xml:space="preserve"> </v>
          </cell>
          <cell r="M102" t="str">
            <v>324000010231494729</v>
          </cell>
          <cell r="N102" t="str">
            <v>1230000056</v>
          </cell>
          <cell r="O102" t="str">
            <v>BR-99009</v>
          </cell>
          <cell r="P102" t="str">
            <v>432413202</v>
          </cell>
          <cell r="Q102" t="str">
            <v>LARGE INDUSTRY</v>
          </cell>
          <cell r="R102" t="str">
            <v>HT</v>
          </cell>
          <cell r="S102" t="str">
            <v>01/10/2023</v>
          </cell>
          <cell r="T102" t="str">
            <v>01/10/2023</v>
          </cell>
          <cell r="U102" t="str">
            <v>06/10/2023</v>
          </cell>
          <cell r="V102" t="str">
            <v>09/10/2023</v>
          </cell>
          <cell r="W102" t="str">
            <v>2023/09</v>
          </cell>
          <cell r="X102" t="str">
            <v>11 KV</v>
          </cell>
          <cell r="Y102" t="str">
            <v>HT</v>
          </cell>
          <cell r="Z102">
            <v>252</v>
          </cell>
          <cell r="AA102">
            <v>0.96930000000000005</v>
          </cell>
          <cell r="AB102">
            <v>41.69</v>
          </cell>
          <cell r="AC102" t="str">
            <v xml:space="preserve">01/09/2023 -     </v>
          </cell>
          <cell r="AD102" t="str">
            <v>30.09.2023</v>
          </cell>
          <cell r="AE102" t="str">
            <v>30/1.0000</v>
          </cell>
          <cell r="AF102">
            <v>315</v>
          </cell>
          <cell r="AG102" t="str">
            <v>KVA</v>
          </cell>
          <cell r="AH102">
            <v>315</v>
          </cell>
          <cell r="AI102" t="str">
            <v>R</v>
          </cell>
          <cell r="AJ102">
            <v>1933595.6464</v>
          </cell>
          <cell r="AK102" t="str">
            <v>30/09/2023</v>
          </cell>
          <cell r="AL102" t="str">
            <v>TPCANES52040</v>
          </cell>
          <cell r="AM102" t="str">
            <v>LT SINGLE PHASE AMR/AMI COMPLIANT METER-TOD</v>
          </cell>
          <cell r="AN102" t="str">
            <v>POST PAID</v>
          </cell>
          <cell r="AO102">
            <v>500</v>
          </cell>
          <cell r="AP102" t="str">
            <v>TOD</v>
          </cell>
          <cell r="AQ102">
            <v>82068.759999999995</v>
          </cell>
          <cell r="AR102">
            <v>0</v>
          </cell>
          <cell r="AS102">
            <v>0</v>
          </cell>
          <cell r="AT102">
            <v>0</v>
          </cell>
          <cell r="AU102">
            <v>0</v>
          </cell>
          <cell r="AV102">
            <v>0</v>
          </cell>
          <cell r="AW102">
            <v>53493</v>
          </cell>
          <cell r="AX102">
            <v>55185</v>
          </cell>
          <cell r="AY102">
            <v>55185</v>
          </cell>
          <cell r="AZ102">
            <v>1376.64</v>
          </cell>
          <cell r="BA102">
            <v>183.84</v>
          </cell>
        </row>
        <row r="103">
          <cell r="F103">
            <v>123000000070</v>
          </cell>
          <cell r="G103" t="str">
            <v>M/S GAJARAJ RICE MILL.</v>
          </cell>
          <cell r="H103" t="str">
            <v>C/O- SATISH KUMAR SAROGI</v>
          </cell>
          <cell r="I103" t="str">
            <v>10/31/2020 00:00:00</v>
          </cell>
          <cell r="J103">
            <v>1</v>
          </cell>
          <cell r="K103" t="str">
            <v xml:space="preserve"> </v>
          </cell>
          <cell r="L103" t="str">
            <v xml:space="preserve"> </v>
          </cell>
          <cell r="M103" t="str">
            <v>324000010231494794</v>
          </cell>
          <cell r="N103" t="str">
            <v>1230000057</v>
          </cell>
          <cell r="O103" t="str">
            <v>BG-80352</v>
          </cell>
          <cell r="P103" t="str">
            <v>432123206</v>
          </cell>
          <cell r="Q103" t="str">
            <v>LARGE INDUSTRY</v>
          </cell>
          <cell r="R103" t="str">
            <v>HT</v>
          </cell>
          <cell r="S103" t="str">
            <v>01/10/2023</v>
          </cell>
          <cell r="T103" t="str">
            <v>01/10/2023</v>
          </cell>
          <cell r="U103" t="str">
            <v>06/10/2023</v>
          </cell>
          <cell r="V103" t="str">
            <v>09/10/2023</v>
          </cell>
          <cell r="W103" t="str">
            <v>2023/09</v>
          </cell>
          <cell r="X103" t="str">
            <v>11 KV</v>
          </cell>
          <cell r="Y103" t="str">
            <v>HT</v>
          </cell>
          <cell r="Z103">
            <v>196</v>
          </cell>
          <cell r="AA103">
            <v>0.94979999999999998</v>
          </cell>
          <cell r="AB103">
            <v>10.26</v>
          </cell>
          <cell r="AC103" t="str">
            <v xml:space="preserve">01/09/2023 -     </v>
          </cell>
          <cell r="AD103" t="str">
            <v>30.09.2023</v>
          </cell>
          <cell r="AE103" t="str">
            <v>30/1.0000</v>
          </cell>
          <cell r="AF103">
            <v>245</v>
          </cell>
          <cell r="AG103" t="str">
            <v>KVA</v>
          </cell>
          <cell r="AH103">
            <v>245</v>
          </cell>
          <cell r="AI103" t="str">
            <v>R</v>
          </cell>
          <cell r="AJ103">
            <v>1152166.3999999999</v>
          </cell>
          <cell r="AK103" t="str">
            <v>30/09/2023</v>
          </cell>
          <cell r="AL103" t="str">
            <v>NES50925</v>
          </cell>
          <cell r="AM103" t="str">
            <v>THREE PHASE STATIC TRI-VECTOR METER-TOD</v>
          </cell>
          <cell r="AN103" t="str">
            <v>POST PAID</v>
          </cell>
          <cell r="AO103">
            <v>300</v>
          </cell>
          <cell r="AP103" t="str">
            <v>TOD</v>
          </cell>
          <cell r="AQ103">
            <v>-863280.9</v>
          </cell>
          <cell r="AR103">
            <v>0</v>
          </cell>
          <cell r="AS103">
            <v>0</v>
          </cell>
          <cell r="AT103">
            <v>0</v>
          </cell>
          <cell r="AU103">
            <v>0</v>
          </cell>
          <cell r="AV103">
            <v>0</v>
          </cell>
          <cell r="AW103">
            <v>8952</v>
          </cell>
          <cell r="AX103">
            <v>9425</v>
          </cell>
          <cell r="AY103">
            <v>9425</v>
          </cell>
          <cell r="AZ103">
            <v>909.4</v>
          </cell>
          <cell r="BA103">
            <v>127.6</v>
          </cell>
        </row>
        <row r="104">
          <cell r="F104">
            <v>123000000071</v>
          </cell>
          <cell r="G104" t="str">
            <v>MORDERN ENGINEERING AND MANAGEMENT</v>
          </cell>
          <cell r="H104" t="str">
            <v>FOUNDATION, BANAPARIA KURUDA N.H.-5</v>
          </cell>
          <cell r="I104" t="str">
            <v>10/31/2020 00:00:00</v>
          </cell>
          <cell r="J104">
            <v>1</v>
          </cell>
          <cell r="K104" t="str">
            <v xml:space="preserve"> </v>
          </cell>
          <cell r="L104" t="str">
            <v xml:space="preserve"> </v>
          </cell>
          <cell r="M104" t="str">
            <v>324000010231495022</v>
          </cell>
          <cell r="N104" t="str">
            <v>1230000058</v>
          </cell>
          <cell r="O104" t="str">
            <v>BG-88737</v>
          </cell>
          <cell r="P104" t="str">
            <v>432123206</v>
          </cell>
          <cell r="Q104" t="str">
            <v>GENERAL PURPOSE &gt;= 110 KVA</v>
          </cell>
          <cell r="R104" t="str">
            <v>HT</v>
          </cell>
          <cell r="S104" t="str">
            <v>01/10/2023</v>
          </cell>
          <cell r="T104" t="str">
            <v>01/10/2023</v>
          </cell>
          <cell r="U104" t="str">
            <v>06/10/2023</v>
          </cell>
          <cell r="V104" t="str">
            <v>09/10/2023</v>
          </cell>
          <cell r="W104" t="str">
            <v>2023/09</v>
          </cell>
          <cell r="X104" t="str">
            <v>11 KV</v>
          </cell>
          <cell r="Y104" t="str">
            <v>HT</v>
          </cell>
          <cell r="Z104">
            <v>88.16</v>
          </cell>
          <cell r="AA104">
            <v>0.90290000000000004</v>
          </cell>
          <cell r="AB104">
            <v>5.8</v>
          </cell>
          <cell r="AC104" t="str">
            <v xml:space="preserve">01/09/2023 -     </v>
          </cell>
          <cell r="AD104" t="str">
            <v>30.09.2023</v>
          </cell>
          <cell r="AE104" t="str">
            <v>30/1.0000</v>
          </cell>
          <cell r="AF104">
            <v>110.2</v>
          </cell>
          <cell r="AG104" t="str">
            <v>KVA</v>
          </cell>
          <cell r="AH104">
            <v>110.2</v>
          </cell>
          <cell r="AI104" t="str">
            <v>R</v>
          </cell>
          <cell r="AJ104">
            <v>269021</v>
          </cell>
          <cell r="AK104" t="str">
            <v>30/09/2023</v>
          </cell>
          <cell r="AL104" t="str">
            <v>TPN64671</v>
          </cell>
          <cell r="AM104" t="str">
            <v>TRI-VECTOR METER FOR RAILWAY TRACTION</v>
          </cell>
          <cell r="AN104" t="str">
            <v>BI DIRECTIONAL</v>
          </cell>
          <cell r="AO104">
            <v>200</v>
          </cell>
          <cell r="AP104" t="str">
            <v>TOD</v>
          </cell>
          <cell r="AQ104">
            <v>0</v>
          </cell>
          <cell r="AR104">
            <v>0</v>
          </cell>
          <cell r="AS104">
            <v>0</v>
          </cell>
          <cell r="AT104">
            <v>0</v>
          </cell>
          <cell r="AU104">
            <v>0</v>
          </cell>
          <cell r="AV104">
            <v>0</v>
          </cell>
          <cell r="AW104">
            <v>3852</v>
          </cell>
          <cell r="AX104">
            <v>4266</v>
          </cell>
          <cell r="AY104">
            <v>1615</v>
          </cell>
          <cell r="AZ104">
            <v>0.19320000000000001</v>
          </cell>
          <cell r="BA104">
            <v>38.64</v>
          </cell>
        </row>
        <row r="105">
          <cell r="F105">
            <v>123000000072</v>
          </cell>
          <cell r="G105" t="str">
            <v>KRISHNA STONE PRADUCT</v>
          </cell>
          <cell r="H105" t="str">
            <v>C/O- NITYANANDA MAHARANA</v>
          </cell>
          <cell r="I105" t="str">
            <v>10/31/2020 00:00:00</v>
          </cell>
          <cell r="J105">
            <v>1</v>
          </cell>
          <cell r="K105" t="str">
            <v xml:space="preserve"> </v>
          </cell>
          <cell r="L105" t="str">
            <v xml:space="preserve"> </v>
          </cell>
          <cell r="M105" t="str">
            <v>324000010231494189</v>
          </cell>
          <cell r="N105" t="str">
            <v>1230000059</v>
          </cell>
          <cell r="O105" t="str">
            <v>NM-91770</v>
          </cell>
          <cell r="P105" t="str">
            <v>432533301</v>
          </cell>
          <cell r="Q105" t="str">
            <v>LARGE INDUSTRY</v>
          </cell>
          <cell r="R105" t="str">
            <v>HT</v>
          </cell>
          <cell r="S105" t="str">
            <v>01/10/2023</v>
          </cell>
          <cell r="T105" t="str">
            <v>01/10/2023</v>
          </cell>
          <cell r="U105" t="str">
            <v>06/10/2023</v>
          </cell>
          <cell r="V105" t="str">
            <v>09/10/2023</v>
          </cell>
          <cell r="W105" t="str">
            <v>2023/09</v>
          </cell>
          <cell r="X105" t="str">
            <v>11 KV</v>
          </cell>
          <cell r="Y105" t="str">
            <v>HT</v>
          </cell>
          <cell r="Z105">
            <v>126</v>
          </cell>
          <cell r="AA105">
            <v>0.5464</v>
          </cell>
          <cell r="AB105">
            <v>7.22</v>
          </cell>
          <cell r="AC105" t="str">
            <v xml:space="preserve">01/09/2023 -     </v>
          </cell>
          <cell r="AD105" t="str">
            <v>30.09.2023</v>
          </cell>
          <cell r="AE105" t="str">
            <v>30/1.0000</v>
          </cell>
          <cell r="AF105">
            <v>123.6</v>
          </cell>
          <cell r="AG105" t="str">
            <v>KVA</v>
          </cell>
          <cell r="AH105">
            <v>123.6</v>
          </cell>
          <cell r="AI105" t="str">
            <v>R</v>
          </cell>
          <cell r="AJ105">
            <v>201294.17</v>
          </cell>
          <cell r="AK105" t="str">
            <v>30/09/2023</v>
          </cell>
          <cell r="AL105" t="str">
            <v>TPN64285</v>
          </cell>
          <cell r="AM105" t="str">
            <v>TRI-VECTOR METER FOR RAILWAY TRACTION</v>
          </cell>
          <cell r="AN105" t="str">
            <v>POST PAID</v>
          </cell>
          <cell r="AO105">
            <v>150</v>
          </cell>
          <cell r="AP105" t="str">
            <v>TOD</v>
          </cell>
          <cell r="AQ105">
            <v>-56493.13</v>
          </cell>
          <cell r="AR105">
            <v>0</v>
          </cell>
          <cell r="AS105">
            <v>0</v>
          </cell>
          <cell r="AT105">
            <v>0</v>
          </cell>
          <cell r="AU105">
            <v>0</v>
          </cell>
          <cell r="AV105">
            <v>0</v>
          </cell>
          <cell r="AW105">
            <v>3579</v>
          </cell>
          <cell r="AX105">
            <v>6550</v>
          </cell>
          <cell r="AY105">
            <v>6550</v>
          </cell>
          <cell r="AZ105">
            <v>743.12</v>
          </cell>
          <cell r="BA105">
            <v>126</v>
          </cell>
        </row>
        <row r="106">
          <cell r="F106">
            <v>123000000074</v>
          </cell>
          <cell r="G106" t="str">
            <v>M/S MAGNUM ESTATE LTD.</v>
          </cell>
          <cell r="H106" t="str">
            <v>C/O- Prem Sankar Satpathy,BAHABALPUR</v>
          </cell>
          <cell r="I106" t="str">
            <v>10/31/2020 00:00:00</v>
          </cell>
          <cell r="J106">
            <v>1</v>
          </cell>
          <cell r="K106" t="str">
            <v xml:space="preserve"> </v>
          </cell>
          <cell r="L106" t="str">
            <v xml:space="preserve"> </v>
          </cell>
          <cell r="M106" t="str">
            <v>324000010231494752</v>
          </cell>
          <cell r="N106" t="str">
            <v>1230000061</v>
          </cell>
          <cell r="O106" t="str">
            <v>BR-81237</v>
          </cell>
          <cell r="P106" t="str">
            <v>432413202</v>
          </cell>
          <cell r="Q106" t="str">
            <v>ALLIED AGRICULTURE ACTIVITIES</v>
          </cell>
          <cell r="R106" t="str">
            <v>HT</v>
          </cell>
          <cell r="S106" t="str">
            <v>01/10/2023</v>
          </cell>
          <cell r="T106" t="str">
            <v>01/10/2023</v>
          </cell>
          <cell r="U106" t="str">
            <v>09/10/2023</v>
          </cell>
          <cell r="V106" t="str">
            <v>09/10/2023</v>
          </cell>
          <cell r="W106" t="str">
            <v>2023/09</v>
          </cell>
          <cell r="X106" t="str">
            <v>11 KV</v>
          </cell>
          <cell r="Y106" t="str">
            <v>HT</v>
          </cell>
          <cell r="Z106">
            <v>278</v>
          </cell>
          <cell r="AA106">
            <v>0.97519999999999996</v>
          </cell>
          <cell r="AB106">
            <v>0</v>
          </cell>
          <cell r="AC106" t="str">
            <v xml:space="preserve">01/09/2023 -     </v>
          </cell>
          <cell r="AD106" t="str">
            <v>30.09.2023</v>
          </cell>
          <cell r="AE106" t="str">
            <v>30/1.0000</v>
          </cell>
          <cell r="AF106">
            <v>278</v>
          </cell>
          <cell r="AG106" t="str">
            <v>KVA</v>
          </cell>
          <cell r="AH106">
            <v>278</v>
          </cell>
          <cell r="AI106" t="str">
            <v>R</v>
          </cell>
          <cell r="AJ106">
            <v>172334</v>
          </cell>
          <cell r="AK106" t="str">
            <v>30/09/2023</v>
          </cell>
          <cell r="AL106" t="str">
            <v>TPN64126</v>
          </cell>
          <cell r="AM106" t="str">
            <v>THREE PHASE STATIC TRI-VECTOR METER-TOD</v>
          </cell>
          <cell r="AN106" t="str">
            <v>POST PAID</v>
          </cell>
          <cell r="AO106">
            <v>150</v>
          </cell>
          <cell r="AP106" t="str">
            <v>TOD</v>
          </cell>
          <cell r="AQ106">
            <v>-65735</v>
          </cell>
          <cell r="AR106">
            <v>0</v>
          </cell>
          <cell r="AS106">
            <v>0</v>
          </cell>
          <cell r="AT106">
            <v>0</v>
          </cell>
          <cell r="AU106">
            <v>0</v>
          </cell>
          <cell r="AV106">
            <v>0</v>
          </cell>
          <cell r="AW106">
            <v>29888</v>
          </cell>
          <cell r="AX106">
            <v>30646</v>
          </cell>
          <cell r="AY106">
            <v>30646</v>
          </cell>
          <cell r="AZ106">
            <v>843.68</v>
          </cell>
          <cell r="BA106">
            <v>119.68</v>
          </cell>
        </row>
        <row r="107">
          <cell r="F107">
            <v>123000000075</v>
          </cell>
          <cell r="G107" t="str">
            <v>M/S EVEREST INDUSTRIES LTD.</v>
          </cell>
          <cell r="H107" t="str">
            <v>PLOT NO:- Z5,IDCO-IID CENTERSOMANATHPUR</v>
          </cell>
          <cell r="I107" t="str">
            <v>10/31/2020 00:00:00</v>
          </cell>
          <cell r="J107">
            <v>1</v>
          </cell>
          <cell r="K107" t="str">
            <v xml:space="preserve"> </v>
          </cell>
          <cell r="L107" t="str">
            <v xml:space="preserve"> </v>
          </cell>
          <cell r="M107" t="str">
            <v>324000010231494510</v>
          </cell>
          <cell r="N107" t="str">
            <v>1230000062</v>
          </cell>
          <cell r="O107" t="str">
            <v>BM-103576</v>
          </cell>
          <cell r="P107" t="str">
            <v>43207405001</v>
          </cell>
          <cell r="Q107" t="str">
            <v>LARGE INDUSTRY</v>
          </cell>
          <cell r="R107" t="str">
            <v>HT</v>
          </cell>
          <cell r="S107" t="str">
            <v>01/10/2023</v>
          </cell>
          <cell r="T107" t="str">
            <v>01/10/2023</v>
          </cell>
          <cell r="U107" t="str">
            <v>06/10/2023</v>
          </cell>
          <cell r="V107" t="str">
            <v>09/10/2023</v>
          </cell>
          <cell r="W107" t="str">
            <v>2023/09</v>
          </cell>
          <cell r="X107" t="str">
            <v>33 KV</v>
          </cell>
          <cell r="Y107" t="str">
            <v>HT</v>
          </cell>
          <cell r="Z107">
            <v>755.4</v>
          </cell>
          <cell r="AA107">
            <v>0.99480000000000002</v>
          </cell>
          <cell r="AB107">
            <v>47.26</v>
          </cell>
          <cell r="AC107" t="str">
            <v xml:space="preserve">01/09/2023 -     </v>
          </cell>
          <cell r="AD107" t="str">
            <v>30.09.2023</v>
          </cell>
          <cell r="AE107" t="str">
            <v>30/1.0000</v>
          </cell>
          <cell r="AF107">
            <v>900</v>
          </cell>
          <cell r="AG107" t="str">
            <v>KVA</v>
          </cell>
          <cell r="AH107">
            <v>900</v>
          </cell>
          <cell r="AI107" t="str">
            <v>R</v>
          </cell>
          <cell r="AJ107">
            <v>4858697</v>
          </cell>
          <cell r="AK107" t="str">
            <v>30/09/2023</v>
          </cell>
          <cell r="AL107" t="str">
            <v>TPN64758</v>
          </cell>
          <cell r="AM107" t="str">
            <v>THREE PHASE HT CT METER-33KV</v>
          </cell>
          <cell r="AN107" t="str">
            <v>POST PAID</v>
          </cell>
          <cell r="AO107">
            <v>1000</v>
          </cell>
          <cell r="AP107" t="str">
            <v>TOD</v>
          </cell>
          <cell r="AQ107">
            <v>236068.7</v>
          </cell>
          <cell r="AR107">
            <v>0</v>
          </cell>
          <cell r="AS107">
            <v>0</v>
          </cell>
          <cell r="AT107">
            <v>0</v>
          </cell>
          <cell r="AU107">
            <v>0</v>
          </cell>
          <cell r="AV107">
            <v>0</v>
          </cell>
          <cell r="AW107">
            <v>255720</v>
          </cell>
          <cell r="AX107">
            <v>257032</v>
          </cell>
          <cell r="AY107">
            <v>257032</v>
          </cell>
          <cell r="AZ107">
            <v>5237.3999999999996</v>
          </cell>
          <cell r="BA107">
            <v>755.40000000000009</v>
          </cell>
        </row>
        <row r="108">
          <cell r="F108">
            <v>123000000077</v>
          </cell>
          <cell r="G108" t="str">
            <v>M/S DADA FREEZING</v>
          </cell>
          <cell r="H108" t="str">
            <v>C/O- DEDENDRA NATA RAY</v>
          </cell>
          <cell r="I108" t="str">
            <v>10/31/2020 00:00:00</v>
          </cell>
          <cell r="J108">
            <v>1</v>
          </cell>
          <cell r="K108" t="str">
            <v xml:space="preserve"> </v>
          </cell>
          <cell r="L108" t="str">
            <v xml:space="preserve"> </v>
          </cell>
          <cell r="M108" t="str">
            <v>324000010231494768</v>
          </cell>
          <cell r="N108" t="str">
            <v>1230000064</v>
          </cell>
          <cell r="O108" t="str">
            <v>BR-85820</v>
          </cell>
          <cell r="P108" t="str">
            <v>432413202</v>
          </cell>
          <cell r="Q108" t="str">
            <v>LARGE INDUSTRY</v>
          </cell>
          <cell r="R108" t="str">
            <v>HT</v>
          </cell>
          <cell r="S108" t="str">
            <v>01/10/2023</v>
          </cell>
          <cell r="T108" t="str">
            <v>01/10/2023</v>
          </cell>
          <cell r="U108" t="str">
            <v>06/10/2023</v>
          </cell>
          <cell r="V108" t="str">
            <v>09/10/2023</v>
          </cell>
          <cell r="W108" t="str">
            <v>2023/09</v>
          </cell>
          <cell r="X108" t="str">
            <v>11 KV</v>
          </cell>
          <cell r="Y108" t="str">
            <v>HT</v>
          </cell>
          <cell r="Z108">
            <v>116.08</v>
          </cell>
          <cell r="AA108">
            <v>0.99750000000000005</v>
          </cell>
          <cell r="AB108">
            <v>63.55</v>
          </cell>
          <cell r="AC108" t="str">
            <v xml:space="preserve">01/09/2023 -     </v>
          </cell>
          <cell r="AD108" t="str">
            <v>30.09.2023</v>
          </cell>
          <cell r="AE108" t="str">
            <v>30/1.0000</v>
          </cell>
          <cell r="AF108">
            <v>120</v>
          </cell>
          <cell r="AG108" t="str">
            <v>KVA</v>
          </cell>
          <cell r="AH108">
            <v>120</v>
          </cell>
          <cell r="AI108" t="str">
            <v>R</v>
          </cell>
          <cell r="AJ108">
            <v>313377.90000000002</v>
          </cell>
          <cell r="AK108" t="str">
            <v>30/09/2023</v>
          </cell>
          <cell r="AL108" t="str">
            <v>NES51072</v>
          </cell>
          <cell r="AM108" t="str">
            <v>THREE PHASE STATIC TRI-VECTOR METER-TOD</v>
          </cell>
          <cell r="AN108" t="str">
            <v>POST PAID</v>
          </cell>
          <cell r="AO108">
            <v>150</v>
          </cell>
          <cell r="AP108" t="str">
            <v>TOD</v>
          </cell>
          <cell r="AQ108">
            <v>70370.740000000005</v>
          </cell>
          <cell r="AR108">
            <v>0</v>
          </cell>
          <cell r="AS108">
            <v>0</v>
          </cell>
          <cell r="AT108">
            <v>0</v>
          </cell>
          <cell r="AU108">
            <v>0</v>
          </cell>
          <cell r="AV108">
            <v>0</v>
          </cell>
          <cell r="AW108">
            <v>52983</v>
          </cell>
          <cell r="AX108">
            <v>53114</v>
          </cell>
          <cell r="AY108">
            <v>53114</v>
          </cell>
          <cell r="AZ108">
            <v>779.92</v>
          </cell>
          <cell r="BA108">
            <v>116.08000000000001</v>
          </cell>
        </row>
        <row r="109">
          <cell r="F109">
            <v>123000000078</v>
          </cell>
          <cell r="G109" t="str">
            <v>SOMANI GREEN BRICKS</v>
          </cell>
          <cell r="H109" t="str">
            <v>C/O- CHANDRA PRAKASH SOMANI</v>
          </cell>
          <cell r="I109" t="str">
            <v>10/31/2020 00:00:00</v>
          </cell>
          <cell r="J109">
            <v>1</v>
          </cell>
          <cell r="K109" t="str">
            <v xml:space="preserve"> </v>
          </cell>
          <cell r="L109" t="str">
            <v xml:space="preserve"> </v>
          </cell>
          <cell r="M109" t="str">
            <v>324000010231494372</v>
          </cell>
          <cell r="N109" t="str">
            <v>1230000065</v>
          </cell>
          <cell r="O109" t="str">
            <v>BN-93620</v>
          </cell>
          <cell r="P109" t="str">
            <v>432123206</v>
          </cell>
          <cell r="Q109" t="str">
            <v>LARGE INDUSTRY</v>
          </cell>
          <cell r="R109" t="str">
            <v>HT</v>
          </cell>
          <cell r="S109" t="str">
            <v>01/10/2023</v>
          </cell>
          <cell r="T109" t="str">
            <v>01/10/2023</v>
          </cell>
          <cell r="U109" t="str">
            <v>06/10/2023</v>
          </cell>
          <cell r="V109" t="str">
            <v>09/10/2023</v>
          </cell>
          <cell r="W109" t="str">
            <v>2023/09</v>
          </cell>
          <cell r="X109" t="str">
            <v>11 KV</v>
          </cell>
          <cell r="Y109" t="str">
            <v>HT</v>
          </cell>
          <cell r="Z109">
            <v>114.88</v>
          </cell>
          <cell r="AA109">
            <v>0.97</v>
          </cell>
          <cell r="AB109">
            <v>27.84</v>
          </cell>
          <cell r="AC109" t="str">
            <v xml:space="preserve">01/09/2023 -     </v>
          </cell>
          <cell r="AD109" t="str">
            <v>30.09.2023</v>
          </cell>
          <cell r="AE109" t="str">
            <v>30/1.0000</v>
          </cell>
          <cell r="AF109">
            <v>110</v>
          </cell>
          <cell r="AG109" t="str">
            <v>KVA</v>
          </cell>
          <cell r="AH109">
            <v>110</v>
          </cell>
          <cell r="AI109" t="str">
            <v>R</v>
          </cell>
          <cell r="AJ109">
            <v>253786</v>
          </cell>
          <cell r="AK109" t="str">
            <v>30/09/2023</v>
          </cell>
          <cell r="AL109" t="str">
            <v>NES52095</v>
          </cell>
          <cell r="AM109" t="str">
            <v>TRI-VECTOR METER FOR RAILWAY TRACTION</v>
          </cell>
          <cell r="AN109" t="str">
            <v>POST PAID</v>
          </cell>
          <cell r="AO109">
            <v>200</v>
          </cell>
          <cell r="AP109" t="str">
            <v>TOD</v>
          </cell>
          <cell r="AQ109">
            <v>-70434.259999999995</v>
          </cell>
          <cell r="AR109">
            <v>0</v>
          </cell>
          <cell r="AS109">
            <v>0</v>
          </cell>
          <cell r="AT109">
            <v>0</v>
          </cell>
          <cell r="AU109">
            <v>0</v>
          </cell>
          <cell r="AV109">
            <v>0</v>
          </cell>
          <cell r="AW109">
            <v>22334</v>
          </cell>
          <cell r="AX109">
            <v>23024</v>
          </cell>
          <cell r="AY109">
            <v>23024</v>
          </cell>
          <cell r="AZ109">
            <v>795.44</v>
          </cell>
          <cell r="BA109">
            <v>114.88000000000001</v>
          </cell>
        </row>
        <row r="110">
          <cell r="F110">
            <v>123000000079</v>
          </cell>
          <cell r="G110" t="str">
            <v>M/S SHANKAR AGRI PRODUCT (P) LTD.</v>
          </cell>
          <cell r="H110" t="str">
            <v>KHANNAGAR,SARAGANBALASORE</v>
          </cell>
          <cell r="I110" t="str">
            <v>10/31/2020 00:00:00</v>
          </cell>
          <cell r="J110">
            <v>1</v>
          </cell>
          <cell r="K110" t="str">
            <v xml:space="preserve"> </v>
          </cell>
          <cell r="L110" t="str">
            <v xml:space="preserve"> </v>
          </cell>
          <cell r="M110" t="str">
            <v>324000010231494427</v>
          </cell>
          <cell r="N110" t="str">
            <v>1230000066</v>
          </cell>
          <cell r="O110" t="str">
            <v>BN-104443</v>
          </cell>
          <cell r="P110" t="str">
            <v>432123206</v>
          </cell>
          <cell r="Q110" t="str">
            <v>LARGE INDUSTRY</v>
          </cell>
          <cell r="R110" t="str">
            <v>HT</v>
          </cell>
          <cell r="S110" t="str">
            <v>01/10/2023</v>
          </cell>
          <cell r="T110" t="str">
            <v>01/10/2023</v>
          </cell>
          <cell r="U110" t="str">
            <v>06/10/2023</v>
          </cell>
          <cell r="V110" t="str">
            <v>09/10/2023</v>
          </cell>
          <cell r="W110" t="str">
            <v>2023/09</v>
          </cell>
          <cell r="X110" t="str">
            <v>11 KV</v>
          </cell>
          <cell r="Y110" t="str">
            <v>HT</v>
          </cell>
          <cell r="Z110">
            <v>146.4</v>
          </cell>
          <cell r="AA110">
            <v>0.97689999999999999</v>
          </cell>
          <cell r="AB110">
            <v>13.25</v>
          </cell>
          <cell r="AC110" t="str">
            <v xml:space="preserve">01/09/2023 -     </v>
          </cell>
          <cell r="AD110" t="str">
            <v>30.09.2023</v>
          </cell>
          <cell r="AE110" t="str">
            <v>30/1.0000</v>
          </cell>
          <cell r="AF110">
            <v>183</v>
          </cell>
          <cell r="AG110" t="str">
            <v>KVA</v>
          </cell>
          <cell r="AH110">
            <v>183</v>
          </cell>
          <cell r="AI110" t="str">
            <v>R</v>
          </cell>
          <cell r="AJ110">
            <v>862150</v>
          </cell>
          <cell r="AK110" t="str">
            <v>30/09/2023</v>
          </cell>
          <cell r="AL110" t="str">
            <v>NSC94820</v>
          </cell>
          <cell r="AM110" t="str">
            <v>TRI-VECTOR METER FOR RAILWAY TRACTION</v>
          </cell>
          <cell r="AN110" t="str">
            <v>POST PAID</v>
          </cell>
          <cell r="AO110">
            <v>250</v>
          </cell>
          <cell r="AP110" t="str">
            <v>TOD</v>
          </cell>
          <cell r="AQ110">
            <v>-425817.1</v>
          </cell>
          <cell r="AR110">
            <v>0</v>
          </cell>
          <cell r="AS110">
            <v>0</v>
          </cell>
          <cell r="AT110">
            <v>0</v>
          </cell>
          <cell r="AU110">
            <v>0</v>
          </cell>
          <cell r="AV110">
            <v>0</v>
          </cell>
          <cell r="AW110">
            <v>10999</v>
          </cell>
          <cell r="AX110">
            <v>11258</v>
          </cell>
          <cell r="AY110">
            <v>11258</v>
          </cell>
          <cell r="AZ110">
            <v>972.08</v>
          </cell>
          <cell r="BA110">
            <v>118</v>
          </cell>
        </row>
        <row r="111">
          <cell r="F111">
            <v>123000000080</v>
          </cell>
          <cell r="G111" t="str">
            <v>M/S OHM PIPES</v>
          </cell>
          <cell r="H111" t="str">
            <v>SAMANATHPUR,REMUNA</v>
          </cell>
          <cell r="I111" t="str">
            <v>10/31/2020 00:00:00</v>
          </cell>
          <cell r="J111">
            <v>1</v>
          </cell>
          <cell r="K111" t="str">
            <v xml:space="preserve"> </v>
          </cell>
          <cell r="L111" t="str">
            <v xml:space="preserve"> </v>
          </cell>
          <cell r="M111" t="str">
            <v>324000010231494560</v>
          </cell>
          <cell r="N111" t="str">
            <v>1230000067</v>
          </cell>
          <cell r="O111" t="str">
            <v>BM-108769</v>
          </cell>
          <cell r="P111" t="str">
            <v>43207405001</v>
          </cell>
          <cell r="Q111" t="str">
            <v>LARGE INDUSTRY</v>
          </cell>
          <cell r="R111" t="str">
            <v>HT</v>
          </cell>
          <cell r="S111" t="str">
            <v>01/10/2023</v>
          </cell>
          <cell r="T111" t="str">
            <v>01/10/2023</v>
          </cell>
          <cell r="U111" t="str">
            <v>06/10/2023</v>
          </cell>
          <cell r="V111" t="str">
            <v>09/10/2023</v>
          </cell>
          <cell r="W111" t="str">
            <v>2023/09</v>
          </cell>
          <cell r="X111" t="str">
            <v>33 KV</v>
          </cell>
          <cell r="Y111" t="str">
            <v>HT</v>
          </cell>
          <cell r="Z111">
            <v>491.76</v>
          </cell>
          <cell r="AA111">
            <v>0.89029999999999998</v>
          </cell>
          <cell r="AB111">
            <v>40.729999999999997</v>
          </cell>
          <cell r="AC111" t="str">
            <v xml:space="preserve">29/08/2023 -     </v>
          </cell>
          <cell r="AD111" t="str">
            <v>27.09.2023</v>
          </cell>
          <cell r="AE111" t="str">
            <v>30/1.0000</v>
          </cell>
          <cell r="AF111">
            <v>475</v>
          </cell>
          <cell r="AG111" t="str">
            <v>KVA</v>
          </cell>
          <cell r="AH111">
            <v>475</v>
          </cell>
          <cell r="AI111" t="str">
            <v>R</v>
          </cell>
          <cell r="AJ111">
            <v>2301508</v>
          </cell>
          <cell r="AK111" t="str">
            <v>27/09/2023</v>
          </cell>
          <cell r="AL111" t="str">
            <v>NES51960</v>
          </cell>
          <cell r="AM111" t="str">
            <v>THREE PHASE HT CT METER-33KV</v>
          </cell>
          <cell r="AN111" t="str">
            <v>POST PAID</v>
          </cell>
          <cell r="AO111">
            <v>250</v>
          </cell>
          <cell r="AP111" t="str">
            <v>TOD</v>
          </cell>
          <cell r="AQ111">
            <v>-205307.56</v>
          </cell>
          <cell r="AR111">
            <v>0</v>
          </cell>
          <cell r="AS111">
            <v>0</v>
          </cell>
          <cell r="AT111">
            <v>0</v>
          </cell>
          <cell r="AU111">
            <v>0</v>
          </cell>
          <cell r="AV111">
            <v>0</v>
          </cell>
          <cell r="AW111">
            <v>128394</v>
          </cell>
          <cell r="AX111">
            <v>144207</v>
          </cell>
          <cell r="AY111">
            <v>144207</v>
          </cell>
          <cell r="AZ111">
            <v>2953.2</v>
          </cell>
          <cell r="BA111">
            <v>491.76</v>
          </cell>
        </row>
        <row r="112">
          <cell r="F112">
            <v>123000000082</v>
          </cell>
          <cell r="G112" t="str">
            <v>ADVANCE PLASTIC PROCESSING</v>
          </cell>
          <cell r="H112" t="str">
            <v>TECH. CENTER BAMPADA INDUSTRIAL AREA BALASORE</v>
          </cell>
          <cell r="I112" t="str">
            <v>10/31/2020 00:00:00</v>
          </cell>
          <cell r="J112">
            <v>1</v>
          </cell>
          <cell r="K112" t="str">
            <v xml:space="preserve"> </v>
          </cell>
          <cell r="L112" t="str">
            <v xml:space="preserve"> </v>
          </cell>
          <cell r="M112" t="str">
            <v>324000010231494809</v>
          </cell>
          <cell r="N112" t="str">
            <v>1230000069</v>
          </cell>
          <cell r="O112" t="str">
            <v>BG-108945</v>
          </cell>
          <cell r="P112" t="str">
            <v>432421501</v>
          </cell>
          <cell r="Q112" t="str">
            <v>SPECIFIED PUBLIC PURPOSE</v>
          </cell>
          <cell r="R112" t="str">
            <v>HT</v>
          </cell>
          <cell r="S112" t="str">
            <v>01/10/2023</v>
          </cell>
          <cell r="T112" t="str">
            <v>01/10/2023</v>
          </cell>
          <cell r="U112" t="str">
            <v>06/10/2023</v>
          </cell>
          <cell r="V112" t="str">
            <v>09/10/2023</v>
          </cell>
          <cell r="W112" t="str">
            <v>2023/09</v>
          </cell>
          <cell r="X112" t="str">
            <v>11 KV</v>
          </cell>
          <cell r="Y112" t="str">
            <v>HT</v>
          </cell>
          <cell r="Z112">
            <v>320</v>
          </cell>
          <cell r="AA112">
            <v>0.90859999999999996</v>
          </cell>
          <cell r="AB112">
            <v>43.38</v>
          </cell>
          <cell r="AC112" t="str">
            <v xml:space="preserve">01/09/2023 -     </v>
          </cell>
          <cell r="AD112" t="str">
            <v>30.09.2023</v>
          </cell>
          <cell r="AE112" t="str">
            <v>30/1.0000</v>
          </cell>
          <cell r="AF112">
            <v>400</v>
          </cell>
          <cell r="AG112" t="str">
            <v>KVA</v>
          </cell>
          <cell r="AH112">
            <v>400</v>
          </cell>
          <cell r="AI112" t="str">
            <v>R</v>
          </cell>
          <cell r="AJ112">
            <v>945376</v>
          </cell>
          <cell r="AK112" t="str">
            <v>30/09/2023</v>
          </cell>
          <cell r="AL112" t="str">
            <v>NES50490</v>
          </cell>
          <cell r="AM112" t="str">
            <v>TRI-VECTOR METER FOR RAILWAY TRACTION</v>
          </cell>
          <cell r="AN112" t="str">
            <v>POST PAID</v>
          </cell>
          <cell r="AO112">
            <v>630</v>
          </cell>
          <cell r="AP112" t="str">
            <v>TOD</v>
          </cell>
          <cell r="AQ112">
            <v>-264129.3</v>
          </cell>
          <cell r="AR112">
            <v>0</v>
          </cell>
          <cell r="AS112">
            <v>0</v>
          </cell>
          <cell r="AT112">
            <v>0</v>
          </cell>
          <cell r="AU112">
            <v>0</v>
          </cell>
          <cell r="AV112">
            <v>0</v>
          </cell>
          <cell r="AW112">
            <v>64101</v>
          </cell>
          <cell r="AX112">
            <v>70542</v>
          </cell>
          <cell r="AY112">
            <v>70542</v>
          </cell>
          <cell r="AZ112">
            <v>1473.6</v>
          </cell>
          <cell r="BA112">
            <v>225.84</v>
          </cell>
        </row>
        <row r="113">
          <cell r="F113">
            <v>123000000084</v>
          </cell>
          <cell r="G113" t="str">
            <v>M/S GANAPATI ALUMINIUM</v>
          </cell>
          <cell r="H113" t="str">
            <v>MADHIPUR,REMUNABALASORE</v>
          </cell>
          <cell r="I113" t="str">
            <v>10/31/2020 00:00:00</v>
          </cell>
          <cell r="J113">
            <v>1</v>
          </cell>
          <cell r="K113" t="str">
            <v xml:space="preserve"> </v>
          </cell>
          <cell r="L113" t="str">
            <v xml:space="preserve"> </v>
          </cell>
          <cell r="M113" t="str">
            <v>324000010231494604</v>
          </cell>
          <cell r="N113" t="str">
            <v>1230000071</v>
          </cell>
          <cell r="O113" t="str">
            <v>BM-1088</v>
          </cell>
          <cell r="P113" t="str">
            <v>432421101</v>
          </cell>
          <cell r="Q113" t="str">
            <v>LARGE INDUSTRY</v>
          </cell>
          <cell r="R113" t="str">
            <v>HT</v>
          </cell>
          <cell r="S113" t="str">
            <v>01/10/2023</v>
          </cell>
          <cell r="T113" t="str">
            <v>01/10/2023</v>
          </cell>
          <cell r="U113" t="str">
            <v>06/10/2023</v>
          </cell>
          <cell r="V113" t="str">
            <v>09/10/2023</v>
          </cell>
          <cell r="W113" t="str">
            <v>2023/09</v>
          </cell>
          <cell r="X113" t="str">
            <v>11 KV</v>
          </cell>
          <cell r="Y113" t="str">
            <v>HT</v>
          </cell>
          <cell r="Z113">
            <v>160</v>
          </cell>
          <cell r="AA113">
            <v>0.76829999999999998</v>
          </cell>
          <cell r="AB113">
            <v>15.64</v>
          </cell>
          <cell r="AC113" t="str">
            <v xml:space="preserve">01/09/2023 -     </v>
          </cell>
          <cell r="AD113" t="str">
            <v>30.09.2023</v>
          </cell>
          <cell r="AE113" t="str">
            <v>30/1.0000</v>
          </cell>
          <cell r="AF113">
            <v>200</v>
          </cell>
          <cell r="AG113" t="str">
            <v>KVA</v>
          </cell>
          <cell r="AH113">
            <v>200</v>
          </cell>
          <cell r="AI113" t="str">
            <v>R</v>
          </cell>
          <cell r="AJ113">
            <v>953921</v>
          </cell>
          <cell r="AK113" t="str">
            <v>30/09/2023</v>
          </cell>
          <cell r="AL113" t="str">
            <v>NES50511</v>
          </cell>
          <cell r="AM113" t="str">
            <v>TRI-VECTOR METER FOR RAILWAY TRACTION</v>
          </cell>
          <cell r="AN113" t="str">
            <v>POST PAID</v>
          </cell>
          <cell r="AO113">
            <v>250</v>
          </cell>
          <cell r="AP113" t="str">
            <v>TOD</v>
          </cell>
          <cell r="AQ113">
            <v>-750427.5</v>
          </cell>
          <cell r="AR113">
            <v>0</v>
          </cell>
          <cell r="AS113">
            <v>0</v>
          </cell>
          <cell r="AT113">
            <v>0</v>
          </cell>
          <cell r="AU113">
            <v>0</v>
          </cell>
          <cell r="AV113">
            <v>0</v>
          </cell>
          <cell r="AW113">
            <v>8390</v>
          </cell>
          <cell r="AX113">
            <v>10920</v>
          </cell>
          <cell r="AY113">
            <v>10920</v>
          </cell>
          <cell r="AZ113">
            <v>271.36</v>
          </cell>
          <cell r="BA113">
            <v>96.960000000000008</v>
          </cell>
        </row>
        <row r="114">
          <cell r="F114">
            <v>123000000085</v>
          </cell>
          <cell r="G114" t="str">
            <v>M/S KONARK AQUA</v>
          </cell>
          <cell r="H114" t="str">
            <v>SARITA MOHAPATRA,BASAKHUNTAARMALA, BALASORE</v>
          </cell>
          <cell r="I114" t="str">
            <v>10/31/2020 00:00:00</v>
          </cell>
          <cell r="J114">
            <v>1</v>
          </cell>
          <cell r="K114" t="str">
            <v xml:space="preserve"> </v>
          </cell>
          <cell r="L114" t="str">
            <v xml:space="preserve"> </v>
          </cell>
          <cell r="M114" t="str">
            <v>324000010231494305</v>
          </cell>
          <cell r="N114" t="str">
            <v>1230000072</v>
          </cell>
          <cell r="O114" t="str">
            <v>BS-908655</v>
          </cell>
          <cell r="P114" t="str">
            <v>432123206</v>
          </cell>
          <cell r="Q114" t="str">
            <v>ALLIED AGRICULTURE ACTIVITIES</v>
          </cell>
          <cell r="R114" t="str">
            <v>HT</v>
          </cell>
          <cell r="S114" t="str">
            <v>01/10/2023</v>
          </cell>
          <cell r="T114" t="str">
            <v>01/10/2023</v>
          </cell>
          <cell r="U114" t="str">
            <v>09/10/2023</v>
          </cell>
          <cell r="V114" t="str">
            <v>09/10/2023</v>
          </cell>
          <cell r="W114" t="str">
            <v>2023/09</v>
          </cell>
          <cell r="X114" t="str">
            <v>11 KV</v>
          </cell>
          <cell r="Y114" t="str">
            <v>HT</v>
          </cell>
          <cell r="Z114">
            <v>232</v>
          </cell>
          <cell r="AA114">
            <v>0.7873</v>
          </cell>
          <cell r="AB114">
            <v>0</v>
          </cell>
          <cell r="AC114" t="str">
            <v xml:space="preserve">01/09/2023 -     </v>
          </cell>
          <cell r="AD114" t="str">
            <v>30.09.2023</v>
          </cell>
          <cell r="AE114" t="str">
            <v>30/1.0000</v>
          </cell>
          <cell r="AF114">
            <v>232</v>
          </cell>
          <cell r="AG114" t="str">
            <v>KVA</v>
          </cell>
          <cell r="AH114">
            <v>232</v>
          </cell>
          <cell r="AI114" t="str">
            <v>R</v>
          </cell>
          <cell r="AJ114">
            <v>548318</v>
          </cell>
          <cell r="AK114" t="str">
            <v>30/09/2023</v>
          </cell>
          <cell r="AL114" t="str">
            <v>NES52102</v>
          </cell>
          <cell r="AM114" t="str">
            <v>THREE PHASE STATIC TRI-VECTOR METER-TOD</v>
          </cell>
          <cell r="AN114" t="str">
            <v>POST PAID</v>
          </cell>
          <cell r="AO114">
            <v>315</v>
          </cell>
          <cell r="AP114" t="str">
            <v>TOD</v>
          </cell>
          <cell r="AQ114">
            <v>-482123</v>
          </cell>
          <cell r="AR114">
            <v>0</v>
          </cell>
          <cell r="AS114">
            <v>0</v>
          </cell>
          <cell r="AT114">
            <v>0</v>
          </cell>
          <cell r="AU114">
            <v>0</v>
          </cell>
          <cell r="AV114">
            <v>0</v>
          </cell>
          <cell r="AW114">
            <v>16021</v>
          </cell>
          <cell r="AX114">
            <v>20347</v>
          </cell>
          <cell r="AY114">
            <v>20347</v>
          </cell>
          <cell r="AZ114">
            <v>608.28</v>
          </cell>
          <cell r="BA114">
            <v>68.759999999999991</v>
          </cell>
        </row>
        <row r="115">
          <cell r="F115">
            <v>123000000086</v>
          </cell>
          <cell r="G115" t="str">
            <v>M/S ASHADEEP AQUA CULTURE (P) LTD.</v>
          </cell>
          <cell r="H115" t="str">
            <v>SILDA,CHHANUABALASORE</v>
          </cell>
          <cell r="I115" t="str">
            <v>10/31/2020 00:00:00</v>
          </cell>
          <cell r="J115">
            <v>1</v>
          </cell>
          <cell r="K115" t="str">
            <v xml:space="preserve"> </v>
          </cell>
          <cell r="L115" t="str">
            <v xml:space="preserve"> </v>
          </cell>
          <cell r="M115" t="str">
            <v>324000010231494784</v>
          </cell>
          <cell r="N115" t="str">
            <v>1230000073</v>
          </cell>
          <cell r="O115" t="str">
            <v>BR-908656</v>
          </cell>
          <cell r="P115" t="str">
            <v>432413202</v>
          </cell>
          <cell r="Q115" t="str">
            <v>ALLIED AGRICULTURE ACTIVITIES</v>
          </cell>
          <cell r="R115" t="str">
            <v>HT</v>
          </cell>
          <cell r="S115" t="str">
            <v>01/10/2023</v>
          </cell>
          <cell r="T115" t="str">
            <v>01/10/2023</v>
          </cell>
          <cell r="U115" t="str">
            <v>09/10/2023</v>
          </cell>
          <cell r="V115" t="str">
            <v>09/10/2023</v>
          </cell>
          <cell r="W115" t="str">
            <v>2023/09</v>
          </cell>
          <cell r="X115" t="str">
            <v>11 KV</v>
          </cell>
          <cell r="Y115" t="str">
            <v>HT</v>
          </cell>
          <cell r="Z115">
            <v>700</v>
          </cell>
          <cell r="AA115">
            <v>0.59530000000000005</v>
          </cell>
          <cell r="AB115">
            <v>0</v>
          </cell>
          <cell r="AC115" t="str">
            <v xml:space="preserve">01/09/2023 -     </v>
          </cell>
          <cell r="AD115" t="str">
            <v>30.09.2023</v>
          </cell>
          <cell r="AE115" t="str">
            <v>30/1.0000</v>
          </cell>
          <cell r="AF115">
            <v>700</v>
          </cell>
          <cell r="AG115" t="str">
            <v>KVA</v>
          </cell>
          <cell r="AH115">
            <v>700</v>
          </cell>
          <cell r="AI115" t="str">
            <v>R</v>
          </cell>
          <cell r="AJ115">
            <v>1654408</v>
          </cell>
          <cell r="AK115" t="str">
            <v>30/09/2023</v>
          </cell>
          <cell r="AL115" t="str">
            <v>NES52105</v>
          </cell>
          <cell r="AM115" t="str">
            <v>THREE PHASE STATIC TRI-VECTOR METER-TOD</v>
          </cell>
          <cell r="AN115" t="str">
            <v>POST PAID</v>
          </cell>
          <cell r="AO115">
            <v>500</v>
          </cell>
          <cell r="AP115" t="str">
            <v>TOD</v>
          </cell>
          <cell r="AQ115">
            <v>-1422221</v>
          </cell>
          <cell r="AR115">
            <v>0</v>
          </cell>
          <cell r="AS115">
            <v>0</v>
          </cell>
          <cell r="AT115">
            <v>0</v>
          </cell>
          <cell r="AU115">
            <v>0</v>
          </cell>
          <cell r="AV115">
            <v>0</v>
          </cell>
          <cell r="AW115">
            <v>58630</v>
          </cell>
          <cell r="AX115">
            <v>98480</v>
          </cell>
          <cell r="AY115">
            <v>98480</v>
          </cell>
          <cell r="AZ115">
            <v>2056</v>
          </cell>
          <cell r="BA115">
            <v>406.4</v>
          </cell>
        </row>
        <row r="116">
          <cell r="F116">
            <v>123000000087</v>
          </cell>
          <cell r="G116" t="str">
            <v>M/S NOCCI, BALASORE INF. COMPANY</v>
          </cell>
          <cell r="H116" t="str">
            <v>BAMPADA,BALASORE</v>
          </cell>
          <cell r="I116" t="str">
            <v>10/31/2020 00:00:00</v>
          </cell>
          <cell r="J116">
            <v>1</v>
          </cell>
          <cell r="K116" t="str">
            <v xml:space="preserve"> </v>
          </cell>
          <cell r="L116" t="str">
            <v xml:space="preserve"> </v>
          </cell>
          <cell r="M116" t="str">
            <v>324000010231494821</v>
          </cell>
          <cell r="N116" t="str">
            <v>1230000074</v>
          </cell>
          <cell r="O116" t="str">
            <v>BG-908657</v>
          </cell>
          <cell r="P116" t="str">
            <v>432421501</v>
          </cell>
          <cell r="Q116" t="str">
            <v>GENERAL PURPOSE &gt;= 110 KVA</v>
          </cell>
          <cell r="R116" t="str">
            <v>HT</v>
          </cell>
          <cell r="S116" t="str">
            <v>01/10/2023</v>
          </cell>
          <cell r="T116" t="str">
            <v>01/10/2023</v>
          </cell>
          <cell r="U116" t="str">
            <v>06/10/2023</v>
          </cell>
          <cell r="V116" t="str">
            <v>09/10/2023</v>
          </cell>
          <cell r="W116" t="str">
            <v>2023/09</v>
          </cell>
          <cell r="X116" t="str">
            <v>11 KV</v>
          </cell>
          <cell r="Y116" t="str">
            <v>HT</v>
          </cell>
          <cell r="Z116">
            <v>245.92</v>
          </cell>
          <cell r="AA116">
            <v>0.99360000000000004</v>
          </cell>
          <cell r="AB116">
            <v>29.83</v>
          </cell>
          <cell r="AC116" t="str">
            <v xml:space="preserve">01/09/2023 -     </v>
          </cell>
          <cell r="AD116" t="str">
            <v>30.09.2023</v>
          </cell>
          <cell r="AE116" t="str">
            <v>30/1.0000</v>
          </cell>
          <cell r="AF116">
            <v>278</v>
          </cell>
          <cell r="AG116" t="str">
            <v>KVA</v>
          </cell>
          <cell r="AH116">
            <v>278</v>
          </cell>
          <cell r="AI116" t="str">
            <v>R</v>
          </cell>
          <cell r="AJ116">
            <v>657036</v>
          </cell>
          <cell r="AK116" t="str">
            <v>30/09/2023</v>
          </cell>
          <cell r="AL116" t="str">
            <v>NES52104</v>
          </cell>
          <cell r="AM116" t="str">
            <v>THREE PHASE STATIC TRI-VECTOR METER-TOD</v>
          </cell>
          <cell r="AN116" t="str">
            <v>POST PAID</v>
          </cell>
          <cell r="AO116">
            <v>500</v>
          </cell>
          <cell r="AP116" t="str">
            <v>TOD</v>
          </cell>
          <cell r="AQ116">
            <v>-172043.2</v>
          </cell>
          <cell r="AR116">
            <v>0</v>
          </cell>
          <cell r="AS116">
            <v>0</v>
          </cell>
          <cell r="AT116">
            <v>0</v>
          </cell>
          <cell r="AU116">
            <v>0</v>
          </cell>
          <cell r="AV116">
            <v>0</v>
          </cell>
          <cell r="AW116">
            <v>52484</v>
          </cell>
          <cell r="AX116">
            <v>52818</v>
          </cell>
          <cell r="AY116">
            <v>52818</v>
          </cell>
          <cell r="AZ116">
            <v>2052.96</v>
          </cell>
          <cell r="BA116">
            <v>245.92000000000002</v>
          </cell>
        </row>
        <row r="117">
          <cell r="F117">
            <v>123000000088</v>
          </cell>
          <cell r="G117" t="str">
            <v>M/S ALASHORE MARINE EXPORTS P.LTD.</v>
          </cell>
          <cell r="H117" t="str">
            <v>C/O- GAYAN RANJAN DASH</v>
          </cell>
          <cell r="I117" t="str">
            <v>10/31/2020 00:00:00</v>
          </cell>
          <cell r="J117">
            <v>1</v>
          </cell>
          <cell r="K117" t="str">
            <v xml:space="preserve"> </v>
          </cell>
          <cell r="L117" t="str">
            <v xml:space="preserve"> </v>
          </cell>
          <cell r="M117" t="str">
            <v>324000010231494645</v>
          </cell>
          <cell r="N117" t="str">
            <v>1230000075</v>
          </cell>
          <cell r="O117" t="str">
            <v>BM-108937</v>
          </cell>
          <cell r="P117" t="str">
            <v>432421101</v>
          </cell>
          <cell r="Q117" t="str">
            <v>ALLIED AGRO-INDUSTRIAL ACTIVITIES</v>
          </cell>
          <cell r="R117" t="str">
            <v>HT</v>
          </cell>
          <cell r="S117" t="str">
            <v>01/10/2023</v>
          </cell>
          <cell r="T117" t="str">
            <v>01/10/2023</v>
          </cell>
          <cell r="U117" t="str">
            <v>06/10/2023</v>
          </cell>
          <cell r="V117" t="str">
            <v>09/10/2023</v>
          </cell>
          <cell r="W117" t="str">
            <v>2023/09</v>
          </cell>
          <cell r="X117" t="str">
            <v>11 KV</v>
          </cell>
          <cell r="Y117" t="str">
            <v>HT</v>
          </cell>
          <cell r="Z117">
            <v>825</v>
          </cell>
          <cell r="AA117">
            <v>0.96389999999999998</v>
          </cell>
          <cell r="AB117">
            <v>0</v>
          </cell>
          <cell r="AC117" t="str">
            <v xml:space="preserve">01/09/2023 -     </v>
          </cell>
          <cell r="AD117" t="str">
            <v>30.09.2023</v>
          </cell>
          <cell r="AE117" t="str">
            <v>30/1.0000</v>
          </cell>
          <cell r="AF117">
            <v>825</v>
          </cell>
          <cell r="AG117" t="str">
            <v>KVA</v>
          </cell>
          <cell r="AH117">
            <v>825</v>
          </cell>
          <cell r="AI117" t="str">
            <v>R</v>
          </cell>
          <cell r="AJ117">
            <v>2555480</v>
          </cell>
          <cell r="AK117" t="str">
            <v>30/09/2023</v>
          </cell>
          <cell r="AL117" t="str">
            <v>NES52042</v>
          </cell>
          <cell r="AM117" t="str">
            <v>TRI-VECTOR METER FOR RAILWAY TRACTION</v>
          </cell>
          <cell r="AN117" t="str">
            <v>POST PAID</v>
          </cell>
          <cell r="AO117">
            <v>1000</v>
          </cell>
          <cell r="AP117" t="str">
            <v>TOD</v>
          </cell>
          <cell r="AQ117">
            <v>-376086.4</v>
          </cell>
          <cell r="AR117">
            <v>0</v>
          </cell>
          <cell r="AS117">
            <v>0</v>
          </cell>
          <cell r="AT117">
            <v>0</v>
          </cell>
          <cell r="AU117">
            <v>0</v>
          </cell>
          <cell r="AV117">
            <v>0</v>
          </cell>
          <cell r="AW117">
            <v>269215</v>
          </cell>
          <cell r="AX117">
            <v>279290</v>
          </cell>
          <cell r="AY117">
            <v>279290</v>
          </cell>
          <cell r="AZ117">
            <v>5352.8</v>
          </cell>
          <cell r="BA117">
            <v>676.8</v>
          </cell>
        </row>
        <row r="118">
          <cell r="F118">
            <v>123000000090</v>
          </cell>
          <cell r="G118" t="str">
            <v>M/S ESSMARK OIL INDUSTRIES (P) LTD.</v>
          </cell>
          <cell r="H118" t="str">
            <v>SOMANATHPUR INDUSTRIAL ESTATE</v>
          </cell>
          <cell r="I118" t="str">
            <v>10/31/2020 00:00:00</v>
          </cell>
          <cell r="J118">
            <v>1</v>
          </cell>
          <cell r="K118" t="str">
            <v xml:space="preserve"> </v>
          </cell>
          <cell r="L118" t="str">
            <v xml:space="preserve"> </v>
          </cell>
          <cell r="M118" t="str">
            <v>324000010231494675</v>
          </cell>
          <cell r="N118" t="str">
            <v>1230000077</v>
          </cell>
          <cell r="O118" t="str">
            <v>BM-109071</v>
          </cell>
          <cell r="P118" t="str">
            <v>43207405001</v>
          </cell>
          <cell r="Q118" t="str">
            <v>LARGE INDUSTRY</v>
          </cell>
          <cell r="R118" t="str">
            <v>HT</v>
          </cell>
          <cell r="S118" t="str">
            <v>01/10/2023</v>
          </cell>
          <cell r="T118" t="str">
            <v>01/10/2023</v>
          </cell>
          <cell r="U118" t="str">
            <v>06/10/2023</v>
          </cell>
          <cell r="V118" t="str">
            <v>09/10/2023</v>
          </cell>
          <cell r="W118" t="str">
            <v>2023/09</v>
          </cell>
          <cell r="X118" t="str">
            <v>33 KV</v>
          </cell>
          <cell r="Y118" t="str">
            <v>HT</v>
          </cell>
          <cell r="Z118">
            <v>511.68</v>
          </cell>
          <cell r="AA118">
            <v>0.99370000000000003</v>
          </cell>
          <cell r="AB118">
            <v>60.82</v>
          </cell>
          <cell r="AC118" t="str">
            <v xml:space="preserve">01/09/2023 -     </v>
          </cell>
          <cell r="AD118" t="str">
            <v>26.09.2023</v>
          </cell>
          <cell r="AE118" t="str">
            <v>26/1.0000</v>
          </cell>
          <cell r="AF118">
            <v>506</v>
          </cell>
          <cell r="AG118" t="str">
            <v>KVA</v>
          </cell>
          <cell r="AH118">
            <v>506</v>
          </cell>
          <cell r="AI118" t="str">
            <v>R</v>
          </cell>
          <cell r="AJ118">
            <v>3222323</v>
          </cell>
          <cell r="AK118" t="str">
            <v>26/09/2023</v>
          </cell>
          <cell r="AL118" t="str">
            <v>TPN64323</v>
          </cell>
          <cell r="AM118" t="str">
            <v>THREE PHASE HT CT METER-33KV</v>
          </cell>
          <cell r="AN118" t="str">
            <v>POST PAID</v>
          </cell>
          <cell r="AO118">
            <v>750</v>
          </cell>
          <cell r="AP118" t="str">
            <v>TOD</v>
          </cell>
          <cell r="AQ118">
            <v>770610.7</v>
          </cell>
          <cell r="AR118">
            <v>0</v>
          </cell>
          <cell r="AS118">
            <v>0</v>
          </cell>
          <cell r="AT118">
            <v>0</v>
          </cell>
          <cell r="AU118">
            <v>0</v>
          </cell>
          <cell r="AV118">
            <v>0</v>
          </cell>
          <cell r="AW118">
            <v>192984</v>
          </cell>
          <cell r="AX118">
            <v>194199</v>
          </cell>
          <cell r="AY118">
            <v>194199</v>
          </cell>
          <cell r="AZ118">
            <v>3415.68</v>
          </cell>
          <cell r="BA118">
            <v>511.68</v>
          </cell>
        </row>
        <row r="119">
          <cell r="F119">
            <v>123000000091</v>
          </cell>
          <cell r="G119" t="str">
            <v>M/S. JAGADAMBA POLYMERS P. LTD.</v>
          </cell>
          <cell r="H119" t="str">
            <v xml:space="preserve">IID CENTRE SOMANATHPUR INDUSTRIAL ESTATE </v>
          </cell>
          <cell r="I119" t="str">
            <v>10/31/2020 00:00:00</v>
          </cell>
          <cell r="J119">
            <v>1</v>
          </cell>
          <cell r="K119" t="str">
            <v xml:space="preserve"> </v>
          </cell>
          <cell r="L119" t="str">
            <v xml:space="preserve"> </v>
          </cell>
          <cell r="M119" t="str">
            <v>324000010231494701</v>
          </cell>
          <cell r="N119" t="str">
            <v>1230000078</v>
          </cell>
          <cell r="O119" t="str">
            <v>BM-108999</v>
          </cell>
          <cell r="P119" t="str">
            <v>432421101</v>
          </cell>
          <cell r="Q119" t="str">
            <v>LARGE INDUSTRY</v>
          </cell>
          <cell r="R119" t="str">
            <v>HT</v>
          </cell>
          <cell r="S119" t="str">
            <v>01/10/2023</v>
          </cell>
          <cell r="T119" t="str">
            <v>01/10/2023</v>
          </cell>
          <cell r="U119" t="str">
            <v>06/10/2023</v>
          </cell>
          <cell r="V119" t="str">
            <v>09/10/2023</v>
          </cell>
          <cell r="W119" t="str">
            <v>2023/09</v>
          </cell>
          <cell r="X119" t="str">
            <v>11 KV</v>
          </cell>
          <cell r="Y119" t="str">
            <v>HT</v>
          </cell>
          <cell r="Z119">
            <v>520</v>
          </cell>
          <cell r="AA119">
            <v>0.99670000000000003</v>
          </cell>
          <cell r="AB119">
            <v>46.84</v>
          </cell>
          <cell r="AC119" t="str">
            <v xml:space="preserve">01/09/2023 -     </v>
          </cell>
          <cell r="AD119" t="str">
            <v>30.09.2023</v>
          </cell>
          <cell r="AE119" t="str">
            <v>30/1.0000</v>
          </cell>
          <cell r="AF119">
            <v>650</v>
          </cell>
          <cell r="AG119" t="str">
            <v>KVA</v>
          </cell>
          <cell r="AH119">
            <v>650</v>
          </cell>
          <cell r="AI119" t="str">
            <v>R</v>
          </cell>
          <cell r="AJ119">
            <v>3989960.0946999998</v>
          </cell>
          <cell r="AK119" t="str">
            <v>30/09/2023</v>
          </cell>
          <cell r="AL119" t="str">
            <v>NES50194</v>
          </cell>
          <cell r="AM119" t="str">
            <v>SINGLE PHASE ELECTRO-MAGNETIC KWH METER-TOD</v>
          </cell>
          <cell r="AN119" t="str">
            <v>POST PAID</v>
          </cell>
          <cell r="AO119">
            <v>1000</v>
          </cell>
          <cell r="AP119" t="str">
            <v>TOD</v>
          </cell>
          <cell r="AQ119">
            <v>-244142.56</v>
          </cell>
          <cell r="AR119">
            <v>0</v>
          </cell>
          <cell r="AS119">
            <v>0</v>
          </cell>
          <cell r="AT119">
            <v>0</v>
          </cell>
          <cell r="AU119">
            <v>0</v>
          </cell>
          <cell r="AV119">
            <v>0</v>
          </cell>
          <cell r="AW119">
            <v>48275</v>
          </cell>
          <cell r="AX119">
            <v>48430</v>
          </cell>
          <cell r="AY119">
            <v>48430</v>
          </cell>
          <cell r="AZ119">
            <v>2498.4</v>
          </cell>
          <cell r="BA119">
            <v>143.6</v>
          </cell>
        </row>
        <row r="120">
          <cell r="F120">
            <v>123000000093</v>
          </cell>
          <cell r="G120" t="str">
            <v>M/S. IMERYS MINERALS (I) PVT LTD.</v>
          </cell>
          <cell r="H120" t="str">
            <v>BALGOPALPUR,RASALPUR</v>
          </cell>
          <cell r="I120" t="str">
            <v>10/31/2020 00:00:00</v>
          </cell>
          <cell r="J120">
            <v>1</v>
          </cell>
          <cell r="K120" t="str">
            <v xml:space="preserve"> </v>
          </cell>
          <cell r="L120" t="str">
            <v xml:space="preserve"> </v>
          </cell>
          <cell r="M120" t="str">
            <v>324000010231494726</v>
          </cell>
          <cell r="N120" t="str">
            <v>1230000080</v>
          </cell>
          <cell r="O120" t="str">
            <v>BM-109180</v>
          </cell>
          <cell r="P120" t="str">
            <v>43207405001</v>
          </cell>
          <cell r="Q120" t="str">
            <v>LARGE INDUSTRY</v>
          </cell>
          <cell r="R120" t="str">
            <v>HT</v>
          </cell>
          <cell r="S120" t="str">
            <v>01/10/2023</v>
          </cell>
          <cell r="T120" t="str">
            <v>01/10/2023</v>
          </cell>
          <cell r="U120" t="str">
            <v>06/10/2023</v>
          </cell>
          <cell r="V120" t="str">
            <v>09/10/2023</v>
          </cell>
          <cell r="W120" t="str">
            <v>2023/09</v>
          </cell>
          <cell r="X120" t="str">
            <v>33 KV</v>
          </cell>
          <cell r="Y120" t="str">
            <v>HT</v>
          </cell>
          <cell r="Z120">
            <v>802.2</v>
          </cell>
          <cell r="AA120">
            <v>0.99350000000000005</v>
          </cell>
          <cell r="AB120">
            <v>58.93</v>
          </cell>
          <cell r="AC120" t="str">
            <v xml:space="preserve">01/09/2023 -     </v>
          </cell>
          <cell r="AD120" t="str">
            <v>30.09.2023</v>
          </cell>
          <cell r="AE120" t="str">
            <v>30/1.0000</v>
          </cell>
          <cell r="AF120">
            <v>1000</v>
          </cell>
          <cell r="AG120" t="str">
            <v>KVA</v>
          </cell>
          <cell r="AH120">
            <v>1000</v>
          </cell>
          <cell r="AI120" t="str">
            <v>R</v>
          </cell>
          <cell r="AJ120">
            <v>6138400</v>
          </cell>
          <cell r="AK120" t="str">
            <v>30/09/2023</v>
          </cell>
          <cell r="AL120" t="str">
            <v>NES83144</v>
          </cell>
          <cell r="AM120" t="str">
            <v>THREE PHASE HT CT METER-33KV</v>
          </cell>
          <cell r="AN120" t="str">
            <v>POST PAID</v>
          </cell>
          <cell r="AO120">
            <v>2000</v>
          </cell>
          <cell r="AP120" t="str">
            <v>TOD</v>
          </cell>
          <cell r="AQ120">
            <v>-1444606.3</v>
          </cell>
          <cell r="AR120">
            <v>0</v>
          </cell>
          <cell r="AS120">
            <v>0</v>
          </cell>
          <cell r="AT120">
            <v>0</v>
          </cell>
          <cell r="AU120">
            <v>0</v>
          </cell>
          <cell r="AV120">
            <v>0</v>
          </cell>
          <cell r="AW120">
            <v>338175</v>
          </cell>
          <cell r="AX120">
            <v>340358</v>
          </cell>
          <cell r="AY120">
            <v>340358</v>
          </cell>
          <cell r="AZ120">
            <v>5283.6</v>
          </cell>
          <cell r="BA120">
            <v>802.2</v>
          </cell>
        </row>
        <row r="121">
          <cell r="F121">
            <v>123000000094</v>
          </cell>
          <cell r="G121" t="str">
            <v>M/S NILACHAKRA FURNITURE P. LTD.</v>
          </cell>
          <cell r="H121" t="str">
            <v>KHANNAGAR,SERGARHBALASORE</v>
          </cell>
          <cell r="I121" t="str">
            <v>10/31/2020 00:00:00</v>
          </cell>
          <cell r="J121">
            <v>1</v>
          </cell>
          <cell r="K121" t="str">
            <v xml:space="preserve"> </v>
          </cell>
          <cell r="L121" t="str">
            <v xml:space="preserve"> </v>
          </cell>
          <cell r="M121" t="str">
            <v>324000010231494832</v>
          </cell>
          <cell r="N121" t="str">
            <v>1230000081</v>
          </cell>
          <cell r="O121" t="str">
            <v>BG-101600</v>
          </cell>
          <cell r="P121" t="str">
            <v>432123206</v>
          </cell>
          <cell r="Q121" t="str">
            <v>LARGE INDUSTRY</v>
          </cell>
          <cell r="R121" t="str">
            <v>HT</v>
          </cell>
          <cell r="S121" t="str">
            <v>01/10/2023</v>
          </cell>
          <cell r="T121" t="str">
            <v>01/10/2023</v>
          </cell>
          <cell r="U121" t="str">
            <v>06/10/2023</v>
          </cell>
          <cell r="V121" t="str">
            <v>09/10/2023</v>
          </cell>
          <cell r="W121" t="str">
            <v>2023/09</v>
          </cell>
          <cell r="X121" t="str">
            <v>11 KV</v>
          </cell>
          <cell r="Y121" t="str">
            <v>HT</v>
          </cell>
          <cell r="Z121">
            <v>222.4</v>
          </cell>
          <cell r="AA121">
            <v>0.83899999999999997</v>
          </cell>
          <cell r="AB121">
            <v>11.44</v>
          </cell>
          <cell r="AC121" t="str">
            <v xml:space="preserve">01/09/2023 -     </v>
          </cell>
          <cell r="AD121" t="str">
            <v>30.09.2023</v>
          </cell>
          <cell r="AE121" t="str">
            <v>30/1.0000</v>
          </cell>
          <cell r="AF121">
            <v>278</v>
          </cell>
          <cell r="AG121" t="str">
            <v>KVA</v>
          </cell>
          <cell r="AH121">
            <v>278</v>
          </cell>
          <cell r="AI121" t="str">
            <v>R</v>
          </cell>
          <cell r="AJ121">
            <v>1397429</v>
          </cell>
          <cell r="AK121" t="str">
            <v>30/09/2023</v>
          </cell>
          <cell r="AL121" t="str">
            <v>TPN64106</v>
          </cell>
          <cell r="AM121" t="str">
            <v>THREE PHASE STATIC TRI-VECTOR METER-TOD</v>
          </cell>
          <cell r="AN121" t="str">
            <v>POST PAID</v>
          </cell>
          <cell r="AO121">
            <v>315</v>
          </cell>
          <cell r="AP121" t="str">
            <v>TOD</v>
          </cell>
          <cell r="AQ121">
            <v>-1161062.3999999999</v>
          </cell>
          <cell r="AR121">
            <v>0</v>
          </cell>
          <cell r="AS121">
            <v>0</v>
          </cell>
          <cell r="AT121">
            <v>0</v>
          </cell>
          <cell r="AU121">
            <v>0</v>
          </cell>
          <cell r="AV121">
            <v>0</v>
          </cell>
          <cell r="AW121">
            <v>7964</v>
          </cell>
          <cell r="AX121">
            <v>9492</v>
          </cell>
          <cell r="AY121">
            <v>9492</v>
          </cell>
          <cell r="AZ121">
            <v>972</v>
          </cell>
          <cell r="BA121">
            <v>115.19999999999999</v>
          </cell>
        </row>
        <row r="122">
          <cell r="F122">
            <v>123000000095</v>
          </cell>
          <cell r="G122" t="str">
            <v>M/S EASTERN RECLAIM P. LTD.</v>
          </cell>
          <cell r="H122" t="str">
            <v>C/O- SMT. PRITI CHANDAK</v>
          </cell>
          <cell r="I122" t="str">
            <v>10/31/2020 00:00:00</v>
          </cell>
          <cell r="J122">
            <v>1</v>
          </cell>
          <cell r="K122" t="str">
            <v xml:space="preserve"> </v>
          </cell>
          <cell r="L122" t="str">
            <v xml:space="preserve"> </v>
          </cell>
          <cell r="M122" t="str">
            <v>324000010231494749</v>
          </cell>
          <cell r="N122" t="str">
            <v>1230000082</v>
          </cell>
          <cell r="O122" t="str">
            <v>BM-104101</v>
          </cell>
          <cell r="P122" t="str">
            <v>432421101</v>
          </cell>
          <cell r="Q122" t="str">
            <v>LARGE INDUSTRY</v>
          </cell>
          <cell r="R122" t="str">
            <v>HT</v>
          </cell>
          <cell r="S122" t="str">
            <v>01/10/2023</v>
          </cell>
          <cell r="T122" t="str">
            <v>01/10/2023</v>
          </cell>
          <cell r="U122" t="str">
            <v>06/10/2023</v>
          </cell>
          <cell r="V122" t="str">
            <v>09/10/2023</v>
          </cell>
          <cell r="W122" t="str">
            <v>2023/09</v>
          </cell>
          <cell r="X122" t="str">
            <v>11 KV</v>
          </cell>
          <cell r="Y122" t="str">
            <v>HT</v>
          </cell>
          <cell r="Z122">
            <v>240</v>
          </cell>
          <cell r="AA122">
            <v>0.98009999999999997</v>
          </cell>
          <cell r="AB122">
            <v>28.95</v>
          </cell>
          <cell r="AC122" t="str">
            <v xml:space="preserve">01/09/2023 -     </v>
          </cell>
          <cell r="AD122" t="str">
            <v>30.09.2023</v>
          </cell>
          <cell r="AE122" t="str">
            <v>30/1.0000</v>
          </cell>
          <cell r="AF122">
            <v>300</v>
          </cell>
          <cell r="AG122" t="str">
            <v>KVA</v>
          </cell>
          <cell r="AH122">
            <v>300</v>
          </cell>
          <cell r="AI122" t="str">
            <v>R</v>
          </cell>
          <cell r="AJ122">
            <v>1678060</v>
          </cell>
          <cell r="AK122" t="str">
            <v>30/09/2023</v>
          </cell>
          <cell r="AL122" t="str">
            <v>NES51988</v>
          </cell>
          <cell r="AM122" t="str">
            <v>THREE PHASE STATIC TRI-VECTOR METER-TOD</v>
          </cell>
          <cell r="AN122" t="str">
            <v>POST PAID</v>
          </cell>
          <cell r="AO122">
            <v>750</v>
          </cell>
          <cell r="AP122" t="str">
            <v>TOD</v>
          </cell>
          <cell r="AQ122">
            <v>-481919.4</v>
          </cell>
          <cell r="AR122">
            <v>0</v>
          </cell>
          <cell r="AS122">
            <v>0</v>
          </cell>
          <cell r="AT122">
            <v>0</v>
          </cell>
          <cell r="AU122">
            <v>0</v>
          </cell>
          <cell r="AV122">
            <v>0</v>
          </cell>
          <cell r="AW122">
            <v>46665</v>
          </cell>
          <cell r="AX122">
            <v>47610</v>
          </cell>
          <cell r="AY122">
            <v>47610</v>
          </cell>
          <cell r="AZ122">
            <v>1728.4</v>
          </cell>
          <cell r="BA122">
            <v>228.4</v>
          </cell>
        </row>
        <row r="123">
          <cell r="F123">
            <v>123000000096</v>
          </cell>
          <cell r="G123" t="str">
            <v>M/S RAMADEVI FOODS (P) LTD.</v>
          </cell>
          <cell r="H123" t="str">
            <v>C/0- GOUTAM KUMAR PATRA (MD), MULAKUDEI, PADAGAN</v>
          </cell>
          <cell r="I123" t="str">
            <v>10/31/2020 00:00:00</v>
          </cell>
          <cell r="J123">
            <v>1</v>
          </cell>
          <cell r="K123" t="str">
            <v>MULAKUDEI</v>
          </cell>
          <cell r="L123" t="str">
            <v>PADAGAN</v>
          </cell>
          <cell r="M123" t="str">
            <v>324000010231494841</v>
          </cell>
          <cell r="N123" t="str">
            <v>1230000083</v>
          </cell>
          <cell r="O123" t="str">
            <v>BG-109079</v>
          </cell>
          <cell r="P123" t="str">
            <v>432432504</v>
          </cell>
          <cell r="Q123" t="str">
            <v>LARGE INDUSTRY</v>
          </cell>
          <cell r="R123" t="str">
            <v>HT</v>
          </cell>
          <cell r="S123" t="str">
            <v>01/10/2023</v>
          </cell>
          <cell r="T123" t="str">
            <v>01/10/2023</v>
          </cell>
          <cell r="U123" t="str">
            <v>06/10/2023</v>
          </cell>
          <cell r="V123" t="str">
            <v>09/10/2023</v>
          </cell>
          <cell r="W123" t="str">
            <v>2023/09</v>
          </cell>
          <cell r="X123" t="str">
            <v>11 KV</v>
          </cell>
          <cell r="Y123" t="str">
            <v>HT</v>
          </cell>
          <cell r="Z123">
            <v>383.15</v>
          </cell>
          <cell r="AA123">
            <v>0.95299999999999996</v>
          </cell>
          <cell r="AB123">
            <v>39.159999999999997</v>
          </cell>
          <cell r="AC123" t="str">
            <v xml:space="preserve">01/09/2023 -     </v>
          </cell>
          <cell r="AD123" t="str">
            <v>30.09.2023</v>
          </cell>
          <cell r="AE123" t="str">
            <v>30/1.0000</v>
          </cell>
          <cell r="AF123">
            <v>420</v>
          </cell>
          <cell r="AG123" t="str">
            <v>KVA</v>
          </cell>
          <cell r="AH123">
            <v>420</v>
          </cell>
          <cell r="AI123" t="str">
            <v>R</v>
          </cell>
          <cell r="AJ123">
            <v>1111223</v>
          </cell>
          <cell r="AK123" t="str">
            <v>30/09/2023</v>
          </cell>
          <cell r="AL123" t="str">
            <v>TPNODL38110756</v>
          </cell>
          <cell r="AM123" t="str">
            <v>THREE PHASE SMART HT CT METER (AMR/AMI)-11KV</v>
          </cell>
          <cell r="AN123" t="str">
            <v>SMART METER</v>
          </cell>
          <cell r="AO123">
            <v>630</v>
          </cell>
          <cell r="AP123" t="str">
            <v>TOD</v>
          </cell>
          <cell r="AQ123">
            <v>299340.40000000002</v>
          </cell>
          <cell r="AR123">
            <v>0</v>
          </cell>
          <cell r="AS123">
            <v>0</v>
          </cell>
          <cell r="AT123">
            <v>0</v>
          </cell>
          <cell r="AU123">
            <v>0</v>
          </cell>
          <cell r="AV123">
            <v>0</v>
          </cell>
          <cell r="AW123">
            <v>102963</v>
          </cell>
          <cell r="AX123">
            <v>108032</v>
          </cell>
          <cell r="AY123">
            <v>108032</v>
          </cell>
          <cell r="AZ123">
            <v>1176.3552</v>
          </cell>
          <cell r="BA123">
            <v>383.154</v>
          </cell>
        </row>
        <row r="124">
          <cell r="F124">
            <v>123000000097</v>
          </cell>
          <cell r="G124" t="str">
            <v>DINESH RAY</v>
          </cell>
          <cell r="H124" t="str">
            <v>KASAFAL,BALASORE</v>
          </cell>
          <cell r="I124" t="str">
            <v>10/31/2020 00:00:00</v>
          </cell>
          <cell r="J124">
            <v>1</v>
          </cell>
          <cell r="K124" t="str">
            <v xml:space="preserve"> </v>
          </cell>
          <cell r="L124" t="str">
            <v xml:space="preserve"> </v>
          </cell>
          <cell r="M124" t="str">
            <v>324000010231494799</v>
          </cell>
          <cell r="N124" t="str">
            <v>1230000084</v>
          </cell>
          <cell r="O124" t="str">
            <v xml:space="preserve"> </v>
          </cell>
          <cell r="P124" t="str">
            <v>432222401</v>
          </cell>
          <cell r="Q124" t="str">
            <v>ALLIED AGRICULTURE ACTIVITIES</v>
          </cell>
          <cell r="R124" t="str">
            <v>HT</v>
          </cell>
          <cell r="S124" t="str">
            <v>01/10/2023</v>
          </cell>
          <cell r="T124" t="str">
            <v>01/10/2023</v>
          </cell>
          <cell r="U124" t="str">
            <v>09/10/2023</v>
          </cell>
          <cell r="V124" t="str">
            <v>09/10/2023</v>
          </cell>
          <cell r="W124" t="str">
            <v>2023/09</v>
          </cell>
          <cell r="X124" t="str">
            <v>11 KV</v>
          </cell>
          <cell r="Y124" t="str">
            <v>HT</v>
          </cell>
          <cell r="Z124">
            <v>833</v>
          </cell>
          <cell r="AA124">
            <v>0.75790000000000002</v>
          </cell>
          <cell r="AB124">
            <v>0</v>
          </cell>
          <cell r="AC124" t="str">
            <v xml:space="preserve">01/09/2023 -     </v>
          </cell>
          <cell r="AD124" t="str">
            <v>30.09.2023</v>
          </cell>
          <cell r="AE124" t="str">
            <v>30/1.0000</v>
          </cell>
          <cell r="AF124">
            <v>833</v>
          </cell>
          <cell r="AG124" t="str">
            <v>KVA</v>
          </cell>
          <cell r="AH124">
            <v>833</v>
          </cell>
          <cell r="AI124" t="str">
            <v>R</v>
          </cell>
          <cell r="AJ124">
            <v>399840</v>
          </cell>
          <cell r="AK124" t="str">
            <v>30/09/2023</v>
          </cell>
          <cell r="AL124" t="str">
            <v>NES52210</v>
          </cell>
          <cell r="AM124" t="str">
            <v>TRI-VECTOR METER FOR RAILWAY TRACTION</v>
          </cell>
          <cell r="AN124" t="str">
            <v>POST PAID</v>
          </cell>
          <cell r="AO124">
            <v>1000</v>
          </cell>
          <cell r="AP124" t="str">
            <v>TOD</v>
          </cell>
          <cell r="AQ124">
            <v>8078</v>
          </cell>
          <cell r="AR124">
            <v>0</v>
          </cell>
          <cell r="AS124">
            <v>0</v>
          </cell>
          <cell r="AT124">
            <v>0</v>
          </cell>
          <cell r="AU124">
            <v>0</v>
          </cell>
          <cell r="AV124">
            <v>0</v>
          </cell>
          <cell r="AW124">
            <v>0</v>
          </cell>
          <cell r="AX124">
            <v>0</v>
          </cell>
          <cell r="AY124">
            <v>118110</v>
          </cell>
          <cell r="AZ124">
            <v>0</v>
          </cell>
          <cell r="BA124">
            <v>0</v>
          </cell>
        </row>
        <row r="125">
          <cell r="F125">
            <v>123000000098</v>
          </cell>
          <cell r="G125" t="str">
            <v>M/S SURYO UDYOG LTD.</v>
          </cell>
          <cell r="H125" t="str">
            <v>AT/PO- PARIKHI,BALASORE</v>
          </cell>
          <cell r="I125" t="str">
            <v>10/31/2020 00:00:00</v>
          </cell>
          <cell r="J125">
            <v>1</v>
          </cell>
          <cell r="K125" t="str">
            <v xml:space="preserve"> </v>
          </cell>
          <cell r="L125" t="str">
            <v xml:space="preserve"> </v>
          </cell>
          <cell r="M125" t="str">
            <v>324000010231493916</v>
          </cell>
          <cell r="N125" t="str">
            <v>1230000085</v>
          </cell>
          <cell r="O125" t="str">
            <v>BF-109140</v>
          </cell>
          <cell r="P125" t="str">
            <v>432423402</v>
          </cell>
          <cell r="Q125" t="str">
            <v>ALLIED AGRICULTURE ACTIVITIES</v>
          </cell>
          <cell r="R125" t="str">
            <v>HT</v>
          </cell>
          <cell r="S125" t="str">
            <v>01/10/2023</v>
          </cell>
          <cell r="T125" t="str">
            <v>01/10/2023</v>
          </cell>
          <cell r="U125" t="str">
            <v>09/10/2023</v>
          </cell>
          <cell r="V125" t="str">
            <v>09/10/2023</v>
          </cell>
          <cell r="W125" t="str">
            <v>2023/09</v>
          </cell>
          <cell r="X125" t="str">
            <v>11 KV</v>
          </cell>
          <cell r="Y125" t="str">
            <v>HT</v>
          </cell>
          <cell r="Z125">
            <v>278</v>
          </cell>
          <cell r="AA125">
            <v>0.37559999999999999</v>
          </cell>
          <cell r="AB125">
            <v>0</v>
          </cell>
          <cell r="AC125" t="str">
            <v xml:space="preserve">01/09/2023 -     </v>
          </cell>
          <cell r="AD125" t="str">
            <v>30.09.2023</v>
          </cell>
          <cell r="AE125" t="str">
            <v>30/1.0000</v>
          </cell>
          <cell r="AF125">
            <v>278</v>
          </cell>
          <cell r="AG125" t="str">
            <v>KVA</v>
          </cell>
          <cell r="AH125">
            <v>278</v>
          </cell>
          <cell r="AI125" t="str">
            <v>R</v>
          </cell>
          <cell r="AJ125">
            <v>97745</v>
          </cell>
          <cell r="AK125" t="str">
            <v>30/09/2023</v>
          </cell>
          <cell r="AL125" t="str">
            <v>NES50961</v>
          </cell>
          <cell r="AM125" t="str">
            <v>SINGLE PHASE ELECTRO-MAGNETIC KWH METER-TOD</v>
          </cell>
          <cell r="AN125" t="str">
            <v>POST PAID</v>
          </cell>
          <cell r="AO125">
            <v>500</v>
          </cell>
          <cell r="AP125" t="str">
            <v>TOD</v>
          </cell>
          <cell r="AQ125">
            <v>-24815</v>
          </cell>
          <cell r="AR125">
            <v>0</v>
          </cell>
          <cell r="AS125">
            <v>0</v>
          </cell>
          <cell r="AT125">
            <v>0</v>
          </cell>
          <cell r="AU125">
            <v>0</v>
          </cell>
          <cell r="AV125">
            <v>0</v>
          </cell>
          <cell r="AW125">
            <v>2258</v>
          </cell>
          <cell r="AX125">
            <v>6011</v>
          </cell>
          <cell r="AY125">
            <v>6011</v>
          </cell>
          <cell r="AZ125">
            <v>453.96</v>
          </cell>
          <cell r="BA125">
            <v>47.160000000000004</v>
          </cell>
        </row>
        <row r="126">
          <cell r="F126">
            <v>123000000099</v>
          </cell>
          <cell r="G126" t="str">
            <v>M/S UTKAL AQUA CULTURE &amp; MARINE</v>
          </cell>
          <cell r="H126" t="str">
            <v>AT/PO- CHAKASARTHA,BALASORE</v>
          </cell>
          <cell r="I126" t="str">
            <v>10/31/2020 00:00:00</v>
          </cell>
          <cell r="J126">
            <v>1</v>
          </cell>
          <cell r="K126" t="str">
            <v xml:space="preserve"> </v>
          </cell>
          <cell r="L126" t="str">
            <v xml:space="preserve"> </v>
          </cell>
          <cell r="M126" t="str">
            <v>324000010231494810</v>
          </cell>
          <cell r="N126" t="str">
            <v>1230000086</v>
          </cell>
          <cell r="O126" t="str">
            <v>BR-80728</v>
          </cell>
          <cell r="P126" t="str">
            <v>432222401</v>
          </cell>
          <cell r="Q126" t="str">
            <v>ALLIED AGRICULTURE ACTIVITIES</v>
          </cell>
          <cell r="R126" t="str">
            <v>HT</v>
          </cell>
          <cell r="S126" t="str">
            <v>01/10/2023</v>
          </cell>
          <cell r="T126" t="str">
            <v>01/10/2023</v>
          </cell>
          <cell r="U126" t="str">
            <v>09/10/2023</v>
          </cell>
          <cell r="V126" t="str">
            <v>09/10/2023</v>
          </cell>
          <cell r="W126" t="str">
            <v>2023/09</v>
          </cell>
          <cell r="X126" t="str">
            <v>11 KV</v>
          </cell>
          <cell r="Y126" t="str">
            <v>HT</v>
          </cell>
          <cell r="Z126">
            <v>150</v>
          </cell>
          <cell r="AA126">
            <v>0.6129</v>
          </cell>
          <cell r="AB126">
            <v>0</v>
          </cell>
          <cell r="AC126" t="str">
            <v xml:space="preserve">01/09/2023 -     </v>
          </cell>
          <cell r="AD126" t="str">
            <v>30.09.2023</v>
          </cell>
          <cell r="AE126" t="str">
            <v>30/1.0000</v>
          </cell>
          <cell r="AF126">
            <v>150</v>
          </cell>
          <cell r="AG126" t="str">
            <v>KVA</v>
          </cell>
          <cell r="AH126">
            <v>150</v>
          </cell>
          <cell r="AI126" t="str">
            <v>R</v>
          </cell>
          <cell r="AJ126">
            <v>96480</v>
          </cell>
          <cell r="AK126" t="str">
            <v>30/09/2023</v>
          </cell>
          <cell r="AL126" t="str">
            <v>TPN64129</v>
          </cell>
          <cell r="AM126" t="str">
            <v>THREE PHASE STATIC TRI-VECTOR METER-TOD</v>
          </cell>
          <cell r="AN126" t="str">
            <v>POST PAID</v>
          </cell>
          <cell r="AO126">
            <v>500</v>
          </cell>
          <cell r="AP126" t="str">
            <v>TOD</v>
          </cell>
          <cell r="AQ126">
            <v>-21891</v>
          </cell>
          <cell r="AR126">
            <v>0</v>
          </cell>
          <cell r="AS126">
            <v>0</v>
          </cell>
          <cell r="AT126">
            <v>0</v>
          </cell>
          <cell r="AU126">
            <v>0</v>
          </cell>
          <cell r="AV126">
            <v>0</v>
          </cell>
          <cell r="AW126">
            <v>14721</v>
          </cell>
          <cell r="AX126">
            <v>24015</v>
          </cell>
          <cell r="AY126">
            <v>24015</v>
          </cell>
          <cell r="AZ126">
            <v>983.36</v>
          </cell>
          <cell r="BA126">
            <v>116.48</v>
          </cell>
        </row>
        <row r="127">
          <cell r="F127">
            <v>123000000100</v>
          </cell>
          <cell r="G127" t="str">
            <v>PASUPATI EXPORTS PVT. LTD.</v>
          </cell>
          <cell r="H127" t="str">
            <v>RUPSA,</v>
          </cell>
          <cell r="I127" t="str">
            <v>10/31/2020 00:00:00</v>
          </cell>
          <cell r="J127">
            <v>1</v>
          </cell>
          <cell r="K127" t="str">
            <v xml:space="preserve"> </v>
          </cell>
          <cell r="L127" t="str">
            <v xml:space="preserve"> </v>
          </cell>
          <cell r="M127" t="str">
            <v>324000010231494823</v>
          </cell>
          <cell r="N127" t="str">
            <v>1230000087</v>
          </cell>
          <cell r="O127" t="str">
            <v>BR-29158</v>
          </cell>
          <cell r="P127" t="str">
            <v>432423403</v>
          </cell>
          <cell r="Q127" t="str">
            <v>ALLIED AGRICULTURE ACTIVITIES</v>
          </cell>
          <cell r="R127" t="str">
            <v>HT</v>
          </cell>
          <cell r="S127" t="str">
            <v>01/10/2023</v>
          </cell>
          <cell r="T127" t="str">
            <v>01/10/2023</v>
          </cell>
          <cell r="U127" t="str">
            <v>09/10/2023</v>
          </cell>
          <cell r="V127" t="str">
            <v>09/10/2023</v>
          </cell>
          <cell r="W127" t="str">
            <v>2023/09</v>
          </cell>
          <cell r="X127" t="str">
            <v>11 KV</v>
          </cell>
          <cell r="Y127" t="str">
            <v>HT</v>
          </cell>
          <cell r="Z127">
            <v>178</v>
          </cell>
          <cell r="AA127">
            <v>0.79339999999999999</v>
          </cell>
          <cell r="AB127">
            <v>0</v>
          </cell>
          <cell r="AC127" t="str">
            <v xml:space="preserve">01/09/2023 -     </v>
          </cell>
          <cell r="AD127" t="str">
            <v>30.09.2023</v>
          </cell>
          <cell r="AE127" t="str">
            <v>30/1.0000</v>
          </cell>
          <cell r="AF127">
            <v>178</v>
          </cell>
          <cell r="AG127" t="str">
            <v>KVA</v>
          </cell>
          <cell r="AH127">
            <v>178</v>
          </cell>
          <cell r="AI127" t="str">
            <v>R</v>
          </cell>
          <cell r="AJ127">
            <v>79066</v>
          </cell>
          <cell r="AK127" t="str">
            <v>30/09/2023</v>
          </cell>
          <cell r="AL127" t="str">
            <v>NES50958</v>
          </cell>
          <cell r="AM127" t="str">
            <v>LT SINGLE PHASE AMR/AMI COMPLIANT METER-TOD</v>
          </cell>
          <cell r="AN127" t="str">
            <v>POST PAID</v>
          </cell>
          <cell r="AO127">
            <v>250</v>
          </cell>
          <cell r="AP127" t="str">
            <v>TOD</v>
          </cell>
          <cell r="AQ127">
            <v>-5323</v>
          </cell>
          <cell r="AR127">
            <v>0</v>
          </cell>
          <cell r="AS127">
            <v>0</v>
          </cell>
          <cell r="AT127">
            <v>0</v>
          </cell>
          <cell r="AU127">
            <v>0</v>
          </cell>
          <cell r="AV127">
            <v>0</v>
          </cell>
          <cell r="AW127">
            <v>26198</v>
          </cell>
          <cell r="AX127">
            <v>33016</v>
          </cell>
          <cell r="AY127">
            <v>33016</v>
          </cell>
          <cell r="AZ127">
            <v>873.28</v>
          </cell>
          <cell r="BA127">
            <v>120.32000000000001</v>
          </cell>
        </row>
        <row r="128">
          <cell r="F128">
            <v>123000000101</v>
          </cell>
          <cell r="G128" t="str">
            <v>MAGNUM SEA FOODS LTD.</v>
          </cell>
          <cell r="H128" t="str">
            <v>SOLPADA,</v>
          </cell>
          <cell r="I128" t="str">
            <v>10/31/2020 00:00:00</v>
          </cell>
          <cell r="J128">
            <v>1</v>
          </cell>
          <cell r="K128" t="str">
            <v xml:space="preserve"> </v>
          </cell>
          <cell r="L128" t="str">
            <v xml:space="preserve"> </v>
          </cell>
          <cell r="M128" t="str">
            <v>324000010231494833</v>
          </cell>
          <cell r="N128" t="str">
            <v>1230000088</v>
          </cell>
          <cell r="O128" t="str">
            <v>BR-109555</v>
          </cell>
          <cell r="P128" t="str">
            <v>432413202</v>
          </cell>
          <cell r="Q128" t="str">
            <v>ALLIED AGRICULTURE ACTIVITIES</v>
          </cell>
          <cell r="R128" t="str">
            <v>HT</v>
          </cell>
          <cell r="S128" t="str">
            <v>01/10/2023</v>
          </cell>
          <cell r="T128" t="str">
            <v>01/10/2023</v>
          </cell>
          <cell r="U128" t="str">
            <v>09/10/2023</v>
          </cell>
          <cell r="V128" t="str">
            <v>09/10/2023</v>
          </cell>
          <cell r="W128" t="str">
            <v>2023/09</v>
          </cell>
          <cell r="X128" t="str">
            <v>11 KV</v>
          </cell>
          <cell r="Y128" t="str">
            <v>HT</v>
          </cell>
          <cell r="Z128">
            <v>372</v>
          </cell>
          <cell r="AA128">
            <v>0.98560000000000003</v>
          </cell>
          <cell r="AB128">
            <v>0</v>
          </cell>
          <cell r="AC128" t="str">
            <v xml:space="preserve">01/09/2023 -     </v>
          </cell>
          <cell r="AD128" t="str">
            <v>30.09.2023</v>
          </cell>
          <cell r="AE128" t="str">
            <v>30/1.0000</v>
          </cell>
          <cell r="AF128">
            <v>372</v>
          </cell>
          <cell r="AG128" t="str">
            <v>KVA</v>
          </cell>
          <cell r="AH128">
            <v>372</v>
          </cell>
          <cell r="AI128" t="str">
            <v>R</v>
          </cell>
          <cell r="AJ128">
            <v>239271</v>
          </cell>
          <cell r="AK128" t="str">
            <v>30/09/2023</v>
          </cell>
          <cell r="AL128" t="str">
            <v>NSC94455</v>
          </cell>
          <cell r="AM128" t="str">
            <v>TRI-VECTOR METER FOR RAILWAY TRACTION</v>
          </cell>
          <cell r="AN128" t="str">
            <v>POST PAID</v>
          </cell>
          <cell r="AO128">
            <v>500</v>
          </cell>
          <cell r="AP128" t="str">
            <v>TOD</v>
          </cell>
          <cell r="AQ128">
            <v>-166290</v>
          </cell>
          <cell r="AR128">
            <v>0</v>
          </cell>
          <cell r="AS128">
            <v>0</v>
          </cell>
          <cell r="AT128">
            <v>0</v>
          </cell>
          <cell r="AU128">
            <v>0</v>
          </cell>
          <cell r="AV128">
            <v>0</v>
          </cell>
          <cell r="AW128">
            <v>16242</v>
          </cell>
          <cell r="AX128">
            <v>16478</v>
          </cell>
          <cell r="AY128">
            <v>16478</v>
          </cell>
          <cell r="AZ128">
            <v>575.4</v>
          </cell>
          <cell r="BA128">
            <v>80.199999999999989</v>
          </cell>
        </row>
        <row r="129">
          <cell r="F129">
            <v>123000000102</v>
          </cell>
          <cell r="G129" t="str">
            <v>NIRMAL KU. KAR</v>
          </cell>
          <cell r="H129" t="str">
            <v xml:space="preserve"> </v>
          </cell>
          <cell r="I129" t="str">
            <v>10/31/2020 00:00:00</v>
          </cell>
          <cell r="J129">
            <v>1</v>
          </cell>
          <cell r="K129" t="str">
            <v xml:space="preserve"> </v>
          </cell>
          <cell r="L129" t="str">
            <v xml:space="preserve"> </v>
          </cell>
          <cell r="M129" t="str">
            <v>324000010231494840</v>
          </cell>
          <cell r="N129" t="str">
            <v>1230000089</v>
          </cell>
          <cell r="O129" t="str">
            <v>BR-109585</v>
          </cell>
          <cell r="P129" t="str">
            <v>432413202</v>
          </cell>
          <cell r="Q129" t="str">
            <v>ALLIED AGRICULTURE ACTIVITIES</v>
          </cell>
          <cell r="R129" t="str">
            <v>HT</v>
          </cell>
          <cell r="S129" t="str">
            <v>01/10/2023</v>
          </cell>
          <cell r="T129" t="str">
            <v>01/10/2023</v>
          </cell>
          <cell r="U129" t="str">
            <v>09/10/2023</v>
          </cell>
          <cell r="V129" t="str">
            <v>09/10/2023</v>
          </cell>
          <cell r="W129" t="str">
            <v>2023/09</v>
          </cell>
          <cell r="X129" t="str">
            <v>11 KV</v>
          </cell>
          <cell r="Y129" t="str">
            <v>HT</v>
          </cell>
          <cell r="Z129">
            <v>178</v>
          </cell>
          <cell r="AA129">
            <v>0.76619999999999999</v>
          </cell>
          <cell r="AB129">
            <v>0</v>
          </cell>
          <cell r="AC129" t="str">
            <v xml:space="preserve">01/09/2023 -     </v>
          </cell>
          <cell r="AD129" t="str">
            <v>30.09.2023</v>
          </cell>
          <cell r="AE129" t="str">
            <v>30/1.0000</v>
          </cell>
          <cell r="AF129">
            <v>178</v>
          </cell>
          <cell r="AG129" t="str">
            <v>KVA</v>
          </cell>
          <cell r="AH129">
            <v>178</v>
          </cell>
          <cell r="AI129" t="str">
            <v>R</v>
          </cell>
          <cell r="AJ129">
            <v>133110</v>
          </cell>
          <cell r="AK129" t="str">
            <v>30/09/2023</v>
          </cell>
          <cell r="AL129" t="str">
            <v>NES50993</v>
          </cell>
          <cell r="AM129" t="str">
            <v>TRI-VECTOR METER FOR RAILWAY TRACTION</v>
          </cell>
          <cell r="AN129" t="str">
            <v>POST PAID</v>
          </cell>
          <cell r="AO129">
            <v>250</v>
          </cell>
          <cell r="AP129" t="str">
            <v>TOD</v>
          </cell>
          <cell r="AQ129">
            <v>18619.8</v>
          </cell>
          <cell r="AR129">
            <v>0</v>
          </cell>
          <cell r="AS129">
            <v>0</v>
          </cell>
          <cell r="AT129">
            <v>0</v>
          </cell>
          <cell r="AU129">
            <v>0</v>
          </cell>
          <cell r="AV129">
            <v>0</v>
          </cell>
          <cell r="AW129">
            <v>36737</v>
          </cell>
          <cell r="AX129">
            <v>47943</v>
          </cell>
          <cell r="AY129">
            <v>47943</v>
          </cell>
          <cell r="AZ129">
            <v>1455.04</v>
          </cell>
          <cell r="BA129">
            <v>175.44</v>
          </cell>
        </row>
        <row r="130">
          <cell r="F130">
            <v>123000000103</v>
          </cell>
          <cell r="G130" t="str">
            <v>M/S KAMAL AQUA INDUSTRIES</v>
          </cell>
          <cell r="H130" t="str">
            <v>C/O- DEBENDRA KUMAR MISHRA</v>
          </cell>
          <cell r="I130" t="str">
            <v>10/31/2020 00:00:00</v>
          </cell>
          <cell r="J130">
            <v>1</v>
          </cell>
          <cell r="K130" t="str">
            <v xml:space="preserve"> </v>
          </cell>
          <cell r="L130" t="str">
            <v xml:space="preserve"> </v>
          </cell>
          <cell r="M130" t="str">
            <v>324000010231494017</v>
          </cell>
          <cell r="N130" t="str">
            <v>1230000090</v>
          </cell>
          <cell r="O130" t="str">
            <v>BR-109858</v>
          </cell>
          <cell r="P130" t="str">
            <v>432423402</v>
          </cell>
          <cell r="Q130" t="str">
            <v>ALLIED AGRICULTURE ACTIVITIES</v>
          </cell>
          <cell r="R130" t="str">
            <v>HT</v>
          </cell>
          <cell r="S130" t="str">
            <v>01/10/2023</v>
          </cell>
          <cell r="T130" t="str">
            <v>01/10/2023</v>
          </cell>
          <cell r="U130" t="str">
            <v>09/10/2023</v>
          </cell>
          <cell r="V130" t="str">
            <v>09/10/2023</v>
          </cell>
          <cell r="W130" t="str">
            <v>2023/09</v>
          </cell>
          <cell r="X130" t="str">
            <v>11 KV</v>
          </cell>
          <cell r="Y130" t="str">
            <v>HT</v>
          </cell>
          <cell r="Z130">
            <v>178</v>
          </cell>
          <cell r="AA130">
            <v>0.7399</v>
          </cell>
          <cell r="AB130">
            <v>0</v>
          </cell>
          <cell r="AC130" t="str">
            <v xml:space="preserve">01/09/2023 -     </v>
          </cell>
          <cell r="AD130" t="str">
            <v>30.09.2023</v>
          </cell>
          <cell r="AE130" t="str">
            <v>30/1.0000</v>
          </cell>
          <cell r="AF130">
            <v>178</v>
          </cell>
          <cell r="AG130" t="str">
            <v>KVA</v>
          </cell>
          <cell r="AH130">
            <v>178</v>
          </cell>
          <cell r="AI130" t="str">
            <v>R</v>
          </cell>
          <cell r="AJ130">
            <v>114490</v>
          </cell>
          <cell r="AK130" t="str">
            <v>30/09/2023</v>
          </cell>
          <cell r="AL130" t="str">
            <v>NES50086</v>
          </cell>
          <cell r="AM130" t="str">
            <v>TRI-VECTOR METER FOR RAILWAY TRACTION</v>
          </cell>
          <cell r="AN130" t="str">
            <v>POST PAID</v>
          </cell>
          <cell r="AO130">
            <v>250</v>
          </cell>
          <cell r="AP130" t="str">
            <v>TOD</v>
          </cell>
          <cell r="AQ130">
            <v>-62074</v>
          </cell>
          <cell r="AR130">
            <v>0</v>
          </cell>
          <cell r="AS130">
            <v>0</v>
          </cell>
          <cell r="AT130">
            <v>0</v>
          </cell>
          <cell r="AU130">
            <v>0</v>
          </cell>
          <cell r="AV130">
            <v>0</v>
          </cell>
          <cell r="AW130">
            <v>0</v>
          </cell>
          <cell r="AX130">
            <v>0</v>
          </cell>
          <cell r="AY130">
            <v>24522</v>
          </cell>
          <cell r="AZ130">
            <v>0</v>
          </cell>
          <cell r="BA130">
            <v>0</v>
          </cell>
        </row>
        <row r="131">
          <cell r="F131">
            <v>123000000104</v>
          </cell>
          <cell r="G131" t="str">
            <v>M/S SEA CRAFTS AQUA PROJECTS P.LTD.</v>
          </cell>
          <cell r="H131" t="str">
            <v>HALADI GUDI,CHAKA SARTHABALASORE</v>
          </cell>
          <cell r="I131" t="str">
            <v>10/31/2020 00:00:00</v>
          </cell>
          <cell r="J131">
            <v>1</v>
          </cell>
          <cell r="K131" t="str">
            <v xml:space="preserve"> </v>
          </cell>
          <cell r="L131" t="str">
            <v xml:space="preserve"> </v>
          </cell>
          <cell r="M131" t="str">
            <v>324000010231494848</v>
          </cell>
          <cell r="N131" t="str">
            <v>1230000091</v>
          </cell>
          <cell r="O131" t="str">
            <v>BR-96449</v>
          </cell>
          <cell r="P131" t="str">
            <v>432423404</v>
          </cell>
          <cell r="Q131" t="str">
            <v>GENERAL PURPOSE &gt;= 110 KVA</v>
          </cell>
          <cell r="R131" t="str">
            <v>HT</v>
          </cell>
          <cell r="S131" t="str">
            <v>01/10/2023</v>
          </cell>
          <cell r="T131" t="str">
            <v>01/10/2023</v>
          </cell>
          <cell r="U131" t="str">
            <v>06/10/2023</v>
          </cell>
          <cell r="V131" t="str">
            <v>09/10/2023</v>
          </cell>
          <cell r="W131" t="str">
            <v>2023/09</v>
          </cell>
          <cell r="X131" t="str">
            <v>11 KV</v>
          </cell>
          <cell r="Y131" t="str">
            <v>HT</v>
          </cell>
          <cell r="Z131">
            <v>142.4</v>
          </cell>
          <cell r="AA131">
            <v>0.72499999999999998</v>
          </cell>
          <cell r="AB131">
            <v>38.04</v>
          </cell>
          <cell r="AC131" t="str">
            <v xml:space="preserve">01/09/2023 -     </v>
          </cell>
          <cell r="AD131" t="str">
            <v>30.09.2023</v>
          </cell>
          <cell r="AE131" t="str">
            <v>30/1.0000</v>
          </cell>
          <cell r="AF131">
            <v>178</v>
          </cell>
          <cell r="AG131" t="str">
            <v>KVA</v>
          </cell>
          <cell r="AH131">
            <v>178</v>
          </cell>
          <cell r="AI131" t="str">
            <v>R</v>
          </cell>
          <cell r="AJ131">
            <v>428222</v>
          </cell>
          <cell r="AK131" t="str">
            <v>30/09/2023</v>
          </cell>
          <cell r="AL131" t="str">
            <v>NES50188</v>
          </cell>
          <cell r="AM131" t="str">
            <v>LT SINGLE PHASE AMR/AMI COMPLIANT METER-TOD</v>
          </cell>
          <cell r="AN131" t="str">
            <v>POST PAID</v>
          </cell>
          <cell r="AO131">
            <v>250</v>
          </cell>
          <cell r="AP131" t="str">
            <v>TOD</v>
          </cell>
          <cell r="AQ131">
            <v>-127273.3</v>
          </cell>
          <cell r="AR131">
            <v>0</v>
          </cell>
          <cell r="AS131">
            <v>0</v>
          </cell>
          <cell r="AT131">
            <v>0</v>
          </cell>
          <cell r="AU131">
            <v>0</v>
          </cell>
          <cell r="AV131">
            <v>0</v>
          </cell>
          <cell r="AW131">
            <v>25321</v>
          </cell>
          <cell r="AX131">
            <v>34924</v>
          </cell>
          <cell r="AY131">
            <v>34924</v>
          </cell>
          <cell r="AZ131">
            <v>867.84</v>
          </cell>
          <cell r="BA131">
            <v>127.51999999999998</v>
          </cell>
        </row>
        <row r="132">
          <cell r="F132">
            <v>123000000105</v>
          </cell>
          <cell r="G132" t="str">
            <v>HARI MARINE PVT. LTD.</v>
          </cell>
          <cell r="H132" t="str">
            <v>BIRUAN,SERGARDBALASORE</v>
          </cell>
          <cell r="I132" t="str">
            <v>10/31/2020 00:00:00</v>
          </cell>
          <cell r="J132">
            <v>1</v>
          </cell>
          <cell r="K132" t="str">
            <v xml:space="preserve"> </v>
          </cell>
          <cell r="L132" t="str">
            <v xml:space="preserve"> </v>
          </cell>
          <cell r="M132" t="str">
            <v>324000010231494849</v>
          </cell>
          <cell r="N132" t="str">
            <v>1230000092</v>
          </cell>
          <cell r="O132" t="str">
            <v>BG-109167</v>
          </cell>
          <cell r="P132" t="str">
            <v>43287401008</v>
          </cell>
          <cell r="Q132" t="str">
            <v>ALLIED AGRO-INDUSTRIAL ACTIVITIES</v>
          </cell>
          <cell r="R132" t="str">
            <v>HT</v>
          </cell>
          <cell r="S132" t="str">
            <v>01/10/2023</v>
          </cell>
          <cell r="T132" t="str">
            <v>01/10/2023</v>
          </cell>
          <cell r="U132" t="str">
            <v>06/10/2023</v>
          </cell>
          <cell r="V132" t="str">
            <v>09/10/2023</v>
          </cell>
          <cell r="W132" t="str">
            <v>2023/09</v>
          </cell>
          <cell r="X132" t="str">
            <v>33 KV</v>
          </cell>
          <cell r="Y132" t="str">
            <v>HT</v>
          </cell>
          <cell r="Z132">
            <v>1000</v>
          </cell>
          <cell r="AA132">
            <v>0.99619999999999997</v>
          </cell>
          <cell r="AB132">
            <v>0</v>
          </cell>
          <cell r="AC132" t="str">
            <v xml:space="preserve">01/09/2023 -     </v>
          </cell>
          <cell r="AD132" t="str">
            <v>30.09.2023</v>
          </cell>
          <cell r="AE132" t="str">
            <v>30/1.0000</v>
          </cell>
          <cell r="AF132">
            <v>1000</v>
          </cell>
          <cell r="AG132" t="str">
            <v>KVA</v>
          </cell>
          <cell r="AH132">
            <v>1000</v>
          </cell>
          <cell r="AI132" t="str">
            <v>R</v>
          </cell>
          <cell r="AJ132">
            <v>2555480</v>
          </cell>
          <cell r="AK132" t="str">
            <v>30/09/2023</v>
          </cell>
          <cell r="AL132" t="str">
            <v>NES50381</v>
          </cell>
          <cell r="AM132" t="str">
            <v>THREE PHASE HT CT METER-33KV</v>
          </cell>
          <cell r="AN132" t="str">
            <v>POST PAID</v>
          </cell>
          <cell r="AO132">
            <v>2000</v>
          </cell>
          <cell r="AP132" t="str">
            <v>TOD</v>
          </cell>
          <cell r="AQ132">
            <v>-242889.2</v>
          </cell>
          <cell r="AR132">
            <v>0</v>
          </cell>
          <cell r="AS132">
            <v>0</v>
          </cell>
          <cell r="AT132">
            <v>0</v>
          </cell>
          <cell r="AU132">
            <v>0</v>
          </cell>
          <cell r="AV132">
            <v>0</v>
          </cell>
          <cell r="AW132">
            <v>296217</v>
          </cell>
          <cell r="AX132">
            <v>297333</v>
          </cell>
          <cell r="AY132">
            <v>297333</v>
          </cell>
          <cell r="AZ132">
            <v>5693.04</v>
          </cell>
          <cell r="BA132">
            <v>789.12</v>
          </cell>
        </row>
        <row r="133">
          <cell r="F133">
            <v>123000000106</v>
          </cell>
          <cell r="G133" t="str">
            <v>ABHAY MOHAPATRA</v>
          </cell>
          <cell r="H133" t="str">
            <v>TUNDRA,BALASORE</v>
          </cell>
          <cell r="I133" t="str">
            <v>10/31/2020 00:00:00</v>
          </cell>
          <cell r="J133">
            <v>1</v>
          </cell>
          <cell r="K133" t="str">
            <v xml:space="preserve"> </v>
          </cell>
          <cell r="L133" t="str">
            <v xml:space="preserve"> </v>
          </cell>
          <cell r="M133" t="str">
            <v>324000010231494363</v>
          </cell>
          <cell r="N133" t="str">
            <v>1230000093</v>
          </cell>
          <cell r="O133" t="str">
            <v>BS-109992</v>
          </cell>
          <cell r="P133" t="str">
            <v>432123206</v>
          </cell>
          <cell r="Q133" t="str">
            <v>ALLIED AGRICULTURE ACTIVITIES</v>
          </cell>
          <cell r="R133" t="str">
            <v>HT</v>
          </cell>
          <cell r="S133" t="str">
            <v>01/10/2023</v>
          </cell>
          <cell r="T133" t="str">
            <v>01/10/2023</v>
          </cell>
          <cell r="U133" t="str">
            <v>09/10/2023</v>
          </cell>
          <cell r="V133" t="str">
            <v>09/10/2023</v>
          </cell>
          <cell r="W133" t="str">
            <v>2023/09</v>
          </cell>
          <cell r="X133" t="str">
            <v>11 KV</v>
          </cell>
          <cell r="Y133" t="str">
            <v>HT</v>
          </cell>
          <cell r="Z133">
            <v>278</v>
          </cell>
          <cell r="AA133">
            <v>0.73880000000000001</v>
          </cell>
          <cell r="AB133">
            <v>0</v>
          </cell>
          <cell r="AC133" t="str">
            <v xml:space="preserve">01/09/2023 -     </v>
          </cell>
          <cell r="AD133" t="str">
            <v>30.09.2023</v>
          </cell>
          <cell r="AE133" t="str">
            <v>30/1.0000</v>
          </cell>
          <cell r="AF133">
            <v>278</v>
          </cell>
          <cell r="AG133" t="str">
            <v>KVA</v>
          </cell>
          <cell r="AH133">
            <v>278</v>
          </cell>
          <cell r="AI133" t="str">
            <v>R</v>
          </cell>
          <cell r="AJ133">
            <v>178810</v>
          </cell>
          <cell r="AK133" t="str">
            <v>30/09/2023</v>
          </cell>
          <cell r="AL133" t="str">
            <v>NES50136</v>
          </cell>
          <cell r="AM133" t="str">
            <v>TRI-VECTOR METER FOR RAILWAY TRACTION</v>
          </cell>
          <cell r="AN133" t="str">
            <v>POST PAID</v>
          </cell>
          <cell r="AO133">
            <v>315</v>
          </cell>
          <cell r="AP133" t="str">
            <v>TOD</v>
          </cell>
          <cell r="AQ133">
            <v>-114310</v>
          </cell>
          <cell r="AR133">
            <v>0</v>
          </cell>
          <cell r="AS133">
            <v>0</v>
          </cell>
          <cell r="AT133">
            <v>0</v>
          </cell>
          <cell r="AU133">
            <v>0</v>
          </cell>
          <cell r="AV133">
            <v>0</v>
          </cell>
          <cell r="AW133">
            <v>19575</v>
          </cell>
          <cell r="AX133">
            <v>26495</v>
          </cell>
          <cell r="AY133">
            <v>26495</v>
          </cell>
          <cell r="AZ133">
            <v>1252.32</v>
          </cell>
          <cell r="BA133">
            <v>109.08</v>
          </cell>
        </row>
        <row r="134">
          <cell r="F134">
            <v>123000000107</v>
          </cell>
          <cell r="G134" t="str">
            <v>M/S RAJA AGRO COLD STORAGE</v>
          </cell>
          <cell r="H134" t="str">
            <v>MANAGING PARTNER- RAJU GOPAL SAHU</v>
          </cell>
          <cell r="I134" t="str">
            <v>10/31/2020 00:00:00</v>
          </cell>
          <cell r="J134">
            <v>1</v>
          </cell>
          <cell r="K134" t="str">
            <v xml:space="preserve"> </v>
          </cell>
          <cell r="L134" t="str">
            <v xml:space="preserve"> </v>
          </cell>
          <cell r="M134" t="str">
            <v>324000010231494199</v>
          </cell>
          <cell r="N134" t="str">
            <v>1230000094</v>
          </cell>
          <cell r="O134" t="str">
            <v>BF-110325</v>
          </cell>
          <cell r="P134" t="str">
            <v>43287401004</v>
          </cell>
          <cell r="Q134" t="str">
            <v>ALLIED AGRO-INDUSTRIAL ACTIVITIES</v>
          </cell>
          <cell r="R134" t="str">
            <v>HT</v>
          </cell>
          <cell r="S134" t="str">
            <v>01/10/2023</v>
          </cell>
          <cell r="T134" t="str">
            <v>01/10/2023</v>
          </cell>
          <cell r="U134" t="str">
            <v>06/10/2023</v>
          </cell>
          <cell r="V134" t="str">
            <v>09/10/2023</v>
          </cell>
          <cell r="W134" t="str">
            <v>2023/09</v>
          </cell>
          <cell r="X134" t="str">
            <v>33 KV</v>
          </cell>
          <cell r="Y134" t="str">
            <v>HT</v>
          </cell>
          <cell r="Z134">
            <v>560</v>
          </cell>
          <cell r="AA134">
            <v>0.99960000000000004</v>
          </cell>
          <cell r="AB134">
            <v>0</v>
          </cell>
          <cell r="AC134" t="str">
            <v xml:space="preserve">01/09/2023 -     </v>
          </cell>
          <cell r="AD134" t="str">
            <v>30.09.2023</v>
          </cell>
          <cell r="AE134" t="str">
            <v>30/1.0000</v>
          </cell>
          <cell r="AF134">
            <v>560</v>
          </cell>
          <cell r="AG134" t="str">
            <v>KVA</v>
          </cell>
          <cell r="AH134">
            <v>560</v>
          </cell>
          <cell r="AI134" t="str">
            <v>R</v>
          </cell>
          <cell r="AJ134">
            <v>948685</v>
          </cell>
          <cell r="AK134" t="str">
            <v>30/09/2023</v>
          </cell>
          <cell r="AL134" t="str">
            <v>NSC94791</v>
          </cell>
          <cell r="AM134" t="str">
            <v>HT THREE PHASE 4 WIRE AMR/AMI COMPLAINT METER</v>
          </cell>
          <cell r="AN134" t="str">
            <v>POST PAID</v>
          </cell>
          <cell r="AO134">
            <v>750</v>
          </cell>
          <cell r="AP134" t="str">
            <v>TOD</v>
          </cell>
          <cell r="AQ134">
            <v>-327575</v>
          </cell>
          <cell r="AR134">
            <v>0</v>
          </cell>
          <cell r="AS134">
            <v>0</v>
          </cell>
          <cell r="AT134">
            <v>0</v>
          </cell>
          <cell r="AU134">
            <v>0</v>
          </cell>
          <cell r="AV134">
            <v>0</v>
          </cell>
          <cell r="AW134">
            <v>59976</v>
          </cell>
          <cell r="AX134">
            <v>59994</v>
          </cell>
          <cell r="AY134">
            <v>59994</v>
          </cell>
          <cell r="AZ134">
            <v>414.48</v>
          </cell>
          <cell r="BA134">
            <v>185.76</v>
          </cell>
        </row>
        <row r="135">
          <cell r="F135">
            <v>123000000108</v>
          </cell>
          <cell r="G135" t="str">
            <v>M/S POONAM INDUSTRIES.</v>
          </cell>
          <cell r="H135" t="str">
            <v>PROP- ASHWINI KUMAR PATEL</v>
          </cell>
          <cell r="I135" t="str">
            <v>10/31/2020 00:00:00</v>
          </cell>
          <cell r="J135">
            <v>1</v>
          </cell>
          <cell r="K135" t="str">
            <v xml:space="preserve"> </v>
          </cell>
          <cell r="L135" t="str">
            <v xml:space="preserve"> </v>
          </cell>
          <cell r="M135" t="str">
            <v>324000010231494769</v>
          </cell>
          <cell r="N135" t="str">
            <v>1230000095</v>
          </cell>
          <cell r="O135" t="str">
            <v>BM-110326</v>
          </cell>
          <cell r="P135" t="str">
            <v>432421101</v>
          </cell>
          <cell r="Q135" t="str">
            <v>LARGE INDUSTRY</v>
          </cell>
          <cell r="R135" t="str">
            <v>HT</v>
          </cell>
          <cell r="S135" t="str">
            <v>01/10/2023</v>
          </cell>
          <cell r="T135" t="str">
            <v>01/10/2023</v>
          </cell>
          <cell r="U135" t="str">
            <v>06/10/2023</v>
          </cell>
          <cell r="V135" t="str">
            <v>09/10/2023</v>
          </cell>
          <cell r="W135" t="str">
            <v>2023/09</v>
          </cell>
          <cell r="X135" t="str">
            <v>11 KV</v>
          </cell>
          <cell r="Y135" t="str">
            <v>HT</v>
          </cell>
          <cell r="Z135">
            <v>265.60000000000002</v>
          </cell>
          <cell r="AA135">
            <v>0.88670000000000004</v>
          </cell>
          <cell r="AB135">
            <v>5.83</v>
          </cell>
          <cell r="AC135" t="str">
            <v xml:space="preserve">01/09/2023 -     </v>
          </cell>
          <cell r="AD135" t="str">
            <v>30.09.2023</v>
          </cell>
          <cell r="AE135" t="str">
            <v>30/1.0000</v>
          </cell>
          <cell r="AF135">
            <v>123</v>
          </cell>
          <cell r="AG135" t="str">
            <v>KVA</v>
          </cell>
          <cell r="AH135">
            <v>123</v>
          </cell>
          <cell r="AI135" t="str">
            <v>R</v>
          </cell>
          <cell r="AJ135">
            <v>628649</v>
          </cell>
          <cell r="AK135" t="str">
            <v>30/09/2023</v>
          </cell>
          <cell r="AL135" t="str">
            <v>NES83164</v>
          </cell>
          <cell r="AM135" t="str">
            <v>SINGLE PHASE ELECTRO-MAGNETIC KWH METER-TOD</v>
          </cell>
          <cell r="AN135" t="str">
            <v>POST PAID</v>
          </cell>
          <cell r="AO135">
            <v>200</v>
          </cell>
          <cell r="AP135" t="str">
            <v>TOD</v>
          </cell>
          <cell r="AQ135">
            <v>-545100.36</v>
          </cell>
          <cell r="AR135">
            <v>0</v>
          </cell>
          <cell r="AS135">
            <v>0</v>
          </cell>
          <cell r="AT135">
            <v>0</v>
          </cell>
          <cell r="AU135">
            <v>0</v>
          </cell>
          <cell r="AV135">
            <v>0</v>
          </cell>
          <cell r="AW135">
            <v>9894</v>
          </cell>
          <cell r="AX135">
            <v>11158</v>
          </cell>
          <cell r="AY135">
            <v>11158</v>
          </cell>
          <cell r="AZ135">
            <v>1872</v>
          </cell>
          <cell r="BA135">
            <v>265.60000000000002</v>
          </cell>
        </row>
        <row r="136">
          <cell r="F136">
            <v>123000000109</v>
          </cell>
          <cell r="G136" t="str">
            <v>SOFTWARE TECHNOLOGY PARK OF INDIA</v>
          </cell>
          <cell r="H136" t="str">
            <v>BAMPADA,BALASORE</v>
          </cell>
          <cell r="I136" t="str">
            <v>10/31/2020 00:00:00</v>
          </cell>
          <cell r="J136">
            <v>1</v>
          </cell>
          <cell r="K136" t="str">
            <v xml:space="preserve"> </v>
          </cell>
          <cell r="L136" t="str">
            <v xml:space="preserve"> </v>
          </cell>
          <cell r="M136" t="str">
            <v>324000010231494857</v>
          </cell>
          <cell r="N136" t="str">
            <v>1230000096</v>
          </cell>
          <cell r="O136" t="str">
            <v>BG-110377</v>
          </cell>
          <cell r="P136" t="str">
            <v>432421501</v>
          </cell>
          <cell r="Q136" t="str">
            <v>GENERAL PURPOSE &gt;= 110 KVA</v>
          </cell>
          <cell r="R136" t="str">
            <v>HT</v>
          </cell>
          <cell r="S136" t="str">
            <v>01/10/2023</v>
          </cell>
          <cell r="T136" t="str">
            <v>01/10/2023</v>
          </cell>
          <cell r="U136" t="str">
            <v>06/10/2023</v>
          </cell>
          <cell r="V136" t="str">
            <v>09/10/2023</v>
          </cell>
          <cell r="W136" t="str">
            <v>2023/09</v>
          </cell>
          <cell r="X136" t="str">
            <v>11 KV</v>
          </cell>
          <cell r="Y136" t="str">
            <v>HT</v>
          </cell>
          <cell r="Z136">
            <v>93.72</v>
          </cell>
          <cell r="AA136">
            <v>0.98870000000000002</v>
          </cell>
          <cell r="AB136">
            <v>23.97</v>
          </cell>
          <cell r="AC136" t="str">
            <v xml:space="preserve">01/09/2023 -     </v>
          </cell>
          <cell r="AD136" t="str">
            <v>30.09.2023</v>
          </cell>
          <cell r="AE136" t="str">
            <v>30/1.0000</v>
          </cell>
          <cell r="AF136">
            <v>110</v>
          </cell>
          <cell r="AG136" t="str">
            <v>KVA</v>
          </cell>
          <cell r="AH136">
            <v>110</v>
          </cell>
          <cell r="AI136" t="str">
            <v>R</v>
          </cell>
          <cell r="AJ136">
            <v>550578</v>
          </cell>
          <cell r="AK136" t="str">
            <v>30/09/2023</v>
          </cell>
          <cell r="AL136" t="str">
            <v>NES50103</v>
          </cell>
          <cell r="AM136" t="str">
            <v>SINGLE PHASE ELECTRO-MAGNETIC KWH METER-TOD</v>
          </cell>
          <cell r="AN136" t="str">
            <v>POST PAID</v>
          </cell>
          <cell r="AO136">
            <v>315</v>
          </cell>
          <cell r="AP136" t="str">
            <v>TOD</v>
          </cell>
          <cell r="AQ136">
            <v>-473853.1</v>
          </cell>
          <cell r="AR136">
            <v>0</v>
          </cell>
          <cell r="AS136">
            <v>0</v>
          </cell>
          <cell r="AT136">
            <v>0</v>
          </cell>
          <cell r="AU136">
            <v>0</v>
          </cell>
          <cell r="AV136">
            <v>0</v>
          </cell>
          <cell r="AW136">
            <v>15993</v>
          </cell>
          <cell r="AX136">
            <v>16175</v>
          </cell>
          <cell r="AY136">
            <v>16175</v>
          </cell>
          <cell r="AZ136">
            <v>660.36</v>
          </cell>
          <cell r="BA136">
            <v>93.72</v>
          </cell>
        </row>
        <row r="137">
          <cell r="F137">
            <v>123000000110</v>
          </cell>
          <cell r="G137" t="str">
            <v>M/S HIGHWAY ICE AND STORE</v>
          </cell>
          <cell r="H137" t="str">
            <v>BALASORE,</v>
          </cell>
          <cell r="I137" t="str">
            <v>10/31/2020 00:00:00</v>
          </cell>
          <cell r="J137">
            <v>1</v>
          </cell>
          <cell r="K137" t="str">
            <v xml:space="preserve"> </v>
          </cell>
          <cell r="L137" t="str">
            <v xml:space="preserve"> </v>
          </cell>
          <cell r="M137" t="str">
            <v>324000010231494866</v>
          </cell>
          <cell r="N137" t="str">
            <v>1230000097</v>
          </cell>
          <cell r="O137" t="str">
            <v>BG-110444</v>
          </cell>
          <cell r="P137" t="str">
            <v>432123206</v>
          </cell>
          <cell r="Q137" t="str">
            <v>LARGE INDUSTRY</v>
          </cell>
          <cell r="R137" t="str">
            <v>HT</v>
          </cell>
          <cell r="S137" t="str">
            <v>01/10/2023</v>
          </cell>
          <cell r="T137" t="str">
            <v>01/10/2023</v>
          </cell>
          <cell r="U137" t="str">
            <v>06/10/2023</v>
          </cell>
          <cell r="V137" t="str">
            <v>09/10/2023</v>
          </cell>
          <cell r="W137" t="str">
            <v>2023/09</v>
          </cell>
          <cell r="X137" t="str">
            <v>11 KV</v>
          </cell>
          <cell r="Y137" t="str">
            <v>HT</v>
          </cell>
          <cell r="Z137">
            <v>124.96</v>
          </cell>
          <cell r="AA137">
            <v>0.86760000000000004</v>
          </cell>
          <cell r="AB137">
            <v>52.75</v>
          </cell>
          <cell r="AC137" t="str">
            <v xml:space="preserve">01/09/2023 -     </v>
          </cell>
          <cell r="AD137" t="str">
            <v>30.09.2023</v>
          </cell>
          <cell r="AE137" t="str">
            <v>30/1.0000</v>
          </cell>
          <cell r="AF137">
            <v>117</v>
          </cell>
          <cell r="AG137" t="str">
            <v>KVA</v>
          </cell>
          <cell r="AH137">
            <v>117</v>
          </cell>
          <cell r="AI137" t="str">
            <v>R</v>
          </cell>
          <cell r="AJ137">
            <v>597983</v>
          </cell>
          <cell r="AK137" t="str">
            <v>30/09/2023</v>
          </cell>
          <cell r="AL137" t="str">
            <v>NES50160</v>
          </cell>
          <cell r="AM137" t="str">
            <v>TRI-VECTOR METER FOR RAILWAY TRACTION</v>
          </cell>
          <cell r="AN137" t="str">
            <v>POST PAID</v>
          </cell>
          <cell r="AO137">
            <v>250</v>
          </cell>
          <cell r="AP137" t="str">
            <v>TOD</v>
          </cell>
          <cell r="AQ137">
            <v>-103803.36</v>
          </cell>
          <cell r="AR137">
            <v>0</v>
          </cell>
          <cell r="AS137">
            <v>0</v>
          </cell>
          <cell r="AT137">
            <v>0</v>
          </cell>
          <cell r="AU137">
            <v>0</v>
          </cell>
          <cell r="AV137">
            <v>0</v>
          </cell>
          <cell r="AW137">
            <v>41182</v>
          </cell>
          <cell r="AX137">
            <v>47464</v>
          </cell>
          <cell r="AY137">
            <v>47464</v>
          </cell>
          <cell r="AZ137">
            <v>873.92</v>
          </cell>
          <cell r="BA137">
            <v>124.96000000000001</v>
          </cell>
        </row>
        <row r="138">
          <cell r="F138">
            <v>123000000111</v>
          </cell>
          <cell r="G138" t="str">
            <v>M/S SIRIDI SAI STONE CRUSHER</v>
          </cell>
          <cell r="H138" t="str">
            <v>C/O- SUJATA MOHANTY,BALASORE</v>
          </cell>
          <cell r="I138" t="str">
            <v>10/31/2020 00:00:00</v>
          </cell>
          <cell r="J138">
            <v>1</v>
          </cell>
          <cell r="K138" t="str">
            <v xml:space="preserve"> </v>
          </cell>
          <cell r="L138" t="str">
            <v xml:space="preserve"> </v>
          </cell>
          <cell r="M138" t="str">
            <v>324000010231494786</v>
          </cell>
          <cell r="N138" t="str">
            <v>1230000098</v>
          </cell>
          <cell r="O138" t="str">
            <v>BM-110445</v>
          </cell>
          <cell r="P138" t="str">
            <v>432421101</v>
          </cell>
          <cell r="Q138" t="str">
            <v>LARGE INDUSTRY</v>
          </cell>
          <cell r="R138" t="str">
            <v>HT</v>
          </cell>
          <cell r="S138" t="str">
            <v>01/10/2023</v>
          </cell>
          <cell r="T138" t="str">
            <v>01/10/2023</v>
          </cell>
          <cell r="U138" t="str">
            <v>06/10/2023</v>
          </cell>
          <cell r="V138" t="str">
            <v>09/10/2023</v>
          </cell>
          <cell r="W138" t="str">
            <v>2023/09</v>
          </cell>
          <cell r="X138" t="str">
            <v>11 KV</v>
          </cell>
          <cell r="Y138" t="str">
            <v>HT</v>
          </cell>
          <cell r="Z138">
            <v>123.2</v>
          </cell>
          <cell r="AA138">
            <v>0.36080000000000001</v>
          </cell>
          <cell r="AB138">
            <v>3.55</v>
          </cell>
          <cell r="AC138" t="str">
            <v xml:space="preserve">01/09/2023 -     </v>
          </cell>
          <cell r="AD138" t="str">
            <v>30.09.2023</v>
          </cell>
          <cell r="AE138" t="str">
            <v>30/1.0000</v>
          </cell>
          <cell r="AF138">
            <v>154</v>
          </cell>
          <cell r="AG138" t="str">
            <v>KVA</v>
          </cell>
          <cell r="AH138">
            <v>154</v>
          </cell>
          <cell r="AI138" t="str">
            <v>R</v>
          </cell>
          <cell r="AJ138">
            <v>787088</v>
          </cell>
          <cell r="AK138" t="str">
            <v>30/09/2023</v>
          </cell>
          <cell r="AL138" t="str">
            <v>NES82986</v>
          </cell>
          <cell r="AM138" t="str">
            <v>SINGLE PHASE ELECTRO-MAGNETIC KWH METER-TOD</v>
          </cell>
          <cell r="AN138" t="str">
            <v>POST PAID</v>
          </cell>
          <cell r="AO138">
            <v>200</v>
          </cell>
          <cell r="AP138" t="str">
            <v>TOD</v>
          </cell>
          <cell r="AQ138">
            <v>-593721.66</v>
          </cell>
          <cell r="AR138">
            <v>0</v>
          </cell>
          <cell r="AS138">
            <v>0</v>
          </cell>
          <cell r="AT138">
            <v>0</v>
          </cell>
          <cell r="AU138">
            <v>0</v>
          </cell>
          <cell r="AV138">
            <v>0</v>
          </cell>
          <cell r="AW138">
            <v>1084</v>
          </cell>
          <cell r="AX138">
            <v>3004</v>
          </cell>
          <cell r="AY138">
            <v>3004</v>
          </cell>
          <cell r="AZ138">
            <v>739.04</v>
          </cell>
          <cell r="BA138">
            <v>117.44000000000001</v>
          </cell>
        </row>
        <row r="139">
          <cell r="F139">
            <v>123000000112</v>
          </cell>
          <cell r="G139" t="str">
            <v>SRI SUDHANSHU SEKHAR PANDA</v>
          </cell>
          <cell r="H139" t="str">
            <v>BALASORE,</v>
          </cell>
          <cell r="I139" t="str">
            <v>10/31/2020 00:00:00</v>
          </cell>
          <cell r="J139">
            <v>1</v>
          </cell>
          <cell r="K139" t="str">
            <v xml:space="preserve"> </v>
          </cell>
          <cell r="L139" t="str">
            <v xml:space="preserve"> </v>
          </cell>
          <cell r="M139" t="str">
            <v>324000010231494477</v>
          </cell>
          <cell r="N139" t="str">
            <v>1230000099</v>
          </cell>
          <cell r="O139" t="str">
            <v>BN-110446</v>
          </cell>
          <cell r="P139" t="str">
            <v>432412302</v>
          </cell>
          <cell r="Q139" t="str">
            <v>ALLIED AGRICULTURE ACTIVITIES</v>
          </cell>
          <cell r="R139" t="str">
            <v>HT</v>
          </cell>
          <cell r="S139" t="str">
            <v>01/10/2023</v>
          </cell>
          <cell r="T139" t="str">
            <v>01/10/2023</v>
          </cell>
          <cell r="U139" t="str">
            <v>09/10/2023</v>
          </cell>
          <cell r="V139" t="str">
            <v>09/10/2023</v>
          </cell>
          <cell r="W139" t="str">
            <v>2023/09</v>
          </cell>
          <cell r="X139" t="str">
            <v>11 KV</v>
          </cell>
          <cell r="Y139" t="str">
            <v>HT</v>
          </cell>
          <cell r="Z139">
            <v>200</v>
          </cell>
          <cell r="AA139">
            <v>0.8276</v>
          </cell>
          <cell r="AB139">
            <v>0</v>
          </cell>
          <cell r="AC139" t="str">
            <v xml:space="preserve">01/09/2023 -     </v>
          </cell>
          <cell r="AD139" t="str">
            <v>30.09.2023</v>
          </cell>
          <cell r="AE139" t="str">
            <v>30/1.0000</v>
          </cell>
          <cell r="AF139">
            <v>200</v>
          </cell>
          <cell r="AG139" t="str">
            <v>KVA</v>
          </cell>
          <cell r="AH139">
            <v>200</v>
          </cell>
          <cell r="AI139" t="str">
            <v>R</v>
          </cell>
          <cell r="AJ139">
            <v>128640</v>
          </cell>
          <cell r="AK139" t="str">
            <v>30/09/2023</v>
          </cell>
          <cell r="AL139" t="str">
            <v>NES83106</v>
          </cell>
          <cell r="AM139" t="str">
            <v>SINGLE PHASE ELECTRO-MAGNETIC KWH METER-TOD</v>
          </cell>
          <cell r="AN139" t="str">
            <v>POST PAID</v>
          </cell>
          <cell r="AO139">
            <v>250</v>
          </cell>
          <cell r="AP139" t="str">
            <v>TOD</v>
          </cell>
          <cell r="AQ139">
            <v>-77976</v>
          </cell>
          <cell r="AR139">
            <v>0</v>
          </cell>
          <cell r="AS139">
            <v>0</v>
          </cell>
          <cell r="AT139">
            <v>0</v>
          </cell>
          <cell r="AU139">
            <v>0</v>
          </cell>
          <cell r="AV139">
            <v>0</v>
          </cell>
          <cell r="AW139">
            <v>8886</v>
          </cell>
          <cell r="AX139">
            <v>10736</v>
          </cell>
          <cell r="AY139">
            <v>10736</v>
          </cell>
          <cell r="AZ139">
            <v>267.36</v>
          </cell>
          <cell r="BA139">
            <v>37.119999999999997</v>
          </cell>
        </row>
        <row r="140">
          <cell r="F140">
            <v>123000000113</v>
          </cell>
          <cell r="G140" t="str">
            <v>M/S MAA JASODA ICE PLANT</v>
          </cell>
          <cell r="H140" t="str">
            <v>PRO-ANIL KUMAR PATRA,BAHABALPURRUPSA</v>
          </cell>
          <cell r="I140" t="str">
            <v>10/31/2020 00:00:00</v>
          </cell>
          <cell r="J140">
            <v>1</v>
          </cell>
          <cell r="K140" t="str">
            <v xml:space="preserve"> </v>
          </cell>
          <cell r="L140" t="str">
            <v xml:space="preserve"> </v>
          </cell>
          <cell r="M140" t="str">
            <v>324000010231494855</v>
          </cell>
          <cell r="N140" t="str">
            <v>1230000100</v>
          </cell>
          <cell r="O140" t="str">
            <v>BR-110666</v>
          </cell>
          <cell r="P140" t="str">
            <v>432413202</v>
          </cell>
          <cell r="Q140" t="str">
            <v>LARGE INDUSTRY</v>
          </cell>
          <cell r="R140" t="str">
            <v>HT</v>
          </cell>
          <cell r="S140" t="str">
            <v>01/10/2023</v>
          </cell>
          <cell r="T140" t="str">
            <v>01/10/2023</v>
          </cell>
          <cell r="U140" t="str">
            <v>06/10/2023</v>
          </cell>
          <cell r="V140" t="str">
            <v>09/10/2023</v>
          </cell>
          <cell r="W140" t="str">
            <v>2023/09</v>
          </cell>
          <cell r="X140" t="str">
            <v>11 KV</v>
          </cell>
          <cell r="Y140" t="str">
            <v>HT</v>
          </cell>
          <cell r="Z140">
            <v>210.72</v>
          </cell>
          <cell r="AA140">
            <v>0.98119999999999996</v>
          </cell>
          <cell r="AB140">
            <v>48.97</v>
          </cell>
          <cell r="AC140" t="str">
            <v xml:space="preserve">01/09/2023 -     </v>
          </cell>
          <cell r="AD140" t="str">
            <v>30.09.2023</v>
          </cell>
          <cell r="AE140" t="str">
            <v>30/1.0000</v>
          </cell>
          <cell r="AF140">
            <v>242</v>
          </cell>
          <cell r="AG140" t="str">
            <v>KVA</v>
          </cell>
          <cell r="AH140">
            <v>242</v>
          </cell>
          <cell r="AI140" t="str">
            <v>R</v>
          </cell>
          <cell r="AJ140">
            <v>1236853</v>
          </cell>
          <cell r="AK140" t="str">
            <v>30/09/2023</v>
          </cell>
          <cell r="AL140" t="str">
            <v>NSC94940</v>
          </cell>
          <cell r="AM140" t="str">
            <v>SINGLE PHASE ELECTRO-MAGNETIC KWH METER-TOD</v>
          </cell>
          <cell r="AN140" t="str">
            <v>POST PAID</v>
          </cell>
          <cell r="AO140">
            <v>315</v>
          </cell>
          <cell r="AP140" t="str">
            <v>TOD</v>
          </cell>
          <cell r="AQ140">
            <v>-518505.66</v>
          </cell>
          <cell r="AR140">
            <v>0</v>
          </cell>
          <cell r="AS140">
            <v>0</v>
          </cell>
          <cell r="AT140">
            <v>0</v>
          </cell>
          <cell r="AU140">
            <v>0</v>
          </cell>
          <cell r="AV140">
            <v>0</v>
          </cell>
          <cell r="AW140">
            <v>72908</v>
          </cell>
          <cell r="AX140">
            <v>74304</v>
          </cell>
          <cell r="AY140">
            <v>74304</v>
          </cell>
          <cell r="AZ140">
            <v>1468.96</v>
          </cell>
          <cell r="BA140">
            <v>210.72000000000003</v>
          </cell>
        </row>
        <row r="141">
          <cell r="F141">
            <v>123000000114</v>
          </cell>
          <cell r="G141" t="str">
            <v>BIJAY KUMAR NAYAK</v>
          </cell>
          <cell r="H141" t="str">
            <v>SILADA,HALDIPADABALASORE</v>
          </cell>
          <cell r="I141" t="str">
            <v>10/31/2020 00:00:00</v>
          </cell>
          <cell r="J141">
            <v>1</v>
          </cell>
          <cell r="K141" t="str">
            <v xml:space="preserve"> </v>
          </cell>
          <cell r="L141" t="str">
            <v xml:space="preserve"> </v>
          </cell>
          <cell r="M141" t="str">
            <v>324000010231494863</v>
          </cell>
          <cell r="N141" t="str">
            <v>1230000101</v>
          </cell>
          <cell r="O141" t="str">
            <v>BR-108985</v>
          </cell>
          <cell r="P141" t="str">
            <v>432413202</v>
          </cell>
          <cell r="Q141" t="str">
            <v>ALLIED AGRICULTURE ACTIVITIES</v>
          </cell>
          <cell r="R141" t="str">
            <v>HT</v>
          </cell>
          <cell r="S141" t="str">
            <v>01/10/2023</v>
          </cell>
          <cell r="T141" t="str">
            <v>01/10/2023</v>
          </cell>
          <cell r="U141" t="str">
            <v>09/10/2023</v>
          </cell>
          <cell r="V141" t="str">
            <v>09/10/2023</v>
          </cell>
          <cell r="W141" t="str">
            <v>2023/09</v>
          </cell>
          <cell r="X141" t="str">
            <v>11 KV</v>
          </cell>
          <cell r="Y141" t="str">
            <v>HT</v>
          </cell>
          <cell r="Z141">
            <v>178</v>
          </cell>
          <cell r="AA141">
            <v>0.98370000000000002</v>
          </cell>
          <cell r="AB141">
            <v>0</v>
          </cell>
          <cell r="AC141" t="str">
            <v xml:space="preserve">01/09/2023 -     </v>
          </cell>
          <cell r="AD141" t="str">
            <v>30.09.2023</v>
          </cell>
          <cell r="AE141" t="str">
            <v>30/1.0000</v>
          </cell>
          <cell r="AF141">
            <v>178</v>
          </cell>
          <cell r="AG141" t="str">
            <v>KVA</v>
          </cell>
          <cell r="AH141">
            <v>178</v>
          </cell>
          <cell r="AI141" t="str">
            <v>R</v>
          </cell>
          <cell r="AJ141">
            <v>100273</v>
          </cell>
          <cell r="AK141" t="str">
            <v>30/09/2023</v>
          </cell>
          <cell r="AL141" t="str">
            <v>TPN64235</v>
          </cell>
          <cell r="AM141" t="str">
            <v>TRI-VECTOR METER FOR RAILWAY TRACTION</v>
          </cell>
          <cell r="AN141" t="str">
            <v>POST PAID</v>
          </cell>
          <cell r="AO141">
            <v>250</v>
          </cell>
          <cell r="AP141" t="str">
            <v>TOD</v>
          </cell>
          <cell r="AQ141">
            <v>13029</v>
          </cell>
          <cell r="AR141">
            <v>0</v>
          </cell>
          <cell r="AS141">
            <v>0</v>
          </cell>
          <cell r="AT141">
            <v>0</v>
          </cell>
          <cell r="AU141">
            <v>0</v>
          </cell>
          <cell r="AV141">
            <v>0</v>
          </cell>
          <cell r="AW141">
            <v>30588</v>
          </cell>
          <cell r="AX141">
            <v>31092</v>
          </cell>
          <cell r="AY141">
            <v>31092</v>
          </cell>
          <cell r="AZ141">
            <v>1248.24</v>
          </cell>
          <cell r="BA141">
            <v>137.04000000000002</v>
          </cell>
        </row>
        <row r="142">
          <cell r="F142">
            <v>123000000115</v>
          </cell>
          <cell r="G142" t="str">
            <v>M/S MAHALAXMI ICE PLANT</v>
          </cell>
          <cell r="H142" t="str">
            <v>BAHABALPUR,RUPSABALASORE</v>
          </cell>
          <cell r="I142" t="str">
            <v>10/31/2020 00:00:00</v>
          </cell>
          <cell r="J142">
            <v>1</v>
          </cell>
          <cell r="K142" t="str">
            <v xml:space="preserve"> </v>
          </cell>
          <cell r="L142" t="str">
            <v xml:space="preserve"> </v>
          </cell>
          <cell r="M142" t="str">
            <v>324000010231494869</v>
          </cell>
          <cell r="N142" t="str">
            <v>1230000102</v>
          </cell>
          <cell r="O142" t="str">
            <v>BR-89120</v>
          </cell>
          <cell r="P142" t="str">
            <v>432413202</v>
          </cell>
          <cell r="Q142" t="str">
            <v>LARGE INDUSTRY</v>
          </cell>
          <cell r="R142" t="str">
            <v>HT</v>
          </cell>
          <cell r="S142" t="str">
            <v>01/10/2023</v>
          </cell>
          <cell r="T142" t="str">
            <v>01/10/2023</v>
          </cell>
          <cell r="U142" t="str">
            <v>06/10/2023</v>
          </cell>
          <cell r="V142" t="str">
            <v>09/10/2023</v>
          </cell>
          <cell r="W142" t="str">
            <v>2023/09</v>
          </cell>
          <cell r="X142" t="str">
            <v>11 KV</v>
          </cell>
          <cell r="Y142" t="str">
            <v>HT</v>
          </cell>
          <cell r="Z142">
            <v>164.8</v>
          </cell>
          <cell r="AA142">
            <v>0.89080000000000004</v>
          </cell>
          <cell r="AB142">
            <v>30.26</v>
          </cell>
          <cell r="AC142" t="str">
            <v xml:space="preserve">01/09/2023 -     </v>
          </cell>
          <cell r="AD142" t="str">
            <v>30.09.2023</v>
          </cell>
          <cell r="AE142" t="str">
            <v>30/1.0000</v>
          </cell>
          <cell r="AF142">
            <v>206</v>
          </cell>
          <cell r="AG142" t="str">
            <v>KVA</v>
          </cell>
          <cell r="AH142">
            <v>206</v>
          </cell>
          <cell r="AI142" t="str">
            <v>R</v>
          </cell>
          <cell r="AJ142">
            <v>930018</v>
          </cell>
          <cell r="AK142" t="str">
            <v>30/09/2023</v>
          </cell>
          <cell r="AL142" t="str">
            <v>TPN64190</v>
          </cell>
          <cell r="AM142" t="str">
            <v>THREE PHASE STATIC TRI-VECTOR METER-TOD</v>
          </cell>
          <cell r="AN142" t="str">
            <v>POST PAID</v>
          </cell>
          <cell r="AO142">
            <v>300</v>
          </cell>
          <cell r="AP142" t="str">
            <v>TOD</v>
          </cell>
          <cell r="AQ142">
            <v>-565424.78</v>
          </cell>
          <cell r="AR142">
            <v>0</v>
          </cell>
          <cell r="AS142">
            <v>0</v>
          </cell>
          <cell r="AT142">
            <v>0</v>
          </cell>
          <cell r="AU142">
            <v>0</v>
          </cell>
          <cell r="AV142">
            <v>0</v>
          </cell>
          <cell r="AW142">
            <v>28877</v>
          </cell>
          <cell r="AX142">
            <v>32414</v>
          </cell>
          <cell r="AY142">
            <v>32414</v>
          </cell>
          <cell r="AZ142">
            <v>917.76</v>
          </cell>
          <cell r="BA142">
            <v>148.80000000000001</v>
          </cell>
        </row>
        <row r="143">
          <cell r="F143">
            <v>123000000116</v>
          </cell>
          <cell r="G143" t="str">
            <v>ABHAY MOHAPATRA</v>
          </cell>
          <cell r="H143" t="str">
            <v>INCHUDI,SRIJUNGBALASORE</v>
          </cell>
          <cell r="I143" t="str">
            <v>10/31/2020 00:00:00</v>
          </cell>
          <cell r="J143">
            <v>1</v>
          </cell>
          <cell r="K143" t="str">
            <v xml:space="preserve"> </v>
          </cell>
          <cell r="L143" t="str">
            <v xml:space="preserve"> </v>
          </cell>
          <cell r="M143" t="str">
            <v>324000010231494414</v>
          </cell>
          <cell r="N143" t="str">
            <v>1230000103</v>
          </cell>
          <cell r="O143" t="str">
            <v>BS-110821</v>
          </cell>
          <cell r="P143" t="str">
            <v>432123206</v>
          </cell>
          <cell r="Q143" t="str">
            <v>ALLIED AGRICULTURE ACTIVITIES</v>
          </cell>
          <cell r="R143" t="str">
            <v>HT</v>
          </cell>
          <cell r="S143" t="str">
            <v>01/10/2023</v>
          </cell>
          <cell r="T143" t="str">
            <v>01/10/2023</v>
          </cell>
          <cell r="U143" t="str">
            <v>09/10/2023</v>
          </cell>
          <cell r="V143" t="str">
            <v>09/10/2023</v>
          </cell>
          <cell r="W143" t="str">
            <v>2023/09</v>
          </cell>
          <cell r="X143" t="str">
            <v>11 KV</v>
          </cell>
          <cell r="Y143" t="str">
            <v>HT</v>
          </cell>
          <cell r="Z143">
            <v>278</v>
          </cell>
          <cell r="AA143">
            <v>0.70820000000000005</v>
          </cell>
          <cell r="AB143">
            <v>0</v>
          </cell>
          <cell r="AC143" t="str">
            <v xml:space="preserve">01/09/2023 -     </v>
          </cell>
          <cell r="AD143" t="str">
            <v>25.09.2023</v>
          </cell>
          <cell r="AE143" t="str">
            <v>25/1.0000</v>
          </cell>
          <cell r="AF143">
            <v>278</v>
          </cell>
          <cell r="AG143" t="str">
            <v>KVA</v>
          </cell>
          <cell r="AH143">
            <v>278</v>
          </cell>
          <cell r="AI143" t="str">
            <v>R</v>
          </cell>
          <cell r="AJ143">
            <v>178810</v>
          </cell>
          <cell r="AK143" t="str">
            <v>25/09/2023</v>
          </cell>
          <cell r="AL143" t="str">
            <v>NES83151</v>
          </cell>
          <cell r="AM143" t="str">
            <v>SINGLE PHASE ELECTRO-MAGNETIC KWH METER-TOD</v>
          </cell>
          <cell r="AN143" t="str">
            <v>POST PAID</v>
          </cell>
          <cell r="AO143">
            <v>315</v>
          </cell>
          <cell r="AP143" t="str">
            <v>TOD</v>
          </cell>
          <cell r="AQ143">
            <v>-98497</v>
          </cell>
          <cell r="AR143">
            <v>0</v>
          </cell>
          <cell r="AS143">
            <v>0</v>
          </cell>
          <cell r="AT143">
            <v>0</v>
          </cell>
          <cell r="AU143">
            <v>0</v>
          </cell>
          <cell r="AV143">
            <v>0</v>
          </cell>
          <cell r="AW143">
            <v>19821</v>
          </cell>
          <cell r="AX143">
            <v>27984</v>
          </cell>
          <cell r="AY143">
            <v>27984</v>
          </cell>
          <cell r="AZ143">
            <v>1071.8399999999999</v>
          </cell>
          <cell r="BA143">
            <v>133.19999999999999</v>
          </cell>
        </row>
        <row r="144">
          <cell r="F144">
            <v>123000000118</v>
          </cell>
          <cell r="G144" t="str">
            <v xml:space="preserve">M/S BHUBANESHWARI SEA FOOD PRIVATE </v>
          </cell>
          <cell r="H144" t="str">
            <v>Biruan</v>
          </cell>
          <cell r="I144" t="str">
            <v>10/31/2020 00:00:00</v>
          </cell>
          <cell r="J144">
            <v>1</v>
          </cell>
          <cell r="K144" t="str">
            <v>Seragarh</v>
          </cell>
          <cell r="L144" t="str">
            <v xml:space="preserve"> </v>
          </cell>
          <cell r="M144" t="str">
            <v>324000010231494875</v>
          </cell>
          <cell r="N144" t="str">
            <v>1230000105</v>
          </cell>
          <cell r="O144" t="str">
            <v>BG-110893</v>
          </cell>
          <cell r="P144" t="str">
            <v>43287401008</v>
          </cell>
          <cell r="Q144" t="str">
            <v>LARGE INDUSTRY</v>
          </cell>
          <cell r="R144" t="str">
            <v>HT</v>
          </cell>
          <cell r="S144" t="str">
            <v>01/10/2023</v>
          </cell>
          <cell r="T144" t="str">
            <v>01/10/2023</v>
          </cell>
          <cell r="U144" t="str">
            <v>06/10/2023</v>
          </cell>
          <cell r="V144" t="str">
            <v>09/10/2023</v>
          </cell>
          <cell r="W144" t="str">
            <v>2023/09</v>
          </cell>
          <cell r="X144" t="str">
            <v>33 KV</v>
          </cell>
          <cell r="Y144" t="str">
            <v>HT</v>
          </cell>
          <cell r="Z144">
            <v>444</v>
          </cell>
          <cell r="AA144">
            <v>0.99660000000000004</v>
          </cell>
          <cell r="AB144">
            <v>25.07</v>
          </cell>
          <cell r="AC144" t="str">
            <v xml:space="preserve">01/09/2023 -     </v>
          </cell>
          <cell r="AD144" t="str">
            <v>30.09.2023</v>
          </cell>
          <cell r="AE144" t="str">
            <v>30/1.0000</v>
          </cell>
          <cell r="AF144">
            <v>555</v>
          </cell>
          <cell r="AG144" t="str">
            <v>KVA</v>
          </cell>
          <cell r="AH144">
            <v>555</v>
          </cell>
          <cell r="AI144" t="str">
            <v>R</v>
          </cell>
          <cell r="AJ144">
            <v>3406812</v>
          </cell>
          <cell r="AK144" t="str">
            <v>30/09/2023</v>
          </cell>
          <cell r="AL144" t="str">
            <v>NSC94827</v>
          </cell>
          <cell r="AM144" t="str">
            <v>THREE PHASE HT CT METER-33KV</v>
          </cell>
          <cell r="AN144" t="str">
            <v>POST PAID</v>
          </cell>
          <cell r="AO144">
            <v>1000</v>
          </cell>
          <cell r="AP144" t="str">
            <v>TOD</v>
          </cell>
          <cell r="AQ144">
            <v>-3170573.1</v>
          </cell>
          <cell r="AR144">
            <v>0</v>
          </cell>
          <cell r="AS144">
            <v>0</v>
          </cell>
          <cell r="AT144">
            <v>0</v>
          </cell>
          <cell r="AU144">
            <v>0</v>
          </cell>
          <cell r="AV144">
            <v>0</v>
          </cell>
          <cell r="AW144">
            <v>51648</v>
          </cell>
          <cell r="AX144">
            <v>51822</v>
          </cell>
          <cell r="AY144">
            <v>51822</v>
          </cell>
          <cell r="AZ144">
            <v>2100.48</v>
          </cell>
          <cell r="BA144">
            <v>287.04000000000002</v>
          </cell>
        </row>
        <row r="145">
          <cell r="F145">
            <v>123000000119</v>
          </cell>
          <cell r="G145" t="str">
            <v>M/S Metroplast Industries</v>
          </cell>
          <cell r="H145" t="str">
            <v>KURUDA,BALASORE</v>
          </cell>
          <cell r="I145" t="str">
            <v>10/31/2020 00:00:00</v>
          </cell>
          <cell r="J145">
            <v>1</v>
          </cell>
          <cell r="K145" t="str">
            <v xml:space="preserve"> </v>
          </cell>
          <cell r="L145" t="str">
            <v xml:space="preserve"> </v>
          </cell>
          <cell r="M145" t="str">
            <v>324000010231494880</v>
          </cell>
          <cell r="N145" t="str">
            <v>1230000106</v>
          </cell>
          <cell r="O145" t="str">
            <v>BG-110894</v>
          </cell>
          <cell r="P145" t="str">
            <v>432123206</v>
          </cell>
          <cell r="Q145" t="str">
            <v>LARGE INDUSTRY</v>
          </cell>
          <cell r="R145" t="str">
            <v>HT</v>
          </cell>
          <cell r="S145" t="str">
            <v>01/10/2023</v>
          </cell>
          <cell r="T145" t="str">
            <v>01/10/2023</v>
          </cell>
          <cell r="U145" t="str">
            <v>06/10/2023</v>
          </cell>
          <cell r="V145" t="str">
            <v>09/10/2023</v>
          </cell>
          <cell r="W145" t="str">
            <v>2023/09</v>
          </cell>
          <cell r="X145" t="str">
            <v>11 KV</v>
          </cell>
          <cell r="Y145" t="str">
            <v>HT</v>
          </cell>
          <cell r="Z145">
            <v>276</v>
          </cell>
          <cell r="AA145">
            <v>0.89059999999999995</v>
          </cell>
          <cell r="AB145">
            <v>41.62</v>
          </cell>
          <cell r="AC145" t="str">
            <v xml:space="preserve">01/09/2023 -     </v>
          </cell>
          <cell r="AD145" t="str">
            <v>30.09.2023</v>
          </cell>
          <cell r="AE145" t="str">
            <v>30/1.0000</v>
          </cell>
          <cell r="AF145">
            <v>345</v>
          </cell>
          <cell r="AG145" t="str">
            <v>KVA</v>
          </cell>
          <cell r="AH145">
            <v>345</v>
          </cell>
          <cell r="AI145" t="str">
            <v>R</v>
          </cell>
          <cell r="AJ145">
            <v>2117748</v>
          </cell>
          <cell r="AK145" t="str">
            <v>30/09/2023</v>
          </cell>
          <cell r="AL145" t="str">
            <v>NSC94486</v>
          </cell>
          <cell r="AM145" t="str">
            <v>SINGLE PHASE ELECTRO-MAGNETIC KWH METER-TOD</v>
          </cell>
          <cell r="AN145" t="str">
            <v>POST PAID</v>
          </cell>
          <cell r="AO145">
            <v>500</v>
          </cell>
          <cell r="AP145" t="str">
            <v>TOD</v>
          </cell>
          <cell r="AQ145">
            <v>303306</v>
          </cell>
          <cell r="AR145">
            <v>0</v>
          </cell>
          <cell r="AS145">
            <v>0</v>
          </cell>
          <cell r="AT145">
            <v>0</v>
          </cell>
          <cell r="AU145">
            <v>0</v>
          </cell>
          <cell r="AV145">
            <v>0</v>
          </cell>
          <cell r="AW145">
            <v>68985</v>
          </cell>
          <cell r="AX145">
            <v>77454</v>
          </cell>
          <cell r="AY145">
            <v>77454</v>
          </cell>
          <cell r="AZ145">
            <v>2318.88</v>
          </cell>
          <cell r="BA145">
            <v>258.48</v>
          </cell>
        </row>
        <row r="146">
          <cell r="F146">
            <v>123000000120</v>
          </cell>
          <cell r="G146" t="str">
            <v>M/S SUGUNA FOODS (P) LTD.</v>
          </cell>
          <cell r="H146" t="str">
            <v>SOMANATHPUR,PALASANDHABALASORE</v>
          </cell>
          <cell r="I146" t="str">
            <v>10/31/2020 00:00:00</v>
          </cell>
          <cell r="J146">
            <v>1</v>
          </cell>
          <cell r="K146" t="str">
            <v xml:space="preserve"> </v>
          </cell>
          <cell r="L146" t="str">
            <v xml:space="preserve"> </v>
          </cell>
          <cell r="M146" t="str">
            <v>324000010231495112</v>
          </cell>
          <cell r="N146" t="str">
            <v>1230000107</v>
          </cell>
          <cell r="O146" t="str">
            <v>BM-110944</v>
          </cell>
          <cell r="P146" t="str">
            <v>432123203</v>
          </cell>
          <cell r="Q146" t="str">
            <v>LARGE INDUSTRY</v>
          </cell>
          <cell r="R146" t="str">
            <v>HT</v>
          </cell>
          <cell r="S146" t="str">
            <v>01/10/2023</v>
          </cell>
          <cell r="T146" t="str">
            <v>01/10/2023</v>
          </cell>
          <cell r="U146" t="str">
            <v>06/10/2023</v>
          </cell>
          <cell r="V146" t="str">
            <v>09/10/2023</v>
          </cell>
          <cell r="W146" t="str">
            <v>2023/09</v>
          </cell>
          <cell r="X146" t="str">
            <v>11 KV</v>
          </cell>
          <cell r="Y146" t="str">
            <v>HT</v>
          </cell>
          <cell r="Z146">
            <v>384.48</v>
          </cell>
          <cell r="AA146">
            <v>0.95240000000000002</v>
          </cell>
          <cell r="AB146">
            <v>17.45</v>
          </cell>
          <cell r="AC146" t="str">
            <v xml:space="preserve">01/09/2023 -     </v>
          </cell>
          <cell r="AD146" t="str">
            <v>30.09.2023</v>
          </cell>
          <cell r="AE146" t="str">
            <v>30/1.0000</v>
          </cell>
          <cell r="AF146">
            <v>400</v>
          </cell>
          <cell r="AG146" t="str">
            <v>KVA</v>
          </cell>
          <cell r="AH146">
            <v>400</v>
          </cell>
          <cell r="AI146" t="str">
            <v>R</v>
          </cell>
          <cell r="AJ146">
            <v>2044384</v>
          </cell>
          <cell r="AK146" t="str">
            <v>30/09/2023</v>
          </cell>
          <cell r="AL146" t="str">
            <v>NSC94984</v>
          </cell>
          <cell r="AM146" t="str">
            <v>SINGLE PHASE ELECTRO-MAGNETIC KWH METER-TOD</v>
          </cell>
          <cell r="AN146" t="str">
            <v>POST PAID</v>
          </cell>
          <cell r="AO146">
            <v>500</v>
          </cell>
          <cell r="AP146" t="str">
            <v>TOD</v>
          </cell>
          <cell r="AQ146">
            <v>-407142.6</v>
          </cell>
          <cell r="AR146">
            <v>0</v>
          </cell>
          <cell r="AS146">
            <v>0</v>
          </cell>
          <cell r="AT146">
            <v>0</v>
          </cell>
          <cell r="AU146">
            <v>0</v>
          </cell>
          <cell r="AV146">
            <v>0</v>
          </cell>
          <cell r="AW146">
            <v>0</v>
          </cell>
          <cell r="AX146">
            <v>0</v>
          </cell>
          <cell r="AY146">
            <v>48309</v>
          </cell>
          <cell r="AZ146">
            <v>0</v>
          </cell>
          <cell r="BA146">
            <v>0</v>
          </cell>
        </row>
        <row r="147">
          <cell r="F147">
            <v>123000000121</v>
          </cell>
          <cell r="G147" t="str">
            <v>SRI ADITYA PATRA</v>
          </cell>
          <cell r="H147" t="str">
            <v>HIRATIKIRI,SERGARHBALASORE</v>
          </cell>
          <cell r="I147" t="str">
            <v>10/31/2020 00:00:00</v>
          </cell>
          <cell r="J147">
            <v>1</v>
          </cell>
          <cell r="K147" t="str">
            <v xml:space="preserve"> </v>
          </cell>
          <cell r="L147" t="str">
            <v xml:space="preserve"> </v>
          </cell>
          <cell r="M147" t="str">
            <v>324000010231494884</v>
          </cell>
          <cell r="N147" t="str">
            <v>1230000108</v>
          </cell>
          <cell r="O147" t="str">
            <v>BG-110945</v>
          </cell>
          <cell r="P147" t="str">
            <v>432432501</v>
          </cell>
          <cell r="Q147" t="str">
            <v>GENERAL PURPOSE &gt;= 110 KVA</v>
          </cell>
          <cell r="R147" t="str">
            <v>HT</v>
          </cell>
          <cell r="S147" t="str">
            <v>01/10/2023</v>
          </cell>
          <cell r="T147" t="str">
            <v>01/10/2023</v>
          </cell>
          <cell r="U147" t="str">
            <v>06/10/2023</v>
          </cell>
          <cell r="V147" t="str">
            <v>09/10/2023</v>
          </cell>
          <cell r="W147" t="str">
            <v>2023/09</v>
          </cell>
          <cell r="X147" t="str">
            <v>11 KV</v>
          </cell>
          <cell r="Y147" t="str">
            <v>HT</v>
          </cell>
          <cell r="Z147">
            <v>133.6</v>
          </cell>
          <cell r="AA147">
            <v>0.99209999999999998</v>
          </cell>
          <cell r="AB147">
            <v>19.18</v>
          </cell>
          <cell r="AC147" t="str">
            <v xml:space="preserve">01/09/2023 -     </v>
          </cell>
          <cell r="AD147" t="str">
            <v>30.09.2023</v>
          </cell>
          <cell r="AE147" t="str">
            <v>30/1.0000</v>
          </cell>
          <cell r="AF147">
            <v>167</v>
          </cell>
          <cell r="AG147" t="str">
            <v>KVA</v>
          </cell>
          <cell r="AH147">
            <v>167</v>
          </cell>
          <cell r="AI147" t="str">
            <v>R</v>
          </cell>
          <cell r="AJ147">
            <v>414174</v>
          </cell>
          <cell r="AK147" t="str">
            <v>30/09/2023</v>
          </cell>
          <cell r="AL147" t="str">
            <v>TPN64214</v>
          </cell>
          <cell r="AM147" t="str">
            <v>THREE PHASE STATIC TRI-VECTOR METER-TOD</v>
          </cell>
          <cell r="AN147" t="str">
            <v>POST PAID</v>
          </cell>
          <cell r="AO147">
            <v>250</v>
          </cell>
          <cell r="AP147" t="str">
            <v>TOD</v>
          </cell>
          <cell r="AQ147">
            <v>-310741.3</v>
          </cell>
          <cell r="AR147">
            <v>0</v>
          </cell>
          <cell r="AS147">
            <v>0</v>
          </cell>
          <cell r="AT147">
            <v>0</v>
          </cell>
          <cell r="AU147">
            <v>0</v>
          </cell>
          <cell r="AV147">
            <v>0</v>
          </cell>
          <cell r="AW147">
            <v>4555</v>
          </cell>
          <cell r="AX147">
            <v>4591</v>
          </cell>
          <cell r="AY147">
            <v>4591</v>
          </cell>
          <cell r="AZ147">
            <v>217.32</v>
          </cell>
          <cell r="BA147">
            <v>33.24</v>
          </cell>
        </row>
        <row r="148">
          <cell r="F148">
            <v>123000000122</v>
          </cell>
          <cell r="G148" t="str">
            <v>M/S SHREE PANCHMUKHI BALAJEE STEELS</v>
          </cell>
          <cell r="H148" t="str">
            <v>PROP-RAKESH AGARWAL</v>
          </cell>
          <cell r="I148" t="str">
            <v>01/07/2021 00:00:00</v>
          </cell>
          <cell r="J148">
            <v>1</v>
          </cell>
          <cell r="K148" t="str">
            <v>AT-IID CENTER SOMNATHPUR,</v>
          </cell>
          <cell r="L148" t="str">
            <v>REMUNA</v>
          </cell>
          <cell r="M148" t="str">
            <v>324000010231494364</v>
          </cell>
          <cell r="N148" t="str">
            <v>1230000109</v>
          </cell>
          <cell r="O148" t="str">
            <v>BM-111024</v>
          </cell>
          <cell r="P148" t="str">
            <v>432123201</v>
          </cell>
          <cell r="Q148" t="str">
            <v>LARGE INDUSTRY</v>
          </cell>
          <cell r="R148" t="str">
            <v>HT</v>
          </cell>
          <cell r="S148" t="str">
            <v>01/10/2023</v>
          </cell>
          <cell r="T148" t="str">
            <v>01/10/2023</v>
          </cell>
          <cell r="U148" t="str">
            <v>06/10/2023</v>
          </cell>
          <cell r="V148" t="str">
            <v>09/10/2023</v>
          </cell>
          <cell r="W148" t="str">
            <v>2023/09</v>
          </cell>
          <cell r="X148" t="str">
            <v>11 KV</v>
          </cell>
          <cell r="Y148" t="str">
            <v>HT</v>
          </cell>
          <cell r="Z148">
            <v>182.4</v>
          </cell>
          <cell r="AA148">
            <v>0.99019999999999997</v>
          </cell>
          <cell r="AB148">
            <v>23.53</v>
          </cell>
          <cell r="AC148" t="str">
            <v xml:space="preserve">01/09/2023 -     </v>
          </cell>
          <cell r="AD148" t="str">
            <v>30.09.2023</v>
          </cell>
          <cell r="AE148" t="str">
            <v>30/1.0000</v>
          </cell>
          <cell r="AF148">
            <v>228</v>
          </cell>
          <cell r="AG148" t="str">
            <v>KVA</v>
          </cell>
          <cell r="AH148">
            <v>228</v>
          </cell>
          <cell r="AI148" t="str">
            <v>R</v>
          </cell>
          <cell r="AJ148">
            <v>1269220</v>
          </cell>
          <cell r="AK148" t="str">
            <v>30/09/2023</v>
          </cell>
          <cell r="AL148" t="str">
            <v>NSC94518</v>
          </cell>
          <cell r="AM148" t="str">
            <v>LT SINGLE PHASE AMR/AMI COMPLIANT METER-TOD</v>
          </cell>
          <cell r="AN148" t="str">
            <v>POST PAID</v>
          </cell>
          <cell r="AO148">
            <v>315</v>
          </cell>
          <cell r="AP148" t="str">
            <v>TOD</v>
          </cell>
          <cell r="AQ148">
            <v>-1078183.8999999999</v>
          </cell>
          <cell r="AR148">
            <v>0</v>
          </cell>
          <cell r="AS148">
            <v>0</v>
          </cell>
          <cell r="AT148">
            <v>0</v>
          </cell>
          <cell r="AU148">
            <v>0</v>
          </cell>
          <cell r="AV148">
            <v>0</v>
          </cell>
          <cell r="AW148">
            <v>5073</v>
          </cell>
          <cell r="AX148">
            <v>5123</v>
          </cell>
          <cell r="AY148">
            <v>5123</v>
          </cell>
          <cell r="AZ148">
            <v>440.76</v>
          </cell>
          <cell r="BA148">
            <v>30.240000000000002</v>
          </cell>
        </row>
        <row r="149">
          <cell r="F149">
            <v>123000000123</v>
          </cell>
          <cell r="G149" t="str">
            <v>PRATIK JENA</v>
          </cell>
          <cell r="H149" t="str">
            <v>S/O- RABINDRA JENA,AT/PO- PANCHUPADABALASORE</v>
          </cell>
          <cell r="I149" t="str">
            <v>01/07/2021 00:00:00</v>
          </cell>
          <cell r="J149">
            <v>1</v>
          </cell>
          <cell r="K149" t="str">
            <v xml:space="preserve"> </v>
          </cell>
          <cell r="L149" t="str">
            <v xml:space="preserve"> </v>
          </cell>
          <cell r="M149" t="str">
            <v>324000010231494518</v>
          </cell>
          <cell r="N149" t="str">
            <v>1230000110</v>
          </cell>
          <cell r="O149" t="str">
            <v>BR-111025</v>
          </cell>
          <cell r="P149" t="str">
            <v>432423403</v>
          </cell>
          <cell r="Q149" t="str">
            <v>ALLIED AGRICULTURE ACTIVITIES</v>
          </cell>
          <cell r="R149" t="str">
            <v>HT</v>
          </cell>
          <cell r="S149" t="str">
            <v>01/10/2023</v>
          </cell>
          <cell r="T149" t="str">
            <v>01/10/2023</v>
          </cell>
          <cell r="U149" t="str">
            <v>09/10/2023</v>
          </cell>
          <cell r="V149" t="str">
            <v>09/10/2023</v>
          </cell>
          <cell r="W149" t="str">
            <v>2023/09</v>
          </cell>
          <cell r="X149" t="str">
            <v>11 KV</v>
          </cell>
          <cell r="Y149" t="str">
            <v>HT</v>
          </cell>
          <cell r="Z149">
            <v>200</v>
          </cell>
          <cell r="AA149">
            <v>0.75439999999999996</v>
          </cell>
          <cell r="AB149">
            <v>0</v>
          </cell>
          <cell r="AC149" t="str">
            <v xml:space="preserve">01/09/2023 -     </v>
          </cell>
          <cell r="AD149" t="str">
            <v>30.09.2023</v>
          </cell>
          <cell r="AE149" t="str">
            <v>30/1.0000</v>
          </cell>
          <cell r="AF149">
            <v>200</v>
          </cell>
          <cell r="AG149" t="str">
            <v>KVA</v>
          </cell>
          <cell r="AH149">
            <v>200</v>
          </cell>
          <cell r="AI149" t="str">
            <v>R</v>
          </cell>
          <cell r="AJ149">
            <v>129440</v>
          </cell>
          <cell r="AK149" t="str">
            <v>30/09/2023</v>
          </cell>
          <cell r="AL149" t="str">
            <v>NSC94755</v>
          </cell>
          <cell r="AM149" t="str">
            <v>LT SINGLE PHASE AMR/AMI COMPLIANT METER-TOD</v>
          </cell>
          <cell r="AN149" t="str">
            <v>POST PAID</v>
          </cell>
          <cell r="AO149">
            <v>250</v>
          </cell>
          <cell r="AP149" t="str">
            <v>TOD</v>
          </cell>
          <cell r="AQ149">
            <v>-91517</v>
          </cell>
          <cell r="AR149">
            <v>0</v>
          </cell>
          <cell r="AS149">
            <v>0</v>
          </cell>
          <cell r="AT149">
            <v>0</v>
          </cell>
          <cell r="AU149">
            <v>0</v>
          </cell>
          <cell r="AV149">
            <v>0</v>
          </cell>
          <cell r="AW149">
            <v>15834</v>
          </cell>
          <cell r="AX149">
            <v>20988</v>
          </cell>
          <cell r="AY149">
            <v>20988</v>
          </cell>
          <cell r="AZ149">
            <v>663.52</v>
          </cell>
          <cell r="BA149">
            <v>115.36</v>
          </cell>
        </row>
        <row r="150">
          <cell r="F150">
            <v>123000000124</v>
          </cell>
          <cell r="G150" t="str">
            <v>JIBAN KUMAR MANDAL</v>
          </cell>
          <cell r="H150" t="str">
            <v>AT-KANTAPAL</v>
          </cell>
          <cell r="I150" t="str">
            <v>04/08/2021 00:00:00</v>
          </cell>
          <cell r="J150">
            <v>1</v>
          </cell>
          <cell r="K150" t="str">
            <v>PARIKHI</v>
          </cell>
          <cell r="L150" t="str">
            <v>BALASORE</v>
          </cell>
          <cell r="M150" t="str">
            <v>324000010231495015</v>
          </cell>
          <cell r="N150" t="str">
            <v>132100000001</v>
          </cell>
          <cell r="O150" t="str">
            <v xml:space="preserve"> </v>
          </cell>
          <cell r="P150" t="str">
            <v>432423402</v>
          </cell>
          <cell r="Q150" t="str">
            <v>ALLIED AGRICULTURE ACTIVITIES</v>
          </cell>
          <cell r="R150" t="str">
            <v>HT</v>
          </cell>
          <cell r="S150" t="str">
            <v>01/10/2023</v>
          </cell>
          <cell r="T150" t="str">
            <v>01/10/2023</v>
          </cell>
          <cell r="U150" t="str">
            <v>09/10/2023</v>
          </cell>
          <cell r="V150" t="str">
            <v>09/10/2023</v>
          </cell>
          <cell r="W150" t="str">
            <v>2023/09</v>
          </cell>
          <cell r="X150" t="str">
            <v>11 KV</v>
          </cell>
          <cell r="Y150" t="str">
            <v>HT</v>
          </cell>
          <cell r="Z150">
            <v>200</v>
          </cell>
          <cell r="AA150">
            <v>0.64339999999999997</v>
          </cell>
          <cell r="AB150">
            <v>0</v>
          </cell>
          <cell r="AC150" t="str">
            <v xml:space="preserve">01/09/2023 -     </v>
          </cell>
          <cell r="AD150" t="str">
            <v>30.09.2023</v>
          </cell>
          <cell r="AE150" t="str">
            <v>30/1.0000</v>
          </cell>
          <cell r="AF150">
            <v>200</v>
          </cell>
          <cell r="AG150" t="str">
            <v>KVA</v>
          </cell>
          <cell r="AH150">
            <v>200</v>
          </cell>
          <cell r="AI150" t="str">
            <v>R</v>
          </cell>
          <cell r="AJ150">
            <v>142100</v>
          </cell>
          <cell r="AK150" t="str">
            <v>30/09/2023</v>
          </cell>
          <cell r="AL150" t="str">
            <v>TPNODL38110610</v>
          </cell>
          <cell r="AM150" t="str">
            <v>THREE PHASE SMART HT CT METER (AMR/AMI)-11KV</v>
          </cell>
          <cell r="AN150" t="str">
            <v>SMART METER</v>
          </cell>
          <cell r="AO150">
            <v>250</v>
          </cell>
          <cell r="AP150" t="str">
            <v>TOD</v>
          </cell>
          <cell r="AQ150">
            <v>-101381</v>
          </cell>
          <cell r="AR150">
            <v>0</v>
          </cell>
          <cell r="AS150">
            <v>0</v>
          </cell>
          <cell r="AT150">
            <v>0</v>
          </cell>
          <cell r="AU150">
            <v>0</v>
          </cell>
          <cell r="AV150">
            <v>0</v>
          </cell>
          <cell r="AW150">
            <v>17073.46</v>
          </cell>
          <cell r="AX150">
            <v>26534</v>
          </cell>
          <cell r="AY150">
            <v>26534</v>
          </cell>
          <cell r="AZ150">
            <v>0.42720000000000002</v>
          </cell>
          <cell r="BA150">
            <v>1.7088000000000001</v>
          </cell>
        </row>
        <row r="151">
          <cell r="F151">
            <v>123000000125</v>
          </cell>
          <cell r="G151" t="str">
            <v>Smt. Padmabati Padhiary</v>
          </cell>
          <cell r="H151" t="str">
            <v xml:space="preserve"> </v>
          </cell>
          <cell r="I151" t="str">
            <v>05/01/2021 00:00:00</v>
          </cell>
          <cell r="J151">
            <v>1</v>
          </cell>
          <cell r="K151" t="str">
            <v>At/Po-Tundra,Balasore</v>
          </cell>
          <cell r="L151" t="str">
            <v xml:space="preserve"> </v>
          </cell>
          <cell r="M151" t="str">
            <v>324000010231494194</v>
          </cell>
          <cell r="N151" t="str">
            <v>132100000009</v>
          </cell>
          <cell r="O151" t="str">
            <v>324000000001</v>
          </cell>
          <cell r="P151" t="str">
            <v>432412302</v>
          </cell>
          <cell r="Q151" t="str">
            <v>ALLIED AGRICULTURE ACTIVITIES</v>
          </cell>
          <cell r="R151" t="str">
            <v>HT</v>
          </cell>
          <cell r="S151" t="str">
            <v>01/10/2023</v>
          </cell>
          <cell r="T151" t="str">
            <v>01/10/2023</v>
          </cell>
          <cell r="U151" t="str">
            <v>09/10/2023</v>
          </cell>
          <cell r="V151" t="str">
            <v>09/10/2023</v>
          </cell>
          <cell r="W151" t="str">
            <v>2023/09</v>
          </cell>
          <cell r="X151" t="str">
            <v>11 KV</v>
          </cell>
          <cell r="Y151" t="str">
            <v>HT</v>
          </cell>
          <cell r="Z151">
            <v>220</v>
          </cell>
          <cell r="AA151">
            <v>0.78739999999999999</v>
          </cell>
          <cell r="AB151">
            <v>0</v>
          </cell>
          <cell r="AC151" t="str">
            <v xml:space="preserve">01/09/2023 -     </v>
          </cell>
          <cell r="AD151" t="str">
            <v>30.09.2023</v>
          </cell>
          <cell r="AE151" t="str">
            <v>30/1.0000</v>
          </cell>
          <cell r="AF151">
            <v>220</v>
          </cell>
          <cell r="AG151" t="str">
            <v>KVA</v>
          </cell>
          <cell r="AH151">
            <v>220</v>
          </cell>
          <cell r="AI151" t="str">
            <v>R</v>
          </cell>
          <cell r="AJ151">
            <v>142004</v>
          </cell>
          <cell r="AK151" t="str">
            <v>30/09/2023</v>
          </cell>
          <cell r="AL151" t="str">
            <v>NSC94933</v>
          </cell>
          <cell r="AM151" t="str">
            <v>HT THREE PHASE 3 WIRE AMR/AMI COMPLIANT METER</v>
          </cell>
          <cell r="AN151" t="str">
            <v>POST PAID</v>
          </cell>
          <cell r="AO151">
            <v>315</v>
          </cell>
          <cell r="AP151" t="str">
            <v>TOD</v>
          </cell>
          <cell r="AQ151">
            <v>-93038</v>
          </cell>
          <cell r="AR151">
            <v>0</v>
          </cell>
          <cell r="AS151">
            <v>0</v>
          </cell>
          <cell r="AT151">
            <v>0</v>
          </cell>
          <cell r="AU151">
            <v>0</v>
          </cell>
          <cell r="AV151">
            <v>0</v>
          </cell>
          <cell r="AW151">
            <v>20268</v>
          </cell>
          <cell r="AX151">
            <v>25740</v>
          </cell>
          <cell r="AY151">
            <v>25740</v>
          </cell>
          <cell r="AZ151">
            <v>532</v>
          </cell>
          <cell r="BA151">
            <v>79.039999999999992</v>
          </cell>
        </row>
        <row r="152">
          <cell r="F152">
            <v>123000000126</v>
          </cell>
          <cell r="G152" t="str">
            <v>M/S MAA CHANDI STONE PRODUCT</v>
          </cell>
          <cell r="H152" t="str">
            <v>AT-CHANDIPUR</v>
          </cell>
          <cell r="I152" t="str">
            <v>09/02/2021 00:00:00</v>
          </cell>
          <cell r="J152">
            <v>1</v>
          </cell>
          <cell r="K152" t="str">
            <v>PO - MITRAPUR</v>
          </cell>
          <cell r="L152" t="str">
            <v>BALASORE</v>
          </cell>
          <cell r="M152" t="str">
            <v>324000010231494027</v>
          </cell>
          <cell r="N152" t="str">
            <v>132100010256</v>
          </cell>
          <cell r="O152" t="str">
            <v>NM-111223</v>
          </cell>
          <cell r="P152" t="str">
            <v>432533301</v>
          </cell>
          <cell r="Q152" t="str">
            <v>LARGE INDUSTRY</v>
          </cell>
          <cell r="R152" t="str">
            <v>HT</v>
          </cell>
          <cell r="S152" t="str">
            <v>01/10/2023</v>
          </cell>
          <cell r="T152" t="str">
            <v>01/10/2023</v>
          </cell>
          <cell r="U152" t="str">
            <v>06/10/2023</v>
          </cell>
          <cell r="V152" t="str">
            <v>09/10/2023</v>
          </cell>
          <cell r="W152" t="str">
            <v>2023/09</v>
          </cell>
          <cell r="X152" t="str">
            <v>11 KV</v>
          </cell>
          <cell r="Y152" t="str">
            <v>HT</v>
          </cell>
          <cell r="Z152">
            <v>100</v>
          </cell>
          <cell r="AA152">
            <v>0.83709999999999996</v>
          </cell>
          <cell r="AB152">
            <v>6.66</v>
          </cell>
          <cell r="AC152" t="str">
            <v xml:space="preserve">01/09/2023 -     </v>
          </cell>
          <cell r="AD152" t="str">
            <v>30.09.2023</v>
          </cell>
          <cell r="AE152" t="str">
            <v>30/1.0000</v>
          </cell>
          <cell r="AF152">
            <v>125</v>
          </cell>
          <cell r="AG152" t="str">
            <v>KVA</v>
          </cell>
          <cell r="AH152">
            <v>125</v>
          </cell>
          <cell r="AI152" t="str">
            <v>R</v>
          </cell>
          <cell r="AJ152">
            <v>695570</v>
          </cell>
          <cell r="AK152" t="str">
            <v>30/09/2023</v>
          </cell>
          <cell r="AL152" t="str">
            <v>TPNODL38110471</v>
          </cell>
          <cell r="AM152" t="str">
            <v>THREE PHASE SMART HT CT METER (AMR/AMI)-11KV</v>
          </cell>
          <cell r="AN152" t="str">
            <v>SMART METER</v>
          </cell>
          <cell r="AO152">
            <v>200</v>
          </cell>
          <cell r="AP152" t="str">
            <v>TOD</v>
          </cell>
          <cell r="AQ152">
            <v>-506619.2</v>
          </cell>
          <cell r="AR152">
            <v>0</v>
          </cell>
          <cell r="AS152">
            <v>0</v>
          </cell>
          <cell r="AT152">
            <v>0</v>
          </cell>
          <cell r="AU152">
            <v>0</v>
          </cell>
          <cell r="AV152">
            <v>0</v>
          </cell>
          <cell r="AW152">
            <v>3444</v>
          </cell>
          <cell r="AX152">
            <v>4114</v>
          </cell>
          <cell r="AY152">
            <v>4114</v>
          </cell>
          <cell r="AZ152">
            <v>621.20000000000005</v>
          </cell>
          <cell r="BA152">
            <v>85.772000000000006</v>
          </cell>
        </row>
        <row r="153">
          <cell r="F153">
            <v>123000000127</v>
          </cell>
          <cell r="G153" t="str">
            <v>PRINCIPAL EKALABYA MODEL RESIDENTIAL SCHOOL</v>
          </cell>
          <cell r="H153" t="str">
            <v xml:space="preserve"> </v>
          </cell>
          <cell r="I153" t="str">
            <v>02/28/2022 00:00:00</v>
          </cell>
          <cell r="J153">
            <v>1</v>
          </cell>
          <cell r="K153" t="str">
            <v>SALDOHAR</v>
          </cell>
          <cell r="L153" t="str">
            <v>BALASORE</v>
          </cell>
          <cell r="M153" t="str">
            <v>324000010231493974</v>
          </cell>
          <cell r="N153" t="str">
            <v>132200039608</v>
          </cell>
          <cell r="O153" t="str">
            <v>NB-111430</v>
          </cell>
          <cell r="P153" t="str">
            <v>432123206</v>
          </cell>
          <cell r="Q153" t="str">
            <v>SPECIFIED PUBLIC PURPOSE</v>
          </cell>
          <cell r="R153" t="str">
            <v>HT</v>
          </cell>
          <cell r="S153" t="str">
            <v>01/10/2023</v>
          </cell>
          <cell r="T153" t="str">
            <v>01/10/2023</v>
          </cell>
          <cell r="U153" t="str">
            <v>06/10/2023</v>
          </cell>
          <cell r="V153" t="str">
            <v>09/10/2023</v>
          </cell>
          <cell r="W153" t="str">
            <v>2023/09</v>
          </cell>
          <cell r="X153" t="str">
            <v>11 KV</v>
          </cell>
          <cell r="Y153" t="str">
            <v>HT</v>
          </cell>
          <cell r="Z153">
            <v>148.80000000000001</v>
          </cell>
          <cell r="AA153">
            <v>0.97</v>
          </cell>
          <cell r="AB153">
            <v>54.02</v>
          </cell>
          <cell r="AC153" t="str">
            <v xml:space="preserve">01/09/2023 -     </v>
          </cell>
          <cell r="AD153" t="str">
            <v>30.09.2023</v>
          </cell>
          <cell r="AE153" t="str">
            <v>30/1.0000</v>
          </cell>
          <cell r="AF153">
            <v>186</v>
          </cell>
          <cell r="AG153" t="str">
            <v>KVA</v>
          </cell>
          <cell r="AH153">
            <v>186</v>
          </cell>
          <cell r="AI153" t="str">
            <v>R</v>
          </cell>
          <cell r="AJ153">
            <v>516554</v>
          </cell>
          <cell r="AK153" t="str">
            <v>30/09/2023</v>
          </cell>
          <cell r="AL153" t="str">
            <v>NSC94561</v>
          </cell>
          <cell r="AM153" t="str">
            <v>HT THREE PHASE 4 WIRE AMR/AMI COMPLAINT METER</v>
          </cell>
          <cell r="AN153" t="str">
            <v>POST PAID</v>
          </cell>
          <cell r="AO153">
            <v>250</v>
          </cell>
          <cell r="AP153" t="str">
            <v>TOD</v>
          </cell>
          <cell r="AQ153">
            <v>-417080.9</v>
          </cell>
          <cell r="AR153">
            <v>0</v>
          </cell>
          <cell r="AS153">
            <v>0</v>
          </cell>
          <cell r="AT153">
            <v>0</v>
          </cell>
          <cell r="AU153">
            <v>0</v>
          </cell>
          <cell r="AV153">
            <v>0</v>
          </cell>
          <cell r="AW153">
            <v>7093</v>
          </cell>
          <cell r="AX153">
            <v>7312</v>
          </cell>
          <cell r="AY153">
            <v>7312</v>
          </cell>
          <cell r="AZ153">
            <v>109.68</v>
          </cell>
          <cell r="BA153">
            <v>18.8</v>
          </cell>
        </row>
        <row r="154">
          <cell r="F154">
            <v>123000000128</v>
          </cell>
          <cell r="G154" t="str">
            <v>M/S NILADRI PLASTIC PROCESSING UNIT</v>
          </cell>
          <cell r="H154" t="str">
            <v>Prop: SMT TULIKARANI BEHERA</v>
          </cell>
          <cell r="I154" t="str">
            <v>02/28/2022 00:00:00</v>
          </cell>
          <cell r="J154">
            <v>1</v>
          </cell>
          <cell r="K154" t="str">
            <v>SRIBANTAPUR</v>
          </cell>
          <cell r="L154" t="str">
            <v>BALASORE</v>
          </cell>
          <cell r="M154" t="str">
            <v>324000010231494595</v>
          </cell>
          <cell r="N154" t="str">
            <v>132200039609</v>
          </cell>
          <cell r="O154" t="str">
            <v>BG-111431</v>
          </cell>
          <cell r="P154" t="str">
            <v>432123206</v>
          </cell>
          <cell r="Q154" t="str">
            <v>LARGE INDUSTRY</v>
          </cell>
          <cell r="R154" t="str">
            <v>HT</v>
          </cell>
          <cell r="S154" t="str">
            <v>01/10/2023</v>
          </cell>
          <cell r="T154" t="str">
            <v>01/10/2023</v>
          </cell>
          <cell r="U154" t="str">
            <v>06/10/2023</v>
          </cell>
          <cell r="V154" t="str">
            <v>09/10/2023</v>
          </cell>
          <cell r="W154" t="str">
            <v>2023/09</v>
          </cell>
          <cell r="X154" t="str">
            <v>11 KV</v>
          </cell>
          <cell r="Y154" t="str">
            <v>HT</v>
          </cell>
          <cell r="Z154">
            <v>182.4</v>
          </cell>
          <cell r="AA154">
            <v>0.67159999999999997</v>
          </cell>
          <cell r="AB154">
            <v>4.4400000000000004</v>
          </cell>
          <cell r="AC154" t="str">
            <v xml:space="preserve">01/09/2023 -     </v>
          </cell>
          <cell r="AD154" t="str">
            <v>30.09.2023</v>
          </cell>
          <cell r="AE154" t="str">
            <v>30/1.0000</v>
          </cell>
          <cell r="AF154">
            <v>228</v>
          </cell>
          <cell r="AG154" t="str">
            <v>KVA</v>
          </cell>
          <cell r="AH154">
            <v>228</v>
          </cell>
          <cell r="AI154" t="str">
            <v>R</v>
          </cell>
          <cell r="AJ154">
            <v>1269220</v>
          </cell>
          <cell r="AK154" t="str">
            <v>30/09/2023</v>
          </cell>
          <cell r="AL154" t="str">
            <v>TPN64211</v>
          </cell>
          <cell r="AM154" t="str">
            <v>THREE PHASE STATIC TRI-VECTOR METER-TOD</v>
          </cell>
          <cell r="AN154" t="str">
            <v>POST PAID</v>
          </cell>
          <cell r="AO154">
            <v>315</v>
          </cell>
          <cell r="AP154" t="str">
            <v>TOD</v>
          </cell>
          <cell r="AQ154">
            <v>-1156960</v>
          </cell>
          <cell r="AR154">
            <v>0</v>
          </cell>
          <cell r="AS154">
            <v>0</v>
          </cell>
          <cell r="AT154">
            <v>0</v>
          </cell>
          <cell r="AU154">
            <v>0</v>
          </cell>
          <cell r="AV154">
            <v>0</v>
          </cell>
          <cell r="AW154">
            <v>1692</v>
          </cell>
          <cell r="AX154">
            <v>2519</v>
          </cell>
          <cell r="AY154">
            <v>2519</v>
          </cell>
          <cell r="AZ154">
            <v>369.84</v>
          </cell>
          <cell r="BA154">
            <v>78.839999999999989</v>
          </cell>
        </row>
        <row r="155">
          <cell r="F155">
            <v>123000000129</v>
          </cell>
          <cell r="G155" t="str">
            <v>M/S BHAVANI CENTRE FOR LEARNING</v>
          </cell>
          <cell r="H155" t="str">
            <v xml:space="preserve"> </v>
          </cell>
          <cell r="I155" t="str">
            <v>04/26/2022 00:00:00</v>
          </cell>
          <cell r="J155">
            <v>1</v>
          </cell>
          <cell r="K155" t="str">
            <v>SERGARH</v>
          </cell>
          <cell r="L155" t="str">
            <v>BALASORE</v>
          </cell>
          <cell r="M155" t="str">
            <v>324000010231494888</v>
          </cell>
          <cell r="N155" t="str">
            <v>132200055789</v>
          </cell>
          <cell r="O155" t="str">
            <v>BG-111464</v>
          </cell>
          <cell r="P155" t="str">
            <v>432432504</v>
          </cell>
          <cell r="Q155" t="str">
            <v>GENERAL PURPOSE &gt;= 110 KVA</v>
          </cell>
          <cell r="R155" t="str">
            <v>HT</v>
          </cell>
          <cell r="S155" t="str">
            <v>01/10/2023</v>
          </cell>
          <cell r="T155" t="str">
            <v>01/10/2023</v>
          </cell>
          <cell r="U155" t="str">
            <v>06/10/2023</v>
          </cell>
          <cell r="V155" t="str">
            <v>09/10/2023</v>
          </cell>
          <cell r="W155" t="str">
            <v>2023/09</v>
          </cell>
          <cell r="X155" t="str">
            <v>11 KV</v>
          </cell>
          <cell r="Y155" t="str">
            <v>HT</v>
          </cell>
          <cell r="Z155">
            <v>151.19999999999999</v>
          </cell>
          <cell r="AA155">
            <v>0.9879</v>
          </cell>
          <cell r="AB155">
            <v>19.54</v>
          </cell>
          <cell r="AC155" t="str">
            <v xml:space="preserve">01/09/2023 -     </v>
          </cell>
          <cell r="AD155" t="str">
            <v>30.09.2023</v>
          </cell>
          <cell r="AE155" t="str">
            <v>30/1.0000</v>
          </cell>
          <cell r="AF155">
            <v>189</v>
          </cell>
          <cell r="AG155" t="str">
            <v>KVA</v>
          </cell>
          <cell r="AH155">
            <v>189</v>
          </cell>
          <cell r="AI155" t="str">
            <v>R</v>
          </cell>
          <cell r="AJ155">
            <v>524877</v>
          </cell>
          <cell r="AK155" t="str">
            <v>30/09/2023</v>
          </cell>
          <cell r="AL155" t="str">
            <v>TPN64745</v>
          </cell>
          <cell r="AM155" t="str">
            <v>HT THREE PHASE 4 WIRE AMR/AMI COMPLAINT METER</v>
          </cell>
          <cell r="AN155" t="str">
            <v>POST PAID</v>
          </cell>
          <cell r="AO155">
            <v>250</v>
          </cell>
          <cell r="AP155" t="str">
            <v>TOD</v>
          </cell>
          <cell r="AQ155">
            <v>0</v>
          </cell>
          <cell r="AR155">
            <v>0</v>
          </cell>
          <cell r="AS155">
            <v>0</v>
          </cell>
          <cell r="AT155">
            <v>0</v>
          </cell>
          <cell r="AU155">
            <v>0</v>
          </cell>
          <cell r="AV155">
            <v>0</v>
          </cell>
          <cell r="AW155">
            <v>6205</v>
          </cell>
          <cell r="AX155">
            <v>6281</v>
          </cell>
          <cell r="AY155">
            <v>6281</v>
          </cell>
          <cell r="AZ155">
            <v>218.88</v>
          </cell>
          <cell r="BA155">
            <v>44.64</v>
          </cell>
        </row>
        <row r="156">
          <cell r="F156">
            <v>123000000130</v>
          </cell>
          <cell r="G156" t="str">
            <v>SRI SUKUMAR JENA</v>
          </cell>
          <cell r="H156" t="str">
            <v xml:space="preserve"> </v>
          </cell>
          <cell r="I156" t="str">
            <v>04/28/2022 00:00:00</v>
          </cell>
          <cell r="J156">
            <v>1</v>
          </cell>
          <cell r="K156" t="str">
            <v>BAHABALPUR</v>
          </cell>
          <cell r="L156" t="str">
            <v>BALASORE</v>
          </cell>
          <cell r="M156" t="str">
            <v>324000010231494545</v>
          </cell>
          <cell r="N156" t="str">
            <v>132200056593</v>
          </cell>
          <cell r="O156" t="str">
            <v>BR-111465</v>
          </cell>
          <cell r="P156" t="str">
            <v>432423403</v>
          </cell>
          <cell r="Q156" t="str">
            <v>GENERAL PURPOSE &gt;= 110 KVA</v>
          </cell>
          <cell r="R156" t="str">
            <v>HT</v>
          </cell>
          <cell r="S156" t="str">
            <v>01/10/2023</v>
          </cell>
          <cell r="T156" t="str">
            <v>01/10/2023</v>
          </cell>
          <cell r="U156" t="str">
            <v>06/10/2023</v>
          </cell>
          <cell r="V156" t="str">
            <v>09/10/2023</v>
          </cell>
          <cell r="W156" t="str">
            <v>2023/09</v>
          </cell>
          <cell r="X156" t="str">
            <v>11 KV</v>
          </cell>
          <cell r="Y156" t="str">
            <v>HT</v>
          </cell>
          <cell r="Z156">
            <v>111.44</v>
          </cell>
          <cell r="AA156">
            <v>0.78029999999999999</v>
          </cell>
          <cell r="AB156">
            <v>43.33</v>
          </cell>
          <cell r="AC156" t="str">
            <v xml:space="preserve">01/09/2023 -     </v>
          </cell>
          <cell r="AD156" t="str">
            <v>30.09.2023</v>
          </cell>
          <cell r="AE156" t="str">
            <v>30/1.0000</v>
          </cell>
          <cell r="AF156">
            <v>123</v>
          </cell>
          <cell r="AG156" t="str">
            <v>KVA</v>
          </cell>
          <cell r="AH156">
            <v>123</v>
          </cell>
          <cell r="AI156" t="str">
            <v>R</v>
          </cell>
          <cell r="AJ156">
            <v>341762</v>
          </cell>
          <cell r="AK156" t="str">
            <v>30/09/2023</v>
          </cell>
          <cell r="AL156" t="str">
            <v>TPN64705</v>
          </cell>
          <cell r="AM156" t="str">
            <v>HT THREE PHASE 4 WIRE AMR/AMI COMPLAINT METER</v>
          </cell>
          <cell r="AN156" t="str">
            <v>POST PAID</v>
          </cell>
          <cell r="AO156">
            <v>160</v>
          </cell>
          <cell r="AP156" t="str">
            <v>TOD</v>
          </cell>
          <cell r="AQ156">
            <v>0</v>
          </cell>
          <cell r="AR156">
            <v>0</v>
          </cell>
          <cell r="AS156">
            <v>0</v>
          </cell>
          <cell r="AT156">
            <v>0</v>
          </cell>
          <cell r="AU156">
            <v>0</v>
          </cell>
          <cell r="AV156">
            <v>0</v>
          </cell>
          <cell r="AW156">
            <v>27128</v>
          </cell>
          <cell r="AX156">
            <v>34764</v>
          </cell>
          <cell r="AY156">
            <v>34764</v>
          </cell>
          <cell r="AZ156">
            <v>744.08</v>
          </cell>
          <cell r="BA156">
            <v>111.44000000000001</v>
          </cell>
        </row>
        <row r="157">
          <cell r="F157">
            <v>123000000131</v>
          </cell>
          <cell r="G157" t="str">
            <v>SRI SADANANDA KAR</v>
          </cell>
          <cell r="H157" t="str">
            <v xml:space="preserve"> </v>
          </cell>
          <cell r="I157" t="str">
            <v>06/02/2022 00:00:00</v>
          </cell>
          <cell r="J157">
            <v>1</v>
          </cell>
          <cell r="K157" t="str">
            <v>GOKULPUR</v>
          </cell>
          <cell r="L157" t="str">
            <v>BALASORE</v>
          </cell>
          <cell r="M157" t="str">
            <v>324000010231493847</v>
          </cell>
          <cell r="N157" t="str">
            <v>132200070653</v>
          </cell>
          <cell r="O157" t="str">
            <v>BF-111511</v>
          </cell>
          <cell r="P157" t="str">
            <v>432423402</v>
          </cell>
          <cell r="Q157" t="str">
            <v>ALLIED AGRICULTURE ACTIVITIES</v>
          </cell>
          <cell r="R157" t="str">
            <v>HT</v>
          </cell>
          <cell r="S157" t="str">
            <v>01/10/2023</v>
          </cell>
          <cell r="T157" t="str">
            <v>01/10/2023</v>
          </cell>
          <cell r="U157" t="str">
            <v>09/10/2023</v>
          </cell>
          <cell r="V157" t="str">
            <v>09/10/2023</v>
          </cell>
          <cell r="W157" t="str">
            <v>2023/09</v>
          </cell>
          <cell r="X157" t="str">
            <v>11 KV</v>
          </cell>
          <cell r="Y157" t="str">
            <v>HT</v>
          </cell>
          <cell r="Z157">
            <v>125</v>
          </cell>
          <cell r="AA157">
            <v>0.8478</v>
          </cell>
          <cell r="AB157">
            <v>0</v>
          </cell>
          <cell r="AC157" t="str">
            <v xml:space="preserve">01/09/2023 -     </v>
          </cell>
          <cell r="AD157" t="str">
            <v>30.09.2023</v>
          </cell>
          <cell r="AE157" t="str">
            <v>30/1.0000</v>
          </cell>
          <cell r="AF157">
            <v>125</v>
          </cell>
          <cell r="AG157" t="str">
            <v>KVA</v>
          </cell>
          <cell r="AH157">
            <v>125</v>
          </cell>
          <cell r="AI157" t="str">
            <v>R</v>
          </cell>
          <cell r="AJ157">
            <v>89000</v>
          </cell>
          <cell r="AK157" t="str">
            <v>30/09/2023</v>
          </cell>
          <cell r="AL157" t="str">
            <v>TPN64132</v>
          </cell>
          <cell r="AM157" t="str">
            <v>HT THREE PHASE 4 WIRE AMR/AMI COMPLAINT METER</v>
          </cell>
          <cell r="AN157" t="str">
            <v>POST PAID</v>
          </cell>
          <cell r="AO157">
            <v>160</v>
          </cell>
          <cell r="AP157" t="str">
            <v>TOD</v>
          </cell>
          <cell r="AQ157">
            <v>0</v>
          </cell>
          <cell r="AR157">
            <v>0</v>
          </cell>
          <cell r="AS157">
            <v>0</v>
          </cell>
          <cell r="AT157">
            <v>0</v>
          </cell>
          <cell r="AU157">
            <v>0</v>
          </cell>
          <cell r="AV157">
            <v>0</v>
          </cell>
          <cell r="AW157">
            <v>1181</v>
          </cell>
          <cell r="AX157">
            <v>1393</v>
          </cell>
          <cell r="AY157">
            <v>1393</v>
          </cell>
          <cell r="AZ157">
            <v>618.4</v>
          </cell>
          <cell r="BA157">
            <v>9.0399999999999991</v>
          </cell>
        </row>
        <row r="158">
          <cell r="F158">
            <v>123000000132</v>
          </cell>
          <cell r="G158" t="str">
            <v>M/S SWARAJ LUBRICANT.</v>
          </cell>
          <cell r="H158" t="str">
            <v xml:space="preserve">C/O- ADARSHA BHATAR                </v>
          </cell>
          <cell r="I158" t="str">
            <v>01/25/2021 00:00:00</v>
          </cell>
          <cell r="J158">
            <v>1</v>
          </cell>
          <cell r="K158" t="str">
            <v xml:space="preserve">GOBINDA                            </v>
          </cell>
          <cell r="L158" t="str">
            <v xml:space="preserve">HALDIPADA                          </v>
          </cell>
          <cell r="M158" t="str">
            <v>324000010231494408</v>
          </cell>
          <cell r="N158" t="str">
            <v>33242009745</v>
          </cell>
          <cell r="O158" t="str">
            <v xml:space="preserve"> </v>
          </cell>
          <cell r="P158" t="str">
            <v>432423404</v>
          </cell>
          <cell r="Q158" t="str">
            <v>LARGE INDUSTRY</v>
          </cell>
          <cell r="R158" t="str">
            <v>HT</v>
          </cell>
          <cell r="S158" t="str">
            <v>01/10/2023</v>
          </cell>
          <cell r="T158" t="str">
            <v>01/10/2023</v>
          </cell>
          <cell r="U158" t="str">
            <v>06/10/2023</v>
          </cell>
          <cell r="V158" t="str">
            <v>09/10/2023</v>
          </cell>
          <cell r="W158" t="str">
            <v>2023/09</v>
          </cell>
          <cell r="X158" t="str">
            <v>11 KV</v>
          </cell>
          <cell r="Y158" t="str">
            <v>HT</v>
          </cell>
          <cell r="Z158">
            <v>121.2</v>
          </cell>
          <cell r="AA158">
            <v>0.91759999999999997</v>
          </cell>
          <cell r="AB158">
            <v>23.52</v>
          </cell>
          <cell r="AC158" t="str">
            <v xml:space="preserve">01/09/2023 -     </v>
          </cell>
          <cell r="AD158" t="str">
            <v>30.09.2023</v>
          </cell>
          <cell r="AE158" t="str">
            <v>30/1.0000</v>
          </cell>
          <cell r="AF158">
            <v>139</v>
          </cell>
          <cell r="AG158" t="str">
            <v>KVA</v>
          </cell>
          <cell r="AH158">
            <v>139</v>
          </cell>
          <cell r="AI158" t="str">
            <v>R</v>
          </cell>
          <cell r="AJ158">
            <v>773974</v>
          </cell>
          <cell r="AK158" t="str">
            <v>30/09/2023</v>
          </cell>
          <cell r="AL158" t="str">
            <v>TPN64121</v>
          </cell>
          <cell r="AM158" t="str">
            <v>HT THREE PHASE 3 WIRE AMR/AMI COMPLIANT METER</v>
          </cell>
          <cell r="AN158" t="str">
            <v>POST PAID</v>
          </cell>
          <cell r="AO158">
            <v>160</v>
          </cell>
          <cell r="AP158" t="str">
            <v>TOD</v>
          </cell>
          <cell r="AQ158">
            <v>-157299.4</v>
          </cell>
          <cell r="AR158">
            <v>0</v>
          </cell>
          <cell r="AS158">
            <v>0</v>
          </cell>
          <cell r="AT158">
            <v>0</v>
          </cell>
          <cell r="AU158">
            <v>0</v>
          </cell>
          <cell r="AV158">
            <v>0</v>
          </cell>
          <cell r="AW158">
            <v>18836</v>
          </cell>
          <cell r="AX158">
            <v>20526</v>
          </cell>
          <cell r="AY158">
            <v>20526</v>
          </cell>
          <cell r="AZ158">
            <v>826.08</v>
          </cell>
          <cell r="BA158">
            <v>121.2</v>
          </cell>
        </row>
        <row r="159">
          <cell r="F159">
            <v>123000000133</v>
          </cell>
          <cell r="G159" t="str">
            <v>M/S SAI SANKAR ICE PLANT</v>
          </cell>
          <cell r="H159" t="str">
            <v xml:space="preserve"> </v>
          </cell>
          <cell r="I159" t="str">
            <v>06/30/2022 00:00:00</v>
          </cell>
          <cell r="J159">
            <v>1</v>
          </cell>
          <cell r="K159" t="str">
            <v>SILDA</v>
          </cell>
          <cell r="L159" t="str">
            <v>BALASORE</v>
          </cell>
          <cell r="M159" t="str">
            <v>324000010231494375</v>
          </cell>
          <cell r="N159" t="str">
            <v>132200077981</v>
          </cell>
          <cell r="O159" t="str">
            <v xml:space="preserve"> </v>
          </cell>
          <cell r="P159" t="str">
            <v>432423403</v>
          </cell>
          <cell r="Q159" t="str">
            <v>LARGE INDUSTRY</v>
          </cell>
          <cell r="R159" t="str">
            <v>HT</v>
          </cell>
          <cell r="S159" t="str">
            <v>01/10/2023</v>
          </cell>
          <cell r="T159" t="str">
            <v>01/10/2023</v>
          </cell>
          <cell r="U159" t="str">
            <v>06/10/2023</v>
          </cell>
          <cell r="V159" t="str">
            <v>09/10/2023</v>
          </cell>
          <cell r="W159" t="str">
            <v>2023/09</v>
          </cell>
          <cell r="X159" t="str">
            <v>11 KV</v>
          </cell>
          <cell r="Y159" t="str">
            <v>HT</v>
          </cell>
          <cell r="Z159">
            <v>180</v>
          </cell>
          <cell r="AA159">
            <v>0</v>
          </cell>
          <cell r="AB159">
            <v>0</v>
          </cell>
          <cell r="AC159" t="str">
            <v xml:space="preserve">01/09/2023 -     </v>
          </cell>
          <cell r="AD159" t="str">
            <v>30.09.2023</v>
          </cell>
          <cell r="AE159" t="str">
            <v>30/1.0000</v>
          </cell>
          <cell r="AF159">
            <v>225</v>
          </cell>
          <cell r="AG159" t="str">
            <v>KVA</v>
          </cell>
          <cell r="AH159">
            <v>225</v>
          </cell>
          <cell r="AI159" t="str">
            <v>R</v>
          </cell>
          <cell r="AJ159">
            <v>1252526</v>
          </cell>
          <cell r="AK159" t="str">
            <v>30/09/2023</v>
          </cell>
          <cell r="AL159" t="str">
            <v>TPN64116</v>
          </cell>
          <cell r="AM159" t="str">
            <v>HT THREE PHASE 4 WIRE AMR/AMI COMPLAINT METER</v>
          </cell>
          <cell r="AN159" t="str">
            <v>POST PAID</v>
          </cell>
          <cell r="AO159">
            <v>250</v>
          </cell>
          <cell r="AP159" t="str">
            <v>TOD</v>
          </cell>
          <cell r="AQ159">
            <v>0</v>
          </cell>
          <cell r="AR159">
            <v>0</v>
          </cell>
          <cell r="AS159">
            <v>0</v>
          </cell>
          <cell r="AT159">
            <v>0</v>
          </cell>
          <cell r="AU159">
            <v>0</v>
          </cell>
          <cell r="AV159">
            <v>0</v>
          </cell>
          <cell r="AW159">
            <v>0</v>
          </cell>
          <cell r="AX159">
            <v>0</v>
          </cell>
          <cell r="AY159">
            <v>0</v>
          </cell>
          <cell r="AZ159">
            <v>0</v>
          </cell>
          <cell r="BA159">
            <v>0</v>
          </cell>
        </row>
        <row r="160">
          <cell r="F160">
            <v>123000000134</v>
          </cell>
          <cell r="G160" t="str">
            <v>M/S. KARNI THERMOPLAST(P) LTD.</v>
          </cell>
          <cell r="H160" t="str">
            <v xml:space="preserve">AT-BANAPARIA,PO-KURUDA,            </v>
          </cell>
          <cell r="I160" t="str">
            <v>01/25/2021 00:00:00</v>
          </cell>
          <cell r="J160">
            <v>1</v>
          </cell>
          <cell r="K160" t="str">
            <v xml:space="preserve">DT-KURUDA,DT-BLS                   </v>
          </cell>
          <cell r="L160" t="str">
            <v xml:space="preserve">DT-KURUDA,DT-BLS                   </v>
          </cell>
          <cell r="M160" t="str">
            <v>324000010231494501</v>
          </cell>
          <cell r="N160" t="str">
            <v>31222000599</v>
          </cell>
          <cell r="O160" t="str">
            <v xml:space="preserve"> </v>
          </cell>
          <cell r="P160" t="str">
            <v>432123206</v>
          </cell>
          <cell r="Q160" t="str">
            <v>LARGE INDUSTRY</v>
          </cell>
          <cell r="R160" t="str">
            <v>HT</v>
          </cell>
          <cell r="S160" t="str">
            <v>01/10/2023</v>
          </cell>
          <cell r="T160" t="str">
            <v>01/10/2023</v>
          </cell>
          <cell r="U160" t="str">
            <v>06/10/2023</v>
          </cell>
          <cell r="V160" t="str">
            <v>09/10/2023</v>
          </cell>
          <cell r="W160" t="str">
            <v>2023/09</v>
          </cell>
          <cell r="X160" t="str">
            <v>11 KV</v>
          </cell>
          <cell r="Y160" t="str">
            <v>HT</v>
          </cell>
          <cell r="Z160">
            <v>160</v>
          </cell>
          <cell r="AA160">
            <v>0.97819999999999996</v>
          </cell>
          <cell r="AB160">
            <v>30.93</v>
          </cell>
          <cell r="AC160" t="str">
            <v xml:space="preserve">01/09/2023 -     </v>
          </cell>
          <cell r="AD160" t="str">
            <v>30.09.2023</v>
          </cell>
          <cell r="AE160" t="str">
            <v>30/1.0000</v>
          </cell>
          <cell r="AF160">
            <v>200</v>
          </cell>
          <cell r="AG160" t="str">
            <v>KVA</v>
          </cell>
          <cell r="AH160">
            <v>200</v>
          </cell>
          <cell r="AI160" t="str">
            <v>R</v>
          </cell>
          <cell r="AJ160">
            <v>1190058.29</v>
          </cell>
          <cell r="AK160" t="str">
            <v>30/09/2023</v>
          </cell>
          <cell r="AL160" t="str">
            <v>NSC94994</v>
          </cell>
          <cell r="AM160" t="str">
            <v>TRI-VECTOR METER FOR RAILWAY TRACTION</v>
          </cell>
          <cell r="AN160" t="str">
            <v>POST PAID</v>
          </cell>
          <cell r="AO160">
            <v>250</v>
          </cell>
          <cell r="AP160" t="str">
            <v>TOD</v>
          </cell>
          <cell r="AQ160">
            <v>-1220.49</v>
          </cell>
          <cell r="AR160">
            <v>0</v>
          </cell>
          <cell r="AS160">
            <v>0</v>
          </cell>
          <cell r="AT160">
            <v>0</v>
          </cell>
          <cell r="AU160">
            <v>0</v>
          </cell>
          <cell r="AV160">
            <v>0</v>
          </cell>
          <cell r="AW160">
            <v>21508</v>
          </cell>
          <cell r="AX160">
            <v>21986</v>
          </cell>
          <cell r="AY160">
            <v>21986</v>
          </cell>
          <cell r="AZ160">
            <v>665.28</v>
          </cell>
          <cell r="BA160">
            <v>98.72</v>
          </cell>
        </row>
        <row r="161">
          <cell r="F161">
            <v>123000000135</v>
          </cell>
          <cell r="G161" t="str">
            <v>M/S JAGDAMBA POLYMER PVT LTD</v>
          </cell>
          <cell r="H161" t="str">
            <v>PLOT NO D/73 &amp;D/96</v>
          </cell>
          <cell r="I161" t="str">
            <v>07/29/2022 00:00:00</v>
          </cell>
          <cell r="J161">
            <v>1</v>
          </cell>
          <cell r="K161" t="str">
            <v>SOMNATHPUR INDUSTRIAL ESTATE</v>
          </cell>
          <cell r="L161" t="str">
            <v>BALASORE</v>
          </cell>
          <cell r="M161" t="str">
            <v>324000010231494303</v>
          </cell>
          <cell r="N161" t="str">
            <v>132200085210</v>
          </cell>
          <cell r="O161" t="str">
            <v xml:space="preserve"> </v>
          </cell>
          <cell r="P161" t="str">
            <v>432421503</v>
          </cell>
          <cell r="Q161" t="str">
            <v>LARGE INDUSTRY</v>
          </cell>
          <cell r="R161" t="str">
            <v>HT</v>
          </cell>
          <cell r="S161" t="str">
            <v>01/10/2023</v>
          </cell>
          <cell r="T161" t="str">
            <v>01/10/2023</v>
          </cell>
          <cell r="U161" t="str">
            <v>06/10/2023</v>
          </cell>
          <cell r="V161" t="str">
            <v>09/10/2023</v>
          </cell>
          <cell r="W161" t="str">
            <v>2023/09</v>
          </cell>
          <cell r="X161" t="str">
            <v>11 KV</v>
          </cell>
          <cell r="Y161" t="str">
            <v>HT</v>
          </cell>
          <cell r="Z161">
            <v>160.80000000000001</v>
          </cell>
          <cell r="AA161">
            <v>0.98499999999999999</v>
          </cell>
          <cell r="AB161">
            <v>40.229999999999997</v>
          </cell>
          <cell r="AC161" t="str">
            <v xml:space="preserve">01/09/2023 -     </v>
          </cell>
          <cell r="AD161" t="str">
            <v>30.09.2023</v>
          </cell>
          <cell r="AE161" t="str">
            <v>30/1.0000</v>
          </cell>
          <cell r="AF161">
            <v>201</v>
          </cell>
          <cell r="AG161" t="str">
            <v>KVA</v>
          </cell>
          <cell r="AH161">
            <v>201</v>
          </cell>
          <cell r="AI161" t="str">
            <v>R</v>
          </cell>
          <cell r="AJ161">
            <v>1118977</v>
          </cell>
          <cell r="AK161" t="str">
            <v>30/09/2023</v>
          </cell>
          <cell r="AL161" t="str">
            <v>TPN64067</v>
          </cell>
          <cell r="AM161" t="str">
            <v>HT THREE PHASE 4 WIRE AMR/AMI COMPLAINT METER</v>
          </cell>
          <cell r="AN161" t="str">
            <v>POST PAID</v>
          </cell>
          <cell r="AO161">
            <v>315</v>
          </cell>
          <cell r="AP161" t="str">
            <v>TOD</v>
          </cell>
          <cell r="AQ161">
            <v>0</v>
          </cell>
          <cell r="AR161">
            <v>0</v>
          </cell>
          <cell r="AS161">
            <v>0</v>
          </cell>
          <cell r="AT161">
            <v>0</v>
          </cell>
          <cell r="AU161">
            <v>0</v>
          </cell>
          <cell r="AV161">
            <v>0</v>
          </cell>
          <cell r="AW161">
            <v>30367</v>
          </cell>
          <cell r="AX161">
            <v>30828</v>
          </cell>
          <cell r="AY161">
            <v>30828</v>
          </cell>
          <cell r="AZ161">
            <v>752.76</v>
          </cell>
          <cell r="BA161">
            <v>106.44</v>
          </cell>
        </row>
        <row r="162">
          <cell r="F162">
            <v>123000000136</v>
          </cell>
          <cell r="G162" t="str">
            <v>M/S. M/S FERRO ALLOYS PLANT,BALASORE,TATA STEEL LIMITED</v>
          </cell>
          <cell r="H162" t="str">
            <v>PLOT NO-Z1,IDCO IID CENTRE</v>
          </cell>
          <cell r="I162" t="str">
            <v>09/27/2022 00:00:00</v>
          </cell>
          <cell r="J162">
            <v>1</v>
          </cell>
          <cell r="K162" t="str">
            <v>SOMNATHPUR</v>
          </cell>
          <cell r="L162" t="str">
            <v>BALASORE</v>
          </cell>
          <cell r="M162" t="str">
            <v>324000010232515866</v>
          </cell>
          <cell r="N162" t="str">
            <v>132200096461</v>
          </cell>
          <cell r="O162" t="str">
            <v xml:space="preserve"> </v>
          </cell>
          <cell r="P162" t="str">
            <v>NULL</v>
          </cell>
          <cell r="Q162" t="str">
            <v>LARGE INDUSTRY</v>
          </cell>
          <cell r="R162" t="str">
            <v>EHT</v>
          </cell>
          <cell r="S162" t="str">
            <v>04/10/2023</v>
          </cell>
          <cell r="T162" t="str">
            <v>04/10/2023</v>
          </cell>
          <cell r="U162" t="str">
            <v>07/10/2023</v>
          </cell>
          <cell r="V162" t="str">
            <v>11/10/2023</v>
          </cell>
          <cell r="W162" t="str">
            <v>2023/09</v>
          </cell>
          <cell r="X162" t="str">
            <v>132 KV</v>
          </cell>
          <cell r="Y162" t="str">
            <v>HT</v>
          </cell>
          <cell r="Z162">
            <v>14760</v>
          </cell>
          <cell r="AA162">
            <v>0.97599999999999998</v>
          </cell>
          <cell r="AB162">
            <v>42</v>
          </cell>
          <cell r="AC162" t="str">
            <v xml:space="preserve">01/09/2023 -     </v>
          </cell>
          <cell r="AD162" t="str">
            <v>30.09.2023</v>
          </cell>
          <cell r="AE162" t="str">
            <v>30/1.0000</v>
          </cell>
          <cell r="AF162">
            <v>15000</v>
          </cell>
          <cell r="AG162" t="str">
            <v>KVA</v>
          </cell>
          <cell r="AH162">
            <v>15000</v>
          </cell>
          <cell r="AI162" t="str">
            <v>R</v>
          </cell>
          <cell r="AJ162">
            <v>127320000</v>
          </cell>
          <cell r="AK162" t="str">
            <v>30/09/2023</v>
          </cell>
          <cell r="AL162" t="str">
            <v>TPN64909</v>
          </cell>
          <cell r="AM162" t="str">
            <v>THREE PHASE HT CT METER-33KV</v>
          </cell>
          <cell r="AN162" t="str">
            <v>POST PAID</v>
          </cell>
          <cell r="AO162">
            <v>50000</v>
          </cell>
          <cell r="AP162" t="str">
            <v>TOD</v>
          </cell>
          <cell r="AQ162">
            <v>0</v>
          </cell>
          <cell r="AR162">
            <v>0</v>
          </cell>
          <cell r="AS162">
            <v>0</v>
          </cell>
          <cell r="AT162">
            <v>0</v>
          </cell>
          <cell r="AU162">
            <v>0</v>
          </cell>
          <cell r="AV162">
            <v>0</v>
          </cell>
          <cell r="AW162">
            <v>4356840</v>
          </cell>
          <cell r="AX162">
            <v>4463880</v>
          </cell>
          <cell r="AY162">
            <v>4463880</v>
          </cell>
          <cell r="AZ162">
            <v>61.5</v>
          </cell>
          <cell r="BA162">
            <v>14760</v>
          </cell>
        </row>
        <row r="163">
          <cell r="F163">
            <v>123000000137</v>
          </cell>
          <cell r="G163" t="str">
            <v>M/S GANAPATI STEEL INDUSTRY</v>
          </cell>
          <cell r="H163" t="str">
            <v>IID CENTER</v>
          </cell>
          <cell r="I163" t="str">
            <v>10/31/2022 00:00:00</v>
          </cell>
          <cell r="J163">
            <v>1</v>
          </cell>
          <cell r="K163" t="str">
            <v>SOMNATHPUR</v>
          </cell>
          <cell r="L163" t="str">
            <v>BALASORE</v>
          </cell>
          <cell r="M163" t="str">
            <v>324000010231494274</v>
          </cell>
          <cell r="N163" t="str">
            <v>132202200033</v>
          </cell>
          <cell r="O163" t="str">
            <v>BM-111686</v>
          </cell>
          <cell r="P163" t="str">
            <v>432421503</v>
          </cell>
          <cell r="Q163" t="str">
            <v>LARGE INDUSTRY</v>
          </cell>
          <cell r="R163" t="str">
            <v>HT</v>
          </cell>
          <cell r="S163" t="str">
            <v>01/10/2023</v>
          </cell>
          <cell r="T163" t="str">
            <v>01/10/2023</v>
          </cell>
          <cell r="U163" t="str">
            <v>06/10/2023</v>
          </cell>
          <cell r="V163" t="str">
            <v>09/10/2023</v>
          </cell>
          <cell r="W163" t="str">
            <v>2023/09</v>
          </cell>
          <cell r="X163" t="str">
            <v>11 KV</v>
          </cell>
          <cell r="Y163" t="str">
            <v>HT</v>
          </cell>
          <cell r="Z163">
            <v>476.4</v>
          </cell>
          <cell r="AA163">
            <v>0.81769999999999998</v>
          </cell>
          <cell r="AB163">
            <v>17.16</v>
          </cell>
          <cell r="AC163" t="str">
            <v xml:space="preserve">01/09/2023 -     </v>
          </cell>
          <cell r="AD163" t="str">
            <v>30.09.2023</v>
          </cell>
          <cell r="AE163" t="str">
            <v>30/1.0000</v>
          </cell>
          <cell r="AF163">
            <v>556</v>
          </cell>
          <cell r="AG163" t="str">
            <v>KVA</v>
          </cell>
          <cell r="AH163">
            <v>556</v>
          </cell>
          <cell r="AI163" t="str">
            <v>R</v>
          </cell>
          <cell r="AJ163">
            <v>3412950</v>
          </cell>
          <cell r="AK163" t="str">
            <v>30/09/2023</v>
          </cell>
          <cell r="AL163" t="str">
            <v>TPN64196</v>
          </cell>
          <cell r="AM163" t="str">
            <v>HT THREE PHASE 4 WIRE AMR/AMI COMPLAINT METER</v>
          </cell>
          <cell r="AN163" t="str">
            <v>POST PAID</v>
          </cell>
          <cell r="AO163">
            <v>775</v>
          </cell>
          <cell r="AP163" t="str">
            <v>TOD</v>
          </cell>
          <cell r="AQ163">
            <v>0</v>
          </cell>
          <cell r="AR163">
            <v>0</v>
          </cell>
          <cell r="AS163">
            <v>0</v>
          </cell>
          <cell r="AT163">
            <v>0</v>
          </cell>
          <cell r="AU163">
            <v>0</v>
          </cell>
          <cell r="AV163">
            <v>0</v>
          </cell>
          <cell r="AW163">
            <v>48125</v>
          </cell>
          <cell r="AX163">
            <v>58850</v>
          </cell>
          <cell r="AY163">
            <v>58850</v>
          </cell>
          <cell r="AZ163">
            <v>3305.6</v>
          </cell>
          <cell r="BA163">
            <v>476.4</v>
          </cell>
        </row>
        <row r="164">
          <cell r="F164">
            <v>123000000138</v>
          </cell>
          <cell r="G164" t="str">
            <v>GORACHANDA SAHOO</v>
          </cell>
          <cell r="H164" t="str">
            <v xml:space="preserve">S/O- SATISH SAHOO                  </v>
          </cell>
          <cell r="I164" t="str">
            <v>01/25/2021 00:00:00</v>
          </cell>
          <cell r="J164">
            <v>1</v>
          </cell>
          <cell r="K164" t="str">
            <v xml:space="preserve">CHAKA SARTHA                       </v>
          </cell>
          <cell r="L164" t="str">
            <v xml:space="preserve">SARCHA                             </v>
          </cell>
          <cell r="M164" t="str">
            <v>324000010231494457</v>
          </cell>
          <cell r="N164" t="str">
            <v>33242014726</v>
          </cell>
          <cell r="O164" t="str">
            <v>BR-109301</v>
          </cell>
          <cell r="P164" t="str">
            <v>432423403</v>
          </cell>
          <cell r="Q164" t="str">
            <v>ALLIED AGRICULTURE ACTIVITIES</v>
          </cell>
          <cell r="R164" t="str">
            <v>HT</v>
          </cell>
          <cell r="S164" t="str">
            <v>01/10/2023</v>
          </cell>
          <cell r="T164" t="str">
            <v>01/10/2023</v>
          </cell>
          <cell r="U164" t="str">
            <v>09/10/2023</v>
          </cell>
          <cell r="V164" t="str">
            <v>09/10/2023</v>
          </cell>
          <cell r="W164" t="str">
            <v>2023/09</v>
          </cell>
          <cell r="X164" t="str">
            <v>11 KV</v>
          </cell>
          <cell r="Y164" t="str">
            <v>LT</v>
          </cell>
          <cell r="Z164">
            <v>200</v>
          </cell>
          <cell r="AA164">
            <v>0.73360000000000003</v>
          </cell>
          <cell r="AB164">
            <v>15</v>
          </cell>
          <cell r="AC164" t="str">
            <v xml:space="preserve">01/09/2023 -     </v>
          </cell>
          <cell r="AD164" t="str">
            <v>30.09.2023</v>
          </cell>
          <cell r="AE164" t="str">
            <v>30/1.0000</v>
          </cell>
          <cell r="AF164">
            <v>200</v>
          </cell>
          <cell r="AG164" t="str">
            <v>KVA</v>
          </cell>
          <cell r="AH164">
            <v>200</v>
          </cell>
          <cell r="AI164" t="str">
            <v>R</v>
          </cell>
          <cell r="AJ164">
            <v>142100.16</v>
          </cell>
          <cell r="AK164" t="str">
            <v>30/09/2023</v>
          </cell>
          <cell r="AL164" t="str">
            <v>TPN64100</v>
          </cell>
          <cell r="AM164" t="str">
            <v>THREE PHASE STATIC TRI-VECTOR METER-TOD</v>
          </cell>
          <cell r="AN164" t="str">
            <v>POST PAID</v>
          </cell>
          <cell r="AO164">
            <v>250</v>
          </cell>
          <cell r="AP164" t="str">
            <v>TOD</v>
          </cell>
          <cell r="AQ164">
            <v>-19189.16</v>
          </cell>
          <cell r="AR164">
            <v>0</v>
          </cell>
          <cell r="AS164">
            <v>0</v>
          </cell>
          <cell r="AT164">
            <v>0</v>
          </cell>
          <cell r="AU164">
            <v>0</v>
          </cell>
          <cell r="AV164">
            <v>0</v>
          </cell>
          <cell r="AW164">
            <v>13239</v>
          </cell>
          <cell r="AX164">
            <v>18045</v>
          </cell>
          <cell r="AY164">
            <v>18958</v>
          </cell>
          <cell r="AZ164">
            <v>1099.92</v>
          </cell>
          <cell r="BA164">
            <v>175.49</v>
          </cell>
        </row>
        <row r="165">
          <cell r="F165">
            <v>123000000139</v>
          </cell>
          <cell r="G165" t="str">
            <v>M/S.   BALASORE ALLOYS LTD</v>
          </cell>
          <cell r="H165" t="str">
            <v>223</v>
          </cell>
          <cell r="I165" t="str">
            <v>12/09/2022 00:00:00</v>
          </cell>
          <cell r="J165">
            <v>1</v>
          </cell>
          <cell r="K165" t="str">
            <v>BALGOPALPUR</v>
          </cell>
          <cell r="L165" t="str">
            <v>RASALPUR</v>
          </cell>
          <cell r="M165" t="str">
            <v>324000010232495312</v>
          </cell>
          <cell r="N165" t="str">
            <v>132299955175</v>
          </cell>
          <cell r="O165" t="str">
            <v xml:space="preserve"> </v>
          </cell>
          <cell r="P165" t="str">
            <v>NULL</v>
          </cell>
          <cell r="Q165" t="str">
            <v>LARGE INDUSTRY</v>
          </cell>
          <cell r="R165" t="str">
            <v>EHT</v>
          </cell>
          <cell r="S165" t="str">
            <v>01/10/2023</v>
          </cell>
          <cell r="T165" t="str">
            <v>01/10/2023</v>
          </cell>
          <cell r="U165" t="str">
            <v>06/10/2023</v>
          </cell>
          <cell r="V165" t="str">
            <v>09/10/2023</v>
          </cell>
          <cell r="W165" t="str">
            <v>2023/09</v>
          </cell>
          <cell r="X165" t="str">
            <v>132 KV</v>
          </cell>
          <cell r="Y165" t="str">
            <v>HT</v>
          </cell>
          <cell r="Z165">
            <v>55680</v>
          </cell>
          <cell r="AA165">
            <v>0.99850000000000005</v>
          </cell>
          <cell r="AB165">
            <v>75.010000000000005</v>
          </cell>
          <cell r="AC165" t="str">
            <v xml:space="preserve">01/09/2023 -     </v>
          </cell>
          <cell r="AD165" t="str">
            <v>30.09.2023</v>
          </cell>
          <cell r="AE165" t="str">
            <v>30/1.0000</v>
          </cell>
          <cell r="AF165">
            <v>56000</v>
          </cell>
          <cell r="AG165" t="str">
            <v>KVA</v>
          </cell>
          <cell r="AH165">
            <v>56000</v>
          </cell>
          <cell r="AI165" t="str">
            <v>R</v>
          </cell>
          <cell r="AJ165">
            <v>340928000</v>
          </cell>
          <cell r="AK165" t="str">
            <v>30/09/2023</v>
          </cell>
          <cell r="AL165" t="str">
            <v>TPN64931</v>
          </cell>
          <cell r="AM165" t="str">
            <v>HT THREE PHASE 4 WIRE AMR/AMI COMPLAINT METER</v>
          </cell>
          <cell r="AN165" t="str">
            <v>POST PAID</v>
          </cell>
          <cell r="AO165">
            <v>140000</v>
          </cell>
          <cell r="AP165" t="str">
            <v>TOD</v>
          </cell>
          <cell r="AQ165">
            <v>0</v>
          </cell>
          <cell r="AR165">
            <v>0</v>
          </cell>
          <cell r="AS165">
            <v>0</v>
          </cell>
          <cell r="AT165">
            <v>0</v>
          </cell>
          <cell r="AU165">
            <v>0</v>
          </cell>
          <cell r="AV165">
            <v>0</v>
          </cell>
          <cell r="AW165">
            <v>30028320</v>
          </cell>
          <cell r="AX165">
            <v>30070560</v>
          </cell>
          <cell r="AY165">
            <v>30070560</v>
          </cell>
          <cell r="AZ165">
            <v>0.11600000000000001</v>
          </cell>
          <cell r="BA165">
            <v>55680</v>
          </cell>
        </row>
        <row r="166">
          <cell r="F166">
            <v>123000000140</v>
          </cell>
          <cell r="G166" t="str">
            <v>M/S HIL LTD</v>
          </cell>
          <cell r="H166" t="str">
            <v>PLOT NO-Z-6/2,IID CENTER</v>
          </cell>
          <cell r="I166" t="str">
            <v>01/30/2023 00:00:00</v>
          </cell>
          <cell r="J166">
            <v>1</v>
          </cell>
          <cell r="K166" t="str">
            <v>SOMNATHPUR</v>
          </cell>
          <cell r="L166" t="str">
            <v>BALASORE</v>
          </cell>
          <cell r="M166" t="str">
            <v>324000010231494338</v>
          </cell>
          <cell r="N166" t="str">
            <v>132321225627</v>
          </cell>
          <cell r="O166" t="str">
            <v>BM-111763</v>
          </cell>
          <cell r="P166" t="str">
            <v>NULL</v>
          </cell>
          <cell r="Q166" t="str">
            <v>LARGE INDUSTRY</v>
          </cell>
          <cell r="R166" t="str">
            <v>HT</v>
          </cell>
          <cell r="S166" t="str">
            <v>01/10/2023</v>
          </cell>
          <cell r="T166" t="str">
            <v>01/10/2023</v>
          </cell>
          <cell r="U166" t="str">
            <v>06/10/2023</v>
          </cell>
          <cell r="V166" t="str">
            <v>09/10/2023</v>
          </cell>
          <cell r="W166" t="str">
            <v>2023/09</v>
          </cell>
          <cell r="X166" t="str">
            <v>33 KV</v>
          </cell>
          <cell r="Y166" t="str">
            <v>HT</v>
          </cell>
          <cell r="Z166">
            <v>111.96</v>
          </cell>
          <cell r="AA166">
            <v>0.99719999999999998</v>
          </cell>
          <cell r="AB166">
            <v>20.13</v>
          </cell>
          <cell r="AC166" t="str">
            <v xml:space="preserve">01/09/2023 -     </v>
          </cell>
          <cell r="AD166" t="str">
            <v>30.09.2023</v>
          </cell>
          <cell r="AE166" t="str">
            <v>30/1.0000</v>
          </cell>
          <cell r="AF166">
            <v>250</v>
          </cell>
          <cell r="AG166" t="str">
            <v>KVA</v>
          </cell>
          <cell r="AH166">
            <v>250</v>
          </cell>
          <cell r="AI166" t="str">
            <v>R</v>
          </cell>
          <cell r="AJ166">
            <v>2383182</v>
          </cell>
          <cell r="AK166" t="str">
            <v>30/09/2023</v>
          </cell>
          <cell r="AL166" t="str">
            <v>TPN64349</v>
          </cell>
          <cell r="AM166" t="str">
            <v>THREE PHASE HT CT METER-33KV</v>
          </cell>
          <cell r="AN166" t="str">
            <v>POST PAID</v>
          </cell>
          <cell r="AO166">
            <v>500</v>
          </cell>
          <cell r="AP166" t="str">
            <v>TOD</v>
          </cell>
          <cell r="AQ166">
            <v>0</v>
          </cell>
          <cell r="AR166">
            <v>0</v>
          </cell>
          <cell r="AS166">
            <v>0</v>
          </cell>
          <cell r="AT166">
            <v>0</v>
          </cell>
          <cell r="AU166">
            <v>0</v>
          </cell>
          <cell r="AV166">
            <v>0</v>
          </cell>
          <cell r="AW166">
            <v>16186</v>
          </cell>
          <cell r="AX166">
            <v>16231</v>
          </cell>
          <cell r="AY166">
            <v>16231</v>
          </cell>
          <cell r="AZ166">
            <v>904.68</v>
          </cell>
          <cell r="BA166">
            <v>111.96</v>
          </cell>
        </row>
        <row r="167">
          <cell r="F167">
            <v>123000000141</v>
          </cell>
          <cell r="G167" t="str">
            <v>M/S. BALASORE SOLVENTS PVT LTD</v>
          </cell>
          <cell r="H167" t="str">
            <v xml:space="preserve">DIRECTOR- GOURI SHANKAR BAHETI   </v>
          </cell>
          <cell r="I167" t="str">
            <v>01/25/2021 00:00:00</v>
          </cell>
          <cell r="J167">
            <v>1</v>
          </cell>
          <cell r="K167" t="str">
            <v xml:space="preserve">AT-BANAPARIA                       </v>
          </cell>
          <cell r="L167" t="str">
            <v xml:space="preserve"> </v>
          </cell>
          <cell r="M167" t="str">
            <v>324000010231494553</v>
          </cell>
          <cell r="N167" t="str">
            <v>33243022625</v>
          </cell>
          <cell r="O167" t="str">
            <v>BG-109951</v>
          </cell>
          <cell r="P167" t="str">
            <v>NULL</v>
          </cell>
          <cell r="Q167" t="str">
            <v>LARGE INDUSTRY</v>
          </cell>
          <cell r="R167" t="str">
            <v>HT</v>
          </cell>
          <cell r="S167" t="str">
            <v>01/10/2023</v>
          </cell>
          <cell r="T167" t="str">
            <v>01/10/2023</v>
          </cell>
          <cell r="U167" t="str">
            <v>06/10/2023</v>
          </cell>
          <cell r="V167" t="str">
            <v>09/10/2023</v>
          </cell>
          <cell r="W167" t="str">
            <v>2023/09</v>
          </cell>
          <cell r="X167" t="str">
            <v>11 KV</v>
          </cell>
          <cell r="Y167" t="str">
            <v>HT</v>
          </cell>
          <cell r="Z167">
            <v>262.39999999999998</v>
          </cell>
          <cell r="AA167">
            <v>0.65990000000000004</v>
          </cell>
          <cell r="AB167">
            <v>4.93</v>
          </cell>
          <cell r="AC167" t="str">
            <v xml:space="preserve">01/09/2023 -     </v>
          </cell>
          <cell r="AD167" t="str">
            <v>30.09.2023</v>
          </cell>
          <cell r="AE167" t="str">
            <v>30/1.0000</v>
          </cell>
          <cell r="AF167">
            <v>328</v>
          </cell>
          <cell r="AG167" t="str">
            <v>KVA</v>
          </cell>
          <cell r="AH167">
            <v>328</v>
          </cell>
          <cell r="AI167" t="str">
            <v>R</v>
          </cell>
          <cell r="AJ167">
            <v>2012031.202</v>
          </cell>
          <cell r="AK167" t="str">
            <v>30/09/2023</v>
          </cell>
          <cell r="AL167" t="str">
            <v>TPN64350</v>
          </cell>
          <cell r="AM167" t="str">
            <v>HT THREE PHASE 4 WIRE AMR/AMI COMPLAINT METER</v>
          </cell>
          <cell r="AN167" t="str">
            <v>POST PAID</v>
          </cell>
          <cell r="AO167">
            <v>500</v>
          </cell>
          <cell r="AP167" t="str">
            <v>TOD</v>
          </cell>
          <cell r="AQ167">
            <v>-933066.2</v>
          </cell>
          <cell r="AR167">
            <v>0</v>
          </cell>
          <cell r="AS167">
            <v>0</v>
          </cell>
          <cell r="AT167">
            <v>0</v>
          </cell>
          <cell r="AU167">
            <v>0</v>
          </cell>
          <cell r="AV167">
            <v>0</v>
          </cell>
          <cell r="AW167">
            <v>3788</v>
          </cell>
          <cell r="AX167">
            <v>5740</v>
          </cell>
          <cell r="AY167">
            <v>5740</v>
          </cell>
          <cell r="AZ167">
            <v>1399.84</v>
          </cell>
          <cell r="BA167">
            <v>161.60000000000002</v>
          </cell>
        </row>
        <row r="168">
          <cell r="F168">
            <v>123000000142</v>
          </cell>
          <cell r="G168" t="str">
            <v>M/S GADRE MARINE EXPORT PVT LTD</v>
          </cell>
          <cell r="H168" t="str">
            <v>TUNDRA</v>
          </cell>
          <cell r="I168" t="str">
            <v>05/11/2022 00:00:00</v>
          </cell>
          <cell r="J168">
            <v>1</v>
          </cell>
          <cell r="K168" t="str">
            <v>TUNDRA</v>
          </cell>
          <cell r="L168" t="str">
            <v xml:space="preserve"> </v>
          </cell>
          <cell r="M168" t="str">
            <v>324000010231494178</v>
          </cell>
          <cell r="N168" t="str">
            <v>132200061045</v>
          </cell>
          <cell r="O168" t="str">
            <v>BS-111497</v>
          </cell>
          <cell r="P168" t="str">
            <v>NULL</v>
          </cell>
          <cell r="Q168" t="str">
            <v>GENERAL PURPOSE &gt;= 110 KVA</v>
          </cell>
          <cell r="R168" t="str">
            <v>HT</v>
          </cell>
          <cell r="S168" t="str">
            <v>01/10/2023</v>
          </cell>
          <cell r="T168" t="str">
            <v>01/10/2023</v>
          </cell>
          <cell r="U168" t="str">
            <v>06/10/2023</v>
          </cell>
          <cell r="V168" t="str">
            <v>09/10/2023</v>
          </cell>
          <cell r="W168" t="str">
            <v>2023/09</v>
          </cell>
          <cell r="X168" t="str">
            <v>33 KV</v>
          </cell>
          <cell r="Y168" t="str">
            <v>HT</v>
          </cell>
          <cell r="Z168">
            <v>789.6</v>
          </cell>
          <cell r="AA168">
            <v>0.8962</v>
          </cell>
          <cell r="AB168">
            <v>30.31</v>
          </cell>
          <cell r="AC168" t="str">
            <v xml:space="preserve">01/09/2023 -     </v>
          </cell>
          <cell r="AD168" t="str">
            <v>30.09.2023</v>
          </cell>
          <cell r="AE168" t="str">
            <v>30/1.0000</v>
          </cell>
          <cell r="AF168">
            <v>562</v>
          </cell>
          <cell r="AG168" t="str">
            <v>KVA</v>
          </cell>
          <cell r="AH168">
            <v>562</v>
          </cell>
          <cell r="AI168" t="str">
            <v>R</v>
          </cell>
          <cell r="AJ168">
            <v>1645086.2208</v>
          </cell>
          <cell r="AK168" t="str">
            <v>30/09/2023</v>
          </cell>
          <cell r="AL168" t="str">
            <v>TPN64337</v>
          </cell>
          <cell r="AM168" t="str">
            <v>THREE PHASE HT CT METER-33KV</v>
          </cell>
          <cell r="AN168" t="str">
            <v>POST PAID</v>
          </cell>
          <cell r="AO168">
            <v>2600</v>
          </cell>
          <cell r="AP168" t="str">
            <v>TOD</v>
          </cell>
          <cell r="AQ168">
            <v>0</v>
          </cell>
          <cell r="AR168">
            <v>0</v>
          </cell>
          <cell r="AS168">
            <v>0</v>
          </cell>
          <cell r="AT168">
            <v>0</v>
          </cell>
          <cell r="AU168">
            <v>0</v>
          </cell>
          <cell r="AV168">
            <v>0</v>
          </cell>
          <cell r="AW168">
            <v>154425</v>
          </cell>
          <cell r="AX168">
            <v>172305</v>
          </cell>
          <cell r="AY168">
            <v>172305</v>
          </cell>
          <cell r="AZ168">
            <v>2895.6</v>
          </cell>
          <cell r="BA168">
            <v>789.6</v>
          </cell>
        </row>
        <row r="169">
          <cell r="F169">
            <v>123000000144</v>
          </cell>
          <cell r="G169" t="str">
            <v>M/S Snow World Marine Export Pvt Ltd</v>
          </cell>
          <cell r="H169" t="str">
            <v xml:space="preserve"> </v>
          </cell>
          <cell r="I169" t="str">
            <v>04/17/2023 00:00:00</v>
          </cell>
          <cell r="J169">
            <v>1</v>
          </cell>
          <cell r="K169" t="str">
            <v>Bahala</v>
          </cell>
          <cell r="L169" t="str">
            <v>Balasore</v>
          </cell>
          <cell r="M169" t="str">
            <v>324000010231493855</v>
          </cell>
          <cell r="N169" t="str">
            <v>132327945583</v>
          </cell>
          <cell r="O169" t="str">
            <v xml:space="preserve"> </v>
          </cell>
          <cell r="P169" t="str">
            <v>NULL</v>
          </cell>
          <cell r="Q169" t="str">
            <v>ALLIED AGRO-INDUSTRIAL ACTIVITIES</v>
          </cell>
          <cell r="R169" t="str">
            <v>HT</v>
          </cell>
          <cell r="S169" t="str">
            <v>01/10/2023</v>
          </cell>
          <cell r="T169" t="str">
            <v>01/10/2023</v>
          </cell>
          <cell r="U169" t="str">
            <v>06/10/2023</v>
          </cell>
          <cell r="V169" t="str">
            <v>09/10/2023</v>
          </cell>
          <cell r="W169" t="str">
            <v>2023/09</v>
          </cell>
          <cell r="X169" t="str">
            <v>33 KV</v>
          </cell>
          <cell r="Y169" t="str">
            <v>HT</v>
          </cell>
          <cell r="Z169">
            <v>1430</v>
          </cell>
          <cell r="AA169">
            <v>0.98250000000000004</v>
          </cell>
          <cell r="AB169">
            <v>0</v>
          </cell>
          <cell r="AC169" t="str">
            <v xml:space="preserve">01/09/2023 -     </v>
          </cell>
          <cell r="AD169" t="str">
            <v>30.09.2023</v>
          </cell>
          <cell r="AE169" t="str">
            <v>30/1.0000</v>
          </cell>
          <cell r="AF169">
            <v>1430</v>
          </cell>
          <cell r="AG169" t="str">
            <v>KVA</v>
          </cell>
          <cell r="AH169">
            <v>1430</v>
          </cell>
          <cell r="AI169" t="str">
            <v>R</v>
          </cell>
          <cell r="AJ169">
            <v>1967680</v>
          </cell>
          <cell r="AK169" t="str">
            <v>30/09/2023</v>
          </cell>
          <cell r="AL169" t="str">
            <v>TPN64532</v>
          </cell>
          <cell r="AM169" t="str">
            <v>THREE PHASE HT CT METER-33KV</v>
          </cell>
          <cell r="AN169" t="str">
            <v>POST PAID</v>
          </cell>
          <cell r="AO169">
            <v>2500</v>
          </cell>
          <cell r="AP169" t="str">
            <v>TOD</v>
          </cell>
          <cell r="AQ169">
            <v>0</v>
          </cell>
          <cell r="AR169">
            <v>0</v>
          </cell>
          <cell r="AS169">
            <v>0</v>
          </cell>
          <cell r="AT169">
            <v>0</v>
          </cell>
          <cell r="AU169">
            <v>0</v>
          </cell>
          <cell r="AV169">
            <v>0</v>
          </cell>
          <cell r="AW169">
            <v>399960</v>
          </cell>
          <cell r="AX169">
            <v>407052</v>
          </cell>
          <cell r="AY169">
            <v>407052</v>
          </cell>
          <cell r="AZ169">
            <v>6285.6</v>
          </cell>
          <cell r="BA169">
            <v>1271.52</v>
          </cell>
        </row>
        <row r="170">
          <cell r="F170">
            <v>123000000145</v>
          </cell>
          <cell r="G170" t="str">
            <v>M/S Chakradhar Stone Crusher</v>
          </cell>
          <cell r="H170" t="str">
            <v xml:space="preserve">STONE CRUSHER                      </v>
          </cell>
          <cell r="I170" t="str">
            <v>01/25/2021 00:00:00</v>
          </cell>
          <cell r="J170">
            <v>1</v>
          </cell>
          <cell r="K170" t="str">
            <v xml:space="preserve">GAMBHARIA                          </v>
          </cell>
          <cell r="L170" t="str">
            <v xml:space="preserve">BAGHUAPAL                          </v>
          </cell>
          <cell r="M170" t="str">
            <v>324000010231494093</v>
          </cell>
          <cell r="N170" t="str">
            <v>33241000032</v>
          </cell>
          <cell r="O170" t="str">
            <v xml:space="preserve"> </v>
          </cell>
          <cell r="P170" t="str">
            <v>NULL</v>
          </cell>
          <cell r="Q170" t="str">
            <v>LARGE INDUSTRY</v>
          </cell>
          <cell r="R170" t="str">
            <v>HT</v>
          </cell>
          <cell r="S170" t="str">
            <v>01/10/2023</v>
          </cell>
          <cell r="T170" t="str">
            <v>01/10/2023</v>
          </cell>
          <cell r="U170" t="str">
            <v>06/10/2023</v>
          </cell>
          <cell r="V170" t="str">
            <v>09/10/2023</v>
          </cell>
          <cell r="W170" t="str">
            <v>2023/09</v>
          </cell>
          <cell r="X170" t="str">
            <v>11 KV</v>
          </cell>
          <cell r="Y170" t="str">
            <v>HT</v>
          </cell>
          <cell r="Z170">
            <v>293.60000000000002</v>
          </cell>
          <cell r="AA170">
            <v>0.41049999999999998</v>
          </cell>
          <cell r="AB170">
            <v>28.76</v>
          </cell>
          <cell r="AC170" t="str">
            <v xml:space="preserve">01/09/2023 -     </v>
          </cell>
          <cell r="AD170" t="str">
            <v>30.09.2023</v>
          </cell>
          <cell r="AE170" t="str">
            <v>30/1.0000</v>
          </cell>
          <cell r="AF170">
            <v>367</v>
          </cell>
          <cell r="AG170" t="str">
            <v>KVA</v>
          </cell>
          <cell r="AH170">
            <v>367</v>
          </cell>
          <cell r="AI170" t="str">
            <v>R</v>
          </cell>
          <cell r="AJ170">
            <v>2252792.4300000002</v>
          </cell>
          <cell r="AK170" t="str">
            <v>30/09/2023</v>
          </cell>
          <cell r="AL170" t="str">
            <v>TPN64548</v>
          </cell>
          <cell r="AM170" t="str">
            <v>HT THREE PHASE 4 WIRE AMR/AMI COMPLAINT METER</v>
          </cell>
          <cell r="AN170" t="str">
            <v>POST PAID</v>
          </cell>
          <cell r="AO170">
            <v>500</v>
          </cell>
          <cell r="AP170" t="str">
            <v>TOD</v>
          </cell>
          <cell r="AQ170">
            <v>-43198.03</v>
          </cell>
          <cell r="AR170">
            <v>0</v>
          </cell>
          <cell r="AS170">
            <v>0</v>
          </cell>
          <cell r="AT170">
            <v>0</v>
          </cell>
          <cell r="AU170">
            <v>0</v>
          </cell>
          <cell r="AV170">
            <v>0</v>
          </cell>
          <cell r="AW170">
            <v>1496</v>
          </cell>
          <cell r="AX170">
            <v>3644</v>
          </cell>
          <cell r="AY170">
            <v>3644</v>
          </cell>
          <cell r="AZ170">
            <v>1932.16</v>
          </cell>
          <cell r="BA170">
            <v>17.599999999999998</v>
          </cell>
        </row>
        <row r="171">
          <cell r="F171">
            <v>123000000146</v>
          </cell>
          <cell r="G171" t="str">
            <v>M/S.  M/S GULAB OIL INDUSTRIES</v>
          </cell>
          <cell r="H171" t="str">
            <v xml:space="preserve">C/O-RAJENDRA KU GUPTA              </v>
          </cell>
          <cell r="I171" t="str">
            <v>01/25/2021 00:00:00</v>
          </cell>
          <cell r="J171">
            <v>1</v>
          </cell>
          <cell r="K171" t="str">
            <v xml:space="preserve">AT/PO-KURUDA  DIST-:BALASORE       </v>
          </cell>
          <cell r="L171" t="str">
            <v xml:space="preserve">AT/PO-KURUDA  DIST-:BALASORE       </v>
          </cell>
          <cell r="M171" t="str">
            <v>324000010231494450</v>
          </cell>
          <cell r="N171" t="str">
            <v>31222000593</v>
          </cell>
          <cell r="O171" t="str">
            <v>BG-19864</v>
          </cell>
          <cell r="P171" t="str">
            <v>NULL</v>
          </cell>
          <cell r="Q171" t="str">
            <v>LARGE INDUSTRY</v>
          </cell>
          <cell r="R171" t="str">
            <v>HT</v>
          </cell>
          <cell r="S171" t="str">
            <v>01/10/2023</v>
          </cell>
          <cell r="T171" t="str">
            <v>01/10/2023</v>
          </cell>
          <cell r="U171" t="str">
            <v>06/10/2023</v>
          </cell>
          <cell r="V171" t="str">
            <v>09/10/2023</v>
          </cell>
          <cell r="W171" t="str">
            <v>2023/09</v>
          </cell>
          <cell r="X171" t="str">
            <v>11 KV</v>
          </cell>
          <cell r="Y171" t="str">
            <v>HT</v>
          </cell>
          <cell r="Z171">
            <v>275.2</v>
          </cell>
          <cell r="AA171">
            <v>0.996</v>
          </cell>
          <cell r="AB171">
            <v>41.73</v>
          </cell>
          <cell r="AC171" t="str">
            <v xml:space="preserve">01/09/2023 -     </v>
          </cell>
          <cell r="AD171" t="str">
            <v>30.09.2023</v>
          </cell>
          <cell r="AE171" t="str">
            <v>30/1.0000</v>
          </cell>
          <cell r="AF171">
            <v>344</v>
          </cell>
          <cell r="AG171" t="str">
            <v>KVA</v>
          </cell>
          <cell r="AH171">
            <v>344</v>
          </cell>
          <cell r="AI171" t="str">
            <v>R</v>
          </cell>
          <cell r="AJ171">
            <v>2114338.1302999998</v>
          </cell>
          <cell r="AK171" t="str">
            <v>30/09/2023</v>
          </cell>
          <cell r="AL171" t="str">
            <v>TPN64533</v>
          </cell>
          <cell r="AM171" t="str">
            <v>HT THREE PHASE 4 WIRE AMR/AMI COMPLAINT METER</v>
          </cell>
          <cell r="AN171" t="str">
            <v>POST PAID</v>
          </cell>
          <cell r="AO171">
            <v>500</v>
          </cell>
          <cell r="AP171" t="str">
            <v>TOD</v>
          </cell>
          <cell r="AQ171">
            <v>0</v>
          </cell>
          <cell r="AR171">
            <v>0</v>
          </cell>
          <cell r="AS171">
            <v>0</v>
          </cell>
          <cell r="AT171">
            <v>0</v>
          </cell>
          <cell r="AU171">
            <v>0</v>
          </cell>
          <cell r="AV171">
            <v>0</v>
          </cell>
          <cell r="AW171">
            <v>63445</v>
          </cell>
          <cell r="AX171">
            <v>63697</v>
          </cell>
          <cell r="AY171">
            <v>63697</v>
          </cell>
          <cell r="AZ171">
            <v>1308</v>
          </cell>
          <cell r="BA171">
            <v>212</v>
          </cell>
        </row>
        <row r="172">
          <cell r="F172">
            <v>123000000147</v>
          </cell>
          <cell r="G172" t="str">
            <v>Mr.  ACHYUT KUMAR DHAL</v>
          </cell>
          <cell r="H172" t="str">
            <v>KOILI SAHI</v>
          </cell>
          <cell r="I172" t="str">
            <v>04/27/2023 00:00:00</v>
          </cell>
          <cell r="J172">
            <v>1</v>
          </cell>
          <cell r="K172" t="str">
            <v>KOLISAHI ROAD</v>
          </cell>
          <cell r="L172" t="str">
            <v>SOLPATA</v>
          </cell>
          <cell r="M172" t="str">
            <v>324000010231494496</v>
          </cell>
          <cell r="N172" t="str">
            <v>132328048833</v>
          </cell>
          <cell r="O172" t="str">
            <v xml:space="preserve"> </v>
          </cell>
          <cell r="P172" t="str">
            <v>NULL</v>
          </cell>
          <cell r="Q172" t="str">
            <v>ALLIED AGRICULTURE ACTIVITIES</v>
          </cell>
          <cell r="R172" t="str">
            <v>HT</v>
          </cell>
          <cell r="S172" t="str">
            <v>01/10/2023</v>
          </cell>
          <cell r="T172" t="str">
            <v>01/10/2023</v>
          </cell>
          <cell r="U172" t="str">
            <v>09/10/2023</v>
          </cell>
          <cell r="V172" t="str">
            <v>09/10/2023</v>
          </cell>
          <cell r="W172" t="str">
            <v>2023/09</v>
          </cell>
          <cell r="X172" t="str">
            <v>11 KV</v>
          </cell>
          <cell r="Y172" t="str">
            <v>HT</v>
          </cell>
          <cell r="Z172">
            <v>178</v>
          </cell>
          <cell r="AA172">
            <v>0.59630000000000005</v>
          </cell>
          <cell r="AB172">
            <v>0</v>
          </cell>
          <cell r="AC172" t="str">
            <v xml:space="preserve">01/09/2023 -     </v>
          </cell>
          <cell r="AD172" t="str">
            <v>30.09.2023</v>
          </cell>
          <cell r="AE172" t="str">
            <v>30/1.0000</v>
          </cell>
          <cell r="AF172">
            <v>178</v>
          </cell>
          <cell r="AG172" t="str">
            <v>KVA</v>
          </cell>
          <cell r="AH172">
            <v>178</v>
          </cell>
          <cell r="AI172" t="str">
            <v>R</v>
          </cell>
          <cell r="AJ172">
            <v>521041.6</v>
          </cell>
          <cell r="AK172" t="str">
            <v>30/09/2023</v>
          </cell>
          <cell r="AL172" t="str">
            <v>TPN64549</v>
          </cell>
          <cell r="AM172" t="str">
            <v>HT THREE PHASE 4 WIRE AMR/AMI COMPLAINT METER</v>
          </cell>
          <cell r="AN172" t="str">
            <v>POST PAID</v>
          </cell>
          <cell r="AO172">
            <v>315</v>
          </cell>
          <cell r="AP172" t="str">
            <v>TOD</v>
          </cell>
          <cell r="AQ172">
            <v>0</v>
          </cell>
          <cell r="AR172">
            <v>0</v>
          </cell>
          <cell r="AS172">
            <v>0</v>
          </cell>
          <cell r="AT172">
            <v>0</v>
          </cell>
          <cell r="AU172">
            <v>0</v>
          </cell>
          <cell r="AV172">
            <v>0</v>
          </cell>
          <cell r="AW172">
            <v>8704</v>
          </cell>
          <cell r="AX172">
            <v>14596</v>
          </cell>
          <cell r="AY172">
            <v>14596</v>
          </cell>
          <cell r="AZ172">
            <v>1235.2</v>
          </cell>
          <cell r="BA172">
            <v>94.399999999999991</v>
          </cell>
        </row>
        <row r="173">
          <cell r="F173">
            <v>123000000148</v>
          </cell>
          <cell r="G173" t="str">
            <v>M/S.   SHREE ANNAPURNA STONE  PRODUCTS PVT LTD</v>
          </cell>
          <cell r="H173" t="str">
            <v xml:space="preserve">PRODUCTS,  C/O-NABIN PATEL (MD)    </v>
          </cell>
          <cell r="I173" t="str">
            <v>01/25/2021 00:00:00</v>
          </cell>
          <cell r="J173">
            <v>1</v>
          </cell>
          <cell r="K173" t="str">
            <v xml:space="preserve">SOMNATHPUR                         </v>
          </cell>
          <cell r="L173" t="str">
            <v xml:space="preserve">BALASORE                           </v>
          </cell>
          <cell r="M173" t="str">
            <v>324000010231495073</v>
          </cell>
          <cell r="N173" t="str">
            <v>33242000992</v>
          </cell>
          <cell r="O173" t="str">
            <v>BM-80575</v>
          </cell>
          <cell r="P173" t="str">
            <v>NULL</v>
          </cell>
          <cell r="Q173" t="str">
            <v>LARGE INDUSTRY</v>
          </cell>
          <cell r="R173" t="str">
            <v>HT</v>
          </cell>
          <cell r="S173" t="str">
            <v>01/10/2023</v>
          </cell>
          <cell r="T173" t="str">
            <v>01/10/2023</v>
          </cell>
          <cell r="U173" t="str">
            <v>06/10/2023</v>
          </cell>
          <cell r="V173" t="str">
            <v>09/10/2023</v>
          </cell>
          <cell r="W173" t="str">
            <v>2023/09</v>
          </cell>
          <cell r="X173" t="str">
            <v>11 KV</v>
          </cell>
          <cell r="Y173" t="str">
            <v>HT</v>
          </cell>
          <cell r="Z173">
            <v>324.8</v>
          </cell>
          <cell r="AA173">
            <v>0.72250000000000003</v>
          </cell>
          <cell r="AB173">
            <v>5.17</v>
          </cell>
          <cell r="AC173" t="str">
            <v xml:space="preserve">01/09/2023 -     </v>
          </cell>
          <cell r="AD173" t="str">
            <v>30.09.2023</v>
          </cell>
          <cell r="AE173" t="str">
            <v>30/1.0000</v>
          </cell>
          <cell r="AF173">
            <v>406</v>
          </cell>
          <cell r="AG173" t="str">
            <v>KVA</v>
          </cell>
          <cell r="AH173">
            <v>406</v>
          </cell>
          <cell r="AI173" t="str">
            <v>R</v>
          </cell>
          <cell r="AJ173">
            <v>2492190.216</v>
          </cell>
          <cell r="AK173" t="str">
            <v>30/09/2023</v>
          </cell>
          <cell r="AL173" t="str">
            <v>TPNODL38110576</v>
          </cell>
          <cell r="AM173" t="str">
            <v>THREE PHASE SMART HT CT METER (AMR/AMI)-11KV</v>
          </cell>
          <cell r="AN173" t="str">
            <v>SMART METER</v>
          </cell>
          <cell r="AO173">
            <v>500</v>
          </cell>
          <cell r="AP173" t="str">
            <v>TOD</v>
          </cell>
          <cell r="AQ173">
            <v>-136781.9</v>
          </cell>
          <cell r="AR173">
            <v>0</v>
          </cell>
          <cell r="AS173">
            <v>0</v>
          </cell>
          <cell r="AT173">
            <v>0</v>
          </cell>
          <cell r="AU173">
            <v>0</v>
          </cell>
          <cell r="AV173">
            <v>0</v>
          </cell>
          <cell r="AW173">
            <v>5620</v>
          </cell>
          <cell r="AX173">
            <v>7778</v>
          </cell>
          <cell r="AY173">
            <v>7778</v>
          </cell>
          <cell r="AZ173">
            <v>977.17560000000003</v>
          </cell>
          <cell r="BA173">
            <v>208.86</v>
          </cell>
        </row>
        <row r="174">
          <cell r="F174">
            <v>123000000149</v>
          </cell>
          <cell r="G174" t="str">
            <v>JHADESWAR INTERNATIONAL SCHOOL</v>
          </cell>
          <cell r="H174" t="str">
            <v>656</v>
          </cell>
          <cell r="I174" t="str">
            <v>05/25/2023 00:00:00</v>
          </cell>
          <cell r="J174">
            <v>1</v>
          </cell>
          <cell r="K174" t="str">
            <v>BARCHHI</v>
          </cell>
          <cell r="L174" t="str">
            <v>KHUNTA</v>
          </cell>
          <cell r="M174" t="str">
            <v>324000010231494892</v>
          </cell>
          <cell r="N174" t="str">
            <v>132328557414</v>
          </cell>
          <cell r="O174" t="str">
            <v xml:space="preserve"> </v>
          </cell>
          <cell r="P174" t="str">
            <v>NULL</v>
          </cell>
          <cell r="Q174" t="str">
            <v>GENERAL PURPOSE &gt;= 110 KVA</v>
          </cell>
          <cell r="R174" t="str">
            <v>HT</v>
          </cell>
          <cell r="S174" t="str">
            <v>01/10/2023</v>
          </cell>
          <cell r="T174" t="str">
            <v>01/10/2023</v>
          </cell>
          <cell r="U174" t="str">
            <v>06/10/2023</v>
          </cell>
          <cell r="V174" t="str">
            <v>09/10/2023</v>
          </cell>
          <cell r="W174" t="str">
            <v>2023/09</v>
          </cell>
          <cell r="X174" t="str">
            <v>11 KV</v>
          </cell>
          <cell r="Y174" t="str">
            <v>HT</v>
          </cell>
          <cell r="Z174">
            <v>124.8</v>
          </cell>
          <cell r="AA174">
            <v>0.97119999999999995</v>
          </cell>
          <cell r="AB174">
            <v>31.06</v>
          </cell>
          <cell r="AC174" t="str">
            <v xml:space="preserve">01/09/2023 -     </v>
          </cell>
          <cell r="AD174" t="str">
            <v>30.09.2023</v>
          </cell>
          <cell r="AE174" t="str">
            <v>30/1.0000</v>
          </cell>
          <cell r="AF174">
            <v>156</v>
          </cell>
          <cell r="AG174" t="str">
            <v>KVA</v>
          </cell>
          <cell r="AH174">
            <v>156</v>
          </cell>
          <cell r="AI174" t="str">
            <v>R</v>
          </cell>
          <cell r="AJ174">
            <v>456643.2</v>
          </cell>
          <cell r="AK174" t="str">
            <v>30/09/2023</v>
          </cell>
          <cell r="AL174" t="str">
            <v>TPNODL38110648</v>
          </cell>
          <cell r="AM174" t="str">
            <v>THREE PHASE SMART HT CT METER (AMR/AMI)-11KV</v>
          </cell>
          <cell r="AN174" t="str">
            <v>SMART METER</v>
          </cell>
          <cell r="AO174">
            <v>315</v>
          </cell>
          <cell r="AP174" t="str">
            <v>TOD</v>
          </cell>
          <cell r="AQ174">
            <v>0</v>
          </cell>
          <cell r="AR174">
            <v>0</v>
          </cell>
          <cell r="AS174">
            <v>0</v>
          </cell>
          <cell r="AT174">
            <v>0</v>
          </cell>
          <cell r="AU174">
            <v>0</v>
          </cell>
          <cell r="AV174">
            <v>0</v>
          </cell>
          <cell r="AW174">
            <v>19816</v>
          </cell>
          <cell r="AX174">
            <v>20402</v>
          </cell>
          <cell r="AY174">
            <v>20402</v>
          </cell>
          <cell r="AZ174">
            <v>439.68759999999997</v>
          </cell>
          <cell r="BA174">
            <v>91.225999999999999</v>
          </cell>
        </row>
        <row r="175">
          <cell r="F175">
            <v>123000000150</v>
          </cell>
          <cell r="G175" t="str">
            <v>M/S.   GOOD LIFE BIOTECH</v>
          </cell>
          <cell r="H175" t="str">
            <v>KHATA NO-373/354 PLOT - 197/1555/1767,197</v>
          </cell>
          <cell r="I175" t="str">
            <v>08/08/2023 00:00:00</v>
          </cell>
          <cell r="J175">
            <v>1</v>
          </cell>
          <cell r="K175" t="str">
            <v>KUNARPUR,SRIJUNG</v>
          </cell>
          <cell r="L175" t="str">
            <v>KUNARPUR</v>
          </cell>
          <cell r="M175" t="str">
            <v>324000010231494127</v>
          </cell>
          <cell r="N175" t="str">
            <v>132328976682</v>
          </cell>
          <cell r="O175" t="str">
            <v xml:space="preserve"> </v>
          </cell>
          <cell r="P175" t="str">
            <v>NULL</v>
          </cell>
          <cell r="Q175" t="str">
            <v>LARGE INDUSTRY</v>
          </cell>
          <cell r="R175" t="str">
            <v>HT</v>
          </cell>
          <cell r="S175" t="str">
            <v>01/10/2023</v>
          </cell>
          <cell r="T175" t="str">
            <v>01/10/2023</v>
          </cell>
          <cell r="U175" t="str">
            <v>06/10/2023</v>
          </cell>
          <cell r="V175" t="str">
            <v>09/10/2023</v>
          </cell>
          <cell r="W175" t="str">
            <v>2023/09</v>
          </cell>
          <cell r="X175" t="str">
            <v>11 KV</v>
          </cell>
          <cell r="Y175" t="str">
            <v>HT</v>
          </cell>
          <cell r="Z175">
            <v>160</v>
          </cell>
          <cell r="AA175">
            <v>0.38019999999999998</v>
          </cell>
          <cell r="AB175">
            <v>5.2</v>
          </cell>
          <cell r="AC175" t="str">
            <v xml:space="preserve">01/09/2023 -     </v>
          </cell>
          <cell r="AD175" t="str">
            <v>30.09.2023</v>
          </cell>
          <cell r="AE175" t="str">
            <v>30/1.0000</v>
          </cell>
          <cell r="AF175">
            <v>200</v>
          </cell>
          <cell r="AG175" t="str">
            <v>KVA</v>
          </cell>
          <cell r="AH175">
            <v>200</v>
          </cell>
          <cell r="AI175" t="str">
            <v>R</v>
          </cell>
          <cell r="AJ175">
            <v>1227680</v>
          </cell>
          <cell r="AK175" t="str">
            <v>30/09/2023</v>
          </cell>
          <cell r="AL175" t="str">
            <v>TPNODL38110563</v>
          </cell>
          <cell r="AM175" t="str">
            <v>THREE PHASE SMART HT CT METER (AMR/AMI)-11KV</v>
          </cell>
          <cell r="AN175" t="str">
            <v>SMART METER</v>
          </cell>
          <cell r="AO175">
            <v>250</v>
          </cell>
          <cell r="AP175" t="str">
            <v>TOD</v>
          </cell>
          <cell r="AQ175">
            <v>0</v>
          </cell>
          <cell r="AR175">
            <v>0</v>
          </cell>
          <cell r="AS175">
            <v>0</v>
          </cell>
          <cell r="AT175">
            <v>0</v>
          </cell>
          <cell r="AU175">
            <v>0</v>
          </cell>
          <cell r="AV175">
            <v>0</v>
          </cell>
          <cell r="AW175">
            <v>1647</v>
          </cell>
          <cell r="AX175">
            <v>4331</v>
          </cell>
          <cell r="AY175">
            <v>4331</v>
          </cell>
          <cell r="AZ175">
            <v>195.768</v>
          </cell>
          <cell r="BA175">
            <v>115.70399999999999</v>
          </cell>
        </row>
        <row r="176">
          <cell r="F176">
            <v>123000000151</v>
          </cell>
          <cell r="G176" t="str">
            <v>Mr.  RABINDRA KUMAR JENA</v>
          </cell>
          <cell r="H176" t="str">
            <v>KHATA NO.196/1662</v>
          </cell>
          <cell r="I176" t="str">
            <v>08/11/2023 00:00:00</v>
          </cell>
          <cell r="J176">
            <v>1</v>
          </cell>
          <cell r="K176" t="str">
            <v>KURUDA</v>
          </cell>
          <cell r="L176" t="str">
            <v>KURUDA</v>
          </cell>
          <cell r="M176" t="str">
            <v>324000010231494615</v>
          </cell>
          <cell r="N176" t="str">
            <v>132328978734</v>
          </cell>
          <cell r="O176" t="str">
            <v xml:space="preserve"> </v>
          </cell>
          <cell r="P176" t="str">
            <v>NULL</v>
          </cell>
          <cell r="Q176" t="str">
            <v>GENERAL PURPOSE &gt;= 110 KVA</v>
          </cell>
          <cell r="R176" t="str">
            <v>HT</v>
          </cell>
          <cell r="S176" t="str">
            <v>01/10/2023</v>
          </cell>
          <cell r="T176" t="str">
            <v>01/10/2023</v>
          </cell>
          <cell r="U176" t="str">
            <v>06/10/2023</v>
          </cell>
          <cell r="V176" t="str">
            <v>09/10/2023</v>
          </cell>
          <cell r="W176" t="str">
            <v>2023/09</v>
          </cell>
          <cell r="X176" t="str">
            <v>11 KV</v>
          </cell>
          <cell r="Y176" t="str">
            <v>HT</v>
          </cell>
          <cell r="Z176">
            <v>135.19999999999999</v>
          </cell>
          <cell r="AA176">
            <v>0.94020000000000004</v>
          </cell>
          <cell r="AB176">
            <v>18.72</v>
          </cell>
          <cell r="AC176" t="str">
            <v xml:space="preserve">01/09/2023 -     </v>
          </cell>
          <cell r="AD176" t="str">
            <v>30.09.2023</v>
          </cell>
          <cell r="AE176" t="str">
            <v>30/1.0000</v>
          </cell>
          <cell r="AF176">
            <v>169</v>
          </cell>
          <cell r="AG176" t="str">
            <v>KVA</v>
          </cell>
          <cell r="AH176">
            <v>169</v>
          </cell>
          <cell r="AI176" t="str">
            <v>R</v>
          </cell>
          <cell r="AJ176">
            <v>494696.8</v>
          </cell>
          <cell r="AK176" t="str">
            <v>30/09/2023</v>
          </cell>
          <cell r="AL176" t="str">
            <v>TPNODL38110677</v>
          </cell>
          <cell r="AM176" t="str">
            <v>THREE PHASE SMART HT CT METER (AMR/AMI)-11KV</v>
          </cell>
          <cell r="AN176" t="str">
            <v>SMART METER</v>
          </cell>
          <cell r="AO176">
            <v>250</v>
          </cell>
          <cell r="AP176" t="str">
            <v>TOD</v>
          </cell>
          <cell r="AQ176">
            <v>0</v>
          </cell>
          <cell r="AR176">
            <v>0</v>
          </cell>
          <cell r="AS176">
            <v>0</v>
          </cell>
          <cell r="AT176">
            <v>0</v>
          </cell>
          <cell r="AU176">
            <v>0</v>
          </cell>
          <cell r="AV176">
            <v>0</v>
          </cell>
          <cell r="AW176">
            <v>2219</v>
          </cell>
          <cell r="AX176">
            <v>2360</v>
          </cell>
          <cell r="AY176">
            <v>2360</v>
          </cell>
          <cell r="AZ176">
            <v>37.836399999999998</v>
          </cell>
          <cell r="BA176">
            <v>17.510000000000002</v>
          </cell>
        </row>
        <row r="177">
          <cell r="F177">
            <v>127000000001</v>
          </cell>
          <cell r="G177" t="str">
            <v>JALESWAR RAILWAY TRACTION</v>
          </cell>
          <cell r="H177" t="str">
            <v>SR DIVSNL ENGINEER (TRD)</v>
          </cell>
          <cell r="I177" t="str">
            <v>10/31/2020 00:00:00</v>
          </cell>
          <cell r="J177">
            <v>1</v>
          </cell>
          <cell r="K177" t="str">
            <v xml:space="preserve"> </v>
          </cell>
          <cell r="L177" t="str">
            <v xml:space="preserve"> </v>
          </cell>
          <cell r="M177" t="str">
            <v>323000010232495300</v>
          </cell>
          <cell r="N177" t="str">
            <v>1270000001</v>
          </cell>
          <cell r="O177" t="str">
            <v>E-15505</v>
          </cell>
          <cell r="P177" t="str">
            <v>NULL</v>
          </cell>
          <cell r="Q177" t="str">
            <v>RAILWAY TRACTION</v>
          </cell>
          <cell r="R177" t="str">
            <v>EHT</v>
          </cell>
          <cell r="S177" t="str">
            <v>01/10/2023</v>
          </cell>
          <cell r="T177" t="str">
            <v>01/10/2023</v>
          </cell>
          <cell r="U177" t="str">
            <v>06/10/2023</v>
          </cell>
          <cell r="V177" t="str">
            <v>09/10/2023</v>
          </cell>
          <cell r="W177" t="str">
            <v>2023/09</v>
          </cell>
          <cell r="X177" t="str">
            <v>132 KV</v>
          </cell>
          <cell r="Y177" t="str">
            <v>HT</v>
          </cell>
          <cell r="Z177">
            <v>17064</v>
          </cell>
          <cell r="AA177">
            <v>0.97889999999999999</v>
          </cell>
          <cell r="AB177">
            <v>42.65</v>
          </cell>
          <cell r="AC177" t="str">
            <v xml:space="preserve">01/09/2023 -     </v>
          </cell>
          <cell r="AD177" t="str">
            <v>30.09.2023</v>
          </cell>
          <cell r="AE177" t="str">
            <v>30/1.0000</v>
          </cell>
          <cell r="AF177">
            <v>16500</v>
          </cell>
          <cell r="AG177" t="str">
            <v>KVA</v>
          </cell>
          <cell r="AH177">
            <v>16500</v>
          </cell>
          <cell r="AI177" t="str">
            <v>R</v>
          </cell>
          <cell r="AJ177">
            <v>55722240</v>
          </cell>
          <cell r="AK177" t="str">
            <v>30/09/2023</v>
          </cell>
          <cell r="AL177" t="str">
            <v>NSC28193</v>
          </cell>
          <cell r="AM177" t="str">
            <v>TRI-VECTOR METER FOR RAILWAY TRACTION</v>
          </cell>
          <cell r="AN177" t="str">
            <v>POST PAID</v>
          </cell>
          <cell r="AO177">
            <v>21600</v>
          </cell>
          <cell r="AP177" t="str">
            <v>TOD</v>
          </cell>
          <cell r="AQ177">
            <v>7234256</v>
          </cell>
          <cell r="AR177">
            <v>0</v>
          </cell>
          <cell r="AS177">
            <v>0</v>
          </cell>
          <cell r="AT177">
            <v>0</v>
          </cell>
          <cell r="AU177">
            <v>0</v>
          </cell>
          <cell r="AV177">
            <v>0</v>
          </cell>
          <cell r="AW177">
            <v>5129160</v>
          </cell>
          <cell r="AX177">
            <v>5239680</v>
          </cell>
          <cell r="AY177">
            <v>5239680</v>
          </cell>
          <cell r="AZ177">
            <v>142.19999999999999</v>
          </cell>
          <cell r="BA177">
            <v>17064</v>
          </cell>
        </row>
        <row r="178">
          <cell r="F178">
            <v>127000000006</v>
          </cell>
          <cell r="G178" t="str">
            <v>M/S ASHADEEP AQUACULTIRE P.LTD.</v>
          </cell>
          <cell r="H178" t="str">
            <v>BADAPAHI,BICHITRAPURBHOGARAI</v>
          </cell>
          <cell r="I178" t="str">
            <v>10/31/2020 00:00:00</v>
          </cell>
          <cell r="J178">
            <v>1</v>
          </cell>
          <cell r="K178" t="str">
            <v xml:space="preserve"> </v>
          </cell>
          <cell r="L178" t="str">
            <v xml:space="preserve"> </v>
          </cell>
          <cell r="M178" t="str">
            <v>323000010231493950</v>
          </cell>
          <cell r="N178" t="str">
            <v>1270000006</v>
          </cell>
          <cell r="O178" t="str">
            <v>17369</v>
          </cell>
          <cell r="P178" t="str">
            <v>432324402</v>
          </cell>
          <cell r="Q178" t="str">
            <v>ALLIED AGRICULTURE ACTIVITIES</v>
          </cell>
          <cell r="R178" t="str">
            <v>HT</v>
          </cell>
          <cell r="S178" t="str">
            <v>01/10/2023</v>
          </cell>
          <cell r="T178" t="str">
            <v>01/10/2023</v>
          </cell>
          <cell r="U178" t="str">
            <v>09/10/2023</v>
          </cell>
          <cell r="V178" t="str">
            <v>09/10/2023</v>
          </cell>
          <cell r="W178" t="str">
            <v>2023/09</v>
          </cell>
          <cell r="X178" t="str">
            <v>11 KV</v>
          </cell>
          <cell r="Y178" t="str">
            <v>HT</v>
          </cell>
          <cell r="Z178">
            <v>562</v>
          </cell>
          <cell r="AA178">
            <v>0.66100000000000003</v>
          </cell>
          <cell r="AB178">
            <v>0</v>
          </cell>
          <cell r="AC178" t="str">
            <v xml:space="preserve">01/09/2023 -     </v>
          </cell>
          <cell r="AD178" t="str">
            <v>30.09.2023</v>
          </cell>
          <cell r="AE178" t="str">
            <v>30/1.0000</v>
          </cell>
          <cell r="AF178">
            <v>562</v>
          </cell>
          <cell r="AG178" t="str">
            <v>KVA</v>
          </cell>
          <cell r="AH178">
            <v>562</v>
          </cell>
          <cell r="AI178" t="str">
            <v>R</v>
          </cell>
          <cell r="AJ178">
            <v>367413.59</v>
          </cell>
          <cell r="AK178" t="str">
            <v>30/09/2023</v>
          </cell>
          <cell r="AL178" t="str">
            <v>TPN64004</v>
          </cell>
          <cell r="AM178" t="str">
            <v>THREE PHASE STATIC TRI-VECTOR METER-TOD</v>
          </cell>
          <cell r="AN178" t="str">
            <v>POST PAID</v>
          </cell>
          <cell r="AO178">
            <v>700</v>
          </cell>
          <cell r="AP178" t="str">
            <v>TOD</v>
          </cell>
          <cell r="AQ178">
            <v>-247272.59</v>
          </cell>
          <cell r="AR178">
            <v>0</v>
          </cell>
          <cell r="AS178">
            <v>0</v>
          </cell>
          <cell r="AT178">
            <v>0</v>
          </cell>
          <cell r="AU178">
            <v>0</v>
          </cell>
          <cell r="AV178">
            <v>0</v>
          </cell>
          <cell r="AW178">
            <v>52227</v>
          </cell>
          <cell r="AX178">
            <v>79005</v>
          </cell>
          <cell r="AY178">
            <v>79005</v>
          </cell>
          <cell r="AZ178">
            <v>1059.8399999999999</v>
          </cell>
          <cell r="BA178">
            <v>251.76</v>
          </cell>
        </row>
        <row r="179">
          <cell r="F179">
            <v>127000000008</v>
          </cell>
          <cell r="G179" t="str">
            <v>ASST. COMMISSIONER OF COMMERCIAL</v>
          </cell>
          <cell r="H179" t="str">
            <v>LAXMANNATH CHEK GATE,JALESWAR</v>
          </cell>
          <cell r="I179" t="str">
            <v>10/31/2020 00:00:00</v>
          </cell>
          <cell r="J179">
            <v>1</v>
          </cell>
          <cell r="K179" t="str">
            <v xml:space="preserve"> </v>
          </cell>
          <cell r="L179" t="str">
            <v xml:space="preserve"> </v>
          </cell>
          <cell r="M179" t="str">
            <v>323000010231493818</v>
          </cell>
          <cell r="N179" t="str">
            <v>1270000008</v>
          </cell>
          <cell r="O179" t="str">
            <v>30669</v>
          </cell>
          <cell r="P179" t="str">
            <v>432123204</v>
          </cell>
          <cell r="Q179" t="str">
            <v>GENERAL PURPOSE &gt;= 110 KVA</v>
          </cell>
          <cell r="R179" t="str">
            <v>HT</v>
          </cell>
          <cell r="S179" t="str">
            <v>01/10/2023</v>
          </cell>
          <cell r="T179" t="str">
            <v>01/10/2023</v>
          </cell>
          <cell r="U179" t="str">
            <v>06/10/2023</v>
          </cell>
          <cell r="V179" t="str">
            <v>09/10/2023</v>
          </cell>
          <cell r="W179" t="str">
            <v>2023/09</v>
          </cell>
          <cell r="X179" t="str">
            <v>11 KV</v>
          </cell>
          <cell r="Y179" t="str">
            <v>HT</v>
          </cell>
          <cell r="Z179">
            <v>151.19999999999999</v>
          </cell>
          <cell r="AA179">
            <v>0.996</v>
          </cell>
          <cell r="AB179">
            <v>18.18</v>
          </cell>
          <cell r="AC179" t="str">
            <v xml:space="preserve">01/09/2023 -     </v>
          </cell>
          <cell r="AD179" t="str">
            <v>30.09.2023</v>
          </cell>
          <cell r="AE179" t="str">
            <v>30/1.0000</v>
          </cell>
          <cell r="AF179">
            <v>189</v>
          </cell>
          <cell r="AG179" t="str">
            <v>KVA</v>
          </cell>
          <cell r="AH179">
            <v>189</v>
          </cell>
          <cell r="AI179" t="str">
            <v>R</v>
          </cell>
          <cell r="AJ179">
            <v>446690</v>
          </cell>
          <cell r="AK179" t="str">
            <v>30/09/2023</v>
          </cell>
          <cell r="AL179" t="str">
            <v>TPN64189</v>
          </cell>
          <cell r="AM179" t="str">
            <v>THREE PHASE STATIC TRI-VECTOR METER-TOD</v>
          </cell>
          <cell r="AN179" t="str">
            <v>POST PAID</v>
          </cell>
          <cell r="AO179">
            <v>250</v>
          </cell>
          <cell r="AP179" t="str">
            <v>TOD</v>
          </cell>
          <cell r="AQ179">
            <v>-344835.2</v>
          </cell>
          <cell r="AR179">
            <v>0</v>
          </cell>
          <cell r="AS179">
            <v>0</v>
          </cell>
          <cell r="AT179">
            <v>0</v>
          </cell>
          <cell r="AU179">
            <v>0</v>
          </cell>
          <cell r="AV179">
            <v>0</v>
          </cell>
          <cell r="AW179">
            <v>6322</v>
          </cell>
          <cell r="AX179">
            <v>6347</v>
          </cell>
          <cell r="AY179">
            <v>6347</v>
          </cell>
          <cell r="AZ179">
            <v>308.76</v>
          </cell>
          <cell r="BA179">
            <v>48.48</v>
          </cell>
        </row>
        <row r="180">
          <cell r="F180">
            <v>127000000009</v>
          </cell>
          <cell r="G180" t="str">
            <v>M/S ASHADEEP AQUACULTURE PVT. LTD.</v>
          </cell>
          <cell r="H180" t="str">
            <v>KUMBHIRAGADI,PANTAIBALASORE</v>
          </cell>
          <cell r="I180" t="str">
            <v>10/31/2020 00:00:00</v>
          </cell>
          <cell r="J180">
            <v>1</v>
          </cell>
          <cell r="K180" t="str">
            <v xml:space="preserve"> </v>
          </cell>
          <cell r="L180" t="str">
            <v xml:space="preserve"> </v>
          </cell>
          <cell r="M180" t="str">
            <v>323000010231493839</v>
          </cell>
          <cell r="N180" t="str">
            <v>1270000009</v>
          </cell>
          <cell r="O180" t="str">
            <v>34075</v>
          </cell>
          <cell r="P180" t="str">
            <v>432324101</v>
          </cell>
          <cell r="Q180" t="str">
            <v>ALLIED AGRICULTURE ACTIVITIES</v>
          </cell>
          <cell r="R180" t="str">
            <v>HT</v>
          </cell>
          <cell r="S180" t="str">
            <v>01/10/2023</v>
          </cell>
          <cell r="T180" t="str">
            <v>01/10/2023</v>
          </cell>
          <cell r="U180" t="str">
            <v>09/10/2023</v>
          </cell>
          <cell r="V180" t="str">
            <v>09/10/2023</v>
          </cell>
          <cell r="W180" t="str">
            <v>2023/09</v>
          </cell>
          <cell r="X180" t="str">
            <v>11 KV</v>
          </cell>
          <cell r="Y180" t="str">
            <v>HT</v>
          </cell>
          <cell r="Z180">
            <v>470</v>
          </cell>
          <cell r="AA180">
            <v>0.64059999999999995</v>
          </cell>
          <cell r="AB180">
            <v>0</v>
          </cell>
          <cell r="AC180" t="str">
            <v xml:space="preserve">01/09/2023 -     </v>
          </cell>
          <cell r="AD180" t="str">
            <v>30.09.2023</v>
          </cell>
          <cell r="AE180" t="str">
            <v>30/1.0000</v>
          </cell>
          <cell r="AF180">
            <v>470</v>
          </cell>
          <cell r="AG180" t="str">
            <v>KVA</v>
          </cell>
          <cell r="AH180">
            <v>470</v>
          </cell>
          <cell r="AI180" t="str">
            <v>R</v>
          </cell>
          <cell r="AJ180">
            <v>710338.8</v>
          </cell>
          <cell r="AK180" t="str">
            <v>30/09/2023</v>
          </cell>
          <cell r="AL180" t="str">
            <v>NES52098</v>
          </cell>
          <cell r="AM180" t="str">
            <v>THREE PHASE STATIC TRI-VECTOR METER-TOD</v>
          </cell>
          <cell r="AN180" t="str">
            <v>POST PAID</v>
          </cell>
          <cell r="AO180">
            <v>750</v>
          </cell>
          <cell r="AP180" t="str">
            <v>TOD</v>
          </cell>
          <cell r="AQ180">
            <v>-584525.6</v>
          </cell>
          <cell r="AR180">
            <v>0</v>
          </cell>
          <cell r="AS180">
            <v>0</v>
          </cell>
          <cell r="AT180">
            <v>0</v>
          </cell>
          <cell r="AU180">
            <v>0</v>
          </cell>
          <cell r="AV180">
            <v>0</v>
          </cell>
          <cell r="AW180">
            <v>47139</v>
          </cell>
          <cell r="AX180">
            <v>73575</v>
          </cell>
          <cell r="AY180">
            <v>73575</v>
          </cell>
          <cell r="AZ180">
            <v>2444.16</v>
          </cell>
          <cell r="BA180">
            <v>251.28</v>
          </cell>
        </row>
        <row r="181">
          <cell r="F181">
            <v>127000000010</v>
          </cell>
          <cell r="G181" t="str">
            <v>BADAL CHANDRA SENAPATI</v>
          </cell>
          <cell r="H181" t="str">
            <v>RANOKATA,TUKURIHAZIRABALASORE</v>
          </cell>
          <cell r="I181" t="str">
            <v>10/31/2020 00:00:00</v>
          </cell>
          <cell r="J181">
            <v>1</v>
          </cell>
          <cell r="K181" t="str">
            <v xml:space="preserve"> </v>
          </cell>
          <cell r="L181" t="str">
            <v xml:space="preserve"> </v>
          </cell>
          <cell r="M181" t="str">
            <v>323000010231493947</v>
          </cell>
          <cell r="N181" t="str">
            <v>1270000010</v>
          </cell>
          <cell r="O181" t="str">
            <v>34953</v>
          </cell>
          <cell r="P181" t="str">
            <v>432324101</v>
          </cell>
          <cell r="Q181" t="str">
            <v>ALLIED AGRICULTURE ACTIVITIES</v>
          </cell>
          <cell r="R181" t="str">
            <v>HT</v>
          </cell>
          <cell r="S181" t="str">
            <v>01/10/2023</v>
          </cell>
          <cell r="T181" t="str">
            <v>01/10/2023</v>
          </cell>
          <cell r="U181" t="str">
            <v>09/10/2023</v>
          </cell>
          <cell r="V181" t="str">
            <v>09/10/2023</v>
          </cell>
          <cell r="W181" t="str">
            <v>2023/09</v>
          </cell>
          <cell r="X181" t="str">
            <v>11 KV</v>
          </cell>
          <cell r="Y181" t="str">
            <v>HT</v>
          </cell>
          <cell r="Z181">
            <v>178</v>
          </cell>
          <cell r="AA181">
            <v>0.61199999999999999</v>
          </cell>
          <cell r="AB181">
            <v>0</v>
          </cell>
          <cell r="AC181" t="str">
            <v xml:space="preserve">01/09/2023 -     </v>
          </cell>
          <cell r="AD181" t="str">
            <v>30.09.2023</v>
          </cell>
          <cell r="AE181" t="str">
            <v>30/1.0000</v>
          </cell>
          <cell r="AF181">
            <v>178</v>
          </cell>
          <cell r="AG181" t="str">
            <v>KVA</v>
          </cell>
          <cell r="AH181">
            <v>178</v>
          </cell>
          <cell r="AI181" t="str">
            <v>R</v>
          </cell>
          <cell r="AJ181">
            <v>82305</v>
          </cell>
          <cell r="AK181" t="str">
            <v>30/09/2023</v>
          </cell>
          <cell r="AL181" t="str">
            <v>NES52043</v>
          </cell>
          <cell r="AM181" t="str">
            <v>TRI-VECTOR METER FOR RAILWAY TRACTION</v>
          </cell>
          <cell r="AN181" t="str">
            <v>POST PAID</v>
          </cell>
          <cell r="AO181">
            <v>250</v>
          </cell>
          <cell r="AP181" t="str">
            <v>TOD</v>
          </cell>
          <cell r="AQ181">
            <v>-16953</v>
          </cell>
          <cell r="AR181">
            <v>0</v>
          </cell>
          <cell r="AS181">
            <v>0</v>
          </cell>
          <cell r="AT181">
            <v>0</v>
          </cell>
          <cell r="AU181">
            <v>0</v>
          </cell>
          <cell r="AV181">
            <v>0</v>
          </cell>
          <cell r="AW181">
            <v>0</v>
          </cell>
          <cell r="AX181">
            <v>0</v>
          </cell>
          <cell r="AY181">
            <v>861</v>
          </cell>
          <cell r="AZ181">
            <v>0</v>
          </cell>
          <cell r="BA181">
            <v>0</v>
          </cell>
        </row>
        <row r="182">
          <cell r="F182">
            <v>127000000011</v>
          </cell>
          <cell r="G182" t="str">
            <v>SUSANTA KUMAR SENAPATI</v>
          </cell>
          <cell r="H182" t="str">
            <v>RANAKOTHA,TUKURIHAZIRABALASORE</v>
          </cell>
          <cell r="I182" t="str">
            <v>10/31/2020 00:00:00</v>
          </cell>
          <cell r="J182">
            <v>1</v>
          </cell>
          <cell r="K182" t="str">
            <v xml:space="preserve"> </v>
          </cell>
          <cell r="L182" t="str">
            <v xml:space="preserve"> </v>
          </cell>
          <cell r="M182" t="str">
            <v>323000010231494042</v>
          </cell>
          <cell r="N182" t="str">
            <v>1270000011</v>
          </cell>
          <cell r="O182" t="str">
            <v>35077</v>
          </cell>
          <cell r="P182" t="str">
            <v>432324403</v>
          </cell>
          <cell r="Q182" t="str">
            <v>ALLIED AGRICULTURE ACTIVITIES</v>
          </cell>
          <cell r="R182" t="str">
            <v>HT</v>
          </cell>
          <cell r="S182" t="str">
            <v>01/10/2023</v>
          </cell>
          <cell r="T182" t="str">
            <v>01/10/2023</v>
          </cell>
          <cell r="U182" t="str">
            <v>09/10/2023</v>
          </cell>
          <cell r="V182" t="str">
            <v>09/10/2023</v>
          </cell>
          <cell r="W182" t="str">
            <v>2023/09</v>
          </cell>
          <cell r="X182" t="str">
            <v>11 KV</v>
          </cell>
          <cell r="Y182" t="str">
            <v>HT</v>
          </cell>
          <cell r="Z182">
            <v>201.2</v>
          </cell>
          <cell r="AA182">
            <v>0.7409</v>
          </cell>
          <cell r="AB182">
            <v>0</v>
          </cell>
          <cell r="AC182" t="str">
            <v xml:space="preserve">01/09/2023 -     </v>
          </cell>
          <cell r="AD182" t="str">
            <v>30.09.2023</v>
          </cell>
          <cell r="AE182" t="str">
            <v>30/1.0000</v>
          </cell>
          <cell r="AF182">
            <v>167</v>
          </cell>
          <cell r="AG182" t="str">
            <v>KVA</v>
          </cell>
          <cell r="AH182">
            <v>167</v>
          </cell>
          <cell r="AI182" t="str">
            <v>R</v>
          </cell>
          <cell r="AJ182">
            <v>91440</v>
          </cell>
          <cell r="AK182" t="str">
            <v>30/09/2023</v>
          </cell>
          <cell r="AL182" t="str">
            <v>NES52078</v>
          </cell>
          <cell r="AM182" t="str">
            <v>LT SINGLE PHASE AMR/AMI COMPLIANT METER-TOD</v>
          </cell>
          <cell r="AN182" t="str">
            <v>POST PAID</v>
          </cell>
          <cell r="AO182">
            <v>250</v>
          </cell>
          <cell r="AP182" t="str">
            <v>TOD</v>
          </cell>
          <cell r="AQ182">
            <v>16210.8</v>
          </cell>
          <cell r="AR182">
            <v>0</v>
          </cell>
          <cell r="AS182">
            <v>0</v>
          </cell>
          <cell r="AT182">
            <v>0</v>
          </cell>
          <cell r="AU182">
            <v>0</v>
          </cell>
          <cell r="AV182">
            <v>0</v>
          </cell>
          <cell r="AW182">
            <v>54892</v>
          </cell>
          <cell r="AX182">
            <v>74081</v>
          </cell>
          <cell r="AY182">
            <v>74081</v>
          </cell>
          <cell r="AZ182">
            <v>1198.32</v>
          </cell>
          <cell r="BA182">
            <v>201.2</v>
          </cell>
        </row>
        <row r="183">
          <cell r="F183">
            <v>127000000012</v>
          </cell>
          <cell r="G183" t="str">
            <v>SMT. MINARANI SENAPATI</v>
          </cell>
          <cell r="H183" t="str">
            <v>RANAKOTHA,KUMBHIRAGADIBHOGARAI, BALASORE</v>
          </cell>
          <cell r="I183" t="str">
            <v>10/31/2020 00:00:00</v>
          </cell>
          <cell r="J183">
            <v>1</v>
          </cell>
          <cell r="K183" t="str">
            <v xml:space="preserve"> </v>
          </cell>
          <cell r="L183" t="str">
            <v xml:space="preserve"> </v>
          </cell>
          <cell r="M183" t="str">
            <v>323000010231494032</v>
          </cell>
          <cell r="N183" t="str">
            <v>1270000012</v>
          </cell>
          <cell r="O183" t="str">
            <v>44693</v>
          </cell>
          <cell r="P183" t="str">
            <v>432324101</v>
          </cell>
          <cell r="Q183" t="str">
            <v>ALLIED AGRICULTURE ACTIVITIES</v>
          </cell>
          <cell r="R183" t="str">
            <v>HT</v>
          </cell>
          <cell r="S183" t="str">
            <v>01/10/2023</v>
          </cell>
          <cell r="T183" t="str">
            <v>01/10/2023</v>
          </cell>
          <cell r="U183" t="str">
            <v>09/10/2023</v>
          </cell>
          <cell r="V183" t="str">
            <v>09/10/2023</v>
          </cell>
          <cell r="W183" t="str">
            <v>2023/09</v>
          </cell>
          <cell r="X183" t="str">
            <v>11 KV</v>
          </cell>
          <cell r="Y183" t="str">
            <v>HT</v>
          </cell>
          <cell r="Z183">
            <v>178</v>
          </cell>
          <cell r="AA183">
            <v>0.77159999999999995</v>
          </cell>
          <cell r="AB183">
            <v>0</v>
          </cell>
          <cell r="AC183" t="str">
            <v xml:space="preserve">01/09/2023 -     </v>
          </cell>
          <cell r="AD183" t="str">
            <v>30.09.2023</v>
          </cell>
          <cell r="AE183" t="str">
            <v>30/1.0000</v>
          </cell>
          <cell r="AF183">
            <v>178</v>
          </cell>
          <cell r="AG183" t="str">
            <v>KVA</v>
          </cell>
          <cell r="AH183">
            <v>178</v>
          </cell>
          <cell r="AI183" t="str">
            <v>R</v>
          </cell>
          <cell r="AJ183">
            <v>114490</v>
          </cell>
          <cell r="AK183" t="str">
            <v>30/09/2023</v>
          </cell>
          <cell r="AL183" t="str">
            <v>NES50269</v>
          </cell>
          <cell r="AM183" t="str">
            <v>TRI-VECTOR METER FOR RAILWAY TRACTION</v>
          </cell>
          <cell r="AN183" t="str">
            <v>POST PAID</v>
          </cell>
          <cell r="AO183">
            <v>250</v>
          </cell>
          <cell r="AP183" t="str">
            <v>TOD</v>
          </cell>
          <cell r="AQ183">
            <v>-9164.2000000000007</v>
          </cell>
          <cell r="AR183">
            <v>0</v>
          </cell>
          <cell r="AS183">
            <v>0</v>
          </cell>
          <cell r="AT183">
            <v>0</v>
          </cell>
          <cell r="AU183">
            <v>0</v>
          </cell>
          <cell r="AV183">
            <v>0</v>
          </cell>
          <cell r="AW183">
            <v>36433</v>
          </cell>
          <cell r="AX183">
            <v>47213</v>
          </cell>
          <cell r="AY183">
            <v>47213</v>
          </cell>
          <cell r="AZ183">
            <v>978.88</v>
          </cell>
          <cell r="BA183">
            <v>126.8</v>
          </cell>
        </row>
        <row r="184">
          <cell r="F184">
            <v>127000000013</v>
          </cell>
          <cell r="G184" t="str">
            <v>M/S GAYATRI CNSUMERS PRODUCTS P.LTD</v>
          </cell>
          <cell r="H184" t="str">
            <v>SRIKARA,JALESWAR</v>
          </cell>
          <cell r="I184" t="str">
            <v>10/31/2020 00:00:00</v>
          </cell>
          <cell r="J184">
            <v>1</v>
          </cell>
          <cell r="K184" t="str">
            <v xml:space="preserve"> </v>
          </cell>
          <cell r="L184" t="str">
            <v xml:space="preserve"> </v>
          </cell>
          <cell r="M184" t="str">
            <v>323000010231493936</v>
          </cell>
          <cell r="N184" t="str">
            <v>1270000013</v>
          </cell>
          <cell r="O184" t="str">
            <v>44729</v>
          </cell>
          <cell r="P184" t="str">
            <v>432312404</v>
          </cell>
          <cell r="Q184" t="str">
            <v>LARGE INDUSTRY</v>
          </cell>
          <cell r="R184" t="str">
            <v>HT</v>
          </cell>
          <cell r="S184" t="str">
            <v>01/10/2023</v>
          </cell>
          <cell r="T184" t="str">
            <v>01/10/2023</v>
          </cell>
          <cell r="U184" t="str">
            <v>06/10/2023</v>
          </cell>
          <cell r="V184" t="str">
            <v>09/10/2023</v>
          </cell>
          <cell r="W184" t="str">
            <v>2023/09</v>
          </cell>
          <cell r="X184" t="str">
            <v>11 KV</v>
          </cell>
          <cell r="Y184" t="str">
            <v>HT</v>
          </cell>
          <cell r="Z184">
            <v>240</v>
          </cell>
          <cell r="AA184">
            <v>0.98680000000000001</v>
          </cell>
          <cell r="AB184">
            <v>19.39</v>
          </cell>
          <cell r="AC184" t="str">
            <v xml:space="preserve">01/09/2023 -     </v>
          </cell>
          <cell r="AD184" t="str">
            <v>30.09.2023</v>
          </cell>
          <cell r="AE184" t="str">
            <v>30/1.0000</v>
          </cell>
          <cell r="AF184">
            <v>120</v>
          </cell>
          <cell r="AG184" t="str">
            <v>KVA</v>
          </cell>
          <cell r="AH184">
            <v>120</v>
          </cell>
          <cell r="AI184" t="str">
            <v>R</v>
          </cell>
          <cell r="AJ184">
            <v>1533288</v>
          </cell>
          <cell r="AK184" t="str">
            <v>30/09/2023</v>
          </cell>
          <cell r="AL184" t="str">
            <v>NES50364</v>
          </cell>
          <cell r="AM184" t="str">
            <v>TRI-VECTOR METER FOR RAILWAY TRACTION</v>
          </cell>
          <cell r="AN184" t="str">
            <v>POST PAID</v>
          </cell>
          <cell r="AO184">
            <v>500</v>
          </cell>
          <cell r="AP184" t="str">
            <v>TOD</v>
          </cell>
          <cell r="AQ184">
            <v>-1277720.1000000001</v>
          </cell>
          <cell r="AR184">
            <v>0</v>
          </cell>
          <cell r="AS184">
            <v>0</v>
          </cell>
          <cell r="AT184">
            <v>0</v>
          </cell>
          <cell r="AU184">
            <v>0</v>
          </cell>
          <cell r="AV184">
            <v>0</v>
          </cell>
          <cell r="AW184">
            <v>15718</v>
          </cell>
          <cell r="AX184">
            <v>15928</v>
          </cell>
          <cell r="AY184">
            <v>15928</v>
          </cell>
          <cell r="AZ184">
            <v>814.88</v>
          </cell>
          <cell r="BA184">
            <v>114.08</v>
          </cell>
        </row>
        <row r="185">
          <cell r="F185">
            <v>127000000014</v>
          </cell>
          <cell r="G185" t="str">
            <v>INTAKE WELL UNIT AT ARUHABRUTI-II</v>
          </cell>
          <cell r="H185" t="str">
            <v>C/O- ASSISTANT E.E. RWS&amp;S</v>
          </cell>
          <cell r="I185" t="str">
            <v>10/31/2020 00:00:00</v>
          </cell>
          <cell r="J185">
            <v>1</v>
          </cell>
          <cell r="K185" t="str">
            <v xml:space="preserve"> </v>
          </cell>
          <cell r="L185" t="str">
            <v xml:space="preserve"> </v>
          </cell>
          <cell r="M185" t="str">
            <v>323000010231493735</v>
          </cell>
          <cell r="N185" t="str">
            <v>1270000014</v>
          </cell>
          <cell r="O185" t="str">
            <v>L-58847</v>
          </cell>
          <cell r="P185" t="str">
            <v>432314201</v>
          </cell>
          <cell r="Q185" t="str">
            <v>PUBLIC WATER WORKS &amp; SEWERAGE PUMPING</v>
          </cell>
          <cell r="R185" t="str">
            <v>HT</v>
          </cell>
          <cell r="S185" t="str">
            <v>01/10/2023</v>
          </cell>
          <cell r="T185" t="str">
            <v>01/10/2023</v>
          </cell>
          <cell r="U185" t="str">
            <v>09/10/2023</v>
          </cell>
          <cell r="V185" t="str">
            <v>09/10/2023</v>
          </cell>
          <cell r="W185" t="str">
            <v>2023/09</v>
          </cell>
          <cell r="X185" t="str">
            <v>33 KV</v>
          </cell>
          <cell r="Y185" t="str">
            <v>HT</v>
          </cell>
          <cell r="Z185">
            <v>220</v>
          </cell>
          <cell r="AA185">
            <v>0.90100000000000002</v>
          </cell>
          <cell r="AB185">
            <v>75.260000000000005</v>
          </cell>
          <cell r="AC185" t="str">
            <v xml:space="preserve">01/09/2023 -     </v>
          </cell>
          <cell r="AD185" t="str">
            <v>30.09.2023</v>
          </cell>
          <cell r="AE185" t="str">
            <v>30/1.0000</v>
          </cell>
          <cell r="AF185">
            <v>275</v>
          </cell>
          <cell r="AG185" t="str">
            <v>KVA</v>
          </cell>
          <cell r="AH185">
            <v>275</v>
          </cell>
          <cell r="AI185" t="str">
            <v>R</v>
          </cell>
          <cell r="AJ185">
            <v>1063370</v>
          </cell>
          <cell r="AK185" t="str">
            <v>30/09/2023</v>
          </cell>
          <cell r="AL185" t="str">
            <v>NSC95109</v>
          </cell>
          <cell r="AM185" t="str">
            <v>THREE PHASE HT CT METER-33KV</v>
          </cell>
          <cell r="AN185" t="str">
            <v>POST PAID</v>
          </cell>
          <cell r="AO185">
            <v>1260</v>
          </cell>
          <cell r="AP185" t="str">
            <v>TOD</v>
          </cell>
          <cell r="AQ185">
            <v>-821838.6</v>
          </cell>
          <cell r="AR185">
            <v>0</v>
          </cell>
          <cell r="AS185">
            <v>0</v>
          </cell>
          <cell r="AT185">
            <v>0</v>
          </cell>
          <cell r="AU185">
            <v>0</v>
          </cell>
          <cell r="AV185">
            <v>0</v>
          </cell>
          <cell r="AW185">
            <v>49140</v>
          </cell>
          <cell r="AX185">
            <v>54536</v>
          </cell>
          <cell r="AY185">
            <v>54536</v>
          </cell>
          <cell r="AZ185">
            <v>720.32</v>
          </cell>
          <cell r="BA185">
            <v>100.64</v>
          </cell>
        </row>
        <row r="186">
          <cell r="F186">
            <v>127000000015</v>
          </cell>
          <cell r="G186" t="str">
            <v>WATER TREATMENT PLANT OF MEGA RWSS</v>
          </cell>
          <cell r="H186" t="str">
            <v>C/O- ASST. E. E. RWSS</v>
          </cell>
          <cell r="I186" t="str">
            <v>10/31/2020 00:00:00</v>
          </cell>
          <cell r="J186">
            <v>1</v>
          </cell>
          <cell r="K186" t="str">
            <v xml:space="preserve"> </v>
          </cell>
          <cell r="L186" t="str">
            <v xml:space="preserve"> </v>
          </cell>
          <cell r="M186" t="str">
            <v>323000010231494122</v>
          </cell>
          <cell r="N186" t="str">
            <v>1270000015</v>
          </cell>
          <cell r="O186" t="str">
            <v>L-58856</v>
          </cell>
          <cell r="P186" t="str">
            <v>432314201</v>
          </cell>
          <cell r="Q186" t="str">
            <v>PUBLIC WATER WORKS &amp; SEWERAGE PUMPING</v>
          </cell>
          <cell r="R186" t="str">
            <v>HT</v>
          </cell>
          <cell r="S186" t="str">
            <v>01/10/2023</v>
          </cell>
          <cell r="T186" t="str">
            <v>01/10/2023</v>
          </cell>
          <cell r="U186" t="str">
            <v>09/10/2023</v>
          </cell>
          <cell r="V186" t="str">
            <v>09/10/2023</v>
          </cell>
          <cell r="W186" t="str">
            <v>2023/09</v>
          </cell>
          <cell r="X186" t="str">
            <v>33 KV</v>
          </cell>
          <cell r="Y186" t="str">
            <v>HT</v>
          </cell>
          <cell r="Z186">
            <v>533.6</v>
          </cell>
          <cell r="AA186">
            <v>0.9224</v>
          </cell>
          <cell r="AB186">
            <v>59.21</v>
          </cell>
          <cell r="AC186" t="str">
            <v xml:space="preserve">01/09/2023 -     </v>
          </cell>
          <cell r="AD186" t="str">
            <v>30.09.2023</v>
          </cell>
          <cell r="AE186" t="str">
            <v>30/1.0000</v>
          </cell>
          <cell r="AF186">
            <v>667</v>
          </cell>
          <cell r="AG186" t="str">
            <v>KVA</v>
          </cell>
          <cell r="AH186">
            <v>667</v>
          </cell>
          <cell r="AI186" t="str">
            <v>R</v>
          </cell>
          <cell r="AJ186">
            <v>2579156</v>
          </cell>
          <cell r="AK186" t="str">
            <v>30/09/2023</v>
          </cell>
          <cell r="AL186" t="str">
            <v>NSC94795</v>
          </cell>
          <cell r="AM186" t="str">
            <v>THREE PHASE HT CT METER-33KV</v>
          </cell>
          <cell r="AN186" t="str">
            <v>POST PAID</v>
          </cell>
          <cell r="AO186">
            <v>2000</v>
          </cell>
          <cell r="AP186" t="str">
            <v>TOD</v>
          </cell>
          <cell r="AQ186">
            <v>-2039593.9</v>
          </cell>
          <cell r="AR186">
            <v>0</v>
          </cell>
          <cell r="AS186">
            <v>0</v>
          </cell>
          <cell r="AT186">
            <v>0</v>
          </cell>
          <cell r="AU186">
            <v>0</v>
          </cell>
          <cell r="AV186">
            <v>0</v>
          </cell>
          <cell r="AW186">
            <v>99480</v>
          </cell>
          <cell r="AX186">
            <v>107838</v>
          </cell>
          <cell r="AY186">
            <v>107838</v>
          </cell>
          <cell r="AZ186">
            <v>1746.24</v>
          </cell>
          <cell r="BA186">
            <v>252.95999999999998</v>
          </cell>
        </row>
        <row r="187">
          <cell r="F187">
            <v>127000000016</v>
          </cell>
          <cell r="G187" t="str">
            <v>G. K. BHATTAR HOSPITAL</v>
          </cell>
          <cell r="H187" t="str">
            <v>C/O- MEDICAL OFFICER,JALESWAR</v>
          </cell>
          <cell r="I187" t="str">
            <v>10/31/2020 00:00:00</v>
          </cell>
          <cell r="J187">
            <v>1</v>
          </cell>
          <cell r="K187" t="str">
            <v xml:space="preserve"> </v>
          </cell>
          <cell r="L187" t="str">
            <v xml:space="preserve"> </v>
          </cell>
          <cell r="M187" t="str">
            <v>323000010231493935</v>
          </cell>
          <cell r="N187" t="str">
            <v>1270000016</v>
          </cell>
          <cell r="O187" t="str">
            <v>L-58866</v>
          </cell>
          <cell r="P187" t="str">
            <v>462333403</v>
          </cell>
          <cell r="Q187" t="str">
            <v>SPECIFIED PUBLIC PURPOSE</v>
          </cell>
          <cell r="R187" t="str">
            <v>HT</v>
          </cell>
          <cell r="S187" t="str">
            <v>01/10/2023</v>
          </cell>
          <cell r="T187" t="str">
            <v>01/10/2023</v>
          </cell>
          <cell r="U187" t="str">
            <v>06/10/2023</v>
          </cell>
          <cell r="V187" t="str">
            <v>09/10/2023</v>
          </cell>
          <cell r="W187" t="str">
            <v>2023/09</v>
          </cell>
          <cell r="X187" t="str">
            <v>11 KV</v>
          </cell>
          <cell r="Y187" t="str">
            <v>HT</v>
          </cell>
          <cell r="Z187">
            <v>242.4</v>
          </cell>
          <cell r="AA187">
            <v>0.69640000000000002</v>
          </cell>
          <cell r="AB187">
            <v>41.61</v>
          </cell>
          <cell r="AC187" t="str">
            <v xml:space="preserve">01/09/2023 -     </v>
          </cell>
          <cell r="AD187" t="str">
            <v>30.09.2023</v>
          </cell>
          <cell r="AE187" t="str">
            <v>30/1.0000</v>
          </cell>
          <cell r="AF187">
            <v>303</v>
          </cell>
          <cell r="AG187" t="str">
            <v>KVA</v>
          </cell>
          <cell r="AH187">
            <v>303</v>
          </cell>
          <cell r="AI187" t="str">
            <v>R</v>
          </cell>
          <cell r="AJ187">
            <v>751465</v>
          </cell>
          <cell r="AK187" t="str">
            <v>30/09/2023</v>
          </cell>
          <cell r="AL187" t="str">
            <v>NSC95097</v>
          </cell>
          <cell r="AM187" t="str">
            <v>TRI-VECTOR METER FOR RAILWAY TRACTION</v>
          </cell>
          <cell r="AN187" t="str">
            <v>POST PAID</v>
          </cell>
          <cell r="AO187">
            <v>500</v>
          </cell>
          <cell r="AP187" t="str">
            <v>TOD</v>
          </cell>
          <cell r="AQ187">
            <v>-556262.5</v>
          </cell>
          <cell r="AR187">
            <v>0</v>
          </cell>
          <cell r="AS187">
            <v>0</v>
          </cell>
          <cell r="AT187">
            <v>0</v>
          </cell>
          <cell r="AU187">
            <v>0</v>
          </cell>
          <cell r="AV187">
            <v>0</v>
          </cell>
          <cell r="AW187">
            <v>5708</v>
          </cell>
          <cell r="AX187">
            <v>8196</v>
          </cell>
          <cell r="AY187">
            <v>8196</v>
          </cell>
          <cell r="AZ187">
            <v>167.04</v>
          </cell>
          <cell r="BA187">
            <v>27.36</v>
          </cell>
        </row>
        <row r="188">
          <cell r="F188">
            <v>127000000017</v>
          </cell>
          <cell r="G188" t="str">
            <v>M/S KESHAB PLAST</v>
          </cell>
          <cell r="H188" t="str">
            <v>PRO-DEEPAK KUMAR PAUL</v>
          </cell>
          <cell r="I188" t="str">
            <v>10/31/2020 00:00:00</v>
          </cell>
          <cell r="J188">
            <v>1</v>
          </cell>
          <cell r="K188" t="str">
            <v xml:space="preserve"> </v>
          </cell>
          <cell r="L188" t="str">
            <v xml:space="preserve"> </v>
          </cell>
          <cell r="M188" t="str">
            <v>323000010231495016</v>
          </cell>
          <cell r="N188" t="str">
            <v>1270000017</v>
          </cell>
          <cell r="O188" t="str">
            <v>E-38942</v>
          </cell>
          <cell r="P188" t="str">
            <v>432123204</v>
          </cell>
          <cell r="Q188" t="str">
            <v>LARGE INDUSTRY</v>
          </cell>
          <cell r="R188" t="str">
            <v>HT</v>
          </cell>
          <cell r="S188" t="str">
            <v>01/10/2023</v>
          </cell>
          <cell r="T188" t="str">
            <v>01/10/2023</v>
          </cell>
          <cell r="U188" t="str">
            <v>06/10/2023</v>
          </cell>
          <cell r="V188" t="str">
            <v>09/10/2023</v>
          </cell>
          <cell r="W188" t="str">
            <v>2023/09</v>
          </cell>
          <cell r="X188" t="str">
            <v>11 KV</v>
          </cell>
          <cell r="Y188" t="str">
            <v>HT</v>
          </cell>
          <cell r="Z188">
            <v>107.2</v>
          </cell>
          <cell r="AA188">
            <v>0.76180000000000003</v>
          </cell>
          <cell r="AB188">
            <v>29.65</v>
          </cell>
          <cell r="AC188" t="str">
            <v xml:space="preserve">01/09/2023 -     </v>
          </cell>
          <cell r="AD188" t="str">
            <v>30.09.2023</v>
          </cell>
          <cell r="AE188" t="str">
            <v>30/1.0000</v>
          </cell>
          <cell r="AF188">
            <v>134</v>
          </cell>
          <cell r="AG188" t="str">
            <v>KVA</v>
          </cell>
          <cell r="AH188">
            <v>134</v>
          </cell>
          <cell r="AI188" t="str">
            <v>R</v>
          </cell>
          <cell r="AJ188">
            <v>684869.26</v>
          </cell>
          <cell r="AK188" t="str">
            <v>30/09/2023</v>
          </cell>
          <cell r="AL188" t="str">
            <v>NSC94775</v>
          </cell>
          <cell r="AM188" t="str">
            <v>LT SINGLE PHASE AMR/AMI COMPLIANT METER-TOD</v>
          </cell>
          <cell r="AN188" t="str">
            <v>POST PAID</v>
          </cell>
          <cell r="AO188">
            <v>250</v>
          </cell>
          <cell r="AP188" t="str">
            <v>TOD</v>
          </cell>
          <cell r="AQ188">
            <v>-230156.96</v>
          </cell>
          <cell r="AR188">
            <v>0</v>
          </cell>
          <cell r="AS188">
            <v>0</v>
          </cell>
          <cell r="AT188">
            <v>0</v>
          </cell>
          <cell r="AU188">
            <v>0</v>
          </cell>
          <cell r="AV188">
            <v>0</v>
          </cell>
          <cell r="AW188">
            <v>0</v>
          </cell>
          <cell r="AX188">
            <v>0</v>
          </cell>
          <cell r="AY188">
            <v>17959</v>
          </cell>
          <cell r="AZ188">
            <v>0</v>
          </cell>
          <cell r="BA188">
            <v>0</v>
          </cell>
        </row>
        <row r="189">
          <cell r="F189">
            <v>127000000018</v>
          </cell>
          <cell r="G189" t="str">
            <v>SRI BISHNUPADA SUR</v>
          </cell>
          <cell r="H189" t="str">
            <v>SRADHAPUR,SRADHAPURBALASORE</v>
          </cell>
          <cell r="I189" t="str">
            <v>10/31/2020 00:00:00</v>
          </cell>
          <cell r="J189">
            <v>1</v>
          </cell>
          <cell r="K189" t="str">
            <v xml:space="preserve"> </v>
          </cell>
          <cell r="L189" t="str">
            <v xml:space="preserve"> </v>
          </cell>
          <cell r="M189" t="str">
            <v>323000010231493856</v>
          </cell>
          <cell r="N189" t="str">
            <v>1270000018</v>
          </cell>
          <cell r="O189" t="str">
            <v>58939</v>
          </cell>
          <cell r="P189" t="str">
            <v>432324402</v>
          </cell>
          <cell r="Q189" t="str">
            <v>ALLIED AGRICULTURE ACTIVITIES</v>
          </cell>
          <cell r="R189" t="str">
            <v>HT</v>
          </cell>
          <cell r="S189" t="str">
            <v>01/10/2023</v>
          </cell>
          <cell r="T189" t="str">
            <v>01/10/2023</v>
          </cell>
          <cell r="U189" t="str">
            <v>09/10/2023</v>
          </cell>
          <cell r="V189" t="str">
            <v>09/10/2023</v>
          </cell>
          <cell r="W189" t="str">
            <v>2023/09</v>
          </cell>
          <cell r="X189" t="str">
            <v>11 KV</v>
          </cell>
          <cell r="Y189" t="str">
            <v>HT</v>
          </cell>
          <cell r="Z189">
            <v>178</v>
          </cell>
          <cell r="AA189">
            <v>0.70430000000000004</v>
          </cell>
          <cell r="AB189">
            <v>0</v>
          </cell>
          <cell r="AC189" t="str">
            <v xml:space="preserve">01/09/2023 -     </v>
          </cell>
          <cell r="AD189" t="str">
            <v>30.09.2023</v>
          </cell>
          <cell r="AE189" t="str">
            <v>30/1.0000</v>
          </cell>
          <cell r="AF189">
            <v>178</v>
          </cell>
          <cell r="AG189" t="str">
            <v>KVA</v>
          </cell>
          <cell r="AH189">
            <v>178</v>
          </cell>
          <cell r="AI189" t="str">
            <v>R</v>
          </cell>
          <cell r="AJ189">
            <v>114900</v>
          </cell>
          <cell r="AK189" t="str">
            <v>30/09/2023</v>
          </cell>
          <cell r="AL189" t="str">
            <v>NSC94462</v>
          </cell>
          <cell r="AM189" t="str">
            <v>THREE PHASE STATIC TRI-VECTOR METER-TOD</v>
          </cell>
          <cell r="AN189" t="str">
            <v>POST PAID</v>
          </cell>
          <cell r="AO189">
            <v>250</v>
          </cell>
          <cell r="AP189" t="str">
            <v>TOD</v>
          </cell>
          <cell r="AQ189">
            <v>-12081</v>
          </cell>
          <cell r="AR189">
            <v>0</v>
          </cell>
          <cell r="AS189">
            <v>0</v>
          </cell>
          <cell r="AT189">
            <v>0</v>
          </cell>
          <cell r="AU189">
            <v>0</v>
          </cell>
          <cell r="AV189">
            <v>0</v>
          </cell>
          <cell r="AW189">
            <v>14760</v>
          </cell>
          <cell r="AX189">
            <v>20955</v>
          </cell>
          <cell r="AY189">
            <v>20955</v>
          </cell>
          <cell r="AZ189">
            <v>988.32</v>
          </cell>
          <cell r="BA189">
            <v>135.12</v>
          </cell>
        </row>
        <row r="190">
          <cell r="F190">
            <v>127000000019</v>
          </cell>
          <cell r="G190" t="str">
            <v>SATYASAI HETCHERY &amp; PALUTARY PRODU.</v>
          </cell>
          <cell r="H190" t="str">
            <v>PRO- SICHISMITA PRADHAN</v>
          </cell>
          <cell r="I190" t="str">
            <v>10/31/2020 00:00:00</v>
          </cell>
          <cell r="J190">
            <v>1</v>
          </cell>
          <cell r="K190" t="str">
            <v xml:space="preserve"> </v>
          </cell>
          <cell r="L190" t="str">
            <v xml:space="preserve"> </v>
          </cell>
          <cell r="M190" t="str">
            <v>323000010231493660</v>
          </cell>
          <cell r="N190" t="str">
            <v>1270000019</v>
          </cell>
          <cell r="O190" t="str">
            <v>58956</v>
          </cell>
          <cell r="P190" t="str">
            <v>432313503</v>
          </cell>
          <cell r="Q190" t="str">
            <v>ALLIED AGRICULTURE ACTIVITIES</v>
          </cell>
          <cell r="R190" t="str">
            <v>HT</v>
          </cell>
          <cell r="S190" t="str">
            <v>01/10/2023</v>
          </cell>
          <cell r="T190" t="str">
            <v>01/10/2023</v>
          </cell>
          <cell r="U190" t="str">
            <v>09/10/2023</v>
          </cell>
          <cell r="V190" t="str">
            <v>09/10/2023</v>
          </cell>
          <cell r="W190" t="str">
            <v>2023/09</v>
          </cell>
          <cell r="X190" t="str">
            <v>11 KV</v>
          </cell>
          <cell r="Y190" t="str">
            <v>HT</v>
          </cell>
          <cell r="Z190">
            <v>178</v>
          </cell>
          <cell r="AA190">
            <v>0.83050000000000002</v>
          </cell>
          <cell r="AB190">
            <v>0</v>
          </cell>
          <cell r="AC190" t="str">
            <v xml:space="preserve">01/09/2023 -     </v>
          </cell>
          <cell r="AD190" t="str">
            <v>30.09.2023</v>
          </cell>
          <cell r="AE190" t="str">
            <v>30/1.0000</v>
          </cell>
          <cell r="AF190">
            <v>178</v>
          </cell>
          <cell r="AG190" t="str">
            <v>KVA</v>
          </cell>
          <cell r="AH190">
            <v>178</v>
          </cell>
          <cell r="AI190" t="str">
            <v>R</v>
          </cell>
          <cell r="AJ190">
            <v>114990</v>
          </cell>
          <cell r="AK190" t="str">
            <v>30/09/2023</v>
          </cell>
          <cell r="AL190" t="str">
            <v>NSC94586</v>
          </cell>
          <cell r="AM190" t="str">
            <v>LT SINGLE PHASE AMR/AMI COMPLIANT METER-TOD</v>
          </cell>
          <cell r="AN190" t="str">
            <v>POST PAID</v>
          </cell>
          <cell r="AO190">
            <v>250</v>
          </cell>
          <cell r="AP190" t="str">
            <v>TOD</v>
          </cell>
          <cell r="AQ190">
            <v>-28881</v>
          </cell>
          <cell r="AR190">
            <v>0</v>
          </cell>
          <cell r="AS190">
            <v>0</v>
          </cell>
          <cell r="AT190">
            <v>0</v>
          </cell>
          <cell r="AU190">
            <v>0</v>
          </cell>
          <cell r="AV190">
            <v>0</v>
          </cell>
          <cell r="AW190">
            <v>13581</v>
          </cell>
          <cell r="AX190">
            <v>16352</v>
          </cell>
          <cell r="AY190">
            <v>16352</v>
          </cell>
          <cell r="AZ190">
            <v>342</v>
          </cell>
          <cell r="BA190">
            <v>47.760000000000005</v>
          </cell>
        </row>
        <row r="191">
          <cell r="F191">
            <v>127000000020</v>
          </cell>
          <cell r="G191" t="str">
            <v>SMT. MOUSUMI MAITY</v>
          </cell>
          <cell r="H191" t="str">
            <v>AT-KRUSHNA NAGAR,PO-JALESWAR,BALASORE</v>
          </cell>
          <cell r="I191" t="str">
            <v>01/07/2021 00:00:00</v>
          </cell>
          <cell r="J191">
            <v>1</v>
          </cell>
          <cell r="K191" t="str">
            <v xml:space="preserve"> </v>
          </cell>
          <cell r="L191" t="str">
            <v xml:space="preserve"> </v>
          </cell>
          <cell r="M191" t="str">
            <v>323000010231493718</v>
          </cell>
          <cell r="N191" t="str">
            <v>1270000020</v>
          </cell>
          <cell r="O191" t="str">
            <v>E-59007</v>
          </cell>
          <cell r="P191" t="str">
            <v>432123204</v>
          </cell>
          <cell r="Q191" t="str">
            <v>GENERAL PURPOSE &gt;= 110 KVA</v>
          </cell>
          <cell r="R191" t="str">
            <v>HT</v>
          </cell>
          <cell r="S191" t="str">
            <v>01/10/2023</v>
          </cell>
          <cell r="T191" t="str">
            <v>01/10/2023</v>
          </cell>
          <cell r="U191" t="str">
            <v>06/10/2023</v>
          </cell>
          <cell r="V191" t="str">
            <v>09/10/2023</v>
          </cell>
          <cell r="W191" t="str">
            <v>2023/09</v>
          </cell>
          <cell r="X191" t="str">
            <v>11 KV</v>
          </cell>
          <cell r="Y191" t="str">
            <v>HT</v>
          </cell>
          <cell r="Z191">
            <v>128</v>
          </cell>
          <cell r="AA191">
            <v>0.94720000000000004</v>
          </cell>
          <cell r="AB191">
            <v>35.29</v>
          </cell>
          <cell r="AC191" t="str">
            <v xml:space="preserve">01/09/2023 -     </v>
          </cell>
          <cell r="AD191" t="str">
            <v>30.09.2023</v>
          </cell>
          <cell r="AE191" t="str">
            <v>30/1.0000</v>
          </cell>
          <cell r="AF191">
            <v>160</v>
          </cell>
          <cell r="AG191" t="str">
            <v>KVA</v>
          </cell>
          <cell r="AH191">
            <v>160</v>
          </cell>
          <cell r="AI191" t="str">
            <v>R</v>
          </cell>
          <cell r="AJ191">
            <v>820340</v>
          </cell>
          <cell r="AK191" t="str">
            <v>30/09/2023</v>
          </cell>
          <cell r="AL191" t="str">
            <v>NSC94468</v>
          </cell>
          <cell r="AM191" t="str">
            <v>TRI-VECTOR METER FOR RAILWAY TRACTION</v>
          </cell>
          <cell r="AN191" t="str">
            <v>POST PAID</v>
          </cell>
          <cell r="AO191">
            <v>250</v>
          </cell>
          <cell r="AP191" t="str">
            <v>TOD</v>
          </cell>
          <cell r="AQ191">
            <v>-412711</v>
          </cell>
          <cell r="AR191">
            <v>0</v>
          </cell>
          <cell r="AS191">
            <v>0</v>
          </cell>
          <cell r="AT191">
            <v>0</v>
          </cell>
          <cell r="AU191">
            <v>0</v>
          </cell>
          <cell r="AV191">
            <v>0</v>
          </cell>
          <cell r="AW191">
            <v>29649</v>
          </cell>
          <cell r="AX191">
            <v>31301</v>
          </cell>
          <cell r="AY191">
            <v>31301</v>
          </cell>
          <cell r="AZ191">
            <v>810.8</v>
          </cell>
          <cell r="BA191">
            <v>123.2</v>
          </cell>
        </row>
        <row r="192">
          <cell r="F192">
            <v>127000000021</v>
          </cell>
          <cell r="G192" t="str">
            <v>NAROTTAM PRADHAN</v>
          </cell>
          <cell r="H192" t="str">
            <v>TUKUKIHAZIRA,BHOGRAI</v>
          </cell>
          <cell r="I192" t="str">
            <v>02/06/2021 00:00:00</v>
          </cell>
          <cell r="J192">
            <v>1</v>
          </cell>
          <cell r="K192" t="str">
            <v xml:space="preserve"> </v>
          </cell>
          <cell r="L192" t="str">
            <v xml:space="preserve"> </v>
          </cell>
          <cell r="M192" t="str">
            <v>323000010231494121</v>
          </cell>
          <cell r="N192" t="str">
            <v>1270000021</v>
          </cell>
          <cell r="O192" t="str">
            <v>N-59034</v>
          </cell>
          <cell r="P192" t="str">
            <v>432324101</v>
          </cell>
          <cell r="Q192" t="str">
            <v>ALLIED AGRICULTURE ACTIVITIES</v>
          </cell>
          <cell r="R192" t="str">
            <v>HT</v>
          </cell>
          <cell r="S192" t="str">
            <v>01/10/2023</v>
          </cell>
          <cell r="T192" t="str">
            <v>01/10/2023</v>
          </cell>
          <cell r="U192" t="str">
            <v>09/10/2023</v>
          </cell>
          <cell r="V192" t="str">
            <v>09/10/2023</v>
          </cell>
          <cell r="W192" t="str">
            <v>2023/09</v>
          </cell>
          <cell r="X192" t="str">
            <v>11 KV</v>
          </cell>
          <cell r="Y192" t="str">
            <v>HT</v>
          </cell>
          <cell r="Z192">
            <v>150</v>
          </cell>
          <cell r="AA192">
            <v>0.2402</v>
          </cell>
          <cell r="AB192">
            <v>0</v>
          </cell>
          <cell r="AC192" t="str">
            <v xml:space="preserve">01/09/2023 -     </v>
          </cell>
          <cell r="AD192" t="str">
            <v>30.09.2023</v>
          </cell>
          <cell r="AE192" t="str">
            <v>30/1.0000</v>
          </cell>
          <cell r="AF192">
            <v>150</v>
          </cell>
          <cell r="AG192" t="str">
            <v>KVA</v>
          </cell>
          <cell r="AH192">
            <v>150</v>
          </cell>
          <cell r="AI192" t="str">
            <v>R</v>
          </cell>
          <cell r="AJ192">
            <v>96480</v>
          </cell>
          <cell r="AK192" t="str">
            <v>30/09/2023</v>
          </cell>
          <cell r="AL192" t="str">
            <v>NSC95014</v>
          </cell>
          <cell r="AM192" t="str">
            <v>TRI-VECTOR METER FOR RAILWAY TRACTION</v>
          </cell>
          <cell r="AN192" t="str">
            <v>POST PAID</v>
          </cell>
          <cell r="AO192">
            <v>250</v>
          </cell>
          <cell r="AP192" t="str">
            <v>TOD</v>
          </cell>
          <cell r="AQ192">
            <v>-59841</v>
          </cell>
          <cell r="AR192">
            <v>0</v>
          </cell>
          <cell r="AS192">
            <v>0</v>
          </cell>
          <cell r="AT192">
            <v>0</v>
          </cell>
          <cell r="AU192">
            <v>0</v>
          </cell>
          <cell r="AV192">
            <v>0</v>
          </cell>
          <cell r="AW192">
            <v>748</v>
          </cell>
          <cell r="AX192">
            <v>3113</v>
          </cell>
          <cell r="AY192">
            <v>3113</v>
          </cell>
          <cell r="AZ192">
            <v>518.04</v>
          </cell>
          <cell r="BA192">
            <v>17.64</v>
          </cell>
        </row>
        <row r="193">
          <cell r="F193">
            <v>127000000022</v>
          </cell>
          <cell r="G193" t="str">
            <v>SUDHASREE MINERALS AND INDUSTRIES P</v>
          </cell>
          <cell r="H193" t="str">
            <v xml:space="preserve">RAJPUR                             </v>
          </cell>
          <cell r="I193" t="str">
            <v>01/25/2021 00:00:00</v>
          </cell>
          <cell r="J193">
            <v>1</v>
          </cell>
          <cell r="K193" t="str">
            <v xml:space="preserve">JAMALPUR                           </v>
          </cell>
          <cell r="L193" t="str">
            <v xml:space="preserve">JALESWAR                           </v>
          </cell>
          <cell r="M193" t="str">
            <v>323000010231493731</v>
          </cell>
          <cell r="N193" t="str">
            <v>33231025438</v>
          </cell>
          <cell r="O193" t="str">
            <v>F-42467</v>
          </cell>
          <cell r="P193" t="str">
            <v>432312402</v>
          </cell>
          <cell r="Q193" t="str">
            <v>LARGE INDUSTRY</v>
          </cell>
          <cell r="R193" t="str">
            <v>HT</v>
          </cell>
          <cell r="S193" t="str">
            <v>01/10/2023</v>
          </cell>
          <cell r="T193" t="str">
            <v>01/10/2023</v>
          </cell>
          <cell r="U193" t="str">
            <v>06/10/2023</v>
          </cell>
          <cell r="V193" t="str">
            <v>09/10/2023</v>
          </cell>
          <cell r="W193" t="str">
            <v>2023/09</v>
          </cell>
          <cell r="X193" t="str">
            <v>11 KV</v>
          </cell>
          <cell r="Y193" t="str">
            <v>HT</v>
          </cell>
          <cell r="Z193">
            <v>166.72</v>
          </cell>
          <cell r="AA193">
            <v>0.95140000000000002</v>
          </cell>
          <cell r="AB193">
            <v>29.1</v>
          </cell>
          <cell r="AC193" t="str">
            <v xml:space="preserve">01/09/2023 -     </v>
          </cell>
          <cell r="AD193" t="str">
            <v>30.09.2023</v>
          </cell>
          <cell r="AE193" t="str">
            <v>30/1.0000</v>
          </cell>
          <cell r="AF193">
            <v>134</v>
          </cell>
          <cell r="AG193" t="str">
            <v>KVA</v>
          </cell>
          <cell r="AH193">
            <v>134</v>
          </cell>
          <cell r="AI193" t="str">
            <v>R</v>
          </cell>
          <cell r="AJ193">
            <v>745652.86</v>
          </cell>
          <cell r="AK193" t="str">
            <v>30/09/2023</v>
          </cell>
          <cell r="AL193" t="str">
            <v>TPSENSC94522</v>
          </cell>
          <cell r="AM193" t="str">
            <v>HT THREE PHASE 4 WIRE AMR/AMI COMPLAINT METER</v>
          </cell>
          <cell r="AN193" t="str">
            <v>POST PAID</v>
          </cell>
          <cell r="AO193">
            <v>250</v>
          </cell>
          <cell r="AP193" t="str">
            <v>TOD</v>
          </cell>
          <cell r="AQ193">
            <v>-452884.72</v>
          </cell>
          <cell r="AR193">
            <v>0</v>
          </cell>
          <cell r="AS193">
            <v>0</v>
          </cell>
          <cell r="AT193">
            <v>0</v>
          </cell>
          <cell r="AU193">
            <v>0</v>
          </cell>
          <cell r="AV193">
            <v>0</v>
          </cell>
          <cell r="AW193">
            <v>33239</v>
          </cell>
          <cell r="AX193">
            <v>34935</v>
          </cell>
          <cell r="AY193">
            <v>34935</v>
          </cell>
          <cell r="AZ193">
            <v>1350.56</v>
          </cell>
          <cell r="BA193">
            <v>166.72</v>
          </cell>
        </row>
        <row r="194">
          <cell r="F194">
            <v>127000000023</v>
          </cell>
          <cell r="G194" t="str">
            <v>RAHEE INFRATECH LTD</v>
          </cell>
          <cell r="H194" t="str">
            <v>PLOT NO-55 KHATA NO-388 MOUZA- CHALANTI</v>
          </cell>
          <cell r="I194" t="str">
            <v>01/24/2023 00:00:00</v>
          </cell>
          <cell r="J194">
            <v>1</v>
          </cell>
          <cell r="K194" t="str">
            <v>CHALANTI</v>
          </cell>
          <cell r="L194" t="str">
            <v>CHALANTI</v>
          </cell>
          <cell r="M194" t="str">
            <v>323000010231493860</v>
          </cell>
          <cell r="N194" t="str">
            <v>132321224763</v>
          </cell>
          <cell r="O194" t="str">
            <v xml:space="preserve"> </v>
          </cell>
          <cell r="P194" t="str">
            <v>NULL</v>
          </cell>
          <cell r="Q194" t="str">
            <v>GENERAL PURPOSE &gt;= 110 KVA</v>
          </cell>
          <cell r="R194" t="str">
            <v>HT</v>
          </cell>
          <cell r="S194" t="str">
            <v>01/10/2023</v>
          </cell>
          <cell r="T194" t="str">
            <v>01/10/2023</v>
          </cell>
          <cell r="U194" t="str">
            <v>06/10/2023</v>
          </cell>
          <cell r="V194" t="str">
            <v>09/10/2023</v>
          </cell>
          <cell r="W194" t="str">
            <v>2023/09</v>
          </cell>
          <cell r="X194" t="str">
            <v>11 KV</v>
          </cell>
          <cell r="Y194" t="str">
            <v>HT</v>
          </cell>
          <cell r="Z194">
            <v>111.2</v>
          </cell>
          <cell r="AA194">
            <v>1</v>
          </cell>
          <cell r="AB194">
            <v>44.53</v>
          </cell>
          <cell r="AC194" t="str">
            <v xml:space="preserve">01/09/2023 -     </v>
          </cell>
          <cell r="AD194" t="str">
            <v>30.09.2023</v>
          </cell>
          <cell r="AE194" t="str">
            <v>30/1.0000</v>
          </cell>
          <cell r="AF194">
            <v>139</v>
          </cell>
          <cell r="AG194" t="str">
            <v>KVA</v>
          </cell>
          <cell r="AH194">
            <v>139</v>
          </cell>
          <cell r="AI194" t="str">
            <v>R</v>
          </cell>
          <cell r="AJ194">
            <v>406555.56</v>
          </cell>
          <cell r="AK194" t="str">
            <v>30/09/2023</v>
          </cell>
          <cell r="AL194" t="str">
            <v>TPN64325</v>
          </cell>
          <cell r="AM194" t="str">
            <v>HT THREE PHASE 4 WIRE AMR/AMI COMPLAINT METER</v>
          </cell>
          <cell r="AN194" t="str">
            <v>POST PAID</v>
          </cell>
          <cell r="AO194">
            <v>250</v>
          </cell>
          <cell r="AP194" t="str">
            <v>TOD</v>
          </cell>
          <cell r="AQ194">
            <v>0</v>
          </cell>
          <cell r="AR194">
            <v>0</v>
          </cell>
          <cell r="AS194">
            <v>0</v>
          </cell>
          <cell r="AT194">
            <v>0</v>
          </cell>
          <cell r="AU194">
            <v>0</v>
          </cell>
          <cell r="AV194">
            <v>0</v>
          </cell>
          <cell r="AW194">
            <v>3950</v>
          </cell>
          <cell r="AX194">
            <v>3950</v>
          </cell>
          <cell r="AY194">
            <v>3950</v>
          </cell>
          <cell r="AZ194">
            <v>404.56</v>
          </cell>
          <cell r="BA194">
            <v>12.32</v>
          </cell>
        </row>
        <row r="195">
          <cell r="F195">
            <v>126000000002</v>
          </cell>
          <cell r="G195" t="str">
            <v>ALL INDIA RADIO</v>
          </cell>
          <cell r="H195" t="str">
            <v>C/o DPTY DIRECTOR (ENGG)</v>
          </cell>
          <cell r="I195" t="str">
            <v>10/31/2020 00:00:00</v>
          </cell>
          <cell r="J195">
            <v>1</v>
          </cell>
          <cell r="K195" t="str">
            <v xml:space="preserve"> </v>
          </cell>
          <cell r="L195" t="str">
            <v xml:space="preserve"> </v>
          </cell>
          <cell r="M195" t="str">
            <v>325000010231492412</v>
          </cell>
          <cell r="N195" t="str">
            <v>1260000001</v>
          </cell>
          <cell r="O195" t="str">
            <v>68024GP</v>
          </cell>
          <cell r="P195" t="str">
            <v>432512201</v>
          </cell>
          <cell r="Q195" t="str">
            <v>GENERAL PURPOSE &gt;= 110 KVA</v>
          </cell>
          <cell r="R195" t="str">
            <v>HT</v>
          </cell>
          <cell r="S195" t="str">
            <v>01/10/2023</v>
          </cell>
          <cell r="T195" t="str">
            <v>01/10/2023</v>
          </cell>
          <cell r="U195" t="str">
            <v>06/10/2023</v>
          </cell>
          <cell r="V195" t="str">
            <v>09/10/2023</v>
          </cell>
          <cell r="W195" t="str">
            <v>2023/09</v>
          </cell>
          <cell r="X195" t="str">
            <v>11 KV</v>
          </cell>
          <cell r="Y195" t="str">
            <v>LT</v>
          </cell>
          <cell r="Z195">
            <v>94.4</v>
          </cell>
          <cell r="AA195">
            <v>0.98850000000000005</v>
          </cell>
          <cell r="AB195">
            <v>42.32</v>
          </cell>
          <cell r="AC195" t="str">
            <v xml:space="preserve">01/09/2023 -     </v>
          </cell>
          <cell r="AD195" t="str">
            <v>30.09.2023</v>
          </cell>
          <cell r="AE195" t="str">
            <v>30/1.0000</v>
          </cell>
          <cell r="AF195">
            <v>118</v>
          </cell>
          <cell r="AG195" t="str">
            <v>KVA</v>
          </cell>
          <cell r="AH195">
            <v>118</v>
          </cell>
          <cell r="AI195" t="str">
            <v>R</v>
          </cell>
          <cell r="AJ195">
            <v>207113</v>
          </cell>
          <cell r="AK195" t="str">
            <v>30/09/2023</v>
          </cell>
          <cell r="AL195" t="str">
            <v>TPNODL37100859</v>
          </cell>
          <cell r="AM195" t="str">
            <v>THREE PHASE SMART LTCT METER-TOD</v>
          </cell>
          <cell r="AN195" t="str">
            <v>SMART METER</v>
          </cell>
          <cell r="AO195">
            <v>150</v>
          </cell>
          <cell r="AP195" t="str">
            <v>TOD</v>
          </cell>
          <cell r="AQ195">
            <v>-126217</v>
          </cell>
          <cell r="AR195">
            <v>0</v>
          </cell>
          <cell r="AS195">
            <v>0</v>
          </cell>
          <cell r="AT195">
            <v>0</v>
          </cell>
          <cell r="AU195">
            <v>0</v>
          </cell>
          <cell r="AV195">
            <v>0</v>
          </cell>
          <cell r="AW195">
            <v>2925</v>
          </cell>
          <cell r="AX195">
            <v>2959</v>
          </cell>
          <cell r="AY195">
            <v>3507</v>
          </cell>
          <cell r="AZ195">
            <v>0.53800000000000003</v>
          </cell>
          <cell r="BA195">
            <v>11.510000000000002</v>
          </cell>
        </row>
        <row r="196">
          <cell r="F196">
            <v>126000000003</v>
          </cell>
          <cell r="G196" t="str">
            <v>M/S JAGANATH RICE MILL</v>
          </cell>
          <cell r="H196" t="str">
            <v>AT-MAITAPUR,PO-RANITAL</v>
          </cell>
          <cell r="I196" t="str">
            <v>10/31/2020 00:00:00</v>
          </cell>
          <cell r="J196">
            <v>1</v>
          </cell>
          <cell r="K196" t="str">
            <v xml:space="preserve"> </v>
          </cell>
          <cell r="L196" t="str">
            <v xml:space="preserve"> </v>
          </cell>
          <cell r="M196" t="str">
            <v>325000010231492430</v>
          </cell>
          <cell r="N196" t="str">
            <v>1260000002</v>
          </cell>
          <cell r="O196" t="str">
            <v>SM-18087</v>
          </cell>
          <cell r="P196" t="str">
            <v>44287414004</v>
          </cell>
          <cell r="Q196" t="str">
            <v>LARGE INDUSTRY</v>
          </cell>
          <cell r="R196" t="str">
            <v>HT</v>
          </cell>
          <cell r="S196" t="str">
            <v>01/10/2023</v>
          </cell>
          <cell r="T196" t="str">
            <v>01/10/2023</v>
          </cell>
          <cell r="U196" t="str">
            <v>06/10/2023</v>
          </cell>
          <cell r="V196" t="str">
            <v>09/10/2023</v>
          </cell>
          <cell r="W196" t="str">
            <v>2023/09</v>
          </cell>
          <cell r="X196" t="str">
            <v>33 KV</v>
          </cell>
          <cell r="Y196" t="str">
            <v>HT</v>
          </cell>
          <cell r="Z196">
            <v>237.12</v>
          </cell>
          <cell r="AA196">
            <v>0.98089999999999999</v>
          </cell>
          <cell r="AB196">
            <v>22.88</v>
          </cell>
          <cell r="AC196" t="str">
            <v xml:space="preserve">01/09/2023 -     </v>
          </cell>
          <cell r="AD196" t="str">
            <v>30.09.2023</v>
          </cell>
          <cell r="AE196" t="str">
            <v>30/1.0000</v>
          </cell>
          <cell r="AF196">
            <v>230</v>
          </cell>
          <cell r="AG196" t="str">
            <v>KVA</v>
          </cell>
          <cell r="AH196">
            <v>230</v>
          </cell>
          <cell r="AI196" t="str">
            <v>R</v>
          </cell>
          <cell r="AJ196">
            <v>656445.48</v>
          </cell>
          <cell r="AK196" t="str">
            <v>30/09/2023</v>
          </cell>
          <cell r="AL196" t="str">
            <v>NSC94764</v>
          </cell>
          <cell r="AM196" t="str">
            <v>THREE PHASE HT CT METER-33KV</v>
          </cell>
          <cell r="AN196" t="str">
            <v>POST PAID</v>
          </cell>
          <cell r="AO196">
            <v>250</v>
          </cell>
          <cell r="AP196" t="str">
            <v>TOD</v>
          </cell>
          <cell r="AQ196">
            <v>138712.57999999999</v>
          </cell>
          <cell r="AR196">
            <v>0</v>
          </cell>
          <cell r="AS196">
            <v>0</v>
          </cell>
          <cell r="AT196">
            <v>0</v>
          </cell>
          <cell r="AU196">
            <v>0</v>
          </cell>
          <cell r="AV196">
            <v>0</v>
          </cell>
          <cell r="AW196">
            <v>38322</v>
          </cell>
          <cell r="AX196">
            <v>39066</v>
          </cell>
          <cell r="AY196">
            <v>39066</v>
          </cell>
          <cell r="AZ196">
            <v>1492.56</v>
          </cell>
          <cell r="BA196">
            <v>237.12</v>
          </cell>
        </row>
        <row r="197">
          <cell r="F197">
            <v>126000000004</v>
          </cell>
          <cell r="G197" t="str">
            <v>M/S.JASODA AGRO FOODS</v>
          </cell>
          <cell r="H197" t="str">
            <v>C/O-TAPAN JENA,</v>
          </cell>
          <cell r="I197" t="str">
            <v>10/31/2020 00:00:00</v>
          </cell>
          <cell r="J197">
            <v>1</v>
          </cell>
          <cell r="K197" t="str">
            <v xml:space="preserve"> </v>
          </cell>
          <cell r="L197" t="str">
            <v xml:space="preserve"> </v>
          </cell>
          <cell r="M197" t="str">
            <v>325000010231492524</v>
          </cell>
          <cell r="N197" t="str">
            <v>1260000003</v>
          </cell>
          <cell r="O197" t="str">
            <v>SII52792</v>
          </cell>
          <cell r="P197" t="str">
            <v>432511501</v>
          </cell>
          <cell r="Q197" t="str">
            <v>LARGE INDUSTRY</v>
          </cell>
          <cell r="R197" t="str">
            <v>HT</v>
          </cell>
          <cell r="S197" t="str">
            <v>01/10/2023</v>
          </cell>
          <cell r="T197" t="str">
            <v>01/10/2023</v>
          </cell>
          <cell r="U197" t="str">
            <v>06/10/2023</v>
          </cell>
          <cell r="V197" t="str">
            <v>09/10/2023</v>
          </cell>
          <cell r="W197" t="str">
            <v>2023/09</v>
          </cell>
          <cell r="X197" t="str">
            <v>11 KV</v>
          </cell>
          <cell r="Y197" t="str">
            <v>HT</v>
          </cell>
          <cell r="Z197">
            <v>120</v>
          </cell>
          <cell r="AA197">
            <v>1</v>
          </cell>
          <cell r="AB197">
            <v>20.420000000000002</v>
          </cell>
          <cell r="AC197" t="str">
            <v xml:space="preserve">01/09/2023 -     </v>
          </cell>
          <cell r="AD197" t="str">
            <v>30.09.2023</v>
          </cell>
          <cell r="AE197" t="str">
            <v>30/1.0000</v>
          </cell>
          <cell r="AF197">
            <v>150</v>
          </cell>
          <cell r="AG197" t="str">
            <v>KVA</v>
          </cell>
          <cell r="AH197">
            <v>150</v>
          </cell>
          <cell r="AI197" t="str">
            <v>R</v>
          </cell>
          <cell r="AJ197">
            <v>456240</v>
          </cell>
          <cell r="AK197" t="str">
            <v>30/09/2023</v>
          </cell>
          <cell r="AL197" t="str">
            <v>TPN64256</v>
          </cell>
          <cell r="AM197" t="str">
            <v>THREE PHASE STATIC TRI-VECTOR METER-TOD</v>
          </cell>
          <cell r="AN197" t="str">
            <v>POST PAID</v>
          </cell>
          <cell r="AO197">
            <v>250</v>
          </cell>
          <cell r="AP197" t="str">
            <v>TOD</v>
          </cell>
          <cell r="AQ197">
            <v>-108642.3</v>
          </cell>
          <cell r="AR197">
            <v>0</v>
          </cell>
          <cell r="AS197">
            <v>0</v>
          </cell>
          <cell r="AT197">
            <v>0</v>
          </cell>
          <cell r="AU197">
            <v>0</v>
          </cell>
          <cell r="AV197">
            <v>0</v>
          </cell>
          <cell r="AW197">
            <v>3423</v>
          </cell>
          <cell r="AX197">
            <v>3423</v>
          </cell>
          <cell r="AY197">
            <v>3423</v>
          </cell>
          <cell r="AZ197">
            <v>644.64</v>
          </cell>
          <cell r="BA197">
            <v>23.28</v>
          </cell>
        </row>
        <row r="198">
          <cell r="F198">
            <v>126000000006</v>
          </cell>
          <cell r="G198" t="str">
            <v>M/S AUM SWASTIK FOODS</v>
          </cell>
          <cell r="H198" t="str">
            <v>PROP:-BIJOY KUMAR GUPTA</v>
          </cell>
          <cell r="I198" t="str">
            <v>10/31/2020 00:00:00</v>
          </cell>
          <cell r="J198">
            <v>1</v>
          </cell>
          <cell r="K198" t="str">
            <v xml:space="preserve"> </v>
          </cell>
          <cell r="L198" t="str">
            <v xml:space="preserve"> </v>
          </cell>
          <cell r="M198" t="str">
            <v>325000010231492528</v>
          </cell>
          <cell r="N198" t="str">
            <v>1260000004</v>
          </cell>
          <cell r="O198" t="str">
            <v>3116898</v>
          </cell>
          <cell r="P198" t="str">
            <v>442143405</v>
          </cell>
          <cell r="Q198" t="str">
            <v>LARGE INDUSTRY</v>
          </cell>
          <cell r="R198" t="str">
            <v>HT</v>
          </cell>
          <cell r="S198" t="str">
            <v>01/10/2023</v>
          </cell>
          <cell r="T198" t="str">
            <v>01/10/2023</v>
          </cell>
          <cell r="U198" t="str">
            <v>06/10/2023</v>
          </cell>
          <cell r="V198" t="str">
            <v>09/10/2023</v>
          </cell>
          <cell r="W198" t="str">
            <v>2023/09</v>
          </cell>
          <cell r="X198" t="str">
            <v>11 KV</v>
          </cell>
          <cell r="Y198" t="str">
            <v>HT</v>
          </cell>
          <cell r="Z198">
            <v>246.24</v>
          </cell>
          <cell r="AA198">
            <v>0.92830000000000001</v>
          </cell>
          <cell r="AB198">
            <v>36.950000000000003</v>
          </cell>
          <cell r="AC198" t="str">
            <v xml:space="preserve">01/09/2023 -     </v>
          </cell>
          <cell r="AD198" t="str">
            <v>30.09.2023</v>
          </cell>
          <cell r="AE198" t="str">
            <v>30/1.0000</v>
          </cell>
          <cell r="AF198">
            <v>301</v>
          </cell>
          <cell r="AG198" t="str">
            <v>KVA</v>
          </cell>
          <cell r="AH198">
            <v>301</v>
          </cell>
          <cell r="AI198" t="str">
            <v>R</v>
          </cell>
          <cell r="AJ198">
            <v>855059</v>
          </cell>
          <cell r="AK198" t="str">
            <v>30/09/2023</v>
          </cell>
          <cell r="AL198" t="str">
            <v>TPSENES50432</v>
          </cell>
          <cell r="AM198" t="str">
            <v>THREE PHASE STATIC TRI-VECTOR METER</v>
          </cell>
          <cell r="AN198" t="str">
            <v>POST PAID</v>
          </cell>
          <cell r="AO198">
            <v>250</v>
          </cell>
          <cell r="AP198" t="str">
            <v>TOD</v>
          </cell>
          <cell r="AQ198">
            <v>-77770.36</v>
          </cell>
          <cell r="AR198">
            <v>0</v>
          </cell>
          <cell r="AS198">
            <v>0</v>
          </cell>
          <cell r="AT198">
            <v>0</v>
          </cell>
          <cell r="AU198">
            <v>0</v>
          </cell>
          <cell r="AV198">
            <v>0</v>
          </cell>
          <cell r="AW198">
            <v>60810</v>
          </cell>
          <cell r="AX198">
            <v>65505</v>
          </cell>
          <cell r="AY198">
            <v>65505</v>
          </cell>
          <cell r="AZ198">
            <v>1807.92</v>
          </cell>
          <cell r="BA198">
            <v>246.23999999999998</v>
          </cell>
        </row>
        <row r="199">
          <cell r="F199">
            <v>126000000007</v>
          </cell>
          <cell r="G199" t="str">
            <v>ANSHUMAN RICE MILL</v>
          </cell>
          <cell r="H199" t="str">
            <v>C/O- MANMATH KU. DAS,AT/PO- RUDHUNGAMARKONA</v>
          </cell>
          <cell r="I199" t="str">
            <v>10/31/2020 00:00:00</v>
          </cell>
          <cell r="J199">
            <v>1</v>
          </cell>
          <cell r="K199" t="str">
            <v xml:space="preserve"> </v>
          </cell>
          <cell r="L199" t="str">
            <v xml:space="preserve"> </v>
          </cell>
          <cell r="M199" t="str">
            <v>325000010231492615</v>
          </cell>
          <cell r="N199" t="str">
            <v>1260000005</v>
          </cell>
          <cell r="O199" t="str">
            <v>SM-3120192</v>
          </cell>
          <cell r="P199" t="str">
            <v>432531202</v>
          </cell>
          <cell r="Q199" t="str">
            <v>LARGE INDUSTRY</v>
          </cell>
          <cell r="R199" t="str">
            <v>HT</v>
          </cell>
          <cell r="S199" t="str">
            <v>01/10/2023</v>
          </cell>
          <cell r="T199" t="str">
            <v>01/10/2023</v>
          </cell>
          <cell r="U199" t="str">
            <v>06/10/2023</v>
          </cell>
          <cell r="V199" t="str">
            <v>09/10/2023</v>
          </cell>
          <cell r="W199" t="str">
            <v>2023/09</v>
          </cell>
          <cell r="X199" t="str">
            <v>11 KV</v>
          </cell>
          <cell r="Y199" t="str">
            <v>HT</v>
          </cell>
          <cell r="Z199">
            <v>157.46</v>
          </cell>
          <cell r="AA199">
            <v>0.98619999999999997</v>
          </cell>
          <cell r="AB199">
            <v>19.93</v>
          </cell>
          <cell r="AC199" t="str">
            <v xml:space="preserve">01/09/2023 -     </v>
          </cell>
          <cell r="AD199" t="str">
            <v>30.09.2023</v>
          </cell>
          <cell r="AE199" t="str">
            <v>30/1.0000</v>
          </cell>
          <cell r="AF199">
            <v>178</v>
          </cell>
          <cell r="AG199" t="str">
            <v>KVA</v>
          </cell>
          <cell r="AH199">
            <v>178</v>
          </cell>
          <cell r="AI199" t="str">
            <v>R</v>
          </cell>
          <cell r="AJ199">
            <v>488347</v>
          </cell>
          <cell r="AK199" t="str">
            <v>30/09/2023</v>
          </cell>
          <cell r="AL199" t="str">
            <v>TPNODL38110651</v>
          </cell>
          <cell r="AM199" t="str">
            <v>THREE PHASE SMART HT CT METER (AMR/AMI)-11KV</v>
          </cell>
          <cell r="AN199" t="str">
            <v>SMART METER</v>
          </cell>
          <cell r="AO199">
            <v>250</v>
          </cell>
          <cell r="AP199" t="str">
            <v>TOD</v>
          </cell>
          <cell r="AQ199">
            <v>8038.14</v>
          </cell>
          <cell r="AR199">
            <v>0</v>
          </cell>
          <cell r="AS199">
            <v>0</v>
          </cell>
          <cell r="AT199">
            <v>0</v>
          </cell>
          <cell r="AU199">
            <v>0</v>
          </cell>
          <cell r="AV199">
            <v>0</v>
          </cell>
          <cell r="AW199">
            <v>22284</v>
          </cell>
          <cell r="AX199">
            <v>22595</v>
          </cell>
          <cell r="AY199">
            <v>22595</v>
          </cell>
          <cell r="AZ199">
            <v>891.42240000000004</v>
          </cell>
          <cell r="BA199">
            <v>157.46</v>
          </cell>
        </row>
        <row r="200">
          <cell r="F200">
            <v>126000000008</v>
          </cell>
          <cell r="G200" t="str">
            <v>M/S UNIDEEP FOOD PROCESSING (P) LTD</v>
          </cell>
          <cell r="H200" t="str">
            <v>C/O- L. N. DEEPAK RANJAN DAS</v>
          </cell>
          <cell r="I200" t="str">
            <v>10/31/2020 00:00:00</v>
          </cell>
          <cell r="J200">
            <v>1</v>
          </cell>
          <cell r="K200" t="str">
            <v xml:space="preserve"> </v>
          </cell>
          <cell r="L200" t="str">
            <v xml:space="preserve"> </v>
          </cell>
          <cell r="M200" t="str">
            <v>325000010231492712</v>
          </cell>
          <cell r="N200" t="str">
            <v>1260000006</v>
          </cell>
          <cell r="O200" t="str">
            <v>SM-3123847</v>
          </cell>
          <cell r="P200" t="str">
            <v>44287414004</v>
          </cell>
          <cell r="Q200" t="str">
            <v>LARGE INDUSTRY</v>
          </cell>
          <cell r="R200" t="str">
            <v>HT</v>
          </cell>
          <cell r="S200" t="str">
            <v>01/10/2023</v>
          </cell>
          <cell r="T200" t="str">
            <v>01/10/2023</v>
          </cell>
          <cell r="U200" t="str">
            <v>06/10/2023</v>
          </cell>
          <cell r="V200" t="str">
            <v>09/10/2023</v>
          </cell>
          <cell r="W200" t="str">
            <v>2023/09</v>
          </cell>
          <cell r="X200" t="str">
            <v>33 KV</v>
          </cell>
          <cell r="Y200" t="str">
            <v>HT</v>
          </cell>
          <cell r="Z200">
            <v>309</v>
          </cell>
          <cell r="AA200">
            <v>0.99180000000000001</v>
          </cell>
          <cell r="AB200">
            <v>30.48</v>
          </cell>
          <cell r="AC200" t="str">
            <v xml:space="preserve">30/08/2023 -     </v>
          </cell>
          <cell r="AD200" t="str">
            <v>25.09.2023</v>
          </cell>
          <cell r="AE200" t="str">
            <v>27/1.0000</v>
          </cell>
          <cell r="AF200">
            <v>333</v>
          </cell>
          <cell r="AG200" t="str">
            <v>KVA</v>
          </cell>
          <cell r="AH200">
            <v>333</v>
          </cell>
          <cell r="AI200" t="str">
            <v>R</v>
          </cell>
          <cell r="AJ200">
            <v>981745.3</v>
          </cell>
          <cell r="AK200" t="str">
            <v>25/09/2023</v>
          </cell>
          <cell r="AL200" t="str">
            <v>TPN64036</v>
          </cell>
          <cell r="AM200" t="str">
            <v>THREE PHASE HT CT METER-33KV</v>
          </cell>
          <cell r="AN200" t="str">
            <v>POST PAID</v>
          </cell>
          <cell r="AO200">
            <v>750</v>
          </cell>
          <cell r="AP200" t="str">
            <v>TOD</v>
          </cell>
          <cell r="AQ200">
            <v>139688.79999999999</v>
          </cell>
          <cell r="AR200">
            <v>0</v>
          </cell>
          <cell r="AS200">
            <v>0</v>
          </cell>
          <cell r="AT200">
            <v>0</v>
          </cell>
          <cell r="AU200">
            <v>0</v>
          </cell>
          <cell r="AV200">
            <v>0</v>
          </cell>
          <cell r="AW200">
            <v>60540</v>
          </cell>
          <cell r="AX200">
            <v>61035</v>
          </cell>
          <cell r="AY200">
            <v>61035</v>
          </cell>
          <cell r="AZ200">
            <v>2297.4</v>
          </cell>
          <cell r="BA200">
            <v>309</v>
          </cell>
        </row>
        <row r="201">
          <cell r="F201">
            <v>126000000009</v>
          </cell>
          <cell r="G201" t="str">
            <v>RANI SATI RICEMILL P.LTD.</v>
          </cell>
          <cell r="H201" t="str">
            <v>MANKAHANI,KHANTAPADABALASORE</v>
          </cell>
          <cell r="I201" t="str">
            <v>10/31/2020 00:00:00</v>
          </cell>
          <cell r="J201">
            <v>1</v>
          </cell>
          <cell r="K201" t="str">
            <v xml:space="preserve"> </v>
          </cell>
          <cell r="L201" t="str">
            <v xml:space="preserve"> </v>
          </cell>
          <cell r="M201" t="str">
            <v>325000010231492508</v>
          </cell>
          <cell r="N201" t="str">
            <v>1260000007</v>
          </cell>
          <cell r="O201" t="str">
            <v>NB-2327239</v>
          </cell>
          <cell r="P201" t="str">
            <v>432523502</v>
          </cell>
          <cell r="Q201" t="str">
            <v>LARGE INDUSTRY</v>
          </cell>
          <cell r="R201" t="str">
            <v>HT</v>
          </cell>
          <cell r="S201" t="str">
            <v>01/10/2023</v>
          </cell>
          <cell r="T201" t="str">
            <v>01/10/2023</v>
          </cell>
          <cell r="U201" t="str">
            <v>06/10/2023</v>
          </cell>
          <cell r="V201" t="str">
            <v>09/10/2023</v>
          </cell>
          <cell r="W201" t="str">
            <v>2023/09</v>
          </cell>
          <cell r="X201" t="str">
            <v>11 KV</v>
          </cell>
          <cell r="Y201" t="str">
            <v>HT</v>
          </cell>
          <cell r="Z201">
            <v>168.8</v>
          </cell>
          <cell r="AA201">
            <v>0.97219999999999995</v>
          </cell>
          <cell r="AB201">
            <v>30.55</v>
          </cell>
          <cell r="AC201" t="str">
            <v xml:space="preserve">01/09/2023 -     </v>
          </cell>
          <cell r="AD201" t="str">
            <v>30.09.2023</v>
          </cell>
          <cell r="AE201" t="str">
            <v>30/1.0000</v>
          </cell>
          <cell r="AF201">
            <v>211</v>
          </cell>
          <cell r="AG201" t="str">
            <v>KVA</v>
          </cell>
          <cell r="AH201">
            <v>211</v>
          </cell>
          <cell r="AI201" t="str">
            <v>R</v>
          </cell>
          <cell r="AJ201">
            <v>568496</v>
          </cell>
          <cell r="AK201" t="str">
            <v>30/09/2023</v>
          </cell>
          <cell r="AL201" t="str">
            <v>NES52061</v>
          </cell>
          <cell r="AM201" t="str">
            <v>TRI-VECTOR METER FOR RAILWAY TRACTION</v>
          </cell>
          <cell r="AN201" t="str">
            <v>POST PAID</v>
          </cell>
          <cell r="AO201">
            <v>250</v>
          </cell>
          <cell r="AP201" t="str">
            <v>TOD</v>
          </cell>
          <cell r="AQ201">
            <v>-71617.039999999994</v>
          </cell>
          <cell r="AR201">
            <v>0</v>
          </cell>
          <cell r="AS201">
            <v>0</v>
          </cell>
          <cell r="AT201">
            <v>0</v>
          </cell>
          <cell r="AU201">
            <v>0</v>
          </cell>
          <cell r="AV201">
            <v>0</v>
          </cell>
          <cell r="AW201">
            <v>31104</v>
          </cell>
          <cell r="AX201">
            <v>31992</v>
          </cell>
          <cell r="AY201">
            <v>31992</v>
          </cell>
          <cell r="AZ201">
            <v>1157.4000000000001</v>
          </cell>
          <cell r="BA201">
            <v>145.44</v>
          </cell>
        </row>
        <row r="202">
          <cell r="F202">
            <v>126000000010</v>
          </cell>
          <cell r="G202" t="str">
            <v>M/S MAA TARINI RICE MILL</v>
          </cell>
          <cell r="H202" t="str">
            <v>PROP- RAM CHANDRA DHAR</v>
          </cell>
          <cell r="I202" t="str">
            <v>10/31/2020 00:00:00</v>
          </cell>
          <cell r="J202">
            <v>1</v>
          </cell>
          <cell r="K202" t="str">
            <v xml:space="preserve"> </v>
          </cell>
          <cell r="L202" t="str">
            <v xml:space="preserve"> </v>
          </cell>
          <cell r="M202" t="str">
            <v>325000010231492345</v>
          </cell>
          <cell r="N202" t="str">
            <v>1260000008</v>
          </cell>
          <cell r="O202" t="str">
            <v>SK-3224584</v>
          </cell>
          <cell r="P202" t="str">
            <v>432543301</v>
          </cell>
          <cell r="Q202" t="str">
            <v>LARGE INDUSTRY</v>
          </cell>
          <cell r="R202" t="str">
            <v>HT</v>
          </cell>
          <cell r="S202" t="str">
            <v>01/10/2023</v>
          </cell>
          <cell r="T202" t="str">
            <v>01/10/2023</v>
          </cell>
          <cell r="U202" t="str">
            <v>06/10/2023</v>
          </cell>
          <cell r="V202" t="str">
            <v>09/10/2023</v>
          </cell>
          <cell r="W202" t="str">
            <v>2023/09</v>
          </cell>
          <cell r="X202" t="str">
            <v>11 KV</v>
          </cell>
          <cell r="Y202" t="str">
            <v>HT</v>
          </cell>
          <cell r="Z202">
            <v>196.16</v>
          </cell>
          <cell r="AA202">
            <v>0.71440000000000003</v>
          </cell>
          <cell r="AB202">
            <v>36.43</v>
          </cell>
          <cell r="AC202" t="str">
            <v xml:space="preserve">01/09/2023 -     </v>
          </cell>
          <cell r="AD202" t="str">
            <v>30.09.2023</v>
          </cell>
          <cell r="AE202" t="str">
            <v>30/1.0000</v>
          </cell>
          <cell r="AF202">
            <v>116</v>
          </cell>
          <cell r="AG202" t="str">
            <v>KVA</v>
          </cell>
          <cell r="AH202">
            <v>116</v>
          </cell>
          <cell r="AI202" t="str">
            <v>R</v>
          </cell>
          <cell r="AJ202">
            <v>362158</v>
          </cell>
          <cell r="AK202" t="str">
            <v>30/09/2023</v>
          </cell>
          <cell r="AL202" t="str">
            <v>NSC94459</v>
          </cell>
          <cell r="AM202" t="str">
            <v>LT SINGLE PHASE AMR/AMI COMPLIANT METER-TOD</v>
          </cell>
          <cell r="AN202" t="str">
            <v>POST PAID</v>
          </cell>
          <cell r="AO202">
            <v>150</v>
          </cell>
          <cell r="AP202" t="str">
            <v>TOD</v>
          </cell>
          <cell r="AQ202">
            <v>20135.2</v>
          </cell>
          <cell r="AR202">
            <v>0</v>
          </cell>
          <cell r="AS202">
            <v>0</v>
          </cell>
          <cell r="AT202">
            <v>0</v>
          </cell>
          <cell r="AU202">
            <v>0</v>
          </cell>
          <cell r="AV202">
            <v>0</v>
          </cell>
          <cell r="AW202">
            <v>36763</v>
          </cell>
          <cell r="AX202">
            <v>51455</v>
          </cell>
          <cell r="AY202">
            <v>51455</v>
          </cell>
          <cell r="AZ202">
            <v>1373.44</v>
          </cell>
          <cell r="BA202">
            <v>196.16</v>
          </cell>
        </row>
        <row r="203">
          <cell r="F203">
            <v>126000000011</v>
          </cell>
          <cell r="G203" t="str">
            <v>M/S MAHALAXMI STONE CRUSHER</v>
          </cell>
          <cell r="H203" t="str">
            <v>C/O INDURANI MOHAPATRA</v>
          </cell>
          <cell r="I203" t="str">
            <v>10/31/2020 00:00:00</v>
          </cell>
          <cell r="J203">
            <v>1</v>
          </cell>
          <cell r="K203" t="str">
            <v xml:space="preserve"> </v>
          </cell>
          <cell r="L203" t="str">
            <v xml:space="preserve"> </v>
          </cell>
          <cell r="M203" t="str">
            <v>325000010231492404</v>
          </cell>
          <cell r="N203" t="str">
            <v>1260000009</v>
          </cell>
          <cell r="O203" t="str">
            <v>SI-1126219</v>
          </cell>
          <cell r="P203" t="str">
            <v>432511303</v>
          </cell>
          <cell r="Q203" t="str">
            <v>LARGE INDUSTRY</v>
          </cell>
          <cell r="R203" t="str">
            <v>HT</v>
          </cell>
          <cell r="S203" t="str">
            <v>01/10/2023</v>
          </cell>
          <cell r="T203" t="str">
            <v>01/10/2023</v>
          </cell>
          <cell r="U203" t="str">
            <v>06/10/2023</v>
          </cell>
          <cell r="V203" t="str">
            <v>09/10/2023</v>
          </cell>
          <cell r="W203" t="str">
            <v>2023/09</v>
          </cell>
          <cell r="X203" t="str">
            <v>11 KV</v>
          </cell>
          <cell r="Y203" t="str">
            <v>HT</v>
          </cell>
          <cell r="Z203">
            <v>276.24</v>
          </cell>
          <cell r="AA203">
            <v>0.74309999999999998</v>
          </cell>
          <cell r="AB203">
            <v>3.29</v>
          </cell>
          <cell r="AC203" t="str">
            <v xml:space="preserve">01/09/2023 -     </v>
          </cell>
          <cell r="AD203" t="str">
            <v>30.09.2023</v>
          </cell>
          <cell r="AE203" t="str">
            <v>30/1.0000</v>
          </cell>
          <cell r="AF203">
            <v>141</v>
          </cell>
          <cell r="AG203" t="str">
            <v>KVA</v>
          </cell>
          <cell r="AH203">
            <v>141</v>
          </cell>
          <cell r="AI203" t="str">
            <v>R</v>
          </cell>
          <cell r="AJ203">
            <v>506465.7</v>
          </cell>
          <cell r="AK203" t="str">
            <v>30/09/2023</v>
          </cell>
          <cell r="AL203" t="str">
            <v>NSC94770</v>
          </cell>
          <cell r="AM203" t="str">
            <v>TRI-VECTOR METER FOR RAILWAY TRACTION</v>
          </cell>
          <cell r="AN203" t="str">
            <v>POST PAID</v>
          </cell>
          <cell r="AO203">
            <v>250</v>
          </cell>
          <cell r="AP203" t="str">
            <v>TOD</v>
          </cell>
          <cell r="AQ203">
            <v>1779</v>
          </cell>
          <cell r="AR203">
            <v>0</v>
          </cell>
          <cell r="AS203">
            <v>0</v>
          </cell>
          <cell r="AT203">
            <v>0</v>
          </cell>
          <cell r="AU203">
            <v>0</v>
          </cell>
          <cell r="AV203">
            <v>0</v>
          </cell>
          <cell r="AW203">
            <v>4866</v>
          </cell>
          <cell r="AX203">
            <v>6548</v>
          </cell>
          <cell r="AY203">
            <v>6548</v>
          </cell>
          <cell r="AZ203">
            <v>1917.72</v>
          </cell>
          <cell r="BA203">
            <v>276.24</v>
          </cell>
        </row>
        <row r="204">
          <cell r="F204">
            <v>126000000013</v>
          </cell>
          <cell r="G204" t="str">
            <v>M/S BIOTECH AYUR (P) LTD.</v>
          </cell>
          <cell r="H204" t="str">
            <v>C/O- SITARAM SARANGI,MANKAHANIKHANTAPADA</v>
          </cell>
          <cell r="I204" t="str">
            <v>10/31/2020 00:00:00</v>
          </cell>
          <cell r="J204">
            <v>1</v>
          </cell>
          <cell r="K204" t="str">
            <v xml:space="preserve"> </v>
          </cell>
          <cell r="L204" t="str">
            <v xml:space="preserve"> </v>
          </cell>
          <cell r="M204" t="str">
            <v>325000010231492589</v>
          </cell>
          <cell r="N204" t="str">
            <v>1260000011</v>
          </cell>
          <cell r="O204" t="str">
            <v>NB-2317843</v>
          </cell>
          <cell r="P204" t="str">
            <v>432523503</v>
          </cell>
          <cell r="Q204" t="str">
            <v>LARGE INDUSTRY</v>
          </cell>
          <cell r="R204" t="str">
            <v>HT</v>
          </cell>
          <cell r="S204" t="str">
            <v>01/10/2023</v>
          </cell>
          <cell r="T204" t="str">
            <v>01/10/2023</v>
          </cell>
          <cell r="U204" t="str">
            <v>06/10/2023</v>
          </cell>
          <cell r="V204" t="str">
            <v>09/10/2023</v>
          </cell>
          <cell r="W204" t="str">
            <v>2023/09</v>
          </cell>
          <cell r="X204" t="str">
            <v>11 KV</v>
          </cell>
          <cell r="Y204" t="str">
            <v>HT</v>
          </cell>
          <cell r="Z204">
            <v>88</v>
          </cell>
          <cell r="AA204">
            <v>0.80820000000000003</v>
          </cell>
          <cell r="AB204">
            <v>23.36</v>
          </cell>
          <cell r="AC204" t="str">
            <v xml:space="preserve">01/09/2023 -     </v>
          </cell>
          <cell r="AD204" t="str">
            <v>30.09.2023</v>
          </cell>
          <cell r="AE204" t="str">
            <v>30/1.0000</v>
          </cell>
          <cell r="AF204">
            <v>110</v>
          </cell>
          <cell r="AG204" t="str">
            <v>KVA</v>
          </cell>
          <cell r="AH204">
            <v>110</v>
          </cell>
          <cell r="AI204" t="str">
            <v>R</v>
          </cell>
          <cell r="AJ204">
            <v>458168</v>
          </cell>
          <cell r="AK204" t="str">
            <v>30/09/2023</v>
          </cell>
          <cell r="AL204" t="str">
            <v>TPNODL38110307</v>
          </cell>
          <cell r="AM204" t="str">
            <v>THREE PHASE SMART HT CT METER (AMR/AMI)-11KV</v>
          </cell>
          <cell r="AN204" t="str">
            <v>SMART METER</v>
          </cell>
          <cell r="AO204">
            <v>250</v>
          </cell>
          <cell r="AP204" t="str">
            <v>TOD</v>
          </cell>
          <cell r="AQ204">
            <v>-392195.4</v>
          </cell>
          <cell r="AR204">
            <v>0</v>
          </cell>
          <cell r="AS204">
            <v>0</v>
          </cell>
          <cell r="AT204">
            <v>0</v>
          </cell>
          <cell r="AU204">
            <v>0</v>
          </cell>
          <cell r="AV204">
            <v>0</v>
          </cell>
          <cell r="AW204">
            <v>1989</v>
          </cell>
          <cell r="AX204">
            <v>2461</v>
          </cell>
          <cell r="AY204">
            <v>2461</v>
          </cell>
          <cell r="AZ204">
            <v>54.048000000000002</v>
          </cell>
          <cell r="BA204">
            <v>14.631</v>
          </cell>
        </row>
        <row r="205">
          <cell r="F205">
            <v>126000000015</v>
          </cell>
          <cell r="G205" t="str">
            <v>M/S SHREE JAGANNATH STONE CRUSHER</v>
          </cell>
          <cell r="H205" t="str">
            <v>C/O GAJENDRA PRASAD DAS</v>
          </cell>
          <cell r="I205" t="str">
            <v>10/31/2020 00:00:00</v>
          </cell>
          <cell r="J205">
            <v>1</v>
          </cell>
          <cell r="K205" t="str">
            <v xml:space="preserve"> </v>
          </cell>
          <cell r="L205" t="str">
            <v xml:space="preserve"> </v>
          </cell>
          <cell r="M205" t="str">
            <v>325000010231492506</v>
          </cell>
          <cell r="N205" t="str">
            <v>1260000013</v>
          </cell>
          <cell r="O205" t="str">
            <v>SI-1133663</v>
          </cell>
          <cell r="P205" t="str">
            <v>432511303</v>
          </cell>
          <cell r="Q205" t="str">
            <v>LARGE INDUSTRY</v>
          </cell>
          <cell r="R205" t="str">
            <v>HT</v>
          </cell>
          <cell r="S205" t="str">
            <v>01/10/2023</v>
          </cell>
          <cell r="T205" t="str">
            <v>01/10/2023</v>
          </cell>
          <cell r="U205" t="str">
            <v>06/10/2023</v>
          </cell>
          <cell r="V205" t="str">
            <v>09/10/2023</v>
          </cell>
          <cell r="W205" t="str">
            <v>2023/09</v>
          </cell>
          <cell r="X205" t="str">
            <v>11 KV</v>
          </cell>
          <cell r="Y205" t="str">
            <v>HT</v>
          </cell>
          <cell r="Z205">
            <v>156</v>
          </cell>
          <cell r="AA205">
            <v>0.26640000000000003</v>
          </cell>
          <cell r="AB205">
            <v>50.54</v>
          </cell>
          <cell r="AC205" t="str">
            <v xml:space="preserve">01/09/2023 -     </v>
          </cell>
          <cell r="AD205" t="str">
            <v>30.09.2023</v>
          </cell>
          <cell r="AE205" t="str">
            <v>30/1.0000</v>
          </cell>
          <cell r="AF205">
            <v>195</v>
          </cell>
          <cell r="AG205" t="str">
            <v>KVA</v>
          </cell>
          <cell r="AH205">
            <v>195</v>
          </cell>
          <cell r="AI205" t="str">
            <v>R</v>
          </cell>
          <cell r="AJ205">
            <v>944830</v>
          </cell>
          <cell r="AK205" t="str">
            <v>30/09/2023</v>
          </cell>
          <cell r="AL205" t="str">
            <v>TPN64128</v>
          </cell>
          <cell r="AM205" t="str">
            <v>TRI-VECTOR METER FOR RAILWAY TRACTION</v>
          </cell>
          <cell r="AN205" t="str">
            <v>POST PAID</v>
          </cell>
          <cell r="AO205">
            <v>200</v>
          </cell>
          <cell r="AP205" t="str">
            <v>TOD</v>
          </cell>
          <cell r="AQ205">
            <v>-575400.30000000005</v>
          </cell>
          <cell r="AR205">
            <v>0</v>
          </cell>
          <cell r="AS205">
            <v>0</v>
          </cell>
          <cell r="AT205">
            <v>0</v>
          </cell>
          <cell r="AU205">
            <v>0</v>
          </cell>
          <cell r="AV205">
            <v>0</v>
          </cell>
          <cell r="AW205">
            <v>1055</v>
          </cell>
          <cell r="AX205">
            <v>3959</v>
          </cell>
          <cell r="AY205">
            <v>3959</v>
          </cell>
          <cell r="AZ205">
            <v>399.44</v>
          </cell>
          <cell r="BA205">
            <v>10.879999999999999</v>
          </cell>
        </row>
        <row r="206">
          <cell r="F206">
            <v>126000000016</v>
          </cell>
          <cell r="G206" t="str">
            <v>M/S BIRAJA STONE CRUSHER</v>
          </cell>
          <cell r="H206" t="str">
            <v>C/O- SUVENDU BHUSAN BEHERA</v>
          </cell>
          <cell r="I206" t="str">
            <v>10/31/2020 00:00:00</v>
          </cell>
          <cell r="J206">
            <v>1</v>
          </cell>
          <cell r="K206" t="str">
            <v xml:space="preserve"> </v>
          </cell>
          <cell r="L206" t="str">
            <v xml:space="preserve"> </v>
          </cell>
          <cell r="M206" t="str">
            <v>325000010231492545</v>
          </cell>
          <cell r="N206" t="str">
            <v>1260000014</v>
          </cell>
          <cell r="O206" t="str">
            <v>NB-63258</v>
          </cell>
          <cell r="P206" t="str">
            <v>432521102</v>
          </cell>
          <cell r="Q206" t="str">
            <v>LARGE INDUSTRY</v>
          </cell>
          <cell r="R206" t="str">
            <v>HT</v>
          </cell>
          <cell r="S206" t="str">
            <v>01/10/2023</v>
          </cell>
          <cell r="T206" t="str">
            <v>01/10/2023</v>
          </cell>
          <cell r="U206" t="str">
            <v>06/10/2023</v>
          </cell>
          <cell r="V206" t="str">
            <v>09/10/2023</v>
          </cell>
          <cell r="W206" t="str">
            <v>2023/09</v>
          </cell>
          <cell r="X206" t="str">
            <v>11 KV</v>
          </cell>
          <cell r="Y206" t="str">
            <v>HT</v>
          </cell>
          <cell r="Z206">
            <v>112.8</v>
          </cell>
          <cell r="AA206">
            <v>0.94259999999999999</v>
          </cell>
          <cell r="AB206">
            <v>6.08</v>
          </cell>
          <cell r="AC206" t="str">
            <v xml:space="preserve">01/09/2023 -     </v>
          </cell>
          <cell r="AD206" t="str">
            <v>27.09.2023</v>
          </cell>
          <cell r="AE206" t="str">
            <v>27/1.0000</v>
          </cell>
          <cell r="AF206">
            <v>141</v>
          </cell>
          <cell r="AG206" t="str">
            <v>KVA</v>
          </cell>
          <cell r="AH206">
            <v>141</v>
          </cell>
          <cell r="AI206" t="str">
            <v>R</v>
          </cell>
          <cell r="AJ206">
            <v>558171</v>
          </cell>
          <cell r="AK206" t="str">
            <v>27/09/2023</v>
          </cell>
          <cell r="AL206" t="str">
            <v>NSC94778</v>
          </cell>
          <cell r="AM206" t="str">
            <v>TRI-VECTOR METER FOR RAILWAY TRACTION</v>
          </cell>
          <cell r="AN206" t="str">
            <v>POST PAID</v>
          </cell>
          <cell r="AO206">
            <v>100</v>
          </cell>
          <cell r="AP206" t="str">
            <v>TOD</v>
          </cell>
          <cell r="AQ206">
            <v>-399934.2</v>
          </cell>
          <cell r="AR206">
            <v>0</v>
          </cell>
          <cell r="AS206">
            <v>0</v>
          </cell>
          <cell r="AT206">
            <v>0</v>
          </cell>
          <cell r="AU206">
            <v>0</v>
          </cell>
          <cell r="AV206">
            <v>0</v>
          </cell>
          <cell r="AW206">
            <v>2661</v>
          </cell>
          <cell r="AX206">
            <v>2823</v>
          </cell>
          <cell r="AY206">
            <v>2823</v>
          </cell>
          <cell r="AZ206">
            <v>647</v>
          </cell>
          <cell r="BA206">
            <v>71.599999999999994</v>
          </cell>
        </row>
        <row r="207">
          <cell r="F207">
            <v>126000000017</v>
          </cell>
          <cell r="G207" t="str">
            <v>M/S MAA MANGALA STONE CRUSHER</v>
          </cell>
          <cell r="H207" t="str">
            <v>C/O- BINAYA BHUSAN MOHAPATRA</v>
          </cell>
          <cell r="I207" t="str">
            <v>10/31/2020 00:00:00</v>
          </cell>
          <cell r="J207">
            <v>1</v>
          </cell>
          <cell r="K207" t="str">
            <v xml:space="preserve"> </v>
          </cell>
          <cell r="L207" t="str">
            <v xml:space="preserve"> </v>
          </cell>
          <cell r="M207" t="str">
            <v>325000010231495043</v>
          </cell>
          <cell r="N207" t="str">
            <v>1260000015</v>
          </cell>
          <cell r="O207" t="str">
            <v>SK-72088</v>
          </cell>
          <cell r="P207" t="str">
            <v>432541503</v>
          </cell>
          <cell r="Q207" t="str">
            <v>LARGE INDUSTRY</v>
          </cell>
          <cell r="R207" t="str">
            <v>HT</v>
          </cell>
          <cell r="S207" t="str">
            <v>01/10/2023</v>
          </cell>
          <cell r="T207" t="str">
            <v>01/10/2023</v>
          </cell>
          <cell r="U207" t="str">
            <v>06/10/2023</v>
          </cell>
          <cell r="V207" t="str">
            <v>09/10/2023</v>
          </cell>
          <cell r="W207" t="str">
            <v>2023/09</v>
          </cell>
          <cell r="X207" t="str">
            <v>11 KV</v>
          </cell>
          <cell r="Y207" t="str">
            <v>HT</v>
          </cell>
          <cell r="Z207">
            <v>109.61</v>
          </cell>
          <cell r="AA207">
            <v>0.8246</v>
          </cell>
          <cell r="AB207">
            <v>6.7</v>
          </cell>
          <cell r="AC207" t="str">
            <v xml:space="preserve">01/09/2023 -     </v>
          </cell>
          <cell r="AD207" t="str">
            <v>30.09.2023</v>
          </cell>
          <cell r="AE207" t="str">
            <v>30/1.0000</v>
          </cell>
          <cell r="AF207">
            <v>122</v>
          </cell>
          <cell r="AG207" t="str">
            <v>KVA</v>
          </cell>
          <cell r="AH207">
            <v>122</v>
          </cell>
          <cell r="AI207" t="str">
            <v>R</v>
          </cell>
          <cell r="AJ207">
            <v>591124.04</v>
          </cell>
          <cell r="AK207" t="str">
            <v>30/09/2023</v>
          </cell>
          <cell r="AL207" t="str">
            <v>TPNODL38110649</v>
          </cell>
          <cell r="AM207" t="str">
            <v>THREE PHASE SMART HT CT METER (AMR/AMI)-11KV</v>
          </cell>
          <cell r="AN207" t="str">
            <v>SMART METER</v>
          </cell>
          <cell r="AO207">
            <v>200</v>
          </cell>
          <cell r="AP207" t="str">
            <v>TOD</v>
          </cell>
          <cell r="AQ207">
            <v>-523257.28</v>
          </cell>
          <cell r="AR207">
            <v>0</v>
          </cell>
          <cell r="AS207">
            <v>0</v>
          </cell>
          <cell r="AT207">
            <v>0</v>
          </cell>
          <cell r="AU207">
            <v>0</v>
          </cell>
          <cell r="AV207">
            <v>0</v>
          </cell>
          <cell r="AW207">
            <v>4361</v>
          </cell>
          <cell r="AX207">
            <v>5288</v>
          </cell>
          <cell r="AY207">
            <v>5288</v>
          </cell>
          <cell r="AZ207">
            <v>460.38499999999999</v>
          </cell>
          <cell r="BA207">
            <v>109.60599999999999</v>
          </cell>
        </row>
        <row r="208">
          <cell r="F208">
            <v>126000000019</v>
          </cell>
          <cell r="G208" t="str">
            <v xml:space="preserve">SHUVENDU BHUSAN BEHERA </v>
          </cell>
          <cell r="H208" t="str">
            <v>PROP. SMT. INDURANI MOHAPATRA</v>
          </cell>
          <cell r="I208" t="str">
            <v>10/31/2020 00:00:00</v>
          </cell>
          <cell r="J208">
            <v>1</v>
          </cell>
          <cell r="K208" t="str">
            <v xml:space="preserve"> </v>
          </cell>
          <cell r="L208" t="str">
            <v xml:space="preserve"> </v>
          </cell>
          <cell r="M208" t="str">
            <v>325000010231492594</v>
          </cell>
          <cell r="N208" t="str">
            <v>1260000017</v>
          </cell>
          <cell r="O208" t="str">
            <v>SI-1137463</v>
          </cell>
          <cell r="P208" t="str">
            <v>432511303</v>
          </cell>
          <cell r="Q208" t="str">
            <v>LARGE INDUSTRY</v>
          </cell>
          <cell r="R208" t="str">
            <v>HT</v>
          </cell>
          <cell r="S208" t="str">
            <v>01/10/2023</v>
          </cell>
          <cell r="T208" t="str">
            <v>01/10/2023</v>
          </cell>
          <cell r="U208" t="str">
            <v>06/10/2023</v>
          </cell>
          <cell r="V208" t="str">
            <v>09/10/2023</v>
          </cell>
          <cell r="W208" t="str">
            <v>2023/09</v>
          </cell>
          <cell r="X208" t="str">
            <v>11 KV</v>
          </cell>
          <cell r="Y208" t="str">
            <v>HT</v>
          </cell>
          <cell r="Z208">
            <v>226.24</v>
          </cell>
          <cell r="AA208">
            <v>0.68969999999999998</v>
          </cell>
          <cell r="AB208">
            <v>3.83</v>
          </cell>
          <cell r="AC208" t="str">
            <v xml:space="preserve">01/09/2023 -     </v>
          </cell>
          <cell r="AD208" t="str">
            <v>30.09.2023</v>
          </cell>
          <cell r="AE208" t="str">
            <v>30/1.0000</v>
          </cell>
          <cell r="AF208">
            <v>234</v>
          </cell>
          <cell r="AG208" t="str">
            <v>KVA</v>
          </cell>
          <cell r="AH208">
            <v>234</v>
          </cell>
          <cell r="AI208" t="str">
            <v>R</v>
          </cell>
          <cell r="AJ208">
            <v>312965.59999999998</v>
          </cell>
          <cell r="AK208" t="str">
            <v>30/09/2023</v>
          </cell>
          <cell r="AL208" t="str">
            <v>NES83113</v>
          </cell>
          <cell r="AM208" t="str">
            <v>LT SINGLE PHASE AMR/AMI COMPLIANT METER-TOD</v>
          </cell>
          <cell r="AN208" t="str">
            <v>POST PAID</v>
          </cell>
          <cell r="AO208">
            <v>200</v>
          </cell>
          <cell r="AP208" t="str">
            <v>TOD</v>
          </cell>
          <cell r="AQ208">
            <v>61131.16</v>
          </cell>
          <cell r="AR208">
            <v>0</v>
          </cell>
          <cell r="AS208">
            <v>0</v>
          </cell>
          <cell r="AT208">
            <v>0</v>
          </cell>
          <cell r="AU208">
            <v>0</v>
          </cell>
          <cell r="AV208">
            <v>0</v>
          </cell>
          <cell r="AW208">
            <v>4304</v>
          </cell>
          <cell r="AX208">
            <v>6240</v>
          </cell>
          <cell r="AY208">
            <v>6240</v>
          </cell>
          <cell r="AZ208">
            <v>1244.96</v>
          </cell>
          <cell r="BA208">
            <v>226.24</v>
          </cell>
        </row>
        <row r="209">
          <cell r="F209">
            <v>126000000020</v>
          </cell>
          <cell r="G209" t="str">
            <v>M/S BABA AGRITECH PVT. LTD.</v>
          </cell>
          <cell r="H209" t="str">
            <v>PROP- SRI PANKAJ KUMAR AGARWALLA</v>
          </cell>
          <cell r="I209" t="str">
            <v>10/31/2020 00:00:00</v>
          </cell>
          <cell r="J209">
            <v>1</v>
          </cell>
          <cell r="K209" t="str">
            <v xml:space="preserve"> </v>
          </cell>
          <cell r="L209" t="str">
            <v xml:space="preserve"> </v>
          </cell>
          <cell r="M209" t="str">
            <v>325000010231492650</v>
          </cell>
          <cell r="N209" t="str">
            <v>1260000018</v>
          </cell>
          <cell r="O209" t="str">
            <v>NB-2138703</v>
          </cell>
          <cell r="P209" t="str">
            <v>432521102</v>
          </cell>
          <cell r="Q209" t="str">
            <v>LARGE INDUSTRY</v>
          </cell>
          <cell r="R209" t="str">
            <v>HT</v>
          </cell>
          <cell r="S209" t="str">
            <v>01/10/2023</v>
          </cell>
          <cell r="T209" t="str">
            <v>01/10/2023</v>
          </cell>
          <cell r="U209" t="str">
            <v>06/10/2023</v>
          </cell>
          <cell r="V209" t="str">
            <v>09/10/2023</v>
          </cell>
          <cell r="W209" t="str">
            <v>2023/09</v>
          </cell>
          <cell r="X209" t="str">
            <v>11 KV</v>
          </cell>
          <cell r="Y209" t="str">
            <v>HT</v>
          </cell>
          <cell r="Z209">
            <v>132.63999999999999</v>
          </cell>
          <cell r="AA209">
            <v>0.91749999999999998</v>
          </cell>
          <cell r="AB209">
            <v>13.82</v>
          </cell>
          <cell r="AC209" t="str">
            <v xml:space="preserve">01/09/2023 -     </v>
          </cell>
          <cell r="AD209" t="str">
            <v>30.09.2023</v>
          </cell>
          <cell r="AE209" t="str">
            <v>30/1.0000</v>
          </cell>
          <cell r="AF209">
            <v>150</v>
          </cell>
          <cell r="AG209" t="str">
            <v>KVA</v>
          </cell>
          <cell r="AH209">
            <v>150</v>
          </cell>
          <cell r="AI209" t="str">
            <v>R</v>
          </cell>
          <cell r="AJ209">
            <v>741694</v>
          </cell>
          <cell r="AK209" t="str">
            <v>30/09/2023</v>
          </cell>
          <cell r="AL209" t="str">
            <v>TPN64186</v>
          </cell>
          <cell r="AM209" t="str">
            <v>THREE PHASE STATIC TRI-VECTOR METER-TOD</v>
          </cell>
          <cell r="AN209" t="str">
            <v>POST PAID</v>
          </cell>
          <cell r="AO209">
            <v>250</v>
          </cell>
          <cell r="AP209" t="str">
            <v>TOD</v>
          </cell>
          <cell r="AQ209">
            <v>-461821.2</v>
          </cell>
          <cell r="AR209">
            <v>0</v>
          </cell>
          <cell r="AS209">
            <v>0</v>
          </cell>
          <cell r="AT209">
            <v>0</v>
          </cell>
          <cell r="AU209">
            <v>0</v>
          </cell>
          <cell r="AV209">
            <v>0</v>
          </cell>
          <cell r="AW209">
            <v>12113</v>
          </cell>
          <cell r="AX209">
            <v>13202</v>
          </cell>
          <cell r="AY209">
            <v>13202</v>
          </cell>
          <cell r="AZ209">
            <v>993.2</v>
          </cell>
          <cell r="BA209">
            <v>132.64000000000001</v>
          </cell>
        </row>
        <row r="210">
          <cell r="F210">
            <v>126000000022</v>
          </cell>
          <cell r="G210" t="str">
            <v>M/S MAHALAXMI STONE INDUSTRIES</v>
          </cell>
          <cell r="H210" t="str">
            <v>C/O- TAPAS KUMAR MOHAPATRA</v>
          </cell>
          <cell r="I210" t="str">
            <v>10/31/2020 00:00:00</v>
          </cell>
          <cell r="J210">
            <v>1</v>
          </cell>
          <cell r="K210" t="str">
            <v xml:space="preserve"> </v>
          </cell>
          <cell r="L210" t="str">
            <v xml:space="preserve"> </v>
          </cell>
          <cell r="M210" t="str">
            <v>325000010232495839</v>
          </cell>
          <cell r="N210" t="str">
            <v>1260000020</v>
          </cell>
          <cell r="O210" t="str">
            <v>SI-66277</v>
          </cell>
          <cell r="P210" t="str">
            <v>432511303</v>
          </cell>
          <cell r="Q210" t="str">
            <v>LARGE INDUSTRY</v>
          </cell>
          <cell r="R210" t="str">
            <v>HT</v>
          </cell>
          <cell r="S210" t="str">
            <v>01/10/2023</v>
          </cell>
          <cell r="T210" t="str">
            <v>01/10/2023</v>
          </cell>
          <cell r="U210" t="str">
            <v>06/10/2023</v>
          </cell>
          <cell r="V210" t="str">
            <v>09/10/2023</v>
          </cell>
          <cell r="W210" t="str">
            <v>2023/09</v>
          </cell>
          <cell r="X210" t="str">
            <v>11 KV</v>
          </cell>
          <cell r="Y210" t="str">
            <v>HT</v>
          </cell>
          <cell r="Z210">
            <v>88.8</v>
          </cell>
          <cell r="AA210">
            <v>0</v>
          </cell>
          <cell r="AB210">
            <v>0</v>
          </cell>
          <cell r="AC210" t="str">
            <v xml:space="preserve">01/09/2023 -     </v>
          </cell>
          <cell r="AD210" t="str">
            <v>30.09.2023</v>
          </cell>
          <cell r="AE210" t="str">
            <v>30/1.0000</v>
          </cell>
          <cell r="AF210">
            <v>111</v>
          </cell>
          <cell r="AG210" t="str">
            <v>KVA</v>
          </cell>
          <cell r="AH210">
            <v>111</v>
          </cell>
          <cell r="AI210" t="str">
            <v>D</v>
          </cell>
          <cell r="AJ210">
            <v>136103</v>
          </cell>
          <cell r="AK210" t="str">
            <v>30/09/2023</v>
          </cell>
          <cell r="AL210" t="str">
            <v>TPN64133</v>
          </cell>
          <cell r="AM210" t="str">
            <v>TRI-VECTOR METER FOR RAILWAY TRACTION</v>
          </cell>
          <cell r="AN210" t="str">
            <v>POST PAID</v>
          </cell>
          <cell r="AO210">
            <v>100</v>
          </cell>
          <cell r="AP210" t="str">
            <v>TOD</v>
          </cell>
          <cell r="AQ210">
            <v>8648.24</v>
          </cell>
          <cell r="AR210">
            <v>0</v>
          </cell>
          <cell r="AS210">
            <v>0</v>
          </cell>
          <cell r="AT210">
            <v>0</v>
          </cell>
          <cell r="AU210">
            <v>0</v>
          </cell>
          <cell r="AV210">
            <v>0</v>
          </cell>
          <cell r="AW210">
            <v>0</v>
          </cell>
          <cell r="AX210">
            <v>0</v>
          </cell>
          <cell r="AY210">
            <v>0</v>
          </cell>
          <cell r="AZ210">
            <v>0</v>
          </cell>
          <cell r="BA210">
            <v>0</v>
          </cell>
        </row>
        <row r="211">
          <cell r="F211">
            <v>126000000023</v>
          </cell>
          <cell r="G211" t="str">
            <v>M/S AGRO SYNDICATE</v>
          </cell>
          <cell r="H211" t="str">
            <v>C/O- SMT GEETARANI BARIK</v>
          </cell>
          <cell r="I211" t="str">
            <v>10/31/2020 00:00:00</v>
          </cell>
          <cell r="J211">
            <v>1</v>
          </cell>
          <cell r="K211" t="str">
            <v xml:space="preserve"> </v>
          </cell>
          <cell r="L211" t="str">
            <v xml:space="preserve"> </v>
          </cell>
          <cell r="M211" t="str">
            <v>325000010231492576</v>
          </cell>
          <cell r="N211" t="str">
            <v>1260000021</v>
          </cell>
          <cell r="O211" t="str">
            <v>SM-3119787</v>
          </cell>
          <cell r="P211" t="str">
            <v>432532101</v>
          </cell>
          <cell r="Q211" t="str">
            <v>LARGE INDUSTRY</v>
          </cell>
          <cell r="R211" t="str">
            <v>HT</v>
          </cell>
          <cell r="S211" t="str">
            <v>01/10/2023</v>
          </cell>
          <cell r="T211" t="str">
            <v>01/10/2023</v>
          </cell>
          <cell r="U211" t="str">
            <v>06/10/2023</v>
          </cell>
          <cell r="V211" t="str">
            <v>09/10/2023</v>
          </cell>
          <cell r="W211" t="str">
            <v>2023/09</v>
          </cell>
          <cell r="X211" t="str">
            <v>11 KV</v>
          </cell>
          <cell r="Y211" t="str">
            <v>HT</v>
          </cell>
          <cell r="Z211">
            <v>130.16</v>
          </cell>
          <cell r="AA211">
            <v>0.98180000000000001</v>
          </cell>
          <cell r="AB211">
            <v>15.11</v>
          </cell>
          <cell r="AC211" t="str">
            <v xml:space="preserve">01/09/2023 -     </v>
          </cell>
          <cell r="AD211" t="str">
            <v>30.09.2023</v>
          </cell>
          <cell r="AE211" t="str">
            <v>30/1.0000</v>
          </cell>
          <cell r="AF211">
            <v>128.80000000000001</v>
          </cell>
          <cell r="AG211" t="str">
            <v>KVA</v>
          </cell>
          <cell r="AH211">
            <v>128.80000000000001</v>
          </cell>
          <cell r="AI211" t="str">
            <v>R</v>
          </cell>
          <cell r="AJ211">
            <v>198125.53</v>
          </cell>
          <cell r="AK211" t="str">
            <v>30/09/2023</v>
          </cell>
          <cell r="AL211" t="str">
            <v>NES50227</v>
          </cell>
          <cell r="AM211" t="str">
            <v>TRI-VECTOR METER FOR RAILWAY TRACTION</v>
          </cell>
          <cell r="AN211" t="str">
            <v>POST PAID</v>
          </cell>
          <cell r="AO211">
            <v>250</v>
          </cell>
          <cell r="AP211" t="str">
            <v>TOD</v>
          </cell>
          <cell r="AQ211">
            <v>184263.63</v>
          </cell>
          <cell r="AR211">
            <v>0</v>
          </cell>
          <cell r="AS211">
            <v>0</v>
          </cell>
          <cell r="AT211">
            <v>0</v>
          </cell>
          <cell r="AU211">
            <v>0</v>
          </cell>
          <cell r="AV211">
            <v>0</v>
          </cell>
          <cell r="AW211">
            <v>13899</v>
          </cell>
          <cell r="AX211">
            <v>14156</v>
          </cell>
          <cell r="AY211">
            <v>14156</v>
          </cell>
          <cell r="AZ211">
            <v>986.72</v>
          </cell>
          <cell r="BA211">
            <v>130.16</v>
          </cell>
        </row>
        <row r="212">
          <cell r="F212">
            <v>126000000024</v>
          </cell>
          <cell r="G212" t="str">
            <v>M/S BASUDEV RICE MILL</v>
          </cell>
          <cell r="H212" t="str">
            <v>PROP: SANTOSH KUMAR BAL</v>
          </cell>
          <cell r="I212" t="str">
            <v>10/31/2020 00:00:00</v>
          </cell>
          <cell r="J212">
            <v>1</v>
          </cell>
          <cell r="K212" t="str">
            <v xml:space="preserve"> </v>
          </cell>
          <cell r="L212" t="str">
            <v xml:space="preserve"> </v>
          </cell>
          <cell r="M212" t="str">
            <v>325000010231492807</v>
          </cell>
          <cell r="N212" t="str">
            <v>1260000022</v>
          </cell>
          <cell r="O212" t="str">
            <v>SMD-3139976</v>
          </cell>
          <cell r="P212" t="str">
            <v>44287414004</v>
          </cell>
          <cell r="Q212" t="str">
            <v>LARGE INDUSTRY</v>
          </cell>
          <cell r="R212" t="str">
            <v>HT</v>
          </cell>
          <cell r="S212" t="str">
            <v>01/10/2023</v>
          </cell>
          <cell r="T212" t="str">
            <v>01/10/2023</v>
          </cell>
          <cell r="U212" t="str">
            <v>06/10/2023</v>
          </cell>
          <cell r="V212" t="str">
            <v>09/10/2023</v>
          </cell>
          <cell r="W212" t="str">
            <v>2023/09</v>
          </cell>
          <cell r="X212" t="str">
            <v>33 KV</v>
          </cell>
          <cell r="Y212" t="str">
            <v>HT</v>
          </cell>
          <cell r="Z212">
            <v>448.8</v>
          </cell>
          <cell r="AA212">
            <v>0.95660000000000001</v>
          </cell>
          <cell r="AB212">
            <v>21.43</v>
          </cell>
          <cell r="AC212" t="str">
            <v xml:space="preserve">01/09/2023 -     </v>
          </cell>
          <cell r="AD212" t="str">
            <v>30.09.2023</v>
          </cell>
          <cell r="AE212" t="str">
            <v>30/1.0000</v>
          </cell>
          <cell r="AF212">
            <v>561</v>
          </cell>
          <cell r="AG212" t="str">
            <v>KVA</v>
          </cell>
          <cell r="AH212">
            <v>561</v>
          </cell>
          <cell r="AI212" t="str">
            <v>R</v>
          </cell>
          <cell r="AJ212">
            <v>2638226</v>
          </cell>
          <cell r="AK212" t="str">
            <v>30/09/2023</v>
          </cell>
          <cell r="AL212" t="str">
            <v>TPN64760</v>
          </cell>
          <cell r="AM212" t="str">
            <v>THREE PHASE HT CT METER-33KV</v>
          </cell>
          <cell r="AN212" t="str">
            <v>POST PAID</v>
          </cell>
          <cell r="AO212">
            <v>750</v>
          </cell>
          <cell r="AP212" t="str">
            <v>TOD</v>
          </cell>
          <cell r="AQ212">
            <v>-1544890.4</v>
          </cell>
          <cell r="AR212">
            <v>0</v>
          </cell>
          <cell r="AS212">
            <v>0</v>
          </cell>
          <cell r="AT212">
            <v>0</v>
          </cell>
          <cell r="AU212">
            <v>0</v>
          </cell>
          <cell r="AV212">
            <v>0</v>
          </cell>
          <cell r="AW212">
            <v>43434</v>
          </cell>
          <cell r="AX212">
            <v>45402</v>
          </cell>
          <cell r="AY212">
            <v>45402</v>
          </cell>
          <cell r="AZ212">
            <v>1952.16</v>
          </cell>
          <cell r="BA212">
            <v>294.24</v>
          </cell>
        </row>
        <row r="213">
          <cell r="F213">
            <v>126000000026</v>
          </cell>
          <cell r="G213" t="str">
            <v>M/S SHREE KRISHNA STONE CRUSHER</v>
          </cell>
          <cell r="H213" t="str">
            <v>C/O- MOHAPATRA JAJATIKESARI KAR</v>
          </cell>
          <cell r="I213" t="str">
            <v>10/31/2020 00:00:00</v>
          </cell>
          <cell r="J213">
            <v>1</v>
          </cell>
          <cell r="K213" t="str">
            <v xml:space="preserve"> </v>
          </cell>
          <cell r="L213" t="str">
            <v xml:space="preserve"> </v>
          </cell>
          <cell r="M213" t="str">
            <v>325000010231492684</v>
          </cell>
          <cell r="N213" t="str">
            <v>1260000024</v>
          </cell>
          <cell r="O213" t="str">
            <v>SMD-3139951</v>
          </cell>
          <cell r="P213" t="str">
            <v>432532101</v>
          </cell>
          <cell r="Q213" t="str">
            <v>LARGE INDUSTRY</v>
          </cell>
          <cell r="R213" t="str">
            <v>HT</v>
          </cell>
          <cell r="S213" t="str">
            <v>01/10/2023</v>
          </cell>
          <cell r="T213" t="str">
            <v>01/10/2023</v>
          </cell>
          <cell r="U213" t="str">
            <v>06/10/2023</v>
          </cell>
          <cell r="V213" t="str">
            <v>09/10/2023</v>
          </cell>
          <cell r="W213" t="str">
            <v>2023/09</v>
          </cell>
          <cell r="X213" t="str">
            <v>11 KV</v>
          </cell>
          <cell r="Y213" t="str">
            <v>HT</v>
          </cell>
          <cell r="Z213">
            <v>91.6</v>
          </cell>
          <cell r="AA213">
            <v>0.62090000000000001</v>
          </cell>
          <cell r="AB213">
            <v>17.73</v>
          </cell>
          <cell r="AC213" t="str">
            <v xml:space="preserve">01/09/2023 -     </v>
          </cell>
          <cell r="AD213" t="str">
            <v>30.09.2023</v>
          </cell>
          <cell r="AE213" t="str">
            <v>30/1.0000</v>
          </cell>
          <cell r="AF213">
            <v>114.5</v>
          </cell>
          <cell r="AG213" t="str">
            <v>KVA</v>
          </cell>
          <cell r="AH213">
            <v>114.5</v>
          </cell>
          <cell r="AI213" t="str">
            <v>R</v>
          </cell>
          <cell r="AJ213">
            <v>237956</v>
          </cell>
          <cell r="AK213" t="str">
            <v>30/09/2023</v>
          </cell>
          <cell r="AL213" t="str">
            <v>TPN64462</v>
          </cell>
          <cell r="AM213" t="str">
            <v>HT THREE PHASE 4 WIRE AMR/AMI COMPLAINT METER</v>
          </cell>
          <cell r="AN213" t="str">
            <v>POST PAID</v>
          </cell>
          <cell r="AO213">
            <v>200</v>
          </cell>
          <cell r="AP213" t="str">
            <v>TOD</v>
          </cell>
          <cell r="AQ213">
            <v>-168393.3</v>
          </cell>
          <cell r="AR213">
            <v>0</v>
          </cell>
          <cell r="AS213">
            <v>0</v>
          </cell>
          <cell r="AT213">
            <v>0</v>
          </cell>
          <cell r="AU213">
            <v>0</v>
          </cell>
          <cell r="AV213">
            <v>0</v>
          </cell>
          <cell r="AW213">
            <v>1763</v>
          </cell>
          <cell r="AX213">
            <v>2839</v>
          </cell>
          <cell r="AY213">
            <v>2839</v>
          </cell>
          <cell r="AZ213">
            <v>32.32</v>
          </cell>
          <cell r="BA213">
            <v>22.24</v>
          </cell>
        </row>
        <row r="214">
          <cell r="F214">
            <v>126000000028</v>
          </cell>
          <cell r="G214" t="str">
            <v>M/S NIGAMANANDA STONE CRUSHER</v>
          </cell>
          <cell r="H214" t="str">
            <v>C/O- ASHOK KUMAR BEHERA</v>
          </cell>
          <cell r="I214" t="str">
            <v>10/31/2020 00:00:00</v>
          </cell>
          <cell r="J214">
            <v>1</v>
          </cell>
          <cell r="K214" t="str">
            <v xml:space="preserve"> </v>
          </cell>
          <cell r="L214" t="str">
            <v xml:space="preserve"> </v>
          </cell>
          <cell r="M214" t="str">
            <v>325000010231495091</v>
          </cell>
          <cell r="N214" t="str">
            <v>1260000026</v>
          </cell>
          <cell r="O214" t="str">
            <v>SK-3237963</v>
          </cell>
          <cell r="P214" t="str">
            <v>432541503</v>
          </cell>
          <cell r="Q214" t="str">
            <v>LARGE INDUSTRY</v>
          </cell>
          <cell r="R214" t="str">
            <v>HT</v>
          </cell>
          <cell r="S214" t="str">
            <v>01/10/2023</v>
          </cell>
          <cell r="T214" t="str">
            <v>01/10/2023</v>
          </cell>
          <cell r="U214" t="str">
            <v>06/10/2023</v>
          </cell>
          <cell r="V214" t="str">
            <v>09/10/2023</v>
          </cell>
          <cell r="W214" t="str">
            <v>2023/09</v>
          </cell>
          <cell r="X214" t="str">
            <v>11 KV</v>
          </cell>
          <cell r="Y214" t="str">
            <v>HT</v>
          </cell>
          <cell r="Z214">
            <v>107.2</v>
          </cell>
          <cell r="AA214">
            <v>0.69740000000000002</v>
          </cell>
          <cell r="AB214">
            <v>11.87</v>
          </cell>
          <cell r="AC214" t="str">
            <v xml:space="preserve">01/09/2023 -     </v>
          </cell>
          <cell r="AD214" t="str">
            <v>30.09.2023</v>
          </cell>
          <cell r="AE214" t="str">
            <v>30/1.0000</v>
          </cell>
          <cell r="AF214">
            <v>134</v>
          </cell>
          <cell r="AG214" t="str">
            <v>KVA</v>
          </cell>
          <cell r="AH214">
            <v>134</v>
          </cell>
          <cell r="AI214" t="str">
            <v>R</v>
          </cell>
          <cell r="AJ214">
            <v>649268</v>
          </cell>
          <cell r="AK214" t="str">
            <v>30/09/2023</v>
          </cell>
          <cell r="AL214" t="str">
            <v>TPNODL38110472</v>
          </cell>
          <cell r="AM214" t="str">
            <v>THREE PHASE SMART HT CT METER (AMR/AMI)-11KV</v>
          </cell>
          <cell r="AN214" t="str">
            <v>SMART METER</v>
          </cell>
          <cell r="AO214">
            <v>200</v>
          </cell>
          <cell r="AP214" t="str">
            <v>TOD</v>
          </cell>
          <cell r="AQ214">
            <v>-565645.80000000005</v>
          </cell>
          <cell r="AR214">
            <v>0</v>
          </cell>
          <cell r="AS214">
            <v>0</v>
          </cell>
          <cell r="AT214">
            <v>0</v>
          </cell>
          <cell r="AU214">
            <v>0</v>
          </cell>
          <cell r="AV214">
            <v>0</v>
          </cell>
          <cell r="AW214">
            <v>4835</v>
          </cell>
          <cell r="AX214">
            <v>6932</v>
          </cell>
          <cell r="AY214">
            <v>6932</v>
          </cell>
          <cell r="AZ214">
            <v>396.8032</v>
          </cell>
          <cell r="BA214">
            <v>81.084000000000003</v>
          </cell>
        </row>
        <row r="215">
          <cell r="F215">
            <v>126000000030</v>
          </cell>
          <cell r="G215" t="str">
            <v>M/S TUSAR KANTI PANDA</v>
          </cell>
          <cell r="H215" t="str">
            <v>S/O- USHAKANTA PANDA,MOHARUDRAPURGOPALPUR, BALASORE</v>
          </cell>
          <cell r="I215" t="str">
            <v>10/31/2020 00:00:00</v>
          </cell>
          <cell r="J215">
            <v>1</v>
          </cell>
          <cell r="K215" t="str">
            <v xml:space="preserve"> </v>
          </cell>
          <cell r="L215" t="str">
            <v xml:space="preserve"> </v>
          </cell>
          <cell r="M215" t="str">
            <v>325000010231492348</v>
          </cell>
          <cell r="N215" t="str">
            <v>1260000028</v>
          </cell>
          <cell r="O215" t="str">
            <v>NB-2223519</v>
          </cell>
          <cell r="P215" t="str">
            <v>432522304</v>
          </cell>
          <cell r="Q215" t="str">
            <v>ALLIED AGRICULTURE ACTIVITIES</v>
          </cell>
          <cell r="R215" t="str">
            <v>HT</v>
          </cell>
          <cell r="S215" t="str">
            <v>01/10/2023</v>
          </cell>
          <cell r="T215" t="str">
            <v>01/10/2023</v>
          </cell>
          <cell r="U215" t="str">
            <v>09/10/2023</v>
          </cell>
          <cell r="V215" t="str">
            <v>09/10/2023</v>
          </cell>
          <cell r="W215" t="str">
            <v>2023/09</v>
          </cell>
          <cell r="X215" t="str">
            <v>11 KV</v>
          </cell>
          <cell r="Y215" t="str">
            <v>HT</v>
          </cell>
          <cell r="Z215">
            <v>142</v>
          </cell>
          <cell r="AA215">
            <v>0.75539999999999996</v>
          </cell>
          <cell r="AB215">
            <v>0</v>
          </cell>
          <cell r="AC215" t="str">
            <v xml:space="preserve">01/09/2023 -     </v>
          </cell>
          <cell r="AD215" t="str">
            <v>30.09.2023</v>
          </cell>
          <cell r="AE215" t="str">
            <v>30/1.0000</v>
          </cell>
          <cell r="AF215">
            <v>142</v>
          </cell>
          <cell r="AG215" t="str">
            <v>KVA</v>
          </cell>
          <cell r="AH215">
            <v>142</v>
          </cell>
          <cell r="AI215" t="str">
            <v>R</v>
          </cell>
          <cell r="AJ215">
            <v>81191.5</v>
          </cell>
          <cell r="AK215" t="str">
            <v>30/09/2023</v>
          </cell>
          <cell r="AL215" t="str">
            <v>NES51967</v>
          </cell>
          <cell r="AM215" t="str">
            <v>THREE PHASE STATIC TRI-VECTOR METER-TOD</v>
          </cell>
          <cell r="AN215" t="str">
            <v>POST PAID</v>
          </cell>
          <cell r="AO215">
            <v>200</v>
          </cell>
          <cell r="AP215" t="str">
            <v>TOD</v>
          </cell>
          <cell r="AQ215">
            <v>-21554.5</v>
          </cell>
          <cell r="AR215">
            <v>0</v>
          </cell>
          <cell r="AS215">
            <v>0</v>
          </cell>
          <cell r="AT215">
            <v>0</v>
          </cell>
          <cell r="AU215">
            <v>0</v>
          </cell>
          <cell r="AV215">
            <v>0</v>
          </cell>
          <cell r="AW215">
            <v>12520</v>
          </cell>
          <cell r="AX215">
            <v>16574</v>
          </cell>
          <cell r="AY215">
            <v>16574</v>
          </cell>
          <cell r="AZ215">
            <v>708.72</v>
          </cell>
          <cell r="BA215">
            <v>78.88</v>
          </cell>
        </row>
        <row r="216">
          <cell r="F216">
            <v>126000000031</v>
          </cell>
          <cell r="G216" t="str">
            <v>M/S PARBATI TYRESS &amp; TUBES PVT LTD.</v>
          </cell>
          <cell r="H216" t="str">
            <v>C/O- MANOJ KUMAR NAYAK</v>
          </cell>
          <cell r="I216" t="str">
            <v>10/31/2020 00:00:00</v>
          </cell>
          <cell r="J216">
            <v>1</v>
          </cell>
          <cell r="K216" t="str">
            <v xml:space="preserve"> </v>
          </cell>
          <cell r="L216" t="str">
            <v xml:space="preserve"> </v>
          </cell>
          <cell r="M216" t="str">
            <v>325000010231492462</v>
          </cell>
          <cell r="N216" t="str">
            <v>1260000029</v>
          </cell>
          <cell r="O216" t="str">
            <v>SMD-3140697</v>
          </cell>
          <cell r="P216" t="str">
            <v>432533301</v>
          </cell>
          <cell r="Q216" t="str">
            <v>LARGE INDUSTRY</v>
          </cell>
          <cell r="R216" t="str">
            <v>HT</v>
          </cell>
          <cell r="S216" t="str">
            <v>01/10/2023</v>
          </cell>
          <cell r="T216" t="str">
            <v>01/10/2023</v>
          </cell>
          <cell r="U216" t="str">
            <v>06/10/2023</v>
          </cell>
          <cell r="V216" t="str">
            <v>09/10/2023</v>
          </cell>
          <cell r="W216" t="str">
            <v>2023/09</v>
          </cell>
          <cell r="X216" t="str">
            <v>11 KV</v>
          </cell>
          <cell r="Y216" t="str">
            <v>HT</v>
          </cell>
          <cell r="Z216">
            <v>364.8</v>
          </cell>
          <cell r="AA216">
            <v>0.89990000000000003</v>
          </cell>
          <cell r="AB216">
            <v>46.82</v>
          </cell>
          <cell r="AC216" t="str">
            <v xml:space="preserve">01/09/2023 -     </v>
          </cell>
          <cell r="AD216" t="str">
            <v>30.09.2023</v>
          </cell>
          <cell r="AE216" t="str">
            <v>30/1.0000</v>
          </cell>
          <cell r="AF216">
            <v>361</v>
          </cell>
          <cell r="AG216" t="str">
            <v>KVA</v>
          </cell>
          <cell r="AH216">
            <v>361</v>
          </cell>
          <cell r="AI216" t="str">
            <v>R</v>
          </cell>
          <cell r="AJ216">
            <v>1814646</v>
          </cell>
          <cell r="AK216" t="str">
            <v>30/09/2023</v>
          </cell>
          <cell r="AL216" t="str">
            <v>NES51002</v>
          </cell>
          <cell r="AM216" t="str">
            <v>SINGLE PHASE ELECTRO-MAGNETIC KWH METER-TOD</v>
          </cell>
          <cell r="AN216" t="str">
            <v>POST PAID</v>
          </cell>
          <cell r="AO216">
            <v>500</v>
          </cell>
          <cell r="AP216" t="str">
            <v>TOD</v>
          </cell>
          <cell r="AQ216">
            <v>-827781.44</v>
          </cell>
          <cell r="AR216">
            <v>0</v>
          </cell>
          <cell r="AS216">
            <v>0</v>
          </cell>
          <cell r="AT216">
            <v>0</v>
          </cell>
          <cell r="AU216">
            <v>0</v>
          </cell>
          <cell r="AV216">
            <v>0</v>
          </cell>
          <cell r="AW216">
            <v>110666</v>
          </cell>
          <cell r="AX216">
            <v>122970</v>
          </cell>
          <cell r="AY216">
            <v>122970</v>
          </cell>
          <cell r="AZ216">
            <v>2452.8000000000002</v>
          </cell>
          <cell r="BA216">
            <v>364.8</v>
          </cell>
        </row>
        <row r="217">
          <cell r="F217">
            <v>126000000032</v>
          </cell>
          <cell r="G217" t="str">
            <v>M/S MAA BIRAJA CHAKI ATTA</v>
          </cell>
          <cell r="H217" t="str">
            <v>C/O:SURENDRA PRASAD NAYAK</v>
          </cell>
          <cell r="I217" t="str">
            <v>10/31/2020 00:00:00</v>
          </cell>
          <cell r="J217">
            <v>1</v>
          </cell>
          <cell r="K217" t="str">
            <v>AT: NATAPADA</v>
          </cell>
          <cell r="L217" t="str">
            <v>PO: SORO</v>
          </cell>
          <cell r="M217" t="str">
            <v>325000010231492687</v>
          </cell>
          <cell r="N217" t="str">
            <v>1260000030</v>
          </cell>
          <cell r="O217" t="str">
            <v xml:space="preserve"> </v>
          </cell>
          <cell r="P217" t="str">
            <v>43207406006</v>
          </cell>
          <cell r="Q217" t="str">
            <v>LARGE INDUSTRY</v>
          </cell>
          <cell r="R217" t="str">
            <v>HT</v>
          </cell>
          <cell r="S217" t="str">
            <v>01/10/2023</v>
          </cell>
          <cell r="T217" t="str">
            <v>01/10/2023</v>
          </cell>
          <cell r="U217" t="str">
            <v>06/10/2023</v>
          </cell>
          <cell r="V217" t="str">
            <v>09/10/2023</v>
          </cell>
          <cell r="W217" t="str">
            <v>2023/09</v>
          </cell>
          <cell r="X217" t="str">
            <v>33 KV</v>
          </cell>
          <cell r="Y217" t="str">
            <v>HT</v>
          </cell>
          <cell r="Z217">
            <v>234.4</v>
          </cell>
          <cell r="AA217">
            <v>0.98460000000000003</v>
          </cell>
          <cell r="AB217">
            <v>17.75</v>
          </cell>
          <cell r="AC217" t="str">
            <v xml:space="preserve">01/09/2023 -     </v>
          </cell>
          <cell r="AD217" t="str">
            <v>30.09.2023</v>
          </cell>
          <cell r="AE217" t="str">
            <v>30/1.0000</v>
          </cell>
          <cell r="AF217">
            <v>278</v>
          </cell>
          <cell r="AG217" t="str">
            <v>KVA</v>
          </cell>
          <cell r="AH217">
            <v>278</v>
          </cell>
          <cell r="AI217" t="str">
            <v>R</v>
          </cell>
          <cell r="AJ217">
            <v>1791762.47</v>
          </cell>
          <cell r="AK217" t="str">
            <v>30/09/2023</v>
          </cell>
          <cell r="AL217" t="str">
            <v>TPN64001</v>
          </cell>
          <cell r="AM217" t="str">
            <v>THREE PHASE HT CT METER-33KV</v>
          </cell>
          <cell r="AN217" t="str">
            <v>POST PAID</v>
          </cell>
          <cell r="AO217">
            <v>0</v>
          </cell>
          <cell r="AP217" t="str">
            <v>TOD</v>
          </cell>
          <cell r="AQ217">
            <v>-2467519.9</v>
          </cell>
          <cell r="AR217">
            <v>0</v>
          </cell>
          <cell r="AS217">
            <v>0</v>
          </cell>
          <cell r="AT217">
            <v>0</v>
          </cell>
          <cell r="AU217">
            <v>0</v>
          </cell>
          <cell r="AV217">
            <v>0</v>
          </cell>
          <cell r="AW217">
            <v>29496</v>
          </cell>
          <cell r="AX217">
            <v>29956</v>
          </cell>
          <cell r="AY217">
            <v>29956</v>
          </cell>
          <cell r="AZ217">
            <v>1242.8800000000001</v>
          </cell>
          <cell r="BA217">
            <v>234.39999999999998</v>
          </cell>
        </row>
        <row r="218">
          <cell r="F218">
            <v>126000000033</v>
          </cell>
          <cell r="G218" t="str">
            <v>M/S OVAD AQUA VENTURES</v>
          </cell>
          <cell r="H218" t="str">
            <v>C/O- SWARNA PRAVA SAMAL</v>
          </cell>
          <cell r="I218" t="str">
            <v>10/31/2020 00:00:00</v>
          </cell>
          <cell r="J218">
            <v>1</v>
          </cell>
          <cell r="K218" t="str">
            <v xml:space="preserve"> </v>
          </cell>
          <cell r="L218" t="str">
            <v xml:space="preserve"> </v>
          </cell>
          <cell r="M218" t="str">
            <v>325000010231494904</v>
          </cell>
          <cell r="N218" t="str">
            <v>1260000031</v>
          </cell>
          <cell r="O218" t="str">
            <v>NBD-2241057</v>
          </cell>
          <cell r="P218" t="str">
            <v>432522203</v>
          </cell>
          <cell r="Q218" t="str">
            <v>ALLIED AGRICULTURE ACTIVITIES</v>
          </cell>
          <cell r="R218" t="str">
            <v>HT</v>
          </cell>
          <cell r="S218" t="str">
            <v>01/10/2023</v>
          </cell>
          <cell r="T218" t="str">
            <v>01/10/2023</v>
          </cell>
          <cell r="U218" t="str">
            <v>09/10/2023</v>
          </cell>
          <cell r="V218" t="str">
            <v>09/10/2023</v>
          </cell>
          <cell r="W218" t="str">
            <v>2023/09</v>
          </cell>
          <cell r="X218" t="str">
            <v>11 KV</v>
          </cell>
          <cell r="Y218" t="str">
            <v>HT</v>
          </cell>
          <cell r="Z218">
            <v>389</v>
          </cell>
          <cell r="AA218">
            <v>0.71989999999999998</v>
          </cell>
          <cell r="AB218">
            <v>0</v>
          </cell>
          <cell r="AC218" t="str">
            <v xml:space="preserve">01/09/2023 -     </v>
          </cell>
          <cell r="AD218" t="str">
            <v>30.09.2023</v>
          </cell>
          <cell r="AE218" t="str">
            <v>30/1.0000</v>
          </cell>
          <cell r="AF218">
            <v>389</v>
          </cell>
          <cell r="AG218" t="str">
            <v>KVA</v>
          </cell>
          <cell r="AH218">
            <v>389</v>
          </cell>
          <cell r="AI218" t="str">
            <v>R</v>
          </cell>
          <cell r="AJ218">
            <v>250205</v>
          </cell>
          <cell r="AK218" t="str">
            <v>30/09/2023</v>
          </cell>
          <cell r="AL218" t="str">
            <v>NES50342</v>
          </cell>
          <cell r="AM218" t="str">
            <v>TRI-VECTOR METER FOR RAILWAY TRACTION</v>
          </cell>
          <cell r="AN218" t="str">
            <v>POST PAID</v>
          </cell>
          <cell r="AO218">
            <v>500</v>
          </cell>
          <cell r="AP218" t="str">
            <v>TOD</v>
          </cell>
          <cell r="AQ218">
            <v>21638.799999999999</v>
          </cell>
          <cell r="AR218">
            <v>0</v>
          </cell>
          <cell r="AS218">
            <v>0</v>
          </cell>
          <cell r="AT218">
            <v>0</v>
          </cell>
          <cell r="AU218">
            <v>0</v>
          </cell>
          <cell r="AV218">
            <v>0</v>
          </cell>
          <cell r="AW218">
            <v>72843</v>
          </cell>
          <cell r="AX218">
            <v>101178</v>
          </cell>
          <cell r="AY218">
            <v>101178</v>
          </cell>
          <cell r="AZ218">
            <v>2299.1999999999998</v>
          </cell>
          <cell r="BA218">
            <v>302.16000000000003</v>
          </cell>
        </row>
        <row r="219">
          <cell r="F219">
            <v>126000000034</v>
          </cell>
          <cell r="G219" t="str">
            <v>M/S FALCON MARINE EXPORTS LTD.</v>
          </cell>
          <cell r="H219" t="str">
            <v>OLIAPATNA,KHANTAPADABALASORE</v>
          </cell>
          <cell r="I219" t="str">
            <v>10/31/2020 00:00:00</v>
          </cell>
          <cell r="J219">
            <v>1</v>
          </cell>
          <cell r="K219" t="str">
            <v xml:space="preserve"> </v>
          </cell>
          <cell r="L219" t="str">
            <v xml:space="preserve"> </v>
          </cell>
          <cell r="M219" t="str">
            <v>325000010231492736</v>
          </cell>
          <cell r="N219" t="str">
            <v>1260000032</v>
          </cell>
          <cell r="O219" t="str">
            <v xml:space="preserve"> </v>
          </cell>
          <cell r="P219" t="str">
            <v>43207406001</v>
          </cell>
          <cell r="Q219" t="str">
            <v>ALLIED AGRO-INDUSTRIAL ACTIVITIES</v>
          </cell>
          <cell r="R219" t="str">
            <v>HT</v>
          </cell>
          <cell r="S219" t="str">
            <v>01/10/2023</v>
          </cell>
          <cell r="T219" t="str">
            <v>01/10/2023</v>
          </cell>
          <cell r="U219" t="str">
            <v>06/10/2023</v>
          </cell>
          <cell r="V219" t="str">
            <v>09/10/2023</v>
          </cell>
          <cell r="W219" t="str">
            <v>2023/09</v>
          </cell>
          <cell r="X219" t="str">
            <v>33 KV</v>
          </cell>
          <cell r="Y219" t="str">
            <v>HT</v>
          </cell>
          <cell r="Z219">
            <v>3000</v>
          </cell>
          <cell r="AA219">
            <v>0.99650000000000005</v>
          </cell>
          <cell r="AB219">
            <v>0</v>
          </cell>
          <cell r="AC219" t="str">
            <v xml:space="preserve">01/09/2023 -     </v>
          </cell>
          <cell r="AD219" t="str">
            <v>30.09.2023</v>
          </cell>
          <cell r="AE219" t="str">
            <v>30/1.0000</v>
          </cell>
          <cell r="AF219">
            <v>3000</v>
          </cell>
          <cell r="AG219" t="str">
            <v>KVA</v>
          </cell>
          <cell r="AH219">
            <v>3000</v>
          </cell>
          <cell r="AI219" t="str">
            <v>R</v>
          </cell>
          <cell r="AJ219">
            <v>8632824.5999999996</v>
          </cell>
          <cell r="AK219" t="str">
            <v>30/09/2023</v>
          </cell>
          <cell r="AL219" t="str">
            <v>NES50449</v>
          </cell>
          <cell r="AM219" t="str">
            <v>THREE PHASE HT CT METER-33KV</v>
          </cell>
          <cell r="AN219" t="str">
            <v>POST PAID</v>
          </cell>
          <cell r="AO219">
            <v>1000</v>
          </cell>
          <cell r="AP219" t="str">
            <v>TOD</v>
          </cell>
          <cell r="AQ219">
            <v>559801.66</v>
          </cell>
          <cell r="AR219">
            <v>0</v>
          </cell>
          <cell r="AS219">
            <v>0</v>
          </cell>
          <cell r="AT219">
            <v>0</v>
          </cell>
          <cell r="AU219">
            <v>0</v>
          </cell>
          <cell r="AV219">
            <v>0</v>
          </cell>
          <cell r="AW219">
            <v>847890</v>
          </cell>
          <cell r="AX219">
            <v>850830</v>
          </cell>
          <cell r="AY219">
            <v>850830</v>
          </cell>
          <cell r="AZ219">
            <v>15456</v>
          </cell>
          <cell r="BA219">
            <v>2092.8000000000002</v>
          </cell>
        </row>
        <row r="220">
          <cell r="F220">
            <v>126000000035</v>
          </cell>
          <cell r="G220" t="str">
            <v>M/S SAKHI AGRO INDUSTRIES</v>
          </cell>
          <cell r="H220" t="str">
            <v>DEULI,ACHYUTPURGANDIBED</v>
          </cell>
          <cell r="I220" t="str">
            <v>10/31/2020 00:00:00</v>
          </cell>
          <cell r="J220">
            <v>1</v>
          </cell>
          <cell r="K220" t="str">
            <v xml:space="preserve"> </v>
          </cell>
          <cell r="L220" t="str">
            <v xml:space="preserve"> </v>
          </cell>
          <cell r="M220" t="str">
            <v>325000010231492425</v>
          </cell>
          <cell r="N220" t="str">
            <v>1260000033</v>
          </cell>
          <cell r="O220" t="str">
            <v>SKD-3341376</v>
          </cell>
          <cell r="P220" t="str">
            <v>432543301</v>
          </cell>
          <cell r="Q220" t="str">
            <v>LARGE INDUSTRY</v>
          </cell>
          <cell r="R220" t="str">
            <v>HT</v>
          </cell>
          <cell r="S220" t="str">
            <v>01/10/2023</v>
          </cell>
          <cell r="T220" t="str">
            <v>01/10/2023</v>
          </cell>
          <cell r="U220" t="str">
            <v>06/10/2023</v>
          </cell>
          <cell r="V220" t="str">
            <v>09/10/2023</v>
          </cell>
          <cell r="W220" t="str">
            <v>2023/09</v>
          </cell>
          <cell r="X220" t="str">
            <v>11 KV</v>
          </cell>
          <cell r="Y220" t="str">
            <v>HT</v>
          </cell>
          <cell r="Z220">
            <v>337.84</v>
          </cell>
          <cell r="AA220">
            <v>0.78139999999999998</v>
          </cell>
          <cell r="AB220">
            <v>32.99</v>
          </cell>
          <cell r="AC220" t="str">
            <v xml:space="preserve">01/09/2023 -     </v>
          </cell>
          <cell r="AD220" t="str">
            <v>30.09.2023</v>
          </cell>
          <cell r="AE220" t="str">
            <v>30/1.0000</v>
          </cell>
          <cell r="AF220">
            <v>200</v>
          </cell>
          <cell r="AG220" t="str">
            <v>KVA</v>
          </cell>
          <cell r="AH220">
            <v>200</v>
          </cell>
          <cell r="AI220" t="str">
            <v>R</v>
          </cell>
          <cell r="AJ220">
            <v>1022192</v>
          </cell>
          <cell r="AK220" t="str">
            <v>30/09/2023</v>
          </cell>
          <cell r="AL220" t="str">
            <v>TPCANES51990</v>
          </cell>
          <cell r="AM220" t="str">
            <v>TRI-VECTOR METER FOR RAILWAY TRACTION</v>
          </cell>
          <cell r="AN220" t="str">
            <v>POST PAID</v>
          </cell>
          <cell r="AO220">
            <v>250</v>
          </cell>
          <cell r="AP220" t="str">
            <v>TOD</v>
          </cell>
          <cell r="AQ220">
            <v>-626699.56000000006</v>
          </cell>
          <cell r="AR220">
            <v>0</v>
          </cell>
          <cell r="AS220">
            <v>0</v>
          </cell>
          <cell r="AT220">
            <v>0</v>
          </cell>
          <cell r="AU220">
            <v>0</v>
          </cell>
          <cell r="AV220">
            <v>0</v>
          </cell>
          <cell r="AW220">
            <v>62701</v>
          </cell>
          <cell r="AX220">
            <v>80235</v>
          </cell>
          <cell r="AY220">
            <v>80235</v>
          </cell>
          <cell r="AZ220">
            <v>2210.4</v>
          </cell>
          <cell r="BA220">
            <v>337.84000000000003</v>
          </cell>
        </row>
        <row r="221">
          <cell r="F221">
            <v>126000000036</v>
          </cell>
          <cell r="G221" t="str">
            <v>M/S POBON DPC &amp; CABLES PVT LTD.</v>
          </cell>
          <cell r="H221" t="str">
            <v>NAYAKABANDHA,BAHANGA</v>
          </cell>
          <cell r="I221" t="str">
            <v>10/31/2020 00:00:00</v>
          </cell>
          <cell r="J221">
            <v>1</v>
          </cell>
          <cell r="K221" t="str">
            <v xml:space="preserve"> </v>
          </cell>
          <cell r="L221" t="str">
            <v xml:space="preserve"> </v>
          </cell>
          <cell r="M221" t="str">
            <v>325000010231492831</v>
          </cell>
          <cell r="N221" t="str">
            <v>1260000034</v>
          </cell>
          <cell r="O221" t="str">
            <v>NBD-2141386</v>
          </cell>
          <cell r="P221" t="str">
            <v>432521102</v>
          </cell>
          <cell r="Q221" t="str">
            <v>LARGE INDUSTRY</v>
          </cell>
          <cell r="R221" t="str">
            <v>HT</v>
          </cell>
          <cell r="S221" t="str">
            <v>01/10/2023</v>
          </cell>
          <cell r="T221" t="str">
            <v>01/10/2023</v>
          </cell>
          <cell r="U221" t="str">
            <v>06/10/2023</v>
          </cell>
          <cell r="V221" t="str">
            <v>09/10/2023</v>
          </cell>
          <cell r="W221" t="str">
            <v>2023/09</v>
          </cell>
          <cell r="X221" t="str">
            <v>11 KV</v>
          </cell>
          <cell r="Y221" t="str">
            <v>HT</v>
          </cell>
          <cell r="Z221">
            <v>169.52</v>
          </cell>
          <cell r="AA221">
            <v>0.9204</v>
          </cell>
          <cell r="AB221">
            <v>42.57</v>
          </cell>
          <cell r="AC221" t="str">
            <v xml:space="preserve">01/09/2023 -     </v>
          </cell>
          <cell r="AD221" t="str">
            <v>30.09.2023</v>
          </cell>
          <cell r="AE221" t="str">
            <v>30/1.0000</v>
          </cell>
          <cell r="AF221">
            <v>123</v>
          </cell>
          <cell r="AG221" t="str">
            <v>KVA</v>
          </cell>
          <cell r="AH221">
            <v>123</v>
          </cell>
          <cell r="AI221" t="str">
            <v>R</v>
          </cell>
          <cell r="AJ221">
            <v>619847</v>
          </cell>
          <cell r="AK221" t="str">
            <v>30/09/2023</v>
          </cell>
          <cell r="AL221" t="str">
            <v>NES82992</v>
          </cell>
          <cell r="AM221" t="str">
            <v>SINGLE PHASE ELECTRO-MAGNETIC KWH METER-TOD</v>
          </cell>
          <cell r="AN221" t="str">
            <v>POST PAID</v>
          </cell>
          <cell r="AO221">
            <v>200</v>
          </cell>
          <cell r="AP221" t="str">
            <v>TOD</v>
          </cell>
          <cell r="AQ221">
            <v>-301365.65999999997</v>
          </cell>
          <cell r="AR221">
            <v>0</v>
          </cell>
          <cell r="AS221">
            <v>0</v>
          </cell>
          <cell r="AT221">
            <v>0</v>
          </cell>
          <cell r="AU221">
            <v>0</v>
          </cell>
          <cell r="AV221">
            <v>0</v>
          </cell>
          <cell r="AW221">
            <v>47830</v>
          </cell>
          <cell r="AX221">
            <v>51961</v>
          </cell>
          <cell r="AY221">
            <v>51961</v>
          </cell>
          <cell r="AZ221">
            <v>1027.2</v>
          </cell>
          <cell r="BA221">
            <v>169.52</v>
          </cell>
        </row>
        <row r="222">
          <cell r="F222">
            <v>126000000037</v>
          </cell>
          <cell r="G222" t="str">
            <v>M/S NITYANANDA FOOD PRODUCTS P. LTD</v>
          </cell>
          <cell r="H222" t="str">
            <v>TINIPADA,KHANTAPADABALASORE</v>
          </cell>
          <cell r="I222" t="str">
            <v>10/31/2020 00:00:00</v>
          </cell>
          <cell r="J222">
            <v>1</v>
          </cell>
          <cell r="K222" t="str">
            <v xml:space="preserve"> </v>
          </cell>
          <cell r="L222" t="str">
            <v xml:space="preserve"> </v>
          </cell>
          <cell r="M222" t="str">
            <v>325000010231492677</v>
          </cell>
          <cell r="N222" t="str">
            <v>1260000035</v>
          </cell>
          <cell r="O222" t="str">
            <v>NBD-2341387</v>
          </cell>
          <cell r="P222" t="str">
            <v>432523503</v>
          </cell>
          <cell r="Q222" t="str">
            <v>LARGE INDUSTRY</v>
          </cell>
          <cell r="R222" t="str">
            <v>HT</v>
          </cell>
          <cell r="S222" t="str">
            <v>01/10/2023</v>
          </cell>
          <cell r="T222" t="str">
            <v>01/10/2023</v>
          </cell>
          <cell r="U222" t="str">
            <v>06/10/2023</v>
          </cell>
          <cell r="V222" t="str">
            <v>09/10/2023</v>
          </cell>
          <cell r="W222" t="str">
            <v>2023/09</v>
          </cell>
          <cell r="X222" t="str">
            <v>11 KV</v>
          </cell>
          <cell r="Y222" t="str">
            <v>HT</v>
          </cell>
          <cell r="Z222">
            <v>176</v>
          </cell>
          <cell r="AA222">
            <v>0.92600000000000005</v>
          </cell>
          <cell r="AB222">
            <v>28.08</v>
          </cell>
          <cell r="AC222" t="str">
            <v xml:space="preserve">01/09/2023 -     </v>
          </cell>
          <cell r="AD222" t="str">
            <v>27.09.2023</v>
          </cell>
          <cell r="AE222" t="str">
            <v>27/1.0000</v>
          </cell>
          <cell r="AF222">
            <v>220</v>
          </cell>
          <cell r="AG222" t="str">
            <v>KVA</v>
          </cell>
          <cell r="AH222">
            <v>220</v>
          </cell>
          <cell r="AI222" t="str">
            <v>R</v>
          </cell>
          <cell r="AJ222">
            <v>1124412</v>
          </cell>
          <cell r="AK222" t="str">
            <v>27/09/2023</v>
          </cell>
          <cell r="AL222" t="str">
            <v>NES83076</v>
          </cell>
          <cell r="AM222" t="str">
            <v>TRI-VECTOR METER FOR RAILWAY TRACTION</v>
          </cell>
          <cell r="AN222" t="str">
            <v>POST PAID</v>
          </cell>
          <cell r="AO222">
            <v>315</v>
          </cell>
          <cell r="AP222" t="str">
            <v>TOD</v>
          </cell>
          <cell r="AQ222">
            <v>-562643.66</v>
          </cell>
          <cell r="AR222">
            <v>0</v>
          </cell>
          <cell r="AS222">
            <v>0</v>
          </cell>
          <cell r="AT222">
            <v>0</v>
          </cell>
          <cell r="AU222">
            <v>0</v>
          </cell>
          <cell r="AV222">
            <v>0</v>
          </cell>
          <cell r="AW222">
            <v>20462</v>
          </cell>
          <cell r="AX222">
            <v>22096</v>
          </cell>
          <cell r="AY222">
            <v>22096</v>
          </cell>
          <cell r="AZ222">
            <v>1060.96</v>
          </cell>
          <cell r="BA222">
            <v>121.44</v>
          </cell>
        </row>
        <row r="223">
          <cell r="F223">
            <v>126000000038</v>
          </cell>
          <cell r="G223" t="str">
            <v>M/S MAHALAXMI STONE CRUSHER</v>
          </cell>
          <cell r="H223" t="str">
            <v>PROP- SMITASHREE ROUT</v>
          </cell>
          <cell r="I223" t="str">
            <v>10/31/2020 00:00:00</v>
          </cell>
          <cell r="J223">
            <v>1</v>
          </cell>
          <cell r="K223" t="str">
            <v xml:space="preserve"> </v>
          </cell>
          <cell r="L223" t="str">
            <v xml:space="preserve"> </v>
          </cell>
          <cell r="M223" t="str">
            <v>325000010231492539</v>
          </cell>
          <cell r="N223" t="str">
            <v>1260000036</v>
          </cell>
          <cell r="O223" t="str">
            <v>SKD-3240330</v>
          </cell>
          <cell r="P223" t="str">
            <v>432541401</v>
          </cell>
          <cell r="Q223" t="str">
            <v>LARGE INDUSTRY</v>
          </cell>
          <cell r="R223" t="str">
            <v>HT</v>
          </cell>
          <cell r="S223" t="str">
            <v>01/10/2023</v>
          </cell>
          <cell r="T223" t="str">
            <v>01/10/2023</v>
          </cell>
          <cell r="U223" t="str">
            <v>06/10/2023</v>
          </cell>
          <cell r="V223" t="str">
            <v>09/10/2023</v>
          </cell>
          <cell r="W223" t="str">
            <v>2023/09</v>
          </cell>
          <cell r="X223" t="str">
            <v>11 KV</v>
          </cell>
          <cell r="Y223" t="str">
            <v>HT</v>
          </cell>
          <cell r="Z223">
            <v>114.24</v>
          </cell>
          <cell r="AA223">
            <v>0.48980000000000001</v>
          </cell>
          <cell r="AB223">
            <v>7.33</v>
          </cell>
          <cell r="AC223" t="str">
            <v xml:space="preserve">01/09/2023 -     </v>
          </cell>
          <cell r="AD223" t="str">
            <v>30.09.2023</v>
          </cell>
          <cell r="AE223" t="str">
            <v>30/1.0000</v>
          </cell>
          <cell r="AF223">
            <v>137</v>
          </cell>
          <cell r="AG223" t="str">
            <v>KVA</v>
          </cell>
          <cell r="AH223">
            <v>137</v>
          </cell>
          <cell r="AI223" t="str">
            <v>R</v>
          </cell>
          <cell r="AJ223">
            <v>1017082</v>
          </cell>
          <cell r="AK223" t="str">
            <v>30/09/2023</v>
          </cell>
          <cell r="AL223" t="str">
            <v>NSC94649</v>
          </cell>
          <cell r="AM223" t="str">
            <v>TRI-VECTOR METER FOR RAILWAY TRACTION</v>
          </cell>
          <cell r="AN223" t="str">
            <v>POST PAID</v>
          </cell>
          <cell r="AO223">
            <v>250</v>
          </cell>
          <cell r="AP223" t="str">
            <v>TOD</v>
          </cell>
          <cell r="AQ223">
            <v>-941886.06</v>
          </cell>
          <cell r="AR223">
            <v>0</v>
          </cell>
          <cell r="AS223">
            <v>0</v>
          </cell>
          <cell r="AT223">
            <v>0</v>
          </cell>
          <cell r="AU223">
            <v>0</v>
          </cell>
          <cell r="AV223">
            <v>0</v>
          </cell>
          <cell r="AW223">
            <v>2955</v>
          </cell>
          <cell r="AX223">
            <v>6032</v>
          </cell>
          <cell r="AY223">
            <v>6032</v>
          </cell>
          <cell r="AZ223">
            <v>630.96</v>
          </cell>
          <cell r="BA223">
            <v>114.24000000000001</v>
          </cell>
        </row>
        <row r="224">
          <cell r="F224">
            <v>126000000039</v>
          </cell>
          <cell r="G224" t="str">
            <v>M/S MISHRA STONE CRUSHER</v>
          </cell>
          <cell r="H224" t="str">
            <v>ADA,CHANDANPURBALASORE</v>
          </cell>
          <cell r="I224" t="str">
            <v>10/31/2020 00:00:00</v>
          </cell>
          <cell r="J224">
            <v>1</v>
          </cell>
          <cell r="K224" t="str">
            <v xml:space="preserve"> </v>
          </cell>
          <cell r="L224" t="str">
            <v xml:space="preserve"> </v>
          </cell>
          <cell r="M224" t="str">
            <v>325000010231492758</v>
          </cell>
          <cell r="N224" t="str">
            <v>1260000037</v>
          </cell>
          <cell r="O224" t="str">
            <v>SMD-3141781</v>
          </cell>
          <cell r="P224" t="str">
            <v>43207406005</v>
          </cell>
          <cell r="Q224" t="str">
            <v>LARGE INDUSTRY</v>
          </cell>
          <cell r="R224" t="str">
            <v>HT</v>
          </cell>
          <cell r="S224" t="str">
            <v>01/10/2023</v>
          </cell>
          <cell r="T224" t="str">
            <v>01/10/2023</v>
          </cell>
          <cell r="U224" t="str">
            <v>06/10/2023</v>
          </cell>
          <cell r="V224" t="str">
            <v>09/10/2023</v>
          </cell>
          <cell r="W224" t="str">
            <v>2023/09</v>
          </cell>
          <cell r="X224" t="str">
            <v>33 KV</v>
          </cell>
          <cell r="Y224" t="str">
            <v>HT</v>
          </cell>
          <cell r="Z224">
            <v>253.6</v>
          </cell>
          <cell r="AA224">
            <v>0.66120000000000001</v>
          </cell>
          <cell r="AB224">
            <v>13.91</v>
          </cell>
          <cell r="AC224" t="str">
            <v xml:space="preserve">01/09/2023 -     </v>
          </cell>
          <cell r="AD224" t="str">
            <v>25.09.2023</v>
          </cell>
          <cell r="AE224" t="str">
            <v>25/1.0000</v>
          </cell>
          <cell r="AF224">
            <v>317</v>
          </cell>
          <cell r="AG224" t="str">
            <v>KVA</v>
          </cell>
          <cell r="AH224">
            <v>317</v>
          </cell>
          <cell r="AI224" t="str">
            <v>R</v>
          </cell>
          <cell r="AJ224">
            <v>1620175</v>
          </cell>
          <cell r="AK224" t="str">
            <v>25/09/2023</v>
          </cell>
          <cell r="AL224" t="str">
            <v>NSC95076</v>
          </cell>
          <cell r="AM224" t="str">
            <v>THREE PHASE HT CT METER-33KV</v>
          </cell>
          <cell r="AN224" t="str">
            <v>POST PAID</v>
          </cell>
          <cell r="AO224">
            <v>500</v>
          </cell>
          <cell r="AP224" t="str">
            <v>TOD</v>
          </cell>
          <cell r="AQ224">
            <v>-1170087.8600000001</v>
          </cell>
          <cell r="AR224">
            <v>0</v>
          </cell>
          <cell r="AS224">
            <v>0</v>
          </cell>
          <cell r="AT224">
            <v>0</v>
          </cell>
          <cell r="AU224">
            <v>0</v>
          </cell>
          <cell r="AV224">
            <v>0</v>
          </cell>
          <cell r="AW224">
            <v>11880</v>
          </cell>
          <cell r="AX224">
            <v>17967</v>
          </cell>
          <cell r="AY224">
            <v>17967</v>
          </cell>
          <cell r="AZ224">
            <v>1450.32</v>
          </cell>
          <cell r="BA224">
            <v>215.28</v>
          </cell>
        </row>
        <row r="225">
          <cell r="F225">
            <v>126000000040</v>
          </cell>
          <cell r="G225" t="str">
            <v>M/S JAGABALIA STONE CRUSHER UNIT</v>
          </cell>
          <cell r="H225" t="str">
            <v>C/O- SUBASHISH JENA,KAITHGADIA , KHAIRABALASORE</v>
          </cell>
          <cell r="I225" t="str">
            <v>10/31/2020 00:00:00</v>
          </cell>
          <cell r="J225">
            <v>1</v>
          </cell>
          <cell r="K225" t="str">
            <v xml:space="preserve"> </v>
          </cell>
          <cell r="L225" t="str">
            <v xml:space="preserve"> </v>
          </cell>
          <cell r="M225" t="str">
            <v>325000010231494951</v>
          </cell>
          <cell r="N225" t="str">
            <v>1260000038</v>
          </cell>
          <cell r="O225" t="str">
            <v>SKD-3241782</v>
          </cell>
          <cell r="P225" t="str">
            <v>432541401</v>
          </cell>
          <cell r="Q225" t="str">
            <v>LARGE INDUSTRY</v>
          </cell>
          <cell r="R225" t="str">
            <v>HT</v>
          </cell>
          <cell r="S225" t="str">
            <v>01/10/2023</v>
          </cell>
          <cell r="T225" t="str">
            <v>01/10/2023</v>
          </cell>
          <cell r="U225" t="str">
            <v>06/10/2023</v>
          </cell>
          <cell r="V225" t="str">
            <v>09/10/2023</v>
          </cell>
          <cell r="W225" t="str">
            <v>2023/09</v>
          </cell>
          <cell r="X225" t="str">
            <v>11 KV</v>
          </cell>
          <cell r="Y225" t="str">
            <v>HT</v>
          </cell>
          <cell r="Z225">
            <v>180</v>
          </cell>
          <cell r="AA225">
            <v>0.98229999999999995</v>
          </cell>
          <cell r="AB225">
            <v>9.1999999999999993</v>
          </cell>
          <cell r="AC225" t="str">
            <v xml:space="preserve">01/09/2023 -     </v>
          </cell>
          <cell r="AD225" t="str">
            <v>30.09.2023</v>
          </cell>
          <cell r="AE225" t="str">
            <v>30/1.0000</v>
          </cell>
          <cell r="AF225">
            <v>225</v>
          </cell>
          <cell r="AG225" t="str">
            <v>KVA</v>
          </cell>
          <cell r="AH225">
            <v>225</v>
          </cell>
          <cell r="AI225" t="str">
            <v>R</v>
          </cell>
          <cell r="AJ225">
            <v>1149966</v>
          </cell>
          <cell r="AK225" t="str">
            <v>30/09/2023</v>
          </cell>
          <cell r="AL225" t="str">
            <v>NSC95095</v>
          </cell>
          <cell r="AM225" t="str">
            <v>SINGLE PHASE ELECTRO-MAGNETIC KWH METER-TOD</v>
          </cell>
          <cell r="AN225" t="str">
            <v>POST PAID</v>
          </cell>
          <cell r="AO225">
            <v>315</v>
          </cell>
          <cell r="AP225" t="str">
            <v>TOD</v>
          </cell>
          <cell r="AQ225">
            <v>-1039409.1</v>
          </cell>
          <cell r="AR225">
            <v>0</v>
          </cell>
          <cell r="AS225">
            <v>0</v>
          </cell>
          <cell r="AT225">
            <v>0</v>
          </cell>
          <cell r="AU225">
            <v>0</v>
          </cell>
          <cell r="AV225">
            <v>0</v>
          </cell>
          <cell r="AW225">
            <v>8882</v>
          </cell>
          <cell r="AX225">
            <v>9042</v>
          </cell>
          <cell r="AY225">
            <v>9042</v>
          </cell>
          <cell r="AZ225">
            <v>659.2</v>
          </cell>
          <cell r="BA225">
            <v>136.47999999999999</v>
          </cell>
        </row>
        <row r="226">
          <cell r="F226">
            <v>126000000041</v>
          </cell>
          <cell r="G226" t="str">
            <v>M/S POOJA RICE MILL</v>
          </cell>
          <cell r="H226" t="str">
            <v>MULESWAR,SOROBALASORE</v>
          </cell>
          <cell r="I226" t="str">
            <v>10/31/2020 00:00:00</v>
          </cell>
          <cell r="J226">
            <v>1</v>
          </cell>
          <cell r="K226" t="str">
            <v xml:space="preserve"> </v>
          </cell>
          <cell r="L226" t="str">
            <v xml:space="preserve"> </v>
          </cell>
          <cell r="M226" t="str">
            <v>325000010231492598</v>
          </cell>
          <cell r="N226" t="str">
            <v>1260000039</v>
          </cell>
          <cell r="O226" t="str">
            <v>SIID-1240613</v>
          </cell>
          <cell r="P226" t="str">
            <v>432522303</v>
          </cell>
          <cell r="Q226" t="str">
            <v>LARGE INDUSTRY</v>
          </cell>
          <cell r="R226" t="str">
            <v>HT</v>
          </cell>
          <cell r="S226" t="str">
            <v>01/10/2023</v>
          </cell>
          <cell r="T226" t="str">
            <v>01/10/2023</v>
          </cell>
          <cell r="U226" t="str">
            <v>06/10/2023</v>
          </cell>
          <cell r="V226" t="str">
            <v>09/10/2023</v>
          </cell>
          <cell r="W226" t="str">
            <v>2023/09</v>
          </cell>
          <cell r="X226" t="str">
            <v>33 KV</v>
          </cell>
          <cell r="Y226" t="str">
            <v>HT</v>
          </cell>
          <cell r="Z226">
            <v>356</v>
          </cell>
          <cell r="AA226">
            <v>0.93940000000000001</v>
          </cell>
          <cell r="AB226">
            <v>30.04</v>
          </cell>
          <cell r="AC226" t="str">
            <v xml:space="preserve">01/09/2023 -     </v>
          </cell>
          <cell r="AD226" t="str">
            <v>30.09.2023</v>
          </cell>
          <cell r="AE226" t="str">
            <v>30/1.0000</v>
          </cell>
          <cell r="AF226">
            <v>445</v>
          </cell>
          <cell r="AG226" t="str">
            <v>KVA</v>
          </cell>
          <cell r="AH226">
            <v>445</v>
          </cell>
          <cell r="AI226" t="str">
            <v>R</v>
          </cell>
          <cell r="AJ226">
            <v>2274378</v>
          </cell>
          <cell r="AK226" t="str">
            <v>30/09/2023</v>
          </cell>
          <cell r="AL226" t="str">
            <v>NSC94955</v>
          </cell>
          <cell r="AM226" t="str">
            <v>THREE PHASE HT CT METER-33KV</v>
          </cell>
          <cell r="AN226" t="str">
            <v>POST PAID</v>
          </cell>
          <cell r="AO226">
            <v>500</v>
          </cell>
          <cell r="AP226" t="str">
            <v>TOD</v>
          </cell>
          <cell r="AQ226">
            <v>-1507809.5</v>
          </cell>
          <cell r="AR226">
            <v>0</v>
          </cell>
          <cell r="AS226">
            <v>0</v>
          </cell>
          <cell r="AT226">
            <v>0</v>
          </cell>
          <cell r="AU226">
            <v>0</v>
          </cell>
          <cell r="AV226">
            <v>0</v>
          </cell>
          <cell r="AW226">
            <v>38868</v>
          </cell>
          <cell r="AX226">
            <v>41373</v>
          </cell>
          <cell r="AY226">
            <v>41373</v>
          </cell>
          <cell r="AZ226">
            <v>1443.36</v>
          </cell>
          <cell r="BA226">
            <v>191.27999999999997</v>
          </cell>
        </row>
        <row r="227">
          <cell r="F227">
            <v>126000000043</v>
          </cell>
          <cell r="G227" t="str">
            <v>M/S BALAZI TRADING CO.</v>
          </cell>
          <cell r="H227" t="str">
            <v>PROP- PAJENDRA PR. AGARWAL</v>
          </cell>
          <cell r="I227" t="str">
            <v>10/31/2020 00:00:00</v>
          </cell>
          <cell r="J227">
            <v>1</v>
          </cell>
          <cell r="K227" t="str">
            <v xml:space="preserve"> </v>
          </cell>
          <cell r="L227" t="str">
            <v xml:space="preserve"> </v>
          </cell>
          <cell r="M227" t="str">
            <v>325000010232495008</v>
          </cell>
          <cell r="N227" t="str">
            <v>1260000041</v>
          </cell>
          <cell r="O227" t="str">
            <v>SMD-3140126</v>
          </cell>
          <cell r="P227" t="str">
            <v>461111203</v>
          </cell>
          <cell r="Q227" t="str">
            <v>LARGE INDUSTRY</v>
          </cell>
          <cell r="R227" t="str">
            <v>HT</v>
          </cell>
          <cell r="S227" t="str">
            <v>01/10/2023</v>
          </cell>
          <cell r="T227" t="str">
            <v>01/10/2023</v>
          </cell>
          <cell r="U227" t="str">
            <v>06/10/2023</v>
          </cell>
          <cell r="V227" t="str">
            <v>09/10/2023</v>
          </cell>
          <cell r="W227" t="str">
            <v>2023/09</v>
          </cell>
          <cell r="X227" t="str">
            <v>11 KV</v>
          </cell>
          <cell r="Y227" t="str">
            <v>HT</v>
          </cell>
          <cell r="Z227">
            <v>240</v>
          </cell>
          <cell r="AA227">
            <v>0.94750000000000001</v>
          </cell>
          <cell r="AB227">
            <v>17.77</v>
          </cell>
          <cell r="AC227" t="str">
            <v xml:space="preserve">01/09/2023 -     </v>
          </cell>
          <cell r="AD227" t="str">
            <v>30.09.2023</v>
          </cell>
          <cell r="AE227" t="str">
            <v>30/1.0000</v>
          </cell>
          <cell r="AF227">
            <v>300</v>
          </cell>
          <cell r="AG227" t="str">
            <v>KVA</v>
          </cell>
          <cell r="AH227">
            <v>300</v>
          </cell>
          <cell r="AI227" t="str">
            <v>R</v>
          </cell>
          <cell r="AJ227">
            <v>1533288</v>
          </cell>
          <cell r="AK227" t="str">
            <v>30/09/2023</v>
          </cell>
          <cell r="AL227" t="str">
            <v>TPCANES51961</v>
          </cell>
          <cell r="AM227" t="str">
            <v>SINGLE PHASE ELECTRO-MAGNETIC KWH METER-TOD</v>
          </cell>
          <cell r="AN227" t="str">
            <v>POST PAID</v>
          </cell>
          <cell r="AO227">
            <v>500</v>
          </cell>
          <cell r="AP227" t="str">
            <v>TOD</v>
          </cell>
          <cell r="AQ227">
            <v>-1238045.3999999999</v>
          </cell>
          <cell r="AR227">
            <v>0</v>
          </cell>
          <cell r="AS227">
            <v>0</v>
          </cell>
          <cell r="AT227">
            <v>0</v>
          </cell>
          <cell r="AU227">
            <v>0</v>
          </cell>
          <cell r="AV227">
            <v>0</v>
          </cell>
          <cell r="AW227">
            <v>27141</v>
          </cell>
          <cell r="AX227">
            <v>28644</v>
          </cell>
          <cell r="AY227">
            <v>28644</v>
          </cell>
          <cell r="AZ227">
            <v>1382.88</v>
          </cell>
          <cell r="BA227">
            <v>223.92</v>
          </cell>
        </row>
        <row r="228">
          <cell r="F228">
            <v>126000000044</v>
          </cell>
          <cell r="G228" t="str">
            <v>M/S HANUMAN STONE PRODUCTS</v>
          </cell>
          <cell r="H228" t="str">
            <v>C/O- PURNA CH. NAYAK,GUAPAL , KUPARISORO</v>
          </cell>
          <cell r="I228" t="str">
            <v>10/31/2020 00:00:00</v>
          </cell>
          <cell r="J228">
            <v>1</v>
          </cell>
          <cell r="K228" t="str">
            <v xml:space="preserve"> </v>
          </cell>
          <cell r="L228" t="str">
            <v xml:space="preserve"> </v>
          </cell>
          <cell r="M228" t="str">
            <v>325000010231492691</v>
          </cell>
          <cell r="N228" t="str">
            <v>1260000042</v>
          </cell>
          <cell r="O228" t="str">
            <v>SK-3234393</v>
          </cell>
          <cell r="P228" t="str">
            <v>432541501</v>
          </cell>
          <cell r="Q228" t="str">
            <v>LARGE INDUSTRY</v>
          </cell>
          <cell r="R228" t="str">
            <v>HT</v>
          </cell>
          <cell r="S228" t="str">
            <v>01/10/2023</v>
          </cell>
          <cell r="T228" t="str">
            <v>01/10/2023</v>
          </cell>
          <cell r="U228" t="str">
            <v>06/10/2023</v>
          </cell>
          <cell r="V228" t="str">
            <v>09/10/2023</v>
          </cell>
          <cell r="W228" t="str">
            <v>2023/09</v>
          </cell>
          <cell r="X228" t="str">
            <v>11 KV</v>
          </cell>
          <cell r="Y228" t="str">
            <v>HT</v>
          </cell>
          <cell r="Z228">
            <v>121.6</v>
          </cell>
          <cell r="AA228">
            <v>0.52549999999999997</v>
          </cell>
          <cell r="AB228">
            <v>14.52</v>
          </cell>
          <cell r="AC228" t="str">
            <v xml:space="preserve">01/09/2023 -     </v>
          </cell>
          <cell r="AD228" t="str">
            <v>30.09.2023</v>
          </cell>
          <cell r="AE228" t="str">
            <v>30/1.0000</v>
          </cell>
          <cell r="AF228">
            <v>152</v>
          </cell>
          <cell r="AG228" t="str">
            <v>KVA</v>
          </cell>
          <cell r="AH228">
            <v>152</v>
          </cell>
          <cell r="AI228" t="str">
            <v>R</v>
          </cell>
          <cell r="AJ228">
            <v>124018</v>
          </cell>
          <cell r="AK228" t="str">
            <v>30/09/2023</v>
          </cell>
          <cell r="AL228" t="str">
            <v>TPN64040</v>
          </cell>
          <cell r="AM228" t="str">
            <v>THREE PHASE STATIC TRI-VECTOR METER-TOD</v>
          </cell>
          <cell r="AN228" t="str">
            <v>POST PAID</v>
          </cell>
          <cell r="AO228">
            <v>100</v>
          </cell>
          <cell r="AP228" t="str">
            <v>TOD</v>
          </cell>
          <cell r="AQ228">
            <v>-61147.1</v>
          </cell>
          <cell r="AR228">
            <v>0</v>
          </cell>
          <cell r="AS228">
            <v>0</v>
          </cell>
          <cell r="AT228">
            <v>0</v>
          </cell>
          <cell r="AU228">
            <v>0</v>
          </cell>
          <cell r="AV228">
            <v>0</v>
          </cell>
          <cell r="AW228">
            <v>6291</v>
          </cell>
          <cell r="AX228">
            <v>11970</v>
          </cell>
          <cell r="AY228">
            <v>11970</v>
          </cell>
          <cell r="AZ228">
            <v>322.92</v>
          </cell>
          <cell r="BA228">
            <v>114.48</v>
          </cell>
        </row>
        <row r="229">
          <cell r="F229">
            <v>126000000046</v>
          </cell>
          <cell r="G229" t="str">
            <v>M/S ASHADEEP AQUACULTURE P. LTD.</v>
          </cell>
          <cell r="H229" t="str">
            <v>KHARASAHAPUR,AVANABALASORE</v>
          </cell>
          <cell r="I229" t="str">
            <v>10/31/2020 00:00:00</v>
          </cell>
          <cell r="J229">
            <v>1</v>
          </cell>
          <cell r="K229" t="str">
            <v xml:space="preserve"> </v>
          </cell>
          <cell r="L229" t="str">
            <v xml:space="preserve"> </v>
          </cell>
          <cell r="M229" t="str">
            <v>325000010232495843</v>
          </cell>
          <cell r="N229" t="str">
            <v>1260000044</v>
          </cell>
          <cell r="O229" t="str">
            <v>NBD-2242236</v>
          </cell>
          <cell r="P229" t="str">
            <v>432522203</v>
          </cell>
          <cell r="Q229" t="str">
            <v>GENERAL PURPOSE &gt;= 110 KVA</v>
          </cell>
          <cell r="R229" t="str">
            <v>HT</v>
          </cell>
          <cell r="S229" t="str">
            <v>01/10/2023</v>
          </cell>
          <cell r="T229" t="str">
            <v>01/10/2023</v>
          </cell>
          <cell r="U229" t="str">
            <v>06/10/2023</v>
          </cell>
          <cell r="V229" t="str">
            <v>09/10/2023</v>
          </cell>
          <cell r="W229" t="str">
            <v>2023/09</v>
          </cell>
          <cell r="X229" t="str">
            <v>11 KV</v>
          </cell>
          <cell r="Y229" t="str">
            <v>HT</v>
          </cell>
          <cell r="Z229">
            <v>222.4</v>
          </cell>
          <cell r="AA229">
            <v>0</v>
          </cell>
          <cell r="AB229">
            <v>0</v>
          </cell>
          <cell r="AC229" t="str">
            <v xml:space="preserve">01/09/2023 -     </v>
          </cell>
          <cell r="AD229" t="str">
            <v>30.09.2023</v>
          </cell>
          <cell r="AE229" t="str">
            <v>30/1.0000</v>
          </cell>
          <cell r="AF229">
            <v>278</v>
          </cell>
          <cell r="AG229" t="str">
            <v>KVA</v>
          </cell>
          <cell r="AH229">
            <v>278</v>
          </cell>
          <cell r="AI229" t="str">
            <v>R</v>
          </cell>
          <cell r="AJ229">
            <v>689463</v>
          </cell>
          <cell r="AK229" t="str">
            <v>30/09/2023</v>
          </cell>
          <cell r="AL229" t="str">
            <v>NSC94450</v>
          </cell>
          <cell r="AM229" t="str">
            <v>TRI-VECTOR METER FOR RAILWAY TRACTION</v>
          </cell>
          <cell r="AN229" t="str">
            <v>POST PAID</v>
          </cell>
          <cell r="AO229">
            <v>315</v>
          </cell>
          <cell r="AP229" t="str">
            <v>TOD</v>
          </cell>
          <cell r="AQ229">
            <v>-243058</v>
          </cell>
          <cell r="AR229">
            <v>0</v>
          </cell>
          <cell r="AS229">
            <v>0</v>
          </cell>
          <cell r="AT229">
            <v>0</v>
          </cell>
          <cell r="AU229">
            <v>0</v>
          </cell>
          <cell r="AV229">
            <v>0</v>
          </cell>
          <cell r="AW229">
            <v>0</v>
          </cell>
          <cell r="AX229">
            <v>0</v>
          </cell>
          <cell r="AY229">
            <v>0</v>
          </cell>
          <cell r="AZ229">
            <v>0</v>
          </cell>
          <cell r="BA229">
            <v>0</v>
          </cell>
        </row>
        <row r="230">
          <cell r="F230">
            <v>126000000047</v>
          </cell>
          <cell r="G230" t="str">
            <v>M/S BRIJ GOPAL CONSTRUCTION COMPANY</v>
          </cell>
          <cell r="H230" t="str">
            <v>DAHISADA,BALASORE</v>
          </cell>
          <cell r="I230" t="str">
            <v>03/13/2021 00:00:00</v>
          </cell>
          <cell r="J230">
            <v>1</v>
          </cell>
          <cell r="K230" t="str">
            <v xml:space="preserve"> </v>
          </cell>
          <cell r="L230" t="str">
            <v xml:space="preserve"> </v>
          </cell>
          <cell r="M230" t="str">
            <v>325000010231492468</v>
          </cell>
          <cell r="N230" t="str">
            <v>1260000045</v>
          </cell>
          <cell r="O230" t="str">
            <v>NBD-2142350</v>
          </cell>
          <cell r="P230" t="str">
            <v>43207406001</v>
          </cell>
          <cell r="Q230" t="str">
            <v>TEMP. SUPPLY GENERAL PURPOSE &gt;= 110 KVA</v>
          </cell>
          <cell r="R230" t="str">
            <v>HT</v>
          </cell>
          <cell r="S230" t="str">
            <v>01/10/2023</v>
          </cell>
          <cell r="T230" t="str">
            <v>01/10/2023</v>
          </cell>
          <cell r="U230" t="str">
            <v>06/10/2023</v>
          </cell>
          <cell r="V230" t="str">
            <v>09/10/2023</v>
          </cell>
          <cell r="W230" t="str">
            <v>2023/09</v>
          </cell>
          <cell r="X230" t="str">
            <v>33 KV</v>
          </cell>
          <cell r="Y230" t="str">
            <v>HT</v>
          </cell>
          <cell r="Z230">
            <v>1600</v>
          </cell>
          <cell r="AA230">
            <v>0.93940000000000001</v>
          </cell>
          <cell r="AB230">
            <v>39.51</v>
          </cell>
          <cell r="AC230" t="str">
            <v xml:space="preserve">01/09/2023 -     </v>
          </cell>
          <cell r="AD230" t="str">
            <v>30.09.2023</v>
          </cell>
          <cell r="AE230" t="str">
            <v>30/1.0000</v>
          </cell>
          <cell r="AF230">
            <v>2000</v>
          </cell>
          <cell r="AG230" t="str">
            <v>KVA</v>
          </cell>
          <cell r="AH230">
            <v>2000</v>
          </cell>
          <cell r="AI230" t="str">
            <v>R</v>
          </cell>
          <cell r="AJ230">
            <v>0</v>
          </cell>
          <cell r="AK230" t="str">
            <v>30/09/2023</v>
          </cell>
          <cell r="AL230" t="str">
            <v>NSC95027</v>
          </cell>
          <cell r="AM230" t="str">
            <v>THREE PHASE HT CT METER-33KV</v>
          </cell>
          <cell r="AN230" t="str">
            <v>POST PAID</v>
          </cell>
          <cell r="AO230">
            <v>25000</v>
          </cell>
          <cell r="AP230" t="str">
            <v>TOD</v>
          </cell>
          <cell r="AQ230">
            <v>0</v>
          </cell>
          <cell r="AR230">
            <v>0</v>
          </cell>
          <cell r="AS230">
            <v>0</v>
          </cell>
          <cell r="AT230">
            <v>0</v>
          </cell>
          <cell r="AU230">
            <v>0</v>
          </cell>
          <cell r="AV230">
            <v>0</v>
          </cell>
          <cell r="AW230">
            <v>30465</v>
          </cell>
          <cell r="AX230">
            <v>32430</v>
          </cell>
          <cell r="AY230">
            <v>32430</v>
          </cell>
          <cell r="AZ230">
            <v>2040</v>
          </cell>
          <cell r="BA230">
            <v>114</v>
          </cell>
        </row>
        <row r="231">
          <cell r="F231">
            <v>126000000048</v>
          </cell>
          <cell r="G231" t="str">
            <v>M/S S.S. ENTERPRISES</v>
          </cell>
          <cell r="H231" t="str">
            <v xml:space="preserve"> </v>
          </cell>
          <cell r="I231" t="str">
            <v>05/01/2021 00:00:00</v>
          </cell>
          <cell r="J231">
            <v>1</v>
          </cell>
          <cell r="K231" t="str">
            <v>BARAPADA ,HARIPUR,BALASORE</v>
          </cell>
          <cell r="L231" t="str">
            <v xml:space="preserve"> </v>
          </cell>
          <cell r="M231" t="str">
            <v>325000010231492389</v>
          </cell>
          <cell r="N231" t="str">
            <v>132100000011</v>
          </cell>
          <cell r="O231" t="str">
            <v>SKD-3242419</v>
          </cell>
          <cell r="P231" t="str">
            <v>432541503</v>
          </cell>
          <cell r="Q231" t="str">
            <v>LARGE INDUSTRY</v>
          </cell>
          <cell r="R231" t="str">
            <v>HT</v>
          </cell>
          <cell r="S231" t="str">
            <v>01/10/2023</v>
          </cell>
          <cell r="T231" t="str">
            <v>01/10/2023</v>
          </cell>
          <cell r="U231" t="str">
            <v>06/10/2023</v>
          </cell>
          <cell r="V231" t="str">
            <v>09/10/2023</v>
          </cell>
          <cell r="W231" t="str">
            <v>2023/09</v>
          </cell>
          <cell r="X231" t="str">
            <v>11 KV</v>
          </cell>
          <cell r="Y231" t="str">
            <v>HT</v>
          </cell>
          <cell r="Z231">
            <v>222.4</v>
          </cell>
          <cell r="AA231">
            <v>0.95620000000000005</v>
          </cell>
          <cell r="AB231">
            <v>5.18</v>
          </cell>
          <cell r="AC231" t="str">
            <v xml:space="preserve">01/09/2023 -     </v>
          </cell>
          <cell r="AD231" t="str">
            <v>30.09.2023</v>
          </cell>
          <cell r="AE231" t="str">
            <v>30/1.0000</v>
          </cell>
          <cell r="AF231">
            <v>278</v>
          </cell>
          <cell r="AG231" t="str">
            <v>KVA</v>
          </cell>
          <cell r="AH231">
            <v>278</v>
          </cell>
          <cell r="AI231" t="str">
            <v>R</v>
          </cell>
          <cell r="AJ231">
            <v>1471288</v>
          </cell>
          <cell r="AK231" t="str">
            <v>30/09/2023</v>
          </cell>
          <cell r="AL231" t="str">
            <v>NSC95017</v>
          </cell>
          <cell r="AM231" t="str">
            <v>HT THREE PHASE 3 WIRE AMR/AMI COMPLIANT METER</v>
          </cell>
          <cell r="AN231" t="str">
            <v>POST PAID</v>
          </cell>
          <cell r="AO231">
            <v>315</v>
          </cell>
          <cell r="AP231" t="str">
            <v>TOD</v>
          </cell>
          <cell r="AQ231">
            <v>-1318892.3</v>
          </cell>
          <cell r="AR231">
            <v>0</v>
          </cell>
          <cell r="AS231">
            <v>0</v>
          </cell>
          <cell r="AT231">
            <v>0</v>
          </cell>
          <cell r="AU231">
            <v>0</v>
          </cell>
          <cell r="AV231">
            <v>0</v>
          </cell>
          <cell r="AW231">
            <v>5378</v>
          </cell>
          <cell r="AX231">
            <v>5624</v>
          </cell>
          <cell r="AY231">
            <v>5624</v>
          </cell>
          <cell r="AZ231">
            <v>673.28</v>
          </cell>
          <cell r="BA231">
            <v>150.72</v>
          </cell>
        </row>
        <row r="232">
          <cell r="F232">
            <v>126000000049</v>
          </cell>
          <cell r="G232" t="str">
            <v>Highland Agro Food Private Limited</v>
          </cell>
          <cell r="H232" t="str">
            <v>GADABHANGA</v>
          </cell>
          <cell r="I232" t="str">
            <v>07/04/2021 00:00:00</v>
          </cell>
          <cell r="J232">
            <v>1</v>
          </cell>
          <cell r="K232" t="str">
            <v>KHANTAPADA</v>
          </cell>
          <cell r="L232" t="str">
            <v>BALASORE</v>
          </cell>
          <cell r="M232" t="str">
            <v>325000010231492440</v>
          </cell>
          <cell r="N232" t="str">
            <v>132100000424</v>
          </cell>
          <cell r="O232" t="str">
            <v>NBD-2342514</v>
          </cell>
          <cell r="P232" t="str">
            <v>43207406001</v>
          </cell>
          <cell r="Q232" t="str">
            <v>ALLIED AGRO-INDUSTRIAL ACTIVITIES</v>
          </cell>
          <cell r="R232" t="str">
            <v>HT</v>
          </cell>
          <cell r="S232" t="str">
            <v>01/10/2023</v>
          </cell>
          <cell r="T232" t="str">
            <v>01/10/2023</v>
          </cell>
          <cell r="U232" t="str">
            <v>06/10/2023</v>
          </cell>
          <cell r="V232" t="str">
            <v>09/10/2023</v>
          </cell>
          <cell r="W232" t="str">
            <v>2023/09</v>
          </cell>
          <cell r="X232" t="str">
            <v>11 KV</v>
          </cell>
          <cell r="Y232" t="str">
            <v>HT</v>
          </cell>
          <cell r="Z232">
            <v>1879.2</v>
          </cell>
          <cell r="AA232">
            <v>0.99990000000000001</v>
          </cell>
          <cell r="AB232">
            <v>0</v>
          </cell>
          <cell r="AC232" t="str">
            <v xml:space="preserve">01/09/2023 -     </v>
          </cell>
          <cell r="AD232" t="str">
            <v>30.09.2023</v>
          </cell>
          <cell r="AE232" t="str">
            <v>30/1.0000</v>
          </cell>
          <cell r="AF232">
            <v>989</v>
          </cell>
          <cell r="AG232" t="str">
            <v>KVA</v>
          </cell>
          <cell r="AH232">
            <v>989</v>
          </cell>
          <cell r="AI232" t="str">
            <v>R</v>
          </cell>
          <cell r="AJ232">
            <v>3950446.8</v>
          </cell>
          <cell r="AK232" t="str">
            <v>30/09/2023</v>
          </cell>
          <cell r="AL232" t="str">
            <v>TPN64097</v>
          </cell>
          <cell r="AM232" t="str">
            <v>THREE PHASE STATIC TRI-VECTOR METER-TOD</v>
          </cell>
          <cell r="AN232" t="str">
            <v>POST PAID</v>
          </cell>
          <cell r="AO232">
            <v>1500</v>
          </cell>
          <cell r="AP232" t="str">
            <v>TOD</v>
          </cell>
          <cell r="AQ232">
            <v>2198096.7999999998</v>
          </cell>
          <cell r="AR232">
            <v>0</v>
          </cell>
          <cell r="AS232">
            <v>0</v>
          </cell>
          <cell r="AT232">
            <v>0</v>
          </cell>
          <cell r="AU232">
            <v>0</v>
          </cell>
          <cell r="AV232">
            <v>0</v>
          </cell>
          <cell r="AW232">
            <v>817824</v>
          </cell>
          <cell r="AX232">
            <v>817836</v>
          </cell>
          <cell r="AY232">
            <v>817836</v>
          </cell>
          <cell r="AZ232">
            <v>12028.8</v>
          </cell>
          <cell r="BA232">
            <v>1879.2</v>
          </cell>
        </row>
        <row r="233">
          <cell r="F233">
            <v>126000000050</v>
          </cell>
          <cell r="G233" t="str">
            <v>M/S TIRUMALA  TIRUPATI RICE MILL P LTD</v>
          </cell>
          <cell r="H233" t="str">
            <v>DAKHINA ADA</v>
          </cell>
          <cell r="I233" t="str">
            <v>07/04/2021 00:00:00</v>
          </cell>
          <cell r="J233">
            <v>1</v>
          </cell>
          <cell r="K233" t="str">
            <v>ADA CHARIGHARIA</v>
          </cell>
          <cell r="L233" t="str">
            <v>BALASORE</v>
          </cell>
          <cell r="M233" t="str">
            <v>325000010231492521</v>
          </cell>
          <cell r="N233" t="str">
            <v>132100000426</v>
          </cell>
          <cell r="O233" t="str">
            <v>SMD-3142515</v>
          </cell>
          <cell r="P233" t="str">
            <v>43207406005</v>
          </cell>
          <cell r="Q233" t="str">
            <v>LARGE INDUSTRY</v>
          </cell>
          <cell r="R233" t="str">
            <v>HT</v>
          </cell>
          <cell r="S233" t="str">
            <v>01/10/2023</v>
          </cell>
          <cell r="T233" t="str">
            <v>01/10/2023</v>
          </cell>
          <cell r="U233" t="str">
            <v>06/10/2023</v>
          </cell>
          <cell r="V233" t="str">
            <v>09/10/2023</v>
          </cell>
          <cell r="W233" t="str">
            <v>2023/09</v>
          </cell>
          <cell r="X233" t="str">
            <v>33 KV</v>
          </cell>
          <cell r="Y233" t="str">
            <v>HT</v>
          </cell>
          <cell r="Z233">
            <v>444.8</v>
          </cell>
          <cell r="AA233">
            <v>0.99280000000000002</v>
          </cell>
          <cell r="AB233">
            <v>15.07</v>
          </cell>
          <cell r="AC233" t="str">
            <v xml:space="preserve">01/09/2023 -     </v>
          </cell>
          <cell r="AD233" t="str">
            <v>30.09.2023</v>
          </cell>
          <cell r="AE233" t="str">
            <v>30/1.0000</v>
          </cell>
          <cell r="AF233">
            <v>556</v>
          </cell>
          <cell r="AG233" t="str">
            <v>KVA</v>
          </cell>
          <cell r="AH233">
            <v>556</v>
          </cell>
          <cell r="AI233" t="str">
            <v>R</v>
          </cell>
          <cell r="AJ233">
            <v>3412951</v>
          </cell>
          <cell r="AK233" t="str">
            <v>30/09/2023</v>
          </cell>
          <cell r="AL233" t="str">
            <v>NSC95051</v>
          </cell>
          <cell r="AM233" t="str">
            <v>HT THREE PHASE 4 WIRE AMR/AMI COMPLAINT METER</v>
          </cell>
          <cell r="AN233" t="str">
            <v>POST PAID</v>
          </cell>
          <cell r="AO233">
            <v>1000</v>
          </cell>
          <cell r="AP233" t="str">
            <v>TOD</v>
          </cell>
          <cell r="AQ233">
            <v>-2894026.2</v>
          </cell>
          <cell r="AR233">
            <v>0</v>
          </cell>
          <cell r="AS233">
            <v>0</v>
          </cell>
          <cell r="AT233">
            <v>0</v>
          </cell>
          <cell r="AU233">
            <v>0</v>
          </cell>
          <cell r="AV233">
            <v>0</v>
          </cell>
          <cell r="AW233">
            <v>4989</v>
          </cell>
          <cell r="AX233">
            <v>5025</v>
          </cell>
          <cell r="AY233">
            <v>5025</v>
          </cell>
          <cell r="AZ233">
            <v>2046.24</v>
          </cell>
          <cell r="BA233">
            <v>46.32</v>
          </cell>
        </row>
        <row r="234">
          <cell r="F234">
            <v>126000000051</v>
          </cell>
          <cell r="G234" t="str">
            <v>MCH BUILDING ,CHC SORO</v>
          </cell>
          <cell r="H234" t="str">
            <v>SORO CHC</v>
          </cell>
          <cell r="I234" t="str">
            <v>01/01/2022 00:00:00</v>
          </cell>
          <cell r="J234">
            <v>1</v>
          </cell>
          <cell r="K234" t="str">
            <v>SORO</v>
          </cell>
          <cell r="L234" t="str">
            <v>SORO</v>
          </cell>
          <cell r="M234" t="str">
            <v>325000010231495013</v>
          </cell>
          <cell r="N234" t="str">
            <v>132200010119</v>
          </cell>
          <cell r="O234" t="str">
            <v xml:space="preserve"> </v>
          </cell>
          <cell r="P234" t="str">
            <v>432123204</v>
          </cell>
          <cell r="Q234" t="str">
            <v>SPECIFIED PUBLIC PURPOSE</v>
          </cell>
          <cell r="R234" t="str">
            <v>HT</v>
          </cell>
          <cell r="S234" t="str">
            <v>01/10/2023</v>
          </cell>
          <cell r="T234" t="str">
            <v>01/10/2023</v>
          </cell>
          <cell r="U234" t="str">
            <v>06/10/2023</v>
          </cell>
          <cell r="V234" t="str">
            <v>09/10/2023</v>
          </cell>
          <cell r="W234" t="str">
            <v>2023/09</v>
          </cell>
          <cell r="X234" t="str">
            <v>11 KV</v>
          </cell>
          <cell r="Y234" t="str">
            <v>HT</v>
          </cell>
          <cell r="Z234">
            <v>178.4</v>
          </cell>
          <cell r="AA234">
            <v>0.99560000000000004</v>
          </cell>
          <cell r="AB234">
            <v>49.93</v>
          </cell>
          <cell r="AC234" t="str">
            <v xml:space="preserve">01/09/2023 -     </v>
          </cell>
          <cell r="AD234" t="str">
            <v>30.09.2023</v>
          </cell>
          <cell r="AE234" t="str">
            <v>30/1.0000</v>
          </cell>
          <cell r="AF234">
            <v>223</v>
          </cell>
          <cell r="AG234" t="str">
            <v>KVA</v>
          </cell>
          <cell r="AH234">
            <v>223</v>
          </cell>
          <cell r="AI234" t="str">
            <v>R</v>
          </cell>
          <cell r="AJ234">
            <v>935048</v>
          </cell>
          <cell r="AK234" t="str">
            <v>30/09/2023</v>
          </cell>
          <cell r="AL234" t="str">
            <v>TPNODL38110650</v>
          </cell>
          <cell r="AM234" t="str">
            <v>THREE PHASE SMART HT CT METER (AMR/AMI)-11KV</v>
          </cell>
          <cell r="AN234" t="str">
            <v>SMART METER</v>
          </cell>
          <cell r="AO234">
            <v>250</v>
          </cell>
          <cell r="AP234" t="str">
            <v>TOD</v>
          </cell>
          <cell r="AQ234">
            <v>-833621.5</v>
          </cell>
          <cell r="AR234">
            <v>0</v>
          </cell>
          <cell r="AS234">
            <v>0</v>
          </cell>
          <cell r="AT234">
            <v>0</v>
          </cell>
          <cell r="AU234">
            <v>0</v>
          </cell>
          <cell r="AV234">
            <v>0</v>
          </cell>
          <cell r="AW234">
            <v>7535</v>
          </cell>
          <cell r="AX234">
            <v>7568</v>
          </cell>
          <cell r="AY234">
            <v>7568</v>
          </cell>
          <cell r="AZ234">
            <v>126.85680000000001</v>
          </cell>
          <cell r="BA234">
            <v>21.052</v>
          </cell>
        </row>
        <row r="235">
          <cell r="F235">
            <v>126000000052</v>
          </cell>
          <cell r="G235" t="str">
            <v>MAHAGOURI ALUMINIUM PVT LTD</v>
          </cell>
          <cell r="H235" t="str">
            <v>KESHPUR</v>
          </cell>
          <cell r="I235" t="str">
            <v>04/28/2022 00:00:00</v>
          </cell>
          <cell r="J235">
            <v>1</v>
          </cell>
          <cell r="K235" t="str">
            <v>BIDUBAZAR</v>
          </cell>
          <cell r="L235" t="str">
            <v>BAHANAGA</v>
          </cell>
          <cell r="M235" t="str">
            <v>325000010231492416</v>
          </cell>
          <cell r="N235" t="str">
            <v>132211156594</v>
          </cell>
          <cell r="O235" t="str">
            <v>NBD-2142736</v>
          </cell>
          <cell r="P235" t="str">
            <v>43207406001</v>
          </cell>
          <cell r="Q235" t="str">
            <v>LARGE INDUSTRY</v>
          </cell>
          <cell r="R235" t="str">
            <v>HT</v>
          </cell>
          <cell r="S235" t="str">
            <v>01/10/2023</v>
          </cell>
          <cell r="T235" t="str">
            <v>01/10/2023</v>
          </cell>
          <cell r="U235" t="str">
            <v>06/10/2023</v>
          </cell>
          <cell r="V235" t="str">
            <v>09/10/2023</v>
          </cell>
          <cell r="W235" t="str">
            <v>2023/09</v>
          </cell>
          <cell r="X235" t="str">
            <v>33 KV</v>
          </cell>
          <cell r="Y235" t="str">
            <v>HT</v>
          </cell>
          <cell r="Z235">
            <v>444.8</v>
          </cell>
          <cell r="AA235">
            <v>0.99970000000000003</v>
          </cell>
          <cell r="AB235">
            <v>32.47</v>
          </cell>
          <cell r="AC235" t="str">
            <v xml:space="preserve">01/09/2023 -     </v>
          </cell>
          <cell r="AD235" t="str">
            <v>30.09.2023</v>
          </cell>
          <cell r="AE235" t="str">
            <v>30/1.0000</v>
          </cell>
          <cell r="AF235">
            <v>556</v>
          </cell>
          <cell r="AG235" t="str">
            <v>KVA</v>
          </cell>
          <cell r="AH235">
            <v>556</v>
          </cell>
          <cell r="AI235" t="str">
            <v>R</v>
          </cell>
          <cell r="AJ235">
            <v>3412951</v>
          </cell>
          <cell r="AK235" t="str">
            <v>30/09/2023</v>
          </cell>
          <cell r="AL235" t="str">
            <v>TPN64704</v>
          </cell>
          <cell r="AM235" t="str">
            <v>THREE PHASE HT CT METER-33KV</v>
          </cell>
          <cell r="AN235" t="str">
            <v>POST PAID</v>
          </cell>
          <cell r="AO235">
            <v>750</v>
          </cell>
          <cell r="AP235" t="str">
            <v>TOD</v>
          </cell>
          <cell r="AQ235">
            <v>0</v>
          </cell>
          <cell r="AR235">
            <v>0</v>
          </cell>
          <cell r="AS235">
            <v>0</v>
          </cell>
          <cell r="AT235">
            <v>0</v>
          </cell>
          <cell r="AU235">
            <v>0</v>
          </cell>
          <cell r="AV235">
            <v>0</v>
          </cell>
          <cell r="AW235">
            <v>82578</v>
          </cell>
          <cell r="AX235">
            <v>82596</v>
          </cell>
          <cell r="AY235">
            <v>82596</v>
          </cell>
          <cell r="AZ235">
            <v>2081.2800000000002</v>
          </cell>
          <cell r="BA235">
            <v>353.28</v>
          </cell>
        </row>
        <row r="236">
          <cell r="F236">
            <v>126000000053</v>
          </cell>
          <cell r="G236" t="str">
            <v>M/S JOSODA PACKAGING INDUSTRY</v>
          </cell>
          <cell r="H236" t="str">
            <v xml:space="preserve">C/O- JYOTI BIKASH SWAIN            </v>
          </cell>
          <cell r="I236" t="str">
            <v>01/25/2021 00:00:00</v>
          </cell>
          <cell r="J236">
            <v>1</v>
          </cell>
          <cell r="K236" t="str">
            <v xml:space="preserve">KALASUNI, ADA                      </v>
          </cell>
          <cell r="L236" t="str">
            <v xml:space="preserve">BALASORE                           </v>
          </cell>
          <cell r="M236" t="str">
            <v>325000010231494898</v>
          </cell>
          <cell r="N236" t="str">
            <v>33253000831</v>
          </cell>
          <cell r="O236" t="str">
            <v>SMD-3141318</v>
          </cell>
          <cell r="P236" t="str">
            <v>432532104</v>
          </cell>
          <cell r="Q236" t="str">
            <v>LARGE INDUSTRY</v>
          </cell>
          <cell r="R236" t="str">
            <v>HT</v>
          </cell>
          <cell r="S236" t="str">
            <v>01/10/2023</v>
          </cell>
          <cell r="T236" t="str">
            <v>01/10/2023</v>
          </cell>
          <cell r="U236" t="str">
            <v>06/10/2023</v>
          </cell>
          <cell r="V236" t="str">
            <v>09/10/2023</v>
          </cell>
          <cell r="W236" t="str">
            <v>2023/09</v>
          </cell>
          <cell r="X236" t="str">
            <v>11 KV</v>
          </cell>
          <cell r="Y236" t="str">
            <v>HT</v>
          </cell>
          <cell r="Z236">
            <v>133.6</v>
          </cell>
          <cell r="AA236">
            <v>0.99919999999999998</v>
          </cell>
          <cell r="AB236">
            <v>7.46</v>
          </cell>
          <cell r="AC236" t="str">
            <v xml:space="preserve">01/09/2023 -     </v>
          </cell>
          <cell r="AD236" t="str">
            <v>30.09.2023</v>
          </cell>
          <cell r="AE236" t="str">
            <v>30/1.0000</v>
          </cell>
          <cell r="AF236">
            <v>167</v>
          </cell>
          <cell r="AG236" t="str">
            <v>KVA</v>
          </cell>
          <cell r="AH236">
            <v>167</v>
          </cell>
          <cell r="AI236" t="str">
            <v>R</v>
          </cell>
          <cell r="AJ236">
            <v>929782</v>
          </cell>
          <cell r="AK236" t="str">
            <v>30/09/2023</v>
          </cell>
          <cell r="AL236" t="str">
            <v>TPN64131</v>
          </cell>
          <cell r="AM236" t="str">
            <v>HT THREE PHASE 4 WIRE AMR/AMI COMPLAINT METER</v>
          </cell>
          <cell r="AN236" t="str">
            <v>POST PAID</v>
          </cell>
          <cell r="AO236">
            <v>200</v>
          </cell>
          <cell r="AP236" t="str">
            <v>TOD</v>
          </cell>
          <cell r="AQ236">
            <v>-757829.64</v>
          </cell>
          <cell r="AR236">
            <v>0</v>
          </cell>
          <cell r="AS236">
            <v>0</v>
          </cell>
          <cell r="AT236">
            <v>0</v>
          </cell>
          <cell r="AU236">
            <v>0</v>
          </cell>
          <cell r="AV236">
            <v>0</v>
          </cell>
          <cell r="AW236">
            <v>2833</v>
          </cell>
          <cell r="AX236">
            <v>2835</v>
          </cell>
          <cell r="AY236">
            <v>2835</v>
          </cell>
          <cell r="AZ236">
            <v>411.68</v>
          </cell>
          <cell r="BA236">
            <v>52.800000000000004</v>
          </cell>
        </row>
        <row r="237">
          <cell r="F237">
            <v>126000000054</v>
          </cell>
          <cell r="G237" t="str">
            <v>M/S  BABA BISWAKARMA MINI RICE MILL</v>
          </cell>
          <cell r="H237" t="str">
            <v xml:space="preserve">C/O SANKARSHAN  SARANGI                     </v>
          </cell>
          <cell r="I237" t="str">
            <v>01/25/2021 00:00:00</v>
          </cell>
          <cell r="J237">
            <v>1</v>
          </cell>
          <cell r="K237" t="str">
            <v xml:space="preserve">PO-BARI                            </v>
          </cell>
          <cell r="L237" t="str">
            <v xml:space="preserve"> </v>
          </cell>
          <cell r="M237" t="str">
            <v>325000010231492354</v>
          </cell>
          <cell r="N237" t="str">
            <v>34233016161</v>
          </cell>
          <cell r="O237" t="str">
            <v>SMD-3140374</v>
          </cell>
          <cell r="P237" t="str">
            <v>432531406</v>
          </cell>
          <cell r="Q237" t="str">
            <v>LARGE INDUSTRY</v>
          </cell>
          <cell r="R237" t="str">
            <v>HT</v>
          </cell>
          <cell r="S237" t="str">
            <v>01/10/2023</v>
          </cell>
          <cell r="T237" t="str">
            <v>01/10/2023</v>
          </cell>
          <cell r="U237" t="str">
            <v>06/10/2023</v>
          </cell>
          <cell r="V237" t="str">
            <v>09/10/2023</v>
          </cell>
          <cell r="W237" t="str">
            <v>2023/09</v>
          </cell>
          <cell r="X237" t="str">
            <v>11 KV</v>
          </cell>
          <cell r="Y237" t="str">
            <v>HT</v>
          </cell>
          <cell r="Z237">
            <v>98.4</v>
          </cell>
          <cell r="AA237">
            <v>0.92889999999999995</v>
          </cell>
          <cell r="AB237">
            <v>15.91</v>
          </cell>
          <cell r="AC237" t="str">
            <v xml:space="preserve">01/09/2023 -     </v>
          </cell>
          <cell r="AD237" t="str">
            <v>30.09.2023</v>
          </cell>
          <cell r="AE237" t="str">
            <v>30/1.0000</v>
          </cell>
          <cell r="AF237">
            <v>123</v>
          </cell>
          <cell r="AG237" t="str">
            <v>KVA</v>
          </cell>
          <cell r="AH237">
            <v>123</v>
          </cell>
          <cell r="AI237" t="str">
            <v>R</v>
          </cell>
          <cell r="AJ237">
            <v>684440</v>
          </cell>
          <cell r="AK237" t="str">
            <v>30/09/2023</v>
          </cell>
          <cell r="AL237" t="str">
            <v>TPN64135</v>
          </cell>
          <cell r="AM237" t="str">
            <v>HT THREE PHASE 4 WIRE AMR/AMI COMPLAINT METER</v>
          </cell>
          <cell r="AN237" t="str">
            <v>POST PAID</v>
          </cell>
          <cell r="AO237">
            <v>150</v>
          </cell>
          <cell r="AP237" t="str">
            <v>TOD</v>
          </cell>
          <cell r="AQ237">
            <v>-32900.1</v>
          </cell>
          <cell r="AR237">
            <v>0</v>
          </cell>
          <cell r="AS237">
            <v>0</v>
          </cell>
          <cell r="AT237">
            <v>0</v>
          </cell>
          <cell r="AU237">
            <v>0</v>
          </cell>
          <cell r="AV237">
            <v>0</v>
          </cell>
          <cell r="AW237">
            <v>8426</v>
          </cell>
          <cell r="AX237">
            <v>9070</v>
          </cell>
          <cell r="AY237">
            <v>9070</v>
          </cell>
          <cell r="AZ237">
            <v>528.32000000000005</v>
          </cell>
          <cell r="BA237">
            <v>79.2</v>
          </cell>
        </row>
        <row r="238">
          <cell r="F238">
            <v>126000000055</v>
          </cell>
          <cell r="G238" t="str">
            <v>M/S ASHADEEP AQUACULTURE PVT LTD</v>
          </cell>
          <cell r="H238" t="str">
            <v>TINIPADA</v>
          </cell>
          <cell r="I238" t="str">
            <v>06/30/2022 00:00:00</v>
          </cell>
          <cell r="J238">
            <v>1</v>
          </cell>
          <cell r="K238" t="str">
            <v>JUGALKISHOREPUR</v>
          </cell>
          <cell r="L238" t="str">
            <v>KHANTAPADA</v>
          </cell>
          <cell r="M238" t="str">
            <v>325000010231492381</v>
          </cell>
          <cell r="N238" t="str">
            <v>132200078213</v>
          </cell>
          <cell r="O238" t="str">
            <v xml:space="preserve"> </v>
          </cell>
          <cell r="P238" t="str">
            <v>43207406001</v>
          </cell>
          <cell r="Q238" t="str">
            <v>ALLIED AGRO-INDUSTRIAL ACTIVITIES</v>
          </cell>
          <cell r="R238" t="str">
            <v>HT</v>
          </cell>
          <cell r="S238" t="str">
            <v>01/10/2023</v>
          </cell>
          <cell r="T238" t="str">
            <v>01/10/2023</v>
          </cell>
          <cell r="U238" t="str">
            <v>06/10/2023</v>
          </cell>
          <cell r="V238" t="str">
            <v>09/10/2023</v>
          </cell>
          <cell r="W238" t="str">
            <v>2023/09</v>
          </cell>
          <cell r="X238" t="str">
            <v>33 KV</v>
          </cell>
          <cell r="Y238" t="str">
            <v>HT</v>
          </cell>
          <cell r="Z238">
            <v>834</v>
          </cell>
          <cell r="AA238">
            <v>0.995</v>
          </cell>
          <cell r="AB238">
            <v>0</v>
          </cell>
          <cell r="AC238" t="str">
            <v xml:space="preserve">01/09/2023 -     </v>
          </cell>
          <cell r="AD238" t="str">
            <v>30.09.2023</v>
          </cell>
          <cell r="AE238" t="str">
            <v>30/1.0000</v>
          </cell>
          <cell r="AF238">
            <v>834</v>
          </cell>
          <cell r="AG238" t="str">
            <v>KVA</v>
          </cell>
          <cell r="AH238">
            <v>834</v>
          </cell>
          <cell r="AI238" t="str">
            <v>R</v>
          </cell>
          <cell r="AJ238">
            <v>5061819</v>
          </cell>
          <cell r="AK238" t="str">
            <v>30/09/2023</v>
          </cell>
          <cell r="AL238" t="str">
            <v>TPN64066</v>
          </cell>
          <cell r="AM238" t="str">
            <v>THREE PHASE HT CT METER-33KV</v>
          </cell>
          <cell r="AN238" t="str">
            <v>POST PAID</v>
          </cell>
          <cell r="AO238">
            <v>1200</v>
          </cell>
          <cell r="AP238" t="str">
            <v>TOD</v>
          </cell>
          <cell r="AQ238">
            <v>0</v>
          </cell>
          <cell r="AR238">
            <v>0</v>
          </cell>
          <cell r="AS238">
            <v>0</v>
          </cell>
          <cell r="AT238">
            <v>0</v>
          </cell>
          <cell r="AU238">
            <v>0</v>
          </cell>
          <cell r="AV238">
            <v>0</v>
          </cell>
          <cell r="AW238">
            <v>99612</v>
          </cell>
          <cell r="AX238">
            <v>100104</v>
          </cell>
          <cell r="AY238">
            <v>100104</v>
          </cell>
          <cell r="AZ238">
            <v>3316.8</v>
          </cell>
          <cell r="BA238">
            <v>586.56000000000006</v>
          </cell>
        </row>
        <row r="239">
          <cell r="F239">
            <v>126000000056</v>
          </cell>
          <cell r="G239" t="str">
            <v>M/S. BAJARANGI RICE MILL</v>
          </cell>
          <cell r="H239" t="str">
            <v>1310</v>
          </cell>
          <cell r="I239" t="str">
            <v>12/03/2022 00:00:00</v>
          </cell>
          <cell r="J239">
            <v>1</v>
          </cell>
          <cell r="K239" t="str">
            <v>DAKHINA, ADA</v>
          </cell>
          <cell r="L239" t="str">
            <v>MARKONA</v>
          </cell>
          <cell r="M239" t="str">
            <v>325000010231492460</v>
          </cell>
          <cell r="N239" t="str">
            <v>132299954360</v>
          </cell>
          <cell r="O239" t="str">
            <v xml:space="preserve"> </v>
          </cell>
          <cell r="P239" t="str">
            <v>432532101</v>
          </cell>
          <cell r="Q239" t="str">
            <v>LARGE INDUSTRY</v>
          </cell>
          <cell r="R239" t="str">
            <v>HT</v>
          </cell>
          <cell r="S239" t="str">
            <v>01/10/2023</v>
          </cell>
          <cell r="T239" t="str">
            <v>01/10/2023</v>
          </cell>
          <cell r="U239" t="str">
            <v>06/10/2023</v>
          </cell>
          <cell r="V239" t="str">
            <v>09/10/2023</v>
          </cell>
          <cell r="W239" t="str">
            <v>2023/09</v>
          </cell>
          <cell r="X239" t="str">
            <v>11 KV</v>
          </cell>
          <cell r="Y239" t="str">
            <v>HT</v>
          </cell>
          <cell r="Z239">
            <v>311.2</v>
          </cell>
          <cell r="AA239">
            <v>0.39789999999999998</v>
          </cell>
          <cell r="AB239">
            <v>37.43</v>
          </cell>
          <cell r="AC239" t="str">
            <v xml:space="preserve">01/09/2023 -     </v>
          </cell>
          <cell r="AD239" t="str">
            <v>30.09.2023</v>
          </cell>
          <cell r="AE239" t="str">
            <v>30/1.0000</v>
          </cell>
          <cell r="AF239">
            <v>389</v>
          </cell>
          <cell r="AG239" t="str">
            <v>KVA</v>
          </cell>
          <cell r="AH239">
            <v>389</v>
          </cell>
          <cell r="AI239" t="str">
            <v>R</v>
          </cell>
          <cell r="AJ239">
            <v>2387837.6</v>
          </cell>
          <cell r="AK239" t="str">
            <v>30/09/2023</v>
          </cell>
          <cell r="AL239" t="str">
            <v>TPN64096</v>
          </cell>
          <cell r="AM239" t="str">
            <v>HT THREE PHASE 4 WIRE AMR/AMI COMPLAINT METER</v>
          </cell>
          <cell r="AN239" t="str">
            <v>POST PAID</v>
          </cell>
          <cell r="AO239">
            <v>500</v>
          </cell>
          <cell r="AP239" t="str">
            <v>TOD</v>
          </cell>
          <cell r="AQ239">
            <v>0</v>
          </cell>
          <cell r="AR239">
            <v>0</v>
          </cell>
          <cell r="AS239">
            <v>0</v>
          </cell>
          <cell r="AT239">
            <v>0</v>
          </cell>
          <cell r="AU239">
            <v>0</v>
          </cell>
          <cell r="AV239">
            <v>0</v>
          </cell>
          <cell r="AW239">
            <v>2265</v>
          </cell>
          <cell r="AX239">
            <v>5691</v>
          </cell>
          <cell r="AY239">
            <v>5691</v>
          </cell>
          <cell r="AZ239">
            <v>902.64</v>
          </cell>
          <cell r="BA239">
            <v>21.12</v>
          </cell>
        </row>
        <row r="240">
          <cell r="F240">
            <v>126000000057</v>
          </cell>
          <cell r="G240" t="str">
            <v>M/S  N. RANGA RAO &amp; SONS PVT LTD,</v>
          </cell>
          <cell r="H240" t="str">
            <v>SARASANKHA</v>
          </cell>
          <cell r="I240" t="str">
            <v>03/31/2023 00:00:00</v>
          </cell>
          <cell r="J240">
            <v>1</v>
          </cell>
          <cell r="K240" t="str">
            <v>SORO</v>
          </cell>
          <cell r="L240" t="str">
            <v>SORO</v>
          </cell>
          <cell r="M240" t="str">
            <v>325000010231492364</v>
          </cell>
          <cell r="N240" t="str">
            <v>132327840258</v>
          </cell>
          <cell r="O240" t="str">
            <v xml:space="preserve"> </v>
          </cell>
          <cell r="P240" t="str">
            <v>NULL</v>
          </cell>
          <cell r="Q240" t="str">
            <v>LARGE INDUSTRY</v>
          </cell>
          <cell r="R240" t="str">
            <v>HT</v>
          </cell>
          <cell r="S240" t="str">
            <v>01/10/2023</v>
          </cell>
          <cell r="T240" t="str">
            <v>01/10/2023</v>
          </cell>
          <cell r="U240" t="str">
            <v>06/10/2023</v>
          </cell>
          <cell r="V240" t="str">
            <v>09/10/2023</v>
          </cell>
          <cell r="W240" t="str">
            <v>2023/09</v>
          </cell>
          <cell r="X240" t="str">
            <v>11 KV</v>
          </cell>
          <cell r="Y240" t="str">
            <v>HT</v>
          </cell>
          <cell r="Z240">
            <v>133.6</v>
          </cell>
          <cell r="AA240">
            <v>0.9052</v>
          </cell>
          <cell r="AB240">
            <v>44.72</v>
          </cell>
          <cell r="AC240" t="str">
            <v xml:space="preserve">01/09/2023 -     </v>
          </cell>
          <cell r="AD240" t="str">
            <v>30.09.2023</v>
          </cell>
          <cell r="AE240" t="str">
            <v>30/1.0000</v>
          </cell>
          <cell r="AF240">
            <v>167</v>
          </cell>
          <cell r="AG240" t="str">
            <v>KVA</v>
          </cell>
          <cell r="AH240">
            <v>167</v>
          </cell>
          <cell r="AI240" t="str">
            <v>R</v>
          </cell>
          <cell r="AJ240">
            <v>929782</v>
          </cell>
          <cell r="AK240" t="str">
            <v>30/09/2023</v>
          </cell>
          <cell r="AL240" t="str">
            <v>TPN64546</v>
          </cell>
          <cell r="AM240" t="str">
            <v>HT THREE PHASE 4 WIRE AMR/AMI COMPLAINT METER</v>
          </cell>
          <cell r="AN240" t="str">
            <v>POST PAID</v>
          </cell>
          <cell r="AO240">
            <v>200</v>
          </cell>
          <cell r="AP240" t="str">
            <v>TOD</v>
          </cell>
          <cell r="AQ240">
            <v>0</v>
          </cell>
          <cell r="AR240">
            <v>0</v>
          </cell>
          <cell r="AS240">
            <v>0</v>
          </cell>
          <cell r="AT240">
            <v>0</v>
          </cell>
          <cell r="AU240">
            <v>0</v>
          </cell>
          <cell r="AV240">
            <v>0</v>
          </cell>
          <cell r="AW240">
            <v>6261</v>
          </cell>
          <cell r="AX240">
            <v>6916</v>
          </cell>
          <cell r="AY240">
            <v>6916</v>
          </cell>
          <cell r="AZ240">
            <v>117.36</v>
          </cell>
          <cell r="BA240">
            <v>21.48</v>
          </cell>
        </row>
        <row r="241">
          <cell r="F241">
            <v>126000000058</v>
          </cell>
          <cell r="G241" t="str">
            <v>Mr. MUKUL AGARWAL</v>
          </cell>
          <cell r="H241" t="str">
            <v>680</v>
          </cell>
          <cell r="I241" t="str">
            <v>09/16/2023 00:00:00</v>
          </cell>
          <cell r="J241">
            <v>1</v>
          </cell>
          <cell r="K241" t="str">
            <v>KHANDASAHI-12</v>
          </cell>
          <cell r="L241" t="str">
            <v>SORO</v>
          </cell>
          <cell r="M241" t="str">
            <v>325000010232495547</v>
          </cell>
          <cell r="N241" t="str">
            <v>132329084594</v>
          </cell>
          <cell r="O241" t="str">
            <v xml:space="preserve"> </v>
          </cell>
          <cell r="P241" t="str">
            <v>NULL</v>
          </cell>
          <cell r="Q241" t="str">
            <v>LARGE INDUSTRY</v>
          </cell>
          <cell r="R241" t="str">
            <v>HT</v>
          </cell>
          <cell r="S241" t="str">
            <v>01/10/2023</v>
          </cell>
          <cell r="T241" t="str">
            <v>01/10/2023</v>
          </cell>
          <cell r="U241" t="str">
            <v>06/10/2023</v>
          </cell>
          <cell r="V241" t="str">
            <v>09/10/2023</v>
          </cell>
          <cell r="W241" t="str">
            <v>2023/09</v>
          </cell>
          <cell r="X241" t="str">
            <v>11 KV</v>
          </cell>
          <cell r="Y241" t="str">
            <v>HT</v>
          </cell>
          <cell r="Z241">
            <v>178.4</v>
          </cell>
          <cell r="AA241">
            <v>0.91300000000000003</v>
          </cell>
          <cell r="AB241">
            <v>44.19</v>
          </cell>
          <cell r="AC241" t="str">
            <v xml:space="preserve">14/09/2023 -          </v>
          </cell>
          <cell r="AD241" t="str">
            <v>30.09.2023</v>
          </cell>
          <cell r="AE241" t="str">
            <v>17/0.5667</v>
          </cell>
          <cell r="AF241">
            <v>223</v>
          </cell>
          <cell r="AG241" t="str">
            <v>KVA</v>
          </cell>
          <cell r="AH241">
            <v>223</v>
          </cell>
          <cell r="AI241" t="str">
            <v>N</v>
          </cell>
          <cell r="AJ241">
            <v>1368863.2</v>
          </cell>
          <cell r="AK241" t="str">
            <v>30/09/2023</v>
          </cell>
          <cell r="AL241" t="str">
            <v>TPNODL38110968</v>
          </cell>
          <cell r="AM241" t="str">
            <v>THREE PHASE SMART HT CT METER (AMR/AMI)-11KV</v>
          </cell>
          <cell r="AN241" t="str">
            <v>SMART METER</v>
          </cell>
          <cell r="AO241">
            <v>315</v>
          </cell>
          <cell r="AP241" t="str">
            <v>TOD</v>
          </cell>
          <cell r="AQ241">
            <v>0</v>
          </cell>
          <cell r="AR241">
            <v>0</v>
          </cell>
          <cell r="AS241">
            <v>0</v>
          </cell>
          <cell r="AT241">
            <v>0</v>
          </cell>
          <cell r="AU241">
            <v>0</v>
          </cell>
          <cell r="AV241">
            <v>0</v>
          </cell>
          <cell r="AW241">
            <v>20417</v>
          </cell>
          <cell r="AX241">
            <v>22362</v>
          </cell>
          <cell r="AY241">
            <v>22362</v>
          </cell>
          <cell r="AZ241">
            <v>32.942</v>
          </cell>
          <cell r="BA241">
            <v>131.768</v>
          </cell>
        </row>
        <row r="242">
          <cell r="F242">
            <v>124000000002</v>
          </cell>
          <cell r="G242" t="str">
            <v>SDO-PHONE,BARIPADA</v>
          </cell>
          <cell r="H242" t="str">
            <v xml:space="preserve"> </v>
          </cell>
          <cell r="I242" t="str">
            <v>10/31/2020 00:00:00</v>
          </cell>
          <cell r="J242">
            <v>1</v>
          </cell>
          <cell r="K242" t="str">
            <v xml:space="preserve"> </v>
          </cell>
          <cell r="L242" t="str">
            <v xml:space="preserve"> </v>
          </cell>
          <cell r="M242" t="str">
            <v>521000010231493005</v>
          </cell>
          <cell r="N242" t="str">
            <v>1240000002</v>
          </cell>
          <cell r="O242" t="str">
            <v>34381</v>
          </cell>
          <cell r="P242" t="str">
            <v>452162205</v>
          </cell>
          <cell r="Q242" t="str">
            <v>GENERAL PURPOSE &gt;= 110 KVA</v>
          </cell>
          <cell r="R242" t="str">
            <v>HT</v>
          </cell>
          <cell r="S242" t="str">
            <v>01/10/2023</v>
          </cell>
          <cell r="T242" t="str">
            <v>01/10/2023</v>
          </cell>
          <cell r="U242" t="str">
            <v>06/10/2023</v>
          </cell>
          <cell r="V242" t="str">
            <v>09/10/2023</v>
          </cell>
          <cell r="W242" t="str">
            <v>2023/09</v>
          </cell>
          <cell r="X242" t="str">
            <v>11 KV</v>
          </cell>
          <cell r="Y242" t="str">
            <v>HT</v>
          </cell>
          <cell r="Z242">
            <v>107.2</v>
          </cell>
          <cell r="AA242">
            <v>0.95199999999999996</v>
          </cell>
          <cell r="AB242">
            <v>42.6</v>
          </cell>
          <cell r="AC242" t="str">
            <v xml:space="preserve">01/09/2023 -     </v>
          </cell>
          <cell r="AD242" t="str">
            <v>30.09.2023</v>
          </cell>
          <cell r="AE242" t="str">
            <v>30/1.0000</v>
          </cell>
          <cell r="AF242">
            <v>134</v>
          </cell>
          <cell r="AG242" t="str">
            <v>KVA</v>
          </cell>
          <cell r="AH242">
            <v>134</v>
          </cell>
          <cell r="AI242" t="str">
            <v>R</v>
          </cell>
          <cell r="AJ242">
            <v>255349.8</v>
          </cell>
          <cell r="AK242" t="str">
            <v>30/09/2023</v>
          </cell>
          <cell r="AL242" t="str">
            <v>TPN64152</v>
          </cell>
          <cell r="AM242" t="str">
            <v>THREE PHASE STATIC TRI-VECTOR METER</v>
          </cell>
          <cell r="AN242" t="str">
            <v>POST PAID</v>
          </cell>
          <cell r="AO242">
            <v>200</v>
          </cell>
          <cell r="AP242" t="str">
            <v>TOD</v>
          </cell>
          <cell r="AQ242">
            <v>-98099.5</v>
          </cell>
          <cell r="AR242">
            <v>0</v>
          </cell>
          <cell r="AS242">
            <v>0</v>
          </cell>
          <cell r="AT242">
            <v>0</v>
          </cell>
          <cell r="AU242">
            <v>0</v>
          </cell>
          <cell r="AV242">
            <v>0</v>
          </cell>
          <cell r="AW242">
            <v>9322</v>
          </cell>
          <cell r="AX242">
            <v>9791</v>
          </cell>
          <cell r="AY242">
            <v>9791</v>
          </cell>
          <cell r="AZ242">
            <v>238.4</v>
          </cell>
          <cell r="BA242">
            <v>31.919999999999998</v>
          </cell>
        </row>
        <row r="243">
          <cell r="F243">
            <v>124000000003</v>
          </cell>
          <cell r="G243" t="str">
            <v>SDO-PHONES</v>
          </cell>
          <cell r="H243" t="str">
            <v>BARIPADA,</v>
          </cell>
          <cell r="I243" t="str">
            <v>10/31/2020 00:00:00</v>
          </cell>
          <cell r="J243">
            <v>1</v>
          </cell>
          <cell r="K243" t="str">
            <v xml:space="preserve"> </v>
          </cell>
          <cell r="L243" t="str">
            <v xml:space="preserve"> </v>
          </cell>
          <cell r="M243" t="str">
            <v>521000010231492945</v>
          </cell>
          <cell r="N243" t="str">
            <v>1240000003</v>
          </cell>
          <cell r="O243" t="str">
            <v>21020</v>
          </cell>
          <cell r="P243" t="str">
            <v>452112201</v>
          </cell>
          <cell r="Q243" t="str">
            <v>GENERAL PURPOSE &gt;= 110 KVA</v>
          </cell>
          <cell r="R243" t="str">
            <v>HT</v>
          </cell>
          <cell r="S243" t="str">
            <v>01/10/2023</v>
          </cell>
          <cell r="T243" t="str">
            <v>01/10/2023</v>
          </cell>
          <cell r="U243" t="str">
            <v>06/10/2023</v>
          </cell>
          <cell r="V243" t="str">
            <v>09/10/2023</v>
          </cell>
          <cell r="W243" t="str">
            <v>2023/09</v>
          </cell>
          <cell r="X243" t="str">
            <v>11 KV</v>
          </cell>
          <cell r="Y243" t="str">
            <v>HT</v>
          </cell>
          <cell r="Z243">
            <v>128</v>
          </cell>
          <cell r="AA243">
            <v>0.99990000000000001</v>
          </cell>
          <cell r="AB243">
            <v>58.16</v>
          </cell>
          <cell r="AC243" t="str">
            <v xml:space="preserve">01/09/2023 -     </v>
          </cell>
          <cell r="AD243" t="str">
            <v>30.09.2023</v>
          </cell>
          <cell r="AE243" t="str">
            <v>30/1.0000</v>
          </cell>
          <cell r="AF243">
            <v>160</v>
          </cell>
          <cell r="AG243" t="str">
            <v>KVA</v>
          </cell>
          <cell r="AH243">
            <v>160</v>
          </cell>
          <cell r="AI243" t="str">
            <v>R</v>
          </cell>
          <cell r="AJ243">
            <v>622331.19999999995</v>
          </cell>
          <cell r="AK243" t="str">
            <v>30/09/2023</v>
          </cell>
          <cell r="AL243" t="str">
            <v>NES50985</v>
          </cell>
          <cell r="AM243" t="str">
            <v>THREE PHASE STATIC TRI-VECTOR METER-TOD</v>
          </cell>
          <cell r="AN243" t="str">
            <v>POST PAID</v>
          </cell>
          <cell r="AO243">
            <v>200</v>
          </cell>
          <cell r="AP243" t="str">
            <v>TOD</v>
          </cell>
          <cell r="AQ243">
            <v>-329268.59999999998</v>
          </cell>
          <cell r="AR243">
            <v>0</v>
          </cell>
          <cell r="AS243">
            <v>0</v>
          </cell>
          <cell r="AT243">
            <v>0</v>
          </cell>
          <cell r="AU243">
            <v>0</v>
          </cell>
          <cell r="AV243">
            <v>0</v>
          </cell>
          <cell r="AW243">
            <v>19847</v>
          </cell>
          <cell r="AX243">
            <v>19848</v>
          </cell>
          <cell r="AY243">
            <v>19848</v>
          </cell>
          <cell r="AZ243">
            <v>337.32</v>
          </cell>
          <cell r="BA243">
            <v>47.4</v>
          </cell>
        </row>
        <row r="244">
          <cell r="F244">
            <v>124000000004</v>
          </cell>
          <cell r="G244" t="str">
            <v>Auro Flour Mill Pvt Ltd</v>
          </cell>
          <cell r="H244" t="str">
            <v>Baisinga</v>
          </cell>
          <cell r="I244" t="str">
            <v>10/31/2020 00:00:00</v>
          </cell>
          <cell r="J244">
            <v>1</v>
          </cell>
          <cell r="K244" t="str">
            <v>Baisinga</v>
          </cell>
          <cell r="L244" t="str">
            <v>Baisinga</v>
          </cell>
          <cell r="M244" t="str">
            <v>521000010231492799</v>
          </cell>
          <cell r="N244" t="str">
            <v>1240000004</v>
          </cell>
          <cell r="O244" t="str">
            <v>9509</v>
          </cell>
          <cell r="P244" t="str">
            <v>45207408003</v>
          </cell>
          <cell r="Q244" t="str">
            <v>LARGE INDUSTRY</v>
          </cell>
          <cell r="R244" t="str">
            <v>HT</v>
          </cell>
          <cell r="S244" t="str">
            <v>01/10/2023</v>
          </cell>
          <cell r="T244" t="str">
            <v>01/10/2023</v>
          </cell>
          <cell r="U244" t="str">
            <v>06/10/2023</v>
          </cell>
          <cell r="V244" t="str">
            <v>09/10/2023</v>
          </cell>
          <cell r="W244" t="str">
            <v>2023/09</v>
          </cell>
          <cell r="X244" t="str">
            <v>33 KV</v>
          </cell>
          <cell r="Y244" t="str">
            <v>HT</v>
          </cell>
          <cell r="Z244">
            <v>537.12</v>
          </cell>
          <cell r="AA244">
            <v>0.91920000000000002</v>
          </cell>
          <cell r="AB244">
            <v>39.729999999999997</v>
          </cell>
          <cell r="AC244" t="str">
            <v xml:space="preserve">01/09/2023 -     </v>
          </cell>
          <cell r="AD244" t="str">
            <v>30.09.2023</v>
          </cell>
          <cell r="AE244" t="str">
            <v>30/1.0000</v>
          </cell>
          <cell r="AF244">
            <v>500</v>
          </cell>
          <cell r="AG244" t="str">
            <v>KVA</v>
          </cell>
          <cell r="AH244">
            <v>500</v>
          </cell>
          <cell r="AI244" t="str">
            <v>R</v>
          </cell>
          <cell r="AJ244">
            <v>1619363.36</v>
          </cell>
          <cell r="AK244" t="str">
            <v>30/09/2023</v>
          </cell>
          <cell r="AL244" t="str">
            <v>NSC94724</v>
          </cell>
          <cell r="AM244" t="str">
            <v>THREE PHASE HT CT METER-33KV</v>
          </cell>
          <cell r="AN244" t="str">
            <v>POST PAID</v>
          </cell>
          <cell r="AO244">
            <v>500</v>
          </cell>
          <cell r="AP244" t="str">
            <v>TOD</v>
          </cell>
          <cell r="AQ244">
            <v>199003.36</v>
          </cell>
          <cell r="AR244">
            <v>0</v>
          </cell>
          <cell r="AS244">
            <v>0</v>
          </cell>
          <cell r="AT244">
            <v>0</v>
          </cell>
          <cell r="AU244">
            <v>0</v>
          </cell>
          <cell r="AV244">
            <v>0</v>
          </cell>
          <cell r="AW244">
            <v>141228</v>
          </cell>
          <cell r="AX244">
            <v>153630</v>
          </cell>
          <cell r="AY244">
            <v>153630</v>
          </cell>
          <cell r="AZ244">
            <v>3470.88</v>
          </cell>
          <cell r="BA244">
            <v>537.12</v>
          </cell>
        </row>
        <row r="245">
          <cell r="F245">
            <v>124000000005</v>
          </cell>
          <cell r="G245" t="str">
            <v>E.E. P.H.D. BARIPADA</v>
          </cell>
          <cell r="H245" t="str">
            <v xml:space="preserve"> </v>
          </cell>
          <cell r="I245" t="str">
            <v>10/31/2020 00:00:00</v>
          </cell>
          <cell r="J245">
            <v>1</v>
          </cell>
          <cell r="K245" t="str">
            <v xml:space="preserve"> </v>
          </cell>
          <cell r="L245" t="str">
            <v xml:space="preserve"> </v>
          </cell>
          <cell r="M245" t="str">
            <v>521000010231493072</v>
          </cell>
          <cell r="N245" t="str">
            <v>1240000005</v>
          </cell>
          <cell r="O245" t="str">
            <v>23237</v>
          </cell>
          <cell r="P245" t="str">
            <v>452112204</v>
          </cell>
          <cell r="Q245" t="str">
            <v>PUBLIC WATER WORKS &amp; SEWERAGE PUMPING</v>
          </cell>
          <cell r="R245" t="str">
            <v>HT</v>
          </cell>
          <cell r="S245" t="str">
            <v>01/10/2023</v>
          </cell>
          <cell r="T245" t="str">
            <v>01/10/2023</v>
          </cell>
          <cell r="U245" t="str">
            <v>09/10/2023</v>
          </cell>
          <cell r="V245" t="str">
            <v>09/10/2023</v>
          </cell>
          <cell r="W245" t="str">
            <v>2023/09</v>
          </cell>
          <cell r="X245" t="str">
            <v>11 KV</v>
          </cell>
          <cell r="Y245" t="str">
            <v>HT</v>
          </cell>
          <cell r="Z245">
            <v>200.352</v>
          </cell>
          <cell r="AA245">
            <v>0.70850000000000002</v>
          </cell>
          <cell r="AB245">
            <v>57.04</v>
          </cell>
          <cell r="AC245" t="str">
            <v xml:space="preserve">01/09/2023 -     </v>
          </cell>
          <cell r="AD245" t="str">
            <v>30.09.2023</v>
          </cell>
          <cell r="AE245" t="str">
            <v>30/1.0000</v>
          </cell>
          <cell r="AF245">
            <v>250.44</v>
          </cell>
          <cell r="AG245" t="str">
            <v>KVA</v>
          </cell>
          <cell r="AH245">
            <v>250.44</v>
          </cell>
          <cell r="AI245" t="str">
            <v>R</v>
          </cell>
          <cell r="AJ245">
            <v>434036</v>
          </cell>
          <cell r="AK245" t="str">
            <v>30/09/2023</v>
          </cell>
          <cell r="AL245" t="str">
            <v>TPN64153</v>
          </cell>
          <cell r="AM245" t="str">
            <v>THREE PHASE STATIC TRI-VECTOR METER</v>
          </cell>
          <cell r="AN245" t="str">
            <v>POST PAID</v>
          </cell>
          <cell r="AO245">
            <v>250</v>
          </cell>
          <cell r="AP245" t="str">
            <v>TOD</v>
          </cell>
          <cell r="AQ245">
            <v>-2796.8</v>
          </cell>
          <cell r="AR245">
            <v>0</v>
          </cell>
          <cell r="AS245">
            <v>0</v>
          </cell>
          <cell r="AT245">
            <v>0</v>
          </cell>
          <cell r="AU245">
            <v>0</v>
          </cell>
          <cell r="AV245">
            <v>0</v>
          </cell>
          <cell r="AW245">
            <v>17787</v>
          </cell>
          <cell r="AX245">
            <v>25102</v>
          </cell>
          <cell r="AY245">
            <v>25102</v>
          </cell>
          <cell r="AZ245">
            <v>428.16</v>
          </cell>
          <cell r="BA245">
            <v>61.12</v>
          </cell>
        </row>
        <row r="246">
          <cell r="F246">
            <v>124000000007</v>
          </cell>
          <cell r="G246" t="str">
            <v>E.E. STORES &amp; MECHANICALS</v>
          </cell>
          <cell r="H246" t="str">
            <v xml:space="preserve"> </v>
          </cell>
          <cell r="I246" t="str">
            <v>10/31/2020 00:00:00</v>
          </cell>
          <cell r="J246">
            <v>1</v>
          </cell>
          <cell r="K246" t="str">
            <v xml:space="preserve"> </v>
          </cell>
          <cell r="L246" t="str">
            <v xml:space="preserve"> </v>
          </cell>
          <cell r="M246" t="str">
            <v>521000010231492633</v>
          </cell>
          <cell r="N246" t="str">
            <v>1240000007</v>
          </cell>
          <cell r="O246" t="str">
            <v>27254</v>
          </cell>
          <cell r="P246" t="str">
            <v>45207408006</v>
          </cell>
          <cell r="Q246" t="str">
            <v>GENERAL PURPOSE &gt;= 110 KVA</v>
          </cell>
          <cell r="R246" t="str">
            <v>HT</v>
          </cell>
          <cell r="S246" t="str">
            <v>01/10/2023</v>
          </cell>
          <cell r="T246" t="str">
            <v>01/10/2023</v>
          </cell>
          <cell r="U246" t="str">
            <v>06/10/2023</v>
          </cell>
          <cell r="V246" t="str">
            <v>09/10/2023</v>
          </cell>
          <cell r="W246" t="str">
            <v>2023/09</v>
          </cell>
          <cell r="X246" t="str">
            <v>33 KV</v>
          </cell>
          <cell r="Y246" t="str">
            <v>HT</v>
          </cell>
          <cell r="Z246">
            <v>578.4</v>
          </cell>
          <cell r="AA246">
            <v>0.94810000000000005</v>
          </cell>
          <cell r="AB246">
            <v>57.38</v>
          </cell>
          <cell r="AC246" t="str">
            <v xml:space="preserve">01/09/2023 -     </v>
          </cell>
          <cell r="AD246" t="str">
            <v>30.09.2023</v>
          </cell>
          <cell r="AE246" t="str">
            <v>30/1.0000</v>
          </cell>
          <cell r="AF246">
            <v>723</v>
          </cell>
          <cell r="AG246" t="str">
            <v>KVA</v>
          </cell>
          <cell r="AH246">
            <v>723</v>
          </cell>
          <cell r="AI246" t="str">
            <v>R</v>
          </cell>
          <cell r="AJ246">
            <v>2346079</v>
          </cell>
          <cell r="AK246" t="str">
            <v>30/09/2023</v>
          </cell>
          <cell r="AL246" t="str">
            <v>NES52108</v>
          </cell>
          <cell r="AM246" t="str">
            <v>THREE PHASE HT CT METER-33KV</v>
          </cell>
          <cell r="AN246" t="str">
            <v>POST PAID</v>
          </cell>
          <cell r="AO246">
            <v>160000</v>
          </cell>
          <cell r="AP246" t="str">
            <v>TOD</v>
          </cell>
          <cell r="AQ246">
            <v>-416433.7</v>
          </cell>
          <cell r="AR246">
            <v>0</v>
          </cell>
          <cell r="AS246">
            <v>0</v>
          </cell>
          <cell r="AT246">
            <v>0</v>
          </cell>
          <cell r="AU246">
            <v>0</v>
          </cell>
          <cell r="AV246">
            <v>0</v>
          </cell>
          <cell r="AW246">
            <v>143568</v>
          </cell>
          <cell r="AX246">
            <v>151416</v>
          </cell>
          <cell r="AY246">
            <v>151416</v>
          </cell>
          <cell r="AZ246">
            <v>2408.4</v>
          </cell>
          <cell r="BA246">
            <v>366.48</v>
          </cell>
        </row>
        <row r="247">
          <cell r="F247">
            <v>124000000008</v>
          </cell>
          <cell r="G247" t="str">
            <v>E.E.STORES MECHANICALS</v>
          </cell>
          <cell r="H247" t="str">
            <v xml:space="preserve"> </v>
          </cell>
          <cell r="I247" t="str">
            <v>10/31/2020 00:00:00</v>
          </cell>
          <cell r="J247">
            <v>1</v>
          </cell>
          <cell r="K247" t="str">
            <v xml:space="preserve"> </v>
          </cell>
          <cell r="L247" t="str">
            <v xml:space="preserve"> </v>
          </cell>
          <cell r="M247" t="str">
            <v>521000010231492653</v>
          </cell>
          <cell r="N247" t="str">
            <v>1240000008</v>
          </cell>
          <cell r="O247" t="str">
            <v>33018</v>
          </cell>
          <cell r="P247" t="str">
            <v>432121206</v>
          </cell>
          <cell r="Q247" t="str">
            <v>GENERAL PURPOSE &gt;= 110 KVA</v>
          </cell>
          <cell r="R247" t="str">
            <v>HT</v>
          </cell>
          <cell r="S247" t="str">
            <v>01/10/2023</v>
          </cell>
          <cell r="T247" t="str">
            <v>01/10/2023</v>
          </cell>
          <cell r="U247" t="str">
            <v>06/10/2023</v>
          </cell>
          <cell r="V247" t="str">
            <v>09/10/2023</v>
          </cell>
          <cell r="W247" t="str">
            <v>2023/09</v>
          </cell>
          <cell r="X247" t="str">
            <v>11 KV</v>
          </cell>
          <cell r="Y247" t="str">
            <v>HT</v>
          </cell>
          <cell r="Z247">
            <v>88</v>
          </cell>
          <cell r="AA247">
            <v>0.97209999999999996</v>
          </cell>
          <cell r="AB247">
            <v>24.89</v>
          </cell>
          <cell r="AC247" t="str">
            <v xml:space="preserve">01/09/2023 -     </v>
          </cell>
          <cell r="AD247" t="str">
            <v>30.09.2023</v>
          </cell>
          <cell r="AE247" t="str">
            <v>30/1.0000</v>
          </cell>
          <cell r="AF247">
            <v>110</v>
          </cell>
          <cell r="AG247" t="str">
            <v>KVA</v>
          </cell>
          <cell r="AH247">
            <v>110</v>
          </cell>
          <cell r="AI247" t="str">
            <v>R</v>
          </cell>
          <cell r="AJ247">
            <v>157790.41</v>
          </cell>
          <cell r="AK247" t="str">
            <v>30/09/2023</v>
          </cell>
          <cell r="AL247" t="str">
            <v>TPN64245</v>
          </cell>
          <cell r="AM247" t="str">
            <v>THREE PHASE STATIC TRI-VECTOR METER</v>
          </cell>
          <cell r="AN247" t="str">
            <v>POST PAID</v>
          </cell>
          <cell r="AO247">
            <v>250</v>
          </cell>
          <cell r="AP247" t="str">
            <v>TOD</v>
          </cell>
          <cell r="AQ247">
            <v>-49955.21</v>
          </cell>
          <cell r="AR247">
            <v>0</v>
          </cell>
          <cell r="AS247">
            <v>0</v>
          </cell>
          <cell r="AT247">
            <v>0</v>
          </cell>
          <cell r="AU247">
            <v>0</v>
          </cell>
          <cell r="AV247">
            <v>0</v>
          </cell>
          <cell r="AW247">
            <v>5770</v>
          </cell>
          <cell r="AX247">
            <v>5935</v>
          </cell>
          <cell r="AY247">
            <v>5935</v>
          </cell>
          <cell r="AZ247">
            <v>201.96</v>
          </cell>
          <cell r="BA247">
            <v>33.119999999999997</v>
          </cell>
        </row>
        <row r="248">
          <cell r="F248">
            <v>124000000009</v>
          </cell>
          <cell r="G248" t="str">
            <v>EX. ENG. P.H.D. BARIPADA</v>
          </cell>
          <cell r="H248" t="str">
            <v xml:space="preserve"> </v>
          </cell>
          <cell r="I248" t="str">
            <v>10/31/2020 00:00:00</v>
          </cell>
          <cell r="J248">
            <v>1</v>
          </cell>
          <cell r="K248" t="str">
            <v xml:space="preserve"> </v>
          </cell>
          <cell r="L248" t="str">
            <v xml:space="preserve"> </v>
          </cell>
          <cell r="M248" t="str">
            <v>521000010231493148</v>
          </cell>
          <cell r="N248" t="str">
            <v>1240000009</v>
          </cell>
          <cell r="O248" t="str">
            <v>20866</v>
          </cell>
          <cell r="P248" t="str">
            <v>452112204</v>
          </cell>
          <cell r="Q248" t="str">
            <v>PUBLIC WATER WORKS &amp; SEWERAGE PUMPING</v>
          </cell>
          <cell r="R248" t="str">
            <v>HT</v>
          </cell>
          <cell r="S248" t="str">
            <v>01/10/2023</v>
          </cell>
          <cell r="T248" t="str">
            <v>01/10/2023</v>
          </cell>
          <cell r="U248" t="str">
            <v>09/10/2023</v>
          </cell>
          <cell r="V248" t="str">
            <v>09/10/2023</v>
          </cell>
          <cell r="W248" t="str">
            <v>2023/09</v>
          </cell>
          <cell r="X248" t="str">
            <v>11 KV</v>
          </cell>
          <cell r="Y248" t="str">
            <v>HT</v>
          </cell>
          <cell r="Z248">
            <v>134.04</v>
          </cell>
          <cell r="AA248">
            <v>0.63170000000000004</v>
          </cell>
          <cell r="AB248">
            <v>61</v>
          </cell>
          <cell r="AC248" t="str">
            <v xml:space="preserve">01/09/2023 -     </v>
          </cell>
          <cell r="AD248" t="str">
            <v>30.09.2023</v>
          </cell>
          <cell r="AE248" t="str">
            <v>30/1.0000</v>
          </cell>
          <cell r="AF248">
            <v>167.55</v>
          </cell>
          <cell r="AG248" t="str">
            <v>KVA</v>
          </cell>
          <cell r="AH248">
            <v>167.55</v>
          </cell>
          <cell r="AI248" t="str">
            <v>R</v>
          </cell>
          <cell r="AJ248">
            <v>506039.32</v>
          </cell>
          <cell r="AK248" t="str">
            <v>30/09/2023</v>
          </cell>
          <cell r="AL248" t="str">
            <v>NES50951</v>
          </cell>
          <cell r="AM248" t="str">
            <v>THREE PHASE STATIC TRI-VECTOR METER-TOD</v>
          </cell>
          <cell r="AN248" t="str">
            <v>POST PAID</v>
          </cell>
          <cell r="AO248">
            <v>250</v>
          </cell>
          <cell r="AP248" t="str">
            <v>TOD</v>
          </cell>
          <cell r="AQ248">
            <v>22978.58</v>
          </cell>
          <cell r="AR248">
            <v>0</v>
          </cell>
          <cell r="AS248">
            <v>0</v>
          </cell>
          <cell r="AT248">
            <v>0</v>
          </cell>
          <cell r="AU248">
            <v>0</v>
          </cell>
          <cell r="AV248">
            <v>0</v>
          </cell>
          <cell r="AW248">
            <v>32928</v>
          </cell>
          <cell r="AX248">
            <v>52123</v>
          </cell>
          <cell r="AY248">
            <v>52123</v>
          </cell>
          <cell r="AZ248">
            <v>808.56</v>
          </cell>
          <cell r="BA248">
            <v>118.68</v>
          </cell>
        </row>
        <row r="249">
          <cell r="F249">
            <v>124000000011</v>
          </cell>
          <cell r="G249" t="str">
            <v>POWER GRID CORP.OF INDIA</v>
          </cell>
          <cell r="H249" t="str">
            <v>UNDER BARIPADA ELEC.DIV.</v>
          </cell>
          <cell r="I249" t="str">
            <v>10/31/2020 00:00:00</v>
          </cell>
          <cell r="J249">
            <v>1</v>
          </cell>
          <cell r="K249" t="str">
            <v xml:space="preserve"> </v>
          </cell>
          <cell r="L249" t="str">
            <v xml:space="preserve"> </v>
          </cell>
          <cell r="M249" t="str">
            <v>521000010231492832</v>
          </cell>
          <cell r="N249" t="str">
            <v>1240000011</v>
          </cell>
          <cell r="O249" t="str">
            <v>65326</v>
          </cell>
          <cell r="P249" t="str">
            <v>45207407001</v>
          </cell>
          <cell r="Q249" t="str">
            <v>GENERAL PURPOSE &gt;= 110 KVA</v>
          </cell>
          <cell r="R249" t="str">
            <v>HT</v>
          </cell>
          <cell r="S249" t="str">
            <v>01/10/2023</v>
          </cell>
          <cell r="T249" t="str">
            <v>01/10/2023</v>
          </cell>
          <cell r="U249" t="str">
            <v>06/10/2023</v>
          </cell>
          <cell r="V249" t="str">
            <v>09/10/2023</v>
          </cell>
          <cell r="W249" t="str">
            <v>2023/09</v>
          </cell>
          <cell r="X249" t="str">
            <v>33 KV</v>
          </cell>
          <cell r="Y249" t="str">
            <v>HT</v>
          </cell>
          <cell r="Z249">
            <v>200</v>
          </cell>
          <cell r="AA249">
            <v>1</v>
          </cell>
          <cell r="AB249">
            <v>15.09</v>
          </cell>
          <cell r="AC249" t="str">
            <v xml:space="preserve">01/09/2023 -     </v>
          </cell>
          <cell r="AD249" t="str">
            <v>30.09.2023</v>
          </cell>
          <cell r="AE249" t="str">
            <v>30/1.0000</v>
          </cell>
          <cell r="AF249">
            <v>250</v>
          </cell>
          <cell r="AG249" t="str">
            <v>KVA</v>
          </cell>
          <cell r="AH249">
            <v>250</v>
          </cell>
          <cell r="AI249" t="str">
            <v>R</v>
          </cell>
          <cell r="AJ249">
            <v>351450</v>
          </cell>
          <cell r="AK249" t="str">
            <v>30/09/2023</v>
          </cell>
          <cell r="AL249" t="str">
            <v>NES50440</v>
          </cell>
          <cell r="AM249" t="str">
            <v>THREE PHASE HT CT METER-33KV</v>
          </cell>
          <cell r="AN249" t="str">
            <v>POST PAID</v>
          </cell>
          <cell r="AO249">
            <v>800</v>
          </cell>
          <cell r="AP249" t="str">
            <v>TOD</v>
          </cell>
          <cell r="AQ249">
            <v>-208241.9</v>
          </cell>
          <cell r="AR249">
            <v>0</v>
          </cell>
          <cell r="AS249">
            <v>0</v>
          </cell>
          <cell r="AT249">
            <v>0</v>
          </cell>
          <cell r="AU249">
            <v>0</v>
          </cell>
          <cell r="AV249">
            <v>0</v>
          </cell>
          <cell r="AW249">
            <v>3834</v>
          </cell>
          <cell r="AX249">
            <v>3834</v>
          </cell>
          <cell r="AY249">
            <v>3834</v>
          </cell>
          <cell r="AZ249">
            <v>202.8</v>
          </cell>
          <cell r="BA249">
            <v>35.28</v>
          </cell>
        </row>
        <row r="250">
          <cell r="F250">
            <v>124000000018</v>
          </cell>
          <cell r="G250" t="str">
            <v>M/S VENKATESWARA HATCHERIES PVT.LTD</v>
          </cell>
          <cell r="H250" t="str">
            <v>AT : CHHANCHA,</v>
          </cell>
          <cell r="I250" t="str">
            <v>10/31/2020 00:00:00</v>
          </cell>
          <cell r="J250">
            <v>1</v>
          </cell>
          <cell r="K250" t="str">
            <v xml:space="preserve"> </v>
          </cell>
          <cell r="L250" t="str">
            <v xml:space="preserve"> </v>
          </cell>
          <cell r="M250" t="str">
            <v>521000010231492730</v>
          </cell>
          <cell r="N250" t="str">
            <v>1240000015</v>
          </cell>
          <cell r="O250" t="str">
            <v>L-46672</v>
          </cell>
          <cell r="P250" t="str">
            <v>432121206</v>
          </cell>
          <cell r="Q250" t="str">
            <v>LARGE INDUSTRY</v>
          </cell>
          <cell r="R250" t="str">
            <v>HT</v>
          </cell>
          <cell r="S250" t="str">
            <v>01/10/2023</v>
          </cell>
          <cell r="T250" t="str">
            <v>01/10/2023</v>
          </cell>
          <cell r="U250" t="str">
            <v>06/10/2023</v>
          </cell>
          <cell r="V250" t="str">
            <v>09/10/2023</v>
          </cell>
          <cell r="W250" t="str">
            <v>2023/09</v>
          </cell>
          <cell r="X250" t="str">
            <v>11 KV</v>
          </cell>
          <cell r="Y250" t="str">
            <v>HT</v>
          </cell>
          <cell r="Z250">
            <v>200</v>
          </cell>
          <cell r="AA250">
            <v>0.97260000000000002</v>
          </cell>
          <cell r="AB250">
            <v>40.06</v>
          </cell>
          <cell r="AC250" t="str">
            <v xml:space="preserve">01/09/2023 -     </v>
          </cell>
          <cell r="AD250" t="str">
            <v>30.09.2023</v>
          </cell>
          <cell r="AE250" t="str">
            <v>30/1.0000</v>
          </cell>
          <cell r="AF250">
            <v>250</v>
          </cell>
          <cell r="AG250" t="str">
            <v>KVA</v>
          </cell>
          <cell r="AH250">
            <v>250</v>
          </cell>
          <cell r="AI250" t="str">
            <v>R</v>
          </cell>
          <cell r="AJ250">
            <v>543277.80000000005</v>
          </cell>
          <cell r="AK250" t="str">
            <v>30/09/2023</v>
          </cell>
          <cell r="AL250" t="str">
            <v>TPNODL38110085</v>
          </cell>
          <cell r="AM250" t="str">
            <v>THREE PHASE SMART HT CT METER (AMR/AMI)-11KV</v>
          </cell>
          <cell r="AN250" t="str">
            <v>SMART METER</v>
          </cell>
          <cell r="AO250">
            <v>500</v>
          </cell>
          <cell r="AP250" t="str">
            <v>TOD</v>
          </cell>
          <cell r="AQ250">
            <v>184307.84</v>
          </cell>
          <cell r="AR250">
            <v>0</v>
          </cell>
          <cell r="AS250">
            <v>0</v>
          </cell>
          <cell r="AT250">
            <v>0</v>
          </cell>
          <cell r="AU250">
            <v>0</v>
          </cell>
          <cell r="AV250">
            <v>0</v>
          </cell>
          <cell r="AW250">
            <v>53902</v>
          </cell>
          <cell r="AX250">
            <v>55416</v>
          </cell>
          <cell r="AY250">
            <v>55416</v>
          </cell>
          <cell r="AZ250">
            <v>1052.5740000000001</v>
          </cell>
          <cell r="BA250">
            <v>192.12</v>
          </cell>
        </row>
        <row r="251">
          <cell r="F251">
            <v>124000000019</v>
          </cell>
          <cell r="G251" t="str">
            <v>SEEMANTA ENGINEERING COLLEGE</v>
          </cell>
          <cell r="H251" t="str">
            <v>C/o MEMBER (FINANCE),</v>
          </cell>
          <cell r="I251" t="str">
            <v>10/31/2020 00:00:00</v>
          </cell>
          <cell r="J251">
            <v>1</v>
          </cell>
          <cell r="K251" t="str">
            <v xml:space="preserve"> </v>
          </cell>
          <cell r="L251" t="str">
            <v xml:space="preserve"> </v>
          </cell>
          <cell r="M251" t="str">
            <v>521000010231493104</v>
          </cell>
          <cell r="N251" t="str">
            <v>1240000016</v>
          </cell>
          <cell r="O251" t="str">
            <v>43647(GP</v>
          </cell>
          <cell r="P251" t="str">
            <v>452141203</v>
          </cell>
          <cell r="Q251" t="str">
            <v>GENERAL PURPOSE &gt;= 110 KVA</v>
          </cell>
          <cell r="R251" t="str">
            <v>HT</v>
          </cell>
          <cell r="S251" t="str">
            <v>01/10/2023</v>
          </cell>
          <cell r="T251" t="str">
            <v>01/10/2023</v>
          </cell>
          <cell r="U251" t="str">
            <v>06/10/2023</v>
          </cell>
          <cell r="V251" t="str">
            <v>09/10/2023</v>
          </cell>
          <cell r="W251" t="str">
            <v>2023/09</v>
          </cell>
          <cell r="X251" t="str">
            <v>11 KV</v>
          </cell>
          <cell r="Y251" t="str">
            <v>HT</v>
          </cell>
          <cell r="Z251">
            <v>154.4</v>
          </cell>
          <cell r="AA251">
            <v>0.99029999999999996</v>
          </cell>
          <cell r="AB251">
            <v>31.42</v>
          </cell>
          <cell r="AC251" t="str">
            <v xml:space="preserve">01/09/2023 -     </v>
          </cell>
          <cell r="AD251" t="str">
            <v>30.09.2023</v>
          </cell>
          <cell r="AE251" t="str">
            <v>30/1.0000</v>
          </cell>
          <cell r="AF251">
            <v>193</v>
          </cell>
          <cell r="AG251" t="str">
            <v>KVA</v>
          </cell>
          <cell r="AH251">
            <v>193</v>
          </cell>
          <cell r="AI251" t="str">
            <v>R</v>
          </cell>
          <cell r="AJ251">
            <v>307724.90000000002</v>
          </cell>
          <cell r="AK251" t="str">
            <v>30/09/2023</v>
          </cell>
          <cell r="AL251" t="str">
            <v>TPN64271</v>
          </cell>
          <cell r="AM251" t="str">
            <v>THREE PHASE STATIC TRI-VECTOR METER</v>
          </cell>
          <cell r="AN251" t="str">
            <v>POST PAID</v>
          </cell>
          <cell r="AO251">
            <v>250</v>
          </cell>
          <cell r="AP251" t="str">
            <v>TOD</v>
          </cell>
          <cell r="AQ251">
            <v>-70831.600000000006</v>
          </cell>
          <cell r="AR251">
            <v>0</v>
          </cell>
          <cell r="AS251">
            <v>0</v>
          </cell>
          <cell r="AT251">
            <v>0</v>
          </cell>
          <cell r="AU251">
            <v>0</v>
          </cell>
          <cell r="AV251">
            <v>0</v>
          </cell>
          <cell r="AW251">
            <v>22742</v>
          </cell>
          <cell r="AX251">
            <v>22963</v>
          </cell>
          <cell r="AY251">
            <v>22963</v>
          </cell>
          <cell r="AZ251">
            <v>708</v>
          </cell>
          <cell r="BA251">
            <v>101.52</v>
          </cell>
        </row>
        <row r="252">
          <cell r="F252">
            <v>124000000021</v>
          </cell>
          <cell r="G252" t="str">
            <v>AMBICA RICE MILL</v>
          </cell>
          <cell r="H252" t="str">
            <v>C/O-SUNIL KUMAR SAHA,</v>
          </cell>
          <cell r="I252" t="str">
            <v>10/31/2020 00:00:00</v>
          </cell>
          <cell r="J252">
            <v>1</v>
          </cell>
          <cell r="K252" t="str">
            <v xml:space="preserve"> </v>
          </cell>
          <cell r="L252" t="str">
            <v xml:space="preserve"> </v>
          </cell>
          <cell r="M252" t="str">
            <v>521000010231492647</v>
          </cell>
          <cell r="N252" t="str">
            <v>1240000017</v>
          </cell>
          <cell r="O252" t="str">
            <v>BG-61378</v>
          </cell>
          <cell r="P252" t="str">
            <v>452121202</v>
          </cell>
          <cell r="Q252" t="str">
            <v>LARGE INDUSTRY</v>
          </cell>
          <cell r="R252" t="str">
            <v>HT</v>
          </cell>
          <cell r="S252" t="str">
            <v>01/10/2023</v>
          </cell>
          <cell r="T252" t="str">
            <v>01/10/2023</v>
          </cell>
          <cell r="U252" t="str">
            <v>06/10/2023</v>
          </cell>
          <cell r="V252" t="str">
            <v>09/10/2023</v>
          </cell>
          <cell r="W252" t="str">
            <v>2023/09</v>
          </cell>
          <cell r="X252" t="str">
            <v>11 KV</v>
          </cell>
          <cell r="Y252" t="str">
            <v>HT</v>
          </cell>
          <cell r="Z252">
            <v>216</v>
          </cell>
          <cell r="AA252">
            <v>0.42930000000000001</v>
          </cell>
          <cell r="AB252">
            <v>30.37</v>
          </cell>
          <cell r="AC252" t="str">
            <v xml:space="preserve">01/09/2023 -     </v>
          </cell>
          <cell r="AD252" t="str">
            <v>30.09.2023</v>
          </cell>
          <cell r="AE252" t="str">
            <v>30/1.0000</v>
          </cell>
          <cell r="AF252">
            <v>270</v>
          </cell>
          <cell r="AG252" t="str">
            <v>KVA</v>
          </cell>
          <cell r="AH252">
            <v>270</v>
          </cell>
          <cell r="AI252" t="str">
            <v>R</v>
          </cell>
          <cell r="AJ252">
            <v>695070.84</v>
          </cell>
          <cell r="AK252" t="str">
            <v>30/09/2023</v>
          </cell>
          <cell r="AL252" t="str">
            <v>NSC94944</v>
          </cell>
          <cell r="AM252" t="str">
            <v>HT THREE PHASE 4 WIRE AMR/AMI COMPLAINT METER</v>
          </cell>
          <cell r="AN252" t="str">
            <v>POST PAID</v>
          </cell>
          <cell r="AO252">
            <v>500</v>
          </cell>
          <cell r="AP252" t="str">
            <v>TOD</v>
          </cell>
          <cell r="AQ252">
            <v>534670</v>
          </cell>
          <cell r="AR252">
            <v>0</v>
          </cell>
          <cell r="AS252">
            <v>0</v>
          </cell>
          <cell r="AT252">
            <v>0</v>
          </cell>
          <cell r="AU252">
            <v>0</v>
          </cell>
          <cell r="AV252">
            <v>0</v>
          </cell>
          <cell r="AW252">
            <v>18112</v>
          </cell>
          <cell r="AX252">
            <v>42188</v>
          </cell>
          <cell r="AY252">
            <v>42188</v>
          </cell>
          <cell r="AZ252">
            <v>1566.56</v>
          </cell>
          <cell r="BA252">
            <v>192.96</v>
          </cell>
        </row>
        <row r="253">
          <cell r="F253">
            <v>124000000022</v>
          </cell>
          <cell r="G253" t="str">
            <v>KALIKA AGRO PRODUCT</v>
          </cell>
          <cell r="H253" t="str">
            <v>C/O-MAHENDRA KUMAR GUPTA</v>
          </cell>
          <cell r="I253" t="str">
            <v>10/31/2020 00:00:00</v>
          </cell>
          <cell r="J253">
            <v>1</v>
          </cell>
          <cell r="K253" t="str">
            <v xml:space="preserve"> </v>
          </cell>
          <cell r="L253" t="str">
            <v xml:space="preserve"> </v>
          </cell>
          <cell r="M253" t="str">
            <v>521000010231492955</v>
          </cell>
          <cell r="N253" t="str">
            <v>1240000018</v>
          </cell>
          <cell r="O253" t="str">
            <v>BN-65548</v>
          </cell>
          <cell r="P253" t="str">
            <v>452141202</v>
          </cell>
          <cell r="Q253" t="str">
            <v>LARGE INDUSTRY</v>
          </cell>
          <cell r="R253" t="str">
            <v>HT</v>
          </cell>
          <cell r="S253" t="str">
            <v>01/10/2023</v>
          </cell>
          <cell r="T253" t="str">
            <v>01/10/2023</v>
          </cell>
          <cell r="U253" t="str">
            <v>06/10/2023</v>
          </cell>
          <cell r="V253" t="str">
            <v>09/10/2023</v>
          </cell>
          <cell r="W253" t="str">
            <v>2023/09</v>
          </cell>
          <cell r="X253" t="str">
            <v>11 KV</v>
          </cell>
          <cell r="Y253" t="str">
            <v>HT</v>
          </cell>
          <cell r="Z253">
            <v>101.6</v>
          </cell>
          <cell r="AA253">
            <v>0.88600000000000001</v>
          </cell>
          <cell r="AB253">
            <v>6.28</v>
          </cell>
          <cell r="AC253" t="str">
            <v xml:space="preserve">01/09/2023 -     </v>
          </cell>
          <cell r="AD253" t="str">
            <v>30.09.2023</v>
          </cell>
          <cell r="AE253" t="str">
            <v>30/1.0000</v>
          </cell>
          <cell r="AF253">
            <v>127</v>
          </cell>
          <cell r="AG253" t="str">
            <v>KVA</v>
          </cell>
          <cell r="AH253">
            <v>127</v>
          </cell>
          <cell r="AI253" t="str">
            <v>R</v>
          </cell>
          <cell r="AJ253">
            <v>311450.26</v>
          </cell>
          <cell r="AK253" t="str">
            <v>30/09/2023</v>
          </cell>
          <cell r="AL253" t="str">
            <v>NSC94800</v>
          </cell>
          <cell r="AM253" t="str">
            <v>TRI-VECTOR METER FOR RAILWAY TRACTION</v>
          </cell>
          <cell r="AN253" t="str">
            <v>POST PAID</v>
          </cell>
          <cell r="AO253">
            <v>200</v>
          </cell>
          <cell r="AP253" t="str">
            <v>TOD</v>
          </cell>
          <cell r="AQ253">
            <v>54701.34</v>
          </cell>
          <cell r="AR253">
            <v>0</v>
          </cell>
          <cell r="AS253">
            <v>0</v>
          </cell>
          <cell r="AT253">
            <v>0</v>
          </cell>
          <cell r="AU253">
            <v>0</v>
          </cell>
          <cell r="AV253">
            <v>0</v>
          </cell>
          <cell r="AW253">
            <v>1376</v>
          </cell>
          <cell r="AX253">
            <v>1553</v>
          </cell>
          <cell r="AY253">
            <v>1553</v>
          </cell>
          <cell r="AZ253">
            <v>928.4</v>
          </cell>
          <cell r="BA253">
            <v>34.32</v>
          </cell>
        </row>
        <row r="254">
          <cell r="F254">
            <v>124000000023</v>
          </cell>
          <cell r="G254" t="str">
            <v>DIST HEADQUARTER HOSPITAL, BPD</v>
          </cell>
          <cell r="H254" t="str">
            <v>C/O-C.D.M.O.  BARIPADA</v>
          </cell>
          <cell r="I254" t="str">
            <v>10/31/2020 00:00:00</v>
          </cell>
          <cell r="J254">
            <v>1</v>
          </cell>
          <cell r="K254" t="str">
            <v xml:space="preserve"> </v>
          </cell>
          <cell r="L254" t="str">
            <v xml:space="preserve"> </v>
          </cell>
          <cell r="M254" t="str">
            <v>521000010231493228</v>
          </cell>
          <cell r="N254" t="str">
            <v>1240000019</v>
          </cell>
          <cell r="O254" t="str">
            <v>67160SPI</v>
          </cell>
          <cell r="P254" t="str">
            <v>452111201</v>
          </cell>
          <cell r="Q254" t="str">
            <v>SPECIFIED PUBLIC PURPOSE</v>
          </cell>
          <cell r="R254" t="str">
            <v>HT</v>
          </cell>
          <cell r="S254" t="str">
            <v>01/10/2023</v>
          </cell>
          <cell r="T254" t="str">
            <v>01/10/2023</v>
          </cell>
          <cell r="U254" t="str">
            <v>06/10/2023</v>
          </cell>
          <cell r="V254" t="str">
            <v>09/10/2023</v>
          </cell>
          <cell r="W254" t="str">
            <v>2023/09</v>
          </cell>
          <cell r="X254" t="str">
            <v>11 KV</v>
          </cell>
          <cell r="Y254" t="str">
            <v>HT</v>
          </cell>
          <cell r="Z254">
            <v>155.84</v>
          </cell>
          <cell r="AA254">
            <v>0.99909999999999999</v>
          </cell>
          <cell r="AB254">
            <v>39.86</v>
          </cell>
          <cell r="AC254" t="str">
            <v xml:space="preserve">01/09/2023 -     </v>
          </cell>
          <cell r="AD254" t="str">
            <v>30.09.2023</v>
          </cell>
          <cell r="AE254" t="str">
            <v>30/1.0000</v>
          </cell>
          <cell r="AF254">
            <v>133</v>
          </cell>
          <cell r="AG254" t="str">
            <v>KVA</v>
          </cell>
          <cell r="AH254">
            <v>133</v>
          </cell>
          <cell r="AI254" t="str">
            <v>R</v>
          </cell>
          <cell r="AJ254">
            <v>477395.84</v>
          </cell>
          <cell r="AK254" t="str">
            <v>30/09/2023</v>
          </cell>
          <cell r="AL254" t="str">
            <v>NSC94729</v>
          </cell>
          <cell r="AM254" t="str">
            <v>TRI-VECTOR METER FOR RAILWAY TRACTION</v>
          </cell>
          <cell r="AN254" t="str">
            <v>POST PAID</v>
          </cell>
          <cell r="AO254">
            <v>250</v>
          </cell>
          <cell r="AP254" t="str">
            <v>TOD</v>
          </cell>
          <cell r="AQ254">
            <v>-54033.88</v>
          </cell>
          <cell r="AR254">
            <v>0</v>
          </cell>
          <cell r="AS254">
            <v>0</v>
          </cell>
          <cell r="AT254">
            <v>0</v>
          </cell>
          <cell r="AU254">
            <v>0</v>
          </cell>
          <cell r="AV254">
            <v>0</v>
          </cell>
          <cell r="AW254">
            <v>44693</v>
          </cell>
          <cell r="AX254">
            <v>44730</v>
          </cell>
          <cell r="AY254">
            <v>44730</v>
          </cell>
          <cell r="AZ254">
            <v>1057.92</v>
          </cell>
          <cell r="BA254">
            <v>155.84</v>
          </cell>
        </row>
        <row r="255">
          <cell r="F255">
            <v>124000000024</v>
          </cell>
          <cell r="G255" t="str">
            <v>MAYURBHANJ ICE &amp; COLD STORAGE</v>
          </cell>
          <cell r="H255" t="str">
            <v>STATION ROAD,</v>
          </cell>
          <cell r="I255" t="str">
            <v>10/31/2020 00:00:00</v>
          </cell>
          <cell r="J255">
            <v>1</v>
          </cell>
          <cell r="K255" t="str">
            <v xml:space="preserve"> </v>
          </cell>
          <cell r="L255" t="str">
            <v xml:space="preserve"> </v>
          </cell>
          <cell r="M255" t="str">
            <v>521000010231493326</v>
          </cell>
          <cell r="N255" t="str">
            <v>1240000020</v>
          </cell>
          <cell r="O255" t="str">
            <v>B1-2369</v>
          </cell>
          <cell r="P255" t="str">
            <v>452111201</v>
          </cell>
          <cell r="Q255" t="str">
            <v>ALLIED AGRO-INDUSTRIAL ACTIVITIES</v>
          </cell>
          <cell r="R255" t="str">
            <v>HT</v>
          </cell>
          <cell r="S255" t="str">
            <v>01/10/2023</v>
          </cell>
          <cell r="T255" t="str">
            <v>01/10/2023</v>
          </cell>
          <cell r="U255" t="str">
            <v>06/10/2023</v>
          </cell>
          <cell r="V255" t="str">
            <v>09/10/2023</v>
          </cell>
          <cell r="W255" t="str">
            <v>2023/09</v>
          </cell>
          <cell r="X255" t="str">
            <v>11 KV</v>
          </cell>
          <cell r="Y255" t="str">
            <v>HT</v>
          </cell>
          <cell r="Z255">
            <v>152</v>
          </cell>
          <cell r="AA255">
            <v>0.91800000000000004</v>
          </cell>
          <cell r="AB255">
            <v>0</v>
          </cell>
          <cell r="AC255" t="str">
            <v xml:space="preserve">01/09/2023 -     </v>
          </cell>
          <cell r="AD255" t="str">
            <v>30.09.2023</v>
          </cell>
          <cell r="AE255" t="str">
            <v>30/1.0000</v>
          </cell>
          <cell r="AF255">
            <v>152</v>
          </cell>
          <cell r="AG255" t="str">
            <v>KVA</v>
          </cell>
          <cell r="AH255">
            <v>152</v>
          </cell>
          <cell r="AI255" t="str">
            <v>R</v>
          </cell>
          <cell r="AJ255">
            <v>46372</v>
          </cell>
          <cell r="AK255" t="str">
            <v>30/09/2023</v>
          </cell>
          <cell r="AL255" t="str">
            <v>NSC94997</v>
          </cell>
          <cell r="AM255" t="str">
            <v>HT THREE PHASE 3 WIRE AMR/AMI COMPLIANT METER</v>
          </cell>
          <cell r="AN255" t="str">
            <v>POST PAID</v>
          </cell>
          <cell r="AO255">
            <v>250</v>
          </cell>
          <cell r="AP255" t="str">
            <v>TOD</v>
          </cell>
          <cell r="AQ255">
            <v>248006.8</v>
          </cell>
          <cell r="AR255">
            <v>0</v>
          </cell>
          <cell r="AS255">
            <v>0</v>
          </cell>
          <cell r="AT255">
            <v>0</v>
          </cell>
          <cell r="AU255">
            <v>0</v>
          </cell>
          <cell r="AV255">
            <v>0</v>
          </cell>
          <cell r="AW255">
            <v>19489</v>
          </cell>
          <cell r="AX255">
            <v>21229</v>
          </cell>
          <cell r="AY255">
            <v>21229</v>
          </cell>
          <cell r="AZ255">
            <v>536.79999999999995</v>
          </cell>
          <cell r="BA255">
            <v>76.160000000000011</v>
          </cell>
        </row>
        <row r="256">
          <cell r="F256">
            <v>124000000028</v>
          </cell>
          <cell r="G256" t="str">
            <v>K.K.STEEL</v>
          </cell>
          <cell r="H256" t="str">
            <v>DHARPUR,</v>
          </cell>
          <cell r="I256" t="str">
            <v>10/31/2020 00:00:00</v>
          </cell>
          <cell r="J256">
            <v>1</v>
          </cell>
          <cell r="K256" t="str">
            <v xml:space="preserve"> </v>
          </cell>
          <cell r="L256" t="str">
            <v xml:space="preserve"> </v>
          </cell>
          <cell r="M256" t="str">
            <v>521000010231492917</v>
          </cell>
          <cell r="N256" t="str">
            <v>1240000024</v>
          </cell>
          <cell r="O256" t="str">
            <v>70878</v>
          </cell>
          <cell r="P256" t="str">
            <v>45207409003</v>
          </cell>
          <cell r="Q256" t="str">
            <v>LARGE INDUSTRY</v>
          </cell>
          <cell r="R256" t="str">
            <v>HT</v>
          </cell>
          <cell r="S256" t="str">
            <v>01/10/2023</v>
          </cell>
          <cell r="T256" t="str">
            <v>01/10/2023</v>
          </cell>
          <cell r="U256" t="str">
            <v>06/10/2023</v>
          </cell>
          <cell r="V256" t="str">
            <v>09/10/2023</v>
          </cell>
          <cell r="W256" t="str">
            <v>2023/09</v>
          </cell>
          <cell r="X256" t="str">
            <v>33 KV</v>
          </cell>
          <cell r="Y256" t="str">
            <v>HT</v>
          </cell>
          <cell r="Z256">
            <v>539.04</v>
          </cell>
          <cell r="AA256">
            <v>0.86960000000000004</v>
          </cell>
          <cell r="AB256">
            <v>48.17</v>
          </cell>
          <cell r="AC256" t="str">
            <v xml:space="preserve">01/09/2023 -     </v>
          </cell>
          <cell r="AD256" t="str">
            <v>30.09.2023</v>
          </cell>
          <cell r="AE256" t="str">
            <v>30/1.0000</v>
          </cell>
          <cell r="AF256">
            <v>450</v>
          </cell>
          <cell r="AG256" t="str">
            <v>KVA</v>
          </cell>
          <cell r="AH256">
            <v>450</v>
          </cell>
          <cell r="AI256" t="str">
            <v>R</v>
          </cell>
          <cell r="AJ256">
            <v>1912024</v>
          </cell>
          <cell r="AK256" t="str">
            <v>30/09/2023</v>
          </cell>
          <cell r="AL256" t="str">
            <v>NSC16262</v>
          </cell>
          <cell r="AM256" t="str">
            <v>THREE PHASE HT CT METER-33KV</v>
          </cell>
          <cell r="AN256" t="str">
            <v>POST PAID</v>
          </cell>
          <cell r="AO256">
            <v>460</v>
          </cell>
          <cell r="AP256" t="str">
            <v>TOD</v>
          </cell>
          <cell r="AQ256">
            <v>-483813</v>
          </cell>
          <cell r="AR256">
            <v>0</v>
          </cell>
          <cell r="AS256">
            <v>0</v>
          </cell>
          <cell r="AT256">
            <v>0</v>
          </cell>
          <cell r="AU256">
            <v>0</v>
          </cell>
          <cell r="AV256">
            <v>0</v>
          </cell>
          <cell r="AW256">
            <v>0</v>
          </cell>
          <cell r="AX256">
            <v>0</v>
          </cell>
          <cell r="AY256">
            <v>186969</v>
          </cell>
          <cell r="AZ256">
            <v>0</v>
          </cell>
          <cell r="BA256">
            <v>0</v>
          </cell>
        </row>
        <row r="257">
          <cell r="F257">
            <v>124000000029</v>
          </cell>
          <cell r="G257" t="str">
            <v>NORTH ORISSA UNIVERSITY</v>
          </cell>
          <cell r="H257" t="str">
            <v>C/O REGISTRAR, P.O. TAKATPUR</v>
          </cell>
          <cell r="I257" t="str">
            <v>10/31/2020 00:00:00</v>
          </cell>
          <cell r="J257">
            <v>1</v>
          </cell>
          <cell r="K257" t="str">
            <v xml:space="preserve"> </v>
          </cell>
          <cell r="L257" t="str">
            <v xml:space="preserve"> </v>
          </cell>
          <cell r="M257" t="str">
            <v>521000010231492820</v>
          </cell>
          <cell r="N257" t="str">
            <v>1240000025</v>
          </cell>
          <cell r="O257" t="str">
            <v>71843</v>
          </cell>
          <cell r="P257" t="str">
            <v>432121206</v>
          </cell>
          <cell r="Q257" t="str">
            <v>SPECIFIED PUBLIC PURPOSE</v>
          </cell>
          <cell r="R257" t="str">
            <v>HT</v>
          </cell>
          <cell r="S257" t="str">
            <v>01/10/2023</v>
          </cell>
          <cell r="T257" t="str">
            <v>01/10/2023</v>
          </cell>
          <cell r="U257" t="str">
            <v>06/10/2023</v>
          </cell>
          <cell r="V257" t="str">
            <v>09/10/2023</v>
          </cell>
          <cell r="W257" t="str">
            <v>2023/09</v>
          </cell>
          <cell r="X257" t="str">
            <v>11 KV</v>
          </cell>
          <cell r="Y257" t="str">
            <v>HT</v>
          </cell>
          <cell r="Z257">
            <v>296</v>
          </cell>
          <cell r="AA257">
            <v>0.94620000000000004</v>
          </cell>
          <cell r="AB257">
            <v>18.13</v>
          </cell>
          <cell r="AC257" t="str">
            <v xml:space="preserve">01/09/2023 -     </v>
          </cell>
          <cell r="AD257" t="str">
            <v>30.09.2023</v>
          </cell>
          <cell r="AE257" t="str">
            <v>30/1.0000</v>
          </cell>
          <cell r="AF257">
            <v>370</v>
          </cell>
          <cell r="AG257" t="str">
            <v>KVA</v>
          </cell>
          <cell r="AH257">
            <v>370</v>
          </cell>
          <cell r="AI257" t="str">
            <v>R</v>
          </cell>
          <cell r="AJ257">
            <v>461168</v>
          </cell>
          <cell r="AK257" t="str">
            <v>30/09/2023</v>
          </cell>
          <cell r="AL257" t="str">
            <v>NSC95018</v>
          </cell>
          <cell r="AM257" t="str">
            <v>HT THREE PHASE 3 WIRE AMR/AMI COMPLIANT METER</v>
          </cell>
          <cell r="AN257" t="str">
            <v>POST PAID</v>
          </cell>
          <cell r="AO257">
            <v>500</v>
          </cell>
          <cell r="AP257" t="str">
            <v>TOD</v>
          </cell>
          <cell r="AQ257">
            <v>-168322</v>
          </cell>
          <cell r="AR257">
            <v>0</v>
          </cell>
          <cell r="AS257">
            <v>0</v>
          </cell>
          <cell r="AT257">
            <v>0</v>
          </cell>
          <cell r="AU257">
            <v>0</v>
          </cell>
          <cell r="AV257">
            <v>0</v>
          </cell>
          <cell r="AW257">
            <v>16822</v>
          </cell>
          <cell r="AX257">
            <v>17778</v>
          </cell>
          <cell r="AY257">
            <v>17778</v>
          </cell>
          <cell r="AZ257">
            <v>1001.6</v>
          </cell>
          <cell r="BA257">
            <v>136.16</v>
          </cell>
        </row>
        <row r="258">
          <cell r="F258">
            <v>124000000032</v>
          </cell>
          <cell r="G258" t="str">
            <v>M/S NEW MODERN TECHNOMECH</v>
          </cell>
          <cell r="H258" t="str">
            <v>PVT. LTD.,CHANCHABARIPADA</v>
          </cell>
          <cell r="I258" t="str">
            <v>10/31/2020 00:00:00</v>
          </cell>
          <cell r="J258">
            <v>1</v>
          </cell>
          <cell r="K258" t="str">
            <v xml:space="preserve"> </v>
          </cell>
          <cell r="L258" t="str">
            <v xml:space="preserve"> </v>
          </cell>
          <cell r="M258" t="str">
            <v>521000010231493213</v>
          </cell>
          <cell r="N258" t="str">
            <v>1240000028</v>
          </cell>
          <cell r="O258" t="str">
            <v>72624</v>
          </cell>
          <cell r="P258" t="str">
            <v>452162202</v>
          </cell>
          <cell r="Q258" t="str">
            <v>LARGE INDUSTRY</v>
          </cell>
          <cell r="R258" t="str">
            <v>HT</v>
          </cell>
          <cell r="S258" t="str">
            <v>01/10/2023</v>
          </cell>
          <cell r="T258" t="str">
            <v>01/10/2023</v>
          </cell>
          <cell r="U258" t="str">
            <v>06/10/2023</v>
          </cell>
          <cell r="V258" t="str">
            <v>09/10/2023</v>
          </cell>
          <cell r="W258" t="str">
            <v>2023/09</v>
          </cell>
          <cell r="X258" t="str">
            <v>11 KV</v>
          </cell>
          <cell r="Y258" t="str">
            <v>HT</v>
          </cell>
          <cell r="Z258">
            <v>247.2</v>
          </cell>
          <cell r="AA258">
            <v>0.93030000000000002</v>
          </cell>
          <cell r="AB258">
            <v>32.799999999999997</v>
          </cell>
          <cell r="AC258" t="str">
            <v xml:space="preserve">01/09/2023 -     </v>
          </cell>
          <cell r="AD258" t="str">
            <v>30.09.2023</v>
          </cell>
          <cell r="AE258" t="str">
            <v>30/1.0000</v>
          </cell>
          <cell r="AF258">
            <v>260</v>
          </cell>
          <cell r="AG258" t="str">
            <v>KVA</v>
          </cell>
          <cell r="AH258">
            <v>260</v>
          </cell>
          <cell r="AI258" t="str">
            <v>R</v>
          </cell>
          <cell r="AJ258">
            <v>837079.6</v>
          </cell>
          <cell r="AK258" t="str">
            <v>30/09/2023</v>
          </cell>
          <cell r="AL258" t="str">
            <v>TPN64241</v>
          </cell>
          <cell r="AM258" t="str">
            <v>THREE PHASE STATIC TRI-VECTOR METER</v>
          </cell>
          <cell r="AN258" t="str">
            <v>POST PAID</v>
          </cell>
          <cell r="AO258">
            <v>315</v>
          </cell>
          <cell r="AP258" t="str">
            <v>TOD</v>
          </cell>
          <cell r="AQ258">
            <v>-83689.039999999994</v>
          </cell>
          <cell r="AR258">
            <v>0</v>
          </cell>
          <cell r="AS258">
            <v>0</v>
          </cell>
          <cell r="AT258">
            <v>0</v>
          </cell>
          <cell r="AU258">
            <v>0</v>
          </cell>
          <cell r="AV258">
            <v>0</v>
          </cell>
          <cell r="AW258">
            <v>54303</v>
          </cell>
          <cell r="AX258">
            <v>58371</v>
          </cell>
          <cell r="AY258">
            <v>58371</v>
          </cell>
          <cell r="AZ258">
            <v>1336.8</v>
          </cell>
          <cell r="BA258">
            <v>247.2</v>
          </cell>
        </row>
        <row r="259">
          <cell r="F259">
            <v>124000000033</v>
          </cell>
          <cell r="G259" t="str">
            <v>DEBASIS PANDA</v>
          </cell>
          <cell r="H259" t="str">
            <v>VISHAL MAEGAMART,MURGABADIGOLAIBARIPADA</v>
          </cell>
          <cell r="I259" t="str">
            <v>10/31/2020 00:00:00</v>
          </cell>
          <cell r="J259">
            <v>1</v>
          </cell>
          <cell r="K259" t="str">
            <v xml:space="preserve"> </v>
          </cell>
          <cell r="L259" t="str">
            <v xml:space="preserve"> </v>
          </cell>
          <cell r="M259" t="str">
            <v>521000010231493467</v>
          </cell>
          <cell r="N259" t="str">
            <v>1240000029</v>
          </cell>
          <cell r="O259" t="str">
            <v>74060</v>
          </cell>
          <cell r="P259" t="str">
            <v>452112205</v>
          </cell>
          <cell r="Q259" t="str">
            <v>GENERAL PURPOSE &gt;= 110 KVA</v>
          </cell>
          <cell r="R259" t="str">
            <v>HT</v>
          </cell>
          <cell r="S259" t="str">
            <v>01/10/2023</v>
          </cell>
          <cell r="T259" t="str">
            <v>01/10/2023</v>
          </cell>
          <cell r="U259" t="str">
            <v>06/10/2023</v>
          </cell>
          <cell r="V259" t="str">
            <v>09/10/2023</v>
          </cell>
          <cell r="W259" t="str">
            <v>2023/09</v>
          </cell>
          <cell r="X259" t="str">
            <v>11 KV</v>
          </cell>
          <cell r="Y259" t="str">
            <v>HT</v>
          </cell>
          <cell r="Z259">
            <v>115.2</v>
          </cell>
          <cell r="AA259">
            <v>0.82210000000000005</v>
          </cell>
          <cell r="AB259">
            <v>31.89</v>
          </cell>
          <cell r="AC259" t="str">
            <v xml:space="preserve">27/08/2023 -     </v>
          </cell>
          <cell r="AD259" t="str">
            <v>26.09.2023</v>
          </cell>
          <cell r="AE259" t="str">
            <v>31/1.0000</v>
          </cell>
          <cell r="AF259">
            <v>144</v>
          </cell>
          <cell r="AG259" t="str">
            <v>KVA</v>
          </cell>
          <cell r="AH259">
            <v>144</v>
          </cell>
          <cell r="AI259" t="str">
            <v>R</v>
          </cell>
          <cell r="AJ259">
            <v>226080</v>
          </cell>
          <cell r="AK259" t="str">
            <v>26/09/2023</v>
          </cell>
          <cell r="AL259" t="str">
            <v>TPN64154</v>
          </cell>
          <cell r="AM259" t="str">
            <v>THREE PHASE STATIC TRI-VECTOR METER</v>
          </cell>
          <cell r="AN259" t="str">
            <v>POST PAID</v>
          </cell>
          <cell r="AO259">
            <v>250</v>
          </cell>
          <cell r="AP259" t="str">
            <v>TOD</v>
          </cell>
          <cell r="AQ259">
            <v>-97917.3</v>
          </cell>
          <cell r="AR259">
            <v>0</v>
          </cell>
          <cell r="AS259">
            <v>0</v>
          </cell>
          <cell r="AT259">
            <v>0</v>
          </cell>
          <cell r="AU259">
            <v>0</v>
          </cell>
          <cell r="AV259">
            <v>0</v>
          </cell>
          <cell r="AW259">
            <v>11953</v>
          </cell>
          <cell r="AX259">
            <v>14538</v>
          </cell>
          <cell r="AY259">
            <v>14538</v>
          </cell>
          <cell r="AZ259">
            <v>511.84</v>
          </cell>
          <cell r="BA259">
            <v>61.28</v>
          </cell>
        </row>
        <row r="260">
          <cell r="F260">
            <v>124000000034</v>
          </cell>
          <cell r="G260" t="str">
            <v>M/S MAA LAXMI AGRO PVT. LTD.</v>
          </cell>
          <cell r="H260" t="str">
            <v>BACHURIPADA,PURUNIABOISINGA, BARIPADA</v>
          </cell>
          <cell r="I260" t="str">
            <v>10/31/2020 00:00:00</v>
          </cell>
          <cell r="J260">
            <v>1</v>
          </cell>
          <cell r="K260" t="str">
            <v xml:space="preserve"> </v>
          </cell>
          <cell r="L260" t="str">
            <v xml:space="preserve"> </v>
          </cell>
          <cell r="M260" t="str">
            <v>521000010231492738</v>
          </cell>
          <cell r="N260" t="str">
            <v>1240000030</v>
          </cell>
          <cell r="O260" t="str">
            <v>74003</v>
          </cell>
          <cell r="P260" t="str">
            <v>452121201</v>
          </cell>
          <cell r="Q260" t="str">
            <v>LARGE INDUSTRY</v>
          </cell>
          <cell r="R260" t="str">
            <v>HT</v>
          </cell>
          <cell r="S260" t="str">
            <v>01/10/2023</v>
          </cell>
          <cell r="T260" t="str">
            <v>01/10/2023</v>
          </cell>
          <cell r="U260" t="str">
            <v>06/10/2023</v>
          </cell>
          <cell r="V260" t="str">
            <v>09/10/2023</v>
          </cell>
          <cell r="W260" t="str">
            <v>2023/09</v>
          </cell>
          <cell r="X260" t="str">
            <v>11 KV</v>
          </cell>
          <cell r="Y260" t="str">
            <v>HT</v>
          </cell>
          <cell r="Z260">
            <v>343.4</v>
          </cell>
          <cell r="AA260">
            <v>0.89239999999999997</v>
          </cell>
          <cell r="AB260">
            <v>17.739999999999998</v>
          </cell>
          <cell r="AC260" t="str">
            <v xml:space="preserve">01/09/2023 -     </v>
          </cell>
          <cell r="AD260" t="str">
            <v>30.09.2023</v>
          </cell>
          <cell r="AE260" t="str">
            <v>30/1.0000</v>
          </cell>
          <cell r="AF260">
            <v>333</v>
          </cell>
          <cell r="AG260" t="str">
            <v>KVA</v>
          </cell>
          <cell r="AH260">
            <v>333</v>
          </cell>
          <cell r="AI260" t="str">
            <v>R</v>
          </cell>
          <cell r="AJ260">
            <v>945960</v>
          </cell>
          <cell r="AK260" t="str">
            <v>30/09/2023</v>
          </cell>
          <cell r="AL260" t="str">
            <v>TPN64274</v>
          </cell>
          <cell r="AM260" t="str">
            <v>THREE PHASE STATIC TRI-VECTOR METER</v>
          </cell>
          <cell r="AN260" t="str">
            <v>POST PAID</v>
          </cell>
          <cell r="AO260">
            <v>500</v>
          </cell>
          <cell r="AP260" t="str">
            <v>TOD</v>
          </cell>
          <cell r="AQ260">
            <v>-291957.90000000002</v>
          </cell>
          <cell r="AR260">
            <v>0</v>
          </cell>
          <cell r="AS260">
            <v>0</v>
          </cell>
          <cell r="AT260">
            <v>0</v>
          </cell>
          <cell r="AU260">
            <v>0</v>
          </cell>
          <cell r="AV260">
            <v>0</v>
          </cell>
          <cell r="AW260">
            <v>39137</v>
          </cell>
          <cell r="AX260">
            <v>43855</v>
          </cell>
          <cell r="AY260">
            <v>43855</v>
          </cell>
          <cell r="AZ260">
            <v>2167.1999999999998</v>
          </cell>
          <cell r="BA260">
            <v>343.4</v>
          </cell>
        </row>
        <row r="261">
          <cell r="F261">
            <v>124000000035</v>
          </cell>
          <cell r="G261" t="str">
            <v>M/S PARBATI UDYOG</v>
          </cell>
          <cell r="H261" t="str">
            <v>C/O SMT. BANDANA SAHU</v>
          </cell>
          <cell r="I261" t="str">
            <v>10/31/2020 00:00:00</v>
          </cell>
          <cell r="J261">
            <v>1</v>
          </cell>
          <cell r="K261" t="str">
            <v xml:space="preserve"> </v>
          </cell>
          <cell r="L261" t="str">
            <v xml:space="preserve"> </v>
          </cell>
          <cell r="M261" t="str">
            <v>521000010231493300</v>
          </cell>
          <cell r="N261" t="str">
            <v>1240000031</v>
          </cell>
          <cell r="O261" t="str">
            <v>SM65038</v>
          </cell>
          <cell r="P261" t="str">
            <v>452162204</v>
          </cell>
          <cell r="Q261" t="str">
            <v>LARGE INDUSTRY</v>
          </cell>
          <cell r="R261" t="str">
            <v>HT</v>
          </cell>
          <cell r="S261" t="str">
            <v>01/10/2023</v>
          </cell>
          <cell r="T261" t="str">
            <v>01/10/2023</v>
          </cell>
          <cell r="U261" t="str">
            <v>06/10/2023</v>
          </cell>
          <cell r="V261" t="str">
            <v>09/10/2023</v>
          </cell>
          <cell r="W261" t="str">
            <v>2023/09</v>
          </cell>
          <cell r="X261" t="str">
            <v>11 KV</v>
          </cell>
          <cell r="Y261" t="str">
            <v>HT</v>
          </cell>
          <cell r="Z261">
            <v>94.4</v>
          </cell>
          <cell r="AA261">
            <v>0.98970000000000002</v>
          </cell>
          <cell r="AB261">
            <v>18.899999999999999</v>
          </cell>
          <cell r="AC261" t="str">
            <v xml:space="preserve">01/09/2023 -     </v>
          </cell>
          <cell r="AD261" t="str">
            <v>30.09.2023</v>
          </cell>
          <cell r="AE261" t="str">
            <v>30/1.0000</v>
          </cell>
          <cell r="AF261">
            <v>118</v>
          </cell>
          <cell r="AG261" t="str">
            <v>KVA</v>
          </cell>
          <cell r="AH261">
            <v>118</v>
          </cell>
          <cell r="AI261" t="str">
            <v>R</v>
          </cell>
          <cell r="AJ261">
            <v>338053</v>
          </cell>
          <cell r="AK261" t="str">
            <v>30/09/2023</v>
          </cell>
          <cell r="AL261" t="str">
            <v>TPN64242</v>
          </cell>
          <cell r="AM261" t="str">
            <v>THREE PHASE STATIC TRI-VECTOR METER</v>
          </cell>
          <cell r="AN261" t="str">
            <v>POST PAID</v>
          </cell>
          <cell r="AO261">
            <v>0</v>
          </cell>
          <cell r="AP261" t="str">
            <v>TOD</v>
          </cell>
          <cell r="AQ261">
            <v>-179589.5</v>
          </cell>
          <cell r="AR261">
            <v>0</v>
          </cell>
          <cell r="AS261">
            <v>0</v>
          </cell>
          <cell r="AT261">
            <v>0</v>
          </cell>
          <cell r="AU261">
            <v>0</v>
          </cell>
          <cell r="AV261">
            <v>0</v>
          </cell>
          <cell r="AW261">
            <v>11616</v>
          </cell>
          <cell r="AX261">
            <v>11736</v>
          </cell>
          <cell r="AY261">
            <v>11736</v>
          </cell>
          <cell r="AZ261">
            <v>530.79999999999995</v>
          </cell>
          <cell r="BA261">
            <v>86.240000000000009</v>
          </cell>
        </row>
        <row r="262">
          <cell r="F262">
            <v>124000000037</v>
          </cell>
          <cell r="G262" t="str">
            <v>M/S. M.R. MINERALS</v>
          </cell>
          <cell r="H262" t="str">
            <v>C/O:- MOHINI RANJAN HOTA</v>
          </cell>
          <cell r="I262" t="str">
            <v>10/31/2020 00:00:00</v>
          </cell>
          <cell r="J262">
            <v>1</v>
          </cell>
          <cell r="K262" t="str">
            <v xml:space="preserve"> </v>
          </cell>
          <cell r="L262" t="str">
            <v xml:space="preserve"> </v>
          </cell>
          <cell r="M262" t="str">
            <v>521000010231493071</v>
          </cell>
          <cell r="N262" t="str">
            <v>1240000033</v>
          </cell>
          <cell r="O262" t="str">
            <v>JH-47974</v>
          </cell>
          <cell r="P262" t="str">
            <v>452141202</v>
          </cell>
          <cell r="Q262" t="str">
            <v>LARGE INDUSTRY</v>
          </cell>
          <cell r="R262" t="str">
            <v>HT</v>
          </cell>
          <cell r="S262" t="str">
            <v>01/10/2023</v>
          </cell>
          <cell r="T262" t="str">
            <v>01/10/2023</v>
          </cell>
          <cell r="U262" t="str">
            <v>06/10/2023</v>
          </cell>
          <cell r="V262" t="str">
            <v>09/10/2023</v>
          </cell>
          <cell r="W262" t="str">
            <v>2023/09</v>
          </cell>
          <cell r="X262" t="str">
            <v>11 KV</v>
          </cell>
          <cell r="Y262" t="str">
            <v>HT</v>
          </cell>
          <cell r="Z262">
            <v>110.4</v>
          </cell>
          <cell r="AA262">
            <v>0.98609999999999998</v>
          </cell>
          <cell r="AB262">
            <v>5.09</v>
          </cell>
          <cell r="AC262" t="str">
            <v xml:space="preserve">01/09/2023 -     </v>
          </cell>
          <cell r="AD262" t="str">
            <v>30.09.2023</v>
          </cell>
          <cell r="AE262" t="str">
            <v>30/1.0000</v>
          </cell>
          <cell r="AF262">
            <v>138</v>
          </cell>
          <cell r="AG262" t="str">
            <v>KVA</v>
          </cell>
          <cell r="AH262">
            <v>138</v>
          </cell>
          <cell r="AI262" t="str">
            <v>R</v>
          </cell>
          <cell r="AJ262">
            <v>419135</v>
          </cell>
          <cell r="AK262" t="str">
            <v>30/09/2023</v>
          </cell>
          <cell r="AL262" t="str">
            <v>TPN64272</v>
          </cell>
          <cell r="AM262" t="str">
            <v>THREE PHASE STATIC TRI-VECTOR METER</v>
          </cell>
          <cell r="AN262" t="str">
            <v>POST PAID</v>
          </cell>
          <cell r="AO262">
            <v>250</v>
          </cell>
          <cell r="AP262" t="str">
            <v>TOD</v>
          </cell>
          <cell r="AQ262">
            <v>-345129.7</v>
          </cell>
          <cell r="AR262">
            <v>0</v>
          </cell>
          <cell r="AS262">
            <v>0</v>
          </cell>
          <cell r="AT262">
            <v>0</v>
          </cell>
          <cell r="AU262">
            <v>0</v>
          </cell>
          <cell r="AV262">
            <v>0</v>
          </cell>
          <cell r="AW262">
            <v>214</v>
          </cell>
          <cell r="AX262">
            <v>217</v>
          </cell>
          <cell r="AY262">
            <v>217</v>
          </cell>
          <cell r="AZ262">
            <v>68.72</v>
          </cell>
          <cell r="BA262">
            <v>5.92</v>
          </cell>
        </row>
        <row r="263">
          <cell r="F263">
            <v>124000000039</v>
          </cell>
          <cell r="G263" t="str">
            <v>KAMADHENU AGRO BASED IND. PVT. LTD.</v>
          </cell>
          <cell r="H263" t="str">
            <v>BISHNUPUR,JUGALMAYURBHANJ</v>
          </cell>
          <cell r="I263" t="str">
            <v>10/31/2020 00:00:00</v>
          </cell>
          <cell r="J263">
            <v>1</v>
          </cell>
          <cell r="K263" t="str">
            <v xml:space="preserve"> </v>
          </cell>
          <cell r="L263" t="str">
            <v xml:space="preserve"> </v>
          </cell>
          <cell r="M263" t="str">
            <v>521000010231493058</v>
          </cell>
          <cell r="N263" t="str">
            <v>1240000035</v>
          </cell>
          <cell r="O263" t="str">
            <v>BT-76410</v>
          </cell>
          <cell r="P263" t="str">
            <v>45207408003</v>
          </cell>
          <cell r="Q263" t="str">
            <v>LARGE INDUSTRY</v>
          </cell>
          <cell r="R263" t="str">
            <v>HT</v>
          </cell>
          <cell r="S263" t="str">
            <v>01/10/2023</v>
          </cell>
          <cell r="T263" t="str">
            <v>01/10/2023</v>
          </cell>
          <cell r="U263" t="str">
            <v>06/10/2023</v>
          </cell>
          <cell r="V263" t="str">
            <v>09/10/2023</v>
          </cell>
          <cell r="W263" t="str">
            <v>2023/09</v>
          </cell>
          <cell r="X263" t="str">
            <v>33 KV</v>
          </cell>
          <cell r="Y263" t="str">
            <v>HT</v>
          </cell>
          <cell r="Z263">
            <v>422.88</v>
          </cell>
          <cell r="AA263">
            <v>0.9768</v>
          </cell>
          <cell r="AB263">
            <v>45.37</v>
          </cell>
          <cell r="AC263" t="str">
            <v xml:space="preserve">27/08/2023 -     </v>
          </cell>
          <cell r="AD263" t="str">
            <v>23.09.2023</v>
          </cell>
          <cell r="AE263" t="str">
            <v>28/1.0000</v>
          </cell>
          <cell r="AF263">
            <v>440</v>
          </cell>
          <cell r="AG263" t="str">
            <v>KVA</v>
          </cell>
          <cell r="AH263">
            <v>440</v>
          </cell>
          <cell r="AI263" t="str">
            <v>R</v>
          </cell>
          <cell r="AJ263">
            <v>1965011</v>
          </cell>
          <cell r="AK263" t="str">
            <v>23/09/2023</v>
          </cell>
          <cell r="AL263" t="str">
            <v>NES50314</v>
          </cell>
          <cell r="AM263" t="str">
            <v>THREE PHASE SMART HT CT METER (AMR/AMI)-33KV</v>
          </cell>
          <cell r="AN263" t="str">
            <v>POST PAID</v>
          </cell>
          <cell r="AO263">
            <v>630</v>
          </cell>
          <cell r="AP263" t="str">
            <v>TOD</v>
          </cell>
          <cell r="AQ263">
            <v>-262716.79999999999</v>
          </cell>
          <cell r="AR263">
            <v>0</v>
          </cell>
          <cell r="AS263">
            <v>0</v>
          </cell>
          <cell r="AT263">
            <v>0</v>
          </cell>
          <cell r="AU263">
            <v>0</v>
          </cell>
          <cell r="AV263">
            <v>0</v>
          </cell>
          <cell r="AW263">
            <v>125940</v>
          </cell>
          <cell r="AX263">
            <v>128928</v>
          </cell>
          <cell r="AY263">
            <v>128928</v>
          </cell>
          <cell r="AZ263">
            <v>1515.84</v>
          </cell>
          <cell r="BA263">
            <v>422.88</v>
          </cell>
        </row>
        <row r="264">
          <cell r="F264">
            <v>124000000040</v>
          </cell>
          <cell r="G264" t="str">
            <v>SHRI GOPAL TRADING</v>
          </cell>
          <cell r="H264" t="str">
            <v xml:space="preserve">C/O GODABARISH KARON BUDHIKHAMARI MAYURBHANJ </v>
          </cell>
          <cell r="I264" t="str">
            <v>10/31/2020 00:00:00</v>
          </cell>
          <cell r="J264">
            <v>1</v>
          </cell>
          <cell r="K264" t="str">
            <v xml:space="preserve"> </v>
          </cell>
          <cell r="L264" t="str">
            <v xml:space="preserve"> </v>
          </cell>
          <cell r="M264" t="str">
            <v>521000010231493413</v>
          </cell>
          <cell r="N264" t="str">
            <v>1240000036</v>
          </cell>
          <cell r="O264" t="str">
            <v>SM-77294</v>
          </cell>
          <cell r="P264" t="str">
            <v>452162204</v>
          </cell>
          <cell r="Q264" t="str">
            <v>LARGE INDUSTRY</v>
          </cell>
          <cell r="R264" t="str">
            <v>HT</v>
          </cell>
          <cell r="S264" t="str">
            <v>01/10/2023</v>
          </cell>
          <cell r="T264" t="str">
            <v>01/10/2023</v>
          </cell>
          <cell r="U264" t="str">
            <v>06/10/2023</v>
          </cell>
          <cell r="V264" t="str">
            <v>09/10/2023</v>
          </cell>
          <cell r="W264" t="str">
            <v>2023/09</v>
          </cell>
          <cell r="X264" t="str">
            <v>11 KV</v>
          </cell>
          <cell r="Y264" t="str">
            <v>HT</v>
          </cell>
          <cell r="Z264">
            <v>185.76</v>
          </cell>
          <cell r="AA264">
            <v>0.71650000000000003</v>
          </cell>
          <cell r="AB264">
            <v>36.47</v>
          </cell>
          <cell r="AC264" t="str">
            <v xml:space="preserve">01/09/2023 -     </v>
          </cell>
          <cell r="AD264" t="str">
            <v>30.09.2023</v>
          </cell>
          <cell r="AE264" t="str">
            <v>30/1.0000</v>
          </cell>
          <cell r="AF264">
            <v>187</v>
          </cell>
          <cell r="AG264" t="str">
            <v>KVA</v>
          </cell>
          <cell r="AH264">
            <v>187</v>
          </cell>
          <cell r="AI264" t="str">
            <v>R</v>
          </cell>
          <cell r="AJ264">
            <v>906067</v>
          </cell>
          <cell r="AK264" t="str">
            <v>30/09/2023</v>
          </cell>
          <cell r="AL264" t="str">
            <v>TPN64243</v>
          </cell>
          <cell r="AM264" t="str">
            <v>THREE PHASE STATIC TRI-VECTOR METER</v>
          </cell>
          <cell r="AN264" t="str">
            <v>POST PAID</v>
          </cell>
          <cell r="AO264">
            <v>250</v>
          </cell>
          <cell r="AP264" t="str">
            <v>TOD</v>
          </cell>
          <cell r="AQ264">
            <v>-215778.8</v>
          </cell>
          <cell r="AR264">
            <v>0</v>
          </cell>
          <cell r="AS264">
            <v>0</v>
          </cell>
          <cell r="AT264">
            <v>0</v>
          </cell>
          <cell r="AU264">
            <v>0</v>
          </cell>
          <cell r="AV264">
            <v>0</v>
          </cell>
          <cell r="AW264">
            <v>34952</v>
          </cell>
          <cell r="AX264">
            <v>48776</v>
          </cell>
          <cell r="AY264">
            <v>48776</v>
          </cell>
          <cell r="AZ264">
            <v>1235.68</v>
          </cell>
          <cell r="BA264">
            <v>185.76</v>
          </cell>
        </row>
        <row r="265">
          <cell r="F265">
            <v>124000000041</v>
          </cell>
          <cell r="G265" t="str">
            <v>M/S DURGA SILICA PROCESSORS</v>
          </cell>
          <cell r="H265" t="str">
            <v>C/O- RAJ KUMAR KHANDELWAL</v>
          </cell>
          <cell r="I265" t="str">
            <v>10/31/2020 00:00:00</v>
          </cell>
          <cell r="J265">
            <v>1</v>
          </cell>
          <cell r="K265" t="str">
            <v xml:space="preserve"> </v>
          </cell>
          <cell r="L265" t="str">
            <v xml:space="preserve"> </v>
          </cell>
          <cell r="M265" t="str">
            <v>521000010231493183</v>
          </cell>
          <cell r="N265" t="str">
            <v>1240000037</v>
          </cell>
          <cell r="O265" t="str">
            <v>BN-60695</v>
          </cell>
          <cell r="P265" t="str">
            <v>452141202</v>
          </cell>
          <cell r="Q265" t="str">
            <v>LARGE INDUSTRY</v>
          </cell>
          <cell r="R265" t="str">
            <v>HT</v>
          </cell>
          <cell r="S265" t="str">
            <v>01/10/2023</v>
          </cell>
          <cell r="T265" t="str">
            <v>01/10/2023</v>
          </cell>
          <cell r="U265" t="str">
            <v>06/10/2023</v>
          </cell>
          <cell r="V265" t="str">
            <v>09/10/2023</v>
          </cell>
          <cell r="W265" t="str">
            <v>2023/09</v>
          </cell>
          <cell r="X265" t="str">
            <v>11 KV</v>
          </cell>
          <cell r="Y265" t="str">
            <v>HT</v>
          </cell>
          <cell r="Z265">
            <v>95.2</v>
          </cell>
          <cell r="AA265">
            <v>0</v>
          </cell>
          <cell r="AB265">
            <v>0</v>
          </cell>
          <cell r="AC265" t="str">
            <v xml:space="preserve">01/09/2023 -     </v>
          </cell>
          <cell r="AD265" t="str">
            <v>30.09.2023</v>
          </cell>
          <cell r="AE265" t="str">
            <v>30/1.0000</v>
          </cell>
          <cell r="AF265">
            <v>119</v>
          </cell>
          <cell r="AG265" t="str">
            <v>KVA</v>
          </cell>
          <cell r="AH265">
            <v>119</v>
          </cell>
          <cell r="AI265" t="str">
            <v>D</v>
          </cell>
          <cell r="AJ265">
            <v>102681.1</v>
          </cell>
          <cell r="AK265" t="str">
            <v>30/09/2023</v>
          </cell>
          <cell r="AL265" t="str">
            <v>NSC95171</v>
          </cell>
          <cell r="AM265" t="str">
            <v>TRI-VECTOR METER FOR RAILWAY TRACTION</v>
          </cell>
          <cell r="AN265" t="str">
            <v>POST PAID</v>
          </cell>
          <cell r="AO265">
            <v>100</v>
          </cell>
          <cell r="AP265" t="str">
            <v>TOD</v>
          </cell>
          <cell r="AQ265">
            <v>-54613.1</v>
          </cell>
          <cell r="AR265">
            <v>0</v>
          </cell>
          <cell r="AS265">
            <v>0</v>
          </cell>
          <cell r="AT265">
            <v>0</v>
          </cell>
          <cell r="AU265">
            <v>0</v>
          </cell>
          <cell r="AV265">
            <v>0</v>
          </cell>
          <cell r="AW265">
            <v>0</v>
          </cell>
          <cell r="AX265">
            <v>0</v>
          </cell>
          <cell r="AY265">
            <v>0</v>
          </cell>
          <cell r="AZ265">
            <v>0</v>
          </cell>
          <cell r="BA265">
            <v>0</v>
          </cell>
        </row>
        <row r="266">
          <cell r="F266">
            <v>124000000044</v>
          </cell>
          <cell r="G266" t="str">
            <v>BINOD KUMAR KHANDELWAL</v>
          </cell>
          <cell r="H266" t="str">
            <v>GANGRAJ,BHANJPUR</v>
          </cell>
          <cell r="I266" t="str">
            <v>10/31/2020 00:00:00</v>
          </cell>
          <cell r="J266">
            <v>1</v>
          </cell>
          <cell r="K266" t="str">
            <v xml:space="preserve"> </v>
          </cell>
          <cell r="L266" t="str">
            <v xml:space="preserve"> </v>
          </cell>
          <cell r="M266" t="str">
            <v>521000010231493522</v>
          </cell>
          <cell r="N266" t="str">
            <v>1240000040</v>
          </cell>
          <cell r="O266" t="str">
            <v>BH-78279</v>
          </cell>
          <cell r="P266" t="str">
            <v>452162204</v>
          </cell>
          <cell r="Q266" t="str">
            <v>LARGE INDUSTRY</v>
          </cell>
          <cell r="R266" t="str">
            <v>HT</v>
          </cell>
          <cell r="S266" t="str">
            <v>01/10/2023</v>
          </cell>
          <cell r="T266" t="str">
            <v>01/10/2023</v>
          </cell>
          <cell r="U266" t="str">
            <v>06/10/2023</v>
          </cell>
          <cell r="V266" t="str">
            <v>09/10/2023</v>
          </cell>
          <cell r="W266" t="str">
            <v>2023/09</v>
          </cell>
          <cell r="X266" t="str">
            <v>11 KV</v>
          </cell>
          <cell r="Y266" t="str">
            <v>HT</v>
          </cell>
          <cell r="Z266">
            <v>124.8</v>
          </cell>
          <cell r="AA266">
            <v>0.95489999999999997</v>
          </cell>
          <cell r="AB266">
            <v>10.050000000000001</v>
          </cell>
          <cell r="AC266" t="str">
            <v xml:space="preserve">01/09/2023 -     </v>
          </cell>
          <cell r="AD266" t="str">
            <v>30.09.2023</v>
          </cell>
          <cell r="AE266" t="str">
            <v>30/1.0000</v>
          </cell>
          <cell r="AF266">
            <v>156</v>
          </cell>
          <cell r="AG266" t="str">
            <v>KVA</v>
          </cell>
          <cell r="AH266">
            <v>156</v>
          </cell>
          <cell r="AI266" t="str">
            <v>R</v>
          </cell>
          <cell r="AJ266">
            <v>237456</v>
          </cell>
          <cell r="AK266" t="str">
            <v>30/09/2023</v>
          </cell>
          <cell r="AL266" t="str">
            <v>TPN64155</v>
          </cell>
          <cell r="AM266" t="str">
            <v>THREE PHASE STATIC TRI-VECTOR METER</v>
          </cell>
          <cell r="AN266" t="str">
            <v>POST PAID</v>
          </cell>
          <cell r="AO266">
            <v>250</v>
          </cell>
          <cell r="AP266" t="str">
            <v>TOD</v>
          </cell>
          <cell r="AQ266">
            <v>-98853.9</v>
          </cell>
          <cell r="AR266">
            <v>0</v>
          </cell>
          <cell r="AS266">
            <v>0</v>
          </cell>
          <cell r="AT266">
            <v>0</v>
          </cell>
          <cell r="AU266">
            <v>0</v>
          </cell>
          <cell r="AV266">
            <v>0</v>
          </cell>
          <cell r="AW266">
            <v>7522</v>
          </cell>
          <cell r="AX266">
            <v>7877</v>
          </cell>
          <cell r="AY266">
            <v>7877</v>
          </cell>
          <cell r="AZ266">
            <v>692.56</v>
          </cell>
          <cell r="BA266">
            <v>108.88</v>
          </cell>
        </row>
        <row r="267">
          <cell r="F267">
            <v>124000000046</v>
          </cell>
          <cell r="G267" t="str">
            <v>M/S. M/S VENCO RESEARCH &amp; BREADING FARMS</v>
          </cell>
          <cell r="H267" t="str">
            <v>(P) LIMITED.,CHHATNA</v>
          </cell>
          <cell r="I267" t="str">
            <v>10/31/2020 00:00:00</v>
          </cell>
          <cell r="J267">
            <v>1</v>
          </cell>
          <cell r="K267" t="str">
            <v xml:space="preserve"> </v>
          </cell>
          <cell r="L267" t="str">
            <v xml:space="preserve"> </v>
          </cell>
          <cell r="M267" t="str">
            <v>521000010231492697</v>
          </cell>
          <cell r="N267" t="str">
            <v>1240000042</v>
          </cell>
          <cell r="O267" t="str">
            <v>MO-78289</v>
          </cell>
          <cell r="P267" t="str">
            <v>452151204</v>
          </cell>
          <cell r="Q267" t="str">
            <v>ALLIED AGRICULTURE ACTIVITIES</v>
          </cell>
          <cell r="R267" t="str">
            <v>HT</v>
          </cell>
          <cell r="S267" t="str">
            <v>01/10/2023</v>
          </cell>
          <cell r="T267" t="str">
            <v>01/10/2023</v>
          </cell>
          <cell r="U267" t="str">
            <v>09/10/2023</v>
          </cell>
          <cell r="V267" t="str">
            <v>09/10/2023</v>
          </cell>
          <cell r="W267" t="str">
            <v>2023/09</v>
          </cell>
          <cell r="X267" t="str">
            <v>11 KV</v>
          </cell>
          <cell r="Y267" t="str">
            <v>HT</v>
          </cell>
          <cell r="Z267">
            <v>300</v>
          </cell>
          <cell r="AA267">
            <v>0.94989999999999997</v>
          </cell>
          <cell r="AB267">
            <v>0</v>
          </cell>
          <cell r="AC267" t="str">
            <v xml:space="preserve">01/09/2023 -     </v>
          </cell>
          <cell r="AD267" t="str">
            <v>30.09.2023</v>
          </cell>
          <cell r="AE267" t="str">
            <v>30/1.0000</v>
          </cell>
          <cell r="AF267">
            <v>300</v>
          </cell>
          <cell r="AG267" t="str">
            <v>KVA</v>
          </cell>
          <cell r="AH267">
            <v>300</v>
          </cell>
          <cell r="AI267" t="str">
            <v>R</v>
          </cell>
          <cell r="AJ267">
            <v>394695</v>
          </cell>
          <cell r="AK267" t="str">
            <v>30/09/2023</v>
          </cell>
          <cell r="AL267" t="str">
            <v>TPN64771</v>
          </cell>
          <cell r="AM267" t="str">
            <v>HT THREE PHASE 4 WIRE AMR/AMI COMPLAINT METER</v>
          </cell>
          <cell r="AN267" t="str">
            <v>POST PAID</v>
          </cell>
          <cell r="AO267">
            <v>500</v>
          </cell>
          <cell r="AP267" t="str">
            <v>TOD</v>
          </cell>
          <cell r="AQ267">
            <v>-198728</v>
          </cell>
          <cell r="AR267">
            <v>0</v>
          </cell>
          <cell r="AS267">
            <v>0</v>
          </cell>
          <cell r="AT267">
            <v>0</v>
          </cell>
          <cell r="AU267">
            <v>0</v>
          </cell>
          <cell r="AV267">
            <v>0</v>
          </cell>
          <cell r="AW267">
            <v>89236</v>
          </cell>
          <cell r="AX267">
            <v>93940</v>
          </cell>
          <cell r="AY267">
            <v>93940</v>
          </cell>
          <cell r="AZ267">
            <v>1372.8</v>
          </cell>
          <cell r="BA267">
            <v>198.72</v>
          </cell>
        </row>
        <row r="268">
          <cell r="F268">
            <v>124000000047</v>
          </cell>
          <cell r="G268" t="str">
            <v>M/S VENCO RESEARCH &amp; BREADING FARMS</v>
          </cell>
          <cell r="H268" t="str">
            <v>(P) LTD.,CHHATNA</v>
          </cell>
          <cell r="I268" t="str">
            <v>10/31/2020 00:00:00</v>
          </cell>
          <cell r="J268">
            <v>1</v>
          </cell>
          <cell r="K268" t="str">
            <v xml:space="preserve"> </v>
          </cell>
          <cell r="L268" t="str">
            <v xml:space="preserve"> </v>
          </cell>
          <cell r="M268" t="str">
            <v>521000010231495021</v>
          </cell>
          <cell r="N268" t="str">
            <v>1240000043</v>
          </cell>
          <cell r="O268" t="str">
            <v>MO-78595</v>
          </cell>
          <cell r="P268" t="str">
            <v>452151204</v>
          </cell>
          <cell r="Q268" t="str">
            <v>ALLIED AGRICULTURE ACTIVITIES</v>
          </cell>
          <cell r="R268" t="str">
            <v>HT</v>
          </cell>
          <cell r="S268" t="str">
            <v>01/10/2023</v>
          </cell>
          <cell r="T268" t="str">
            <v>01/10/2023</v>
          </cell>
          <cell r="U268" t="str">
            <v>09/10/2023</v>
          </cell>
          <cell r="V268" t="str">
            <v>09/10/2023</v>
          </cell>
          <cell r="W268" t="str">
            <v>2023/09</v>
          </cell>
          <cell r="X268" t="str">
            <v>11 KV</v>
          </cell>
          <cell r="Y268" t="str">
            <v>HT</v>
          </cell>
          <cell r="Z268">
            <v>409.26</v>
          </cell>
          <cell r="AA268">
            <v>0.93330000000000002</v>
          </cell>
          <cell r="AB268">
            <v>0</v>
          </cell>
          <cell r="AC268" t="str">
            <v xml:space="preserve">01/09/2023 -     </v>
          </cell>
          <cell r="AD268" t="str">
            <v>30.09.2023</v>
          </cell>
          <cell r="AE268" t="str">
            <v>30/1.0000</v>
          </cell>
          <cell r="AF268">
            <v>278</v>
          </cell>
          <cell r="AG268" t="str">
            <v>KVA</v>
          </cell>
          <cell r="AH268">
            <v>278</v>
          </cell>
          <cell r="AI268" t="str">
            <v>R</v>
          </cell>
          <cell r="AJ268">
            <v>657036</v>
          </cell>
          <cell r="AK268" t="str">
            <v>30/09/2023</v>
          </cell>
          <cell r="AL268" t="str">
            <v>TPNODL38110571</v>
          </cell>
          <cell r="AM268" t="str">
            <v>THREE PHASE SMART HT CT METER (AMR/AMI)-11KV</v>
          </cell>
          <cell r="AN268" t="str">
            <v>SMART METER</v>
          </cell>
          <cell r="AO268">
            <v>0</v>
          </cell>
          <cell r="AP268" t="str">
            <v>TOD</v>
          </cell>
          <cell r="AQ268">
            <v>-250078</v>
          </cell>
          <cell r="AR268">
            <v>0</v>
          </cell>
          <cell r="AS268">
            <v>0</v>
          </cell>
          <cell r="AT268">
            <v>0</v>
          </cell>
          <cell r="AU268">
            <v>0</v>
          </cell>
          <cell r="AV268">
            <v>0</v>
          </cell>
          <cell r="AW268">
            <v>175647</v>
          </cell>
          <cell r="AX268">
            <v>188185</v>
          </cell>
          <cell r="AY268">
            <v>188185</v>
          </cell>
          <cell r="AZ268">
            <v>1200.2467999999999</v>
          </cell>
          <cell r="BA268">
            <v>409.26400000000001</v>
          </cell>
        </row>
        <row r="269">
          <cell r="F269">
            <v>124000000048</v>
          </cell>
          <cell r="G269" t="str">
            <v>M/S SSM AGRO INDUSTRIES</v>
          </cell>
          <cell r="H269" t="str">
            <v>C/O- MAHENDRA KU. GUPTA</v>
          </cell>
          <cell r="I269" t="str">
            <v>10/31/2020 00:00:00</v>
          </cell>
          <cell r="J269">
            <v>1</v>
          </cell>
          <cell r="K269" t="str">
            <v xml:space="preserve"> </v>
          </cell>
          <cell r="L269" t="str">
            <v xml:space="preserve"> </v>
          </cell>
          <cell r="M269" t="str">
            <v>521000010231492538</v>
          </cell>
          <cell r="N269" t="str">
            <v>1240000044</v>
          </cell>
          <cell r="O269" t="str">
            <v>SU-78527</v>
          </cell>
          <cell r="P269" t="str">
            <v>452162202</v>
          </cell>
          <cell r="Q269" t="str">
            <v>LARGE INDUSTRY</v>
          </cell>
          <cell r="R269" t="str">
            <v>HT</v>
          </cell>
          <cell r="S269" t="str">
            <v>01/10/2023</v>
          </cell>
          <cell r="T269" t="str">
            <v>01/10/2023</v>
          </cell>
          <cell r="U269" t="str">
            <v>06/10/2023</v>
          </cell>
          <cell r="V269" t="str">
            <v>09/10/2023</v>
          </cell>
          <cell r="W269" t="str">
            <v>2023/09</v>
          </cell>
          <cell r="X269" t="str">
            <v>11 KV</v>
          </cell>
          <cell r="Y269" t="str">
            <v>HT</v>
          </cell>
          <cell r="Z269">
            <v>200</v>
          </cell>
          <cell r="AA269">
            <v>0.99839999999999995</v>
          </cell>
          <cell r="AB269">
            <v>13.06</v>
          </cell>
          <cell r="AC269" t="str">
            <v xml:space="preserve">01/09/2023 -     </v>
          </cell>
          <cell r="AD269" t="str">
            <v>30.09.2023</v>
          </cell>
          <cell r="AE269" t="str">
            <v>30/1.0000</v>
          </cell>
          <cell r="AF269">
            <v>250</v>
          </cell>
          <cell r="AG269" t="str">
            <v>KVA</v>
          </cell>
          <cell r="AH269">
            <v>250</v>
          </cell>
          <cell r="AI269" t="str">
            <v>R</v>
          </cell>
          <cell r="AJ269">
            <v>1256292</v>
          </cell>
          <cell r="AK269" t="str">
            <v>30/09/2023</v>
          </cell>
          <cell r="AL269" t="str">
            <v>TPNODL38110671</v>
          </cell>
          <cell r="AM269" t="str">
            <v>THREE PHASE SMART HT CT METER (AMR/AMI)-11KV</v>
          </cell>
          <cell r="AN269" t="str">
            <v>SMART METER</v>
          </cell>
          <cell r="AO269">
            <v>500</v>
          </cell>
          <cell r="AP269" t="str">
            <v>TOD</v>
          </cell>
          <cell r="AQ269">
            <v>-631523.96</v>
          </cell>
          <cell r="AR269">
            <v>0</v>
          </cell>
          <cell r="AS269">
            <v>0</v>
          </cell>
          <cell r="AT269">
            <v>0</v>
          </cell>
          <cell r="AU269">
            <v>0</v>
          </cell>
          <cell r="AV269">
            <v>0</v>
          </cell>
          <cell r="AW269">
            <v>1879</v>
          </cell>
          <cell r="AX269">
            <v>1882</v>
          </cell>
          <cell r="AY269">
            <v>1882</v>
          </cell>
          <cell r="AZ269">
            <v>762.86339999999996</v>
          </cell>
          <cell r="BA269">
            <v>20.006999999999998</v>
          </cell>
        </row>
        <row r="270">
          <cell r="F270">
            <v>124000000049</v>
          </cell>
          <cell r="G270" t="str">
            <v>PRICEIPAL ITI TAKATPUR</v>
          </cell>
          <cell r="H270" t="str">
            <v>BARIPADA,</v>
          </cell>
          <cell r="I270" t="str">
            <v>10/31/2020 00:00:00</v>
          </cell>
          <cell r="J270">
            <v>1</v>
          </cell>
          <cell r="K270" t="str">
            <v xml:space="preserve"> </v>
          </cell>
          <cell r="L270" t="str">
            <v xml:space="preserve"> </v>
          </cell>
          <cell r="M270" t="str">
            <v>521000010232515603</v>
          </cell>
          <cell r="N270" t="str">
            <v>1240000045</v>
          </cell>
          <cell r="O270" t="str">
            <v>B2-78815</v>
          </cell>
          <cell r="P270" t="str">
            <v>432121206</v>
          </cell>
          <cell r="Q270" t="str">
            <v>SPECIFIED PUBLIC PURPOSE</v>
          </cell>
          <cell r="R270" t="str">
            <v>HT</v>
          </cell>
          <cell r="S270" t="str">
            <v>03/10/2023</v>
          </cell>
          <cell r="T270" t="str">
            <v>03/10/2023</v>
          </cell>
          <cell r="U270" t="str">
            <v>06/10/2023</v>
          </cell>
          <cell r="V270" t="str">
            <v>10/10/2023</v>
          </cell>
          <cell r="W270" t="str">
            <v>2023/09</v>
          </cell>
          <cell r="X270" t="str">
            <v>11 KV</v>
          </cell>
          <cell r="Y270" t="str">
            <v>HT</v>
          </cell>
          <cell r="Z270">
            <v>107.2</v>
          </cell>
          <cell r="AA270">
            <v>0.98099999999999998</v>
          </cell>
          <cell r="AB270">
            <v>29.16</v>
          </cell>
          <cell r="AC270" t="str">
            <v xml:space="preserve">01/09/2023 -     </v>
          </cell>
          <cell r="AD270" t="str">
            <v>30.09.2023</v>
          </cell>
          <cell r="AE270" t="str">
            <v>30/1.0000</v>
          </cell>
          <cell r="AF270">
            <v>134</v>
          </cell>
          <cell r="AG270" t="str">
            <v>KVA</v>
          </cell>
          <cell r="AH270">
            <v>134</v>
          </cell>
          <cell r="AI270" t="str">
            <v>R</v>
          </cell>
          <cell r="AJ270">
            <v>316701</v>
          </cell>
          <cell r="AK270" t="str">
            <v>30/09/2023</v>
          </cell>
          <cell r="AL270" t="str">
            <v>NES50291</v>
          </cell>
          <cell r="AM270" t="str">
            <v>TRI-VECTOR METER FOR RAILWAY TRACTION</v>
          </cell>
          <cell r="AN270" t="str">
            <v>POST PAID</v>
          </cell>
          <cell r="AO270">
            <v>250</v>
          </cell>
          <cell r="AP270" t="str">
            <v>TOD</v>
          </cell>
          <cell r="AQ270">
            <v>-178346.2</v>
          </cell>
          <cell r="AR270">
            <v>0</v>
          </cell>
          <cell r="AS270">
            <v>0</v>
          </cell>
          <cell r="AT270">
            <v>0</v>
          </cell>
          <cell r="AU270">
            <v>0</v>
          </cell>
          <cell r="AV270">
            <v>0</v>
          </cell>
          <cell r="AW270">
            <v>0</v>
          </cell>
          <cell r="AX270">
            <v>0</v>
          </cell>
          <cell r="AY270">
            <v>13292</v>
          </cell>
          <cell r="AZ270">
            <v>0</v>
          </cell>
          <cell r="BA270">
            <v>0</v>
          </cell>
        </row>
        <row r="271">
          <cell r="F271">
            <v>124000000050</v>
          </cell>
          <cell r="G271" t="str">
            <v>MAYUR CHEMICALS INDUSTRIES P.LTD.</v>
          </cell>
          <cell r="H271" t="str">
            <v>TAKATPUR,BARIPADA</v>
          </cell>
          <cell r="I271" t="str">
            <v>10/31/2020 00:00:00</v>
          </cell>
          <cell r="J271">
            <v>1</v>
          </cell>
          <cell r="K271" t="str">
            <v xml:space="preserve"> </v>
          </cell>
          <cell r="L271" t="str">
            <v xml:space="preserve"> </v>
          </cell>
          <cell r="M271" t="str">
            <v>521000010231492939</v>
          </cell>
          <cell r="N271" t="str">
            <v>1240000046</v>
          </cell>
          <cell r="O271" t="str">
            <v>B2-77127</v>
          </cell>
          <cell r="P271" t="str">
            <v>432121206</v>
          </cell>
          <cell r="Q271" t="str">
            <v>LARGE INDUSTRY</v>
          </cell>
          <cell r="R271" t="str">
            <v>HT</v>
          </cell>
          <cell r="S271" t="str">
            <v>01/10/2023</v>
          </cell>
          <cell r="T271" t="str">
            <v>01/10/2023</v>
          </cell>
          <cell r="U271" t="str">
            <v>06/10/2023</v>
          </cell>
          <cell r="V271" t="str">
            <v>09/10/2023</v>
          </cell>
          <cell r="W271" t="str">
            <v>2023/09</v>
          </cell>
          <cell r="X271" t="str">
            <v>11 KV</v>
          </cell>
          <cell r="Y271" t="str">
            <v>HT</v>
          </cell>
          <cell r="Z271">
            <v>133.6</v>
          </cell>
          <cell r="AA271">
            <v>0.99909999999999999</v>
          </cell>
          <cell r="AB271">
            <v>9.61</v>
          </cell>
          <cell r="AC271" t="str">
            <v xml:space="preserve">01/09/2023 -     </v>
          </cell>
          <cell r="AD271" t="str">
            <v>30.09.2023</v>
          </cell>
          <cell r="AE271" t="str">
            <v>30/1.0000</v>
          </cell>
          <cell r="AF271">
            <v>167</v>
          </cell>
          <cell r="AG271" t="str">
            <v>KVA</v>
          </cell>
          <cell r="AH271">
            <v>167</v>
          </cell>
          <cell r="AI271" t="str">
            <v>R</v>
          </cell>
          <cell r="AJ271">
            <v>852984.82</v>
          </cell>
          <cell r="AK271" t="str">
            <v>30/09/2023</v>
          </cell>
          <cell r="AL271" t="str">
            <v>NSC94843</v>
          </cell>
          <cell r="AM271" t="str">
            <v>HT THREE PHASE 3 WIRE AMR/AMI COMPLIANT METER</v>
          </cell>
          <cell r="AN271" t="str">
            <v>POST PAID</v>
          </cell>
          <cell r="AO271">
            <v>250</v>
          </cell>
          <cell r="AP271" t="str">
            <v>TOD</v>
          </cell>
          <cell r="AQ271">
            <v>-728492.12</v>
          </cell>
          <cell r="AR271">
            <v>0</v>
          </cell>
          <cell r="AS271">
            <v>0</v>
          </cell>
          <cell r="AT271">
            <v>0</v>
          </cell>
          <cell r="AU271">
            <v>0</v>
          </cell>
          <cell r="AV271">
            <v>0</v>
          </cell>
          <cell r="AW271">
            <v>3335</v>
          </cell>
          <cell r="AX271">
            <v>3338</v>
          </cell>
          <cell r="AY271">
            <v>3338</v>
          </cell>
          <cell r="AZ271">
            <v>322.68</v>
          </cell>
          <cell r="BA271">
            <v>48.24</v>
          </cell>
        </row>
        <row r="272">
          <cell r="F272">
            <v>124000000051</v>
          </cell>
          <cell r="G272" t="str">
            <v>M/S MAYA SHEEL RETAIL (BAZAR INDIA)</v>
          </cell>
          <cell r="H272" t="str">
            <v>C/O- ATUL GARG,</v>
          </cell>
          <cell r="I272" t="str">
            <v>10/31/2020 00:00:00</v>
          </cell>
          <cell r="J272">
            <v>1</v>
          </cell>
          <cell r="K272" t="str">
            <v xml:space="preserve"> </v>
          </cell>
          <cell r="L272" t="str">
            <v xml:space="preserve"> </v>
          </cell>
          <cell r="M272" t="str">
            <v>521000010231492527</v>
          </cell>
          <cell r="N272" t="str">
            <v>1240000047</v>
          </cell>
          <cell r="O272" t="str">
            <v>B1-79476</v>
          </cell>
          <cell r="P272" t="str">
            <v>452112205</v>
          </cell>
          <cell r="Q272" t="str">
            <v>GENERAL PURPOSE &gt;= 110 KVA</v>
          </cell>
          <cell r="R272" t="str">
            <v>HT</v>
          </cell>
          <cell r="S272" t="str">
            <v>01/10/2023</v>
          </cell>
          <cell r="T272" t="str">
            <v>01/10/2023</v>
          </cell>
          <cell r="U272" t="str">
            <v>06/10/2023</v>
          </cell>
          <cell r="V272" t="str">
            <v>09/10/2023</v>
          </cell>
          <cell r="W272" t="str">
            <v>2023/09</v>
          </cell>
          <cell r="X272" t="str">
            <v>11 KV</v>
          </cell>
          <cell r="Y272" t="str">
            <v>HT</v>
          </cell>
          <cell r="Z272">
            <v>133.6</v>
          </cell>
          <cell r="AA272">
            <v>0</v>
          </cell>
          <cell r="AB272">
            <v>0</v>
          </cell>
          <cell r="AC272" t="str">
            <v xml:space="preserve">01/09/2023 -     </v>
          </cell>
          <cell r="AD272" t="str">
            <v>30.09.2023</v>
          </cell>
          <cell r="AE272" t="str">
            <v>30/1.0000</v>
          </cell>
          <cell r="AF272">
            <v>167</v>
          </cell>
          <cell r="AG272" t="str">
            <v>KVA</v>
          </cell>
          <cell r="AH272">
            <v>167</v>
          </cell>
          <cell r="AI272" t="str">
            <v>R</v>
          </cell>
          <cell r="AJ272">
            <v>407681</v>
          </cell>
          <cell r="AK272" t="str">
            <v>30/09/2023</v>
          </cell>
          <cell r="AL272" t="str">
            <v>NSC94449</v>
          </cell>
          <cell r="AM272" t="str">
            <v>TRI-VECTOR METER FOR RAILWAY TRACTION</v>
          </cell>
          <cell r="AN272" t="str">
            <v>POST PAID</v>
          </cell>
          <cell r="AO272">
            <v>250</v>
          </cell>
          <cell r="AP272" t="str">
            <v>TOD</v>
          </cell>
          <cell r="AQ272">
            <v>-253072.5</v>
          </cell>
          <cell r="AR272">
            <v>0</v>
          </cell>
          <cell r="AS272">
            <v>0</v>
          </cell>
          <cell r="AT272">
            <v>0</v>
          </cell>
          <cell r="AU272">
            <v>0</v>
          </cell>
          <cell r="AV272">
            <v>0</v>
          </cell>
          <cell r="AW272">
            <v>0</v>
          </cell>
          <cell r="AX272">
            <v>0</v>
          </cell>
          <cell r="AY272">
            <v>0</v>
          </cell>
          <cell r="AZ272">
            <v>389.64</v>
          </cell>
          <cell r="BA272">
            <v>0</v>
          </cell>
        </row>
        <row r="273">
          <cell r="F273">
            <v>124000000052</v>
          </cell>
          <cell r="G273" t="str">
            <v>THE DEAN AND PRINCIPAL PRMMCH</v>
          </cell>
          <cell r="H273" t="str">
            <v>BARIPADA,</v>
          </cell>
          <cell r="I273" t="str">
            <v>10/31/2020 00:00:00</v>
          </cell>
          <cell r="J273">
            <v>1</v>
          </cell>
          <cell r="K273" t="str">
            <v xml:space="preserve"> </v>
          </cell>
          <cell r="L273" t="str">
            <v xml:space="preserve"> </v>
          </cell>
          <cell r="M273" t="str">
            <v>521000010232495816</v>
          </cell>
          <cell r="N273" t="str">
            <v>1240000048</v>
          </cell>
          <cell r="O273" t="str">
            <v>L-79623</v>
          </cell>
          <cell r="P273" t="str">
            <v>NULL</v>
          </cell>
          <cell r="Q273" t="str">
            <v>SPECIFIED PUBLIC PURPOSE</v>
          </cell>
          <cell r="R273" t="str">
            <v>HT</v>
          </cell>
          <cell r="S273" t="str">
            <v>01/10/2023</v>
          </cell>
          <cell r="T273" t="str">
            <v>01/10/2023</v>
          </cell>
          <cell r="U273" t="str">
            <v>06/10/2023</v>
          </cell>
          <cell r="V273" t="str">
            <v>09/10/2023</v>
          </cell>
          <cell r="W273" t="str">
            <v>2023/09</v>
          </cell>
          <cell r="X273" t="str">
            <v>11 KV</v>
          </cell>
          <cell r="Y273" t="str">
            <v>HT</v>
          </cell>
          <cell r="Z273">
            <v>366.4</v>
          </cell>
          <cell r="AA273">
            <v>0.99380000000000002</v>
          </cell>
          <cell r="AB273">
            <v>47.36</v>
          </cell>
          <cell r="AC273" t="str">
            <v xml:space="preserve">01/09/2023 -     </v>
          </cell>
          <cell r="AD273" t="str">
            <v>20.09.2023</v>
          </cell>
          <cell r="AE273" t="str">
            <v>20/1.0000</v>
          </cell>
          <cell r="AF273">
            <v>458</v>
          </cell>
          <cell r="AG273" t="str">
            <v>KVA</v>
          </cell>
          <cell r="AH273">
            <v>458</v>
          </cell>
          <cell r="AI273" t="str">
            <v>R</v>
          </cell>
          <cell r="AJ273">
            <v>753194</v>
          </cell>
          <cell r="AK273" t="str">
            <v>20/09/2023</v>
          </cell>
          <cell r="AL273" t="str">
            <v>NES50969</v>
          </cell>
          <cell r="AM273" t="str">
            <v>TRI-VECTOR METER FOR RAILWAY TRACTION</v>
          </cell>
          <cell r="AN273" t="str">
            <v>POST PAID</v>
          </cell>
          <cell r="AO273">
            <v>500</v>
          </cell>
          <cell r="AP273" t="str">
            <v>TOD</v>
          </cell>
          <cell r="AQ273">
            <v>152399.1</v>
          </cell>
          <cell r="AR273">
            <v>0</v>
          </cell>
          <cell r="AS273">
            <v>0</v>
          </cell>
          <cell r="AT273">
            <v>0</v>
          </cell>
          <cell r="AU273">
            <v>0</v>
          </cell>
          <cell r="AV273">
            <v>0</v>
          </cell>
          <cell r="AW273">
            <v>67836</v>
          </cell>
          <cell r="AX273">
            <v>68256</v>
          </cell>
          <cell r="AY273">
            <v>68256</v>
          </cell>
          <cell r="AZ273">
            <v>2192.16</v>
          </cell>
          <cell r="BA273">
            <v>300.23999999999995</v>
          </cell>
        </row>
        <row r="274">
          <cell r="F274">
            <v>124000000053</v>
          </cell>
          <cell r="G274" t="str">
            <v>M/S SWAMI VEVEKANANDA SEKHYA SHRAM.</v>
          </cell>
          <cell r="H274" t="str">
            <v xml:space="preserve">SERESBANI SHAMAKHUNTA, PIN-757049 </v>
          </cell>
          <cell r="I274" t="str">
            <v>10/31/2020 00:00:00</v>
          </cell>
          <cell r="J274">
            <v>1</v>
          </cell>
          <cell r="K274" t="str">
            <v xml:space="preserve"> </v>
          </cell>
          <cell r="L274" t="str">
            <v xml:space="preserve"> </v>
          </cell>
          <cell r="M274" t="str">
            <v>521000010231492722</v>
          </cell>
          <cell r="N274" t="str">
            <v>1240000049</v>
          </cell>
          <cell r="O274" t="str">
            <v>GP-13SM</v>
          </cell>
          <cell r="P274" t="str">
            <v>45207408006</v>
          </cell>
          <cell r="Q274" t="str">
            <v>GENERAL PURPOSE &gt;= 110 KVA</v>
          </cell>
          <cell r="R274" t="str">
            <v>HT</v>
          </cell>
          <cell r="S274" t="str">
            <v>01/10/2023</v>
          </cell>
          <cell r="T274" t="str">
            <v>01/10/2023</v>
          </cell>
          <cell r="U274" t="str">
            <v>06/10/2023</v>
          </cell>
          <cell r="V274" t="str">
            <v>09/10/2023</v>
          </cell>
          <cell r="W274" t="str">
            <v>2023/09</v>
          </cell>
          <cell r="X274" t="str">
            <v>33 KV</v>
          </cell>
          <cell r="Y274" t="str">
            <v>HT</v>
          </cell>
          <cell r="Z274">
            <v>96</v>
          </cell>
          <cell r="AA274">
            <v>0.98380000000000001</v>
          </cell>
          <cell r="AB274">
            <v>46.17</v>
          </cell>
          <cell r="AC274" t="str">
            <v xml:space="preserve">01/09/2023 -     </v>
          </cell>
          <cell r="AD274" t="str">
            <v>30.09.2023</v>
          </cell>
          <cell r="AE274" t="str">
            <v>30/1.0000</v>
          </cell>
          <cell r="AF274">
            <v>120</v>
          </cell>
          <cell r="AG274" t="str">
            <v>KVA</v>
          </cell>
          <cell r="AH274">
            <v>120</v>
          </cell>
          <cell r="AI274" t="str">
            <v>R</v>
          </cell>
          <cell r="AJ274">
            <v>296665.01</v>
          </cell>
          <cell r="AK274" t="str">
            <v>30/09/2023</v>
          </cell>
          <cell r="AL274" t="str">
            <v>NSC94595</v>
          </cell>
          <cell r="AM274" t="str">
            <v>THREE PHASE HT CT METER-33KV</v>
          </cell>
          <cell r="AN274" t="str">
            <v>POST PAID</v>
          </cell>
          <cell r="AO274">
            <v>250</v>
          </cell>
          <cell r="AP274" t="str">
            <v>TOD</v>
          </cell>
          <cell r="AQ274">
            <v>-196997.81</v>
          </cell>
          <cell r="AR274">
            <v>0</v>
          </cell>
          <cell r="AS274">
            <v>0</v>
          </cell>
          <cell r="AT274">
            <v>0</v>
          </cell>
          <cell r="AU274">
            <v>0</v>
          </cell>
          <cell r="AV274">
            <v>0</v>
          </cell>
          <cell r="AW274">
            <v>14482</v>
          </cell>
          <cell r="AX274">
            <v>14719</v>
          </cell>
          <cell r="AY274">
            <v>14719</v>
          </cell>
          <cell r="AZ274">
            <v>275.27999999999997</v>
          </cell>
          <cell r="BA274">
            <v>44.28</v>
          </cell>
        </row>
        <row r="275">
          <cell r="F275">
            <v>124000000054</v>
          </cell>
          <cell r="G275" t="str">
            <v>M/S SRI MAYUR BISCUIT CO. PVT. LTD</v>
          </cell>
          <cell r="H275" t="str">
            <v>HEMACHANDRAPUR</v>
          </cell>
          <cell r="I275" t="str">
            <v>10/31/2020 00:00:00</v>
          </cell>
          <cell r="J275">
            <v>1</v>
          </cell>
          <cell r="K275" t="str">
            <v>RAGHUNATHPUR</v>
          </cell>
          <cell r="L275" t="str">
            <v>BARIPADA</v>
          </cell>
          <cell r="M275" t="str">
            <v>521000010231493056</v>
          </cell>
          <cell r="N275" t="str">
            <v>1240000050</v>
          </cell>
          <cell r="O275" t="str">
            <v>L-19RG</v>
          </cell>
          <cell r="P275" t="str">
            <v>432121206</v>
          </cell>
          <cell r="Q275" t="str">
            <v>LARGE INDUSTRY</v>
          </cell>
          <cell r="R275" t="str">
            <v>HT</v>
          </cell>
          <cell r="S275" t="str">
            <v>01/10/2023</v>
          </cell>
          <cell r="T275" t="str">
            <v>01/10/2023</v>
          </cell>
          <cell r="U275" t="str">
            <v>06/10/2023</v>
          </cell>
          <cell r="V275" t="str">
            <v>09/10/2023</v>
          </cell>
          <cell r="W275" t="str">
            <v>2023/09</v>
          </cell>
          <cell r="X275" t="str">
            <v>11 KV</v>
          </cell>
          <cell r="Y275" t="str">
            <v>HT</v>
          </cell>
          <cell r="Z275">
            <v>336</v>
          </cell>
          <cell r="AA275">
            <v>0.99929999999999997</v>
          </cell>
          <cell r="AB275">
            <v>52.48</v>
          </cell>
          <cell r="AC275" t="str">
            <v xml:space="preserve">01/09/2023 -     </v>
          </cell>
          <cell r="AD275" t="str">
            <v>30.09.2023</v>
          </cell>
          <cell r="AE275" t="str">
            <v>30/1.0000</v>
          </cell>
          <cell r="AF275">
            <v>420</v>
          </cell>
          <cell r="AG275" t="str">
            <v>KVA</v>
          </cell>
          <cell r="AH275">
            <v>420</v>
          </cell>
          <cell r="AI275" t="str">
            <v>R</v>
          </cell>
          <cell r="AJ275">
            <v>2789829.68</v>
          </cell>
          <cell r="AK275" t="str">
            <v>30/09/2023</v>
          </cell>
          <cell r="AL275" t="str">
            <v>TPN64244</v>
          </cell>
          <cell r="AM275" t="str">
            <v>THREE PHASE STATIC TRI-VECTOR METER</v>
          </cell>
          <cell r="AN275" t="str">
            <v>POST PAID</v>
          </cell>
          <cell r="AO275">
            <v>750</v>
          </cell>
          <cell r="AP275" t="str">
            <v>TOD</v>
          </cell>
          <cell r="AQ275">
            <v>-513650.44</v>
          </cell>
          <cell r="AR275">
            <v>0</v>
          </cell>
          <cell r="AS275">
            <v>0</v>
          </cell>
          <cell r="AT275">
            <v>0</v>
          </cell>
          <cell r="AU275">
            <v>0</v>
          </cell>
          <cell r="AV275">
            <v>0</v>
          </cell>
          <cell r="AW275">
            <v>125060</v>
          </cell>
          <cell r="AX275">
            <v>125140</v>
          </cell>
          <cell r="AY275">
            <v>125140</v>
          </cell>
          <cell r="AZ275">
            <v>2305.6</v>
          </cell>
          <cell r="BA275">
            <v>331.2</v>
          </cell>
        </row>
        <row r="276">
          <cell r="F276">
            <v>124000000055</v>
          </cell>
          <cell r="G276" t="str">
            <v>M/S LARSEN &amp; TOUBRO LIMITED</v>
          </cell>
          <cell r="H276" t="str">
            <v>KANIMAHULI,BANGRIPOSIBARIPADA</v>
          </cell>
          <cell r="I276" t="str">
            <v>10/31/2020 00:00:00</v>
          </cell>
          <cell r="J276">
            <v>1</v>
          </cell>
          <cell r="K276" t="str">
            <v xml:space="preserve"> </v>
          </cell>
          <cell r="L276" t="str">
            <v xml:space="preserve"> </v>
          </cell>
          <cell r="M276" t="str">
            <v>521000010231493669</v>
          </cell>
          <cell r="N276" t="str">
            <v>1240000051</v>
          </cell>
          <cell r="O276" t="str">
            <v>L-20BG</v>
          </cell>
          <cell r="P276" t="str">
            <v>NULL</v>
          </cell>
          <cell r="Q276" t="str">
            <v>LARGE INDUSTRY</v>
          </cell>
          <cell r="R276" t="str">
            <v>HT</v>
          </cell>
          <cell r="S276" t="str">
            <v>01/10/2023</v>
          </cell>
          <cell r="T276" t="str">
            <v>01/10/2023</v>
          </cell>
          <cell r="U276" t="str">
            <v>06/10/2023</v>
          </cell>
          <cell r="V276" t="str">
            <v>09/10/2023</v>
          </cell>
          <cell r="W276" t="str">
            <v>2023/09</v>
          </cell>
          <cell r="X276" t="str">
            <v>33 KV</v>
          </cell>
          <cell r="Y276" t="str">
            <v>HT</v>
          </cell>
          <cell r="Z276">
            <v>533.6</v>
          </cell>
          <cell r="AA276">
            <v>0</v>
          </cell>
          <cell r="AB276">
            <v>0</v>
          </cell>
          <cell r="AC276" t="str">
            <v xml:space="preserve">01/09/2023 -     </v>
          </cell>
          <cell r="AD276" t="str">
            <v>30.09.2023</v>
          </cell>
          <cell r="AE276" t="str">
            <v>30/1.0000</v>
          </cell>
          <cell r="AF276">
            <v>667</v>
          </cell>
          <cell r="AG276" t="str">
            <v>KVA</v>
          </cell>
          <cell r="AH276">
            <v>667</v>
          </cell>
          <cell r="AI276" t="str">
            <v>R</v>
          </cell>
          <cell r="AJ276">
            <v>6818022</v>
          </cell>
          <cell r="AK276" t="str">
            <v>30/09/2023</v>
          </cell>
          <cell r="AL276" t="str">
            <v>NES83096</v>
          </cell>
          <cell r="AM276" t="str">
            <v>THREE PHASE HT CT METER-33KV</v>
          </cell>
          <cell r="AN276" t="str">
            <v>POST PAID</v>
          </cell>
          <cell r="AO276">
            <v>1250</v>
          </cell>
          <cell r="AP276" t="str">
            <v>TOD</v>
          </cell>
          <cell r="AQ276">
            <v>-6392921</v>
          </cell>
          <cell r="AR276">
            <v>0</v>
          </cell>
          <cell r="AS276">
            <v>0</v>
          </cell>
          <cell r="AT276">
            <v>0</v>
          </cell>
          <cell r="AU276">
            <v>0</v>
          </cell>
          <cell r="AV276">
            <v>0</v>
          </cell>
          <cell r="AW276">
            <v>0</v>
          </cell>
          <cell r="AX276">
            <v>0</v>
          </cell>
          <cell r="AY276">
            <v>0</v>
          </cell>
          <cell r="AZ276">
            <v>0</v>
          </cell>
          <cell r="BA276">
            <v>0</v>
          </cell>
        </row>
        <row r="277">
          <cell r="F277">
            <v>124000000056</v>
          </cell>
          <cell r="G277" t="str">
            <v>EKALABYA MODEL SCHOOL</v>
          </cell>
          <cell r="H277" t="str">
            <v>SHYASUNDRAPUR,BANGIRIPOSI</v>
          </cell>
          <cell r="I277" t="str">
            <v>10/31/2020 00:00:00</v>
          </cell>
          <cell r="J277">
            <v>1</v>
          </cell>
          <cell r="K277" t="str">
            <v xml:space="preserve"> </v>
          </cell>
          <cell r="L277" t="str">
            <v xml:space="preserve"> </v>
          </cell>
          <cell r="M277" t="str">
            <v>521000010231493277</v>
          </cell>
          <cell r="N277" t="str">
            <v>1240000052</v>
          </cell>
          <cell r="O277" t="str">
            <v>L-21BN</v>
          </cell>
          <cell r="P277" t="str">
            <v>452146203</v>
          </cell>
          <cell r="Q277" t="str">
            <v>SPECIFIED PUBLIC PURPOSE</v>
          </cell>
          <cell r="R277" t="str">
            <v>HT</v>
          </cell>
          <cell r="S277" t="str">
            <v>01/10/2023</v>
          </cell>
          <cell r="T277" t="str">
            <v>01/10/2023</v>
          </cell>
          <cell r="U277" t="str">
            <v>06/10/2023</v>
          </cell>
          <cell r="V277" t="str">
            <v>09/10/2023</v>
          </cell>
          <cell r="W277" t="str">
            <v>2023/09</v>
          </cell>
          <cell r="X277" t="str">
            <v>11 KV</v>
          </cell>
          <cell r="Y277" t="str">
            <v>HT</v>
          </cell>
          <cell r="Z277">
            <v>89.6</v>
          </cell>
          <cell r="AA277">
            <v>0.94589999999999996</v>
          </cell>
          <cell r="AB277">
            <v>53.46</v>
          </cell>
          <cell r="AC277" t="str">
            <v xml:space="preserve">01/09/2023 -     </v>
          </cell>
          <cell r="AD277" t="str">
            <v>30.09.2023</v>
          </cell>
          <cell r="AE277" t="str">
            <v>30/1.0000</v>
          </cell>
          <cell r="AF277">
            <v>112</v>
          </cell>
          <cell r="AG277" t="str">
            <v>KVA</v>
          </cell>
          <cell r="AH277">
            <v>112</v>
          </cell>
          <cell r="AI277" t="str">
            <v>R</v>
          </cell>
          <cell r="AJ277">
            <v>277769</v>
          </cell>
          <cell r="AK277" t="str">
            <v>30/09/2023</v>
          </cell>
          <cell r="AL277" t="str">
            <v>NSC94635</v>
          </cell>
          <cell r="AM277" t="str">
            <v>LT SINGLE PHASE AMR/AMI COMPLIANT METER-TOD</v>
          </cell>
          <cell r="AN277" t="str">
            <v>POST PAID</v>
          </cell>
          <cell r="AO277">
            <v>200</v>
          </cell>
          <cell r="AP277" t="str">
            <v>TOD</v>
          </cell>
          <cell r="AQ277">
            <v>-187631.5</v>
          </cell>
          <cell r="AR277">
            <v>0</v>
          </cell>
          <cell r="AS277">
            <v>0</v>
          </cell>
          <cell r="AT277">
            <v>0</v>
          </cell>
          <cell r="AU277">
            <v>0</v>
          </cell>
          <cell r="AV277">
            <v>0</v>
          </cell>
          <cell r="AW277">
            <v>8739</v>
          </cell>
          <cell r="AX277">
            <v>9238</v>
          </cell>
          <cell r="AY277">
            <v>9238</v>
          </cell>
          <cell r="AZ277">
            <v>149.84</v>
          </cell>
          <cell r="BA277">
            <v>24</v>
          </cell>
        </row>
        <row r="278">
          <cell r="F278">
            <v>124000000057</v>
          </cell>
          <cell r="G278" t="str">
            <v>MRI AND CITY SCAN, DHH BARIPADA</v>
          </cell>
          <cell r="H278" t="str">
            <v>C/O- CHIEF DISTRICT MEDICAL OFFICER</v>
          </cell>
          <cell r="I278" t="str">
            <v>10/31/2020 00:00:00</v>
          </cell>
          <cell r="J278">
            <v>1</v>
          </cell>
          <cell r="K278" t="str">
            <v xml:space="preserve"> </v>
          </cell>
          <cell r="L278" t="str">
            <v xml:space="preserve"> </v>
          </cell>
          <cell r="M278" t="str">
            <v>521000010231493791</v>
          </cell>
          <cell r="N278" t="str">
            <v>1240000053</v>
          </cell>
          <cell r="O278" t="str">
            <v>B1-81063</v>
          </cell>
          <cell r="P278" t="str">
            <v>452111201</v>
          </cell>
          <cell r="Q278" t="str">
            <v>SPECIFIED PUBLIC PURPOSE</v>
          </cell>
          <cell r="R278" t="str">
            <v>HT</v>
          </cell>
          <cell r="S278" t="str">
            <v>01/10/2023</v>
          </cell>
          <cell r="T278" t="str">
            <v>01/10/2023</v>
          </cell>
          <cell r="U278" t="str">
            <v>06/10/2023</v>
          </cell>
          <cell r="V278" t="str">
            <v>09/10/2023</v>
          </cell>
          <cell r="W278" t="str">
            <v>2023/09</v>
          </cell>
          <cell r="X278" t="str">
            <v>11 KV</v>
          </cell>
          <cell r="Y278" t="str">
            <v>HT</v>
          </cell>
          <cell r="Z278">
            <v>160</v>
          </cell>
          <cell r="AA278">
            <v>0.9778</v>
          </cell>
          <cell r="AB278">
            <v>62.22</v>
          </cell>
          <cell r="AC278" t="str">
            <v xml:space="preserve">01/09/2023 -     </v>
          </cell>
          <cell r="AD278" t="str">
            <v>30.09.2023</v>
          </cell>
          <cell r="AE278" t="str">
            <v>30/1.0000</v>
          </cell>
          <cell r="AF278">
            <v>200</v>
          </cell>
          <cell r="AG278" t="str">
            <v>KVA</v>
          </cell>
          <cell r="AH278">
            <v>200</v>
          </cell>
          <cell r="AI278" t="str">
            <v>R</v>
          </cell>
          <cell r="AJ278">
            <v>496016</v>
          </cell>
          <cell r="AK278" t="str">
            <v>30/09/2023</v>
          </cell>
          <cell r="AL278" t="str">
            <v>NSC94613</v>
          </cell>
          <cell r="AM278" t="str">
            <v>SINGLE PHASE ELECTRO-MAGNETIC KWH METER-TOD</v>
          </cell>
          <cell r="AN278" t="str">
            <v>POST PAID</v>
          </cell>
          <cell r="AO278">
            <v>250</v>
          </cell>
          <cell r="AP278" t="str">
            <v>TOD</v>
          </cell>
          <cell r="AQ278">
            <v>-165156.29999999999</v>
          </cell>
          <cell r="AR278">
            <v>0</v>
          </cell>
          <cell r="AS278">
            <v>0</v>
          </cell>
          <cell r="AT278">
            <v>0</v>
          </cell>
          <cell r="AU278">
            <v>0</v>
          </cell>
          <cell r="AV278">
            <v>0</v>
          </cell>
          <cell r="AW278">
            <v>18924</v>
          </cell>
          <cell r="AX278">
            <v>19352</v>
          </cell>
          <cell r="AY278">
            <v>19352</v>
          </cell>
          <cell r="AZ278">
            <v>306.08</v>
          </cell>
          <cell r="BA278">
            <v>43.2</v>
          </cell>
        </row>
        <row r="279">
          <cell r="F279">
            <v>124000000058</v>
          </cell>
          <cell r="G279" t="str">
            <v>REGISTER CIVIL COURT</v>
          </cell>
          <cell r="H279" t="str">
            <v>BARIPADA,</v>
          </cell>
          <cell r="I279" t="str">
            <v>10/31/2020 00:00:00</v>
          </cell>
          <cell r="J279">
            <v>1</v>
          </cell>
          <cell r="K279" t="str">
            <v xml:space="preserve"> </v>
          </cell>
          <cell r="L279" t="str">
            <v xml:space="preserve"> </v>
          </cell>
          <cell r="M279" t="str">
            <v>521000010232515617</v>
          </cell>
          <cell r="N279" t="str">
            <v>1240000054</v>
          </cell>
          <cell r="O279" t="str">
            <v>B1-81094</v>
          </cell>
          <cell r="P279" t="str">
            <v>452112201</v>
          </cell>
          <cell r="Q279" t="str">
            <v>SPECIFIED PUBLIC PURPOSE</v>
          </cell>
          <cell r="R279" t="str">
            <v>HT</v>
          </cell>
          <cell r="S279" t="str">
            <v>03/10/2023</v>
          </cell>
          <cell r="T279" t="str">
            <v>03/10/2023</v>
          </cell>
          <cell r="U279" t="str">
            <v>06/10/2023</v>
          </cell>
          <cell r="V279" t="str">
            <v>10/10/2023</v>
          </cell>
          <cell r="W279" t="str">
            <v>2023/09</v>
          </cell>
          <cell r="X279" t="str">
            <v>11 KV</v>
          </cell>
          <cell r="Y279" t="str">
            <v>HT</v>
          </cell>
          <cell r="Z279">
            <v>97.6</v>
          </cell>
          <cell r="AA279">
            <v>0.99319999999999997</v>
          </cell>
          <cell r="AB279">
            <v>22.25</v>
          </cell>
          <cell r="AC279" t="str">
            <v xml:space="preserve">01/09/2023 -     </v>
          </cell>
          <cell r="AD279" t="str">
            <v>30.09.2023</v>
          </cell>
          <cell r="AE279" t="str">
            <v>30/1.0000</v>
          </cell>
          <cell r="AF279">
            <v>122</v>
          </cell>
          <cell r="AG279" t="str">
            <v>KVA</v>
          </cell>
          <cell r="AH279">
            <v>122</v>
          </cell>
          <cell r="AI279" t="str">
            <v>R</v>
          </cell>
          <cell r="AJ279">
            <v>302570</v>
          </cell>
          <cell r="AK279" t="str">
            <v>30/09/2023</v>
          </cell>
          <cell r="AL279" t="str">
            <v>NSC95153</v>
          </cell>
          <cell r="AM279" t="str">
            <v>LT SINGLE PHASE AMR/AMI COMPLIANT METER-TOD</v>
          </cell>
          <cell r="AN279" t="str">
            <v>POST PAID</v>
          </cell>
          <cell r="AO279">
            <v>250</v>
          </cell>
          <cell r="AP279" t="str">
            <v>TOD</v>
          </cell>
          <cell r="AQ279">
            <v>-98066.4</v>
          </cell>
          <cell r="AR279">
            <v>0</v>
          </cell>
          <cell r="AS279">
            <v>0</v>
          </cell>
          <cell r="AT279">
            <v>0</v>
          </cell>
          <cell r="AU279">
            <v>0</v>
          </cell>
          <cell r="AV279">
            <v>0</v>
          </cell>
          <cell r="AW279">
            <v>15351</v>
          </cell>
          <cell r="AX279">
            <v>15455</v>
          </cell>
          <cell r="AY279">
            <v>15455</v>
          </cell>
          <cell r="AZ279">
            <v>645.84</v>
          </cell>
          <cell r="BA279">
            <v>96.48</v>
          </cell>
        </row>
        <row r="280">
          <cell r="F280">
            <v>124000000059</v>
          </cell>
          <cell r="G280" t="str">
            <v>POWER GRID CORPORATION INDIA</v>
          </cell>
          <cell r="H280" t="str">
            <v>KUCHEI,KULIANAMAYURBHANJ</v>
          </cell>
          <cell r="I280" t="str">
            <v>10/31/2020 00:00:00</v>
          </cell>
          <cell r="J280">
            <v>1</v>
          </cell>
          <cell r="K280" t="str">
            <v xml:space="preserve"> </v>
          </cell>
          <cell r="L280" t="str">
            <v xml:space="preserve"> </v>
          </cell>
          <cell r="M280" t="str">
            <v>521000010232516529</v>
          </cell>
          <cell r="N280" t="str">
            <v>1240000055</v>
          </cell>
          <cell r="O280" t="str">
            <v>KU-82005</v>
          </cell>
          <cell r="P280" t="str">
            <v>45207408001</v>
          </cell>
          <cell r="Q280" t="str">
            <v>GENERAL PURPOSE &gt;= 110 KVA</v>
          </cell>
          <cell r="R280" t="str">
            <v>HT</v>
          </cell>
          <cell r="S280" t="str">
            <v>06/10/2023</v>
          </cell>
          <cell r="T280" t="str">
            <v>06/10/2023</v>
          </cell>
          <cell r="U280" t="str">
            <v>10/10/2023</v>
          </cell>
          <cell r="V280" t="str">
            <v>13/10/2023</v>
          </cell>
          <cell r="W280" t="str">
            <v>2023/09</v>
          </cell>
          <cell r="X280" t="str">
            <v>33 KV</v>
          </cell>
          <cell r="Y280" t="str">
            <v>HT</v>
          </cell>
          <cell r="Z280">
            <v>89.6</v>
          </cell>
          <cell r="AA280">
            <v>0.89990000000000003</v>
          </cell>
          <cell r="AB280">
            <v>107.54</v>
          </cell>
          <cell r="AC280" t="str">
            <v xml:space="preserve">01/09/2023 -     </v>
          </cell>
          <cell r="AD280" t="str">
            <v>01.10.2023</v>
          </cell>
          <cell r="AE280" t="str">
            <v>31/1.0000</v>
          </cell>
          <cell r="AF280">
            <v>112</v>
          </cell>
          <cell r="AG280" t="str">
            <v>KVA</v>
          </cell>
          <cell r="AH280">
            <v>112</v>
          </cell>
          <cell r="AI280" t="str">
            <v>R</v>
          </cell>
          <cell r="AJ280">
            <v>327846</v>
          </cell>
          <cell r="AK280" t="str">
            <v>01/10/2023</v>
          </cell>
          <cell r="AL280" t="str">
            <v>ER1452A</v>
          </cell>
          <cell r="AM280" t="str">
            <v>LT SINGLE PHASE AMR/AMI COMPLIANT METER-TOD</v>
          </cell>
          <cell r="AN280" t="str">
            <v>POST PAID</v>
          </cell>
          <cell r="AO280">
            <v>800</v>
          </cell>
          <cell r="AP280" t="str">
            <v>TOD</v>
          </cell>
          <cell r="AQ280">
            <v>206998.06</v>
          </cell>
          <cell r="AR280">
            <v>0</v>
          </cell>
          <cell r="AS280">
            <v>0</v>
          </cell>
          <cell r="AT280">
            <v>0</v>
          </cell>
          <cell r="AU280">
            <v>0</v>
          </cell>
          <cell r="AV280">
            <v>0</v>
          </cell>
          <cell r="AW280">
            <v>38408</v>
          </cell>
          <cell r="AX280">
            <v>42676</v>
          </cell>
          <cell r="AY280">
            <v>42676</v>
          </cell>
          <cell r="AZ280">
            <v>53.3444</v>
          </cell>
          <cell r="BA280">
            <v>53.3444</v>
          </cell>
        </row>
        <row r="281">
          <cell r="F281">
            <v>124000000060</v>
          </cell>
          <cell r="G281" t="str">
            <v>MCH COMPLEX DHH</v>
          </cell>
          <cell r="H281" t="str">
            <v>C/O- CDMO CUM DISTICYT MISSION DIRE</v>
          </cell>
          <cell r="I281" t="str">
            <v>10/31/2020 00:00:00</v>
          </cell>
          <cell r="J281">
            <v>1</v>
          </cell>
          <cell r="K281" t="str">
            <v xml:space="preserve"> </v>
          </cell>
          <cell r="L281" t="str">
            <v xml:space="preserve"> </v>
          </cell>
          <cell r="M281" t="str">
            <v>521000010231494905</v>
          </cell>
          <cell r="N281" t="str">
            <v>1240000056</v>
          </cell>
          <cell r="O281" t="str">
            <v>B1-82077</v>
          </cell>
          <cell r="P281" t="str">
            <v>452111201</v>
          </cell>
          <cell r="Q281" t="str">
            <v>SPECIFIED PUBLIC PURPOSE</v>
          </cell>
          <cell r="R281" t="str">
            <v>HT</v>
          </cell>
          <cell r="S281" t="str">
            <v>01/10/2023</v>
          </cell>
          <cell r="T281" t="str">
            <v>01/10/2023</v>
          </cell>
          <cell r="U281" t="str">
            <v>06/10/2023</v>
          </cell>
          <cell r="V281" t="str">
            <v>09/10/2023</v>
          </cell>
          <cell r="W281" t="str">
            <v>2023/09</v>
          </cell>
          <cell r="X281" t="str">
            <v>11 KV</v>
          </cell>
          <cell r="Y281" t="str">
            <v>HT</v>
          </cell>
          <cell r="Z281">
            <v>267.2</v>
          </cell>
          <cell r="AA281">
            <v>0.99229999999999996</v>
          </cell>
          <cell r="AB281">
            <v>53.63</v>
          </cell>
          <cell r="AC281" t="str">
            <v xml:space="preserve">01/09/2023 -     </v>
          </cell>
          <cell r="AD281" t="str">
            <v>30.09.2023</v>
          </cell>
          <cell r="AE281" t="str">
            <v>30/1.0000</v>
          </cell>
          <cell r="AF281">
            <v>334</v>
          </cell>
          <cell r="AG281" t="str">
            <v>KVA</v>
          </cell>
          <cell r="AH281">
            <v>334</v>
          </cell>
          <cell r="AI281" t="str">
            <v>R</v>
          </cell>
          <cell r="AJ281">
            <v>828347</v>
          </cell>
          <cell r="AK281" t="str">
            <v>30/09/2023</v>
          </cell>
          <cell r="AL281" t="str">
            <v>NES50423</v>
          </cell>
          <cell r="AM281" t="str">
            <v>SINGLE PHASE ELECTRO-MAGNETIC KWH METER-TOD</v>
          </cell>
          <cell r="AN281" t="str">
            <v>POST PAID</v>
          </cell>
          <cell r="AO281">
            <v>500</v>
          </cell>
          <cell r="AP281" t="str">
            <v>TOD</v>
          </cell>
          <cell r="AQ281">
            <v>-234703</v>
          </cell>
          <cell r="AR281">
            <v>0</v>
          </cell>
          <cell r="AS281">
            <v>0</v>
          </cell>
          <cell r="AT281">
            <v>0</v>
          </cell>
          <cell r="AU281">
            <v>0</v>
          </cell>
          <cell r="AV281">
            <v>0</v>
          </cell>
          <cell r="AW281">
            <v>54993</v>
          </cell>
          <cell r="AX281">
            <v>55419</v>
          </cell>
          <cell r="AY281">
            <v>55419</v>
          </cell>
          <cell r="AZ281">
            <v>1024.44</v>
          </cell>
          <cell r="BA281">
            <v>143.52000000000001</v>
          </cell>
        </row>
        <row r="282">
          <cell r="F282">
            <v>124000000061</v>
          </cell>
          <cell r="G282" t="str">
            <v>M/S KALINGA INSTITUTE OF SOCIAL</v>
          </cell>
          <cell r="H282" t="str">
            <v>SCIENCE (KISS),BARIPADA</v>
          </cell>
          <cell r="I282" t="str">
            <v>10/31/2020 00:00:00</v>
          </cell>
          <cell r="J282">
            <v>1</v>
          </cell>
          <cell r="K282" t="str">
            <v xml:space="preserve"> </v>
          </cell>
          <cell r="L282" t="str">
            <v xml:space="preserve"> </v>
          </cell>
          <cell r="M282" t="str">
            <v>521000010231492637</v>
          </cell>
          <cell r="N282" t="str">
            <v>1240000057</v>
          </cell>
          <cell r="O282" t="str">
            <v>SM-58132</v>
          </cell>
          <cell r="P282" t="str">
            <v>452162202</v>
          </cell>
          <cell r="Q282" t="str">
            <v>SPECIFIED PUBLIC PURPOSE</v>
          </cell>
          <cell r="R282" t="str">
            <v>HT</v>
          </cell>
          <cell r="S282" t="str">
            <v>01/10/2023</v>
          </cell>
          <cell r="T282" t="str">
            <v>01/10/2023</v>
          </cell>
          <cell r="U282" t="str">
            <v>06/10/2023</v>
          </cell>
          <cell r="V282" t="str">
            <v>09/10/2023</v>
          </cell>
          <cell r="W282" t="str">
            <v>2023/09</v>
          </cell>
          <cell r="X282" t="str">
            <v>11 KV</v>
          </cell>
          <cell r="Y282" t="str">
            <v>HT</v>
          </cell>
          <cell r="Z282">
            <v>160</v>
          </cell>
          <cell r="AA282">
            <v>0.98760000000000003</v>
          </cell>
          <cell r="AB282">
            <v>44.46</v>
          </cell>
          <cell r="AC282" t="str">
            <v xml:space="preserve">01/09/2023 -     </v>
          </cell>
          <cell r="AD282" t="str">
            <v>30.09.2023</v>
          </cell>
          <cell r="AE282" t="str">
            <v>30/1.0000</v>
          </cell>
          <cell r="AF282">
            <v>200</v>
          </cell>
          <cell r="AG282" t="str">
            <v>KVA</v>
          </cell>
          <cell r="AH282">
            <v>200</v>
          </cell>
          <cell r="AI282" t="str">
            <v>R</v>
          </cell>
          <cell r="AJ282">
            <v>496016</v>
          </cell>
          <cell r="AK282" t="str">
            <v>30/09/2023</v>
          </cell>
          <cell r="AL282" t="str">
            <v>TPN64115</v>
          </cell>
          <cell r="AM282" t="str">
            <v>THREE PHASE STATIC TRI-VECTOR METER</v>
          </cell>
          <cell r="AN282" t="str">
            <v>POST PAID</v>
          </cell>
          <cell r="AO282">
            <v>250</v>
          </cell>
          <cell r="AP282" t="str">
            <v>TOD</v>
          </cell>
          <cell r="AQ282">
            <v>-341077.5</v>
          </cell>
          <cell r="AR282">
            <v>0</v>
          </cell>
          <cell r="AS282">
            <v>0</v>
          </cell>
          <cell r="AT282">
            <v>0</v>
          </cell>
          <cell r="AU282">
            <v>0</v>
          </cell>
          <cell r="AV282">
            <v>0</v>
          </cell>
          <cell r="AW282">
            <v>11838</v>
          </cell>
          <cell r="AX282">
            <v>11986</v>
          </cell>
          <cell r="AY282">
            <v>11986</v>
          </cell>
          <cell r="AZ282">
            <v>214.4</v>
          </cell>
          <cell r="BA282">
            <v>37.44</v>
          </cell>
        </row>
        <row r="283">
          <cell r="F283">
            <v>124000000062</v>
          </cell>
          <cell r="G283" t="str">
            <v>M/S SUMANGAL PLAST PVT.LTD.</v>
          </cell>
          <cell r="H283" t="str">
            <v>NAYATARANA,BARIPADAMAYURBHANJ</v>
          </cell>
          <cell r="I283" t="str">
            <v>10/31/2020 00:00:00</v>
          </cell>
          <cell r="J283">
            <v>1</v>
          </cell>
          <cell r="K283" t="str">
            <v xml:space="preserve"> </v>
          </cell>
          <cell r="L283" t="str">
            <v xml:space="preserve"> </v>
          </cell>
          <cell r="M283" t="str">
            <v>521000010231493154</v>
          </cell>
          <cell r="N283" t="str">
            <v>1240000058</v>
          </cell>
          <cell r="O283" t="str">
            <v>RN-82157</v>
          </cell>
          <cell r="P283" t="str">
            <v>45207409003</v>
          </cell>
          <cell r="Q283" t="str">
            <v>LARGE INDUSTRY</v>
          </cell>
          <cell r="R283" t="str">
            <v>HT</v>
          </cell>
          <cell r="S283" t="str">
            <v>01/10/2023</v>
          </cell>
          <cell r="T283" t="str">
            <v>01/10/2023</v>
          </cell>
          <cell r="U283" t="str">
            <v>06/10/2023</v>
          </cell>
          <cell r="V283" t="str">
            <v>09/10/2023</v>
          </cell>
          <cell r="W283" t="str">
            <v>2023/09</v>
          </cell>
          <cell r="X283" t="str">
            <v>33 KV</v>
          </cell>
          <cell r="Y283" t="str">
            <v>HT</v>
          </cell>
          <cell r="Z283">
            <v>356</v>
          </cell>
          <cell r="AA283">
            <v>0.99809999999999999</v>
          </cell>
          <cell r="AB283">
            <v>14.56</v>
          </cell>
          <cell r="AC283" t="str">
            <v xml:space="preserve">01/09/2023 -     </v>
          </cell>
          <cell r="AD283" t="str">
            <v>30.09.2023</v>
          </cell>
          <cell r="AE283" t="str">
            <v>30/1.0000</v>
          </cell>
          <cell r="AF283">
            <v>445</v>
          </cell>
          <cell r="AG283" t="str">
            <v>KVA</v>
          </cell>
          <cell r="AH283">
            <v>445</v>
          </cell>
          <cell r="AI283" t="str">
            <v>R</v>
          </cell>
          <cell r="AJ283">
            <v>2274378</v>
          </cell>
          <cell r="AK283" t="str">
            <v>30/09/2023</v>
          </cell>
          <cell r="AL283" t="str">
            <v>NSC94636</v>
          </cell>
          <cell r="AM283" t="str">
            <v>THREE PHASE HT CT METER-33KV</v>
          </cell>
          <cell r="AN283" t="str">
            <v>POST PAID</v>
          </cell>
          <cell r="AO283">
            <v>630</v>
          </cell>
          <cell r="AP283" t="str">
            <v>TOD</v>
          </cell>
          <cell r="AQ283">
            <v>-1820070.8</v>
          </cell>
          <cell r="AR283">
            <v>0</v>
          </cell>
          <cell r="AS283">
            <v>0</v>
          </cell>
          <cell r="AT283">
            <v>0</v>
          </cell>
          <cell r="AU283">
            <v>0</v>
          </cell>
          <cell r="AV283">
            <v>0</v>
          </cell>
          <cell r="AW283">
            <v>14691</v>
          </cell>
          <cell r="AX283">
            <v>14718</v>
          </cell>
          <cell r="AY283">
            <v>14718</v>
          </cell>
          <cell r="AZ283">
            <v>1316.64</v>
          </cell>
          <cell r="BA283">
            <v>140.4</v>
          </cell>
        </row>
        <row r="284">
          <cell r="F284">
            <v>124000000063</v>
          </cell>
          <cell r="G284" t="str">
            <v>M/S PTP EARTH MOVING AND MINING</v>
          </cell>
          <cell r="H284" t="str">
            <v>JHARAPOKHARIA,MAYURBHANJ</v>
          </cell>
          <cell r="I284" t="str">
            <v>10/31/2020 00:00:00</v>
          </cell>
          <cell r="J284">
            <v>1</v>
          </cell>
          <cell r="K284" t="str">
            <v xml:space="preserve"> </v>
          </cell>
          <cell r="L284" t="str">
            <v xml:space="preserve"> </v>
          </cell>
          <cell r="M284" t="str">
            <v>521000010231493371</v>
          </cell>
          <cell r="N284" t="str">
            <v>1240000059</v>
          </cell>
          <cell r="O284" t="str">
            <v>KU-82141</v>
          </cell>
          <cell r="P284" t="str">
            <v>45207408001</v>
          </cell>
          <cell r="Q284" t="str">
            <v>LARGE INDUSTRY</v>
          </cell>
          <cell r="R284" t="str">
            <v>HT</v>
          </cell>
          <cell r="S284" t="str">
            <v>01/10/2023</v>
          </cell>
          <cell r="T284" t="str">
            <v>01/10/2023</v>
          </cell>
          <cell r="U284" t="str">
            <v>06/10/2023</v>
          </cell>
          <cell r="V284" t="str">
            <v>09/10/2023</v>
          </cell>
          <cell r="W284" t="str">
            <v>2023/09</v>
          </cell>
          <cell r="X284" t="str">
            <v>33 KV</v>
          </cell>
          <cell r="Y284" t="str">
            <v>HT</v>
          </cell>
          <cell r="Z284">
            <v>493.6</v>
          </cell>
          <cell r="AA284">
            <v>0.93779999999999997</v>
          </cell>
          <cell r="AB284">
            <v>16.079999999999998</v>
          </cell>
          <cell r="AC284" t="str">
            <v xml:space="preserve">01/09/2023 -     </v>
          </cell>
          <cell r="AD284" t="str">
            <v>30.09.2023</v>
          </cell>
          <cell r="AE284" t="str">
            <v>30/1.0000</v>
          </cell>
          <cell r="AF284">
            <v>617</v>
          </cell>
          <cell r="AG284" t="str">
            <v>KVA</v>
          </cell>
          <cell r="AH284">
            <v>617</v>
          </cell>
          <cell r="AI284" t="str">
            <v>R</v>
          </cell>
          <cell r="AJ284">
            <v>3153463</v>
          </cell>
          <cell r="AK284" t="str">
            <v>30/09/2023</v>
          </cell>
          <cell r="AL284" t="str">
            <v>NSC94555</v>
          </cell>
          <cell r="AM284" t="str">
            <v>THREE PHASE HT CT METER-33KV</v>
          </cell>
          <cell r="AN284" t="str">
            <v>POST PAID</v>
          </cell>
          <cell r="AO284">
            <v>750</v>
          </cell>
          <cell r="AP284" t="str">
            <v>TOD</v>
          </cell>
          <cell r="AQ284">
            <v>-2290014.5</v>
          </cell>
          <cell r="AR284">
            <v>0</v>
          </cell>
          <cell r="AS284">
            <v>0</v>
          </cell>
          <cell r="AT284">
            <v>0</v>
          </cell>
          <cell r="AU284">
            <v>0</v>
          </cell>
          <cell r="AV284">
            <v>0</v>
          </cell>
          <cell r="AW284">
            <v>3804</v>
          </cell>
          <cell r="AX284">
            <v>4056</v>
          </cell>
          <cell r="AY284">
            <v>4056</v>
          </cell>
          <cell r="AZ284">
            <v>1722.72</v>
          </cell>
          <cell r="BA284">
            <v>35.04</v>
          </cell>
        </row>
        <row r="285">
          <cell r="F285">
            <v>124000000064</v>
          </cell>
          <cell r="G285" t="str">
            <v>M/S REGISTER OF NORTH ODISHA</v>
          </cell>
          <cell r="H285" t="str">
            <v>UNIVERSTY TAKATPUR,BARIPADAMAYURBHANJ</v>
          </cell>
          <cell r="I285" t="str">
            <v>10/31/2020 00:00:00</v>
          </cell>
          <cell r="J285">
            <v>1</v>
          </cell>
          <cell r="K285" t="str">
            <v xml:space="preserve"> </v>
          </cell>
          <cell r="L285" t="str">
            <v xml:space="preserve"> </v>
          </cell>
          <cell r="M285" t="str">
            <v>521000010231493601</v>
          </cell>
          <cell r="N285" t="str">
            <v>1240000060</v>
          </cell>
          <cell r="O285" t="str">
            <v>B2-82246</v>
          </cell>
          <cell r="P285" t="str">
            <v>452162202</v>
          </cell>
          <cell r="Q285" t="str">
            <v>SPECIFIED PUBLIC PURPOSE</v>
          </cell>
          <cell r="R285" t="str">
            <v>HT</v>
          </cell>
          <cell r="S285" t="str">
            <v>01/10/2023</v>
          </cell>
          <cell r="T285" t="str">
            <v>01/10/2023</v>
          </cell>
          <cell r="U285" t="str">
            <v>06/10/2023</v>
          </cell>
          <cell r="V285" t="str">
            <v>09/10/2023</v>
          </cell>
          <cell r="W285" t="str">
            <v>2023/09</v>
          </cell>
          <cell r="X285" t="str">
            <v>11 KV</v>
          </cell>
          <cell r="Y285" t="str">
            <v>HT</v>
          </cell>
          <cell r="Z285">
            <v>300.8</v>
          </cell>
          <cell r="AA285">
            <v>0.60970000000000002</v>
          </cell>
          <cell r="AB285">
            <v>24.23</v>
          </cell>
          <cell r="AC285" t="str">
            <v xml:space="preserve">01/09/2023 -     </v>
          </cell>
          <cell r="AD285" t="str">
            <v>30.09.2023</v>
          </cell>
          <cell r="AE285" t="str">
            <v>30/1.0000</v>
          </cell>
          <cell r="AF285">
            <v>376</v>
          </cell>
          <cell r="AG285" t="str">
            <v>KVA</v>
          </cell>
          <cell r="AH285">
            <v>376</v>
          </cell>
          <cell r="AI285" t="str">
            <v>R</v>
          </cell>
          <cell r="AJ285">
            <v>932511</v>
          </cell>
          <cell r="AK285" t="str">
            <v>30/09/2023</v>
          </cell>
          <cell r="AL285" t="str">
            <v>NSC94645</v>
          </cell>
          <cell r="AM285" t="str">
            <v>SINGLE PHASE ELECTRO-MAGNETIC KWH METER-TOD</v>
          </cell>
          <cell r="AN285" t="str">
            <v>POST PAID</v>
          </cell>
          <cell r="AO285">
            <v>500</v>
          </cell>
          <cell r="AP285" t="str">
            <v>TOD</v>
          </cell>
          <cell r="AQ285">
            <v>-737750.24</v>
          </cell>
          <cell r="AR285">
            <v>0</v>
          </cell>
          <cell r="AS285">
            <v>0</v>
          </cell>
          <cell r="AT285">
            <v>0</v>
          </cell>
          <cell r="AU285">
            <v>0</v>
          </cell>
          <cell r="AV285">
            <v>0</v>
          </cell>
          <cell r="AW285">
            <v>2400</v>
          </cell>
          <cell r="AX285">
            <v>3936</v>
          </cell>
          <cell r="AY285">
            <v>3936</v>
          </cell>
          <cell r="AZ285">
            <v>1808.4</v>
          </cell>
          <cell r="BA285">
            <v>22.560000000000002</v>
          </cell>
        </row>
        <row r="286">
          <cell r="F286">
            <v>124000000065</v>
          </cell>
          <cell r="G286" t="str">
            <v>SAIPRATIK HEALTH CARE SERVICE P.LTD</v>
          </cell>
          <cell r="H286" t="str">
            <v>ANANDA BAZAR,BARIPADA</v>
          </cell>
          <cell r="I286" t="str">
            <v>10/31/2020 00:00:00</v>
          </cell>
          <cell r="J286">
            <v>1</v>
          </cell>
          <cell r="K286" t="str">
            <v xml:space="preserve"> </v>
          </cell>
          <cell r="L286" t="str">
            <v xml:space="preserve"> </v>
          </cell>
          <cell r="M286" t="str">
            <v>521000010231495017</v>
          </cell>
          <cell r="N286" t="str">
            <v>1240000061</v>
          </cell>
          <cell r="O286" t="str">
            <v>B1-82336</v>
          </cell>
          <cell r="P286" t="str">
            <v>452111201</v>
          </cell>
          <cell r="Q286" t="str">
            <v>GENERAL PURPOSE &gt;= 110 KVA</v>
          </cell>
          <cell r="R286" t="str">
            <v>HT</v>
          </cell>
          <cell r="S286" t="str">
            <v>01/10/2023</v>
          </cell>
          <cell r="T286" t="str">
            <v>01/10/2023</v>
          </cell>
          <cell r="U286" t="str">
            <v>06/10/2023</v>
          </cell>
          <cell r="V286" t="str">
            <v>09/10/2023</v>
          </cell>
          <cell r="W286" t="str">
            <v>2023/09</v>
          </cell>
          <cell r="X286" t="str">
            <v>11 KV</v>
          </cell>
          <cell r="Y286" t="str">
            <v>HT</v>
          </cell>
          <cell r="Z286">
            <v>132</v>
          </cell>
          <cell r="AA286">
            <v>0.95209999999999995</v>
          </cell>
          <cell r="AB286">
            <v>38.57</v>
          </cell>
          <cell r="AC286" t="str">
            <v xml:space="preserve">01/09/2023 -     </v>
          </cell>
          <cell r="AD286" t="str">
            <v>30.09.2023</v>
          </cell>
          <cell r="AE286" t="str">
            <v>30/1.0000</v>
          </cell>
          <cell r="AF286">
            <v>165</v>
          </cell>
          <cell r="AG286" t="str">
            <v>KVA</v>
          </cell>
          <cell r="AH286">
            <v>165</v>
          </cell>
          <cell r="AI286" t="str">
            <v>R</v>
          </cell>
          <cell r="AJ286">
            <v>469214</v>
          </cell>
          <cell r="AK286" t="str">
            <v>30/09/2023</v>
          </cell>
          <cell r="AL286" t="str">
            <v>NSC94495</v>
          </cell>
          <cell r="AM286" t="str">
            <v>SINGLE PHASE ELECTRO-MAGNETIC KWH METER-TOD</v>
          </cell>
          <cell r="AN286" t="str">
            <v>POST PAID</v>
          </cell>
          <cell r="AO286">
            <v>500</v>
          </cell>
          <cell r="AP286" t="str">
            <v>TOD</v>
          </cell>
          <cell r="AQ286">
            <v>-360801.5</v>
          </cell>
          <cell r="AR286">
            <v>0</v>
          </cell>
          <cell r="AS286">
            <v>0</v>
          </cell>
          <cell r="AT286">
            <v>0</v>
          </cell>
          <cell r="AU286">
            <v>0</v>
          </cell>
          <cell r="AV286">
            <v>0</v>
          </cell>
          <cell r="AW286">
            <v>0</v>
          </cell>
          <cell r="AX286">
            <v>0</v>
          </cell>
          <cell r="AY286">
            <v>4621</v>
          </cell>
          <cell r="AZ286">
            <v>0</v>
          </cell>
          <cell r="BA286">
            <v>0</v>
          </cell>
        </row>
        <row r="287">
          <cell r="F287">
            <v>124000000066</v>
          </cell>
          <cell r="G287" t="str">
            <v>KMBM STREET EMPORIO LLP</v>
          </cell>
          <cell r="H287" t="str">
            <v>LALBAZAR BAZAR,BARIPADA</v>
          </cell>
          <cell r="I287" t="str">
            <v>11/18/2020 00:00:00</v>
          </cell>
          <cell r="J287">
            <v>1</v>
          </cell>
          <cell r="K287" t="str">
            <v xml:space="preserve"> </v>
          </cell>
          <cell r="L287" t="str">
            <v xml:space="preserve"> </v>
          </cell>
          <cell r="M287" t="str">
            <v>521000010231492802</v>
          </cell>
          <cell r="N287" t="str">
            <v>1240000062</v>
          </cell>
          <cell r="O287" t="str">
            <v>B1-82348</v>
          </cell>
          <cell r="P287" t="str">
            <v>452112201</v>
          </cell>
          <cell r="Q287" t="str">
            <v>GENERAL PURPOSE &gt;= 110 KVA</v>
          </cell>
          <cell r="R287" t="str">
            <v>HT</v>
          </cell>
          <cell r="S287" t="str">
            <v>01/10/2023</v>
          </cell>
          <cell r="T287" t="str">
            <v>01/10/2023</v>
          </cell>
          <cell r="U287" t="str">
            <v>06/10/2023</v>
          </cell>
          <cell r="V287" t="str">
            <v>09/10/2023</v>
          </cell>
          <cell r="W287" t="str">
            <v>2023/09</v>
          </cell>
          <cell r="X287" t="str">
            <v>11 KV</v>
          </cell>
          <cell r="Y287" t="str">
            <v>HT</v>
          </cell>
          <cell r="Z287">
            <v>133.6</v>
          </cell>
          <cell r="AA287">
            <v>0.98</v>
          </cell>
          <cell r="AB287">
            <v>53.81</v>
          </cell>
          <cell r="AC287" t="str">
            <v xml:space="preserve">01/09/2023 -     </v>
          </cell>
          <cell r="AD287" t="str">
            <v>30.09.2023</v>
          </cell>
          <cell r="AE287" t="str">
            <v>30/1.0000</v>
          </cell>
          <cell r="AF287">
            <v>167</v>
          </cell>
          <cell r="AG287" t="str">
            <v>KVA</v>
          </cell>
          <cell r="AH287">
            <v>167</v>
          </cell>
          <cell r="AI287" t="str">
            <v>R</v>
          </cell>
          <cell r="AJ287">
            <v>414174</v>
          </cell>
          <cell r="AK287" t="str">
            <v>30/09/2023</v>
          </cell>
          <cell r="AL287" t="str">
            <v>NSC94467</v>
          </cell>
          <cell r="AM287" t="str">
            <v>LT SINGLE PHASE AMR/AMI COMPLIANT METER-TOD</v>
          </cell>
          <cell r="AN287" t="str">
            <v>POST PAID</v>
          </cell>
          <cell r="AO287">
            <v>250</v>
          </cell>
          <cell r="AP287" t="str">
            <v>TOD</v>
          </cell>
          <cell r="AQ287">
            <v>50379.040000000001</v>
          </cell>
          <cell r="AR287">
            <v>0</v>
          </cell>
          <cell r="AS287">
            <v>0</v>
          </cell>
          <cell r="AT287">
            <v>0</v>
          </cell>
          <cell r="AU287">
            <v>0</v>
          </cell>
          <cell r="AV287">
            <v>0</v>
          </cell>
          <cell r="AW287">
            <v>38733</v>
          </cell>
          <cell r="AX287">
            <v>39521</v>
          </cell>
          <cell r="AY287">
            <v>39521</v>
          </cell>
          <cell r="AZ287">
            <v>802.56</v>
          </cell>
          <cell r="BA287">
            <v>102.00000000000001</v>
          </cell>
        </row>
        <row r="288">
          <cell r="F288">
            <v>124000000067</v>
          </cell>
          <cell r="G288" t="str">
            <v>TOLL PLAZA , JHARAPOKHARIA</v>
          </cell>
          <cell r="H288" t="str">
            <v>JHARAPOKHARIA</v>
          </cell>
          <cell r="I288" t="str">
            <v>06/02/2021 00:00:00</v>
          </cell>
          <cell r="J288">
            <v>1</v>
          </cell>
          <cell r="K288" t="str">
            <v>JHARAPOKHARIA</v>
          </cell>
          <cell r="L288" t="str">
            <v>MAYURBHANJ</v>
          </cell>
          <cell r="M288" t="str">
            <v>521000010231492658</v>
          </cell>
          <cell r="N288" t="str">
            <v>132100000400</v>
          </cell>
          <cell r="O288" t="str">
            <v xml:space="preserve"> </v>
          </cell>
          <cell r="P288" t="str">
            <v>452147201</v>
          </cell>
          <cell r="Q288" t="str">
            <v>GENERAL PURPOSE &gt;= 110 KVA</v>
          </cell>
          <cell r="R288" t="str">
            <v>HT</v>
          </cell>
          <cell r="S288" t="str">
            <v>01/10/2023</v>
          </cell>
          <cell r="T288" t="str">
            <v>01/10/2023</v>
          </cell>
          <cell r="U288" t="str">
            <v>06/10/2023</v>
          </cell>
          <cell r="V288" t="str">
            <v>09/10/2023</v>
          </cell>
          <cell r="W288" t="str">
            <v>2023/09</v>
          </cell>
          <cell r="X288" t="str">
            <v>11 KV</v>
          </cell>
          <cell r="Y288" t="str">
            <v>HT</v>
          </cell>
          <cell r="Z288">
            <v>133.6</v>
          </cell>
          <cell r="AA288">
            <v>0.99590000000000001</v>
          </cell>
          <cell r="AB288">
            <v>45.66</v>
          </cell>
          <cell r="AC288" t="str">
            <v xml:space="preserve">01/09/2023 -     </v>
          </cell>
          <cell r="AD288" t="str">
            <v>30.09.2023</v>
          </cell>
          <cell r="AE288" t="str">
            <v>30/1.0000</v>
          </cell>
          <cell r="AF288">
            <v>167</v>
          </cell>
          <cell r="AG288" t="str">
            <v>KVA</v>
          </cell>
          <cell r="AH288">
            <v>167</v>
          </cell>
          <cell r="AI288" t="str">
            <v>R</v>
          </cell>
          <cell r="AJ288">
            <v>488843</v>
          </cell>
          <cell r="AK288" t="str">
            <v>30/09/2023</v>
          </cell>
          <cell r="AL288" t="str">
            <v>NES50394</v>
          </cell>
          <cell r="AM288" t="str">
            <v>HT THREE PHASE 3 WIRE AMR/AMI COMPLIANT METER</v>
          </cell>
          <cell r="AN288" t="str">
            <v>POST PAID</v>
          </cell>
          <cell r="AO288">
            <v>250</v>
          </cell>
          <cell r="AP288" t="str">
            <v>TOD</v>
          </cell>
          <cell r="AQ288">
            <v>-330396.90000000002</v>
          </cell>
          <cell r="AR288">
            <v>0</v>
          </cell>
          <cell r="AS288">
            <v>0</v>
          </cell>
          <cell r="AT288">
            <v>0</v>
          </cell>
          <cell r="AU288">
            <v>0</v>
          </cell>
          <cell r="AV288">
            <v>0</v>
          </cell>
          <cell r="AW288">
            <v>18859</v>
          </cell>
          <cell r="AX288">
            <v>18935</v>
          </cell>
          <cell r="AY288">
            <v>18935</v>
          </cell>
          <cell r="AZ288">
            <v>348.8</v>
          </cell>
          <cell r="BA288">
            <v>57.599999999999994</v>
          </cell>
        </row>
        <row r="289">
          <cell r="F289">
            <v>124000000068</v>
          </cell>
          <cell r="G289" t="str">
            <v>OXYGEN REFULLING CENTER , BARIPADA</v>
          </cell>
          <cell r="H289" t="str">
            <v>BARIPADA</v>
          </cell>
          <cell r="I289" t="str">
            <v>06/03/2021 00:00:00</v>
          </cell>
          <cell r="J289">
            <v>1</v>
          </cell>
          <cell r="K289" t="str">
            <v>BARIPADA</v>
          </cell>
          <cell r="L289" t="str">
            <v>MAYURBHANJ</v>
          </cell>
          <cell r="M289" t="str">
            <v>521000010231492861</v>
          </cell>
          <cell r="N289" t="str">
            <v>132100000405</v>
          </cell>
          <cell r="O289" t="str">
            <v>B1-82626</v>
          </cell>
          <cell r="P289" t="str">
            <v>452111201</v>
          </cell>
          <cell r="Q289" t="str">
            <v>SPECIFIED PUBLIC PURPOSE</v>
          </cell>
          <cell r="R289" t="str">
            <v>HT</v>
          </cell>
          <cell r="S289" t="str">
            <v>01/10/2023</v>
          </cell>
          <cell r="T289" t="str">
            <v>01/10/2023</v>
          </cell>
          <cell r="U289" t="str">
            <v>06/10/2023</v>
          </cell>
          <cell r="V289" t="str">
            <v>09/10/2023</v>
          </cell>
          <cell r="W289" t="str">
            <v>2023/09</v>
          </cell>
          <cell r="X289" t="str">
            <v>11 KV</v>
          </cell>
          <cell r="Y289" t="str">
            <v>HT</v>
          </cell>
          <cell r="Z289">
            <v>160</v>
          </cell>
          <cell r="AA289">
            <v>0.94089999999999996</v>
          </cell>
          <cell r="AB289">
            <v>24.08</v>
          </cell>
          <cell r="AC289" t="str">
            <v xml:space="preserve">01/09/2023 -     </v>
          </cell>
          <cell r="AD289" t="str">
            <v>30.09.2023</v>
          </cell>
          <cell r="AE289" t="str">
            <v>30/1.0000</v>
          </cell>
          <cell r="AF289">
            <v>200</v>
          </cell>
          <cell r="AG289" t="str">
            <v>KVA</v>
          </cell>
          <cell r="AH289">
            <v>200</v>
          </cell>
          <cell r="AI289" t="str">
            <v>R</v>
          </cell>
          <cell r="AJ289">
            <v>1</v>
          </cell>
          <cell r="AK289" t="str">
            <v>30/09/2023</v>
          </cell>
          <cell r="AL289" t="str">
            <v>NES50550</v>
          </cell>
          <cell r="AM289" t="str">
            <v>HT THREE PHASE 3 WIRE AMR/AMI COMPLIANT METER</v>
          </cell>
          <cell r="AN289" t="str">
            <v>POST PAID</v>
          </cell>
          <cell r="AO289">
            <v>250</v>
          </cell>
          <cell r="AP289" t="str">
            <v>TOD</v>
          </cell>
          <cell r="AQ289">
            <v>103633</v>
          </cell>
          <cell r="AR289">
            <v>0</v>
          </cell>
          <cell r="AS289">
            <v>0</v>
          </cell>
          <cell r="AT289">
            <v>0</v>
          </cell>
          <cell r="AU289">
            <v>0</v>
          </cell>
          <cell r="AV289">
            <v>0</v>
          </cell>
          <cell r="AW289">
            <v>3250</v>
          </cell>
          <cell r="AX289">
            <v>3454</v>
          </cell>
          <cell r="AY289">
            <v>3454</v>
          </cell>
          <cell r="AZ289">
            <v>445.44</v>
          </cell>
          <cell r="BA289">
            <v>19.920000000000002</v>
          </cell>
        </row>
        <row r="290">
          <cell r="F290">
            <v>124000000069</v>
          </cell>
          <cell r="G290" t="str">
            <v>DAS COLD STORAGE,</v>
          </cell>
          <cell r="H290" t="str">
            <v xml:space="preserve">C/O-SRI GIRISH CHANDRA DAS         </v>
          </cell>
          <cell r="I290" t="str">
            <v>01/25/2021 00:00:00</v>
          </cell>
          <cell r="J290">
            <v>1</v>
          </cell>
          <cell r="K290" t="str">
            <v xml:space="preserve">PALBANI,BARIPADA                   </v>
          </cell>
          <cell r="L290" t="str">
            <v xml:space="preserve"> </v>
          </cell>
          <cell r="M290" t="str">
            <v>521000010231492883</v>
          </cell>
          <cell r="N290" t="str">
            <v>31261000229</v>
          </cell>
          <cell r="O290" t="str">
            <v xml:space="preserve"> </v>
          </cell>
          <cell r="P290" t="str">
            <v>452162203</v>
          </cell>
          <cell r="Q290" t="str">
            <v>ALLIED AGRO-INDUSTRIAL ACTIVITIES</v>
          </cell>
          <cell r="R290" t="str">
            <v>HT</v>
          </cell>
          <cell r="S290" t="str">
            <v>01/10/2023</v>
          </cell>
          <cell r="T290" t="str">
            <v>01/10/2023</v>
          </cell>
          <cell r="U290" t="str">
            <v>06/10/2023</v>
          </cell>
          <cell r="V290" t="str">
            <v>09/10/2023</v>
          </cell>
          <cell r="W290" t="str">
            <v>2023/09</v>
          </cell>
          <cell r="X290" t="str">
            <v>11 KV</v>
          </cell>
          <cell r="Y290" t="str">
            <v>HT</v>
          </cell>
          <cell r="Z290">
            <v>165</v>
          </cell>
          <cell r="AA290">
            <v>0.99829999999999997</v>
          </cell>
          <cell r="AB290">
            <v>0</v>
          </cell>
          <cell r="AC290" t="str">
            <v xml:space="preserve">01/09/2023 -     </v>
          </cell>
          <cell r="AD290" t="str">
            <v>30.09.2023</v>
          </cell>
          <cell r="AE290" t="str">
            <v>30/1.0000</v>
          </cell>
          <cell r="AF290">
            <v>165</v>
          </cell>
          <cell r="AG290" t="str">
            <v>KVA</v>
          </cell>
          <cell r="AH290">
            <v>165</v>
          </cell>
          <cell r="AI290" t="str">
            <v>R</v>
          </cell>
          <cell r="AJ290">
            <v>292354.33</v>
          </cell>
          <cell r="AK290" t="str">
            <v>30/09/2023</v>
          </cell>
          <cell r="AL290" t="str">
            <v>NSC94514</v>
          </cell>
          <cell r="AM290" t="str">
            <v>HT THREE PHASE 4 WIRE AMR/AMI COMPLAINT METER</v>
          </cell>
          <cell r="AN290" t="str">
            <v>POST PAID</v>
          </cell>
          <cell r="AO290">
            <v>315</v>
          </cell>
          <cell r="AP290" t="str">
            <v>TOD</v>
          </cell>
          <cell r="AQ290">
            <v>-151863.13</v>
          </cell>
          <cell r="AR290">
            <v>0</v>
          </cell>
          <cell r="AS290">
            <v>0</v>
          </cell>
          <cell r="AT290">
            <v>0</v>
          </cell>
          <cell r="AU290">
            <v>0</v>
          </cell>
          <cell r="AV290">
            <v>0</v>
          </cell>
          <cell r="AW290">
            <v>19368</v>
          </cell>
          <cell r="AX290">
            <v>19400</v>
          </cell>
          <cell r="AY290">
            <v>19400</v>
          </cell>
          <cell r="AZ290">
            <v>386.08</v>
          </cell>
          <cell r="BA290">
            <v>48.96</v>
          </cell>
        </row>
        <row r="291">
          <cell r="F291">
            <v>124000000070</v>
          </cell>
          <cell r="G291" t="str">
            <v>20 BEDDED ICU</v>
          </cell>
          <cell r="H291" t="str">
            <v>PRM MCH BARIPADA</v>
          </cell>
          <cell r="I291" t="str">
            <v>07/11/2021 00:00:00</v>
          </cell>
          <cell r="J291">
            <v>1</v>
          </cell>
          <cell r="K291" t="str">
            <v>BARIPADA</v>
          </cell>
          <cell r="L291" t="str">
            <v>BARIPADA</v>
          </cell>
          <cell r="M291" t="str">
            <v>521000010231492742</v>
          </cell>
          <cell r="N291" t="str">
            <v>132100000427</v>
          </cell>
          <cell r="O291" t="str">
            <v xml:space="preserve"> </v>
          </cell>
          <cell r="P291" t="str">
            <v>452111201</v>
          </cell>
          <cell r="Q291" t="str">
            <v>SPECIFIED PUBLIC PURPOSE</v>
          </cell>
          <cell r="R291" t="str">
            <v>HT</v>
          </cell>
          <cell r="S291" t="str">
            <v>01/10/2023</v>
          </cell>
          <cell r="T291" t="str">
            <v>01/10/2023</v>
          </cell>
          <cell r="U291" t="str">
            <v>06/10/2023</v>
          </cell>
          <cell r="V291" t="str">
            <v>09/10/2023</v>
          </cell>
          <cell r="W291" t="str">
            <v>2023/09</v>
          </cell>
          <cell r="X291" t="str">
            <v>11 KV</v>
          </cell>
          <cell r="Y291" t="str">
            <v>HT</v>
          </cell>
          <cell r="Z291">
            <v>160</v>
          </cell>
          <cell r="AA291">
            <v>0.95530000000000004</v>
          </cell>
          <cell r="AB291">
            <v>68.099999999999994</v>
          </cell>
          <cell r="AC291" t="str">
            <v xml:space="preserve">01/09/2023 -     </v>
          </cell>
          <cell r="AD291" t="str">
            <v>30.09.2023</v>
          </cell>
          <cell r="AE291" t="str">
            <v>30/1.0000</v>
          </cell>
          <cell r="AF291">
            <v>200</v>
          </cell>
          <cell r="AG291" t="str">
            <v>KVA</v>
          </cell>
          <cell r="AH291">
            <v>200</v>
          </cell>
          <cell r="AI291" t="str">
            <v>R</v>
          </cell>
          <cell r="AJ291">
            <v>913287.1</v>
          </cell>
          <cell r="AK291" t="str">
            <v>30/09/2023</v>
          </cell>
          <cell r="AL291" t="str">
            <v>NES50150</v>
          </cell>
          <cell r="AM291" t="str">
            <v>HT THREE PHASE 3 WIRE AMR/AMI COMPLIANT METER</v>
          </cell>
          <cell r="AN291" t="str">
            <v>POST PAID</v>
          </cell>
          <cell r="AO291">
            <v>250</v>
          </cell>
          <cell r="AP291" t="str">
            <v>TOD</v>
          </cell>
          <cell r="AQ291">
            <v>-784661.9</v>
          </cell>
          <cell r="AR291">
            <v>0</v>
          </cell>
          <cell r="AS291">
            <v>0</v>
          </cell>
          <cell r="AT291">
            <v>0</v>
          </cell>
          <cell r="AU291">
            <v>0</v>
          </cell>
          <cell r="AV291">
            <v>0</v>
          </cell>
          <cell r="AW291">
            <v>37326</v>
          </cell>
          <cell r="AX291">
            <v>39069</v>
          </cell>
          <cell r="AY291">
            <v>39069</v>
          </cell>
          <cell r="AZ291">
            <v>817.8</v>
          </cell>
          <cell r="BA291">
            <v>79.680000000000007</v>
          </cell>
        </row>
        <row r="292">
          <cell r="F292">
            <v>124000000071</v>
          </cell>
          <cell r="G292" t="str">
            <v>M/S THE AGGREGATES</v>
          </cell>
          <cell r="H292" t="str">
            <v>PLOT NO-2360</v>
          </cell>
          <cell r="I292" t="str">
            <v>08/03/2021 00:00:00</v>
          </cell>
          <cell r="J292">
            <v>1</v>
          </cell>
          <cell r="K292" t="str">
            <v>KHATA NO:-300/265</v>
          </cell>
          <cell r="L292" t="str">
            <v>JHRAPOKHARIA</v>
          </cell>
          <cell r="M292" t="str">
            <v>521000010231495014</v>
          </cell>
          <cell r="N292" t="str">
            <v>132100000659</v>
          </cell>
          <cell r="O292" t="str">
            <v xml:space="preserve"> </v>
          </cell>
          <cell r="P292" t="str">
            <v>452141203</v>
          </cell>
          <cell r="Q292" t="str">
            <v>LARGE INDUSTRY</v>
          </cell>
          <cell r="R292" t="str">
            <v>HT</v>
          </cell>
          <cell r="S292" t="str">
            <v>01/10/2023</v>
          </cell>
          <cell r="T292" t="str">
            <v>01/10/2023</v>
          </cell>
          <cell r="U292" t="str">
            <v>06/10/2023</v>
          </cell>
          <cell r="V292" t="str">
            <v>09/10/2023</v>
          </cell>
          <cell r="W292" t="str">
            <v>2023/09</v>
          </cell>
          <cell r="X292" t="str">
            <v>11 KV</v>
          </cell>
          <cell r="Y292" t="str">
            <v>HT</v>
          </cell>
          <cell r="Z292">
            <v>488.8</v>
          </cell>
          <cell r="AA292">
            <v>0.67800000000000005</v>
          </cell>
          <cell r="AB292">
            <v>47.7</v>
          </cell>
          <cell r="AC292" t="str">
            <v xml:space="preserve">01/09/2023 -     </v>
          </cell>
          <cell r="AD292" t="str">
            <v>30.09.2023</v>
          </cell>
          <cell r="AE292" t="str">
            <v>30/1.0000</v>
          </cell>
          <cell r="AF292">
            <v>611</v>
          </cell>
          <cell r="AG292" t="str">
            <v>KVA</v>
          </cell>
          <cell r="AH292">
            <v>611</v>
          </cell>
          <cell r="AI292" t="str">
            <v>R</v>
          </cell>
          <cell r="AJ292">
            <v>3750563</v>
          </cell>
          <cell r="AK292" t="str">
            <v>30/09/2023</v>
          </cell>
          <cell r="AL292" t="str">
            <v>NSC95011</v>
          </cell>
          <cell r="AM292" t="str">
            <v>HT THREE PHASE 4 WIRE AMR/AMI COMPLAINT METER</v>
          </cell>
          <cell r="AN292" t="str">
            <v>POST PAID</v>
          </cell>
          <cell r="AO292">
            <v>750</v>
          </cell>
          <cell r="AP292" t="str">
            <v>TOD</v>
          </cell>
          <cell r="AQ292">
            <v>-2385955.92</v>
          </cell>
          <cell r="AR292">
            <v>0</v>
          </cell>
          <cell r="AS292">
            <v>0</v>
          </cell>
          <cell r="AT292">
            <v>0</v>
          </cell>
          <cell r="AU292">
            <v>0</v>
          </cell>
          <cell r="AV292">
            <v>0</v>
          </cell>
          <cell r="AW292">
            <v>0</v>
          </cell>
          <cell r="AX292">
            <v>0</v>
          </cell>
          <cell r="AY292">
            <v>149700</v>
          </cell>
          <cell r="AZ292">
            <v>0</v>
          </cell>
          <cell r="BA292">
            <v>0</v>
          </cell>
        </row>
        <row r="293">
          <cell r="F293">
            <v>124000000072</v>
          </cell>
          <cell r="G293" t="str">
            <v>M/S THE AGGREGATES</v>
          </cell>
          <cell r="H293" t="str">
            <v>PLOT NO-2360</v>
          </cell>
          <cell r="I293" t="str">
            <v>01/01/2022 00:00:00</v>
          </cell>
          <cell r="J293">
            <v>1</v>
          </cell>
          <cell r="K293" t="str">
            <v>KHATA NO:-300/265</v>
          </cell>
          <cell r="L293" t="str">
            <v>KULIANNA</v>
          </cell>
          <cell r="M293" t="str">
            <v>521000010231492601</v>
          </cell>
          <cell r="N293" t="str">
            <v>132200010113</v>
          </cell>
          <cell r="O293" t="str">
            <v>KU-82831</v>
          </cell>
          <cell r="P293" t="str">
            <v>452144201</v>
          </cell>
          <cell r="Q293" t="str">
            <v>LARGE INDUSTRY</v>
          </cell>
          <cell r="R293" t="str">
            <v>HT</v>
          </cell>
          <cell r="S293" t="str">
            <v>01/10/2023</v>
          </cell>
          <cell r="T293" t="str">
            <v>01/10/2023</v>
          </cell>
          <cell r="U293" t="str">
            <v>06/10/2023</v>
          </cell>
          <cell r="V293" t="str">
            <v>09/10/2023</v>
          </cell>
          <cell r="W293" t="str">
            <v>2023/09</v>
          </cell>
          <cell r="X293" t="str">
            <v>11 KV</v>
          </cell>
          <cell r="Y293" t="str">
            <v>HT</v>
          </cell>
          <cell r="Z293">
            <v>371.36</v>
          </cell>
          <cell r="AA293">
            <v>0.94310000000000005</v>
          </cell>
          <cell r="AB293">
            <v>26.37</v>
          </cell>
          <cell r="AC293" t="str">
            <v xml:space="preserve">01/09/2023 -     </v>
          </cell>
          <cell r="AD293" t="str">
            <v>30.09.2023</v>
          </cell>
          <cell r="AE293" t="str">
            <v>30/1.0000</v>
          </cell>
          <cell r="AF293">
            <v>333</v>
          </cell>
          <cell r="AG293" t="str">
            <v>KVA</v>
          </cell>
          <cell r="AH293">
            <v>333</v>
          </cell>
          <cell r="AI293" t="str">
            <v>R</v>
          </cell>
          <cell r="AJ293">
            <v>2044087</v>
          </cell>
          <cell r="AK293" t="str">
            <v>30/09/2023</v>
          </cell>
          <cell r="AL293" t="str">
            <v>TPN64332</v>
          </cell>
          <cell r="AM293" t="str">
            <v>THREE PHASE STATIC TRI-VECTOR METER</v>
          </cell>
          <cell r="AN293" t="str">
            <v>POST PAID</v>
          </cell>
          <cell r="AO293">
            <v>500</v>
          </cell>
          <cell r="AP293" t="str">
            <v>TOD</v>
          </cell>
          <cell r="AQ293">
            <v>-1383055.2</v>
          </cell>
          <cell r="AR293">
            <v>0</v>
          </cell>
          <cell r="AS293">
            <v>0</v>
          </cell>
          <cell r="AT293">
            <v>0</v>
          </cell>
          <cell r="AU293">
            <v>0</v>
          </cell>
          <cell r="AV293">
            <v>0</v>
          </cell>
          <cell r="AW293">
            <v>66486</v>
          </cell>
          <cell r="AX293">
            <v>70496</v>
          </cell>
          <cell r="AY293">
            <v>70496</v>
          </cell>
          <cell r="AZ293">
            <v>2559.1999999999998</v>
          </cell>
          <cell r="BA293">
            <v>371.36</v>
          </cell>
        </row>
        <row r="294">
          <cell r="F294">
            <v>124000000073</v>
          </cell>
          <cell r="G294" t="str">
            <v>SIDDHIVINAYAK AGRO INDUSTRY</v>
          </cell>
          <cell r="H294" t="str">
            <v>PLOT NO:- 1/1447</v>
          </cell>
          <cell r="I294" t="str">
            <v>01/29/2022 00:00:00</v>
          </cell>
          <cell r="J294">
            <v>1</v>
          </cell>
          <cell r="K294" t="str">
            <v>KHATA NO:- 307/11</v>
          </cell>
          <cell r="L294" t="str">
            <v>BETANOTI</v>
          </cell>
          <cell r="M294" t="str">
            <v>521000010231492735</v>
          </cell>
          <cell r="N294" t="str">
            <v>132200015954</v>
          </cell>
          <cell r="O294" t="str">
            <v>KU-82847</v>
          </cell>
          <cell r="P294" t="str">
            <v>45207408003</v>
          </cell>
          <cell r="Q294" t="str">
            <v>LARGE INDUSTRY</v>
          </cell>
          <cell r="R294" t="str">
            <v>HT</v>
          </cell>
          <cell r="S294" t="str">
            <v>01/10/2023</v>
          </cell>
          <cell r="T294" t="str">
            <v>01/10/2023</v>
          </cell>
          <cell r="U294" t="str">
            <v>06/10/2023</v>
          </cell>
          <cell r="V294" t="str">
            <v>09/10/2023</v>
          </cell>
          <cell r="W294" t="str">
            <v>2023/09</v>
          </cell>
          <cell r="X294" t="str">
            <v>33 KV</v>
          </cell>
          <cell r="Y294" t="str">
            <v>HT</v>
          </cell>
          <cell r="Z294">
            <v>266.39999999999998</v>
          </cell>
          <cell r="AA294">
            <v>0.99219999999999997</v>
          </cell>
          <cell r="AB294">
            <v>28.27</v>
          </cell>
          <cell r="AC294" t="str">
            <v xml:space="preserve">01/09/2023 -     </v>
          </cell>
          <cell r="AD294" t="str">
            <v>30.09.2023</v>
          </cell>
          <cell r="AE294" t="str">
            <v>30/1.0000</v>
          </cell>
          <cell r="AF294">
            <v>333</v>
          </cell>
          <cell r="AG294" t="str">
            <v>KVA</v>
          </cell>
          <cell r="AH294">
            <v>333</v>
          </cell>
          <cell r="AI294" t="str">
            <v>R</v>
          </cell>
          <cell r="AJ294">
            <v>2044087</v>
          </cell>
          <cell r="AK294" t="str">
            <v>30/09/2023</v>
          </cell>
          <cell r="AL294" t="str">
            <v>TPN64728</v>
          </cell>
          <cell r="AM294" t="str">
            <v>THREE PHASE HT CT METER-33KV</v>
          </cell>
          <cell r="AN294" t="str">
            <v>POST PAID</v>
          </cell>
          <cell r="AO294">
            <v>500</v>
          </cell>
          <cell r="AP294" t="str">
            <v>TOD</v>
          </cell>
          <cell r="AQ294">
            <v>-1380596.2</v>
          </cell>
          <cell r="AR294">
            <v>0</v>
          </cell>
          <cell r="AS294">
            <v>0</v>
          </cell>
          <cell r="AT294">
            <v>0</v>
          </cell>
          <cell r="AU294">
            <v>0</v>
          </cell>
          <cell r="AV294">
            <v>0</v>
          </cell>
          <cell r="AW294">
            <v>52260</v>
          </cell>
          <cell r="AX294">
            <v>52668</v>
          </cell>
          <cell r="AY294">
            <v>52668</v>
          </cell>
          <cell r="AZ294">
            <v>1856.64</v>
          </cell>
          <cell r="BA294">
            <v>258.72000000000003</v>
          </cell>
        </row>
        <row r="295">
          <cell r="F295">
            <v>124000000074</v>
          </cell>
          <cell r="G295" t="str">
            <v>M/S TILES WORLD IMPORTERS &amp; BAJRANG</v>
          </cell>
          <cell r="H295" t="str">
            <v xml:space="preserve">C/O- SMT. MADHUSMITA BEHERA        </v>
          </cell>
          <cell r="I295" t="str">
            <v>01/25/2021 00:00:00</v>
          </cell>
          <cell r="J295">
            <v>1</v>
          </cell>
          <cell r="K295" t="str">
            <v xml:space="preserve">DAHIKOTI                           </v>
          </cell>
          <cell r="L295" t="str">
            <v xml:space="preserve">BETNOTI, MAYURBHANJ                </v>
          </cell>
          <cell r="M295" t="str">
            <v>521000010231492655</v>
          </cell>
          <cell r="N295" t="str">
            <v>35212040385</v>
          </cell>
          <cell r="O295" t="str">
            <v>BT-80139</v>
          </cell>
          <cell r="P295" t="str">
            <v>452122203</v>
          </cell>
          <cell r="Q295" t="str">
            <v>LARGE INDUSTRY</v>
          </cell>
          <cell r="R295" t="str">
            <v>HT</v>
          </cell>
          <cell r="S295" t="str">
            <v>01/10/2023</v>
          </cell>
          <cell r="T295" t="str">
            <v>01/10/2023</v>
          </cell>
          <cell r="U295" t="str">
            <v>06/10/2023</v>
          </cell>
          <cell r="V295" t="str">
            <v>09/10/2023</v>
          </cell>
          <cell r="W295" t="str">
            <v>2023/09</v>
          </cell>
          <cell r="X295" t="str">
            <v>11 KV</v>
          </cell>
          <cell r="Y295" t="str">
            <v>HT</v>
          </cell>
          <cell r="Z295">
            <v>240</v>
          </cell>
          <cell r="AA295">
            <v>0.99380000000000002</v>
          </cell>
          <cell r="AB295">
            <v>39.28</v>
          </cell>
          <cell r="AC295" t="str">
            <v xml:space="preserve">01/09/2023 -     </v>
          </cell>
          <cell r="AD295" t="str">
            <v>30.09.2023</v>
          </cell>
          <cell r="AE295" t="str">
            <v>30/1.0000</v>
          </cell>
          <cell r="AF295">
            <v>300</v>
          </cell>
          <cell r="AG295" t="str">
            <v>KVA</v>
          </cell>
          <cell r="AH295">
            <v>300</v>
          </cell>
          <cell r="AI295" t="str">
            <v>R</v>
          </cell>
          <cell r="AJ295">
            <v>1841512.67</v>
          </cell>
          <cell r="AK295" t="str">
            <v>30/09/2023</v>
          </cell>
          <cell r="AL295" t="str">
            <v>TPN64722</v>
          </cell>
          <cell r="AM295" t="str">
            <v>HT THREE PHASE 4 WIRE AMR/AMI COMPLAINT METER</v>
          </cell>
          <cell r="AN295" t="str">
            <v>POST PAID</v>
          </cell>
          <cell r="AO295">
            <v>500</v>
          </cell>
          <cell r="AP295" t="str">
            <v>TOD</v>
          </cell>
          <cell r="AQ295">
            <v>-1541193.13</v>
          </cell>
          <cell r="AR295">
            <v>0</v>
          </cell>
          <cell r="AS295">
            <v>0</v>
          </cell>
          <cell r="AT295">
            <v>0</v>
          </cell>
          <cell r="AU295">
            <v>0</v>
          </cell>
          <cell r="AV295">
            <v>0</v>
          </cell>
          <cell r="AW295">
            <v>64221</v>
          </cell>
          <cell r="AX295">
            <v>64617</v>
          </cell>
          <cell r="AY295">
            <v>64617</v>
          </cell>
          <cell r="AZ295">
            <v>1692.24</v>
          </cell>
          <cell r="BA295">
            <v>228.48000000000002</v>
          </cell>
        </row>
        <row r="296">
          <cell r="F296">
            <v>124000000075</v>
          </cell>
          <cell r="G296" t="str">
            <v>MEGALIFT IRRIGATION PROJECT</v>
          </cell>
          <cell r="H296" t="str">
            <v xml:space="preserve"> </v>
          </cell>
          <cell r="I296" t="str">
            <v>04/28/2022 00:00:00</v>
          </cell>
          <cell r="J296">
            <v>1</v>
          </cell>
          <cell r="K296" t="str">
            <v>HIZLI &amp; NISCHINTA&amp; KANSAPAL</v>
          </cell>
          <cell r="L296" t="str">
            <v>BARIPADA</v>
          </cell>
          <cell r="M296" t="str">
            <v>521000010231492776</v>
          </cell>
          <cell r="N296" t="str">
            <v>132200056583</v>
          </cell>
          <cell r="O296" t="str">
            <v>BN-82906</v>
          </cell>
          <cell r="P296" t="str">
            <v>45207407001</v>
          </cell>
          <cell r="Q296" t="str">
            <v>MEGA LIFT</v>
          </cell>
          <cell r="R296" t="str">
            <v>HT</v>
          </cell>
          <cell r="S296" t="str">
            <v>01/10/2023</v>
          </cell>
          <cell r="T296" t="str">
            <v>01/10/2023</v>
          </cell>
          <cell r="U296" t="str">
            <v>06/10/2023</v>
          </cell>
          <cell r="V296" t="str">
            <v>09/10/2023</v>
          </cell>
          <cell r="W296" t="str">
            <v>2023/09</v>
          </cell>
          <cell r="X296" t="str">
            <v>33 KV</v>
          </cell>
          <cell r="Y296" t="str">
            <v>HT</v>
          </cell>
          <cell r="Z296">
            <v>2903.2</v>
          </cell>
          <cell r="AA296">
            <v>0.99870000000000003</v>
          </cell>
          <cell r="AB296">
            <v>7.4</v>
          </cell>
          <cell r="AC296" t="str">
            <v xml:space="preserve">01/09/2023 -     </v>
          </cell>
          <cell r="AD296" t="str">
            <v>30.09.2023</v>
          </cell>
          <cell r="AE296" t="str">
            <v>30/1.0000</v>
          </cell>
          <cell r="AF296">
            <v>3629</v>
          </cell>
          <cell r="AG296" t="str">
            <v>KVA</v>
          </cell>
          <cell r="AH296">
            <v>3629</v>
          </cell>
          <cell r="AI296" t="str">
            <v>R</v>
          </cell>
          <cell r="AJ296">
            <v>1271468</v>
          </cell>
          <cell r="AK296" t="str">
            <v>30/09/2023</v>
          </cell>
          <cell r="AL296" t="str">
            <v>NES82807</v>
          </cell>
          <cell r="AM296" t="str">
            <v>THREE PHASE HT CT METER-33KV</v>
          </cell>
          <cell r="AN296" t="str">
            <v>POST PAID</v>
          </cell>
          <cell r="AO296">
            <v>7400</v>
          </cell>
          <cell r="AP296" t="str">
            <v>TOD</v>
          </cell>
          <cell r="AQ296">
            <v>0</v>
          </cell>
          <cell r="AR296">
            <v>0</v>
          </cell>
          <cell r="AS296">
            <v>0</v>
          </cell>
          <cell r="AT296">
            <v>0</v>
          </cell>
          <cell r="AU296">
            <v>0</v>
          </cell>
          <cell r="AV296">
            <v>0</v>
          </cell>
          <cell r="AW296">
            <v>49800</v>
          </cell>
          <cell r="AX296">
            <v>49860</v>
          </cell>
          <cell r="AY296">
            <v>49860</v>
          </cell>
          <cell r="AZ296">
            <v>5820</v>
          </cell>
          <cell r="BA296">
            <v>936</v>
          </cell>
        </row>
        <row r="297">
          <cell r="F297">
            <v>124000000076</v>
          </cell>
          <cell r="G297" t="str">
            <v>SCIENCE PARK  CUM PLANETARIUM</v>
          </cell>
          <cell r="H297" t="str">
            <v>DEBENDRAPUR</v>
          </cell>
          <cell r="I297" t="str">
            <v>09/28/2022 00:00:00</v>
          </cell>
          <cell r="J297">
            <v>1</v>
          </cell>
          <cell r="K297" t="str">
            <v>TAKATPUR</v>
          </cell>
          <cell r="L297" t="str">
            <v>BARIPADA</v>
          </cell>
          <cell r="M297" t="str">
            <v>521000010231492588</v>
          </cell>
          <cell r="N297" t="str">
            <v>132200096690</v>
          </cell>
          <cell r="O297" t="str">
            <v>B1-83012</v>
          </cell>
          <cell r="P297" t="str">
            <v>432121206</v>
          </cell>
          <cell r="Q297" t="str">
            <v>GENERAL PURPOSE &gt;= 110 KVA</v>
          </cell>
          <cell r="R297" t="str">
            <v>HT</v>
          </cell>
          <cell r="S297" t="str">
            <v>01/10/2023</v>
          </cell>
          <cell r="T297" t="str">
            <v>01/10/2023</v>
          </cell>
          <cell r="U297" t="str">
            <v>06/10/2023</v>
          </cell>
          <cell r="V297" t="str">
            <v>09/10/2023</v>
          </cell>
          <cell r="W297" t="str">
            <v>2023/09</v>
          </cell>
          <cell r="X297" t="str">
            <v>11 KV</v>
          </cell>
          <cell r="Y297" t="str">
            <v>HT</v>
          </cell>
          <cell r="Z297">
            <v>240</v>
          </cell>
          <cell r="AA297">
            <v>0.3992</v>
          </cell>
          <cell r="AB297">
            <v>34.19</v>
          </cell>
          <cell r="AC297" t="str">
            <v xml:space="preserve">01/09/2023 -     </v>
          </cell>
          <cell r="AD297" t="str">
            <v>30.09.2023</v>
          </cell>
          <cell r="AE297" t="str">
            <v>30/1.0000</v>
          </cell>
          <cell r="AF297">
            <v>300</v>
          </cell>
          <cell r="AG297" t="str">
            <v>KVA</v>
          </cell>
          <cell r="AH297">
            <v>300</v>
          </cell>
          <cell r="AI297" t="str">
            <v>R</v>
          </cell>
          <cell r="AJ297">
            <v>878160</v>
          </cell>
          <cell r="AK297" t="str">
            <v>30/09/2023</v>
          </cell>
          <cell r="AL297" t="str">
            <v>TPN64086</v>
          </cell>
          <cell r="AM297" t="str">
            <v>HT THREE PHASE 4 WIRE AMR/AMI COMPLAINT METER</v>
          </cell>
          <cell r="AN297" t="str">
            <v>POST PAID</v>
          </cell>
          <cell r="AO297">
            <v>500</v>
          </cell>
          <cell r="AP297" t="str">
            <v>TOD</v>
          </cell>
          <cell r="AQ297">
            <v>0</v>
          </cell>
          <cell r="AR297">
            <v>0</v>
          </cell>
          <cell r="AS297">
            <v>0</v>
          </cell>
          <cell r="AT297">
            <v>0</v>
          </cell>
          <cell r="AU297">
            <v>0</v>
          </cell>
          <cell r="AV297">
            <v>0</v>
          </cell>
          <cell r="AW297">
            <v>802</v>
          </cell>
          <cell r="AX297">
            <v>2009</v>
          </cell>
          <cell r="AY297">
            <v>2009</v>
          </cell>
          <cell r="AZ297">
            <v>168</v>
          </cell>
          <cell r="BA297">
            <v>8.16</v>
          </cell>
        </row>
        <row r="298">
          <cell r="F298">
            <v>124000000077</v>
          </cell>
          <cell r="G298" t="str">
            <v>M/S- M.P. RICE MILL</v>
          </cell>
          <cell r="H298" t="str">
            <v xml:space="preserve">PROP-RAJENDRA KU SAHA              </v>
          </cell>
          <cell r="I298" t="str">
            <v>01/25/2021 00:00:00</v>
          </cell>
          <cell r="J298">
            <v>1</v>
          </cell>
          <cell r="K298" t="str">
            <v xml:space="preserve">SWARUPVILLA , BARIPADA             </v>
          </cell>
          <cell r="L298" t="str">
            <v xml:space="preserve">MBJ                                </v>
          </cell>
          <cell r="M298" t="str">
            <v>521000010231492775</v>
          </cell>
          <cell r="N298" t="str">
            <v>31261023219</v>
          </cell>
          <cell r="O298" t="str">
            <v xml:space="preserve"> </v>
          </cell>
          <cell r="P298" t="str">
            <v>NULL</v>
          </cell>
          <cell r="Q298" t="str">
            <v>LARGE INDUSTRY</v>
          </cell>
          <cell r="R298" t="str">
            <v>HT</v>
          </cell>
          <cell r="S298" t="str">
            <v>01/10/2023</v>
          </cell>
          <cell r="T298" t="str">
            <v>01/10/2023</v>
          </cell>
          <cell r="U298" t="str">
            <v>06/10/2023</v>
          </cell>
          <cell r="V298" t="str">
            <v>09/10/2023</v>
          </cell>
          <cell r="W298" t="str">
            <v>2023/09</v>
          </cell>
          <cell r="X298" t="str">
            <v>11 KV</v>
          </cell>
          <cell r="Y298" t="str">
            <v>HT</v>
          </cell>
          <cell r="Z298">
            <v>160</v>
          </cell>
          <cell r="AA298">
            <v>0.99139999999999995</v>
          </cell>
          <cell r="AB298">
            <v>17.98</v>
          </cell>
          <cell r="AC298" t="str">
            <v xml:space="preserve">01/09/2023 -     </v>
          </cell>
          <cell r="AD298" t="str">
            <v>30.09.2023</v>
          </cell>
          <cell r="AE298" t="str">
            <v>30/1.0000</v>
          </cell>
          <cell r="AF298">
            <v>200</v>
          </cell>
          <cell r="AG298" t="str">
            <v>KVA</v>
          </cell>
          <cell r="AH298">
            <v>200</v>
          </cell>
          <cell r="AI298" t="str">
            <v>R</v>
          </cell>
          <cell r="AJ298">
            <v>1227679.83</v>
          </cell>
          <cell r="AK298" t="str">
            <v>30/09/2023</v>
          </cell>
          <cell r="AL298" t="str">
            <v>TPN64111</v>
          </cell>
          <cell r="AM298" t="str">
            <v>HT THREE PHASE 4 WIRE AMR/AMI COMPLAINT METER</v>
          </cell>
          <cell r="AN298" t="str">
            <v>POST PAID</v>
          </cell>
          <cell r="AO298">
            <v>250</v>
          </cell>
          <cell r="AP298" t="str">
            <v>TOD</v>
          </cell>
          <cell r="AQ298">
            <v>142111.17000000001</v>
          </cell>
          <cell r="AR298">
            <v>0</v>
          </cell>
          <cell r="AS298">
            <v>0</v>
          </cell>
          <cell r="AT298">
            <v>0</v>
          </cell>
          <cell r="AU298">
            <v>0</v>
          </cell>
          <cell r="AV298">
            <v>0</v>
          </cell>
          <cell r="AW298">
            <v>924</v>
          </cell>
          <cell r="AX298">
            <v>932</v>
          </cell>
          <cell r="AY298">
            <v>932</v>
          </cell>
          <cell r="AZ298">
            <v>524.88</v>
          </cell>
          <cell r="BA298">
            <v>7.2</v>
          </cell>
        </row>
        <row r="299">
          <cell r="F299">
            <v>124000000078</v>
          </cell>
          <cell r="G299" t="str">
            <v>Ms. JK EXCEL N INNOVATIONS C/O- JITESH KUMAR GUPTA</v>
          </cell>
          <cell r="H299" t="str">
            <v>87</v>
          </cell>
          <cell r="I299" t="str">
            <v>04/17/2023 00:00:00</v>
          </cell>
          <cell r="J299">
            <v>1</v>
          </cell>
          <cell r="K299" t="str">
            <v>BUDHIKHAMARI</v>
          </cell>
          <cell r="L299" t="str">
            <v>SUREIDIHI</v>
          </cell>
          <cell r="M299" t="str">
            <v>521000010231492477</v>
          </cell>
          <cell r="N299" t="str">
            <v>132327945573</v>
          </cell>
          <cell r="O299" t="str">
            <v xml:space="preserve"> </v>
          </cell>
          <cell r="P299" t="str">
            <v>NULL</v>
          </cell>
          <cell r="Q299" t="str">
            <v>LARGE INDUSTRY</v>
          </cell>
          <cell r="R299" t="str">
            <v>HT</v>
          </cell>
          <cell r="S299" t="str">
            <v>01/10/2023</v>
          </cell>
          <cell r="T299" t="str">
            <v>01/10/2023</v>
          </cell>
          <cell r="U299" t="str">
            <v>06/10/2023</v>
          </cell>
          <cell r="V299" t="str">
            <v>09/10/2023</v>
          </cell>
          <cell r="W299" t="str">
            <v>2023/09</v>
          </cell>
          <cell r="X299" t="str">
            <v>11 KV</v>
          </cell>
          <cell r="Y299" t="str">
            <v>HT</v>
          </cell>
          <cell r="Z299">
            <v>97.6</v>
          </cell>
          <cell r="AA299">
            <v>0.85270000000000001</v>
          </cell>
          <cell r="AB299">
            <v>11.71</v>
          </cell>
          <cell r="AC299" t="str">
            <v xml:space="preserve">01/09/2023 -     </v>
          </cell>
          <cell r="AD299" t="str">
            <v>30.09.2023</v>
          </cell>
          <cell r="AE299" t="str">
            <v>30/1.0000</v>
          </cell>
          <cell r="AF299">
            <v>122</v>
          </cell>
          <cell r="AG299" t="str">
            <v>KVA</v>
          </cell>
          <cell r="AH299">
            <v>122</v>
          </cell>
          <cell r="AI299" t="str">
            <v>R</v>
          </cell>
          <cell r="AJ299">
            <v>748884.8</v>
          </cell>
          <cell r="AK299" t="str">
            <v>30/09/2023</v>
          </cell>
          <cell r="AL299" t="str">
            <v>TPN64524</v>
          </cell>
          <cell r="AM299" t="str">
            <v>HT THREE PHASE 4 WIRE AMR/AMI COMPLAINT METER</v>
          </cell>
          <cell r="AN299" t="str">
            <v>POST PAID</v>
          </cell>
          <cell r="AO299">
            <v>250</v>
          </cell>
          <cell r="AP299" t="str">
            <v>TOD</v>
          </cell>
          <cell r="AQ299">
            <v>0</v>
          </cell>
          <cell r="AR299">
            <v>0</v>
          </cell>
          <cell r="AS299">
            <v>0</v>
          </cell>
          <cell r="AT299">
            <v>0</v>
          </cell>
          <cell r="AU299">
            <v>0</v>
          </cell>
          <cell r="AV299">
            <v>0</v>
          </cell>
          <cell r="AW299">
            <v>6157</v>
          </cell>
          <cell r="AX299">
            <v>7220</v>
          </cell>
          <cell r="AY299">
            <v>7220</v>
          </cell>
          <cell r="AZ299">
            <v>440.4</v>
          </cell>
          <cell r="BA299">
            <v>85.6</v>
          </cell>
        </row>
        <row r="300">
          <cell r="F300">
            <v>124000000079</v>
          </cell>
          <cell r="G300" t="str">
            <v>M/S.  APURBA FOOD PRODUCTS PVT LTD</v>
          </cell>
          <cell r="H300" t="str">
            <v xml:space="preserve">C/O- SMT. APURBA MANI MOHANTY      </v>
          </cell>
          <cell r="I300" t="str">
            <v>01/25/2021 00:00:00</v>
          </cell>
          <cell r="J300">
            <v>1</v>
          </cell>
          <cell r="K300" t="str">
            <v xml:space="preserve">GOBRASOLE                          </v>
          </cell>
          <cell r="L300" t="str">
            <v xml:space="preserve">MAYURBHANJ                         </v>
          </cell>
          <cell r="M300" t="str">
            <v>521000010232495296</v>
          </cell>
          <cell r="N300" t="str">
            <v>35212038352</v>
          </cell>
          <cell r="O300" t="str">
            <v>BT-79218</v>
          </cell>
          <cell r="P300" t="str">
            <v>NULL</v>
          </cell>
          <cell r="Q300" t="str">
            <v>LARGE INDUSTRY</v>
          </cell>
          <cell r="R300" t="str">
            <v>HT</v>
          </cell>
          <cell r="S300" t="str">
            <v>01/10/2023</v>
          </cell>
          <cell r="T300" t="str">
            <v>01/10/2023</v>
          </cell>
          <cell r="U300" t="str">
            <v>06/10/2023</v>
          </cell>
          <cell r="V300" t="str">
            <v>09/10/2023</v>
          </cell>
          <cell r="W300" t="str">
            <v>2023/09</v>
          </cell>
          <cell r="X300" t="str">
            <v>33 KV</v>
          </cell>
          <cell r="Y300" t="str">
            <v>HT</v>
          </cell>
          <cell r="Z300">
            <v>476.16</v>
          </cell>
          <cell r="AA300">
            <v>0.86240000000000006</v>
          </cell>
          <cell r="AB300">
            <v>22.19</v>
          </cell>
          <cell r="AC300" t="str">
            <v xml:space="preserve">01/09/2023 -     </v>
          </cell>
          <cell r="AD300" t="str">
            <v>30.09.2023</v>
          </cell>
          <cell r="AE300" t="str">
            <v>30/1.0000</v>
          </cell>
          <cell r="AF300">
            <v>555</v>
          </cell>
          <cell r="AG300" t="str">
            <v>KVA</v>
          </cell>
          <cell r="AH300">
            <v>555</v>
          </cell>
          <cell r="AI300" t="str">
            <v>R</v>
          </cell>
          <cell r="AJ300">
            <v>3406811.9131</v>
          </cell>
          <cell r="AK300" t="str">
            <v>30/09/2023</v>
          </cell>
          <cell r="AL300" t="str">
            <v>TPN64775</v>
          </cell>
          <cell r="AM300" t="str">
            <v>HT THREE PHASE 4 WIRE AMR/AMI COMPLAINT METER</v>
          </cell>
          <cell r="AN300" t="str">
            <v>POST PAID</v>
          </cell>
          <cell r="AO300">
            <v>750</v>
          </cell>
          <cell r="AP300" t="str">
            <v>TOD</v>
          </cell>
          <cell r="AQ300">
            <v>-93822.7</v>
          </cell>
          <cell r="AR300">
            <v>0</v>
          </cell>
          <cell r="AS300">
            <v>0</v>
          </cell>
          <cell r="AT300">
            <v>0</v>
          </cell>
          <cell r="AU300">
            <v>0</v>
          </cell>
          <cell r="AV300">
            <v>0</v>
          </cell>
          <cell r="AW300">
            <v>65607</v>
          </cell>
          <cell r="AX300">
            <v>76071</v>
          </cell>
          <cell r="AY300">
            <v>76071</v>
          </cell>
          <cell r="AZ300">
            <v>1649.04</v>
          </cell>
          <cell r="BA300">
            <v>476.15999999999997</v>
          </cell>
        </row>
        <row r="301">
          <cell r="F301">
            <v>124000000080</v>
          </cell>
          <cell r="G301" t="str">
            <v>Sita Ratan International</v>
          </cell>
          <cell r="H301" t="str">
            <v>Sanjogibandh</v>
          </cell>
          <cell r="I301" t="str">
            <v>05/18/2023 00:00:00</v>
          </cell>
          <cell r="J301">
            <v>1</v>
          </cell>
          <cell r="K301" t="str">
            <v>Deuli</v>
          </cell>
          <cell r="L301" t="str">
            <v>Baripada</v>
          </cell>
          <cell r="M301" t="str">
            <v>521000010231492587</v>
          </cell>
          <cell r="N301" t="str">
            <v>132328555537</v>
          </cell>
          <cell r="O301" t="str">
            <v xml:space="preserve"> </v>
          </cell>
          <cell r="P301" t="str">
            <v>NULL</v>
          </cell>
          <cell r="Q301" t="str">
            <v>LARGE INDUSTRY</v>
          </cell>
          <cell r="R301" t="str">
            <v>HT</v>
          </cell>
          <cell r="S301" t="str">
            <v>01/10/2023</v>
          </cell>
          <cell r="T301" t="str">
            <v>01/10/2023</v>
          </cell>
          <cell r="U301" t="str">
            <v>06/10/2023</v>
          </cell>
          <cell r="V301" t="str">
            <v>09/10/2023</v>
          </cell>
          <cell r="W301" t="str">
            <v>2023/09</v>
          </cell>
          <cell r="X301" t="str">
            <v>11 KV</v>
          </cell>
          <cell r="Y301" t="str">
            <v>HT</v>
          </cell>
          <cell r="Z301">
            <v>93.6</v>
          </cell>
          <cell r="AA301">
            <v>0.53839999999999999</v>
          </cell>
          <cell r="AB301">
            <v>16.66</v>
          </cell>
          <cell r="AC301" t="str">
            <v xml:space="preserve">01/09/2023 -     </v>
          </cell>
          <cell r="AD301" t="str">
            <v>30.09.2023</v>
          </cell>
          <cell r="AE301" t="str">
            <v>30/1.0000</v>
          </cell>
          <cell r="AF301">
            <v>117</v>
          </cell>
          <cell r="AG301" t="str">
            <v>KVA</v>
          </cell>
          <cell r="AH301">
            <v>117</v>
          </cell>
          <cell r="AI301" t="str">
            <v>R</v>
          </cell>
          <cell r="AJ301">
            <v>718193</v>
          </cell>
          <cell r="AK301" t="str">
            <v>30/09/2023</v>
          </cell>
          <cell r="AL301" t="str">
            <v>TPNODL38110669</v>
          </cell>
          <cell r="AM301" t="str">
            <v>THREE PHASE SMART HT CT METER (AMR/AMI)-11KV</v>
          </cell>
          <cell r="AN301" t="str">
            <v>SMART METER</v>
          </cell>
          <cell r="AO301">
            <v>200</v>
          </cell>
          <cell r="AP301" t="str">
            <v>TOD</v>
          </cell>
          <cell r="AQ301">
            <v>0</v>
          </cell>
          <cell r="AR301">
            <v>0</v>
          </cell>
          <cell r="AS301">
            <v>0</v>
          </cell>
          <cell r="AT301">
            <v>0</v>
          </cell>
          <cell r="AU301">
            <v>0</v>
          </cell>
          <cell r="AV301">
            <v>0</v>
          </cell>
          <cell r="AW301">
            <v>1511</v>
          </cell>
          <cell r="AX301">
            <v>2806</v>
          </cell>
          <cell r="AY301">
            <v>2806</v>
          </cell>
          <cell r="AZ301">
            <v>104.7872</v>
          </cell>
          <cell r="BA301">
            <v>23.388000000000002</v>
          </cell>
        </row>
        <row r="302">
          <cell r="F302">
            <v>124000000081</v>
          </cell>
          <cell r="G302" t="str">
            <v>M/s Meghasani Pulp &amp; Paper Pvt. Ltd.</v>
          </cell>
          <cell r="H302" t="str">
            <v xml:space="preserve"> </v>
          </cell>
          <cell r="I302" t="str">
            <v>09/29/2023 00:00:00</v>
          </cell>
          <cell r="J302">
            <v>1</v>
          </cell>
          <cell r="K302" t="str">
            <v>Bananuagan</v>
          </cell>
          <cell r="L302" t="str">
            <v>Mayurbhanj</v>
          </cell>
          <cell r="M302" t="str">
            <v>521000010231492600</v>
          </cell>
          <cell r="N302" t="str">
            <v>132329087653</v>
          </cell>
          <cell r="O302" t="str">
            <v xml:space="preserve"> </v>
          </cell>
          <cell r="P302" t="str">
            <v>NULL</v>
          </cell>
          <cell r="Q302" t="str">
            <v>LARGE INDUSTRY</v>
          </cell>
          <cell r="R302" t="str">
            <v>HT</v>
          </cell>
          <cell r="S302" t="str">
            <v>01/10/2023</v>
          </cell>
          <cell r="T302" t="str">
            <v>01/10/2023</v>
          </cell>
          <cell r="U302" t="str">
            <v>06/10/2023</v>
          </cell>
          <cell r="V302" t="str">
            <v>09/10/2023</v>
          </cell>
          <cell r="W302" t="str">
            <v>2023/09</v>
          </cell>
          <cell r="X302" t="str">
            <v>33 KV</v>
          </cell>
          <cell r="Y302" t="str">
            <v>HT</v>
          </cell>
          <cell r="Z302">
            <v>1440</v>
          </cell>
          <cell r="AA302">
            <v>1</v>
          </cell>
          <cell r="AB302">
            <v>6.51</v>
          </cell>
          <cell r="AC302" t="str">
            <v xml:space="preserve">26/09/2023 -          </v>
          </cell>
          <cell r="AD302" t="str">
            <v>30.09.2023</v>
          </cell>
          <cell r="AE302" t="str">
            <v>5/0.1667</v>
          </cell>
          <cell r="AF302">
            <v>1800</v>
          </cell>
          <cell r="AG302" t="str">
            <v>KVA</v>
          </cell>
          <cell r="AH302">
            <v>1800</v>
          </cell>
          <cell r="AI302" t="str">
            <v>N</v>
          </cell>
          <cell r="AJ302">
            <v>11049120</v>
          </cell>
          <cell r="AK302" t="str">
            <v>30/09/2023</v>
          </cell>
          <cell r="AL302" t="str">
            <v>TPN64452</v>
          </cell>
          <cell r="AM302" t="str">
            <v>THREE PHASE HT CT METER-33KV</v>
          </cell>
          <cell r="AN302" t="str">
            <v>POST PAID</v>
          </cell>
          <cell r="AO302">
            <v>3150</v>
          </cell>
          <cell r="AP302" t="str">
            <v>TOD</v>
          </cell>
          <cell r="AQ302">
            <v>0</v>
          </cell>
          <cell r="AR302">
            <v>0</v>
          </cell>
          <cell r="AS302">
            <v>0</v>
          </cell>
          <cell r="AT302">
            <v>0</v>
          </cell>
          <cell r="AU302">
            <v>0</v>
          </cell>
          <cell r="AV302">
            <v>0</v>
          </cell>
          <cell r="AW302">
            <v>30</v>
          </cell>
          <cell r="AX302">
            <v>30</v>
          </cell>
          <cell r="AY302">
            <v>30</v>
          </cell>
          <cell r="AZ302">
            <v>1.6000000000000001E-3</v>
          </cell>
          <cell r="BA302">
            <v>4.8</v>
          </cell>
        </row>
        <row r="303">
          <cell r="F303">
            <v>125000000002</v>
          </cell>
          <cell r="G303" t="str">
            <v>M/S JAGADAMBA STEEL IND.(P) LTD.</v>
          </cell>
          <cell r="H303" t="str">
            <v>AT-ASHANBANI,RAIRANGPUR</v>
          </cell>
          <cell r="I303" t="str">
            <v>10/31/2020 00:00:00</v>
          </cell>
          <cell r="J303">
            <v>1</v>
          </cell>
          <cell r="K303" t="str">
            <v xml:space="preserve"> </v>
          </cell>
          <cell r="L303" t="str">
            <v xml:space="preserve"> </v>
          </cell>
          <cell r="M303" t="str">
            <v>523000010231493054</v>
          </cell>
          <cell r="N303" t="str">
            <v>1250000002</v>
          </cell>
          <cell r="O303" t="str">
            <v>21540-GP</v>
          </cell>
          <cell r="P303" t="str">
            <v>45207411001</v>
          </cell>
          <cell r="Q303" t="str">
            <v>GENERAL PURPOSE &gt;= 110 KVA</v>
          </cell>
          <cell r="R303" t="str">
            <v>HT</v>
          </cell>
          <cell r="S303" t="str">
            <v>01/10/2023</v>
          </cell>
          <cell r="T303" t="str">
            <v>01/10/2023</v>
          </cell>
          <cell r="U303" t="str">
            <v>06/10/2023</v>
          </cell>
          <cell r="V303" t="str">
            <v>09/10/2023</v>
          </cell>
          <cell r="W303" t="str">
            <v>2023/09</v>
          </cell>
          <cell r="X303" t="str">
            <v>33 KV</v>
          </cell>
          <cell r="Y303" t="str">
            <v>HT</v>
          </cell>
          <cell r="Z303">
            <v>448</v>
          </cell>
          <cell r="AA303">
            <v>0.90769999999999995</v>
          </cell>
          <cell r="AB303">
            <v>17.47</v>
          </cell>
          <cell r="AC303" t="str">
            <v xml:space="preserve">01/09/2023 -     </v>
          </cell>
          <cell r="AD303" t="str">
            <v>30.09.2023</v>
          </cell>
          <cell r="AE303" t="str">
            <v>30/1.0000</v>
          </cell>
          <cell r="AF303">
            <v>560</v>
          </cell>
          <cell r="AG303" t="str">
            <v>KVA</v>
          </cell>
          <cell r="AH303">
            <v>560</v>
          </cell>
          <cell r="AI303" t="str">
            <v>R</v>
          </cell>
          <cell r="AJ303">
            <v>2713356.6</v>
          </cell>
          <cell r="AK303" t="str">
            <v>30/09/2023</v>
          </cell>
          <cell r="AL303" t="str">
            <v>TPN64706</v>
          </cell>
          <cell r="AM303" t="str">
            <v>THREE PHASE HT CT METER-33KV</v>
          </cell>
          <cell r="AN303" t="str">
            <v>POST PAID</v>
          </cell>
          <cell r="AO303">
            <v>1000</v>
          </cell>
          <cell r="AP303" t="str">
            <v>TOD</v>
          </cell>
          <cell r="AQ303">
            <v>-341769.34</v>
          </cell>
          <cell r="AR303">
            <v>0</v>
          </cell>
          <cell r="AS303">
            <v>0</v>
          </cell>
          <cell r="AT303">
            <v>0</v>
          </cell>
          <cell r="AU303">
            <v>0</v>
          </cell>
          <cell r="AV303">
            <v>0</v>
          </cell>
          <cell r="AW303">
            <v>48630</v>
          </cell>
          <cell r="AX303">
            <v>53572</v>
          </cell>
          <cell r="AY303">
            <v>53572</v>
          </cell>
          <cell r="AZ303">
            <v>3121.2</v>
          </cell>
          <cell r="BA303">
            <v>425.99999999999994</v>
          </cell>
        </row>
        <row r="304">
          <cell r="F304">
            <v>125000000005</v>
          </cell>
          <cell r="G304" t="str">
            <v>VENKATESWARA HATCHERIES PVT. LTD.</v>
          </cell>
          <cell r="H304" t="str">
            <v>ANGARPADA,</v>
          </cell>
          <cell r="I304" t="str">
            <v>10/31/2020 00:00:00</v>
          </cell>
          <cell r="J304">
            <v>1</v>
          </cell>
          <cell r="K304" t="str">
            <v xml:space="preserve"> </v>
          </cell>
          <cell r="L304" t="str">
            <v xml:space="preserve"> </v>
          </cell>
          <cell r="M304" t="str">
            <v>523000010231493133</v>
          </cell>
          <cell r="N304" t="str">
            <v>1250000005</v>
          </cell>
          <cell r="O304" t="str">
            <v>10718-GP</v>
          </cell>
          <cell r="P304" t="str">
            <v>45207410001</v>
          </cell>
          <cell r="Q304" t="str">
            <v>ALLIED AGRICULTURE ACTIVITIES</v>
          </cell>
          <cell r="R304" t="str">
            <v>HT</v>
          </cell>
          <cell r="S304" t="str">
            <v>01/10/2023</v>
          </cell>
          <cell r="T304" t="str">
            <v>01/10/2023</v>
          </cell>
          <cell r="U304" t="str">
            <v>09/10/2023</v>
          </cell>
          <cell r="V304" t="str">
            <v>09/10/2023</v>
          </cell>
          <cell r="W304" t="str">
            <v>2023/09</v>
          </cell>
          <cell r="X304" t="str">
            <v>33 KV</v>
          </cell>
          <cell r="Y304" t="str">
            <v>HT</v>
          </cell>
          <cell r="Z304">
            <v>234.6</v>
          </cell>
          <cell r="AA304">
            <v>0.93</v>
          </cell>
          <cell r="AB304">
            <v>0</v>
          </cell>
          <cell r="AC304" t="str">
            <v xml:space="preserve">01/09/2023 -     </v>
          </cell>
          <cell r="AD304" t="str">
            <v>30.09.2023</v>
          </cell>
          <cell r="AE304" t="str">
            <v>30/1.0000</v>
          </cell>
          <cell r="AF304">
            <v>205</v>
          </cell>
          <cell r="AG304" t="str">
            <v>KVA</v>
          </cell>
          <cell r="AH304">
            <v>205</v>
          </cell>
          <cell r="AI304" t="str">
            <v>R</v>
          </cell>
          <cell r="AJ304">
            <v>896338.7</v>
          </cell>
          <cell r="AK304" t="str">
            <v>30/09/2023</v>
          </cell>
          <cell r="AL304" t="str">
            <v>TPN64707</v>
          </cell>
          <cell r="AM304" t="str">
            <v>THREE PHASE HT CT METER-33KV</v>
          </cell>
          <cell r="AN304" t="str">
            <v>POST PAID</v>
          </cell>
          <cell r="AO304">
            <v>250</v>
          </cell>
          <cell r="AP304" t="str">
            <v>TOD</v>
          </cell>
          <cell r="AQ304">
            <v>-560628.69999999995</v>
          </cell>
          <cell r="AR304">
            <v>0</v>
          </cell>
          <cell r="AS304">
            <v>0</v>
          </cell>
          <cell r="AT304">
            <v>0</v>
          </cell>
          <cell r="AU304">
            <v>0</v>
          </cell>
          <cell r="AV304">
            <v>0</v>
          </cell>
          <cell r="AW304">
            <v>120802</v>
          </cell>
          <cell r="AX304">
            <v>129893</v>
          </cell>
          <cell r="AY304">
            <v>129893</v>
          </cell>
          <cell r="AZ304">
            <v>1343.4</v>
          </cell>
          <cell r="BA304">
            <v>234.60000000000002</v>
          </cell>
        </row>
        <row r="305">
          <cell r="F305">
            <v>125000000006</v>
          </cell>
          <cell r="G305" t="str">
            <v>VENKATESWARA HATCHERIES PVT LTD</v>
          </cell>
          <cell r="H305" t="str">
            <v>DIGPORI,</v>
          </cell>
          <cell r="I305" t="str">
            <v>10/31/2020 00:00:00</v>
          </cell>
          <cell r="J305">
            <v>1</v>
          </cell>
          <cell r="K305" t="str">
            <v xml:space="preserve"> </v>
          </cell>
          <cell r="L305" t="str">
            <v xml:space="preserve"> </v>
          </cell>
          <cell r="M305" t="str">
            <v>523000010231493233</v>
          </cell>
          <cell r="N305" t="str">
            <v>1250000006</v>
          </cell>
          <cell r="O305" t="str">
            <v>19187-GP</v>
          </cell>
          <cell r="P305" t="str">
            <v>45207410001</v>
          </cell>
          <cell r="Q305" t="str">
            <v>ALLIED AGRICULTURE ACTIVITIES</v>
          </cell>
          <cell r="R305" t="str">
            <v>HT</v>
          </cell>
          <cell r="S305" t="str">
            <v>01/10/2023</v>
          </cell>
          <cell r="T305" t="str">
            <v>01/10/2023</v>
          </cell>
          <cell r="U305" t="str">
            <v>09/10/2023</v>
          </cell>
          <cell r="V305" t="str">
            <v>09/10/2023</v>
          </cell>
          <cell r="W305" t="str">
            <v>2023/09</v>
          </cell>
          <cell r="X305" t="str">
            <v>33 KV</v>
          </cell>
          <cell r="Y305" t="str">
            <v>HT</v>
          </cell>
          <cell r="Z305">
            <v>122.5</v>
          </cell>
          <cell r="AA305">
            <v>0.94130000000000003</v>
          </cell>
          <cell r="AB305">
            <v>0</v>
          </cell>
          <cell r="AC305" t="str">
            <v xml:space="preserve">25/08/2023 -     </v>
          </cell>
          <cell r="AD305" t="str">
            <v>30.09.2023</v>
          </cell>
          <cell r="AE305" t="str">
            <v>37/1.0000</v>
          </cell>
          <cell r="AF305">
            <v>122.5</v>
          </cell>
          <cell r="AG305" t="str">
            <v>KVA</v>
          </cell>
          <cell r="AH305">
            <v>122.5</v>
          </cell>
          <cell r="AI305" t="str">
            <v>R</v>
          </cell>
          <cell r="AJ305">
            <v>323151</v>
          </cell>
          <cell r="AK305" t="str">
            <v>30/09/2023</v>
          </cell>
          <cell r="AL305" t="str">
            <v>NES83166</v>
          </cell>
          <cell r="AM305" t="str">
            <v>THREE PHASE HT CT METER-33KV</v>
          </cell>
          <cell r="AN305" t="str">
            <v>POST PAID</v>
          </cell>
          <cell r="AO305">
            <v>250</v>
          </cell>
          <cell r="AP305" t="str">
            <v>TOD</v>
          </cell>
          <cell r="AQ305">
            <v>-268632.5</v>
          </cell>
          <cell r="AR305">
            <v>0</v>
          </cell>
          <cell r="AS305">
            <v>0</v>
          </cell>
          <cell r="AT305">
            <v>0</v>
          </cell>
          <cell r="AU305">
            <v>0</v>
          </cell>
          <cell r="AV305">
            <v>0</v>
          </cell>
          <cell r="AW305">
            <v>41337</v>
          </cell>
          <cell r="AX305">
            <v>43914</v>
          </cell>
          <cell r="AY305">
            <v>43914</v>
          </cell>
          <cell r="AZ305">
            <v>646.32000000000005</v>
          </cell>
          <cell r="BA305">
            <v>106.56</v>
          </cell>
        </row>
        <row r="306">
          <cell r="F306">
            <v>125000000011</v>
          </cell>
          <cell r="G306" t="str">
            <v>M/S.GANESH RICE MILL</v>
          </cell>
          <cell r="H306" t="str">
            <v>KURULIA,CHHANCHABANI,</v>
          </cell>
          <cell r="I306" t="str">
            <v>10/31/2020 00:00:00</v>
          </cell>
          <cell r="J306">
            <v>1</v>
          </cell>
          <cell r="K306" t="str">
            <v xml:space="preserve"> </v>
          </cell>
          <cell r="L306" t="str">
            <v xml:space="preserve"> </v>
          </cell>
          <cell r="M306" t="str">
            <v>523000010231492937</v>
          </cell>
          <cell r="N306" t="str">
            <v>1250000010</v>
          </cell>
          <cell r="O306" t="str">
            <v>KA-28484</v>
          </cell>
          <cell r="P306" t="str">
            <v>452321203</v>
          </cell>
          <cell r="Q306" t="str">
            <v>LARGE INDUSTRY</v>
          </cell>
          <cell r="R306" t="str">
            <v>HT</v>
          </cell>
          <cell r="S306" t="str">
            <v>01/10/2023</v>
          </cell>
          <cell r="T306" t="str">
            <v>01/10/2023</v>
          </cell>
          <cell r="U306" t="str">
            <v>06/10/2023</v>
          </cell>
          <cell r="V306" t="str">
            <v>09/10/2023</v>
          </cell>
          <cell r="W306" t="str">
            <v>2023/09</v>
          </cell>
          <cell r="X306" t="str">
            <v>11 KV</v>
          </cell>
          <cell r="Y306" t="str">
            <v>HT</v>
          </cell>
          <cell r="Z306">
            <v>279.2</v>
          </cell>
          <cell r="AA306">
            <v>0.94669999999999999</v>
          </cell>
          <cell r="AB306">
            <v>37.25</v>
          </cell>
          <cell r="AC306" t="str">
            <v xml:space="preserve">01/09/2023 -     </v>
          </cell>
          <cell r="AD306" t="str">
            <v>30.09.2023</v>
          </cell>
          <cell r="AE306" t="str">
            <v>30/1.0000</v>
          </cell>
          <cell r="AF306">
            <v>349</v>
          </cell>
          <cell r="AG306" t="str">
            <v>KVA</v>
          </cell>
          <cell r="AH306">
            <v>349</v>
          </cell>
          <cell r="AI306" t="str">
            <v>R</v>
          </cell>
          <cell r="AJ306">
            <v>1040935.57</v>
          </cell>
          <cell r="AK306" t="str">
            <v>30/09/2023</v>
          </cell>
          <cell r="AL306" t="str">
            <v>TPN64275</v>
          </cell>
          <cell r="AM306" t="str">
            <v>THREE PHASE STATIC TRI-VECTOR METER</v>
          </cell>
          <cell r="AN306" t="str">
            <v>POST PAID</v>
          </cell>
          <cell r="AO306">
            <v>300</v>
          </cell>
          <cell r="AP306" t="str">
            <v>TOD</v>
          </cell>
          <cell r="AQ306">
            <v>257337.93</v>
          </cell>
          <cell r="AR306">
            <v>0</v>
          </cell>
          <cell r="AS306">
            <v>0</v>
          </cell>
          <cell r="AT306">
            <v>0</v>
          </cell>
          <cell r="AU306">
            <v>0</v>
          </cell>
          <cell r="AV306">
            <v>0</v>
          </cell>
          <cell r="AW306">
            <v>65115</v>
          </cell>
          <cell r="AX306">
            <v>68775</v>
          </cell>
          <cell r="AY306">
            <v>68775</v>
          </cell>
          <cell r="AZ306">
            <v>1859.2</v>
          </cell>
          <cell r="BA306">
            <v>256.40000000000003</v>
          </cell>
        </row>
        <row r="307">
          <cell r="F307">
            <v>125000000020</v>
          </cell>
          <cell r="G307" t="str">
            <v>M/S MAYUR ELECTRO CERAMICS PVT.LTD</v>
          </cell>
          <cell r="H307" t="str">
            <v>KULDIHA,PRATAPGARH</v>
          </cell>
          <cell r="I307" t="str">
            <v>10/31/2020 00:00:00</v>
          </cell>
          <cell r="J307">
            <v>1</v>
          </cell>
          <cell r="K307" t="str">
            <v xml:space="preserve"> </v>
          </cell>
          <cell r="L307" t="str">
            <v xml:space="preserve"> </v>
          </cell>
          <cell r="M307" t="str">
            <v>523000010231493178</v>
          </cell>
          <cell r="N307" t="str">
            <v>1250000019</v>
          </cell>
          <cell r="O307" t="str">
            <v>RA-5268</v>
          </cell>
          <cell r="P307" t="str">
            <v>45207411003</v>
          </cell>
          <cell r="Q307" t="str">
            <v>LARGE INDUSTRY</v>
          </cell>
          <cell r="R307" t="str">
            <v>HT</v>
          </cell>
          <cell r="S307" t="str">
            <v>01/10/2023</v>
          </cell>
          <cell r="T307" t="str">
            <v>01/10/2023</v>
          </cell>
          <cell r="U307" t="str">
            <v>06/10/2023</v>
          </cell>
          <cell r="V307" t="str">
            <v>09/10/2023</v>
          </cell>
          <cell r="W307" t="str">
            <v>2023/09</v>
          </cell>
          <cell r="X307" t="str">
            <v>33 KV</v>
          </cell>
          <cell r="Y307" t="str">
            <v>HT</v>
          </cell>
          <cell r="Z307">
            <v>504</v>
          </cell>
          <cell r="AA307">
            <v>0.81059999999999999</v>
          </cell>
          <cell r="AB307">
            <v>43.83</v>
          </cell>
          <cell r="AC307" t="str">
            <v xml:space="preserve">01/09/2023 -     </v>
          </cell>
          <cell r="AD307" t="str">
            <v>30.09.2023</v>
          </cell>
          <cell r="AE307" t="str">
            <v>30/1.0000</v>
          </cell>
          <cell r="AF307">
            <v>630</v>
          </cell>
          <cell r="AG307" t="str">
            <v>KVA</v>
          </cell>
          <cell r="AH307">
            <v>630</v>
          </cell>
          <cell r="AI307" t="str">
            <v>R</v>
          </cell>
          <cell r="AJ307">
            <v>3890760.6</v>
          </cell>
          <cell r="AK307" t="str">
            <v>30/09/2023</v>
          </cell>
          <cell r="AL307" t="str">
            <v>NSC94642</v>
          </cell>
          <cell r="AM307" t="str">
            <v>THREE PHASE HT CT METER-33KV</v>
          </cell>
          <cell r="AN307" t="str">
            <v>POST PAID</v>
          </cell>
          <cell r="AO307">
            <v>1000</v>
          </cell>
          <cell r="AP307" t="str">
            <v>TOD</v>
          </cell>
          <cell r="AQ307">
            <v>-2285706.84</v>
          </cell>
          <cell r="AR307">
            <v>0</v>
          </cell>
          <cell r="AS307">
            <v>0</v>
          </cell>
          <cell r="AT307">
            <v>0</v>
          </cell>
          <cell r="AU307">
            <v>0</v>
          </cell>
          <cell r="AV307">
            <v>0</v>
          </cell>
          <cell r="AW307">
            <v>96636</v>
          </cell>
          <cell r="AX307">
            <v>119208</v>
          </cell>
          <cell r="AY307">
            <v>119208</v>
          </cell>
          <cell r="AZ307">
            <v>1143.3599999999999</v>
          </cell>
          <cell r="BA307">
            <v>377.76000000000005</v>
          </cell>
        </row>
        <row r="308">
          <cell r="F308">
            <v>125000000023</v>
          </cell>
          <cell r="G308" t="str">
            <v>TARAK NATH DAS</v>
          </cell>
          <cell r="H308" t="str">
            <v>MAJHIGAON,JHARADIHI</v>
          </cell>
          <cell r="I308" t="str">
            <v>10/31/2020 00:00:00</v>
          </cell>
          <cell r="J308">
            <v>1</v>
          </cell>
          <cell r="K308" t="str">
            <v xml:space="preserve"> </v>
          </cell>
          <cell r="L308" t="str">
            <v xml:space="preserve"> </v>
          </cell>
          <cell r="M308" t="str">
            <v>523000010231493040</v>
          </cell>
          <cell r="N308" t="str">
            <v>1250000022</v>
          </cell>
          <cell r="O308" t="str">
            <v>BA-35361</v>
          </cell>
          <cell r="P308" t="str">
            <v>452314202</v>
          </cell>
          <cell r="Q308" t="str">
            <v>LARGE INDUSTRY</v>
          </cell>
          <cell r="R308" t="str">
            <v>HT</v>
          </cell>
          <cell r="S308" t="str">
            <v>01/10/2023</v>
          </cell>
          <cell r="T308" t="str">
            <v>01/10/2023</v>
          </cell>
          <cell r="U308" t="str">
            <v>06/10/2023</v>
          </cell>
          <cell r="V308" t="str">
            <v>09/10/2023</v>
          </cell>
          <cell r="W308" t="str">
            <v>2023/09</v>
          </cell>
          <cell r="X308" t="str">
            <v>11 KV</v>
          </cell>
          <cell r="Y308" t="str">
            <v>HT</v>
          </cell>
          <cell r="Z308">
            <v>112</v>
          </cell>
          <cell r="AA308">
            <v>0.86439999999999995</v>
          </cell>
          <cell r="AB308">
            <v>44.3</v>
          </cell>
          <cell r="AC308" t="str">
            <v xml:space="preserve">01/09/2023 -     </v>
          </cell>
          <cell r="AD308" t="str">
            <v>30.09.2023</v>
          </cell>
          <cell r="AE308" t="str">
            <v>30/1.0000</v>
          </cell>
          <cell r="AF308">
            <v>140</v>
          </cell>
          <cell r="AG308" t="str">
            <v>KVA</v>
          </cell>
          <cell r="AH308">
            <v>140</v>
          </cell>
          <cell r="AI308" t="str">
            <v>R</v>
          </cell>
          <cell r="AJ308">
            <v>678339.7</v>
          </cell>
          <cell r="AK308" t="str">
            <v>30/09/2023</v>
          </cell>
          <cell r="AL308" t="str">
            <v>TPNODL38110572</v>
          </cell>
          <cell r="AM308" t="str">
            <v>THREE PHASE SMART HT CT METER (AMR/AMI)-11KV</v>
          </cell>
          <cell r="AN308" t="str">
            <v>SMART METER</v>
          </cell>
          <cell r="AO308">
            <v>200</v>
          </cell>
          <cell r="AP308" t="str">
            <v>TOD</v>
          </cell>
          <cell r="AQ308">
            <v>-536884.24</v>
          </cell>
          <cell r="AR308">
            <v>0</v>
          </cell>
          <cell r="AS308">
            <v>0</v>
          </cell>
          <cell r="AT308">
            <v>0</v>
          </cell>
          <cell r="AU308">
            <v>0</v>
          </cell>
          <cell r="AV308">
            <v>0</v>
          </cell>
          <cell r="AW308">
            <v>2225</v>
          </cell>
          <cell r="AX308">
            <v>2574</v>
          </cell>
          <cell r="AY308">
            <v>2574</v>
          </cell>
          <cell r="AZ308">
            <v>19.543600000000001</v>
          </cell>
          <cell r="BA308">
            <v>8.07</v>
          </cell>
        </row>
        <row r="309">
          <cell r="F309">
            <v>125000000024</v>
          </cell>
          <cell r="G309" t="str">
            <v>SHREE LAKSHMI AGRI FOODS PVT.LTD.</v>
          </cell>
          <cell r="H309" t="str">
            <v>KANKADA,TATOKARANJIA</v>
          </cell>
          <cell r="I309" t="str">
            <v>10/31/2020 00:00:00</v>
          </cell>
          <cell r="J309">
            <v>1</v>
          </cell>
          <cell r="K309" t="str">
            <v xml:space="preserve"> </v>
          </cell>
          <cell r="L309" t="str">
            <v xml:space="preserve"> </v>
          </cell>
          <cell r="M309" t="str">
            <v>523000010231493065</v>
          </cell>
          <cell r="N309" t="str">
            <v>1250000023</v>
          </cell>
          <cell r="O309" t="str">
            <v>KA-35510</v>
          </cell>
          <cell r="P309" t="str">
            <v>452321203</v>
          </cell>
          <cell r="Q309" t="str">
            <v>LARGE INDUSTRY</v>
          </cell>
          <cell r="R309" t="str">
            <v>HT</v>
          </cell>
          <cell r="S309" t="str">
            <v>01/10/2023</v>
          </cell>
          <cell r="T309" t="str">
            <v>01/10/2023</v>
          </cell>
          <cell r="U309" t="str">
            <v>06/10/2023</v>
          </cell>
          <cell r="V309" t="str">
            <v>09/10/2023</v>
          </cell>
          <cell r="W309" t="str">
            <v>2023/09</v>
          </cell>
          <cell r="X309" t="str">
            <v>11 KV</v>
          </cell>
          <cell r="Y309" t="str">
            <v>HT</v>
          </cell>
          <cell r="Z309">
            <v>230.72</v>
          </cell>
          <cell r="AA309">
            <v>0.98240000000000005</v>
          </cell>
          <cell r="AB309">
            <v>38.630000000000003</v>
          </cell>
          <cell r="AC309" t="str">
            <v xml:space="preserve">01/09/2023 -     </v>
          </cell>
          <cell r="AD309" t="str">
            <v>30.09.2023</v>
          </cell>
          <cell r="AE309" t="str">
            <v>30/1.0000</v>
          </cell>
          <cell r="AF309">
            <v>244</v>
          </cell>
          <cell r="AG309" t="str">
            <v>KVA</v>
          </cell>
          <cell r="AH309">
            <v>244</v>
          </cell>
          <cell r="AI309" t="str">
            <v>R</v>
          </cell>
          <cell r="AJ309">
            <v>1156579.2</v>
          </cell>
          <cell r="AK309" t="str">
            <v>30/09/2023</v>
          </cell>
          <cell r="AL309" t="str">
            <v>NES83142</v>
          </cell>
          <cell r="AM309" t="str">
            <v>TRI-VECTOR METER FOR RAILWAY TRACTION</v>
          </cell>
          <cell r="AN309" t="str">
            <v>POST PAID</v>
          </cell>
          <cell r="AO309">
            <v>250</v>
          </cell>
          <cell r="AP309" t="str">
            <v>TOD</v>
          </cell>
          <cell r="AQ309">
            <v>-67400.399999999994</v>
          </cell>
          <cell r="AR309">
            <v>0</v>
          </cell>
          <cell r="AS309">
            <v>0</v>
          </cell>
          <cell r="AT309">
            <v>0</v>
          </cell>
          <cell r="AU309">
            <v>0</v>
          </cell>
          <cell r="AV309">
            <v>0</v>
          </cell>
          <cell r="AW309">
            <v>63052</v>
          </cell>
          <cell r="AX309">
            <v>64178</v>
          </cell>
          <cell r="AY309">
            <v>64178</v>
          </cell>
          <cell r="AZ309">
            <v>1916.16</v>
          </cell>
          <cell r="BA309">
            <v>230.72</v>
          </cell>
        </row>
        <row r="310">
          <cell r="F310">
            <v>125000000025</v>
          </cell>
          <cell r="G310" t="str">
            <v>CHANNDRIKA AGRO FOODS PVT.LTD.</v>
          </cell>
          <cell r="H310" t="str">
            <v>KANKADA,TATOMAYURBHANJ</v>
          </cell>
          <cell r="I310" t="str">
            <v>10/31/2020 00:00:00</v>
          </cell>
          <cell r="J310">
            <v>1</v>
          </cell>
          <cell r="K310" t="str">
            <v xml:space="preserve"> </v>
          </cell>
          <cell r="L310" t="str">
            <v xml:space="preserve"> </v>
          </cell>
          <cell r="M310" t="str">
            <v>523000010231493162</v>
          </cell>
          <cell r="N310" t="str">
            <v>1250000024</v>
          </cell>
          <cell r="O310" t="str">
            <v>KA-35509</v>
          </cell>
          <cell r="P310" t="str">
            <v>452321203</v>
          </cell>
          <cell r="Q310" t="str">
            <v>LARGE INDUSTRY</v>
          </cell>
          <cell r="R310" t="str">
            <v>HT</v>
          </cell>
          <cell r="S310" t="str">
            <v>01/10/2023</v>
          </cell>
          <cell r="T310" t="str">
            <v>01/10/2023</v>
          </cell>
          <cell r="U310" t="str">
            <v>06/10/2023</v>
          </cell>
          <cell r="V310" t="str">
            <v>09/10/2023</v>
          </cell>
          <cell r="W310" t="str">
            <v>2023/09</v>
          </cell>
          <cell r="X310" t="str">
            <v>11 KV</v>
          </cell>
          <cell r="Y310" t="str">
            <v>HT</v>
          </cell>
          <cell r="Z310">
            <v>279.52</v>
          </cell>
          <cell r="AA310">
            <v>0.85260000000000002</v>
          </cell>
          <cell r="AB310">
            <v>8.01</v>
          </cell>
          <cell r="AC310" t="str">
            <v xml:space="preserve">01/09/2023 -     </v>
          </cell>
          <cell r="AD310" t="str">
            <v>30.09.2023</v>
          </cell>
          <cell r="AE310" t="str">
            <v>30/1.0000</v>
          </cell>
          <cell r="AF310">
            <v>300</v>
          </cell>
          <cell r="AG310" t="str">
            <v>KVA</v>
          </cell>
          <cell r="AH310">
            <v>300</v>
          </cell>
          <cell r="AI310" t="str">
            <v>R</v>
          </cell>
          <cell r="AJ310">
            <v>1533288.6</v>
          </cell>
          <cell r="AK310" t="str">
            <v>30/09/2023</v>
          </cell>
          <cell r="AL310" t="str">
            <v>NES83057</v>
          </cell>
          <cell r="AM310" t="str">
            <v>TRI-VECTOR METER FOR RAILWAY TRACTION</v>
          </cell>
          <cell r="AN310" t="str">
            <v>POST PAID</v>
          </cell>
          <cell r="AO310">
            <v>500</v>
          </cell>
          <cell r="AP310" t="str">
            <v>TOD</v>
          </cell>
          <cell r="AQ310">
            <v>-661169.26</v>
          </cell>
          <cell r="AR310">
            <v>0</v>
          </cell>
          <cell r="AS310">
            <v>0</v>
          </cell>
          <cell r="AT310">
            <v>0</v>
          </cell>
          <cell r="AU310">
            <v>0</v>
          </cell>
          <cell r="AV310">
            <v>0</v>
          </cell>
          <cell r="AW310">
            <v>13754</v>
          </cell>
          <cell r="AX310">
            <v>16130</v>
          </cell>
          <cell r="AY310">
            <v>16130</v>
          </cell>
          <cell r="AZ310">
            <v>1947.52</v>
          </cell>
          <cell r="BA310">
            <v>279.52</v>
          </cell>
        </row>
        <row r="311">
          <cell r="F311">
            <v>125000000026</v>
          </cell>
          <cell r="G311" t="str">
            <v>M/S- MAA KIRANDEVI AGRO (P)LTD.</v>
          </cell>
          <cell r="H311" t="str">
            <v>PANDERSIL,SUKRULIMAYURBHANJ</v>
          </cell>
          <cell r="I311" t="str">
            <v>10/31/2020 00:00:00</v>
          </cell>
          <cell r="J311">
            <v>1</v>
          </cell>
          <cell r="K311" t="str">
            <v xml:space="preserve"> </v>
          </cell>
          <cell r="L311" t="str">
            <v xml:space="preserve"> </v>
          </cell>
          <cell r="M311" t="str">
            <v>523000010231493070</v>
          </cell>
          <cell r="N311" t="str">
            <v>1250000025</v>
          </cell>
          <cell r="O311" t="str">
            <v>L-35698</v>
          </cell>
          <cell r="P311" t="str">
            <v>45207410001</v>
          </cell>
          <cell r="Q311" t="str">
            <v>LARGE INDUSTRY</v>
          </cell>
          <cell r="R311" t="str">
            <v>HT</v>
          </cell>
          <cell r="S311" t="str">
            <v>01/10/2023</v>
          </cell>
          <cell r="T311" t="str">
            <v>01/10/2023</v>
          </cell>
          <cell r="U311" t="str">
            <v>06/10/2023</v>
          </cell>
          <cell r="V311" t="str">
            <v>09/10/2023</v>
          </cell>
          <cell r="W311" t="str">
            <v>2023/09</v>
          </cell>
          <cell r="X311" t="str">
            <v>33 KV</v>
          </cell>
          <cell r="Y311" t="str">
            <v>HT</v>
          </cell>
          <cell r="Z311">
            <v>222.12</v>
          </cell>
          <cell r="AA311">
            <v>0.74409999999999998</v>
          </cell>
          <cell r="AB311">
            <v>3.12</v>
          </cell>
          <cell r="AC311" t="str">
            <v xml:space="preserve">01/09/2023 -     </v>
          </cell>
          <cell r="AD311" t="str">
            <v>30.09.2023</v>
          </cell>
          <cell r="AE311" t="str">
            <v>30/1.0000</v>
          </cell>
          <cell r="AF311">
            <v>180</v>
          </cell>
          <cell r="AG311" t="str">
            <v>KVA</v>
          </cell>
          <cell r="AH311">
            <v>180</v>
          </cell>
          <cell r="AI311" t="str">
            <v>R</v>
          </cell>
          <cell r="AJ311">
            <v>195954.7</v>
          </cell>
          <cell r="AK311" t="str">
            <v>30/09/2023</v>
          </cell>
          <cell r="AL311" t="str">
            <v>TPN64708</v>
          </cell>
          <cell r="AM311" t="str">
            <v>THREE PHASE HT CT METER-33KV</v>
          </cell>
          <cell r="AN311" t="str">
            <v>POST PAID</v>
          </cell>
          <cell r="AO311">
            <v>630</v>
          </cell>
          <cell r="AP311" t="str">
            <v>TOD</v>
          </cell>
          <cell r="AQ311">
            <v>17327.599999999999</v>
          </cell>
          <cell r="AR311">
            <v>0</v>
          </cell>
          <cell r="AS311">
            <v>0</v>
          </cell>
          <cell r="AT311">
            <v>0</v>
          </cell>
          <cell r="AU311">
            <v>0</v>
          </cell>
          <cell r="AV311">
            <v>0</v>
          </cell>
          <cell r="AW311">
            <v>3717</v>
          </cell>
          <cell r="AX311">
            <v>4995</v>
          </cell>
          <cell r="AY311">
            <v>4995</v>
          </cell>
          <cell r="AZ311">
            <v>1628.28</v>
          </cell>
          <cell r="BA311">
            <v>222.12</v>
          </cell>
        </row>
        <row r="312">
          <cell r="F312">
            <v>125000000027</v>
          </cell>
          <cell r="G312" t="str">
            <v>VENKATESWARA  HATCHERIES PVT LTD.</v>
          </cell>
          <cell r="H312" t="str">
            <v>BAKARTALA,JASHIPUR</v>
          </cell>
          <cell r="I312" t="str">
            <v>10/31/2020 00:00:00</v>
          </cell>
          <cell r="J312">
            <v>1</v>
          </cell>
          <cell r="K312" t="str">
            <v xml:space="preserve"> </v>
          </cell>
          <cell r="L312" t="str">
            <v xml:space="preserve"> </v>
          </cell>
          <cell r="M312" t="str">
            <v>523000010231493263</v>
          </cell>
          <cell r="N312" t="str">
            <v>1250000026</v>
          </cell>
          <cell r="O312" t="str">
            <v>35799GP</v>
          </cell>
          <cell r="P312" t="str">
            <v>452321203</v>
          </cell>
          <cell r="Q312" t="str">
            <v>ALLIED AGRICULTURE ACTIVITIES</v>
          </cell>
          <cell r="R312" t="str">
            <v>HT</v>
          </cell>
          <cell r="S312" t="str">
            <v>01/10/2023</v>
          </cell>
          <cell r="T312" t="str">
            <v>01/10/2023</v>
          </cell>
          <cell r="U312" t="str">
            <v>09/10/2023</v>
          </cell>
          <cell r="V312" t="str">
            <v>09/10/2023</v>
          </cell>
          <cell r="W312" t="str">
            <v>2023/09</v>
          </cell>
          <cell r="X312" t="str">
            <v>11 KV</v>
          </cell>
          <cell r="Y312" t="str">
            <v>HT</v>
          </cell>
          <cell r="Z312">
            <v>400</v>
          </cell>
          <cell r="AA312">
            <v>0.90700000000000003</v>
          </cell>
          <cell r="AB312">
            <v>0</v>
          </cell>
          <cell r="AC312" t="str">
            <v xml:space="preserve">01/09/2023 -     </v>
          </cell>
          <cell r="AD312" t="str">
            <v>30.09.2023</v>
          </cell>
          <cell r="AE312" t="str">
            <v>30/1.0000</v>
          </cell>
          <cell r="AF312">
            <v>400</v>
          </cell>
          <cell r="AG312" t="str">
            <v>KVA</v>
          </cell>
          <cell r="AH312">
            <v>400</v>
          </cell>
          <cell r="AI312" t="str">
            <v>R</v>
          </cell>
          <cell r="AJ312">
            <v>929824</v>
          </cell>
          <cell r="AK312" t="str">
            <v>30/09/2023</v>
          </cell>
          <cell r="AL312" t="str">
            <v>TPN64727</v>
          </cell>
          <cell r="AM312" t="str">
            <v>THREE PHASE STATIC TRI-VECTOR METER</v>
          </cell>
          <cell r="AN312" t="str">
            <v>POST PAID</v>
          </cell>
          <cell r="AO312">
            <v>500</v>
          </cell>
          <cell r="AP312" t="str">
            <v>TOD</v>
          </cell>
          <cell r="AQ312">
            <v>-856720</v>
          </cell>
          <cell r="AR312">
            <v>0</v>
          </cell>
          <cell r="AS312">
            <v>0</v>
          </cell>
          <cell r="AT312">
            <v>0</v>
          </cell>
          <cell r="AU312">
            <v>0</v>
          </cell>
          <cell r="AV312">
            <v>0</v>
          </cell>
          <cell r="AW312">
            <v>8754</v>
          </cell>
          <cell r="AX312">
            <v>9651</v>
          </cell>
          <cell r="AY312">
            <v>9651</v>
          </cell>
          <cell r="AZ312">
            <v>652.08000000000004</v>
          </cell>
          <cell r="BA312">
            <v>64.08</v>
          </cell>
        </row>
        <row r="313">
          <cell r="F313">
            <v>125000000028</v>
          </cell>
          <cell r="G313" t="str">
            <v>M/S SINGHAL AGRI INDUSTRIES P.LTD.</v>
          </cell>
          <cell r="H313" t="str">
            <v>KANTASOLE,BAHALDAMAYURBHANJ</v>
          </cell>
          <cell r="I313" t="str">
            <v>10/31/2020 00:00:00</v>
          </cell>
          <cell r="J313">
            <v>1</v>
          </cell>
          <cell r="K313" t="str">
            <v xml:space="preserve"> </v>
          </cell>
          <cell r="L313" t="str">
            <v xml:space="preserve"> </v>
          </cell>
          <cell r="M313" t="str">
            <v>523000010231494900</v>
          </cell>
          <cell r="N313" t="str">
            <v>1250000027</v>
          </cell>
          <cell r="O313" t="str">
            <v>L-36366</v>
          </cell>
          <cell r="P313" t="str">
            <v>45207411002</v>
          </cell>
          <cell r="Q313" t="str">
            <v>LARGE INDUSTRY</v>
          </cell>
          <cell r="R313" t="str">
            <v>HT</v>
          </cell>
          <cell r="S313" t="str">
            <v>01/10/2023</v>
          </cell>
          <cell r="T313" t="str">
            <v>01/10/2023</v>
          </cell>
          <cell r="U313" t="str">
            <v>06/10/2023</v>
          </cell>
          <cell r="V313" t="str">
            <v>09/10/2023</v>
          </cell>
          <cell r="W313" t="str">
            <v>2023/09</v>
          </cell>
          <cell r="X313" t="str">
            <v>33 KV</v>
          </cell>
          <cell r="Y313" t="str">
            <v>HT</v>
          </cell>
          <cell r="Z313">
            <v>444</v>
          </cell>
          <cell r="AA313">
            <v>0.97899999999999998</v>
          </cell>
          <cell r="AB313">
            <v>5.29</v>
          </cell>
          <cell r="AC313" t="str">
            <v xml:space="preserve">01/09/2023 -     </v>
          </cell>
          <cell r="AD313" t="str">
            <v>30.09.2023</v>
          </cell>
          <cell r="AE313" t="str">
            <v>30/1.0000</v>
          </cell>
          <cell r="AF313">
            <v>555</v>
          </cell>
          <cell r="AG313" t="str">
            <v>KVA</v>
          </cell>
          <cell r="AH313">
            <v>555</v>
          </cell>
          <cell r="AI313" t="str">
            <v>R</v>
          </cell>
          <cell r="AJ313">
            <v>2689131</v>
          </cell>
          <cell r="AK313" t="str">
            <v>30/09/2023</v>
          </cell>
          <cell r="AL313" t="str">
            <v>NES51041</v>
          </cell>
          <cell r="AM313" t="str">
            <v>THREE PHASE HT CT METER-33KV</v>
          </cell>
          <cell r="AN313" t="str">
            <v>POST PAID</v>
          </cell>
          <cell r="AO313">
            <v>800</v>
          </cell>
          <cell r="AP313" t="str">
            <v>TOD</v>
          </cell>
          <cell r="AQ313">
            <v>-1118811.3</v>
          </cell>
          <cell r="AR313">
            <v>0</v>
          </cell>
          <cell r="AS313">
            <v>0</v>
          </cell>
          <cell r="AT313">
            <v>0</v>
          </cell>
          <cell r="AU313">
            <v>0</v>
          </cell>
          <cell r="AV313">
            <v>0</v>
          </cell>
          <cell r="AW313">
            <v>11940</v>
          </cell>
          <cell r="AX313">
            <v>12195</v>
          </cell>
          <cell r="AY313">
            <v>12195</v>
          </cell>
          <cell r="AZ313">
            <v>2655.6</v>
          </cell>
          <cell r="BA313">
            <v>320.40000000000003</v>
          </cell>
        </row>
        <row r="314">
          <cell r="F314">
            <v>125000000030</v>
          </cell>
          <cell r="G314" t="str">
            <v>M/S MAYURBHANJ  CERAMICS PVT.LTD.</v>
          </cell>
          <cell r="H314" t="str">
            <v>KULDIHA,PRATAPGARHMAYURBHANJ</v>
          </cell>
          <cell r="I314" t="str">
            <v>10/31/2020 00:00:00</v>
          </cell>
          <cell r="J314">
            <v>1</v>
          </cell>
          <cell r="K314" t="str">
            <v xml:space="preserve"> </v>
          </cell>
          <cell r="L314" t="str">
            <v xml:space="preserve"> </v>
          </cell>
          <cell r="M314" t="str">
            <v>523000010231493273</v>
          </cell>
          <cell r="N314" t="str">
            <v>1250000029</v>
          </cell>
          <cell r="O314" t="str">
            <v>RA-7652</v>
          </cell>
          <cell r="P314" t="str">
            <v>452315203</v>
          </cell>
          <cell r="Q314" t="str">
            <v>LARGE INDUSTRY</v>
          </cell>
          <cell r="R314" t="str">
            <v>HT</v>
          </cell>
          <cell r="S314" t="str">
            <v>01/10/2023</v>
          </cell>
          <cell r="T314" t="str">
            <v>01/10/2023</v>
          </cell>
          <cell r="U314" t="str">
            <v>06/10/2023</v>
          </cell>
          <cell r="V314" t="str">
            <v>09/10/2023</v>
          </cell>
          <cell r="W314" t="str">
            <v>2023/09</v>
          </cell>
          <cell r="X314" t="str">
            <v>11 KV</v>
          </cell>
          <cell r="Y314" t="str">
            <v>HT</v>
          </cell>
          <cell r="Z314">
            <v>153.24</v>
          </cell>
          <cell r="AA314">
            <v>0.59509999999999996</v>
          </cell>
          <cell r="AB314">
            <v>10.1</v>
          </cell>
          <cell r="AC314" t="str">
            <v xml:space="preserve">26/08/2023 -     </v>
          </cell>
          <cell r="AD314" t="str">
            <v>30.09.2023</v>
          </cell>
          <cell r="AE314" t="str">
            <v>36/1.0000</v>
          </cell>
          <cell r="AF314">
            <v>183</v>
          </cell>
          <cell r="AG314" t="str">
            <v>KVA</v>
          </cell>
          <cell r="AH314">
            <v>183</v>
          </cell>
          <cell r="AI314" t="str">
            <v>R</v>
          </cell>
          <cell r="AJ314">
            <v>861570</v>
          </cell>
          <cell r="AK314" t="str">
            <v>30/09/2023</v>
          </cell>
          <cell r="AL314" t="str">
            <v>NES50443</v>
          </cell>
          <cell r="AM314" t="str">
            <v>LT SINGLE PHASE AMR/AMI COMPLIANT METER-TOD</v>
          </cell>
          <cell r="AN314" t="str">
            <v>POST PAID</v>
          </cell>
          <cell r="AO314">
            <v>200</v>
          </cell>
          <cell r="AP314" t="str">
            <v>TOD</v>
          </cell>
          <cell r="AQ314">
            <v>-733555.5</v>
          </cell>
          <cell r="AR314">
            <v>0</v>
          </cell>
          <cell r="AS314">
            <v>0</v>
          </cell>
          <cell r="AT314">
            <v>0</v>
          </cell>
          <cell r="AU314">
            <v>0</v>
          </cell>
          <cell r="AV314">
            <v>0</v>
          </cell>
          <cell r="AW314">
            <v>7956</v>
          </cell>
          <cell r="AX314">
            <v>13368</v>
          </cell>
          <cell r="AY314">
            <v>13368</v>
          </cell>
          <cell r="AZ314">
            <v>1091.1600000000001</v>
          </cell>
          <cell r="BA314">
            <v>153.24</v>
          </cell>
        </row>
        <row r="315">
          <cell r="F315">
            <v>125000000031</v>
          </cell>
          <cell r="G315" t="str">
            <v>M/S MAA AMBIKA MINERALS</v>
          </cell>
          <cell r="H315" t="str">
            <v>MANICHA,KUNDULIAMAYURBHANJ</v>
          </cell>
          <cell r="I315" t="str">
            <v>10/31/2020 00:00:00</v>
          </cell>
          <cell r="J315">
            <v>1</v>
          </cell>
          <cell r="K315" t="str">
            <v xml:space="preserve"> </v>
          </cell>
          <cell r="L315" t="str">
            <v xml:space="preserve"> </v>
          </cell>
          <cell r="M315" t="str">
            <v>523000010231492857</v>
          </cell>
          <cell r="N315" t="str">
            <v>1250000030</v>
          </cell>
          <cell r="O315" t="str">
            <v>BI-35465</v>
          </cell>
          <cell r="P315" t="str">
            <v>452334204</v>
          </cell>
          <cell r="Q315" t="str">
            <v>LARGE INDUSTRY</v>
          </cell>
          <cell r="R315" t="str">
            <v>HT</v>
          </cell>
          <cell r="S315" t="str">
            <v>01/10/2023</v>
          </cell>
          <cell r="T315" t="str">
            <v>01/10/2023</v>
          </cell>
          <cell r="U315" t="str">
            <v>06/10/2023</v>
          </cell>
          <cell r="V315" t="str">
            <v>09/10/2023</v>
          </cell>
          <cell r="W315" t="str">
            <v>2023/09</v>
          </cell>
          <cell r="X315" t="str">
            <v>11 KV</v>
          </cell>
          <cell r="Y315" t="str">
            <v>HT</v>
          </cell>
          <cell r="Z315">
            <v>96</v>
          </cell>
          <cell r="AA315">
            <v>0.97060000000000002</v>
          </cell>
          <cell r="AB315">
            <v>24.76</v>
          </cell>
          <cell r="AC315" t="str">
            <v xml:space="preserve">01/09/2023 -     </v>
          </cell>
          <cell r="AD315" t="str">
            <v>30.09.2023</v>
          </cell>
          <cell r="AE315" t="str">
            <v>30/1.0000</v>
          </cell>
          <cell r="AF315">
            <v>120</v>
          </cell>
          <cell r="AG315" t="str">
            <v>KVA</v>
          </cell>
          <cell r="AH315">
            <v>120</v>
          </cell>
          <cell r="AI315" t="str">
            <v>R</v>
          </cell>
          <cell r="AJ315">
            <v>603207</v>
          </cell>
          <cell r="AK315" t="str">
            <v>30/09/2023</v>
          </cell>
          <cell r="AL315" t="str">
            <v>NES50254</v>
          </cell>
          <cell r="AM315" t="str">
            <v>TRI-VECTOR METER FOR RAILWAY TRACTION</v>
          </cell>
          <cell r="AN315" t="str">
            <v>POST PAID</v>
          </cell>
          <cell r="AO315">
            <v>250</v>
          </cell>
          <cell r="AP315" t="str">
            <v>TOD</v>
          </cell>
          <cell r="AQ315">
            <v>-429123.9</v>
          </cell>
          <cell r="AR315">
            <v>0</v>
          </cell>
          <cell r="AS315">
            <v>0</v>
          </cell>
          <cell r="AT315">
            <v>0</v>
          </cell>
          <cell r="AU315">
            <v>0</v>
          </cell>
          <cell r="AV315">
            <v>0</v>
          </cell>
          <cell r="AW315">
            <v>10715</v>
          </cell>
          <cell r="AX315">
            <v>11039</v>
          </cell>
          <cell r="AY315">
            <v>11039</v>
          </cell>
          <cell r="AZ315">
            <v>584.08000000000004</v>
          </cell>
          <cell r="BA315">
            <v>61.919999999999995</v>
          </cell>
        </row>
        <row r="316">
          <cell r="F316">
            <v>125000000032</v>
          </cell>
          <cell r="G316" t="str">
            <v>M/S SWAIN MINERALS</v>
          </cell>
          <cell r="H316" t="str">
            <v>PROP- BIMAL KUMAR SWAIN</v>
          </cell>
          <cell r="I316" t="str">
            <v>10/31/2020 00:00:00</v>
          </cell>
          <cell r="J316">
            <v>1</v>
          </cell>
          <cell r="K316" t="str">
            <v xml:space="preserve"> </v>
          </cell>
          <cell r="L316" t="str">
            <v xml:space="preserve"> </v>
          </cell>
          <cell r="M316" t="str">
            <v>523000010232499751</v>
          </cell>
          <cell r="N316" t="str">
            <v>1250000031</v>
          </cell>
          <cell r="O316" t="str">
            <v>KU-35248L</v>
          </cell>
          <cell r="P316" t="str">
            <v>452331203</v>
          </cell>
          <cell r="Q316" t="str">
            <v>LARGE INDUSTRY</v>
          </cell>
          <cell r="R316" t="str">
            <v>HT</v>
          </cell>
          <cell r="S316" t="str">
            <v>03/10/2023</v>
          </cell>
          <cell r="T316" t="str">
            <v>03/10/2023</v>
          </cell>
          <cell r="U316" t="str">
            <v>06/10/2023</v>
          </cell>
          <cell r="V316" t="str">
            <v>10/10/2023</v>
          </cell>
          <cell r="W316" t="str">
            <v>2023/09</v>
          </cell>
          <cell r="X316" t="str">
            <v>11 KV</v>
          </cell>
          <cell r="Y316" t="str">
            <v>HT</v>
          </cell>
          <cell r="Z316">
            <v>193.6</v>
          </cell>
          <cell r="AA316">
            <v>0.55320000000000003</v>
          </cell>
          <cell r="AB316">
            <v>17.440000000000001</v>
          </cell>
          <cell r="AC316" t="str">
            <v xml:space="preserve">26/08/2023 -     </v>
          </cell>
          <cell r="AD316" t="str">
            <v>30.09.2023</v>
          </cell>
          <cell r="AE316" t="str">
            <v>36/1.0000</v>
          </cell>
          <cell r="AF316">
            <v>242</v>
          </cell>
          <cell r="AG316" t="str">
            <v>KVA</v>
          </cell>
          <cell r="AH316">
            <v>242</v>
          </cell>
          <cell r="AI316" t="str">
            <v>R</v>
          </cell>
          <cell r="AJ316">
            <v>1236853</v>
          </cell>
          <cell r="AK316" t="str">
            <v>30/09/2023</v>
          </cell>
          <cell r="AL316" t="str">
            <v>TPCANES52100</v>
          </cell>
          <cell r="AM316" t="str">
            <v>THREE PHASE SMART HT CT METER (AMR/AMI)-11KV</v>
          </cell>
          <cell r="AN316" t="str">
            <v>SMART METER</v>
          </cell>
          <cell r="AO316">
            <v>315</v>
          </cell>
          <cell r="AP316" t="str">
            <v>TOD</v>
          </cell>
          <cell r="AQ316">
            <v>-1092668</v>
          </cell>
          <cell r="AR316">
            <v>0</v>
          </cell>
          <cell r="AS316">
            <v>0</v>
          </cell>
          <cell r="AT316">
            <v>0</v>
          </cell>
          <cell r="AU316">
            <v>0</v>
          </cell>
          <cell r="AV316">
            <v>0</v>
          </cell>
          <cell r="AW316">
            <v>1107</v>
          </cell>
          <cell r="AX316">
            <v>2001</v>
          </cell>
          <cell r="AY316">
            <v>2001</v>
          </cell>
          <cell r="AZ316">
            <v>9.6000000000000002E-2</v>
          </cell>
          <cell r="BA316">
            <v>0.38400000000000001</v>
          </cell>
        </row>
        <row r="317">
          <cell r="F317">
            <v>125000000033</v>
          </cell>
          <cell r="G317" t="str">
            <v>M C H  COMPLEX</v>
          </cell>
          <cell r="H317" t="str">
            <v>C/O- SUPERINTENDENT, SDH KARANJIA</v>
          </cell>
          <cell r="I317" t="str">
            <v>10/31/2020 00:00:00</v>
          </cell>
          <cell r="J317">
            <v>1</v>
          </cell>
          <cell r="K317" t="str">
            <v xml:space="preserve"> </v>
          </cell>
          <cell r="L317" t="str">
            <v xml:space="preserve"> </v>
          </cell>
          <cell r="M317" t="str">
            <v>523000010231492863</v>
          </cell>
          <cell r="N317" t="str">
            <v>1250000032</v>
          </cell>
          <cell r="O317" t="str">
            <v>L-38284</v>
          </cell>
          <cell r="P317" t="str">
            <v>452321202</v>
          </cell>
          <cell r="Q317" t="str">
            <v>SPECIFIED PUBLIC PURPOSE</v>
          </cell>
          <cell r="R317" t="str">
            <v>HT</v>
          </cell>
          <cell r="S317" t="str">
            <v>01/10/2023</v>
          </cell>
          <cell r="T317" t="str">
            <v>01/10/2023</v>
          </cell>
          <cell r="U317" t="str">
            <v>06/10/2023</v>
          </cell>
          <cell r="V317" t="str">
            <v>09/10/2023</v>
          </cell>
          <cell r="W317" t="str">
            <v>2023/09</v>
          </cell>
          <cell r="X317" t="str">
            <v>11 KV</v>
          </cell>
          <cell r="Y317" t="str">
            <v>HT</v>
          </cell>
          <cell r="Z317">
            <v>173.6</v>
          </cell>
          <cell r="AA317">
            <v>0.93589999999999995</v>
          </cell>
          <cell r="AB317">
            <v>37.96</v>
          </cell>
          <cell r="AC317" t="str">
            <v xml:space="preserve">26/08/2023 -     </v>
          </cell>
          <cell r="AD317" t="str">
            <v>27.09.2023</v>
          </cell>
          <cell r="AE317" t="str">
            <v>33/1.0000</v>
          </cell>
          <cell r="AF317">
            <v>217</v>
          </cell>
          <cell r="AG317" t="str">
            <v>KVA</v>
          </cell>
          <cell r="AH317">
            <v>217</v>
          </cell>
          <cell r="AI317" t="str">
            <v>R</v>
          </cell>
          <cell r="AJ317">
            <v>538178</v>
          </cell>
          <cell r="AK317" t="str">
            <v>27/09/2023</v>
          </cell>
          <cell r="AL317" t="str">
            <v>NES83103</v>
          </cell>
          <cell r="AM317" t="str">
            <v>THREE PHASE HT CT METER-11KV</v>
          </cell>
          <cell r="AN317" t="str">
            <v>POST PAID</v>
          </cell>
          <cell r="AO317">
            <v>250</v>
          </cell>
          <cell r="AP317" t="str">
            <v>TOD</v>
          </cell>
          <cell r="AQ317">
            <v>-306309.7</v>
          </cell>
          <cell r="AR317">
            <v>0</v>
          </cell>
          <cell r="AS317">
            <v>0</v>
          </cell>
          <cell r="AT317">
            <v>0</v>
          </cell>
          <cell r="AU317">
            <v>0</v>
          </cell>
          <cell r="AV317">
            <v>0</v>
          </cell>
          <cell r="AW317">
            <v>10400</v>
          </cell>
          <cell r="AX317">
            <v>11112</v>
          </cell>
          <cell r="AY317">
            <v>11112</v>
          </cell>
          <cell r="AZ317">
            <v>9.2399999999999996E-2</v>
          </cell>
          <cell r="BA317">
            <v>36.96</v>
          </cell>
        </row>
        <row r="318">
          <cell r="F318">
            <v>125000000034</v>
          </cell>
          <cell r="G318" t="str">
            <v>LAL TRADERS &amp; AGENCIES PVT. LTD</v>
          </cell>
          <cell r="H318" t="str">
            <v>C/O- SAMBHUDAYAL AGARWALLA</v>
          </cell>
          <cell r="I318" t="str">
            <v>10/31/2020 00:00:00</v>
          </cell>
          <cell r="J318">
            <v>1</v>
          </cell>
          <cell r="K318" t="str">
            <v xml:space="preserve"> </v>
          </cell>
          <cell r="L318" t="str">
            <v xml:space="preserve"> </v>
          </cell>
          <cell r="M318" t="str">
            <v>523000010231494915</v>
          </cell>
          <cell r="N318" t="str">
            <v>1250000033</v>
          </cell>
          <cell r="O318" t="str">
            <v>35687-L</v>
          </cell>
          <cell r="P318" t="str">
            <v>452331203</v>
          </cell>
          <cell r="Q318" t="str">
            <v>LARGE INDUSTRY</v>
          </cell>
          <cell r="R318" t="str">
            <v>HT</v>
          </cell>
          <cell r="S318" t="str">
            <v>01/10/2023</v>
          </cell>
          <cell r="T318" t="str">
            <v>01/10/2023</v>
          </cell>
          <cell r="U318" t="str">
            <v>06/10/2023</v>
          </cell>
          <cell r="V318" t="str">
            <v>09/10/2023</v>
          </cell>
          <cell r="W318" t="str">
            <v>2023/09</v>
          </cell>
          <cell r="X318" t="str">
            <v>11 KV</v>
          </cell>
          <cell r="Y318" t="str">
            <v>HT</v>
          </cell>
          <cell r="Z318">
            <v>600</v>
          </cell>
          <cell r="AA318">
            <v>0.63970000000000005</v>
          </cell>
          <cell r="AB318">
            <v>13.13</v>
          </cell>
          <cell r="AC318" t="str">
            <v xml:space="preserve">01/09/2023 -     </v>
          </cell>
          <cell r="AD318" t="str">
            <v>30.09.2023</v>
          </cell>
          <cell r="AE318" t="str">
            <v>30/1.0000</v>
          </cell>
          <cell r="AF318">
            <v>750</v>
          </cell>
          <cell r="AG318" t="str">
            <v>KVA</v>
          </cell>
          <cell r="AH318">
            <v>750</v>
          </cell>
          <cell r="AI318" t="str">
            <v>R</v>
          </cell>
          <cell r="AJ318">
            <v>4603800</v>
          </cell>
          <cell r="AK318" t="str">
            <v>30/09/2023</v>
          </cell>
          <cell r="AL318" t="str">
            <v>NES83155</v>
          </cell>
          <cell r="AM318" t="str">
            <v>TRI-VECTOR METER FOR RAILWAY TRACTION</v>
          </cell>
          <cell r="AN318" t="str">
            <v>POST PAID</v>
          </cell>
          <cell r="AO318">
            <v>1000</v>
          </cell>
          <cell r="AP318" t="str">
            <v>TOD</v>
          </cell>
          <cell r="AQ318">
            <v>-756054.3</v>
          </cell>
          <cell r="AR318">
            <v>0</v>
          </cell>
          <cell r="AS318">
            <v>0</v>
          </cell>
          <cell r="AT318">
            <v>0</v>
          </cell>
          <cell r="AU318">
            <v>0</v>
          </cell>
          <cell r="AV318">
            <v>0</v>
          </cell>
          <cell r="AW318">
            <v>24050</v>
          </cell>
          <cell r="AX318">
            <v>37590</v>
          </cell>
          <cell r="AY318">
            <v>37590</v>
          </cell>
          <cell r="AZ318">
            <v>3416</v>
          </cell>
          <cell r="BA318">
            <v>397.6</v>
          </cell>
        </row>
        <row r="319">
          <cell r="F319">
            <v>125000000035</v>
          </cell>
          <cell r="G319" t="str">
            <v>PRINCIPAL EKALAVYA MODEL</v>
          </cell>
          <cell r="H319" t="str">
            <v>RESIDENTIAL SCHOOL,TATOKARANJIA</v>
          </cell>
          <cell r="I319" t="str">
            <v>10/31/2020 00:00:00</v>
          </cell>
          <cell r="J319">
            <v>1</v>
          </cell>
          <cell r="K319" t="str">
            <v xml:space="preserve"> </v>
          </cell>
          <cell r="L319" t="str">
            <v xml:space="preserve"> </v>
          </cell>
          <cell r="M319" t="str">
            <v>523000010231493354</v>
          </cell>
          <cell r="N319" t="str">
            <v>1250000034</v>
          </cell>
          <cell r="O319" t="str">
            <v>L-38493</v>
          </cell>
          <cell r="P319" t="str">
            <v>452321203</v>
          </cell>
          <cell r="Q319" t="str">
            <v>SPECIFIED PUBLIC PURPOSE</v>
          </cell>
          <cell r="R319" t="str">
            <v>HT</v>
          </cell>
          <cell r="S319" t="str">
            <v>01/10/2023</v>
          </cell>
          <cell r="T319" t="str">
            <v>01/10/2023</v>
          </cell>
          <cell r="U319" t="str">
            <v>06/10/2023</v>
          </cell>
          <cell r="V319" t="str">
            <v>09/10/2023</v>
          </cell>
          <cell r="W319" t="str">
            <v>2023/09</v>
          </cell>
          <cell r="X319" t="str">
            <v>11 KV</v>
          </cell>
          <cell r="Y319" t="str">
            <v>HT</v>
          </cell>
          <cell r="Z319">
            <v>88.8</v>
          </cell>
          <cell r="AA319">
            <v>0.99839999999999995</v>
          </cell>
          <cell r="AB319">
            <v>52.82</v>
          </cell>
          <cell r="AC319" t="str">
            <v xml:space="preserve">01/09/2023 -     </v>
          </cell>
          <cell r="AD319" t="str">
            <v>30.09.2023</v>
          </cell>
          <cell r="AE319" t="str">
            <v>30/1.0000</v>
          </cell>
          <cell r="AF319">
            <v>111</v>
          </cell>
          <cell r="AG319" t="str">
            <v>KVA</v>
          </cell>
          <cell r="AH319">
            <v>111</v>
          </cell>
          <cell r="AI319" t="str">
            <v>R</v>
          </cell>
          <cell r="AJ319">
            <v>275289</v>
          </cell>
          <cell r="AK319" t="str">
            <v>30/09/2023</v>
          </cell>
          <cell r="AL319" t="str">
            <v>NSC94799</v>
          </cell>
          <cell r="AM319" t="str">
            <v>TRI-VECTOR METER FOR RAILWAY TRACTION</v>
          </cell>
          <cell r="AN319" t="str">
            <v>POST PAID</v>
          </cell>
          <cell r="AO319">
            <v>250</v>
          </cell>
          <cell r="AP319" t="str">
            <v>TOD</v>
          </cell>
          <cell r="AQ319">
            <v>-206471.1</v>
          </cell>
          <cell r="AR319">
            <v>0</v>
          </cell>
          <cell r="AS319">
            <v>0</v>
          </cell>
          <cell r="AT319">
            <v>0</v>
          </cell>
          <cell r="AU319">
            <v>0</v>
          </cell>
          <cell r="AV319">
            <v>0</v>
          </cell>
          <cell r="AW319">
            <v>6349</v>
          </cell>
          <cell r="AX319">
            <v>6359</v>
          </cell>
          <cell r="AY319">
            <v>6359</v>
          </cell>
          <cell r="AZ319">
            <v>102.88</v>
          </cell>
          <cell r="BA319">
            <v>16.72</v>
          </cell>
        </row>
        <row r="320">
          <cell r="F320">
            <v>125000000036</v>
          </cell>
          <cell r="G320" t="str">
            <v>LARSEN &amp; TOUBRO LIMITED.</v>
          </cell>
          <cell r="H320" t="str">
            <v>AT/PO- KENJHARA,TANGABILLAMAYURBHANJ</v>
          </cell>
          <cell r="I320" t="str">
            <v>10/31/2020 00:00:00</v>
          </cell>
          <cell r="J320">
            <v>1</v>
          </cell>
          <cell r="K320" t="str">
            <v xml:space="preserve"> </v>
          </cell>
          <cell r="L320" t="str">
            <v xml:space="preserve"> </v>
          </cell>
          <cell r="M320" t="str">
            <v>523000010231493137</v>
          </cell>
          <cell r="N320" t="str">
            <v>1250000035</v>
          </cell>
          <cell r="O320" t="str">
            <v>38657-L</v>
          </cell>
          <cell r="P320" t="str">
            <v>NULL</v>
          </cell>
          <cell r="Q320" t="str">
            <v>LARGE INDUSTRY</v>
          </cell>
          <cell r="R320" t="str">
            <v>HT</v>
          </cell>
          <cell r="S320" t="str">
            <v>01/10/2023</v>
          </cell>
          <cell r="T320" t="str">
            <v>01/10/2023</v>
          </cell>
          <cell r="U320" t="str">
            <v>06/10/2023</v>
          </cell>
          <cell r="V320" t="str">
            <v>09/10/2023</v>
          </cell>
          <cell r="W320" t="str">
            <v>2023/09</v>
          </cell>
          <cell r="X320" t="str">
            <v>33 KV</v>
          </cell>
          <cell r="Y320" t="str">
            <v>HT</v>
          </cell>
          <cell r="Z320">
            <v>444.8</v>
          </cell>
          <cell r="AA320">
            <v>0</v>
          </cell>
          <cell r="AB320">
            <v>0</v>
          </cell>
          <cell r="AC320" t="str">
            <v xml:space="preserve">01/09/2023 -     </v>
          </cell>
          <cell r="AD320" t="str">
            <v>30.09.2023</v>
          </cell>
          <cell r="AE320" t="str">
            <v>30/1.0000</v>
          </cell>
          <cell r="AF320">
            <v>556</v>
          </cell>
          <cell r="AG320" t="str">
            <v>KVA</v>
          </cell>
          <cell r="AH320">
            <v>556</v>
          </cell>
          <cell r="AI320" t="str">
            <v>D</v>
          </cell>
          <cell r="AJ320">
            <v>5110960</v>
          </cell>
          <cell r="AK320" t="str">
            <v>30/09/2023</v>
          </cell>
          <cell r="AL320" t="str">
            <v>NSC94880</v>
          </cell>
          <cell r="AM320" t="str">
            <v>THREE PHASE HT CT METER-33KV</v>
          </cell>
          <cell r="AN320" t="str">
            <v>POST PAID</v>
          </cell>
          <cell r="AO320">
            <v>750</v>
          </cell>
          <cell r="AP320" t="str">
            <v>TOD</v>
          </cell>
          <cell r="AQ320">
            <v>-4640789.0999999996</v>
          </cell>
          <cell r="AR320">
            <v>0</v>
          </cell>
          <cell r="AS320">
            <v>0</v>
          </cell>
          <cell r="AT320">
            <v>0</v>
          </cell>
          <cell r="AU320">
            <v>0</v>
          </cell>
          <cell r="AV320">
            <v>0</v>
          </cell>
          <cell r="AW320">
            <v>0</v>
          </cell>
          <cell r="AX320">
            <v>0</v>
          </cell>
          <cell r="AY320">
            <v>0</v>
          </cell>
          <cell r="AZ320">
            <v>0</v>
          </cell>
          <cell r="BA320">
            <v>0</v>
          </cell>
        </row>
        <row r="321">
          <cell r="F321">
            <v>125000000037</v>
          </cell>
          <cell r="G321" t="str">
            <v>M/S KRISHNA ENTERPRISES</v>
          </cell>
          <cell r="H321" t="str">
            <v>PROP- SAURAV SULTANIA</v>
          </cell>
          <cell r="I321" t="str">
            <v>10/31/2020 00:00:00</v>
          </cell>
          <cell r="J321">
            <v>1</v>
          </cell>
          <cell r="K321" t="str">
            <v xml:space="preserve"> </v>
          </cell>
          <cell r="L321" t="str">
            <v xml:space="preserve"> </v>
          </cell>
          <cell r="M321" t="str">
            <v>523000010231493094</v>
          </cell>
          <cell r="N321" t="str">
            <v>1250000036</v>
          </cell>
          <cell r="O321" t="str">
            <v>32694-L</v>
          </cell>
          <cell r="P321" t="str">
            <v>452341202</v>
          </cell>
          <cell r="Q321" t="str">
            <v>LARGE INDUSTRY</v>
          </cell>
          <cell r="R321" t="str">
            <v>HT</v>
          </cell>
          <cell r="S321" t="str">
            <v>01/10/2023</v>
          </cell>
          <cell r="T321" t="str">
            <v>01/10/2023</v>
          </cell>
          <cell r="U321" t="str">
            <v>06/10/2023</v>
          </cell>
          <cell r="V321" t="str">
            <v>09/10/2023</v>
          </cell>
          <cell r="W321" t="str">
            <v>2023/09</v>
          </cell>
          <cell r="X321" t="str">
            <v>11 KV</v>
          </cell>
          <cell r="Y321" t="str">
            <v>HT</v>
          </cell>
          <cell r="Z321">
            <v>162.24</v>
          </cell>
          <cell r="AA321">
            <v>0.99099999999999999</v>
          </cell>
          <cell r="AB321">
            <v>26.85</v>
          </cell>
          <cell r="AC321" t="str">
            <v xml:space="preserve">01/09/2023 -     </v>
          </cell>
          <cell r="AD321" t="str">
            <v>30.09.2023</v>
          </cell>
          <cell r="AE321" t="str">
            <v>30/1.0000</v>
          </cell>
          <cell r="AF321">
            <v>167</v>
          </cell>
          <cell r="AG321" t="str">
            <v>KVA</v>
          </cell>
          <cell r="AH321">
            <v>167</v>
          </cell>
          <cell r="AI321" t="str">
            <v>R</v>
          </cell>
          <cell r="AJ321">
            <v>862264.94</v>
          </cell>
          <cell r="AK321" t="str">
            <v>30/09/2023</v>
          </cell>
          <cell r="AL321" t="str">
            <v>NSC94749</v>
          </cell>
          <cell r="AM321" t="str">
            <v>LT SINGLE PHASE AMR/AMI COMPLIANT METER-TOD</v>
          </cell>
          <cell r="AN321" t="str">
            <v>POST PAID</v>
          </cell>
          <cell r="AO321">
            <v>250</v>
          </cell>
          <cell r="AP321" t="str">
            <v>TOD</v>
          </cell>
          <cell r="AQ321">
            <v>-499480.2</v>
          </cell>
          <cell r="AR321">
            <v>0</v>
          </cell>
          <cell r="AS321">
            <v>0</v>
          </cell>
          <cell r="AT321">
            <v>0</v>
          </cell>
          <cell r="AU321">
            <v>0</v>
          </cell>
          <cell r="AV321">
            <v>0</v>
          </cell>
          <cell r="AW321">
            <v>31085</v>
          </cell>
          <cell r="AX321">
            <v>31366</v>
          </cell>
          <cell r="AY321">
            <v>31366</v>
          </cell>
          <cell r="AZ321">
            <v>1175.2</v>
          </cell>
          <cell r="BA321">
            <v>162.24</v>
          </cell>
        </row>
        <row r="322">
          <cell r="F322">
            <v>125000000038</v>
          </cell>
          <cell r="G322" t="str">
            <v>M/S TARINI CRUSHER</v>
          </cell>
          <cell r="H322" t="str">
            <v>PROP- PRAFULLA KUMAR SAHOO</v>
          </cell>
          <cell r="I322" t="str">
            <v>10/31/2020 00:00:00</v>
          </cell>
          <cell r="J322">
            <v>1</v>
          </cell>
          <cell r="K322" t="str">
            <v xml:space="preserve"> </v>
          </cell>
          <cell r="L322" t="str">
            <v xml:space="preserve"> </v>
          </cell>
          <cell r="M322" t="str">
            <v>523000010231493224</v>
          </cell>
          <cell r="N322" t="str">
            <v>1250000037</v>
          </cell>
          <cell r="O322" t="str">
            <v>35062-L</v>
          </cell>
          <cell r="P322" t="str">
            <v>452314202</v>
          </cell>
          <cell r="Q322" t="str">
            <v>LARGE INDUSTRY</v>
          </cell>
          <cell r="R322" t="str">
            <v>HT</v>
          </cell>
          <cell r="S322" t="str">
            <v>01/10/2023</v>
          </cell>
          <cell r="T322" t="str">
            <v>01/10/2023</v>
          </cell>
          <cell r="U322" t="str">
            <v>06/10/2023</v>
          </cell>
          <cell r="V322" t="str">
            <v>09/10/2023</v>
          </cell>
          <cell r="W322" t="str">
            <v>2023/09</v>
          </cell>
          <cell r="X322" t="str">
            <v>11 KV</v>
          </cell>
          <cell r="Y322" t="str">
            <v>HT</v>
          </cell>
          <cell r="Z322">
            <v>124.8</v>
          </cell>
          <cell r="AA322">
            <v>0.99629999999999996</v>
          </cell>
          <cell r="AB322">
            <v>19.54</v>
          </cell>
          <cell r="AC322" t="str">
            <v xml:space="preserve">01/09/2023 -     </v>
          </cell>
          <cell r="AD322" t="str">
            <v>29.09.2023</v>
          </cell>
          <cell r="AE322" t="str">
            <v>29/1.0000</v>
          </cell>
          <cell r="AF322">
            <v>156</v>
          </cell>
          <cell r="AG322" t="str">
            <v>KVA</v>
          </cell>
          <cell r="AH322">
            <v>156</v>
          </cell>
          <cell r="AI322" t="str">
            <v>R</v>
          </cell>
          <cell r="AJ322">
            <v>797318</v>
          </cell>
          <cell r="AK322" t="str">
            <v>29/09/2023</v>
          </cell>
          <cell r="AL322" t="str">
            <v>NSC94516</v>
          </cell>
          <cell r="AM322" t="str">
            <v>TRI-VECTOR METER FOR RAILWAY TRACTION</v>
          </cell>
          <cell r="AN322" t="str">
            <v>POST PAID</v>
          </cell>
          <cell r="AO322">
            <v>200</v>
          </cell>
          <cell r="AP322" t="str">
            <v>TOD</v>
          </cell>
          <cell r="AQ322">
            <v>-674651.3</v>
          </cell>
          <cell r="AR322">
            <v>0</v>
          </cell>
          <cell r="AS322">
            <v>0</v>
          </cell>
          <cell r="AT322">
            <v>0</v>
          </cell>
          <cell r="AU322">
            <v>0</v>
          </cell>
          <cell r="AV322">
            <v>0</v>
          </cell>
          <cell r="AW322">
            <v>271</v>
          </cell>
          <cell r="AX322">
            <v>272</v>
          </cell>
          <cell r="AY322">
            <v>272</v>
          </cell>
          <cell r="AZ322">
            <v>17.600000000000001</v>
          </cell>
          <cell r="BA322">
            <v>2</v>
          </cell>
        </row>
        <row r="323">
          <cell r="F323">
            <v>125000000039</v>
          </cell>
          <cell r="G323" t="str">
            <v>INDUS TOWERS LTD</v>
          </cell>
          <cell r="H323" t="str">
            <v>JAMDASAHI BTS,JOSHIPURMAYURBHANJ</v>
          </cell>
          <cell r="I323" t="str">
            <v>10/31/2020 00:00:00</v>
          </cell>
          <cell r="J323">
            <v>1</v>
          </cell>
          <cell r="K323" t="str">
            <v xml:space="preserve"> </v>
          </cell>
          <cell r="L323" t="str">
            <v xml:space="preserve"> </v>
          </cell>
          <cell r="M323" t="str">
            <v>523000010231493308</v>
          </cell>
          <cell r="N323" t="str">
            <v>1250000038</v>
          </cell>
          <cell r="O323" t="str">
            <v>34098-GP</v>
          </cell>
          <cell r="P323" t="str">
            <v>452343201</v>
          </cell>
          <cell r="Q323" t="str">
            <v>GENERAL PURPOSE &gt;= 110 KVA</v>
          </cell>
          <cell r="R323" t="str">
            <v>HT</v>
          </cell>
          <cell r="S323" t="str">
            <v>01/10/2023</v>
          </cell>
          <cell r="T323" t="str">
            <v>01/10/2023</v>
          </cell>
          <cell r="U323" t="str">
            <v>06/10/2023</v>
          </cell>
          <cell r="V323" t="str">
            <v>09/10/2023</v>
          </cell>
          <cell r="W323" t="str">
            <v>2023/09</v>
          </cell>
          <cell r="X323" t="str">
            <v>11 KV</v>
          </cell>
          <cell r="Y323" t="str">
            <v>HT</v>
          </cell>
          <cell r="Z323">
            <v>88.8</v>
          </cell>
          <cell r="AA323">
            <v>0.99419999999999997</v>
          </cell>
          <cell r="AB323">
            <v>69.91</v>
          </cell>
          <cell r="AC323" t="str">
            <v xml:space="preserve">01/09/2023 -     </v>
          </cell>
          <cell r="AD323" t="str">
            <v>30.09.2023</v>
          </cell>
          <cell r="AE323" t="str">
            <v>30/1.0000</v>
          </cell>
          <cell r="AF323">
            <v>111</v>
          </cell>
          <cell r="AG323" t="str">
            <v>KVA</v>
          </cell>
          <cell r="AH323">
            <v>111</v>
          </cell>
          <cell r="AI323" t="str">
            <v>R</v>
          </cell>
          <cell r="AJ323">
            <v>275289.21999999997</v>
          </cell>
          <cell r="AK323" t="str">
            <v>30/09/2023</v>
          </cell>
          <cell r="AL323" t="str">
            <v>NSC94969</v>
          </cell>
          <cell r="AM323" t="str">
            <v>TRI-VECTOR METER FOR RAILWAY TRACTION</v>
          </cell>
          <cell r="AN323" t="str">
            <v>POST PAID</v>
          </cell>
          <cell r="AO323">
            <v>160</v>
          </cell>
          <cell r="AP323" t="str">
            <v>TOD</v>
          </cell>
          <cell r="AQ323">
            <v>-63824.92</v>
          </cell>
          <cell r="AR323">
            <v>0</v>
          </cell>
          <cell r="AS323">
            <v>0</v>
          </cell>
          <cell r="AT323">
            <v>0</v>
          </cell>
          <cell r="AU323">
            <v>0</v>
          </cell>
          <cell r="AV323">
            <v>0</v>
          </cell>
          <cell r="AW323">
            <v>14254</v>
          </cell>
          <cell r="AX323">
            <v>14336</v>
          </cell>
          <cell r="AY323">
            <v>14336</v>
          </cell>
          <cell r="AZ323">
            <v>218.4</v>
          </cell>
          <cell r="BA323">
            <v>28.48</v>
          </cell>
        </row>
        <row r="324">
          <cell r="F324">
            <v>125000000040</v>
          </cell>
          <cell r="G324" t="str">
            <v>SUPERINTENDENT , SDH RAIRANGPUR</v>
          </cell>
          <cell r="H324" t="str">
            <v xml:space="preserve">MOTHER &amp; CHILD HEALTH CARE COMPLEX </v>
          </cell>
          <cell r="I324" t="str">
            <v>12/04/2020 00:00:00</v>
          </cell>
          <cell r="J324">
            <v>1</v>
          </cell>
          <cell r="K324" t="str">
            <v>500 LPM PSA PLANT</v>
          </cell>
          <cell r="L324" t="str">
            <v xml:space="preserve"> </v>
          </cell>
          <cell r="M324" t="str">
            <v>523000010231492940</v>
          </cell>
          <cell r="N324" t="str">
            <v>1250000039</v>
          </cell>
          <cell r="O324" t="str">
            <v>38999-SPP</v>
          </cell>
          <cell r="P324" t="str">
            <v>452314203</v>
          </cell>
          <cell r="Q324" t="str">
            <v>SPECIFIED PUBLIC PURPOSE</v>
          </cell>
          <cell r="R324" t="str">
            <v>HT</v>
          </cell>
          <cell r="S324" t="str">
            <v>01/10/2023</v>
          </cell>
          <cell r="T324" t="str">
            <v>01/10/2023</v>
          </cell>
          <cell r="U324" t="str">
            <v>06/10/2023</v>
          </cell>
          <cell r="V324" t="str">
            <v>09/10/2023</v>
          </cell>
          <cell r="W324" t="str">
            <v>2023/09</v>
          </cell>
          <cell r="X324" t="str">
            <v>11 KV</v>
          </cell>
          <cell r="Y324" t="str">
            <v>HT</v>
          </cell>
          <cell r="Z324">
            <v>257.60000000000002</v>
          </cell>
          <cell r="AA324">
            <v>0.97440000000000004</v>
          </cell>
          <cell r="AB324">
            <v>21.21</v>
          </cell>
          <cell r="AC324" t="str">
            <v xml:space="preserve">01/09/2023 -     </v>
          </cell>
          <cell r="AD324" t="str">
            <v>30.09.2023</v>
          </cell>
          <cell r="AE324" t="str">
            <v>30/1.0000</v>
          </cell>
          <cell r="AF324">
            <v>322</v>
          </cell>
          <cell r="AG324" t="str">
            <v>KVA</v>
          </cell>
          <cell r="AH324">
            <v>322</v>
          </cell>
          <cell r="AI324" t="str">
            <v>R</v>
          </cell>
          <cell r="AJ324">
            <v>942559</v>
          </cell>
          <cell r="AK324" t="str">
            <v>30/09/2023</v>
          </cell>
          <cell r="AL324" t="str">
            <v>NSC94640</v>
          </cell>
          <cell r="AM324" t="str">
            <v>LT SINGLE PHASE AMR/AMI COMPLIANT METER-TOD</v>
          </cell>
          <cell r="AN324" t="str">
            <v>POST PAID</v>
          </cell>
          <cell r="AO324">
            <v>500</v>
          </cell>
          <cell r="AP324" t="str">
            <v>TOD</v>
          </cell>
          <cell r="AQ324">
            <v>-765679</v>
          </cell>
          <cell r="AR324">
            <v>0</v>
          </cell>
          <cell r="AS324">
            <v>0</v>
          </cell>
          <cell r="AT324">
            <v>0</v>
          </cell>
          <cell r="AU324">
            <v>0</v>
          </cell>
          <cell r="AV324">
            <v>0</v>
          </cell>
          <cell r="AW324">
            <v>16605</v>
          </cell>
          <cell r="AX324">
            <v>17040</v>
          </cell>
          <cell r="AY324">
            <v>17040</v>
          </cell>
          <cell r="AZ324">
            <v>764.88</v>
          </cell>
          <cell r="BA324">
            <v>111.6</v>
          </cell>
        </row>
        <row r="325">
          <cell r="F325">
            <v>125000000041</v>
          </cell>
          <cell r="G325" t="str">
            <v>M/S. B.K FLY ASH BRICKS    PROP-    SRI MAHABIR PRASAD KHEMKA</v>
          </cell>
          <cell r="H325" t="str">
            <v xml:space="preserve"> </v>
          </cell>
          <cell r="I325" t="str">
            <v>05/01/2021 00:00:00</v>
          </cell>
          <cell r="J325">
            <v>1</v>
          </cell>
          <cell r="K325" t="str">
            <v>AT- SANPAKHANA, RAIRANGPUR</v>
          </cell>
          <cell r="L325" t="str">
            <v xml:space="preserve"> </v>
          </cell>
          <cell r="M325" t="str">
            <v>523000010231492980</v>
          </cell>
          <cell r="N325" t="str">
            <v>132100000014</v>
          </cell>
          <cell r="O325" t="str">
            <v>523000000001</v>
          </cell>
          <cell r="P325" t="str">
            <v>452311203</v>
          </cell>
          <cell r="Q325" t="str">
            <v>LARGE INDUSTRY</v>
          </cell>
          <cell r="R325" t="str">
            <v>HT</v>
          </cell>
          <cell r="S325" t="str">
            <v>01/10/2023</v>
          </cell>
          <cell r="T325" t="str">
            <v>01/10/2023</v>
          </cell>
          <cell r="U325" t="str">
            <v>06/10/2023</v>
          </cell>
          <cell r="V325" t="str">
            <v>09/10/2023</v>
          </cell>
          <cell r="W325" t="str">
            <v>2023/09</v>
          </cell>
          <cell r="X325" t="str">
            <v>11 KV</v>
          </cell>
          <cell r="Y325" t="str">
            <v>HT</v>
          </cell>
          <cell r="Z325">
            <v>251.2</v>
          </cell>
          <cell r="AA325">
            <v>0.38390000000000002</v>
          </cell>
          <cell r="AB325">
            <v>15.77</v>
          </cell>
          <cell r="AC325" t="str">
            <v xml:space="preserve">01/09/2023 -     </v>
          </cell>
          <cell r="AD325" t="str">
            <v>30.09.2023</v>
          </cell>
          <cell r="AE325" t="str">
            <v>30/1.0000</v>
          </cell>
          <cell r="AF325">
            <v>314</v>
          </cell>
          <cell r="AG325" t="str">
            <v>KVA</v>
          </cell>
          <cell r="AH325">
            <v>314</v>
          </cell>
          <cell r="AI325" t="str">
            <v>R</v>
          </cell>
          <cell r="AJ325">
            <v>1661814</v>
          </cell>
          <cell r="AK325" t="str">
            <v>30/09/2023</v>
          </cell>
          <cell r="AL325" t="str">
            <v>NSC95006</v>
          </cell>
          <cell r="AM325" t="str">
            <v>HT THREE PHASE 3 WIRE AMR/AMI COMPLIANT METER</v>
          </cell>
          <cell r="AN325" t="str">
            <v>POST PAID</v>
          </cell>
          <cell r="AO325">
            <v>500</v>
          </cell>
          <cell r="AP325" t="str">
            <v>TOD</v>
          </cell>
          <cell r="AQ325">
            <v>-1202190.7</v>
          </cell>
          <cell r="AR325">
            <v>0</v>
          </cell>
          <cell r="AS325">
            <v>0</v>
          </cell>
          <cell r="AT325">
            <v>0</v>
          </cell>
          <cell r="AU325">
            <v>0</v>
          </cell>
          <cell r="AV325">
            <v>0</v>
          </cell>
          <cell r="AW325">
            <v>1632</v>
          </cell>
          <cell r="AX325">
            <v>4251</v>
          </cell>
          <cell r="AY325">
            <v>4251</v>
          </cell>
          <cell r="AZ325">
            <v>1905.12</v>
          </cell>
          <cell r="BA325">
            <v>37.44</v>
          </cell>
        </row>
        <row r="326">
          <cell r="F326">
            <v>125000000042</v>
          </cell>
          <cell r="G326" t="str">
            <v>CHELIGODHULI TOLL PLAZA</v>
          </cell>
          <cell r="H326" t="str">
            <v>BEGUNIA</v>
          </cell>
          <cell r="I326" t="str">
            <v>08/04/2021 00:00:00</v>
          </cell>
          <cell r="J326">
            <v>1</v>
          </cell>
          <cell r="K326" t="str">
            <v>JASHIPUR</v>
          </cell>
          <cell r="L326" t="str">
            <v>JASHIPUR</v>
          </cell>
          <cell r="M326" t="str">
            <v>523000010231493066</v>
          </cell>
          <cell r="N326" t="str">
            <v>132100000661</v>
          </cell>
          <cell r="O326" t="str">
            <v>39161-GP</v>
          </cell>
          <cell r="P326" t="str">
            <v>452343203</v>
          </cell>
          <cell r="Q326" t="str">
            <v>GENERAL PURPOSE &gt;= 110 KVA</v>
          </cell>
          <cell r="R326" t="str">
            <v>HT</v>
          </cell>
          <cell r="S326" t="str">
            <v>01/10/2023</v>
          </cell>
          <cell r="T326" t="str">
            <v>01/10/2023</v>
          </cell>
          <cell r="U326" t="str">
            <v>06/10/2023</v>
          </cell>
          <cell r="V326" t="str">
            <v>09/10/2023</v>
          </cell>
          <cell r="W326" t="str">
            <v>2023/09</v>
          </cell>
          <cell r="X326" t="str">
            <v>11 KV</v>
          </cell>
          <cell r="Y326" t="str">
            <v>HT</v>
          </cell>
          <cell r="Z326">
            <v>97.6</v>
          </cell>
          <cell r="AA326">
            <v>0.97599999999999998</v>
          </cell>
          <cell r="AB326">
            <v>42.77</v>
          </cell>
          <cell r="AC326" t="str">
            <v xml:space="preserve">01/09/2023 -     </v>
          </cell>
          <cell r="AD326" t="str">
            <v>30.09.2023</v>
          </cell>
          <cell r="AE326" t="str">
            <v>30/1.0000</v>
          </cell>
          <cell r="AF326">
            <v>122</v>
          </cell>
          <cell r="AG326" t="str">
            <v>KVA</v>
          </cell>
          <cell r="AH326">
            <v>122</v>
          </cell>
          <cell r="AI326" t="str">
            <v>R</v>
          </cell>
          <cell r="AJ326">
            <v>360046</v>
          </cell>
          <cell r="AK326" t="str">
            <v>30/09/2023</v>
          </cell>
          <cell r="AL326" t="str">
            <v>NES50358</v>
          </cell>
          <cell r="AM326" t="str">
            <v>HT THREE PHASE 4 WIRE AMR/AMI COMPLAINT METER</v>
          </cell>
          <cell r="AN326" t="str">
            <v>POST PAID</v>
          </cell>
          <cell r="AO326">
            <v>250</v>
          </cell>
          <cell r="AP326" t="str">
            <v>TOD</v>
          </cell>
          <cell r="AQ326">
            <v>-225403.1</v>
          </cell>
          <cell r="AR326">
            <v>0</v>
          </cell>
          <cell r="AS326">
            <v>0</v>
          </cell>
          <cell r="AT326">
            <v>0</v>
          </cell>
          <cell r="AU326">
            <v>0</v>
          </cell>
          <cell r="AV326">
            <v>0</v>
          </cell>
          <cell r="AW326">
            <v>7310</v>
          </cell>
          <cell r="AX326">
            <v>7489</v>
          </cell>
          <cell r="AY326">
            <v>7489</v>
          </cell>
          <cell r="AZ326">
            <v>183.36</v>
          </cell>
          <cell r="BA326">
            <v>24.32</v>
          </cell>
        </row>
        <row r="327">
          <cell r="F327">
            <v>125000000043</v>
          </cell>
          <cell r="G327" t="str">
            <v>EKALAVYA MODEL RESIDENTIAL SCHOOL,KADUANI</v>
          </cell>
          <cell r="H327" t="str">
            <v>KADUANI</v>
          </cell>
          <cell r="I327" t="str">
            <v>10/01/2021 00:00:00</v>
          </cell>
          <cell r="J327">
            <v>1</v>
          </cell>
          <cell r="K327" t="str">
            <v>GAMBHARIA</v>
          </cell>
          <cell r="L327" t="str">
            <v>RAIRANGPUR</v>
          </cell>
          <cell r="M327" t="str">
            <v>523000010231493307</v>
          </cell>
          <cell r="N327" t="str">
            <v>132100010749</v>
          </cell>
          <cell r="O327" t="str">
            <v>39297-L</v>
          </cell>
          <cell r="P327" t="str">
            <v>452314202</v>
          </cell>
          <cell r="Q327" t="str">
            <v>SPECIFIED PUBLIC PURPOSE</v>
          </cell>
          <cell r="R327" t="str">
            <v>HT</v>
          </cell>
          <cell r="S327" t="str">
            <v>01/10/2023</v>
          </cell>
          <cell r="T327" t="str">
            <v>01/10/2023</v>
          </cell>
          <cell r="U327" t="str">
            <v>06/10/2023</v>
          </cell>
          <cell r="V327" t="str">
            <v>09/10/2023</v>
          </cell>
          <cell r="W327" t="str">
            <v>2023/09</v>
          </cell>
          <cell r="X327" t="str">
            <v>11 KV</v>
          </cell>
          <cell r="Y327" t="str">
            <v>HT</v>
          </cell>
          <cell r="Z327">
            <v>88.8</v>
          </cell>
          <cell r="AA327">
            <v>0.99950000000000006</v>
          </cell>
          <cell r="AB327">
            <v>38.82</v>
          </cell>
          <cell r="AC327" t="str">
            <v xml:space="preserve">01/09/2023 -     </v>
          </cell>
          <cell r="AD327" t="str">
            <v>30.09.2023</v>
          </cell>
          <cell r="AE327" t="str">
            <v>30/1.0000</v>
          </cell>
          <cell r="AF327">
            <v>111</v>
          </cell>
          <cell r="AG327" t="str">
            <v>KVA</v>
          </cell>
          <cell r="AH327">
            <v>111</v>
          </cell>
          <cell r="AI327" t="str">
            <v>R</v>
          </cell>
          <cell r="AJ327">
            <v>324920</v>
          </cell>
          <cell r="AK327" t="str">
            <v>30/09/2023</v>
          </cell>
          <cell r="AL327" t="str">
            <v>NSC95170</v>
          </cell>
          <cell r="AM327" t="str">
            <v>HT THREE PHASE 4 WIRE AMR/AMI COMPLAINT METER</v>
          </cell>
          <cell r="AN327" t="str">
            <v>POST PAID</v>
          </cell>
          <cell r="AO327">
            <v>250</v>
          </cell>
          <cell r="AP327" t="str">
            <v>TOD</v>
          </cell>
          <cell r="AQ327">
            <v>-267813.8</v>
          </cell>
          <cell r="AR327">
            <v>0</v>
          </cell>
          <cell r="AS327">
            <v>0</v>
          </cell>
          <cell r="AT327">
            <v>0</v>
          </cell>
          <cell r="AU327">
            <v>0</v>
          </cell>
          <cell r="AV327">
            <v>0</v>
          </cell>
          <cell r="AW327">
            <v>4246</v>
          </cell>
          <cell r="AX327">
            <v>4248</v>
          </cell>
          <cell r="AY327">
            <v>4248</v>
          </cell>
          <cell r="AZ327">
            <v>82.32</v>
          </cell>
          <cell r="BA327">
            <v>15.2</v>
          </cell>
        </row>
        <row r="328">
          <cell r="F328">
            <v>125000000044</v>
          </cell>
          <cell r="G328" t="str">
            <v>MEGA LIFT PROJECT</v>
          </cell>
          <cell r="H328" t="str">
            <v>REDAM</v>
          </cell>
          <cell r="I328" t="str">
            <v>11/03/2021 00:00:00</v>
          </cell>
          <cell r="J328">
            <v>1</v>
          </cell>
          <cell r="K328" t="str">
            <v>BADADUNDU</v>
          </cell>
          <cell r="L328" t="str">
            <v>BAHALDA</v>
          </cell>
          <cell r="M328" t="str">
            <v>523000010231492963</v>
          </cell>
          <cell r="N328" t="str">
            <v>132100012715</v>
          </cell>
          <cell r="O328" t="str">
            <v>39383-L</v>
          </cell>
          <cell r="P328" t="str">
            <v>45207411002</v>
          </cell>
          <cell r="Q328" t="str">
            <v>MEGA LIFT</v>
          </cell>
          <cell r="R328" t="str">
            <v>HT</v>
          </cell>
          <cell r="S328" t="str">
            <v>01/10/2023</v>
          </cell>
          <cell r="T328" t="str">
            <v>01/10/2023</v>
          </cell>
          <cell r="U328" t="str">
            <v>06/10/2023</v>
          </cell>
          <cell r="V328" t="str">
            <v>09/10/2023</v>
          </cell>
          <cell r="W328" t="str">
            <v>2023/09</v>
          </cell>
          <cell r="X328" t="str">
            <v>33 KV</v>
          </cell>
          <cell r="Y328" t="str">
            <v>HT</v>
          </cell>
          <cell r="Z328">
            <v>1626.7919999999999</v>
          </cell>
          <cell r="AA328">
            <v>0.93820000000000003</v>
          </cell>
          <cell r="AB328">
            <v>21.52</v>
          </cell>
          <cell r="AC328" t="str">
            <v xml:space="preserve">01/09/2023 -     </v>
          </cell>
          <cell r="AD328" t="str">
            <v>30.09.2023</v>
          </cell>
          <cell r="AE328" t="str">
            <v>30/1.0000</v>
          </cell>
          <cell r="AF328">
            <v>2033.49</v>
          </cell>
          <cell r="AG328" t="str">
            <v>KVA</v>
          </cell>
          <cell r="AH328">
            <v>2033.49</v>
          </cell>
          <cell r="AI328" t="str">
            <v>R</v>
          </cell>
          <cell r="AJ328">
            <v>736937</v>
          </cell>
          <cell r="AK328" t="str">
            <v>30/09/2023</v>
          </cell>
          <cell r="AL328" t="str">
            <v>NSC95122</v>
          </cell>
          <cell r="AM328" t="str">
            <v>THREE PHASE HT CT METER-33KV</v>
          </cell>
          <cell r="AN328" t="str">
            <v>POST PAID</v>
          </cell>
          <cell r="AO328">
            <v>3300</v>
          </cell>
          <cell r="AP328" t="str">
            <v>TOD</v>
          </cell>
          <cell r="AQ328">
            <v>-734620.4</v>
          </cell>
          <cell r="AR328">
            <v>0</v>
          </cell>
          <cell r="AS328">
            <v>0</v>
          </cell>
          <cell r="AT328">
            <v>0</v>
          </cell>
          <cell r="AU328">
            <v>0</v>
          </cell>
          <cell r="AV328">
            <v>0</v>
          </cell>
          <cell r="AW328">
            <v>175347</v>
          </cell>
          <cell r="AX328">
            <v>186885</v>
          </cell>
          <cell r="AY328">
            <v>186885</v>
          </cell>
          <cell r="AZ328">
            <v>4240.08</v>
          </cell>
          <cell r="BA328">
            <v>1206</v>
          </cell>
        </row>
        <row r="329">
          <cell r="F329">
            <v>125000000045</v>
          </cell>
          <cell r="G329" t="str">
            <v>M/S. MAA TARINI STEELS LLP</v>
          </cell>
          <cell r="H329" t="str">
            <v>PANDERSIL</v>
          </cell>
          <cell r="I329" t="str">
            <v>01/29/2022 00:00:00</v>
          </cell>
          <cell r="J329">
            <v>1</v>
          </cell>
          <cell r="K329" t="str">
            <v>PANDERSIL</v>
          </cell>
          <cell r="L329" t="str">
            <v>SUKRULI</v>
          </cell>
          <cell r="M329" t="str">
            <v>523000010231492951</v>
          </cell>
          <cell r="N329" t="str">
            <v>132200015951</v>
          </cell>
          <cell r="O329" t="str">
            <v>39475-L</v>
          </cell>
          <cell r="P329" t="str">
            <v>45207410001</v>
          </cell>
          <cell r="Q329" t="str">
            <v>LARGE INDUSTRY</v>
          </cell>
          <cell r="R329" t="str">
            <v>HT</v>
          </cell>
          <cell r="S329" t="str">
            <v>01/10/2023</v>
          </cell>
          <cell r="T329" t="str">
            <v>01/10/2023</v>
          </cell>
          <cell r="U329" t="str">
            <v>06/10/2023</v>
          </cell>
          <cell r="V329" t="str">
            <v>09/10/2023</v>
          </cell>
          <cell r="W329" t="str">
            <v>2023/09</v>
          </cell>
          <cell r="X329" t="str">
            <v>33 KV</v>
          </cell>
          <cell r="Y329" t="str">
            <v>HT</v>
          </cell>
          <cell r="Z329">
            <v>892.32</v>
          </cell>
          <cell r="AA329">
            <v>0.99870000000000003</v>
          </cell>
          <cell r="AB329">
            <v>66.63</v>
          </cell>
          <cell r="AC329" t="str">
            <v xml:space="preserve">01/09/2023 -     </v>
          </cell>
          <cell r="AD329" t="str">
            <v>30.09.2023</v>
          </cell>
          <cell r="AE329" t="str">
            <v>30/1.0000</v>
          </cell>
          <cell r="AF329">
            <v>500</v>
          </cell>
          <cell r="AG329" t="str">
            <v>KVA</v>
          </cell>
          <cell r="AH329">
            <v>500</v>
          </cell>
          <cell r="AI329" t="str">
            <v>R</v>
          </cell>
          <cell r="AJ329">
            <v>4589394</v>
          </cell>
          <cell r="AK329" t="str">
            <v>30/09/2023</v>
          </cell>
          <cell r="AL329" t="str">
            <v>TPN64709</v>
          </cell>
          <cell r="AM329" t="str">
            <v>THREE PHASE HT CT METER-33KV</v>
          </cell>
          <cell r="AN329" t="str">
            <v>POST PAID</v>
          </cell>
          <cell r="AO329">
            <v>1000</v>
          </cell>
          <cell r="AP329" t="str">
            <v>TOD</v>
          </cell>
          <cell r="AQ329">
            <v>157323.01999999999</v>
          </cell>
          <cell r="AR329">
            <v>0</v>
          </cell>
          <cell r="AS329">
            <v>0</v>
          </cell>
          <cell r="AT329">
            <v>0</v>
          </cell>
          <cell r="AU329">
            <v>0</v>
          </cell>
          <cell r="AV329">
            <v>0</v>
          </cell>
          <cell r="AW329">
            <v>427551</v>
          </cell>
          <cell r="AX329">
            <v>428091</v>
          </cell>
          <cell r="AY329">
            <v>428091</v>
          </cell>
          <cell r="AZ329">
            <v>5609.04</v>
          </cell>
          <cell r="BA329">
            <v>892.32</v>
          </cell>
        </row>
        <row r="330">
          <cell r="F330">
            <v>125000000046</v>
          </cell>
          <cell r="G330" t="str">
            <v>M/S Mayurbhanj Metals Limited</v>
          </cell>
          <cell r="H330" t="str">
            <v xml:space="preserve"> </v>
          </cell>
          <cell r="I330" t="str">
            <v>08/09/2022 00:00:00</v>
          </cell>
          <cell r="J330">
            <v>1</v>
          </cell>
          <cell r="K330" t="str">
            <v>Bharandia</v>
          </cell>
          <cell r="L330" t="str">
            <v>Rairangpur</v>
          </cell>
          <cell r="M330" t="str">
            <v>523000010231492916</v>
          </cell>
          <cell r="N330" t="str">
            <v>132200087184</v>
          </cell>
          <cell r="O330" t="str">
            <v xml:space="preserve"> </v>
          </cell>
          <cell r="P330" t="str">
            <v>45207411001</v>
          </cell>
          <cell r="Q330" t="str">
            <v>LARGE INDUSTRY</v>
          </cell>
          <cell r="R330" t="str">
            <v>HT</v>
          </cell>
          <cell r="S330" t="str">
            <v>01/10/2023</v>
          </cell>
          <cell r="T330" t="str">
            <v>01/10/2023</v>
          </cell>
          <cell r="U330" t="str">
            <v>06/10/2023</v>
          </cell>
          <cell r="V330" t="str">
            <v>09/10/2023</v>
          </cell>
          <cell r="W330" t="str">
            <v>2023/09</v>
          </cell>
          <cell r="X330" t="str">
            <v>33 KV</v>
          </cell>
          <cell r="Y330" t="str">
            <v>HT</v>
          </cell>
          <cell r="Z330">
            <v>88</v>
          </cell>
          <cell r="AA330">
            <v>1.0018</v>
          </cell>
          <cell r="AB330">
            <v>44.06</v>
          </cell>
          <cell r="AC330" t="str">
            <v xml:space="preserve">01/09/2023 -     </v>
          </cell>
          <cell r="AD330" t="str">
            <v>30.09.2023</v>
          </cell>
          <cell r="AE330" t="str">
            <v>30/1.0000</v>
          </cell>
          <cell r="AF330">
            <v>110</v>
          </cell>
          <cell r="AG330" t="str">
            <v>KVA</v>
          </cell>
          <cell r="AH330">
            <v>110</v>
          </cell>
          <cell r="AI330" t="str">
            <v>R</v>
          </cell>
          <cell r="AJ330">
            <v>675224</v>
          </cell>
          <cell r="AK330" t="str">
            <v>30/09/2023</v>
          </cell>
          <cell r="AL330" t="str">
            <v>TPN64730</v>
          </cell>
          <cell r="AM330" t="str">
            <v>THREE PHASE HT CT METER-33KV</v>
          </cell>
          <cell r="AN330" t="str">
            <v>POST PAID</v>
          </cell>
          <cell r="AO330">
            <v>1250</v>
          </cell>
          <cell r="AP330" t="str">
            <v>TOD</v>
          </cell>
          <cell r="AQ330">
            <v>0</v>
          </cell>
          <cell r="AR330">
            <v>0</v>
          </cell>
          <cell r="AS330">
            <v>0</v>
          </cell>
          <cell r="AT330">
            <v>0</v>
          </cell>
          <cell r="AU330">
            <v>0</v>
          </cell>
          <cell r="AV330">
            <v>0</v>
          </cell>
          <cell r="AW330">
            <v>1602</v>
          </cell>
          <cell r="AX330">
            <v>1599</v>
          </cell>
          <cell r="AY330">
            <v>1599</v>
          </cell>
          <cell r="AZ330">
            <v>151.44</v>
          </cell>
          <cell r="BA330">
            <v>5.04</v>
          </cell>
        </row>
        <row r="331">
          <cell r="F331">
            <v>125000000047</v>
          </cell>
          <cell r="G331" t="str">
            <v>MEGALIFT IRRIGATION PROJECT</v>
          </cell>
          <cell r="H331" t="str">
            <v>GOVT LAND</v>
          </cell>
          <cell r="I331" t="str">
            <v>01/12/2023 00:00:00</v>
          </cell>
          <cell r="J331">
            <v>1</v>
          </cell>
          <cell r="K331" t="str">
            <v>DEODIPHA AND SIALGOTHANI</v>
          </cell>
          <cell r="L331" t="str">
            <v>SUKRULI</v>
          </cell>
          <cell r="M331" t="str">
            <v>523000010231493008</v>
          </cell>
          <cell r="N331" t="str">
            <v>132321222417</v>
          </cell>
          <cell r="O331" t="str">
            <v xml:space="preserve"> </v>
          </cell>
          <cell r="P331" t="str">
            <v>NULL</v>
          </cell>
          <cell r="Q331" t="str">
            <v>MEGA LIFT</v>
          </cell>
          <cell r="R331" t="str">
            <v>HT</v>
          </cell>
          <cell r="S331" t="str">
            <v>01/10/2023</v>
          </cell>
          <cell r="T331" t="str">
            <v>01/10/2023</v>
          </cell>
          <cell r="U331" t="str">
            <v>06/10/2023</v>
          </cell>
          <cell r="V331" t="str">
            <v>09/10/2023</v>
          </cell>
          <cell r="W331" t="str">
            <v>2023/09</v>
          </cell>
          <cell r="X331" t="str">
            <v>33 KV</v>
          </cell>
          <cell r="Y331" t="str">
            <v>HT</v>
          </cell>
          <cell r="Z331">
            <v>3142.4</v>
          </cell>
          <cell r="AA331">
            <v>0.99390000000000001</v>
          </cell>
          <cell r="AB331">
            <v>5.59</v>
          </cell>
          <cell r="AC331" t="str">
            <v xml:space="preserve">01/09/2023 -     </v>
          </cell>
          <cell r="AD331" t="str">
            <v>30.09.2023</v>
          </cell>
          <cell r="AE331" t="str">
            <v>30/1.0000</v>
          </cell>
          <cell r="AF331">
            <v>3928</v>
          </cell>
          <cell r="AG331" t="str">
            <v>KVA</v>
          </cell>
          <cell r="AH331">
            <v>3928</v>
          </cell>
          <cell r="AI331" t="str">
            <v>R</v>
          </cell>
          <cell r="AJ331">
            <v>6532680</v>
          </cell>
          <cell r="AK331" t="str">
            <v>30/09/2023</v>
          </cell>
          <cell r="AL331" t="str">
            <v>TPN64773</v>
          </cell>
          <cell r="AM331" t="str">
            <v>THREE PHASE HT CT METER-33KV</v>
          </cell>
          <cell r="AN331" t="str">
            <v>POST PAID</v>
          </cell>
          <cell r="AO331">
            <v>5000</v>
          </cell>
          <cell r="AP331" t="str">
            <v>TOD</v>
          </cell>
          <cell r="AQ331">
            <v>0</v>
          </cell>
          <cell r="AR331">
            <v>0</v>
          </cell>
          <cell r="AS331">
            <v>0</v>
          </cell>
          <cell r="AT331">
            <v>0</v>
          </cell>
          <cell r="AU331">
            <v>0</v>
          </cell>
          <cell r="AV331">
            <v>0</v>
          </cell>
          <cell r="AW331">
            <v>44070</v>
          </cell>
          <cell r="AX331">
            <v>44340</v>
          </cell>
          <cell r="AY331">
            <v>44340</v>
          </cell>
          <cell r="AZ331">
            <v>2188.8000000000002</v>
          </cell>
          <cell r="BA331">
            <v>1101.6000000000001</v>
          </cell>
        </row>
        <row r="332">
          <cell r="F332">
            <v>125000000048</v>
          </cell>
          <cell r="G332" t="str">
            <v>M/S.  GHANASHYAM MISHRA &amp;SONS</v>
          </cell>
          <cell r="H332" t="str">
            <v>GORUMAHISANI</v>
          </cell>
          <cell r="I332" t="str">
            <v>02/15/2023 00:00:00</v>
          </cell>
          <cell r="J332">
            <v>1</v>
          </cell>
          <cell r="K332" t="str">
            <v>GORUMAHISANI</v>
          </cell>
          <cell r="L332" t="str">
            <v>GORUMAHISANI</v>
          </cell>
          <cell r="M332" t="str">
            <v>523000010231492860</v>
          </cell>
          <cell r="N332" t="str">
            <v>132327029335</v>
          </cell>
          <cell r="O332" t="str">
            <v xml:space="preserve"> </v>
          </cell>
          <cell r="P332" t="str">
            <v>NULL</v>
          </cell>
          <cell r="Q332" t="str">
            <v>LARGE INDUSTRY</v>
          </cell>
          <cell r="R332" t="str">
            <v>HT</v>
          </cell>
          <cell r="S332" t="str">
            <v>01/10/2023</v>
          </cell>
          <cell r="T332" t="str">
            <v>01/10/2023</v>
          </cell>
          <cell r="U332" t="str">
            <v>06/10/2023</v>
          </cell>
          <cell r="V332" t="str">
            <v>09/10/2023</v>
          </cell>
          <cell r="W332" t="str">
            <v>2023/09</v>
          </cell>
          <cell r="X332" t="str">
            <v>33 KV</v>
          </cell>
          <cell r="Y332" t="str">
            <v>HT</v>
          </cell>
          <cell r="Z332">
            <v>2800</v>
          </cell>
          <cell r="AA332">
            <v>0.92879999999999996</v>
          </cell>
          <cell r="AB332">
            <v>8.52</v>
          </cell>
          <cell r="AC332" t="str">
            <v xml:space="preserve">01/09/2023 -     </v>
          </cell>
          <cell r="AD332" t="str">
            <v>30.09.2023</v>
          </cell>
          <cell r="AE332" t="str">
            <v>30/1.0000</v>
          </cell>
          <cell r="AF332">
            <v>3500</v>
          </cell>
          <cell r="AG332" t="str">
            <v>KVA</v>
          </cell>
          <cell r="AH332">
            <v>3500</v>
          </cell>
          <cell r="AI332" t="str">
            <v>R</v>
          </cell>
          <cell r="AJ332">
            <v>21484400</v>
          </cell>
          <cell r="AK332" t="str">
            <v>30/09/2023</v>
          </cell>
          <cell r="AL332" t="str">
            <v>TPN64774</v>
          </cell>
          <cell r="AM332" t="str">
            <v>THREE PHASE HT CT METER-33KV</v>
          </cell>
          <cell r="AN332" t="str">
            <v>POST PAID</v>
          </cell>
          <cell r="AO332">
            <v>5000</v>
          </cell>
          <cell r="AP332" t="str">
            <v>TOD</v>
          </cell>
          <cell r="AQ332">
            <v>0</v>
          </cell>
          <cell r="AR332">
            <v>0</v>
          </cell>
          <cell r="AS332">
            <v>0</v>
          </cell>
          <cell r="AT332">
            <v>0</v>
          </cell>
          <cell r="AU332">
            <v>0</v>
          </cell>
          <cell r="AV332">
            <v>0</v>
          </cell>
          <cell r="AW332">
            <v>59100</v>
          </cell>
          <cell r="AX332">
            <v>63630</v>
          </cell>
          <cell r="AY332">
            <v>63630</v>
          </cell>
          <cell r="AZ332">
            <v>7891.2</v>
          </cell>
          <cell r="BA332">
            <v>1036.8</v>
          </cell>
        </row>
        <row r="333">
          <cell r="F333">
            <v>125000000049</v>
          </cell>
          <cell r="G333" t="str">
            <v>Ms.  GENERAL MANAGER WATCO DIVISION  BARIPADA</v>
          </cell>
          <cell r="H333" t="str">
            <v xml:space="preserve">PUMP HOUSE,RAIRANGPUR              </v>
          </cell>
          <cell r="I333" t="str">
            <v>01/25/2021 00:00:00</v>
          </cell>
          <cell r="J333">
            <v>1</v>
          </cell>
          <cell r="K333" t="str">
            <v xml:space="preserve">DIST:-MBJ                          </v>
          </cell>
          <cell r="L333" t="str">
            <v xml:space="preserve"> </v>
          </cell>
          <cell r="M333" t="str">
            <v>523000010231495027</v>
          </cell>
          <cell r="N333" t="str">
            <v>31251000157</v>
          </cell>
          <cell r="O333" t="str">
            <v>RA-1368</v>
          </cell>
          <cell r="P333" t="str">
            <v>NULL</v>
          </cell>
          <cell r="Q333" t="str">
            <v>PUBLIC WATER WORKS &amp; SEWERAGE PUMPING</v>
          </cell>
          <cell r="R333" t="str">
            <v>HT</v>
          </cell>
          <cell r="S333" t="str">
            <v>01/10/2023</v>
          </cell>
          <cell r="T333" t="str">
            <v>01/10/2023</v>
          </cell>
          <cell r="U333" t="str">
            <v>09/10/2023</v>
          </cell>
          <cell r="V333" t="str">
            <v>09/10/2023</v>
          </cell>
          <cell r="W333" t="str">
            <v>2023/09</v>
          </cell>
          <cell r="X333" t="str">
            <v>11 KV</v>
          </cell>
          <cell r="Y333" t="str">
            <v>HT</v>
          </cell>
          <cell r="Z333">
            <v>168</v>
          </cell>
          <cell r="AA333">
            <v>0.99980000000000002</v>
          </cell>
          <cell r="AB333">
            <v>59.92</v>
          </cell>
          <cell r="AC333" t="str">
            <v xml:space="preserve">01/09/2023 -     </v>
          </cell>
          <cell r="AD333" t="str">
            <v>30.09.2023</v>
          </cell>
          <cell r="AE333" t="str">
            <v>30/1.0000</v>
          </cell>
          <cell r="AF333">
            <v>210</v>
          </cell>
          <cell r="AG333" t="str">
            <v>KVA</v>
          </cell>
          <cell r="AH333">
            <v>210</v>
          </cell>
          <cell r="AI333" t="str">
            <v>R</v>
          </cell>
          <cell r="AJ333">
            <v>968519.85629999998</v>
          </cell>
          <cell r="AK333" t="str">
            <v>30/09/2023</v>
          </cell>
          <cell r="AL333" t="str">
            <v>TPNODL38110569</v>
          </cell>
          <cell r="AM333" t="str">
            <v>THREE PHASE SMART HT CT METER (AMR/AMI)-11KV</v>
          </cell>
          <cell r="AN333" t="str">
            <v>POST PAID</v>
          </cell>
          <cell r="AO333">
            <v>500</v>
          </cell>
          <cell r="AP333" t="str">
            <v>TOD</v>
          </cell>
          <cell r="AQ333">
            <v>96650.4</v>
          </cell>
          <cell r="AR333">
            <v>0</v>
          </cell>
          <cell r="AS333">
            <v>0</v>
          </cell>
          <cell r="AT333">
            <v>0</v>
          </cell>
          <cell r="AU333">
            <v>0</v>
          </cell>
          <cell r="AV333">
            <v>0</v>
          </cell>
          <cell r="AW333">
            <v>38497</v>
          </cell>
          <cell r="AX333">
            <v>38501</v>
          </cell>
          <cell r="AY333">
            <v>38501</v>
          </cell>
          <cell r="AZ333">
            <v>304.01519999999999</v>
          </cell>
          <cell r="BA333">
            <v>89.238</v>
          </cell>
        </row>
        <row r="334">
          <cell r="F334">
            <v>125000000050</v>
          </cell>
          <cell r="G334" t="str">
            <v>SUPERINTENDING ENGINEER RWS&amp;S DIVISION RAIRANGPUR</v>
          </cell>
          <cell r="H334" t="str">
            <v>GOVT LAND</v>
          </cell>
          <cell r="I334" t="str">
            <v>07/31/2023 00:00:00</v>
          </cell>
          <cell r="J334">
            <v>1</v>
          </cell>
          <cell r="K334" t="str">
            <v>KHERNA</v>
          </cell>
          <cell r="L334" t="str">
            <v>KUSUMI</v>
          </cell>
          <cell r="M334" t="str">
            <v>523000010231495012</v>
          </cell>
          <cell r="N334" t="str">
            <v>132328875429</v>
          </cell>
          <cell r="O334" t="str">
            <v xml:space="preserve"> </v>
          </cell>
          <cell r="P334" t="str">
            <v>NULL</v>
          </cell>
          <cell r="Q334" t="str">
            <v>PUBLIC WATER WORKS &amp; SEWERAGE PUMPING</v>
          </cell>
          <cell r="R334" t="str">
            <v>HT</v>
          </cell>
          <cell r="S334" t="str">
            <v>01/10/2023</v>
          </cell>
          <cell r="T334" t="str">
            <v>01/10/2023</v>
          </cell>
          <cell r="U334" t="str">
            <v>09/10/2023</v>
          </cell>
          <cell r="V334" t="str">
            <v>09/10/2023</v>
          </cell>
          <cell r="W334" t="str">
            <v>2023/09</v>
          </cell>
          <cell r="X334" t="str">
            <v>11 KV</v>
          </cell>
          <cell r="Y334" t="str">
            <v>HT</v>
          </cell>
          <cell r="Z334">
            <v>291.38</v>
          </cell>
          <cell r="AA334">
            <v>0.93289999999999995</v>
          </cell>
          <cell r="AB334">
            <v>8.81</v>
          </cell>
          <cell r="AC334" t="str">
            <v xml:space="preserve">01/09/2023 -     </v>
          </cell>
          <cell r="AD334" t="str">
            <v>30.09.2023</v>
          </cell>
          <cell r="AE334" t="str">
            <v>30/1.0000</v>
          </cell>
          <cell r="AF334">
            <v>241</v>
          </cell>
          <cell r="AG334" t="str">
            <v>KVA</v>
          </cell>
          <cell r="AH334">
            <v>241</v>
          </cell>
          <cell r="AI334" t="str">
            <v>R</v>
          </cell>
          <cell r="AJ334">
            <v>1111492</v>
          </cell>
          <cell r="AK334" t="str">
            <v>30/09/2023</v>
          </cell>
          <cell r="AL334" t="str">
            <v>TPNODL38110414</v>
          </cell>
          <cell r="AM334" t="str">
            <v>THREE PHASE SMART HT CT METER (AMR/AMI)-11KV</v>
          </cell>
          <cell r="AN334" t="str">
            <v>SMART METER</v>
          </cell>
          <cell r="AO334">
            <v>800</v>
          </cell>
          <cell r="AP334" t="str">
            <v>TOD</v>
          </cell>
          <cell r="AQ334">
            <v>0</v>
          </cell>
          <cell r="AR334">
            <v>0</v>
          </cell>
          <cell r="AS334">
            <v>0</v>
          </cell>
          <cell r="AT334">
            <v>0</v>
          </cell>
          <cell r="AU334">
            <v>0</v>
          </cell>
          <cell r="AV334">
            <v>0</v>
          </cell>
          <cell r="AW334">
            <v>17249</v>
          </cell>
          <cell r="AX334">
            <v>18489</v>
          </cell>
          <cell r="AY334">
            <v>18489</v>
          </cell>
          <cell r="AZ334">
            <v>563.81500000000005</v>
          </cell>
          <cell r="BA334">
            <v>291.375</v>
          </cell>
        </row>
        <row r="335">
          <cell r="F335">
            <v>125000000051</v>
          </cell>
          <cell r="G335" t="str">
            <v>SUPERINTENDING ENGINEER RWS&amp;S DIVISION RAIRANGPUR</v>
          </cell>
          <cell r="H335" t="str">
            <v>GOVT LAND</v>
          </cell>
          <cell r="I335" t="str">
            <v>07/31/2023 00:00:00</v>
          </cell>
          <cell r="J335">
            <v>1</v>
          </cell>
          <cell r="K335" t="str">
            <v>UKAM</v>
          </cell>
          <cell r="L335" t="str">
            <v>KUSUMI</v>
          </cell>
          <cell r="M335" t="str">
            <v>523000010231493433</v>
          </cell>
          <cell r="N335" t="str">
            <v>132328875430</v>
          </cell>
          <cell r="O335" t="str">
            <v xml:space="preserve"> </v>
          </cell>
          <cell r="P335" t="str">
            <v>NULL</v>
          </cell>
          <cell r="Q335" t="str">
            <v>PUBLIC WATER WORKS &amp; SEWERAGE PUMPING</v>
          </cell>
          <cell r="R335" t="str">
            <v>HT</v>
          </cell>
          <cell r="S335" t="str">
            <v>01/10/2023</v>
          </cell>
          <cell r="T335" t="str">
            <v>01/10/2023</v>
          </cell>
          <cell r="U335" t="str">
            <v>09/10/2023</v>
          </cell>
          <cell r="V335" t="str">
            <v>09/10/2023</v>
          </cell>
          <cell r="W335" t="str">
            <v>2023/09</v>
          </cell>
          <cell r="X335" t="str">
            <v>11 KV</v>
          </cell>
          <cell r="Y335" t="str">
            <v>HT</v>
          </cell>
          <cell r="Z335">
            <v>272.8</v>
          </cell>
          <cell r="AA335">
            <v>0.95960000000000001</v>
          </cell>
          <cell r="AB335">
            <v>13.77</v>
          </cell>
          <cell r="AC335" t="str">
            <v xml:space="preserve">01/09/2023 -     </v>
          </cell>
          <cell r="AD335" t="str">
            <v>30.09.2023</v>
          </cell>
          <cell r="AE335" t="str">
            <v>30/1.0000</v>
          </cell>
          <cell r="AF335">
            <v>341</v>
          </cell>
          <cell r="AG335" t="str">
            <v>KVA</v>
          </cell>
          <cell r="AH335">
            <v>341</v>
          </cell>
          <cell r="AI335" t="str">
            <v>R</v>
          </cell>
          <cell r="AJ335">
            <v>1572692</v>
          </cell>
          <cell r="AK335" t="str">
            <v>30/09/2023</v>
          </cell>
          <cell r="AL335" t="str">
            <v>TPNODL38110413</v>
          </cell>
          <cell r="AM335" t="str">
            <v>THREE PHASE SMART HT CT METER (AMR/AMI)-11KV</v>
          </cell>
          <cell r="AN335" t="str">
            <v>SMART METER</v>
          </cell>
          <cell r="AO335">
            <v>1200</v>
          </cell>
          <cell r="AP335" t="str">
            <v>TOD</v>
          </cell>
          <cell r="AQ335">
            <v>0</v>
          </cell>
          <cell r="AR335">
            <v>0</v>
          </cell>
          <cell r="AS335">
            <v>0</v>
          </cell>
          <cell r="AT335">
            <v>0</v>
          </cell>
          <cell r="AU335">
            <v>0</v>
          </cell>
          <cell r="AV335">
            <v>0</v>
          </cell>
          <cell r="AW335">
            <v>25401</v>
          </cell>
          <cell r="AX335">
            <v>26470</v>
          </cell>
          <cell r="AY335">
            <v>26470</v>
          </cell>
          <cell r="AZ335">
            <v>492.35500000000002</v>
          </cell>
          <cell r="BA335">
            <v>266.98500000000001</v>
          </cell>
        </row>
        <row r="336">
          <cell r="F336">
            <v>125000000052</v>
          </cell>
          <cell r="G336" t="str">
            <v>Executive Engineer RWS&amp;S Division, Rairangpur</v>
          </cell>
          <cell r="H336" t="str">
            <v xml:space="preserve"> </v>
          </cell>
          <cell r="I336" t="str">
            <v>08/18/2023 00:00:00</v>
          </cell>
          <cell r="J336">
            <v>1</v>
          </cell>
          <cell r="K336" t="str">
            <v>RWSS Point Anlabeni &amp; Sanjuposi</v>
          </cell>
          <cell r="L336" t="str">
            <v>Rairangpur</v>
          </cell>
          <cell r="M336" t="str">
            <v>523000010231493002</v>
          </cell>
          <cell r="N336" t="str">
            <v>132328979768</v>
          </cell>
          <cell r="O336" t="str">
            <v xml:space="preserve"> </v>
          </cell>
          <cell r="P336" t="str">
            <v>NULL</v>
          </cell>
          <cell r="Q336" t="str">
            <v>PUBLIC WATER WORKS &amp; SEWERAGE PUMPING</v>
          </cell>
          <cell r="R336" t="str">
            <v>HT</v>
          </cell>
          <cell r="S336" t="str">
            <v>01/10/2023</v>
          </cell>
          <cell r="T336" t="str">
            <v>01/10/2023</v>
          </cell>
          <cell r="U336" t="str">
            <v>09/10/2023</v>
          </cell>
          <cell r="V336" t="str">
            <v>09/10/2023</v>
          </cell>
          <cell r="W336" t="str">
            <v>2023/09</v>
          </cell>
          <cell r="X336" t="str">
            <v>33 KV</v>
          </cell>
          <cell r="Y336" t="str">
            <v>HT</v>
          </cell>
          <cell r="Z336">
            <v>584</v>
          </cell>
          <cell r="AA336">
            <v>1</v>
          </cell>
          <cell r="AB336">
            <v>3.64</v>
          </cell>
          <cell r="AC336" t="str">
            <v xml:space="preserve">01/09/2023 -     </v>
          </cell>
          <cell r="AD336" t="str">
            <v>25.09.2023</v>
          </cell>
          <cell r="AE336" t="str">
            <v>25/1.0000</v>
          </cell>
          <cell r="AF336">
            <v>730</v>
          </cell>
          <cell r="AG336" t="str">
            <v>KVA</v>
          </cell>
          <cell r="AH336">
            <v>730</v>
          </cell>
          <cell r="AI336" t="str">
            <v>R</v>
          </cell>
          <cell r="AJ336">
            <v>3366760</v>
          </cell>
          <cell r="AK336" t="str">
            <v>25/09/2023</v>
          </cell>
          <cell r="AL336" t="str">
            <v>TPN64454</v>
          </cell>
          <cell r="AM336" t="str">
            <v>THREE PHASE HT CT METER-33KV</v>
          </cell>
          <cell r="AN336" t="str">
            <v>POST PAID</v>
          </cell>
          <cell r="AO336">
            <v>2320</v>
          </cell>
          <cell r="AP336" t="str">
            <v>TOD</v>
          </cell>
          <cell r="AQ336">
            <v>0</v>
          </cell>
          <cell r="AR336">
            <v>0</v>
          </cell>
          <cell r="AS336">
            <v>0</v>
          </cell>
          <cell r="AT336">
            <v>0</v>
          </cell>
          <cell r="AU336">
            <v>0</v>
          </cell>
          <cell r="AV336">
            <v>0</v>
          </cell>
          <cell r="AW336">
            <v>4923</v>
          </cell>
          <cell r="AX336">
            <v>4923</v>
          </cell>
          <cell r="AY336">
            <v>4923</v>
          </cell>
          <cell r="AZ336">
            <v>341.46</v>
          </cell>
          <cell r="BA336">
            <v>225.36</v>
          </cell>
        </row>
        <row r="337">
          <cell r="F337">
            <v>125000000053</v>
          </cell>
          <cell r="G337" t="str">
            <v>M/S. B K AGRO PRODUCTS PRIVATE LIMITED</v>
          </cell>
          <cell r="H337" t="str">
            <v>268/156</v>
          </cell>
          <cell r="I337" t="str">
            <v>09/29/2023 00:00:00</v>
          </cell>
          <cell r="J337">
            <v>1</v>
          </cell>
          <cell r="K337" t="str">
            <v>KERKERA, KARANJIA</v>
          </cell>
          <cell r="L337" t="str">
            <v>KERKERA</v>
          </cell>
          <cell r="M337" t="str">
            <v>523000010232499803</v>
          </cell>
          <cell r="N337" t="str">
            <v>132329087659</v>
          </cell>
          <cell r="O337" t="str">
            <v xml:space="preserve"> </v>
          </cell>
          <cell r="P337" t="str">
            <v>NULL</v>
          </cell>
          <cell r="Q337" t="str">
            <v>LARGE INDUSTRY</v>
          </cell>
          <cell r="R337" t="str">
            <v>HT</v>
          </cell>
          <cell r="S337" t="str">
            <v>03/10/2023</v>
          </cell>
          <cell r="T337" t="str">
            <v>03/10/2023</v>
          </cell>
          <cell r="U337" t="str">
            <v>06/10/2023</v>
          </cell>
          <cell r="V337" t="str">
            <v>10/10/2023</v>
          </cell>
          <cell r="W337" t="str">
            <v>2023/09</v>
          </cell>
          <cell r="X337" t="str">
            <v>11 KV</v>
          </cell>
          <cell r="Y337" t="str">
            <v>HT</v>
          </cell>
          <cell r="Z337">
            <v>265.60000000000002</v>
          </cell>
          <cell r="AA337">
            <v>0</v>
          </cell>
          <cell r="AB337">
            <v>0</v>
          </cell>
          <cell r="AC337" t="str">
            <v xml:space="preserve">27/09/2023 -          </v>
          </cell>
          <cell r="AD337" t="str">
            <v>30.09.2023</v>
          </cell>
          <cell r="AE337" t="str">
            <v>4/0.1333</v>
          </cell>
          <cell r="AF337">
            <v>332</v>
          </cell>
          <cell r="AG337" t="str">
            <v>KVA</v>
          </cell>
          <cell r="AH337">
            <v>332</v>
          </cell>
          <cell r="AI337" t="str">
            <v>N</v>
          </cell>
          <cell r="AJ337">
            <v>2037948.8</v>
          </cell>
          <cell r="AK337" t="str">
            <v>30/09/2023</v>
          </cell>
          <cell r="AL337" t="str">
            <v>TPNODL38110444</v>
          </cell>
          <cell r="AM337" t="str">
            <v>THREE PHASE SMART HT CT METER (AMR/AMI)-11KV</v>
          </cell>
          <cell r="AN337" t="str">
            <v>SMART METER</v>
          </cell>
          <cell r="AO337">
            <v>500</v>
          </cell>
          <cell r="AP337" t="str">
            <v>TOD</v>
          </cell>
          <cell r="AQ337">
            <v>0</v>
          </cell>
          <cell r="AR337">
            <v>0</v>
          </cell>
          <cell r="AS337">
            <v>0</v>
          </cell>
          <cell r="AT337">
            <v>0</v>
          </cell>
          <cell r="AU337">
            <v>0</v>
          </cell>
          <cell r="AV337">
            <v>0</v>
          </cell>
          <cell r="AW337">
            <v>0</v>
          </cell>
          <cell r="AX337">
            <v>0</v>
          </cell>
          <cell r="AY337">
            <v>0</v>
          </cell>
          <cell r="AZ337">
            <v>0</v>
          </cell>
          <cell r="BA337">
            <v>0</v>
          </cell>
        </row>
        <row r="338">
          <cell r="F338">
            <v>129000000001</v>
          </cell>
          <cell r="G338" t="str">
            <v>EKLAVYA MODEL SCHOOL</v>
          </cell>
          <cell r="H338" t="str">
            <v>DHANGHERA, KHUNTA,</v>
          </cell>
          <cell r="I338" t="str">
            <v>10/31/2020 00:00:00</v>
          </cell>
          <cell r="J338">
            <v>1</v>
          </cell>
          <cell r="K338" t="str">
            <v xml:space="preserve"> </v>
          </cell>
          <cell r="L338" t="str">
            <v xml:space="preserve"> </v>
          </cell>
          <cell r="M338" t="str">
            <v>522000010231492887</v>
          </cell>
          <cell r="N338" t="str">
            <v>1290000001</v>
          </cell>
          <cell r="O338" t="str">
            <v>KH-132</v>
          </cell>
          <cell r="P338" t="str">
            <v>452224201</v>
          </cell>
          <cell r="Q338" t="str">
            <v>SPECIFIED PUBLIC PURPOSE</v>
          </cell>
          <cell r="R338" t="str">
            <v>HT</v>
          </cell>
          <cell r="S338" t="str">
            <v>01/10/2023</v>
          </cell>
          <cell r="T338" t="str">
            <v>01/10/2023</v>
          </cell>
          <cell r="U338" t="str">
            <v>06/10/2023</v>
          </cell>
          <cell r="V338" t="str">
            <v>09/10/2023</v>
          </cell>
          <cell r="W338" t="str">
            <v>2023/09</v>
          </cell>
          <cell r="X338" t="str">
            <v>11 KV</v>
          </cell>
          <cell r="Y338" t="str">
            <v>HT</v>
          </cell>
          <cell r="Z338">
            <v>88</v>
          </cell>
          <cell r="AA338">
            <v>0.93389999999999995</v>
          </cell>
          <cell r="AB338">
            <v>68.56</v>
          </cell>
          <cell r="AC338" t="str">
            <v xml:space="preserve">01/09/2023 -     </v>
          </cell>
          <cell r="AD338" t="str">
            <v>30.09.2023</v>
          </cell>
          <cell r="AE338" t="str">
            <v>30/1.0000</v>
          </cell>
          <cell r="AF338">
            <v>110</v>
          </cell>
          <cell r="AG338" t="str">
            <v>KVA</v>
          </cell>
          <cell r="AH338">
            <v>110</v>
          </cell>
          <cell r="AI338" t="str">
            <v>R</v>
          </cell>
          <cell r="AJ338">
            <v>120542</v>
          </cell>
          <cell r="AK338" t="str">
            <v>30/09/2023</v>
          </cell>
          <cell r="AL338" t="str">
            <v>NES51032</v>
          </cell>
          <cell r="AM338" t="str">
            <v>TRI-VECTOR METER FOR RAILWAY TRACTION</v>
          </cell>
          <cell r="AN338" t="str">
            <v>POST PAID</v>
          </cell>
          <cell r="AO338">
            <v>100</v>
          </cell>
          <cell r="AP338" t="str">
            <v>TOD</v>
          </cell>
          <cell r="AQ338">
            <v>-2715</v>
          </cell>
          <cell r="AR338">
            <v>0</v>
          </cell>
          <cell r="AS338">
            <v>0</v>
          </cell>
          <cell r="AT338">
            <v>0</v>
          </cell>
          <cell r="AU338">
            <v>0</v>
          </cell>
          <cell r="AV338">
            <v>0</v>
          </cell>
          <cell r="AW338">
            <v>15011</v>
          </cell>
          <cell r="AX338">
            <v>16073</v>
          </cell>
          <cell r="AY338">
            <v>16073</v>
          </cell>
          <cell r="AZ338">
            <v>190.64</v>
          </cell>
          <cell r="BA338">
            <v>32.56</v>
          </cell>
        </row>
        <row r="339">
          <cell r="F339">
            <v>129000000003</v>
          </cell>
          <cell r="G339" t="str">
            <v>M/S SAI AGRITECH</v>
          </cell>
          <cell r="H339" t="str">
            <v>C/O- GOURIBALA SAHU,AMBADALIUDALA</v>
          </cell>
          <cell r="I339" t="str">
            <v>10/31/2020 00:00:00</v>
          </cell>
          <cell r="J339">
            <v>1</v>
          </cell>
          <cell r="K339" t="str">
            <v xml:space="preserve"> </v>
          </cell>
          <cell r="L339" t="str">
            <v xml:space="preserve"> </v>
          </cell>
          <cell r="M339" t="str">
            <v>522000010231492768</v>
          </cell>
          <cell r="N339" t="str">
            <v>1290000003</v>
          </cell>
          <cell r="O339" t="str">
            <v>UED-L3</v>
          </cell>
          <cell r="P339" t="str">
            <v>452221202</v>
          </cell>
          <cell r="Q339" t="str">
            <v>LARGE INDUSTRY</v>
          </cell>
          <cell r="R339" t="str">
            <v>HT</v>
          </cell>
          <cell r="S339" t="str">
            <v>01/10/2023</v>
          </cell>
          <cell r="T339" t="str">
            <v>01/10/2023</v>
          </cell>
          <cell r="U339" t="str">
            <v>06/10/2023</v>
          </cell>
          <cell r="V339" t="str">
            <v>09/10/2023</v>
          </cell>
          <cell r="W339" t="str">
            <v>2023/09</v>
          </cell>
          <cell r="X339" t="str">
            <v>11 KV</v>
          </cell>
          <cell r="Y339" t="str">
            <v>HT</v>
          </cell>
          <cell r="Z339">
            <v>104</v>
          </cell>
          <cell r="AA339">
            <v>0.4889</v>
          </cell>
          <cell r="AB339">
            <v>29.51</v>
          </cell>
          <cell r="AC339" t="str">
            <v xml:space="preserve">01/09/2023 -     </v>
          </cell>
          <cell r="AD339" t="str">
            <v>30.09.2023</v>
          </cell>
          <cell r="AE339" t="str">
            <v>30/1.0000</v>
          </cell>
          <cell r="AF339">
            <v>130</v>
          </cell>
          <cell r="AG339" t="str">
            <v>KVA</v>
          </cell>
          <cell r="AH339">
            <v>130</v>
          </cell>
          <cell r="AI339" t="str">
            <v>R</v>
          </cell>
          <cell r="AJ339">
            <v>629887</v>
          </cell>
          <cell r="AK339" t="str">
            <v>30/09/2023</v>
          </cell>
          <cell r="AL339" t="str">
            <v>NES50076</v>
          </cell>
          <cell r="AM339" t="str">
            <v>SINGLE PHASE ELECTRO-MAGNETIC KWH METER-TOD</v>
          </cell>
          <cell r="AN339" t="str">
            <v>POST PAID</v>
          </cell>
          <cell r="AO339">
            <v>200</v>
          </cell>
          <cell r="AP339" t="str">
            <v>TOD</v>
          </cell>
          <cell r="AQ339">
            <v>-371480.64</v>
          </cell>
          <cell r="AR339">
            <v>0</v>
          </cell>
          <cell r="AS339">
            <v>0</v>
          </cell>
          <cell r="AT339">
            <v>0</v>
          </cell>
          <cell r="AU339">
            <v>0</v>
          </cell>
          <cell r="AV339">
            <v>0</v>
          </cell>
          <cell r="AW339">
            <v>906</v>
          </cell>
          <cell r="AX339">
            <v>1853</v>
          </cell>
          <cell r="AY339">
            <v>1853</v>
          </cell>
          <cell r="AZ339">
            <v>420.72</v>
          </cell>
          <cell r="BA339">
            <v>8.7200000000000006</v>
          </cell>
        </row>
        <row r="340">
          <cell r="F340">
            <v>129000000004</v>
          </cell>
          <cell r="G340" t="str">
            <v>M/S CHAKRA MINERALS</v>
          </cell>
          <cell r="H340" t="str">
            <v>PROP- SUBRAT KUMAR CHAKRA</v>
          </cell>
          <cell r="I340" t="str">
            <v>10/31/2020 00:00:00</v>
          </cell>
          <cell r="J340">
            <v>1</v>
          </cell>
          <cell r="K340" t="str">
            <v xml:space="preserve"> </v>
          </cell>
          <cell r="L340" t="str">
            <v xml:space="preserve"> </v>
          </cell>
          <cell r="M340" t="str">
            <v>522000010232495000</v>
          </cell>
          <cell r="N340" t="str">
            <v>1290000004</v>
          </cell>
          <cell r="O340" t="str">
            <v>KH-2229</v>
          </cell>
          <cell r="P340" t="str">
            <v>NULL</v>
          </cell>
          <cell r="Q340" t="str">
            <v>LARGE INDUSTRY</v>
          </cell>
          <cell r="R340" t="str">
            <v>HT</v>
          </cell>
          <cell r="S340" t="str">
            <v>01/10/2023</v>
          </cell>
          <cell r="T340" t="str">
            <v>01/10/2023</v>
          </cell>
          <cell r="U340" t="str">
            <v>06/10/2023</v>
          </cell>
          <cell r="V340" t="str">
            <v>09/10/2023</v>
          </cell>
          <cell r="W340" t="str">
            <v>2023/09</v>
          </cell>
          <cell r="X340" t="str">
            <v>11 KV</v>
          </cell>
          <cell r="Y340" t="str">
            <v>HT</v>
          </cell>
          <cell r="Z340">
            <v>120</v>
          </cell>
          <cell r="AA340">
            <v>0.65690000000000004</v>
          </cell>
          <cell r="AB340">
            <v>5.27</v>
          </cell>
          <cell r="AC340" t="str">
            <v xml:space="preserve">01/09/2023 -     </v>
          </cell>
          <cell r="AD340" t="str">
            <v>30.09.2023</v>
          </cell>
          <cell r="AE340" t="str">
            <v>30/1.0000</v>
          </cell>
          <cell r="AF340">
            <v>150</v>
          </cell>
          <cell r="AG340" t="str">
            <v>KVA</v>
          </cell>
          <cell r="AH340">
            <v>150</v>
          </cell>
          <cell r="AI340" t="str">
            <v>R</v>
          </cell>
          <cell r="AJ340">
            <v>766644</v>
          </cell>
          <cell r="AK340" t="str">
            <v>30/09/2023</v>
          </cell>
          <cell r="AL340" t="str">
            <v>TPNODL38110570</v>
          </cell>
          <cell r="AM340" t="str">
            <v>THREE PHASE SMART HT CT METER (AMR/AMI)-11KV</v>
          </cell>
          <cell r="AN340" t="str">
            <v>SMART METER</v>
          </cell>
          <cell r="AO340">
            <v>250</v>
          </cell>
          <cell r="AP340" t="str">
            <v>TOD</v>
          </cell>
          <cell r="AQ340">
            <v>0</v>
          </cell>
          <cell r="AR340">
            <v>0</v>
          </cell>
          <cell r="AS340">
            <v>0</v>
          </cell>
          <cell r="AT340">
            <v>0</v>
          </cell>
          <cell r="AU340">
            <v>0</v>
          </cell>
          <cell r="AV340">
            <v>0</v>
          </cell>
          <cell r="AW340">
            <v>2354</v>
          </cell>
          <cell r="AX340">
            <v>3583</v>
          </cell>
          <cell r="AY340">
            <v>3583</v>
          </cell>
          <cell r="AZ340">
            <v>336.19260000000003</v>
          </cell>
          <cell r="BA340">
            <v>94.477999999999994</v>
          </cell>
        </row>
        <row r="341">
          <cell r="F341">
            <v>129000000005</v>
          </cell>
          <cell r="G341" t="str">
            <v>M/S. PARUL UDYOG</v>
          </cell>
          <cell r="H341" t="str">
            <v>2/752/87</v>
          </cell>
          <cell r="I341" t="str">
            <v>03/31/2022 00:00:00</v>
          </cell>
          <cell r="J341">
            <v>1</v>
          </cell>
          <cell r="K341" t="str">
            <v>BAHUBANDHA</v>
          </cell>
          <cell r="L341" t="str">
            <v>UDALA</v>
          </cell>
          <cell r="M341" t="str">
            <v>522000010231492706</v>
          </cell>
          <cell r="N341" t="str">
            <v>132200049990</v>
          </cell>
          <cell r="O341" t="str">
            <v xml:space="preserve"> </v>
          </cell>
          <cell r="P341" t="str">
            <v>452212201</v>
          </cell>
          <cell r="Q341" t="str">
            <v>LARGE INDUSTRY</v>
          </cell>
          <cell r="R341" t="str">
            <v>HT</v>
          </cell>
          <cell r="S341" t="str">
            <v>01/10/2023</v>
          </cell>
          <cell r="T341" t="str">
            <v>01/10/2023</v>
          </cell>
          <cell r="U341" t="str">
            <v>06/10/2023</v>
          </cell>
          <cell r="V341" t="str">
            <v>09/10/2023</v>
          </cell>
          <cell r="W341" t="str">
            <v>2023/09</v>
          </cell>
          <cell r="X341" t="str">
            <v>11 KV</v>
          </cell>
          <cell r="Y341" t="str">
            <v>HT</v>
          </cell>
          <cell r="Z341">
            <v>275.83999999999997</v>
          </cell>
          <cell r="AA341">
            <v>0.81469999999999998</v>
          </cell>
          <cell r="AB341">
            <v>8.1</v>
          </cell>
          <cell r="AC341" t="str">
            <v xml:space="preserve">01/09/2023 -     </v>
          </cell>
          <cell r="AD341" t="str">
            <v>30.09.2023</v>
          </cell>
          <cell r="AE341" t="str">
            <v>30/1.0000</v>
          </cell>
          <cell r="AF341">
            <v>210</v>
          </cell>
          <cell r="AG341" t="str">
            <v>KVA</v>
          </cell>
          <cell r="AH341">
            <v>210</v>
          </cell>
          <cell r="AI341" t="str">
            <v>R</v>
          </cell>
          <cell r="AJ341">
            <v>1289064</v>
          </cell>
          <cell r="AK341" t="str">
            <v>30/09/2023</v>
          </cell>
          <cell r="AL341" t="str">
            <v>TPN64710</v>
          </cell>
          <cell r="AM341" t="str">
            <v>HT THREE PHASE 4 WIRE AMR/AMI COMPLAINT METER</v>
          </cell>
          <cell r="AN341" t="str">
            <v>POST PAID</v>
          </cell>
          <cell r="AO341">
            <v>315</v>
          </cell>
          <cell r="AP341" t="str">
            <v>TOD</v>
          </cell>
          <cell r="AQ341">
            <v>-1193972.3999999999</v>
          </cell>
          <cell r="AR341">
            <v>0</v>
          </cell>
          <cell r="AS341">
            <v>0</v>
          </cell>
          <cell r="AT341">
            <v>0</v>
          </cell>
          <cell r="AU341">
            <v>0</v>
          </cell>
          <cell r="AV341">
            <v>0</v>
          </cell>
          <cell r="AW341">
            <v>13104</v>
          </cell>
          <cell r="AX341">
            <v>16084</v>
          </cell>
          <cell r="AY341">
            <v>16084</v>
          </cell>
          <cell r="AZ341">
            <v>2978.4</v>
          </cell>
          <cell r="BA341">
            <v>275.83999999999997</v>
          </cell>
        </row>
        <row r="342">
          <cell r="F342">
            <v>129000000006</v>
          </cell>
          <cell r="G342" t="str">
            <v>The Executive Engineer Mega Lift Irrigation Project, Baripada</v>
          </cell>
          <cell r="H342" t="str">
            <v xml:space="preserve"> </v>
          </cell>
          <cell r="I342" t="str">
            <v>09/30/2022 00:00:00</v>
          </cell>
          <cell r="J342">
            <v>1</v>
          </cell>
          <cell r="K342" t="str">
            <v>At/Po- Laxmiposhi</v>
          </cell>
          <cell r="L342" t="str">
            <v>Baripada</v>
          </cell>
          <cell r="M342" t="str">
            <v>522000010232495004</v>
          </cell>
          <cell r="N342" t="str">
            <v>132200096975</v>
          </cell>
          <cell r="O342" t="str">
            <v>UED-006</v>
          </cell>
          <cell r="P342" t="str">
            <v>NULL</v>
          </cell>
          <cell r="Q342" t="str">
            <v>MEGA LIFT</v>
          </cell>
          <cell r="R342" t="str">
            <v>HT</v>
          </cell>
          <cell r="S342" t="str">
            <v>01/10/2023</v>
          </cell>
          <cell r="T342" t="str">
            <v>01/10/2023</v>
          </cell>
          <cell r="U342" t="str">
            <v>06/10/2023</v>
          </cell>
          <cell r="V342" t="str">
            <v>09/10/2023</v>
          </cell>
          <cell r="W342" t="str">
            <v>2023/09</v>
          </cell>
          <cell r="X342" t="str">
            <v>33 KV</v>
          </cell>
          <cell r="Y342" t="str">
            <v>HT</v>
          </cell>
          <cell r="Z342">
            <v>6655.2</v>
          </cell>
          <cell r="AA342">
            <v>0.98450000000000004</v>
          </cell>
          <cell r="AB342">
            <v>2.75</v>
          </cell>
          <cell r="AC342" t="str">
            <v xml:space="preserve">01/09/2023 -     </v>
          </cell>
          <cell r="AD342" t="str">
            <v>30.09.2023</v>
          </cell>
          <cell r="AE342" t="str">
            <v>30/1.0000</v>
          </cell>
          <cell r="AF342">
            <v>8319</v>
          </cell>
          <cell r="AG342" t="str">
            <v>KVA</v>
          </cell>
          <cell r="AH342">
            <v>8319</v>
          </cell>
          <cell r="AI342" t="str">
            <v>R</v>
          </cell>
          <cell r="AJ342">
            <v>13836161</v>
          </cell>
          <cell r="AK342" t="str">
            <v>30/09/2023</v>
          </cell>
          <cell r="AL342" t="str">
            <v>TPN64908</v>
          </cell>
          <cell r="AM342" t="str">
            <v>THREE PHASE HT CT METER-33KV</v>
          </cell>
          <cell r="AN342" t="str">
            <v>POST PAID</v>
          </cell>
          <cell r="AO342">
            <v>0</v>
          </cell>
          <cell r="AP342" t="str">
            <v>TOD</v>
          </cell>
          <cell r="AQ342">
            <v>0</v>
          </cell>
          <cell r="AR342">
            <v>0</v>
          </cell>
          <cell r="AS342">
            <v>0</v>
          </cell>
          <cell r="AT342">
            <v>0</v>
          </cell>
          <cell r="AU342">
            <v>0</v>
          </cell>
          <cell r="AV342">
            <v>0</v>
          </cell>
          <cell r="AW342">
            <v>17190</v>
          </cell>
          <cell r="AX342">
            <v>17460</v>
          </cell>
          <cell r="AY342">
            <v>17460</v>
          </cell>
          <cell r="AZ342">
            <v>9.8000000000000007</v>
          </cell>
          <cell r="BA342">
            <v>882.00000000000011</v>
          </cell>
        </row>
        <row r="343">
          <cell r="F343">
            <v>129000000007</v>
          </cell>
          <cell r="G343" t="str">
            <v>KAPTIPADA AGRO PRODUCT</v>
          </cell>
          <cell r="H343" t="str">
            <v xml:space="preserve">KANHUPUR                           </v>
          </cell>
          <cell r="I343" t="str">
            <v>01/25/2021 00:00:00</v>
          </cell>
          <cell r="J343">
            <v>1</v>
          </cell>
          <cell r="K343" t="str">
            <v xml:space="preserve">B.C. PUR                           </v>
          </cell>
          <cell r="L343" t="str">
            <v xml:space="preserve"> </v>
          </cell>
          <cell r="M343" t="str">
            <v>522000010231492803</v>
          </cell>
          <cell r="N343" t="str">
            <v>35222001383</v>
          </cell>
          <cell r="O343" t="str">
            <v xml:space="preserve"> </v>
          </cell>
          <cell r="P343" t="str">
            <v>45207412003</v>
          </cell>
          <cell r="Q343" t="str">
            <v>LARGE INDUSTRY</v>
          </cell>
          <cell r="R343" t="str">
            <v>HT</v>
          </cell>
          <cell r="S343" t="str">
            <v>01/10/2023</v>
          </cell>
          <cell r="T343" t="str">
            <v>01/10/2023</v>
          </cell>
          <cell r="U343" t="str">
            <v>06/10/2023</v>
          </cell>
          <cell r="V343" t="str">
            <v>09/10/2023</v>
          </cell>
          <cell r="W343" t="str">
            <v>2023/09</v>
          </cell>
          <cell r="X343" t="str">
            <v>11 KV</v>
          </cell>
          <cell r="Y343" t="str">
            <v>HT</v>
          </cell>
          <cell r="Z343">
            <v>222.4</v>
          </cell>
          <cell r="AA343">
            <v>0.99880000000000002</v>
          </cell>
          <cell r="AB343">
            <v>24.57</v>
          </cell>
          <cell r="AC343" t="str">
            <v xml:space="preserve">01/09/2023 -     </v>
          </cell>
          <cell r="AD343" t="str">
            <v>30.09.2023</v>
          </cell>
          <cell r="AE343" t="str">
            <v>30/1.0000</v>
          </cell>
          <cell r="AF343">
            <v>278</v>
          </cell>
          <cell r="AG343" t="str">
            <v>KVA</v>
          </cell>
          <cell r="AH343">
            <v>278</v>
          </cell>
          <cell r="AI343" t="str">
            <v>R</v>
          </cell>
          <cell r="AJ343">
            <v>1706476.08</v>
          </cell>
          <cell r="AK343" t="str">
            <v>30/09/2023</v>
          </cell>
          <cell r="AL343" t="str">
            <v>TPN64723</v>
          </cell>
          <cell r="AM343" t="str">
            <v>HT THREE PHASE 4 WIRE AMR/AMI COMPLAINT METER</v>
          </cell>
          <cell r="AN343" t="str">
            <v>POST PAID</v>
          </cell>
          <cell r="AO343">
            <v>0</v>
          </cell>
          <cell r="AP343" t="str">
            <v>TOD</v>
          </cell>
          <cell r="AQ343">
            <v>272689.02</v>
          </cell>
          <cell r="AR343">
            <v>0</v>
          </cell>
          <cell r="AS343">
            <v>0</v>
          </cell>
          <cell r="AT343">
            <v>0</v>
          </cell>
          <cell r="AU343">
            <v>0</v>
          </cell>
          <cell r="AV343">
            <v>0</v>
          </cell>
          <cell r="AW343">
            <v>2502</v>
          </cell>
          <cell r="AX343">
            <v>2505</v>
          </cell>
          <cell r="AY343">
            <v>2505</v>
          </cell>
          <cell r="AZ343">
            <v>1005.12</v>
          </cell>
          <cell r="BA343">
            <v>14.16</v>
          </cell>
        </row>
        <row r="344">
          <cell r="F344">
            <v>121000000002</v>
          </cell>
          <cell r="G344" t="str">
            <v>Project Management Unit</v>
          </cell>
          <cell r="H344" t="str">
            <v>Chief Construction Engg.</v>
          </cell>
          <cell r="I344" t="str">
            <v>10/31/2020 00:00:00</v>
          </cell>
          <cell r="J344">
            <v>1</v>
          </cell>
          <cell r="K344" t="str">
            <v xml:space="preserve"> </v>
          </cell>
          <cell r="L344" t="str">
            <v xml:space="preserve"> </v>
          </cell>
          <cell r="M344" t="str">
            <v>421000010231492724</v>
          </cell>
          <cell r="N344" t="str">
            <v>1210000002</v>
          </cell>
          <cell r="O344" t="str">
            <v>35221-GP</v>
          </cell>
          <cell r="P344" t="str">
            <v>43207406002</v>
          </cell>
          <cell r="Q344" t="str">
            <v>GENERAL PURPOSE &gt;= 110 KVA</v>
          </cell>
          <cell r="R344" t="str">
            <v>HT</v>
          </cell>
          <cell r="S344" t="str">
            <v>01/10/2023</v>
          </cell>
          <cell r="T344" t="str">
            <v>01/10/2023</v>
          </cell>
          <cell r="U344" t="str">
            <v>06/10/2023</v>
          </cell>
          <cell r="V344" t="str">
            <v>09/10/2023</v>
          </cell>
          <cell r="W344" t="str">
            <v>2023/09</v>
          </cell>
          <cell r="X344" t="str">
            <v>33 KV</v>
          </cell>
          <cell r="Y344" t="str">
            <v>HT</v>
          </cell>
          <cell r="Z344">
            <v>400</v>
          </cell>
          <cell r="AA344">
            <v>0.95940000000000003</v>
          </cell>
          <cell r="AB344">
            <v>40</v>
          </cell>
          <cell r="AC344" t="str">
            <v xml:space="preserve">01/09/2023 -     </v>
          </cell>
          <cell r="AD344" t="str">
            <v>30.09.2023</v>
          </cell>
          <cell r="AE344" t="str">
            <v>30/1.0000</v>
          </cell>
          <cell r="AF344">
            <v>500</v>
          </cell>
          <cell r="AG344" t="str">
            <v>KVA</v>
          </cell>
          <cell r="AH344">
            <v>500</v>
          </cell>
          <cell r="AI344" t="str">
            <v>R</v>
          </cell>
          <cell r="AJ344">
            <v>897472.22</v>
          </cell>
          <cell r="AK344" t="str">
            <v>30/09/2023</v>
          </cell>
          <cell r="AL344" t="str">
            <v>TPN64777</v>
          </cell>
          <cell r="AM344" t="str">
            <v>THREE PHASE HT CT METER-33KV</v>
          </cell>
          <cell r="AN344" t="str">
            <v>POST PAID</v>
          </cell>
          <cell r="AO344">
            <v>500</v>
          </cell>
          <cell r="AP344" t="str">
            <v>TOD</v>
          </cell>
          <cell r="AQ344">
            <v>34737.18</v>
          </cell>
          <cell r="AR344">
            <v>0</v>
          </cell>
          <cell r="AS344">
            <v>0</v>
          </cell>
          <cell r="AT344">
            <v>0</v>
          </cell>
          <cell r="AU344">
            <v>0</v>
          </cell>
          <cell r="AV344">
            <v>0</v>
          </cell>
          <cell r="AW344">
            <v>73683</v>
          </cell>
          <cell r="AX344">
            <v>76797</v>
          </cell>
          <cell r="AY344">
            <v>76797</v>
          </cell>
          <cell r="AZ344">
            <v>1661.04</v>
          </cell>
          <cell r="BA344">
            <v>266.64</v>
          </cell>
        </row>
        <row r="345">
          <cell r="F345">
            <v>121000000003</v>
          </cell>
          <cell r="G345" t="str">
            <v>BHADRAK RAILWAY STATION</v>
          </cell>
          <cell r="H345" t="str">
            <v>C/o DIVSNL RLY MANAGER</v>
          </cell>
          <cell r="I345" t="str">
            <v>10/31/2020 00:00:00</v>
          </cell>
          <cell r="J345">
            <v>1</v>
          </cell>
          <cell r="K345" t="str">
            <v xml:space="preserve"> </v>
          </cell>
          <cell r="L345" t="str">
            <v xml:space="preserve"> </v>
          </cell>
          <cell r="M345" t="str">
            <v>421000010231492437</v>
          </cell>
          <cell r="N345" t="str">
            <v>1210000003</v>
          </cell>
          <cell r="O345" t="str">
            <v>3/908-GP</v>
          </cell>
          <cell r="P345" t="str">
            <v>442112102</v>
          </cell>
          <cell r="Q345" t="str">
            <v>GENERAL PURPOSE &gt;= 110 KVA</v>
          </cell>
          <cell r="R345" t="str">
            <v>HT</v>
          </cell>
          <cell r="S345" t="str">
            <v>01/10/2023</v>
          </cell>
          <cell r="T345" t="str">
            <v>01/10/2023</v>
          </cell>
          <cell r="U345" t="str">
            <v>06/10/2023</v>
          </cell>
          <cell r="V345" t="str">
            <v>09/10/2023</v>
          </cell>
          <cell r="W345" t="str">
            <v>2023/09</v>
          </cell>
          <cell r="X345" t="str">
            <v>11 KV</v>
          </cell>
          <cell r="Y345" t="str">
            <v>HT</v>
          </cell>
          <cell r="Z345">
            <v>273.12</v>
          </cell>
          <cell r="AA345">
            <v>0.96870000000000001</v>
          </cell>
          <cell r="AB345">
            <v>63.9</v>
          </cell>
          <cell r="AC345" t="str">
            <v xml:space="preserve">01/09/2023 -     </v>
          </cell>
          <cell r="AD345" t="str">
            <v>30.09.2023</v>
          </cell>
          <cell r="AE345" t="str">
            <v>30/1.0000</v>
          </cell>
          <cell r="AF345">
            <v>300</v>
          </cell>
          <cell r="AG345" t="str">
            <v>KVA</v>
          </cell>
          <cell r="AH345">
            <v>300</v>
          </cell>
          <cell r="AI345" t="str">
            <v>R</v>
          </cell>
          <cell r="AJ345">
            <v>1270315</v>
          </cell>
          <cell r="AK345" t="str">
            <v>30/09/2023</v>
          </cell>
          <cell r="AL345" t="str">
            <v>NSC94743</v>
          </cell>
          <cell r="AM345" t="str">
            <v>SINGLE PHASE ELECTRO-MAGNETIC KWH METER-TOD</v>
          </cell>
          <cell r="AN345" t="str">
            <v>POST PAID</v>
          </cell>
          <cell r="AO345">
            <v>410</v>
          </cell>
          <cell r="AP345" t="str">
            <v>TOD</v>
          </cell>
          <cell r="AQ345">
            <v>220158.8</v>
          </cell>
          <cell r="AR345">
            <v>0</v>
          </cell>
          <cell r="AS345">
            <v>0</v>
          </cell>
          <cell r="AT345">
            <v>0</v>
          </cell>
          <cell r="AU345">
            <v>0</v>
          </cell>
          <cell r="AV345">
            <v>0</v>
          </cell>
          <cell r="AW345">
            <v>121737</v>
          </cell>
          <cell r="AX345">
            <v>125664</v>
          </cell>
          <cell r="AY345">
            <v>125664</v>
          </cell>
          <cell r="AZ345">
            <v>1838.64</v>
          </cell>
          <cell r="BA345">
            <v>273.12</v>
          </cell>
        </row>
        <row r="346">
          <cell r="F346">
            <v>121000000004</v>
          </cell>
          <cell r="G346" t="str">
            <v>M/S JMB RICE MILL</v>
          </cell>
          <cell r="H346" t="str">
            <v>C/o  SK. Abdul Quadar</v>
          </cell>
          <cell r="I346" t="str">
            <v>10/31/2020 00:00:00</v>
          </cell>
          <cell r="J346">
            <v>1</v>
          </cell>
          <cell r="K346" t="str">
            <v xml:space="preserve"> </v>
          </cell>
          <cell r="L346" t="str">
            <v xml:space="preserve"> </v>
          </cell>
          <cell r="M346" t="str">
            <v>421000010231495019</v>
          </cell>
          <cell r="N346" t="str">
            <v>1210000004</v>
          </cell>
          <cell r="O346" t="str">
            <v>63243</v>
          </cell>
          <cell r="P346" t="str">
            <v>442143404</v>
          </cell>
          <cell r="Q346" t="str">
            <v>LARGE INDUSTRY</v>
          </cell>
          <cell r="R346" t="str">
            <v>HT</v>
          </cell>
          <cell r="S346" t="str">
            <v>01/10/2023</v>
          </cell>
          <cell r="T346" t="str">
            <v>01/10/2023</v>
          </cell>
          <cell r="U346" t="str">
            <v>06/10/2023</v>
          </cell>
          <cell r="V346" t="str">
            <v>09/10/2023</v>
          </cell>
          <cell r="W346" t="str">
            <v>2023/09</v>
          </cell>
          <cell r="X346" t="str">
            <v>11 KV</v>
          </cell>
          <cell r="Y346" t="str">
            <v>HT</v>
          </cell>
          <cell r="Z346">
            <v>162.66999999999999</v>
          </cell>
          <cell r="AA346">
            <v>0.98499999999999999</v>
          </cell>
          <cell r="AB346">
            <v>20.3</v>
          </cell>
          <cell r="AC346" t="str">
            <v xml:space="preserve">01/09/2023 -     </v>
          </cell>
          <cell r="AD346" t="str">
            <v>30.09.2023</v>
          </cell>
          <cell r="AE346" t="str">
            <v>30/1.0000</v>
          </cell>
          <cell r="AF346">
            <v>140</v>
          </cell>
          <cell r="AG346" t="str">
            <v>KVA</v>
          </cell>
          <cell r="AH346">
            <v>140</v>
          </cell>
          <cell r="AI346" t="str">
            <v>R</v>
          </cell>
          <cell r="AJ346">
            <v>425824</v>
          </cell>
          <cell r="AK346" t="str">
            <v>30/09/2023</v>
          </cell>
          <cell r="AL346" t="str">
            <v>TPNODL38111906</v>
          </cell>
          <cell r="AM346" t="str">
            <v>THREE PHASE SMART HT CT METER (AMR/AMI)-11KV</v>
          </cell>
          <cell r="AN346" t="str">
            <v>SMART METER</v>
          </cell>
          <cell r="AO346">
            <v>200</v>
          </cell>
          <cell r="AP346" t="str">
            <v>TOD</v>
          </cell>
          <cell r="AQ346">
            <v>-65991.06</v>
          </cell>
          <cell r="AR346">
            <v>0</v>
          </cell>
          <cell r="AS346">
            <v>0</v>
          </cell>
          <cell r="AT346">
            <v>0</v>
          </cell>
          <cell r="AU346">
            <v>0</v>
          </cell>
          <cell r="AV346">
            <v>0</v>
          </cell>
          <cell r="AW346">
            <v>23424</v>
          </cell>
          <cell r="AX346">
            <v>23779</v>
          </cell>
          <cell r="AY346">
            <v>23779</v>
          </cell>
          <cell r="AZ346">
            <v>509.28640000000001</v>
          </cell>
          <cell r="BA346">
            <v>162.672</v>
          </cell>
        </row>
        <row r="347">
          <cell r="F347">
            <v>121000000005</v>
          </cell>
          <cell r="G347" t="str">
            <v>UTKAL FLOUR MILLS(P) LTD.</v>
          </cell>
          <cell r="H347" t="str">
            <v>CHARAMPA,</v>
          </cell>
          <cell r="I347" t="str">
            <v>10/31/2020 00:00:00</v>
          </cell>
          <cell r="J347">
            <v>1</v>
          </cell>
          <cell r="K347" t="str">
            <v xml:space="preserve"> </v>
          </cell>
          <cell r="L347" t="str">
            <v xml:space="preserve"> </v>
          </cell>
          <cell r="M347" t="str">
            <v>421000010231492562</v>
          </cell>
          <cell r="N347" t="str">
            <v>1210000005</v>
          </cell>
          <cell r="O347" t="str">
            <v>4963-LI</v>
          </cell>
          <cell r="P347" t="str">
            <v>442112102</v>
          </cell>
          <cell r="Q347" t="str">
            <v>LARGE INDUSTRY</v>
          </cell>
          <cell r="R347" t="str">
            <v>HT</v>
          </cell>
          <cell r="S347" t="str">
            <v>01/10/2023</v>
          </cell>
          <cell r="T347" t="str">
            <v>01/10/2023</v>
          </cell>
          <cell r="U347" t="str">
            <v>06/10/2023</v>
          </cell>
          <cell r="V347" t="str">
            <v>09/10/2023</v>
          </cell>
          <cell r="W347" t="str">
            <v>2023/09</v>
          </cell>
          <cell r="X347" t="str">
            <v>11 KV</v>
          </cell>
          <cell r="Y347" t="str">
            <v>HT</v>
          </cell>
          <cell r="Z347">
            <v>436.8</v>
          </cell>
          <cell r="AA347">
            <v>0.96499999999999997</v>
          </cell>
          <cell r="AB347">
            <v>25.76</v>
          </cell>
          <cell r="AC347" t="str">
            <v xml:space="preserve">01/09/2023 -     </v>
          </cell>
          <cell r="AD347" t="str">
            <v>30.09.2023</v>
          </cell>
          <cell r="AE347" t="str">
            <v>30/1.0000</v>
          </cell>
          <cell r="AF347">
            <v>353</v>
          </cell>
          <cell r="AG347" t="str">
            <v>KVA</v>
          </cell>
          <cell r="AH347">
            <v>353</v>
          </cell>
          <cell r="AI347" t="str">
            <v>R</v>
          </cell>
          <cell r="AJ347">
            <v>1011430.75</v>
          </cell>
          <cell r="AK347" t="str">
            <v>30/09/2023</v>
          </cell>
          <cell r="AL347" t="str">
            <v>TPN64022</v>
          </cell>
          <cell r="AM347" t="str">
            <v>TRI-VECTOR METER FOR RAILWAY TRACTION</v>
          </cell>
          <cell r="AN347" t="str">
            <v>POST PAID</v>
          </cell>
          <cell r="AO347">
            <v>500</v>
          </cell>
          <cell r="AP347" t="str">
            <v>TOD</v>
          </cell>
          <cell r="AQ347">
            <v>105427.99</v>
          </cell>
          <cell r="AR347">
            <v>0</v>
          </cell>
          <cell r="AS347">
            <v>0</v>
          </cell>
          <cell r="AT347">
            <v>0</v>
          </cell>
          <cell r="AU347">
            <v>0</v>
          </cell>
          <cell r="AV347">
            <v>0</v>
          </cell>
          <cell r="AW347">
            <v>78188</v>
          </cell>
          <cell r="AX347">
            <v>81023</v>
          </cell>
          <cell r="AY347">
            <v>81023</v>
          </cell>
          <cell r="AZ347">
            <v>2972.6</v>
          </cell>
          <cell r="BA347">
            <v>436.8</v>
          </cell>
        </row>
        <row r="348">
          <cell r="F348">
            <v>121000000007</v>
          </cell>
          <cell r="G348" t="str">
            <v>M/S. BHADRAK RAILWAY TRACTION</v>
          </cell>
          <cell r="H348" t="str">
            <v>SR DIV ELEC ENGNR (TRD)</v>
          </cell>
          <cell r="I348" t="str">
            <v>10/31/2020 00:00:00</v>
          </cell>
          <cell r="J348">
            <v>1</v>
          </cell>
          <cell r="K348" t="str">
            <v xml:space="preserve"> </v>
          </cell>
          <cell r="L348" t="str">
            <v xml:space="preserve"> </v>
          </cell>
          <cell r="M348" t="str">
            <v>421000010232495272</v>
          </cell>
          <cell r="N348" t="str">
            <v>1210000007</v>
          </cell>
          <cell r="O348" t="str">
            <v>BC-73234</v>
          </cell>
          <cell r="P348" t="str">
            <v>NULL</v>
          </cell>
          <cell r="Q348" t="str">
            <v>RAILWAY TRACTION</v>
          </cell>
          <cell r="R348" t="str">
            <v>EHT</v>
          </cell>
          <cell r="S348" t="str">
            <v>01/10/2023</v>
          </cell>
          <cell r="T348" t="str">
            <v>01/10/2023</v>
          </cell>
          <cell r="U348" t="str">
            <v>06/10/2023</v>
          </cell>
          <cell r="V348" t="str">
            <v>09/10/2023</v>
          </cell>
          <cell r="W348" t="str">
            <v>2023/09</v>
          </cell>
          <cell r="X348" t="str">
            <v>132 KV</v>
          </cell>
          <cell r="Y348" t="str">
            <v>HT</v>
          </cell>
          <cell r="Z348">
            <v>15360</v>
          </cell>
          <cell r="AA348">
            <v>0.99080000000000001</v>
          </cell>
          <cell r="AB348">
            <v>49.76</v>
          </cell>
          <cell r="AC348" t="str">
            <v xml:space="preserve">01/09/2023 -     </v>
          </cell>
          <cell r="AD348" t="str">
            <v>30.09.2023</v>
          </cell>
          <cell r="AE348" t="str">
            <v>30/1.0000</v>
          </cell>
          <cell r="AF348">
            <v>17000</v>
          </cell>
          <cell r="AG348" t="str">
            <v>KVA</v>
          </cell>
          <cell r="AH348">
            <v>17000</v>
          </cell>
          <cell r="AI348" t="str">
            <v>R</v>
          </cell>
          <cell r="AJ348">
            <v>66573680.420000002</v>
          </cell>
          <cell r="AK348" t="str">
            <v>30/09/2023</v>
          </cell>
          <cell r="AL348" t="str">
            <v>NSC18314</v>
          </cell>
          <cell r="AM348" t="str">
            <v>SINGLE PHASE ELECTRO-MAGNETIC KWH METER-TOD</v>
          </cell>
          <cell r="AN348" t="str">
            <v>POST PAID</v>
          </cell>
          <cell r="AO348">
            <v>43200</v>
          </cell>
          <cell r="AP348" t="str">
            <v>TOD</v>
          </cell>
          <cell r="AQ348">
            <v>11025559.58</v>
          </cell>
          <cell r="AR348">
            <v>0</v>
          </cell>
          <cell r="AS348">
            <v>0</v>
          </cell>
          <cell r="AT348">
            <v>0</v>
          </cell>
          <cell r="AU348">
            <v>0</v>
          </cell>
          <cell r="AV348">
            <v>0</v>
          </cell>
          <cell r="AW348">
            <v>5452800</v>
          </cell>
          <cell r="AX348">
            <v>5503200</v>
          </cell>
          <cell r="AY348">
            <v>5503200</v>
          </cell>
          <cell r="AZ348">
            <v>6.4000000000000001E-2</v>
          </cell>
          <cell r="BA348">
            <v>15360</v>
          </cell>
        </row>
        <row r="349">
          <cell r="F349">
            <v>121000000009</v>
          </cell>
          <cell r="G349" t="str">
            <v>M/S.    FACOR LTD CHARGE CHROME PLANT</v>
          </cell>
          <cell r="H349" t="str">
            <v>RANDIA,</v>
          </cell>
          <cell r="I349" t="str">
            <v>10/31/2020 00:00:00</v>
          </cell>
          <cell r="J349">
            <v>1</v>
          </cell>
          <cell r="K349" t="str">
            <v xml:space="preserve"> </v>
          </cell>
          <cell r="L349" t="str">
            <v xml:space="preserve"> </v>
          </cell>
          <cell r="M349" t="str">
            <v>421000010232515932</v>
          </cell>
          <cell r="N349" t="str">
            <v>1210000009</v>
          </cell>
          <cell r="O349" t="str">
            <v>9782</v>
          </cell>
          <cell r="P349" t="str">
            <v>NULL</v>
          </cell>
          <cell r="Q349" t="str">
            <v>POWER INTENSIVE INDUSTRY</v>
          </cell>
          <cell r="R349" t="str">
            <v>EHT</v>
          </cell>
          <cell r="S349" t="str">
            <v>05/10/2023</v>
          </cell>
          <cell r="T349" t="str">
            <v>05/10/2023</v>
          </cell>
          <cell r="U349" t="str">
            <v>09/10/2023</v>
          </cell>
          <cell r="V349" t="str">
            <v>12/10/2023</v>
          </cell>
          <cell r="W349" t="str">
            <v>2023/09</v>
          </cell>
          <cell r="X349" t="str">
            <v>132 KV</v>
          </cell>
          <cell r="Y349" t="str">
            <v>HT</v>
          </cell>
          <cell r="Z349">
            <v>20119</v>
          </cell>
          <cell r="AA349">
            <v>0.99929999999999997</v>
          </cell>
          <cell r="AB349">
            <v>44.3</v>
          </cell>
          <cell r="AC349" t="str">
            <v xml:space="preserve">01/09/2023 -     </v>
          </cell>
          <cell r="AD349" t="str">
            <v>30.09.2023</v>
          </cell>
          <cell r="AE349" t="str">
            <v>30/1.0000</v>
          </cell>
          <cell r="AF349">
            <v>19500</v>
          </cell>
          <cell r="AG349" t="str">
            <v>KVA</v>
          </cell>
          <cell r="AH349">
            <v>19500</v>
          </cell>
          <cell r="AI349" t="str">
            <v>R</v>
          </cell>
          <cell r="AJ349">
            <v>131913599.67</v>
          </cell>
          <cell r="AK349" t="str">
            <v>30/09/2023</v>
          </cell>
          <cell r="AL349" t="str">
            <v>TPN64971</v>
          </cell>
          <cell r="AM349" t="str">
            <v>THREE PHASE HT CT METER-33KV</v>
          </cell>
          <cell r="AN349" t="str">
            <v>POST PAID</v>
          </cell>
          <cell r="AO349">
            <v>50000</v>
          </cell>
          <cell r="AP349" t="str">
            <v>TOD</v>
          </cell>
          <cell r="AQ349">
            <v>8831247.75</v>
          </cell>
          <cell r="AR349">
            <v>0</v>
          </cell>
          <cell r="AS349">
            <v>0</v>
          </cell>
          <cell r="AT349">
            <v>255335.04000000001</v>
          </cell>
          <cell r="AU349">
            <v>0</v>
          </cell>
          <cell r="AV349">
            <v>52646.400000000001</v>
          </cell>
          <cell r="AW349">
            <v>8151840</v>
          </cell>
          <cell r="AX349">
            <v>8157480</v>
          </cell>
          <cell r="AY349">
            <v>8157480</v>
          </cell>
          <cell r="AZ349">
            <v>158.6</v>
          </cell>
          <cell r="BA349">
            <v>38064</v>
          </cell>
        </row>
        <row r="350">
          <cell r="F350">
            <v>121000000010</v>
          </cell>
          <cell r="G350" t="str">
            <v>ARUN TRADING CORPORATION</v>
          </cell>
          <cell r="H350" t="str">
            <v>PROP.B.KHANDELWAL,</v>
          </cell>
          <cell r="I350" t="str">
            <v>10/31/2020 00:00:00</v>
          </cell>
          <cell r="J350">
            <v>1</v>
          </cell>
          <cell r="K350" t="str">
            <v xml:space="preserve"> </v>
          </cell>
          <cell r="L350" t="str">
            <v xml:space="preserve"> </v>
          </cell>
          <cell r="M350" t="str">
            <v>421000010231492517</v>
          </cell>
          <cell r="N350" t="str">
            <v>1210000010</v>
          </cell>
          <cell r="O350" t="str">
            <v>TC-5593</v>
          </cell>
          <cell r="P350" t="str">
            <v>442122201</v>
          </cell>
          <cell r="Q350" t="str">
            <v>LARGE INDUSTRY</v>
          </cell>
          <cell r="R350" t="str">
            <v>HT</v>
          </cell>
          <cell r="S350" t="str">
            <v>01/10/2023</v>
          </cell>
          <cell r="T350" t="str">
            <v>01/10/2023</v>
          </cell>
          <cell r="U350" t="str">
            <v>06/10/2023</v>
          </cell>
          <cell r="V350" t="str">
            <v>09/10/2023</v>
          </cell>
          <cell r="W350" t="str">
            <v>2023/09</v>
          </cell>
          <cell r="X350" t="str">
            <v>11 KV</v>
          </cell>
          <cell r="Y350" t="str">
            <v>HT</v>
          </cell>
          <cell r="Z350">
            <v>140</v>
          </cell>
          <cell r="AA350">
            <v>0.99080000000000001</v>
          </cell>
          <cell r="AB350">
            <v>58.71</v>
          </cell>
          <cell r="AC350" t="str">
            <v xml:space="preserve">01/09/2023 -     </v>
          </cell>
          <cell r="AD350" t="str">
            <v>30.09.2023</v>
          </cell>
          <cell r="AE350" t="str">
            <v>30/1.0000</v>
          </cell>
          <cell r="AF350">
            <v>175</v>
          </cell>
          <cell r="AG350" t="str">
            <v>KVA</v>
          </cell>
          <cell r="AH350">
            <v>175</v>
          </cell>
          <cell r="AI350" t="str">
            <v>R</v>
          </cell>
          <cell r="AJ350">
            <v>822976</v>
          </cell>
          <cell r="AK350" t="str">
            <v>30/09/2023</v>
          </cell>
          <cell r="AL350" t="str">
            <v>TPN64202</v>
          </cell>
          <cell r="AM350" t="str">
            <v>HT THREE PHASE 4 WIRE AMR/AMI COMPLAINT METER</v>
          </cell>
          <cell r="AN350" t="str">
            <v>POST PAID</v>
          </cell>
          <cell r="AO350">
            <v>150</v>
          </cell>
          <cell r="AP350" t="str">
            <v>TOD</v>
          </cell>
          <cell r="AQ350">
            <v>-270541.74</v>
          </cell>
          <cell r="AR350">
            <v>0</v>
          </cell>
          <cell r="AS350">
            <v>0</v>
          </cell>
          <cell r="AT350">
            <v>0</v>
          </cell>
          <cell r="AU350">
            <v>0</v>
          </cell>
          <cell r="AV350">
            <v>0</v>
          </cell>
          <cell r="AW350">
            <v>52074</v>
          </cell>
          <cell r="AX350">
            <v>52556</v>
          </cell>
          <cell r="AY350">
            <v>52556</v>
          </cell>
          <cell r="AZ350">
            <v>951.2</v>
          </cell>
          <cell r="BA350">
            <v>124.32000000000001</v>
          </cell>
        </row>
        <row r="351">
          <cell r="F351">
            <v>121000000014</v>
          </cell>
          <cell r="G351" t="str">
            <v>RATNAKAR ICE FACTORY</v>
          </cell>
          <cell r="H351" t="str">
            <v>AT/PO-DHAMRA,</v>
          </cell>
          <cell r="I351" t="str">
            <v>10/31/2020 00:00:00</v>
          </cell>
          <cell r="J351">
            <v>1</v>
          </cell>
          <cell r="K351" t="str">
            <v xml:space="preserve"> </v>
          </cell>
          <cell r="L351" t="str">
            <v xml:space="preserve"> </v>
          </cell>
          <cell r="M351" t="str">
            <v>421000010231492797</v>
          </cell>
          <cell r="N351" t="str">
            <v>1210000013</v>
          </cell>
          <cell r="O351" t="str">
            <v>TB-24803</v>
          </cell>
          <cell r="P351" t="str">
            <v>442151202</v>
          </cell>
          <cell r="Q351" t="str">
            <v>LARGE INDUSTRY</v>
          </cell>
          <cell r="R351" t="str">
            <v>HT</v>
          </cell>
          <cell r="S351" t="str">
            <v>01/10/2023</v>
          </cell>
          <cell r="T351" t="str">
            <v>01/10/2023</v>
          </cell>
          <cell r="U351" t="str">
            <v>06/10/2023</v>
          </cell>
          <cell r="V351" t="str">
            <v>09/10/2023</v>
          </cell>
          <cell r="W351" t="str">
            <v>2023/09</v>
          </cell>
          <cell r="X351" t="str">
            <v>11 KV</v>
          </cell>
          <cell r="Y351" t="str">
            <v>HT</v>
          </cell>
          <cell r="Z351">
            <v>89.6</v>
          </cell>
          <cell r="AA351">
            <v>0</v>
          </cell>
          <cell r="AB351">
            <v>0</v>
          </cell>
          <cell r="AC351" t="str">
            <v xml:space="preserve">01/09/2023 -     </v>
          </cell>
          <cell r="AD351" t="str">
            <v>30.09.2023</v>
          </cell>
          <cell r="AE351" t="str">
            <v>30/1.0000</v>
          </cell>
          <cell r="AF351">
            <v>112</v>
          </cell>
          <cell r="AG351" t="str">
            <v>KVA</v>
          </cell>
          <cell r="AH351">
            <v>112</v>
          </cell>
          <cell r="AI351" t="str">
            <v>D</v>
          </cell>
          <cell r="AJ351">
            <v>258416.18</v>
          </cell>
          <cell r="AK351" t="str">
            <v>30/09/2023</v>
          </cell>
          <cell r="AL351" t="str">
            <v>NSC92597</v>
          </cell>
          <cell r="AM351" t="str">
            <v>SINGLE PHASE ELECTRO-MAGNETIC KWH METER-TOD</v>
          </cell>
          <cell r="AN351" t="str">
            <v>POST PAID</v>
          </cell>
          <cell r="AO351">
            <v>100</v>
          </cell>
          <cell r="AP351" t="str">
            <v>TOD</v>
          </cell>
          <cell r="AQ351">
            <v>-85538.32</v>
          </cell>
          <cell r="AR351">
            <v>0</v>
          </cell>
          <cell r="AS351">
            <v>0</v>
          </cell>
          <cell r="AT351">
            <v>0</v>
          </cell>
          <cell r="AU351">
            <v>0</v>
          </cell>
          <cell r="AV351">
            <v>0</v>
          </cell>
          <cell r="AW351">
            <v>0</v>
          </cell>
          <cell r="AX351">
            <v>0</v>
          </cell>
          <cell r="AY351">
            <v>0</v>
          </cell>
          <cell r="AZ351">
            <v>0</v>
          </cell>
          <cell r="BA351">
            <v>0</v>
          </cell>
        </row>
        <row r="352">
          <cell r="F352">
            <v>121000000017</v>
          </cell>
          <cell r="G352" t="str">
            <v>M/S.P.P.RICE MILL</v>
          </cell>
          <cell r="H352" t="str">
            <v>AT/PO-CHARAMPA,BHADRAK</v>
          </cell>
          <cell r="I352" t="str">
            <v>10/31/2020 00:00:00</v>
          </cell>
          <cell r="J352">
            <v>1</v>
          </cell>
          <cell r="K352" t="str">
            <v xml:space="preserve"> </v>
          </cell>
          <cell r="L352" t="str">
            <v xml:space="preserve"> </v>
          </cell>
          <cell r="M352" t="str">
            <v>421000010231492641</v>
          </cell>
          <cell r="N352" t="str">
            <v>1210000016</v>
          </cell>
          <cell r="O352" t="str">
            <v>BC-6325</v>
          </cell>
          <cell r="P352" t="str">
            <v>442112102</v>
          </cell>
          <cell r="Q352" t="str">
            <v>LARGE INDUSTRY</v>
          </cell>
          <cell r="R352" t="str">
            <v>HT</v>
          </cell>
          <cell r="S352" t="str">
            <v>01/10/2023</v>
          </cell>
          <cell r="T352" t="str">
            <v>01/10/2023</v>
          </cell>
          <cell r="U352" t="str">
            <v>06/10/2023</v>
          </cell>
          <cell r="V352" t="str">
            <v>09/10/2023</v>
          </cell>
          <cell r="W352" t="str">
            <v>2023/09</v>
          </cell>
          <cell r="X352" t="str">
            <v>11 KV</v>
          </cell>
          <cell r="Y352" t="str">
            <v>HT</v>
          </cell>
          <cell r="Z352">
            <v>289.76</v>
          </cell>
          <cell r="AA352">
            <v>0.98570000000000002</v>
          </cell>
          <cell r="AB352">
            <v>51.77</v>
          </cell>
          <cell r="AC352" t="str">
            <v xml:space="preserve">01/09/2023 -     </v>
          </cell>
          <cell r="AD352" t="str">
            <v>30.09.2023</v>
          </cell>
          <cell r="AE352" t="str">
            <v>30/1.0000</v>
          </cell>
          <cell r="AF352">
            <v>260</v>
          </cell>
          <cell r="AG352" t="str">
            <v>KVA</v>
          </cell>
          <cell r="AH352">
            <v>260</v>
          </cell>
          <cell r="AI352" t="str">
            <v>R</v>
          </cell>
          <cell r="AJ352">
            <v>1354661.13</v>
          </cell>
          <cell r="AK352" t="str">
            <v>30/09/2023</v>
          </cell>
          <cell r="AL352" t="str">
            <v>NES50356</v>
          </cell>
          <cell r="AM352" t="str">
            <v>SINGLE PHASE ELECTRO-MAGNETIC KWH METER-TOD</v>
          </cell>
          <cell r="AN352" t="str">
            <v>POST PAID</v>
          </cell>
          <cell r="AO352">
            <v>500</v>
          </cell>
          <cell r="AP352" t="str">
            <v>TOD</v>
          </cell>
          <cell r="AQ352">
            <v>-515080.13</v>
          </cell>
          <cell r="AR352">
            <v>0</v>
          </cell>
          <cell r="AS352">
            <v>0</v>
          </cell>
          <cell r="AT352">
            <v>0</v>
          </cell>
          <cell r="AU352">
            <v>0</v>
          </cell>
          <cell r="AV352">
            <v>0</v>
          </cell>
          <cell r="AW352">
            <v>106480</v>
          </cell>
          <cell r="AX352">
            <v>108016</v>
          </cell>
          <cell r="AY352">
            <v>108016</v>
          </cell>
          <cell r="AZ352">
            <v>1968</v>
          </cell>
          <cell r="BA352">
            <v>289.76</v>
          </cell>
        </row>
        <row r="353">
          <cell r="F353">
            <v>121000000018</v>
          </cell>
          <cell r="G353" t="str">
            <v>M/S ADITI RICE MILL</v>
          </cell>
          <cell r="H353" t="str">
            <v>ADITI RICE MILL TIHIDI</v>
          </cell>
          <cell r="I353" t="str">
            <v>10/31/2020 00:00:00</v>
          </cell>
          <cell r="J353">
            <v>1</v>
          </cell>
          <cell r="K353" t="str">
            <v xml:space="preserve"> </v>
          </cell>
          <cell r="L353" t="str">
            <v xml:space="preserve"> </v>
          </cell>
          <cell r="M353" t="str">
            <v>421000010231495031</v>
          </cell>
          <cell r="N353" t="str">
            <v>1210000017</v>
          </cell>
          <cell r="O353" t="str">
            <v>TT-20888</v>
          </cell>
          <cell r="P353" t="str">
            <v>442114103</v>
          </cell>
          <cell r="Q353" t="str">
            <v>LARGE INDUSTRY</v>
          </cell>
          <cell r="R353" t="str">
            <v>LT</v>
          </cell>
          <cell r="S353" t="str">
            <v>01/10/2023</v>
          </cell>
          <cell r="T353" t="str">
            <v>01/10/2023</v>
          </cell>
          <cell r="U353" t="str">
            <v>06/10/2023</v>
          </cell>
          <cell r="V353" t="str">
            <v>09/10/2023</v>
          </cell>
          <cell r="W353" t="str">
            <v>2023/09</v>
          </cell>
          <cell r="X353" t="str">
            <v>400 V</v>
          </cell>
          <cell r="Y353" t="str">
            <v>LT</v>
          </cell>
          <cell r="Z353">
            <v>105.6</v>
          </cell>
          <cell r="AA353">
            <v>0.80249999999999999</v>
          </cell>
          <cell r="AB353">
            <v>0</v>
          </cell>
          <cell r="AC353" t="str">
            <v>-</v>
          </cell>
          <cell r="AD353" t="str">
            <v>30.09.2023</v>
          </cell>
          <cell r="AE353" t="str">
            <v>33/1.0000</v>
          </cell>
          <cell r="AF353">
            <v>132</v>
          </cell>
          <cell r="AG353" t="str">
            <v>KVA</v>
          </cell>
          <cell r="AH353">
            <v>132</v>
          </cell>
          <cell r="AI353" t="str">
            <v>R</v>
          </cell>
          <cell r="AJ353">
            <v>190541</v>
          </cell>
          <cell r="AK353" t="str">
            <v>30/09/2023</v>
          </cell>
          <cell r="AL353" t="str">
            <v>TPCANSC18893</v>
          </cell>
          <cell r="AM353" t="str">
            <v>THREE PHASE SMART LTCT METER-TOD</v>
          </cell>
          <cell r="AN353" t="str">
            <v>SMART METER</v>
          </cell>
          <cell r="AO353">
            <v>250</v>
          </cell>
          <cell r="AP353" t="str">
            <v>TOD</v>
          </cell>
          <cell r="AQ353">
            <v>-16044.86</v>
          </cell>
          <cell r="AR353">
            <v>0</v>
          </cell>
          <cell r="AS353">
            <v>0</v>
          </cell>
          <cell r="AT353">
            <v>0</v>
          </cell>
          <cell r="AU353">
            <v>0</v>
          </cell>
          <cell r="AV353">
            <v>0</v>
          </cell>
          <cell r="AW353">
            <v>1500.72</v>
          </cell>
          <cell r="AX353">
            <v>1870</v>
          </cell>
          <cell r="AY353">
            <v>1870</v>
          </cell>
          <cell r="AZ353">
            <v>0.54800000000000004</v>
          </cell>
          <cell r="BA353">
            <v>21.92</v>
          </cell>
        </row>
        <row r="354">
          <cell r="F354">
            <v>121000000019</v>
          </cell>
          <cell r="G354" t="str">
            <v>SHREE BIJAYA ICE FACTORY</v>
          </cell>
          <cell r="H354" t="str">
            <v>DHAMARA,</v>
          </cell>
          <cell r="I354" t="str">
            <v>10/31/2020 00:00:00</v>
          </cell>
          <cell r="J354">
            <v>1</v>
          </cell>
          <cell r="K354" t="str">
            <v xml:space="preserve"> </v>
          </cell>
          <cell r="L354" t="str">
            <v xml:space="preserve"> </v>
          </cell>
          <cell r="M354" t="str">
            <v>421000010231492885</v>
          </cell>
          <cell r="N354" t="str">
            <v>1210000018</v>
          </cell>
          <cell r="O354" t="str">
            <v>TB-35108</v>
          </cell>
          <cell r="P354" t="str">
            <v>442151202</v>
          </cell>
          <cell r="Q354" t="str">
            <v>LARGE INDUSTRY</v>
          </cell>
          <cell r="R354" t="str">
            <v>HT</v>
          </cell>
          <cell r="S354" t="str">
            <v>01/10/2023</v>
          </cell>
          <cell r="T354" t="str">
            <v>01/10/2023</v>
          </cell>
          <cell r="U354" t="str">
            <v>06/10/2023</v>
          </cell>
          <cell r="V354" t="str">
            <v>09/10/2023</v>
          </cell>
          <cell r="W354" t="str">
            <v>2023/09</v>
          </cell>
          <cell r="X354" t="str">
            <v>11 KV</v>
          </cell>
          <cell r="Y354" t="str">
            <v>HT</v>
          </cell>
          <cell r="Z354">
            <v>122.4</v>
          </cell>
          <cell r="AA354">
            <v>0.95109999999999995</v>
          </cell>
          <cell r="AB354">
            <v>46.78</v>
          </cell>
          <cell r="AC354" t="str">
            <v xml:space="preserve">01/09/2023 -     </v>
          </cell>
          <cell r="AD354" t="str">
            <v>30.09.2023</v>
          </cell>
          <cell r="AE354" t="str">
            <v>30/1.0000</v>
          </cell>
          <cell r="AF354">
            <v>153</v>
          </cell>
          <cell r="AG354" t="str">
            <v>KVA</v>
          </cell>
          <cell r="AH354">
            <v>153</v>
          </cell>
          <cell r="AI354" t="str">
            <v>R</v>
          </cell>
          <cell r="AJ354">
            <v>385796.2</v>
          </cell>
          <cell r="AK354" t="str">
            <v>30/09/2023</v>
          </cell>
          <cell r="AL354" t="str">
            <v>NES52159</v>
          </cell>
          <cell r="AM354" t="str">
            <v>TRI-VECTOR METER FOR RAILWAY TRACTION</v>
          </cell>
          <cell r="AN354" t="str">
            <v>POST PAID</v>
          </cell>
          <cell r="AO354">
            <v>250</v>
          </cell>
          <cell r="AP354" t="str">
            <v>TOD</v>
          </cell>
          <cell r="AQ354">
            <v>-179071.6</v>
          </cell>
          <cell r="AR354">
            <v>0</v>
          </cell>
          <cell r="AS354">
            <v>0</v>
          </cell>
          <cell r="AT354">
            <v>0</v>
          </cell>
          <cell r="AU354">
            <v>0</v>
          </cell>
          <cell r="AV354">
            <v>0</v>
          </cell>
          <cell r="AW354">
            <v>23221</v>
          </cell>
          <cell r="AX354">
            <v>24413</v>
          </cell>
          <cell r="AY354">
            <v>24413</v>
          </cell>
          <cell r="AZ354">
            <v>399.52</v>
          </cell>
          <cell r="BA354">
            <v>72.48</v>
          </cell>
        </row>
        <row r="355">
          <cell r="F355">
            <v>121000000021</v>
          </cell>
          <cell r="G355" t="str">
            <v>THE DHARMA PORT COMPANY LIMITED</v>
          </cell>
          <cell r="H355" t="str">
            <v>DHAMARA,BASUDEVPURBHADRAK</v>
          </cell>
          <cell r="I355" t="str">
            <v>10/31/2020 00:00:00</v>
          </cell>
          <cell r="J355">
            <v>1</v>
          </cell>
          <cell r="K355" t="str">
            <v xml:space="preserve"> </v>
          </cell>
          <cell r="L355" t="str">
            <v xml:space="preserve"> </v>
          </cell>
          <cell r="M355" t="str">
            <v>421000010232515981</v>
          </cell>
          <cell r="N355" t="str">
            <v>1210000020</v>
          </cell>
          <cell r="O355" t="str">
            <v>TB3-94048</v>
          </cell>
          <cell r="P355" t="str">
            <v>43207406002</v>
          </cell>
          <cell r="Q355" t="str">
            <v>GENERAL PURPOSE</v>
          </cell>
          <cell r="R355" t="str">
            <v>EHT</v>
          </cell>
          <cell r="S355" t="str">
            <v>05/10/2023</v>
          </cell>
          <cell r="T355" t="str">
            <v>05/10/2023</v>
          </cell>
          <cell r="U355" t="str">
            <v>09/10/2023</v>
          </cell>
          <cell r="V355" t="str">
            <v>12/10/2023</v>
          </cell>
          <cell r="W355" t="str">
            <v>2023/09</v>
          </cell>
          <cell r="X355" t="str">
            <v>132 KV</v>
          </cell>
          <cell r="Y355" t="str">
            <v>HT</v>
          </cell>
          <cell r="Z355">
            <v>20062.5</v>
          </cell>
          <cell r="AA355">
            <v>1</v>
          </cell>
          <cell r="AB355">
            <v>49.02</v>
          </cell>
          <cell r="AC355" t="str">
            <v xml:space="preserve">01/09/2023 -     </v>
          </cell>
          <cell r="AD355" t="str">
            <v>30.09.2023</v>
          </cell>
          <cell r="AE355" t="str">
            <v>30/1.0000</v>
          </cell>
          <cell r="AF355">
            <v>20000</v>
          </cell>
          <cell r="AG355" t="str">
            <v>KVA</v>
          </cell>
          <cell r="AH355">
            <v>20000</v>
          </cell>
          <cell r="AI355" t="str">
            <v>R</v>
          </cell>
          <cell r="AJ355">
            <v>92086830.459999993</v>
          </cell>
          <cell r="AK355" t="str">
            <v>30/09/2023</v>
          </cell>
          <cell r="AL355" t="str">
            <v>ORU12085</v>
          </cell>
          <cell r="AM355" t="str">
            <v>THREE PHASE HT CT METER-33KV</v>
          </cell>
          <cell r="AN355" t="str">
            <v>BI DIRECTIONAL</v>
          </cell>
          <cell r="AO355">
            <v>20000</v>
          </cell>
          <cell r="AP355" t="str">
            <v>TOD</v>
          </cell>
          <cell r="AQ355">
            <v>-18763815.359999999</v>
          </cell>
          <cell r="AR355">
            <v>0</v>
          </cell>
          <cell r="AS355">
            <v>0</v>
          </cell>
          <cell r="AT355">
            <v>0</v>
          </cell>
          <cell r="AU355">
            <v>0</v>
          </cell>
          <cell r="AV355">
            <v>0</v>
          </cell>
          <cell r="AW355">
            <v>7781000</v>
          </cell>
          <cell r="AX355">
            <v>7785000</v>
          </cell>
          <cell r="AY355">
            <v>7785000</v>
          </cell>
          <cell r="AZ355">
            <v>20.0625</v>
          </cell>
          <cell r="BA355">
            <v>20062.5</v>
          </cell>
        </row>
        <row r="356">
          <cell r="F356">
            <v>121000000022</v>
          </cell>
          <cell r="G356" t="str">
            <v>M/S MANGALAM AGROTECH PVT. LTD.</v>
          </cell>
          <cell r="H356" t="str">
            <v>ASURA,RAHANJABHADRAK</v>
          </cell>
          <cell r="I356" t="str">
            <v>10/31/2020 00:00:00</v>
          </cell>
          <cell r="J356">
            <v>1</v>
          </cell>
          <cell r="K356" t="str">
            <v xml:space="preserve"> </v>
          </cell>
          <cell r="L356" t="str">
            <v xml:space="preserve"> </v>
          </cell>
          <cell r="M356" t="str">
            <v>421000010231492371</v>
          </cell>
          <cell r="N356" t="str">
            <v>1210000021</v>
          </cell>
          <cell r="O356" t="str">
            <v>BR-94047</v>
          </cell>
          <cell r="P356" t="str">
            <v>442143403</v>
          </cell>
          <cell r="Q356" t="str">
            <v>LARGE INDUSTRY</v>
          </cell>
          <cell r="R356" t="str">
            <v>HT</v>
          </cell>
          <cell r="S356" t="str">
            <v>01/10/2023</v>
          </cell>
          <cell r="T356" t="str">
            <v>01/10/2023</v>
          </cell>
          <cell r="U356" t="str">
            <v>06/10/2023</v>
          </cell>
          <cell r="V356" t="str">
            <v>09/10/2023</v>
          </cell>
          <cell r="W356" t="str">
            <v>2023/09</v>
          </cell>
          <cell r="X356" t="str">
            <v>11 KV</v>
          </cell>
          <cell r="Y356" t="str">
            <v>HT</v>
          </cell>
          <cell r="Z356">
            <v>665.2</v>
          </cell>
          <cell r="AA356">
            <v>0.91900000000000004</v>
          </cell>
          <cell r="AB356">
            <v>15.22</v>
          </cell>
          <cell r="AC356" t="str">
            <v xml:space="preserve">01/09/2023 -     </v>
          </cell>
          <cell r="AD356" t="str">
            <v>30.09.2023</v>
          </cell>
          <cell r="AE356" t="str">
            <v>30/1.0000</v>
          </cell>
          <cell r="AF356">
            <v>722</v>
          </cell>
          <cell r="AG356" t="str">
            <v>KVA</v>
          </cell>
          <cell r="AH356">
            <v>722</v>
          </cell>
          <cell r="AI356" t="str">
            <v>R</v>
          </cell>
          <cell r="AJ356">
            <v>1590466</v>
          </cell>
          <cell r="AK356" t="str">
            <v>30/09/2023</v>
          </cell>
          <cell r="AL356" t="str">
            <v>TPN64201</v>
          </cell>
          <cell r="AM356" t="str">
            <v>HT THREE PHASE 4 WIRE AMR/AMI COMPLAINT METER</v>
          </cell>
          <cell r="AN356" t="str">
            <v>POST PAID</v>
          </cell>
          <cell r="AO356">
            <v>1000</v>
          </cell>
          <cell r="AP356" t="str">
            <v>TOD</v>
          </cell>
          <cell r="AQ356">
            <v>486933.84</v>
          </cell>
          <cell r="AR356">
            <v>0</v>
          </cell>
          <cell r="AS356">
            <v>0</v>
          </cell>
          <cell r="AT356">
            <v>0</v>
          </cell>
          <cell r="AU356">
            <v>0</v>
          </cell>
          <cell r="AV356">
            <v>0</v>
          </cell>
          <cell r="AW356">
            <v>66995</v>
          </cell>
          <cell r="AX356">
            <v>72895</v>
          </cell>
          <cell r="AY356">
            <v>72895</v>
          </cell>
          <cell r="AZ356">
            <v>4582</v>
          </cell>
          <cell r="BA356">
            <v>665.2</v>
          </cell>
        </row>
        <row r="357">
          <cell r="F357">
            <v>121000000023</v>
          </cell>
          <cell r="G357" t="str">
            <v>ADHIR KU. SUTAR</v>
          </cell>
          <cell r="H357" t="str">
            <v>MAITAPUR,RANITAL</v>
          </cell>
          <cell r="I357" t="str">
            <v>10/31/2020 00:00:00</v>
          </cell>
          <cell r="J357">
            <v>1</v>
          </cell>
          <cell r="K357" t="str">
            <v xml:space="preserve"> </v>
          </cell>
          <cell r="L357" t="str">
            <v xml:space="preserve"> </v>
          </cell>
          <cell r="M357" t="str">
            <v>421000010231492475</v>
          </cell>
          <cell r="N357" t="str">
            <v>1210000022</v>
          </cell>
          <cell r="O357" t="str">
            <v>BR-91656</v>
          </cell>
          <cell r="P357" t="str">
            <v>442143401</v>
          </cell>
          <cell r="Q357" t="str">
            <v>LARGE INDUSTRY</v>
          </cell>
          <cell r="R357" t="str">
            <v>HT</v>
          </cell>
          <cell r="S357" t="str">
            <v>01/10/2023</v>
          </cell>
          <cell r="T357" t="str">
            <v>01/10/2023</v>
          </cell>
          <cell r="U357" t="str">
            <v>06/10/2023</v>
          </cell>
          <cell r="V357" t="str">
            <v>09/10/2023</v>
          </cell>
          <cell r="W357" t="str">
            <v>2023/09</v>
          </cell>
          <cell r="X357" t="str">
            <v>11 KV</v>
          </cell>
          <cell r="Y357" t="str">
            <v>HT</v>
          </cell>
          <cell r="Z357">
            <v>143.19999999999999</v>
          </cell>
          <cell r="AA357">
            <v>0.98370000000000002</v>
          </cell>
          <cell r="AB357">
            <v>3.67</v>
          </cell>
          <cell r="AC357" t="str">
            <v xml:space="preserve">01/09/2023 -     </v>
          </cell>
          <cell r="AD357" t="str">
            <v>30.09.2023</v>
          </cell>
          <cell r="AE357" t="str">
            <v>30/1.0000</v>
          </cell>
          <cell r="AF357">
            <v>179</v>
          </cell>
          <cell r="AG357" t="str">
            <v>KVA</v>
          </cell>
          <cell r="AH357">
            <v>179</v>
          </cell>
          <cell r="AI357" t="str">
            <v>R</v>
          </cell>
          <cell r="AJ357">
            <v>633776</v>
          </cell>
          <cell r="AK357" t="str">
            <v>30/09/2023</v>
          </cell>
          <cell r="AL357" t="str">
            <v>TPN64021</v>
          </cell>
          <cell r="AM357" t="str">
            <v>HT THREE PHASE 4 WIRE AMR/AMI COMPLAINT METER</v>
          </cell>
          <cell r="AN357" t="str">
            <v>POST PAID</v>
          </cell>
          <cell r="AO357">
            <v>250</v>
          </cell>
          <cell r="AP357" t="str">
            <v>TOD</v>
          </cell>
          <cell r="AQ357">
            <v>-177274.64</v>
          </cell>
          <cell r="AR357">
            <v>0</v>
          </cell>
          <cell r="AS357">
            <v>0</v>
          </cell>
          <cell r="AT357">
            <v>0</v>
          </cell>
          <cell r="AU357">
            <v>0</v>
          </cell>
          <cell r="AV357">
            <v>0</v>
          </cell>
          <cell r="AW357">
            <v>1207</v>
          </cell>
          <cell r="AX357">
            <v>1227</v>
          </cell>
          <cell r="AY357">
            <v>1227</v>
          </cell>
          <cell r="AZ357">
            <v>736.08</v>
          </cell>
          <cell r="BA357">
            <v>46.44</v>
          </cell>
        </row>
        <row r="358">
          <cell r="F358">
            <v>121000000024</v>
          </cell>
          <cell r="G358" t="str">
            <v>M/S SHREE HANUMAN RICE MILL</v>
          </cell>
          <cell r="H358" t="str">
            <v>CHANDBALI,</v>
          </cell>
          <cell r="I358" t="str">
            <v>10/31/2020 00:00:00</v>
          </cell>
          <cell r="J358">
            <v>1</v>
          </cell>
          <cell r="K358" t="str">
            <v xml:space="preserve"> </v>
          </cell>
          <cell r="L358" t="str">
            <v xml:space="preserve"> </v>
          </cell>
          <cell r="M358" t="str">
            <v>421000010231492592</v>
          </cell>
          <cell r="N358" t="str">
            <v>1210000023</v>
          </cell>
          <cell r="O358" t="str">
            <v>TC-1442</v>
          </cell>
          <cell r="P358" t="str">
            <v>442122201</v>
          </cell>
          <cell r="Q358" t="str">
            <v>LARGE INDUSTRY</v>
          </cell>
          <cell r="R358" t="str">
            <v>HT</v>
          </cell>
          <cell r="S358" t="str">
            <v>01/10/2023</v>
          </cell>
          <cell r="T358" t="str">
            <v>01/10/2023</v>
          </cell>
          <cell r="U358" t="str">
            <v>06/10/2023</v>
          </cell>
          <cell r="V358" t="str">
            <v>09/10/2023</v>
          </cell>
          <cell r="W358" t="str">
            <v>2023/09</v>
          </cell>
          <cell r="X358" t="str">
            <v>11 KV</v>
          </cell>
          <cell r="Y358" t="str">
            <v>HT</v>
          </cell>
          <cell r="Z358">
            <v>194.64</v>
          </cell>
          <cell r="AA358">
            <v>0.95830000000000004</v>
          </cell>
          <cell r="AB358">
            <v>47.33</v>
          </cell>
          <cell r="AC358" t="str">
            <v xml:space="preserve">29/08/2023 -     </v>
          </cell>
          <cell r="AD358" t="str">
            <v>30.09.2023</v>
          </cell>
          <cell r="AE358" t="str">
            <v>33/1.0000</v>
          </cell>
          <cell r="AF358">
            <v>189</v>
          </cell>
          <cell r="AG358" t="str">
            <v>KVA</v>
          </cell>
          <cell r="AH358">
            <v>189</v>
          </cell>
          <cell r="AI358" t="str">
            <v>R</v>
          </cell>
          <cell r="AJ358">
            <v>537200</v>
          </cell>
          <cell r="AK358" t="str">
            <v>30/09/2023</v>
          </cell>
          <cell r="AL358" t="str">
            <v>TPN64170</v>
          </cell>
          <cell r="AM358" t="str">
            <v>HT THREE PHASE 4 WIRE AMR/AMI COMPLAINT METER</v>
          </cell>
          <cell r="AN358" t="str">
            <v>POST PAID</v>
          </cell>
          <cell r="AO358">
            <v>315</v>
          </cell>
          <cell r="AP358" t="str">
            <v>TOD</v>
          </cell>
          <cell r="AQ358">
            <v>11537.7</v>
          </cell>
          <cell r="AR358">
            <v>0</v>
          </cell>
          <cell r="AS358">
            <v>0</v>
          </cell>
          <cell r="AT358">
            <v>0</v>
          </cell>
          <cell r="AU358">
            <v>0</v>
          </cell>
          <cell r="AV358">
            <v>0</v>
          </cell>
          <cell r="AW358">
            <v>69918</v>
          </cell>
          <cell r="AX358">
            <v>72960</v>
          </cell>
          <cell r="AY358">
            <v>72960</v>
          </cell>
          <cell r="AZ358">
            <v>1337.76</v>
          </cell>
          <cell r="BA358">
            <v>194.64000000000001</v>
          </cell>
        </row>
        <row r="359">
          <cell r="F359">
            <v>121000000025</v>
          </cell>
          <cell r="G359" t="str">
            <v>M/S PADMANAV RICE &amp; FLOUR MILL</v>
          </cell>
          <cell r="H359" t="str">
            <v>KUANSH,</v>
          </cell>
          <cell r="I359" t="str">
            <v>10/31/2020 00:00:00</v>
          </cell>
          <cell r="J359">
            <v>1</v>
          </cell>
          <cell r="K359" t="str">
            <v xml:space="preserve"> </v>
          </cell>
          <cell r="L359" t="str">
            <v xml:space="preserve"> </v>
          </cell>
          <cell r="M359" t="str">
            <v>421000010231492474</v>
          </cell>
          <cell r="N359" t="str">
            <v>1210000024</v>
          </cell>
          <cell r="O359" t="str">
            <v>BX-2680</v>
          </cell>
          <cell r="P359" t="str">
            <v>442111104</v>
          </cell>
          <cell r="Q359" t="str">
            <v>LARGE INDUSTRY</v>
          </cell>
          <cell r="R359" t="str">
            <v>HT</v>
          </cell>
          <cell r="S359" t="str">
            <v>01/10/2023</v>
          </cell>
          <cell r="T359" t="str">
            <v>01/10/2023</v>
          </cell>
          <cell r="U359" t="str">
            <v>06/10/2023</v>
          </cell>
          <cell r="V359" t="str">
            <v>09/10/2023</v>
          </cell>
          <cell r="W359" t="str">
            <v>2023/09</v>
          </cell>
          <cell r="X359" t="str">
            <v>11 KV</v>
          </cell>
          <cell r="Y359" t="str">
            <v>HT</v>
          </cell>
          <cell r="Z359">
            <v>166.56</v>
          </cell>
          <cell r="AA359">
            <v>0.99909999999999999</v>
          </cell>
          <cell r="AB359">
            <v>42.2</v>
          </cell>
          <cell r="AC359" t="str">
            <v xml:space="preserve">01/09/2023 -     </v>
          </cell>
          <cell r="AD359" t="str">
            <v>30.09.2023</v>
          </cell>
          <cell r="AE359" t="str">
            <v>30/1.0000</v>
          </cell>
          <cell r="AF359">
            <v>162</v>
          </cell>
          <cell r="AG359" t="str">
            <v>KVA</v>
          </cell>
          <cell r="AH359">
            <v>162</v>
          </cell>
          <cell r="AI359" t="str">
            <v>R</v>
          </cell>
          <cell r="AJ359">
            <v>696127</v>
          </cell>
          <cell r="AK359" t="str">
            <v>30/09/2023</v>
          </cell>
          <cell r="AL359" t="str">
            <v>TPN64220</v>
          </cell>
          <cell r="AM359" t="str">
            <v>HT THREE PHASE 4 WIRE AMR/AMI COMPLAINT METER</v>
          </cell>
          <cell r="AN359" t="str">
            <v>POST PAID</v>
          </cell>
          <cell r="AO359">
            <v>250</v>
          </cell>
          <cell r="AP359" t="str">
            <v>TOD</v>
          </cell>
          <cell r="AQ359">
            <v>44368.34</v>
          </cell>
          <cell r="AR359">
            <v>0</v>
          </cell>
          <cell r="AS359">
            <v>0</v>
          </cell>
          <cell r="AT359">
            <v>0</v>
          </cell>
          <cell r="AU359">
            <v>0</v>
          </cell>
          <cell r="AV359">
            <v>0</v>
          </cell>
          <cell r="AW359">
            <v>50562</v>
          </cell>
          <cell r="AX359">
            <v>50604</v>
          </cell>
          <cell r="AY359">
            <v>50604</v>
          </cell>
          <cell r="AZ359">
            <v>1315.52</v>
          </cell>
          <cell r="BA359">
            <v>166.56</v>
          </cell>
        </row>
        <row r="360">
          <cell r="F360">
            <v>121000000029</v>
          </cell>
          <cell r="G360" t="str">
            <v>M/S SHREE BINAYAK AGRO UDYOG</v>
          </cell>
          <cell r="H360" t="str">
            <v>C/O- KISHORE KU. MOHAPATRA</v>
          </cell>
          <cell r="I360" t="str">
            <v>10/31/2020 00:00:00</v>
          </cell>
          <cell r="J360">
            <v>1</v>
          </cell>
          <cell r="K360" t="str">
            <v xml:space="preserve"> </v>
          </cell>
          <cell r="L360" t="str">
            <v xml:space="preserve"> </v>
          </cell>
          <cell r="M360" t="str">
            <v>421000010231492717</v>
          </cell>
          <cell r="N360" t="str">
            <v>1210000028</v>
          </cell>
          <cell r="O360" t="str">
            <v>BC-94963</v>
          </cell>
          <cell r="P360" t="str">
            <v>442111106</v>
          </cell>
          <cell r="Q360" t="str">
            <v>LARGE INDUSTRY</v>
          </cell>
          <cell r="R360" t="str">
            <v>HT</v>
          </cell>
          <cell r="S360" t="str">
            <v>01/10/2023</v>
          </cell>
          <cell r="T360" t="str">
            <v>01/10/2023</v>
          </cell>
          <cell r="U360" t="str">
            <v>06/10/2023</v>
          </cell>
          <cell r="V360" t="str">
            <v>09/10/2023</v>
          </cell>
          <cell r="W360" t="str">
            <v>2023/09</v>
          </cell>
          <cell r="X360" t="str">
            <v>11 KV</v>
          </cell>
          <cell r="Y360" t="str">
            <v>HT</v>
          </cell>
          <cell r="Z360">
            <v>166.32</v>
          </cell>
          <cell r="AA360">
            <v>0.98870000000000002</v>
          </cell>
          <cell r="AB360">
            <v>24.95</v>
          </cell>
          <cell r="AC360" t="str">
            <v xml:space="preserve">01/09/2023 -     </v>
          </cell>
          <cell r="AD360" t="str">
            <v>30.09.2023</v>
          </cell>
          <cell r="AE360" t="str">
            <v>30/1.0000</v>
          </cell>
          <cell r="AF360">
            <v>119</v>
          </cell>
          <cell r="AG360" t="str">
            <v>KVA</v>
          </cell>
          <cell r="AH360">
            <v>119</v>
          </cell>
          <cell r="AI360" t="str">
            <v>R</v>
          </cell>
          <cell r="AJ360">
            <v>658367.19999999995</v>
          </cell>
          <cell r="AK360" t="str">
            <v>30/09/2023</v>
          </cell>
          <cell r="AL360" t="str">
            <v>TPN64218</v>
          </cell>
          <cell r="AM360" t="str">
            <v>HT THREE PHASE 4 WIRE AMR/AMI COMPLAINT METER</v>
          </cell>
          <cell r="AN360" t="str">
            <v>POST PAID</v>
          </cell>
          <cell r="AO360">
            <v>200</v>
          </cell>
          <cell r="AP360" t="str">
            <v>TOD</v>
          </cell>
          <cell r="AQ360">
            <v>71227.740000000005</v>
          </cell>
          <cell r="AR360">
            <v>0</v>
          </cell>
          <cell r="AS360">
            <v>0</v>
          </cell>
          <cell r="AT360">
            <v>0</v>
          </cell>
          <cell r="AU360">
            <v>0</v>
          </cell>
          <cell r="AV360">
            <v>0</v>
          </cell>
          <cell r="AW360">
            <v>29536</v>
          </cell>
          <cell r="AX360">
            <v>29872</v>
          </cell>
          <cell r="AY360">
            <v>29872</v>
          </cell>
          <cell r="AZ360">
            <v>1203.76</v>
          </cell>
          <cell r="BA360">
            <v>166.32</v>
          </cell>
        </row>
        <row r="361">
          <cell r="F361">
            <v>121000000032</v>
          </cell>
          <cell r="G361" t="str">
            <v>SUBASINI KABI</v>
          </cell>
          <cell r="H361" t="str">
            <v>RAHANJA,BHADRAK</v>
          </cell>
          <cell r="I361" t="str">
            <v>10/31/2020 00:00:00</v>
          </cell>
          <cell r="J361">
            <v>1</v>
          </cell>
          <cell r="K361" t="str">
            <v xml:space="preserve"> </v>
          </cell>
          <cell r="L361" t="str">
            <v xml:space="preserve"> </v>
          </cell>
          <cell r="M361" t="str">
            <v>421000010231492572</v>
          </cell>
          <cell r="N361" t="str">
            <v>1210000031</v>
          </cell>
          <cell r="O361" t="str">
            <v>BR-93511</v>
          </cell>
          <cell r="P361" t="str">
            <v>442143404</v>
          </cell>
          <cell r="Q361" t="str">
            <v>LARGE INDUSTRY</v>
          </cell>
          <cell r="R361" t="str">
            <v>HT</v>
          </cell>
          <cell r="S361" t="str">
            <v>01/10/2023</v>
          </cell>
          <cell r="T361" t="str">
            <v>01/10/2023</v>
          </cell>
          <cell r="U361" t="str">
            <v>06/10/2023</v>
          </cell>
          <cell r="V361" t="str">
            <v>09/10/2023</v>
          </cell>
          <cell r="W361" t="str">
            <v>2023/09</v>
          </cell>
          <cell r="X361" t="str">
            <v>11 KV</v>
          </cell>
          <cell r="Y361" t="str">
            <v>HT</v>
          </cell>
          <cell r="Z361">
            <v>128</v>
          </cell>
          <cell r="AA361">
            <v>0.96779999999999999</v>
          </cell>
          <cell r="AB361">
            <v>8.7799999999999994</v>
          </cell>
          <cell r="AC361" t="str">
            <v xml:space="preserve">01/09/2023 -     </v>
          </cell>
          <cell r="AD361" t="str">
            <v>30.09.2023</v>
          </cell>
          <cell r="AE361" t="str">
            <v>30/1.0000</v>
          </cell>
          <cell r="AF361">
            <v>160</v>
          </cell>
          <cell r="AG361" t="str">
            <v>KVA</v>
          </cell>
          <cell r="AH361">
            <v>160</v>
          </cell>
          <cell r="AI361" t="str">
            <v>R</v>
          </cell>
          <cell r="AJ361">
            <v>756637</v>
          </cell>
          <cell r="AK361" t="str">
            <v>30/09/2023</v>
          </cell>
          <cell r="AL361" t="str">
            <v>TPNODL38111018</v>
          </cell>
          <cell r="AM361" t="str">
            <v>THREE PHASE SMART HT CT METER (AMR/AMI)-11KV</v>
          </cell>
          <cell r="AN361" t="str">
            <v>SMART METER</v>
          </cell>
          <cell r="AO361">
            <v>100</v>
          </cell>
          <cell r="AP361" t="str">
            <v>TOD</v>
          </cell>
          <cell r="AQ361">
            <v>-591034.5</v>
          </cell>
          <cell r="AR361">
            <v>0</v>
          </cell>
          <cell r="AS361">
            <v>0</v>
          </cell>
          <cell r="AT361">
            <v>0</v>
          </cell>
          <cell r="AU361">
            <v>0</v>
          </cell>
          <cell r="AV361">
            <v>0</v>
          </cell>
          <cell r="AW361">
            <v>3402</v>
          </cell>
          <cell r="AX361">
            <v>3515</v>
          </cell>
          <cell r="AY361">
            <v>3515</v>
          </cell>
          <cell r="AZ361">
            <v>56.608800000000002</v>
          </cell>
          <cell r="BA361">
            <v>55.588000000000001</v>
          </cell>
        </row>
        <row r="362">
          <cell r="F362">
            <v>121000000033</v>
          </cell>
          <cell r="G362" t="str">
            <v>M/S RATNAKAR FREEZER</v>
          </cell>
          <cell r="H362" t="str">
            <v>PAIKA SAHI,DHAMARABHADRAK</v>
          </cell>
          <cell r="I362" t="str">
            <v>10/31/2020 00:00:00</v>
          </cell>
          <cell r="J362">
            <v>1</v>
          </cell>
          <cell r="K362" t="str">
            <v xml:space="preserve"> </v>
          </cell>
          <cell r="L362" t="str">
            <v xml:space="preserve"> </v>
          </cell>
          <cell r="M362" t="str">
            <v>421000010231493021</v>
          </cell>
          <cell r="N362" t="str">
            <v>1210000032</v>
          </cell>
          <cell r="O362" t="str">
            <v>TB-73232</v>
          </cell>
          <cell r="P362" t="str">
            <v>442151202</v>
          </cell>
          <cell r="Q362" t="str">
            <v>LARGE INDUSTRY</v>
          </cell>
          <cell r="R362" t="str">
            <v>HT</v>
          </cell>
          <cell r="S362" t="str">
            <v>01/10/2023</v>
          </cell>
          <cell r="T362" t="str">
            <v>01/10/2023</v>
          </cell>
          <cell r="U362" t="str">
            <v>06/10/2023</v>
          </cell>
          <cell r="V362" t="str">
            <v>09/10/2023</v>
          </cell>
          <cell r="W362" t="str">
            <v>2023/09</v>
          </cell>
          <cell r="X362" t="str">
            <v>11 KV</v>
          </cell>
          <cell r="Y362" t="str">
            <v>HT</v>
          </cell>
          <cell r="Z362">
            <v>105.6</v>
          </cell>
          <cell r="AA362">
            <v>0.99839999999999995</v>
          </cell>
          <cell r="AB362">
            <v>45.6</v>
          </cell>
          <cell r="AC362" t="str">
            <v xml:space="preserve">01/09/2023 -     </v>
          </cell>
          <cell r="AD362" t="str">
            <v>30.09.2023</v>
          </cell>
          <cell r="AE362" t="str">
            <v>30/1.0000</v>
          </cell>
          <cell r="AF362">
            <v>132</v>
          </cell>
          <cell r="AG362" t="str">
            <v>KVA</v>
          </cell>
          <cell r="AH362">
            <v>132</v>
          </cell>
          <cell r="AI362" t="str">
            <v>R</v>
          </cell>
          <cell r="AJ362">
            <v>276433.5</v>
          </cell>
          <cell r="AK362" t="str">
            <v>30/09/2023</v>
          </cell>
          <cell r="AL362" t="str">
            <v>TPNODL38111112</v>
          </cell>
          <cell r="AM362" t="str">
            <v>THREE PHASE SMART HT CT METER (AMR/AMI)-11KV</v>
          </cell>
          <cell r="AN362" t="str">
            <v>SMART METER</v>
          </cell>
          <cell r="AO362">
            <v>150</v>
          </cell>
          <cell r="AP362" t="str">
            <v>TOD</v>
          </cell>
          <cell r="AQ362">
            <v>-105909.7</v>
          </cell>
          <cell r="AR362">
            <v>0</v>
          </cell>
          <cell r="AS362">
            <v>0</v>
          </cell>
          <cell r="AT362">
            <v>0</v>
          </cell>
          <cell r="AU362">
            <v>0</v>
          </cell>
          <cell r="AV362">
            <v>0</v>
          </cell>
          <cell r="AW362">
            <v>23149</v>
          </cell>
          <cell r="AX362">
            <v>23184</v>
          </cell>
          <cell r="AY362">
            <v>23184</v>
          </cell>
          <cell r="AZ362">
            <v>381.79520000000002</v>
          </cell>
          <cell r="BA362">
            <v>70.614000000000004</v>
          </cell>
        </row>
        <row r="363">
          <cell r="F363">
            <v>121000000037</v>
          </cell>
          <cell r="G363" t="str">
            <v>RAM CHANDRA BEHERA</v>
          </cell>
          <cell r="H363" t="str">
            <v>BY PASS BHADRAK,</v>
          </cell>
          <cell r="I363" t="str">
            <v>10/31/2020 00:00:00</v>
          </cell>
          <cell r="J363">
            <v>1</v>
          </cell>
          <cell r="K363" t="str">
            <v xml:space="preserve"> </v>
          </cell>
          <cell r="L363" t="str">
            <v xml:space="preserve"> </v>
          </cell>
          <cell r="M363" t="str">
            <v>421000010231492573</v>
          </cell>
          <cell r="N363" t="str">
            <v>1210000036</v>
          </cell>
          <cell r="O363" t="str">
            <v>BX-82455</v>
          </cell>
          <cell r="P363" t="str">
            <v>442112102</v>
          </cell>
          <cell r="Q363" t="str">
            <v>GENERAL PURPOSE &gt;= 110 KVA</v>
          </cell>
          <cell r="R363" t="str">
            <v>HT</v>
          </cell>
          <cell r="S363" t="str">
            <v>01/10/2023</v>
          </cell>
          <cell r="T363" t="str">
            <v>01/10/2023</v>
          </cell>
          <cell r="U363" t="str">
            <v>06/10/2023</v>
          </cell>
          <cell r="V363" t="str">
            <v>09/10/2023</v>
          </cell>
          <cell r="W363" t="str">
            <v>2023/09</v>
          </cell>
          <cell r="X363" t="str">
            <v>11 KV</v>
          </cell>
          <cell r="Y363" t="str">
            <v>HT</v>
          </cell>
          <cell r="Z363">
            <v>106.4</v>
          </cell>
          <cell r="AA363">
            <v>0.95540000000000003</v>
          </cell>
          <cell r="AB363">
            <v>31.53</v>
          </cell>
          <cell r="AC363" t="str">
            <v xml:space="preserve">01/09/2023 -     </v>
          </cell>
          <cell r="AD363" t="str">
            <v>30.09.2023</v>
          </cell>
          <cell r="AE363" t="str">
            <v>30/1.0000</v>
          </cell>
          <cell r="AF363">
            <v>133</v>
          </cell>
          <cell r="AG363" t="str">
            <v>KVA</v>
          </cell>
          <cell r="AH363">
            <v>133</v>
          </cell>
          <cell r="AI363" t="str">
            <v>R</v>
          </cell>
          <cell r="AJ363">
            <v>257962.6</v>
          </cell>
          <cell r="AK363" t="str">
            <v>30/09/2023</v>
          </cell>
          <cell r="AL363" t="str">
            <v>TPN64216</v>
          </cell>
          <cell r="AM363" t="str">
            <v>HT THREE PHASE 4 WIRE AMR/AMI COMPLAINT METER</v>
          </cell>
          <cell r="AN363" t="str">
            <v>POST PAID</v>
          </cell>
          <cell r="AO363">
            <v>163</v>
          </cell>
          <cell r="AP363" t="str">
            <v>TOD</v>
          </cell>
          <cell r="AQ363">
            <v>-25261.200000000001</v>
          </cell>
          <cell r="AR363">
            <v>0</v>
          </cell>
          <cell r="AS363">
            <v>0</v>
          </cell>
          <cell r="AT363">
            <v>0</v>
          </cell>
          <cell r="AU363">
            <v>0</v>
          </cell>
          <cell r="AV363">
            <v>0</v>
          </cell>
          <cell r="AW363">
            <v>21514</v>
          </cell>
          <cell r="AX363">
            <v>22518</v>
          </cell>
          <cell r="AY363">
            <v>22518</v>
          </cell>
          <cell r="AZ363">
            <v>681.84</v>
          </cell>
          <cell r="BA363">
            <v>99.2</v>
          </cell>
        </row>
        <row r="364">
          <cell r="F364">
            <v>121000000038</v>
          </cell>
          <cell r="G364" t="str">
            <v>M/S FALCON  MARINE EXPORT LTD.</v>
          </cell>
          <cell r="H364" t="str">
            <v>ADHUAN,BASUDEVPUR</v>
          </cell>
          <cell r="I364" t="str">
            <v>10/31/2020 00:00:00</v>
          </cell>
          <cell r="J364">
            <v>1</v>
          </cell>
          <cell r="K364" t="str">
            <v xml:space="preserve"> </v>
          </cell>
          <cell r="L364" t="str">
            <v xml:space="preserve"> </v>
          </cell>
          <cell r="M364" t="str">
            <v>421000010231492349</v>
          </cell>
          <cell r="N364" t="str">
            <v>1210000037</v>
          </cell>
          <cell r="O364" t="str">
            <v>TB2-87558</v>
          </cell>
          <cell r="P364" t="str">
            <v>442133304</v>
          </cell>
          <cell r="Q364" t="str">
            <v>ALLIED AGRICULTURE ACTIVITIES</v>
          </cell>
          <cell r="R364" t="str">
            <v>HT</v>
          </cell>
          <cell r="S364" t="str">
            <v>01/10/2023</v>
          </cell>
          <cell r="T364" t="str">
            <v>01/10/2023</v>
          </cell>
          <cell r="U364" t="str">
            <v>09/10/2023</v>
          </cell>
          <cell r="V364" t="str">
            <v>09/10/2023</v>
          </cell>
          <cell r="W364" t="str">
            <v>2023/09</v>
          </cell>
          <cell r="X364" t="str">
            <v>11 KV</v>
          </cell>
          <cell r="Y364" t="str">
            <v>HT</v>
          </cell>
          <cell r="Z364">
            <v>329</v>
          </cell>
          <cell r="AA364">
            <v>0.83760000000000001</v>
          </cell>
          <cell r="AB364">
            <v>0</v>
          </cell>
          <cell r="AC364" t="str">
            <v xml:space="preserve">01/09/2023 -     </v>
          </cell>
          <cell r="AD364" t="str">
            <v>30.09.2023</v>
          </cell>
          <cell r="AE364" t="str">
            <v>30/1.0000</v>
          </cell>
          <cell r="AF364">
            <v>329</v>
          </cell>
          <cell r="AG364" t="str">
            <v>KVA</v>
          </cell>
          <cell r="AH364">
            <v>329</v>
          </cell>
          <cell r="AI364" t="str">
            <v>R</v>
          </cell>
          <cell r="AJ364">
            <v>241466.17</v>
          </cell>
          <cell r="AK364" t="str">
            <v>30/09/2023</v>
          </cell>
          <cell r="AL364" t="str">
            <v>TPN64167</v>
          </cell>
          <cell r="AM364" t="str">
            <v>HT THREE PHASE 4 WIRE AMR/AMI COMPLAINT METER</v>
          </cell>
          <cell r="AN364" t="str">
            <v>POST PAID</v>
          </cell>
          <cell r="AO364">
            <v>500</v>
          </cell>
          <cell r="AP364" t="str">
            <v>TOD</v>
          </cell>
          <cell r="AQ364">
            <v>-23848.77</v>
          </cell>
          <cell r="AR364">
            <v>0</v>
          </cell>
          <cell r="AS364">
            <v>0</v>
          </cell>
          <cell r="AT364">
            <v>0</v>
          </cell>
          <cell r="AU364">
            <v>0</v>
          </cell>
          <cell r="AV364">
            <v>0</v>
          </cell>
          <cell r="AW364">
            <v>52902</v>
          </cell>
          <cell r="AX364">
            <v>63152</v>
          </cell>
          <cell r="AY364">
            <v>63152</v>
          </cell>
          <cell r="AZ364">
            <v>1610.56</v>
          </cell>
          <cell r="BA364">
            <v>281.28000000000003</v>
          </cell>
        </row>
        <row r="365">
          <cell r="F365">
            <v>121000000039</v>
          </cell>
          <cell r="G365" t="str">
            <v>M/S ROHAN AQUATIA LTD.</v>
          </cell>
          <cell r="H365" t="str">
            <v>KANTIPAL,NUAGANBHADRAK</v>
          </cell>
          <cell r="I365" t="str">
            <v>10/31/2020 00:00:00</v>
          </cell>
          <cell r="J365">
            <v>1</v>
          </cell>
          <cell r="K365" t="str">
            <v xml:space="preserve"> </v>
          </cell>
          <cell r="L365" t="str">
            <v xml:space="preserve"> </v>
          </cell>
          <cell r="M365" t="str">
            <v>421000010231492393</v>
          </cell>
          <cell r="N365" t="str">
            <v>1210000038</v>
          </cell>
          <cell r="O365" t="str">
            <v>BT-76602</v>
          </cell>
          <cell r="P365" t="str">
            <v>442133302</v>
          </cell>
          <cell r="Q365" t="str">
            <v>ALLIED AGRICULTURE ACTIVITIES</v>
          </cell>
          <cell r="R365" t="str">
            <v>HT</v>
          </cell>
          <cell r="S365" t="str">
            <v>01/10/2023</v>
          </cell>
          <cell r="T365" t="str">
            <v>01/10/2023</v>
          </cell>
          <cell r="U365" t="str">
            <v>09/10/2023</v>
          </cell>
          <cell r="V365" t="str">
            <v>09/10/2023</v>
          </cell>
          <cell r="W365" t="str">
            <v>2023/09</v>
          </cell>
          <cell r="X365" t="str">
            <v>11 KV</v>
          </cell>
          <cell r="Y365" t="str">
            <v>HT</v>
          </cell>
          <cell r="Z365">
            <v>140</v>
          </cell>
          <cell r="AA365">
            <v>0.54059999999999997</v>
          </cell>
          <cell r="AB365">
            <v>0</v>
          </cell>
          <cell r="AC365" t="str">
            <v xml:space="preserve">01/09/2023 -     </v>
          </cell>
          <cell r="AD365" t="str">
            <v>30.09.2023</v>
          </cell>
          <cell r="AE365" t="str">
            <v>30/1.0000</v>
          </cell>
          <cell r="AF365">
            <v>140</v>
          </cell>
          <cell r="AG365" t="str">
            <v>KVA</v>
          </cell>
          <cell r="AH365">
            <v>140</v>
          </cell>
          <cell r="AI365" t="str">
            <v>R</v>
          </cell>
          <cell r="AJ365">
            <v>126504</v>
          </cell>
          <cell r="AK365" t="str">
            <v>30/09/2023</v>
          </cell>
          <cell r="AL365" t="str">
            <v>TPN64143</v>
          </cell>
          <cell r="AM365" t="str">
            <v>HT THREE PHASE 4 WIRE AMR/AMI COMPLAINT METER</v>
          </cell>
          <cell r="AN365" t="str">
            <v>POST PAID</v>
          </cell>
          <cell r="AO365">
            <v>250</v>
          </cell>
          <cell r="AP365" t="str">
            <v>TOD</v>
          </cell>
          <cell r="AQ365">
            <v>-94230</v>
          </cell>
          <cell r="AR365">
            <v>0</v>
          </cell>
          <cell r="AS365">
            <v>0</v>
          </cell>
          <cell r="AT365">
            <v>0</v>
          </cell>
          <cell r="AU365">
            <v>0</v>
          </cell>
          <cell r="AV365">
            <v>0</v>
          </cell>
          <cell r="AW365">
            <v>978</v>
          </cell>
          <cell r="AX365">
            <v>1809</v>
          </cell>
          <cell r="AY365">
            <v>1809</v>
          </cell>
          <cell r="AZ365">
            <v>174.24</v>
          </cell>
          <cell r="BA365">
            <v>7.4399999999999995</v>
          </cell>
        </row>
        <row r="366">
          <cell r="F366">
            <v>121000000040</v>
          </cell>
          <cell r="G366" t="str">
            <v>M/S DEEPSUN AQUATIC</v>
          </cell>
          <cell r="H366" t="str">
            <v>ADHUAN,BASUDEVPURBHADRAK</v>
          </cell>
          <cell r="I366" t="str">
            <v>10/31/2020 00:00:00</v>
          </cell>
          <cell r="J366">
            <v>1</v>
          </cell>
          <cell r="K366" t="str">
            <v xml:space="preserve"> </v>
          </cell>
          <cell r="L366" t="str">
            <v xml:space="preserve"> </v>
          </cell>
          <cell r="M366" t="str">
            <v>421000010231495020</v>
          </cell>
          <cell r="N366" t="str">
            <v>1210000039</v>
          </cell>
          <cell r="O366" t="str">
            <v>TB2-87566</v>
          </cell>
          <cell r="P366" t="str">
            <v>442133304</v>
          </cell>
          <cell r="Q366" t="str">
            <v>ALLIED AGRICULTURE ACTIVITIES</v>
          </cell>
          <cell r="R366" t="str">
            <v>HT</v>
          </cell>
          <cell r="S366" t="str">
            <v>01/10/2023</v>
          </cell>
          <cell r="T366" t="str">
            <v>01/10/2023</v>
          </cell>
          <cell r="U366" t="str">
            <v>09/10/2023</v>
          </cell>
          <cell r="V366" t="str">
            <v>09/10/2023</v>
          </cell>
          <cell r="W366" t="str">
            <v>2023/09</v>
          </cell>
          <cell r="X366" t="str">
            <v>11 KV</v>
          </cell>
          <cell r="Y366" t="str">
            <v>HT</v>
          </cell>
          <cell r="Z366">
            <v>358</v>
          </cell>
          <cell r="AA366">
            <v>0.91620000000000001</v>
          </cell>
          <cell r="AB366">
            <v>0</v>
          </cell>
          <cell r="AC366" t="str">
            <v xml:space="preserve">01/09/2023 -     </v>
          </cell>
          <cell r="AD366" t="str">
            <v>30.09.2023</v>
          </cell>
          <cell r="AE366" t="str">
            <v>30/1.0000</v>
          </cell>
          <cell r="AF366">
            <v>358</v>
          </cell>
          <cell r="AG366" t="str">
            <v>KVA</v>
          </cell>
          <cell r="AH366">
            <v>358</v>
          </cell>
          <cell r="AI366" t="str">
            <v>R</v>
          </cell>
          <cell r="AJ366">
            <v>145466</v>
          </cell>
          <cell r="AK366" t="str">
            <v>30/09/2023</v>
          </cell>
          <cell r="AL366" t="str">
            <v>TPNODL38111490</v>
          </cell>
          <cell r="AM366" t="str">
            <v>THREE PHASE SMART HT CT METER (AMR/AMI)-11KV</v>
          </cell>
          <cell r="AN366" t="str">
            <v>SMART METER</v>
          </cell>
          <cell r="AO366">
            <v>250</v>
          </cell>
          <cell r="AP366" t="str">
            <v>TOD</v>
          </cell>
          <cell r="AQ366">
            <v>-65435</v>
          </cell>
          <cell r="AR366">
            <v>0</v>
          </cell>
          <cell r="AS366">
            <v>0</v>
          </cell>
          <cell r="AT366">
            <v>0</v>
          </cell>
          <cell r="AU366">
            <v>0</v>
          </cell>
          <cell r="AV366">
            <v>0</v>
          </cell>
          <cell r="AW366">
            <v>2919.04</v>
          </cell>
          <cell r="AX366">
            <v>3186</v>
          </cell>
          <cell r="AY366">
            <v>3186</v>
          </cell>
          <cell r="AZ366">
            <v>9.0039999999999996</v>
          </cell>
          <cell r="BA366">
            <v>36.015999999999998</v>
          </cell>
        </row>
        <row r="367">
          <cell r="F367">
            <v>121000000041</v>
          </cell>
          <cell r="G367" t="str">
            <v>M/S SHYAM SUNDAR ICE FACTORY</v>
          </cell>
          <cell r="H367" t="str">
            <v>DHAMARA,BHADRAK</v>
          </cell>
          <cell r="I367" t="str">
            <v>10/31/2020 00:00:00</v>
          </cell>
          <cell r="J367">
            <v>1</v>
          </cell>
          <cell r="K367" t="str">
            <v xml:space="preserve"> </v>
          </cell>
          <cell r="L367" t="str">
            <v xml:space="preserve"> </v>
          </cell>
          <cell r="M367" t="str">
            <v>421000010231493119</v>
          </cell>
          <cell r="N367" t="str">
            <v>1210000040</v>
          </cell>
          <cell r="O367" t="str">
            <v>TB-6507(MI)</v>
          </cell>
          <cell r="P367" t="str">
            <v>442151202</v>
          </cell>
          <cell r="Q367" t="str">
            <v>LARGE INDUSTRY</v>
          </cell>
          <cell r="R367" t="str">
            <v>HT</v>
          </cell>
          <cell r="S367" t="str">
            <v>01/10/2023</v>
          </cell>
          <cell r="T367" t="str">
            <v>01/10/2023</v>
          </cell>
          <cell r="U367" t="str">
            <v>06/10/2023</v>
          </cell>
          <cell r="V367" t="str">
            <v>09/10/2023</v>
          </cell>
          <cell r="W367" t="str">
            <v>2023/09</v>
          </cell>
          <cell r="X367" t="str">
            <v>11 KV</v>
          </cell>
          <cell r="Y367" t="str">
            <v>HT</v>
          </cell>
          <cell r="Z367">
            <v>120</v>
          </cell>
          <cell r="AA367">
            <v>0.99850000000000005</v>
          </cell>
          <cell r="AB367">
            <v>49.14</v>
          </cell>
          <cell r="AC367" t="str">
            <v xml:space="preserve">01/09/2023 -     </v>
          </cell>
          <cell r="AD367" t="str">
            <v>30.09.2023</v>
          </cell>
          <cell r="AE367" t="str">
            <v>30/1.0000</v>
          </cell>
          <cell r="AF367">
            <v>150</v>
          </cell>
          <cell r="AG367" t="str">
            <v>KVA</v>
          </cell>
          <cell r="AH367">
            <v>150</v>
          </cell>
          <cell r="AI367" t="str">
            <v>R</v>
          </cell>
          <cell r="AJ367">
            <v>283473.46999999997</v>
          </cell>
          <cell r="AK367" t="str">
            <v>30/09/2023</v>
          </cell>
          <cell r="AL367" t="str">
            <v>TPCANSC95124</v>
          </cell>
          <cell r="AM367" t="str">
            <v>SINGLE PHASE ELECTRO-MAGNETIC KWH METER-TOD</v>
          </cell>
          <cell r="AN367" t="str">
            <v>POST PAID</v>
          </cell>
          <cell r="AO367">
            <v>150</v>
          </cell>
          <cell r="AP367" t="str">
            <v>TOD</v>
          </cell>
          <cell r="AQ367">
            <v>-112317.33</v>
          </cell>
          <cell r="AR367">
            <v>0</v>
          </cell>
          <cell r="AS367">
            <v>0</v>
          </cell>
          <cell r="AT367">
            <v>0</v>
          </cell>
          <cell r="AU367">
            <v>0</v>
          </cell>
          <cell r="AV367">
            <v>0</v>
          </cell>
          <cell r="AW367">
            <v>23460</v>
          </cell>
          <cell r="AX367">
            <v>23495</v>
          </cell>
          <cell r="AY367">
            <v>23495</v>
          </cell>
          <cell r="AZ367">
            <v>829.8</v>
          </cell>
          <cell r="BA367">
            <v>66.400000000000006</v>
          </cell>
        </row>
        <row r="368">
          <cell r="F368">
            <v>121000000042</v>
          </cell>
          <cell r="G368" t="str">
            <v>M/S Y.G.P MODERN RICE MILL</v>
          </cell>
          <cell r="H368" t="str">
            <v>C /O SK. MOJAHIDDIN ALAM</v>
          </cell>
          <cell r="I368" t="str">
            <v>10/31/2020 00:00:00</v>
          </cell>
          <cell r="J368">
            <v>1</v>
          </cell>
          <cell r="K368" t="str">
            <v xml:space="preserve"> </v>
          </cell>
          <cell r="L368" t="str">
            <v xml:space="preserve"> </v>
          </cell>
          <cell r="M368" t="str">
            <v>421000010231492432</v>
          </cell>
          <cell r="N368" t="str">
            <v>1210000041</v>
          </cell>
          <cell r="O368" t="str">
            <v>BZ-111560</v>
          </cell>
          <cell r="P368" t="str">
            <v>442141303</v>
          </cell>
          <cell r="Q368" t="str">
            <v>LARGE INDUSTRY</v>
          </cell>
          <cell r="R368" t="str">
            <v>HT</v>
          </cell>
          <cell r="S368" t="str">
            <v>01/10/2023</v>
          </cell>
          <cell r="T368" t="str">
            <v>01/10/2023</v>
          </cell>
          <cell r="U368" t="str">
            <v>06/10/2023</v>
          </cell>
          <cell r="V368" t="str">
            <v>09/10/2023</v>
          </cell>
          <cell r="W368" t="str">
            <v>2023/09</v>
          </cell>
          <cell r="X368" t="str">
            <v>11 KV</v>
          </cell>
          <cell r="Y368" t="str">
            <v>HT</v>
          </cell>
          <cell r="Z368">
            <v>206.01</v>
          </cell>
          <cell r="AA368">
            <v>0.82589999999999997</v>
          </cell>
          <cell r="AB368">
            <v>22.74</v>
          </cell>
          <cell r="AC368" t="str">
            <v xml:space="preserve">01/09/2023 -     </v>
          </cell>
          <cell r="AD368" t="str">
            <v>30.09.2023</v>
          </cell>
          <cell r="AE368" t="str">
            <v>30/1.0000</v>
          </cell>
          <cell r="AF368">
            <v>245</v>
          </cell>
          <cell r="AG368" t="str">
            <v>KVA</v>
          </cell>
          <cell r="AH368">
            <v>245</v>
          </cell>
          <cell r="AI368" t="str">
            <v>R</v>
          </cell>
          <cell r="AJ368">
            <v>1088114</v>
          </cell>
          <cell r="AK368" t="str">
            <v>30/09/2023</v>
          </cell>
          <cell r="AL368" t="str">
            <v>TPNODL38111022</v>
          </cell>
          <cell r="AM368" t="str">
            <v>THREE PHASE SMART HT CT METER (AMR/AMI)-11KV</v>
          </cell>
          <cell r="AN368" t="str">
            <v>SMART METER</v>
          </cell>
          <cell r="AO368">
            <v>500</v>
          </cell>
          <cell r="AP368" t="str">
            <v>TOD</v>
          </cell>
          <cell r="AQ368">
            <v>-733409.66</v>
          </cell>
          <cell r="AR368">
            <v>0</v>
          </cell>
          <cell r="AS368">
            <v>0</v>
          </cell>
          <cell r="AT368">
            <v>0</v>
          </cell>
          <cell r="AU368">
            <v>0</v>
          </cell>
          <cell r="AV368">
            <v>0</v>
          </cell>
          <cell r="AW368">
            <v>27862</v>
          </cell>
          <cell r="AX368">
            <v>33733</v>
          </cell>
          <cell r="AY368">
            <v>33733</v>
          </cell>
          <cell r="AZ368">
            <v>378.02879999999999</v>
          </cell>
          <cell r="BA368">
            <v>206.00800000000001</v>
          </cell>
        </row>
        <row r="369">
          <cell r="F369">
            <v>121000000043</v>
          </cell>
          <cell r="G369" t="str">
            <v>M/S P.N AGRO UDYOG</v>
          </cell>
          <cell r="H369" t="str">
            <v>C/O- SEKHAR KUMAR MOHAPATRA</v>
          </cell>
          <cell r="I369" t="str">
            <v>10/31/2020 00:00:00</v>
          </cell>
          <cell r="J369">
            <v>1</v>
          </cell>
          <cell r="K369" t="str">
            <v xml:space="preserve"> </v>
          </cell>
          <cell r="L369" t="str">
            <v xml:space="preserve"> </v>
          </cell>
          <cell r="M369" t="str">
            <v>421000010231492540</v>
          </cell>
          <cell r="N369" t="str">
            <v>1210000042</v>
          </cell>
          <cell r="O369" t="str">
            <v>BZ-111679</v>
          </cell>
          <cell r="P369" t="str">
            <v>442141303</v>
          </cell>
          <cell r="Q369" t="str">
            <v>LARGE INDUSTRY</v>
          </cell>
          <cell r="R369" t="str">
            <v>HT</v>
          </cell>
          <cell r="S369" t="str">
            <v>01/10/2023</v>
          </cell>
          <cell r="T369" t="str">
            <v>01/10/2023</v>
          </cell>
          <cell r="U369" t="str">
            <v>06/10/2023</v>
          </cell>
          <cell r="V369" t="str">
            <v>09/10/2023</v>
          </cell>
          <cell r="W369" t="str">
            <v>2023/09</v>
          </cell>
          <cell r="X369" t="str">
            <v>11 KV</v>
          </cell>
          <cell r="Y369" t="str">
            <v>HT</v>
          </cell>
          <cell r="Z369">
            <v>386.88</v>
          </cell>
          <cell r="AA369">
            <v>0.99629999999999996</v>
          </cell>
          <cell r="AB369">
            <v>52.44</v>
          </cell>
          <cell r="AC369" t="str">
            <v xml:space="preserve">01/09/2023 -     </v>
          </cell>
          <cell r="AD369" t="str">
            <v>30.09.2023</v>
          </cell>
          <cell r="AE369" t="str">
            <v>30/1.0000</v>
          </cell>
          <cell r="AF369">
            <v>351</v>
          </cell>
          <cell r="AG369" t="str">
            <v>KVA</v>
          </cell>
          <cell r="AH369">
            <v>351</v>
          </cell>
          <cell r="AI369" t="str">
            <v>R</v>
          </cell>
          <cell r="AJ369">
            <v>1436659</v>
          </cell>
          <cell r="AK369" t="str">
            <v>30/09/2023</v>
          </cell>
          <cell r="AL369" t="str">
            <v>TPN64205</v>
          </cell>
          <cell r="AM369" t="str">
            <v>HT THREE PHASE 4 WIRE AMR/AMI COMPLAINT METER</v>
          </cell>
          <cell r="AN369" t="str">
            <v>POST PAID</v>
          </cell>
          <cell r="AO369">
            <v>500</v>
          </cell>
          <cell r="AP369" t="str">
            <v>TOD</v>
          </cell>
          <cell r="AQ369">
            <v>-279103.8</v>
          </cell>
          <cell r="AR369">
            <v>0</v>
          </cell>
          <cell r="AS369">
            <v>0</v>
          </cell>
          <cell r="AT369">
            <v>0</v>
          </cell>
          <cell r="AU369">
            <v>0</v>
          </cell>
          <cell r="AV369">
            <v>0</v>
          </cell>
          <cell r="AW369">
            <v>145530</v>
          </cell>
          <cell r="AX369">
            <v>146061</v>
          </cell>
          <cell r="AY369">
            <v>146061</v>
          </cell>
          <cell r="AZ369">
            <v>2678.88</v>
          </cell>
          <cell r="BA369">
            <v>386.88</v>
          </cell>
        </row>
        <row r="370">
          <cell r="F370">
            <v>121000000044</v>
          </cell>
          <cell r="G370" t="str">
            <v>M/S SYMBOL FOODS (P) LTD.</v>
          </cell>
          <cell r="H370" t="str">
            <v>C/O- RAJENDRA KU. NAYAK</v>
          </cell>
          <cell r="I370" t="str">
            <v>10/31/2020 00:00:00</v>
          </cell>
          <cell r="J370">
            <v>1</v>
          </cell>
          <cell r="K370" t="str">
            <v xml:space="preserve"> </v>
          </cell>
          <cell r="L370" t="str">
            <v xml:space="preserve"> </v>
          </cell>
          <cell r="M370" t="str">
            <v>421000010231493461</v>
          </cell>
          <cell r="N370" t="str">
            <v>1210000043</v>
          </cell>
          <cell r="O370" t="str">
            <v>B3-115700</v>
          </cell>
          <cell r="P370" t="str">
            <v>43207406002</v>
          </cell>
          <cell r="Q370" t="str">
            <v>LARGE INDUSTRY</v>
          </cell>
          <cell r="R370" t="str">
            <v>HT</v>
          </cell>
          <cell r="S370" t="str">
            <v>01/10/2023</v>
          </cell>
          <cell r="T370" t="str">
            <v>01/10/2023</v>
          </cell>
          <cell r="U370" t="str">
            <v>06/10/2023</v>
          </cell>
          <cell r="V370" t="str">
            <v>09/10/2023</v>
          </cell>
          <cell r="W370" t="str">
            <v>2023/09</v>
          </cell>
          <cell r="X370" t="str">
            <v>33 KV</v>
          </cell>
          <cell r="Y370" t="str">
            <v>HT</v>
          </cell>
          <cell r="Z370">
            <v>448</v>
          </cell>
          <cell r="AA370">
            <v>0.99980000000000002</v>
          </cell>
          <cell r="AB370">
            <v>56.34</v>
          </cell>
          <cell r="AC370" t="str">
            <v xml:space="preserve">01/09/2023 -     </v>
          </cell>
          <cell r="AD370" t="str">
            <v>30.09.2023</v>
          </cell>
          <cell r="AE370" t="str">
            <v>30/1.0000</v>
          </cell>
          <cell r="AF370">
            <v>560</v>
          </cell>
          <cell r="AG370" t="str">
            <v>KVA</v>
          </cell>
          <cell r="AH370">
            <v>560</v>
          </cell>
          <cell r="AI370" t="str">
            <v>R</v>
          </cell>
          <cell r="AJ370">
            <v>2713357</v>
          </cell>
          <cell r="AK370" t="str">
            <v>30/09/2023</v>
          </cell>
          <cell r="AL370" t="str">
            <v>NES50370</v>
          </cell>
          <cell r="AM370" t="str">
            <v>THREE PHASE HT CT METER-33KV</v>
          </cell>
          <cell r="AN370" t="str">
            <v>POST PAID</v>
          </cell>
          <cell r="AO370">
            <v>630</v>
          </cell>
          <cell r="AP370" t="str">
            <v>TOD</v>
          </cell>
          <cell r="AQ370">
            <v>-1661244.86</v>
          </cell>
          <cell r="AR370">
            <v>0</v>
          </cell>
          <cell r="AS370">
            <v>0</v>
          </cell>
          <cell r="AT370">
            <v>0</v>
          </cell>
          <cell r="AU370">
            <v>0</v>
          </cell>
          <cell r="AV370">
            <v>0</v>
          </cell>
          <cell r="AW370">
            <v>91893</v>
          </cell>
          <cell r="AX370">
            <v>91911</v>
          </cell>
          <cell r="AY370">
            <v>91911</v>
          </cell>
          <cell r="AZ370">
            <v>1626</v>
          </cell>
          <cell r="BA370">
            <v>226.56</v>
          </cell>
        </row>
        <row r="371">
          <cell r="F371">
            <v>121000000045</v>
          </cell>
          <cell r="G371" t="str">
            <v>REGIONAL RESEARCH INSTITUTE</v>
          </cell>
          <cell r="H371" t="str">
            <v>OF UNANI MEDICINE NEW HOSPITAL BUILDING OF RRIUM CHANDBALI BY-PASS ROAD</v>
          </cell>
          <cell r="I371" t="str">
            <v>10/31/2020 00:00:00</v>
          </cell>
          <cell r="J371">
            <v>1</v>
          </cell>
          <cell r="K371" t="str">
            <v xml:space="preserve"> </v>
          </cell>
          <cell r="L371" t="str">
            <v xml:space="preserve"> </v>
          </cell>
          <cell r="M371" t="str">
            <v>421000010231492690</v>
          </cell>
          <cell r="N371" t="str">
            <v>1210000044</v>
          </cell>
          <cell r="O371" t="str">
            <v>BXD-117197</v>
          </cell>
          <cell r="P371" t="str">
            <v>442111104</v>
          </cell>
          <cell r="Q371" t="str">
            <v>SPECIFIED PUBLIC PURPOSE</v>
          </cell>
          <cell r="R371" t="str">
            <v>HT</v>
          </cell>
          <cell r="S371" t="str">
            <v>01/10/2023</v>
          </cell>
          <cell r="T371" t="str">
            <v>01/10/2023</v>
          </cell>
          <cell r="U371" t="str">
            <v>06/10/2023</v>
          </cell>
          <cell r="V371" t="str">
            <v>09/10/2023</v>
          </cell>
          <cell r="W371" t="str">
            <v>2023/09</v>
          </cell>
          <cell r="X371" t="str">
            <v>11 KV</v>
          </cell>
          <cell r="Y371" t="str">
            <v>HT</v>
          </cell>
          <cell r="Z371">
            <v>119.2</v>
          </cell>
          <cell r="AA371">
            <v>0.99009999999999998</v>
          </cell>
          <cell r="AB371">
            <v>27.94</v>
          </cell>
          <cell r="AC371" t="str">
            <v xml:space="preserve">01/09/2023 -     </v>
          </cell>
          <cell r="AD371" t="str">
            <v>30.09.2023</v>
          </cell>
          <cell r="AE371" t="str">
            <v>30/1.0000</v>
          </cell>
          <cell r="AF371">
            <v>149</v>
          </cell>
          <cell r="AG371" t="str">
            <v>KVA</v>
          </cell>
          <cell r="AH371">
            <v>149</v>
          </cell>
          <cell r="AI371" t="str">
            <v>R</v>
          </cell>
          <cell r="AJ371">
            <v>352153</v>
          </cell>
          <cell r="AK371" t="str">
            <v>30/09/2023</v>
          </cell>
          <cell r="AL371" t="str">
            <v>TPN64219</v>
          </cell>
          <cell r="AM371" t="str">
            <v>HT THREE PHASE 4 WIRE AMR/AMI COMPLAINT METER</v>
          </cell>
          <cell r="AN371" t="str">
            <v>POST PAID</v>
          </cell>
          <cell r="AO371">
            <v>250</v>
          </cell>
          <cell r="AP371" t="str">
            <v>TOD</v>
          </cell>
          <cell r="AQ371">
            <v>-234989</v>
          </cell>
          <cell r="AR371">
            <v>0</v>
          </cell>
          <cell r="AS371">
            <v>0</v>
          </cell>
          <cell r="AT371">
            <v>0</v>
          </cell>
          <cell r="AU371">
            <v>0</v>
          </cell>
          <cell r="AV371">
            <v>0</v>
          </cell>
          <cell r="AW371">
            <v>7266</v>
          </cell>
          <cell r="AX371">
            <v>7338</v>
          </cell>
          <cell r="AY371">
            <v>7338</v>
          </cell>
          <cell r="AZ371">
            <v>265.92</v>
          </cell>
          <cell r="BA371">
            <v>36.479999999999997</v>
          </cell>
        </row>
        <row r="372">
          <cell r="F372">
            <v>121000000046</v>
          </cell>
          <cell r="G372" t="str">
            <v>M/S GOLDEN ANCHOR (P) LTD.</v>
          </cell>
          <cell r="H372" t="str">
            <v>DHAMARA,BHADRAK</v>
          </cell>
          <cell r="I372" t="str">
            <v>10/31/2020 00:00:00</v>
          </cell>
          <cell r="J372">
            <v>1</v>
          </cell>
          <cell r="K372" t="str">
            <v xml:space="preserve"> </v>
          </cell>
          <cell r="L372" t="str">
            <v xml:space="preserve"> </v>
          </cell>
          <cell r="M372" t="str">
            <v>421000010231493238</v>
          </cell>
          <cell r="N372" t="str">
            <v>1210000045</v>
          </cell>
          <cell r="O372" t="str">
            <v>DBD-117249</v>
          </cell>
          <cell r="P372" t="str">
            <v>43207406002</v>
          </cell>
          <cell r="Q372" t="str">
            <v>GENERAL PURPOSE &gt;= 110 KVA</v>
          </cell>
          <cell r="R372" t="str">
            <v>HT</v>
          </cell>
          <cell r="S372" t="str">
            <v>01/10/2023</v>
          </cell>
          <cell r="T372" t="str">
            <v>01/10/2023</v>
          </cell>
          <cell r="U372" t="str">
            <v>06/10/2023</v>
          </cell>
          <cell r="V372" t="str">
            <v>09/10/2023</v>
          </cell>
          <cell r="W372" t="str">
            <v>2023/09</v>
          </cell>
          <cell r="X372" t="str">
            <v>11 KV</v>
          </cell>
          <cell r="Y372" t="str">
            <v>HT</v>
          </cell>
          <cell r="Z372">
            <v>236</v>
          </cell>
          <cell r="AA372">
            <v>0.97560000000000002</v>
          </cell>
          <cell r="AB372">
            <v>44.78</v>
          </cell>
          <cell r="AC372" t="str">
            <v xml:space="preserve">01/09/2023 -     </v>
          </cell>
          <cell r="AD372" t="str">
            <v>30.09.2023</v>
          </cell>
          <cell r="AE372" t="str">
            <v>30/1.0000</v>
          </cell>
          <cell r="AF372">
            <v>295</v>
          </cell>
          <cell r="AG372" t="str">
            <v>KVA</v>
          </cell>
          <cell r="AH372">
            <v>295</v>
          </cell>
          <cell r="AI372" t="str">
            <v>R</v>
          </cell>
          <cell r="AJ372">
            <v>1429358</v>
          </cell>
          <cell r="AK372" t="str">
            <v>30/09/2023</v>
          </cell>
          <cell r="AL372" t="str">
            <v>NES50105</v>
          </cell>
          <cell r="AM372" t="str">
            <v>THREE PHASE STATIC TRI-VECTOR METER-TOD</v>
          </cell>
          <cell r="AN372" t="str">
            <v>POST PAID</v>
          </cell>
          <cell r="AO372">
            <v>315</v>
          </cell>
          <cell r="AP372" t="str">
            <v>TOD</v>
          </cell>
          <cell r="AQ372">
            <v>-1127317</v>
          </cell>
          <cell r="AR372">
            <v>0</v>
          </cell>
          <cell r="AS372">
            <v>0</v>
          </cell>
          <cell r="AT372">
            <v>0</v>
          </cell>
          <cell r="AU372">
            <v>0</v>
          </cell>
          <cell r="AV372">
            <v>0</v>
          </cell>
          <cell r="AW372">
            <v>17214</v>
          </cell>
          <cell r="AX372">
            <v>17643</v>
          </cell>
          <cell r="AY372">
            <v>17643</v>
          </cell>
          <cell r="AZ372">
            <v>475.2</v>
          </cell>
          <cell r="BA372">
            <v>54.72</v>
          </cell>
        </row>
        <row r="373">
          <cell r="F373">
            <v>121000000047</v>
          </cell>
          <cell r="G373" t="str">
            <v>M/S MAA DHAMURAI ICE PLANT</v>
          </cell>
          <cell r="H373" t="str">
            <v>C/O- SRI AMULYA KUMAR MANDAL</v>
          </cell>
          <cell r="I373" t="str">
            <v>10/31/2020 00:00:00</v>
          </cell>
          <cell r="J373">
            <v>1</v>
          </cell>
          <cell r="K373" t="str">
            <v xml:space="preserve"> </v>
          </cell>
          <cell r="L373" t="str">
            <v xml:space="preserve"> </v>
          </cell>
          <cell r="M373" t="str">
            <v>421000010231493315</v>
          </cell>
          <cell r="N373" t="str">
            <v>1210000046</v>
          </cell>
          <cell r="O373" t="str">
            <v>DBD-117252</v>
          </cell>
          <cell r="P373" t="str">
            <v>442151203</v>
          </cell>
          <cell r="Q373" t="str">
            <v>LARGE INDUSTRY</v>
          </cell>
          <cell r="R373" t="str">
            <v>HT</v>
          </cell>
          <cell r="S373" t="str">
            <v>01/10/2023</v>
          </cell>
          <cell r="T373" t="str">
            <v>01/10/2023</v>
          </cell>
          <cell r="U373" t="str">
            <v>06/10/2023</v>
          </cell>
          <cell r="V373" t="str">
            <v>09/10/2023</v>
          </cell>
          <cell r="W373" t="str">
            <v>2023/09</v>
          </cell>
          <cell r="X373" t="str">
            <v>11 KV</v>
          </cell>
          <cell r="Y373" t="str">
            <v>HT</v>
          </cell>
          <cell r="Z373">
            <v>200.4</v>
          </cell>
          <cell r="AA373">
            <v>0.97160000000000002</v>
          </cell>
          <cell r="AB373">
            <v>22.52</v>
          </cell>
          <cell r="AC373" t="str">
            <v xml:space="preserve">01/09/2023 -     </v>
          </cell>
          <cell r="AD373" t="str">
            <v>30.09.2023</v>
          </cell>
          <cell r="AE373" t="str">
            <v>30/1.0000</v>
          </cell>
          <cell r="AF373">
            <v>189</v>
          </cell>
          <cell r="AG373" t="str">
            <v>KVA</v>
          </cell>
          <cell r="AH373">
            <v>189</v>
          </cell>
          <cell r="AI373" t="str">
            <v>R</v>
          </cell>
          <cell r="AJ373">
            <v>915753</v>
          </cell>
          <cell r="AK373" t="str">
            <v>30/09/2023</v>
          </cell>
          <cell r="AL373" t="str">
            <v>NES50365</v>
          </cell>
          <cell r="AM373" t="str">
            <v>TRI-VECTOR METER FOR RAILWAY TRACTION</v>
          </cell>
          <cell r="AN373" t="str">
            <v>POST PAID</v>
          </cell>
          <cell r="AO373">
            <v>315</v>
          </cell>
          <cell r="AP373" t="str">
            <v>TOD</v>
          </cell>
          <cell r="AQ373">
            <v>-324130.03999999998</v>
          </cell>
          <cell r="AR373">
            <v>0</v>
          </cell>
          <cell r="AS373">
            <v>0</v>
          </cell>
          <cell r="AT373">
            <v>0</v>
          </cell>
          <cell r="AU373">
            <v>0</v>
          </cell>
          <cell r="AV373">
            <v>0</v>
          </cell>
          <cell r="AW373">
            <v>31572</v>
          </cell>
          <cell r="AX373">
            <v>32493</v>
          </cell>
          <cell r="AY373">
            <v>32493</v>
          </cell>
          <cell r="AZ373">
            <v>1284.8</v>
          </cell>
          <cell r="BA373">
            <v>200.4</v>
          </cell>
        </row>
        <row r="374">
          <cell r="F374">
            <v>121000000049</v>
          </cell>
          <cell r="G374" t="str">
            <v>UTKAL AQUA PVT. LTD.</v>
          </cell>
          <cell r="H374" t="str">
            <v>KISMAT KRISHNAPUR,</v>
          </cell>
          <cell r="I374" t="str">
            <v>10/31/2020 00:00:00</v>
          </cell>
          <cell r="J374">
            <v>1</v>
          </cell>
          <cell r="K374" t="str">
            <v xml:space="preserve"> </v>
          </cell>
          <cell r="L374" t="str">
            <v xml:space="preserve"> </v>
          </cell>
          <cell r="M374" t="str">
            <v>421000010231493563</v>
          </cell>
          <cell r="N374" t="str">
            <v>1210000048</v>
          </cell>
          <cell r="O374" t="str">
            <v>TB3-86261</v>
          </cell>
          <cell r="P374" t="str">
            <v>442132102</v>
          </cell>
          <cell r="Q374" t="str">
            <v>ALLIED AGRICULTURE ACTIVITIES</v>
          </cell>
          <cell r="R374" t="str">
            <v>HT</v>
          </cell>
          <cell r="S374" t="str">
            <v>01/10/2023</v>
          </cell>
          <cell r="T374" t="str">
            <v>01/10/2023</v>
          </cell>
          <cell r="U374" t="str">
            <v>09/10/2023</v>
          </cell>
          <cell r="V374" t="str">
            <v>09/10/2023</v>
          </cell>
          <cell r="W374" t="str">
            <v>2023/09</v>
          </cell>
          <cell r="X374" t="str">
            <v>11 KV</v>
          </cell>
          <cell r="Y374" t="str">
            <v>HT</v>
          </cell>
          <cell r="Z374">
            <v>576</v>
          </cell>
          <cell r="AA374">
            <v>1</v>
          </cell>
          <cell r="AB374">
            <v>0</v>
          </cell>
          <cell r="AC374" t="str">
            <v xml:space="preserve">01/09/2023 -     </v>
          </cell>
          <cell r="AD374" t="str">
            <v>30.09.2023</v>
          </cell>
          <cell r="AE374" t="str">
            <v>30/1.0000</v>
          </cell>
          <cell r="AF374">
            <v>576</v>
          </cell>
          <cell r="AG374" t="str">
            <v>KVA</v>
          </cell>
          <cell r="AH374">
            <v>576</v>
          </cell>
          <cell r="AI374" t="str">
            <v>R</v>
          </cell>
          <cell r="AJ374">
            <v>280741</v>
          </cell>
          <cell r="AK374" t="str">
            <v>30/09/2023</v>
          </cell>
          <cell r="AL374" t="str">
            <v>NSC94597</v>
          </cell>
          <cell r="AM374" t="str">
            <v>HT THREE PHASE 4 WIRE AMR/AMI COMPLAINT METER</v>
          </cell>
          <cell r="AN374" t="str">
            <v>POST PAID</v>
          </cell>
          <cell r="AO374">
            <v>500</v>
          </cell>
          <cell r="AP374" t="str">
            <v>TOD</v>
          </cell>
          <cell r="AQ374">
            <v>-185182</v>
          </cell>
          <cell r="AR374">
            <v>0</v>
          </cell>
          <cell r="AS374">
            <v>0</v>
          </cell>
          <cell r="AT374">
            <v>0</v>
          </cell>
          <cell r="AU374">
            <v>0</v>
          </cell>
          <cell r="AV374">
            <v>0</v>
          </cell>
          <cell r="AW374">
            <v>1190</v>
          </cell>
          <cell r="AX374">
            <v>1190</v>
          </cell>
          <cell r="AY374">
            <v>1190</v>
          </cell>
          <cell r="AZ374">
            <v>355.2</v>
          </cell>
          <cell r="BA374">
            <v>6</v>
          </cell>
        </row>
        <row r="375">
          <cell r="F375">
            <v>121000000050</v>
          </cell>
          <cell r="G375" t="str">
            <v xml:space="preserve"> AYUSH INFRASTRUCTURE PVT LTD</v>
          </cell>
          <cell r="H375" t="str">
            <v>AT- DAHANIGADIA</v>
          </cell>
          <cell r="I375" t="str">
            <v>10/31/2020 00:00:00</v>
          </cell>
          <cell r="J375">
            <v>1</v>
          </cell>
          <cell r="K375" t="str">
            <v>CHHAPULIA</v>
          </cell>
          <cell r="L375" t="str">
            <v>BYPASS ROAD</v>
          </cell>
          <cell r="M375" t="str">
            <v>421000010231492787</v>
          </cell>
          <cell r="N375" t="str">
            <v>1210000049</v>
          </cell>
          <cell r="O375" t="str">
            <v>BCD-117393</v>
          </cell>
          <cell r="P375" t="str">
            <v>442112102</v>
          </cell>
          <cell r="Q375" t="str">
            <v>GENERAL PURPOSE &gt;= 110 KVA</v>
          </cell>
          <cell r="R375" t="str">
            <v>HT</v>
          </cell>
          <cell r="S375" t="str">
            <v>01/10/2023</v>
          </cell>
          <cell r="T375" t="str">
            <v>01/10/2023</v>
          </cell>
          <cell r="U375" t="str">
            <v>06/10/2023</v>
          </cell>
          <cell r="V375" t="str">
            <v>09/10/2023</v>
          </cell>
          <cell r="W375" t="str">
            <v>2023/09</v>
          </cell>
          <cell r="X375" t="str">
            <v>11 KV</v>
          </cell>
          <cell r="Y375" t="str">
            <v>HT</v>
          </cell>
          <cell r="Z375">
            <v>107.2</v>
          </cell>
          <cell r="AA375">
            <v>0.9768</v>
          </cell>
          <cell r="AB375">
            <v>37.119999999999997</v>
          </cell>
          <cell r="AC375" t="str">
            <v xml:space="preserve">01/09/2023 -     </v>
          </cell>
          <cell r="AD375" t="str">
            <v>30.09.2023</v>
          </cell>
          <cell r="AE375" t="str">
            <v>30/1.0000</v>
          </cell>
          <cell r="AF375">
            <v>134</v>
          </cell>
          <cell r="AG375" t="str">
            <v>KVA</v>
          </cell>
          <cell r="AH375">
            <v>134</v>
          </cell>
          <cell r="AI375" t="str">
            <v>R</v>
          </cell>
          <cell r="AJ375">
            <v>332331</v>
          </cell>
          <cell r="AK375" t="str">
            <v>30/09/2023</v>
          </cell>
          <cell r="AL375" t="str">
            <v>TPCANES52027</v>
          </cell>
          <cell r="AM375" t="str">
            <v>LT SINGLE PHASE AMR/AMI COMPLIANT METER-TOD</v>
          </cell>
          <cell r="AN375" t="str">
            <v>POST PAID</v>
          </cell>
          <cell r="AO375">
            <v>315</v>
          </cell>
          <cell r="AP375" t="str">
            <v>TOD</v>
          </cell>
          <cell r="AQ375">
            <v>-155682.1</v>
          </cell>
          <cell r="AR375">
            <v>0</v>
          </cell>
          <cell r="AS375">
            <v>0</v>
          </cell>
          <cell r="AT375">
            <v>0</v>
          </cell>
          <cell r="AU375">
            <v>0</v>
          </cell>
          <cell r="AV375">
            <v>0</v>
          </cell>
          <cell r="AW375">
            <v>17631</v>
          </cell>
          <cell r="AX375">
            <v>18048</v>
          </cell>
          <cell r="AY375">
            <v>18048</v>
          </cell>
          <cell r="AZ375">
            <v>545.79999999999995</v>
          </cell>
          <cell r="BA375">
            <v>67.52</v>
          </cell>
        </row>
        <row r="376">
          <cell r="F376">
            <v>121000000051</v>
          </cell>
          <cell r="G376" t="str">
            <v>M/S GANAPATI PARABOILLING IND P LTD</v>
          </cell>
          <cell r="H376" t="str">
            <v>CHARAMPA,BHADRAK</v>
          </cell>
          <cell r="I376" t="str">
            <v>10/31/2020 00:00:00</v>
          </cell>
          <cell r="J376">
            <v>1</v>
          </cell>
          <cell r="K376" t="str">
            <v xml:space="preserve"> </v>
          </cell>
          <cell r="L376" t="str">
            <v xml:space="preserve"> </v>
          </cell>
          <cell r="M376" t="str">
            <v>421000010231492867</v>
          </cell>
          <cell r="N376" t="str">
            <v>1210000050</v>
          </cell>
          <cell r="O376" t="str">
            <v>BC-113282</v>
          </cell>
          <cell r="P376" t="str">
            <v>442111106</v>
          </cell>
          <cell r="Q376" t="str">
            <v>LARGE INDUSTRY</v>
          </cell>
          <cell r="R376" t="str">
            <v>HT</v>
          </cell>
          <cell r="S376" t="str">
            <v>01/10/2023</v>
          </cell>
          <cell r="T376" t="str">
            <v>01/10/2023</v>
          </cell>
          <cell r="U376" t="str">
            <v>06/10/2023</v>
          </cell>
          <cell r="V376" t="str">
            <v>09/10/2023</v>
          </cell>
          <cell r="W376" t="str">
            <v>2023/09</v>
          </cell>
          <cell r="X376" t="str">
            <v>11 KV</v>
          </cell>
          <cell r="Y376" t="str">
            <v>HT</v>
          </cell>
          <cell r="Z376">
            <v>257.27999999999997</v>
          </cell>
          <cell r="AA376">
            <v>0.96399999999999997</v>
          </cell>
          <cell r="AB376">
            <v>45.76</v>
          </cell>
          <cell r="AC376" t="str">
            <v xml:space="preserve">30/08/2023 -     </v>
          </cell>
          <cell r="AD376" t="str">
            <v>30.09.2023</v>
          </cell>
          <cell r="AE376" t="str">
            <v>32/1.0000</v>
          </cell>
          <cell r="AF376">
            <v>300</v>
          </cell>
          <cell r="AG376" t="str">
            <v>KVA</v>
          </cell>
          <cell r="AH376">
            <v>300</v>
          </cell>
          <cell r="AI376" t="str">
            <v>R</v>
          </cell>
          <cell r="AJ376">
            <v>1508016</v>
          </cell>
          <cell r="AK376" t="str">
            <v>30/09/2023</v>
          </cell>
          <cell r="AL376" t="str">
            <v>NSC95129</v>
          </cell>
          <cell r="AM376" t="str">
            <v>TRI-VECTOR METER FOR RAILWAY TRACTION</v>
          </cell>
          <cell r="AN376" t="str">
            <v>POST PAID</v>
          </cell>
          <cell r="AO376">
            <v>500</v>
          </cell>
          <cell r="AP376" t="str">
            <v>TOD</v>
          </cell>
          <cell r="AQ376">
            <v>-963643.8</v>
          </cell>
          <cell r="AR376">
            <v>0</v>
          </cell>
          <cell r="AS376">
            <v>0</v>
          </cell>
          <cell r="AT376">
            <v>0</v>
          </cell>
          <cell r="AU376">
            <v>0</v>
          </cell>
          <cell r="AV376">
            <v>0</v>
          </cell>
          <cell r="AW376">
            <v>87165</v>
          </cell>
          <cell r="AX376">
            <v>90417</v>
          </cell>
          <cell r="AY376">
            <v>90417</v>
          </cell>
          <cell r="AZ376">
            <v>1728.48</v>
          </cell>
          <cell r="BA376">
            <v>257.28000000000003</v>
          </cell>
        </row>
        <row r="377">
          <cell r="F377">
            <v>121000000053</v>
          </cell>
          <cell r="G377" t="str">
            <v>M/S MAA DURGA RICE MILL</v>
          </cell>
          <cell r="H377" t="str">
            <v>RADHAKANTA PUR,MANDARI</v>
          </cell>
          <cell r="I377" t="str">
            <v>10/31/2020 00:00:00</v>
          </cell>
          <cell r="J377">
            <v>1</v>
          </cell>
          <cell r="K377" t="str">
            <v xml:space="preserve"> </v>
          </cell>
          <cell r="L377" t="str">
            <v xml:space="preserve"> </v>
          </cell>
          <cell r="M377" t="str">
            <v>421000010231493644</v>
          </cell>
          <cell r="N377" t="str">
            <v>1210000052</v>
          </cell>
          <cell r="O377" t="str">
            <v>DBD-117430</v>
          </cell>
          <cell r="P377" t="str">
            <v>43207406002</v>
          </cell>
          <cell r="Q377" t="str">
            <v>LARGE INDUSTRY</v>
          </cell>
          <cell r="R377" t="str">
            <v>HT</v>
          </cell>
          <cell r="S377" t="str">
            <v>01/10/2023</v>
          </cell>
          <cell r="T377" t="str">
            <v>01/10/2023</v>
          </cell>
          <cell r="U377" t="str">
            <v>06/10/2023</v>
          </cell>
          <cell r="V377" t="str">
            <v>09/10/2023</v>
          </cell>
          <cell r="W377" t="str">
            <v>2023/09</v>
          </cell>
          <cell r="X377" t="str">
            <v>33 KV</v>
          </cell>
          <cell r="Y377" t="str">
            <v>HT</v>
          </cell>
          <cell r="Z377">
            <v>487.68</v>
          </cell>
          <cell r="AA377">
            <v>0.94279999999999997</v>
          </cell>
          <cell r="AB377">
            <v>49.44</v>
          </cell>
          <cell r="AC377" t="str">
            <v xml:space="preserve">01/09/2023 -     </v>
          </cell>
          <cell r="AD377" t="str">
            <v>30.09.2023</v>
          </cell>
          <cell r="AE377" t="str">
            <v>30/1.0000</v>
          </cell>
          <cell r="AF377">
            <v>556</v>
          </cell>
          <cell r="AG377" t="str">
            <v>KVA</v>
          </cell>
          <cell r="AH377">
            <v>556</v>
          </cell>
          <cell r="AI377" t="str">
            <v>R</v>
          </cell>
          <cell r="AJ377">
            <v>2794857</v>
          </cell>
          <cell r="AK377" t="str">
            <v>30/09/2023</v>
          </cell>
          <cell r="AL377" t="str">
            <v>NES51070</v>
          </cell>
          <cell r="AM377" t="str">
            <v>THREE PHASE HT CT METER-33KV</v>
          </cell>
          <cell r="AN377" t="str">
            <v>POST PAID</v>
          </cell>
          <cell r="AO377">
            <v>750</v>
          </cell>
          <cell r="AP377" t="str">
            <v>TOD</v>
          </cell>
          <cell r="AQ377">
            <v>-805928.5</v>
          </cell>
          <cell r="AR377">
            <v>0</v>
          </cell>
          <cell r="AS377">
            <v>0</v>
          </cell>
          <cell r="AT377">
            <v>0</v>
          </cell>
          <cell r="AU377">
            <v>0</v>
          </cell>
          <cell r="AV377">
            <v>0</v>
          </cell>
          <cell r="AW377">
            <v>163698</v>
          </cell>
          <cell r="AX377">
            <v>173613</v>
          </cell>
          <cell r="AY377">
            <v>173613</v>
          </cell>
          <cell r="AZ377">
            <v>3408.96</v>
          </cell>
          <cell r="BA377">
            <v>487.68</v>
          </cell>
        </row>
        <row r="378">
          <cell r="F378">
            <v>121000000054</v>
          </cell>
          <cell r="G378" t="str">
            <v>SMT MANJULATA MANDAL</v>
          </cell>
          <cell r="H378" t="str">
            <v>W/O- MUKTIKANTA MANDAL</v>
          </cell>
          <cell r="I378" t="str">
            <v>10/31/2020 00:00:00</v>
          </cell>
          <cell r="J378">
            <v>1</v>
          </cell>
          <cell r="K378" t="str">
            <v xml:space="preserve"> </v>
          </cell>
          <cell r="L378" t="str">
            <v xml:space="preserve"> </v>
          </cell>
          <cell r="M378" t="str">
            <v>421000010231492773</v>
          </cell>
          <cell r="N378" t="str">
            <v>1210000053</v>
          </cell>
          <cell r="O378" t="str">
            <v>BXD-117429</v>
          </cell>
          <cell r="P378" t="str">
            <v>442112102</v>
          </cell>
          <cell r="Q378" t="str">
            <v>GENERAL PURPOSE &gt;= 110 KVA</v>
          </cell>
          <cell r="R378" t="str">
            <v>HT</v>
          </cell>
          <cell r="S378" t="str">
            <v>01/10/2023</v>
          </cell>
          <cell r="T378" t="str">
            <v>01/10/2023</v>
          </cell>
          <cell r="U378" t="str">
            <v>06/10/2023</v>
          </cell>
          <cell r="V378" t="str">
            <v>09/10/2023</v>
          </cell>
          <cell r="W378" t="str">
            <v>2023/09</v>
          </cell>
          <cell r="X378" t="str">
            <v>11 KV</v>
          </cell>
          <cell r="Y378" t="str">
            <v>HT</v>
          </cell>
          <cell r="Z378">
            <v>142.4</v>
          </cell>
          <cell r="AA378">
            <v>0.89119999999999999</v>
          </cell>
          <cell r="AB378">
            <v>21.41</v>
          </cell>
          <cell r="AC378" t="str">
            <v xml:space="preserve">01/09/2023 -     </v>
          </cell>
          <cell r="AD378" t="str">
            <v>30.09.2023</v>
          </cell>
          <cell r="AE378" t="str">
            <v>30/1.0000</v>
          </cell>
          <cell r="AF378">
            <v>178</v>
          </cell>
          <cell r="AG378" t="str">
            <v>KVA</v>
          </cell>
          <cell r="AH378">
            <v>178</v>
          </cell>
          <cell r="AI378" t="str">
            <v>R</v>
          </cell>
          <cell r="AJ378">
            <v>434534</v>
          </cell>
          <cell r="AK378" t="str">
            <v>30/09/2023</v>
          </cell>
          <cell r="AL378" t="str">
            <v>NES52322</v>
          </cell>
          <cell r="AM378" t="str">
            <v>TRI-VECTOR METER FOR RAILWAY TRACTION</v>
          </cell>
          <cell r="AN378" t="str">
            <v>POST PAID</v>
          </cell>
          <cell r="AO378">
            <v>250</v>
          </cell>
          <cell r="AP378" t="str">
            <v>TOD</v>
          </cell>
          <cell r="AQ378">
            <v>-243069.7</v>
          </cell>
          <cell r="AR378">
            <v>0</v>
          </cell>
          <cell r="AS378">
            <v>0</v>
          </cell>
          <cell r="AT378">
            <v>0</v>
          </cell>
          <cell r="AU378">
            <v>0</v>
          </cell>
          <cell r="AV378">
            <v>0</v>
          </cell>
          <cell r="AW378">
            <v>15285</v>
          </cell>
          <cell r="AX378">
            <v>17151</v>
          </cell>
          <cell r="AY378">
            <v>17151</v>
          </cell>
          <cell r="AZ378">
            <v>741.84</v>
          </cell>
          <cell r="BA378">
            <v>111.24000000000001</v>
          </cell>
        </row>
        <row r="379">
          <cell r="F379">
            <v>121000000055</v>
          </cell>
          <cell r="G379" t="str">
            <v>M/S RAYSONS AQUATIC PVT LTD.</v>
          </cell>
          <cell r="H379" t="str">
            <v>CHUDAMANI,BASUDEVPUR</v>
          </cell>
          <cell r="I379" t="str">
            <v>10/31/2020 00:00:00</v>
          </cell>
          <cell r="J379">
            <v>1</v>
          </cell>
          <cell r="K379" t="str">
            <v xml:space="preserve"> </v>
          </cell>
          <cell r="L379" t="str">
            <v xml:space="preserve"> </v>
          </cell>
          <cell r="M379" t="str">
            <v>421000010231494902</v>
          </cell>
          <cell r="N379" t="str">
            <v>1210000054</v>
          </cell>
          <cell r="O379" t="str">
            <v>TB-71931</v>
          </cell>
          <cell r="P379" t="str">
            <v>442133301</v>
          </cell>
          <cell r="Q379" t="str">
            <v>ALLIED AGRICULTURE ACTIVITIES</v>
          </cell>
          <cell r="R379" t="str">
            <v>HT</v>
          </cell>
          <cell r="S379" t="str">
            <v>01/10/2023</v>
          </cell>
          <cell r="T379" t="str">
            <v>01/10/2023</v>
          </cell>
          <cell r="U379" t="str">
            <v>09/10/2023</v>
          </cell>
          <cell r="V379" t="str">
            <v>09/10/2023</v>
          </cell>
          <cell r="W379" t="str">
            <v>2023/09</v>
          </cell>
          <cell r="X379" t="str">
            <v>11 KV</v>
          </cell>
          <cell r="Y379" t="str">
            <v>HT</v>
          </cell>
          <cell r="Z379">
            <v>125</v>
          </cell>
          <cell r="AA379">
            <v>0.82250000000000001</v>
          </cell>
          <cell r="AB379">
            <v>0</v>
          </cell>
          <cell r="AC379" t="str">
            <v xml:space="preserve">01/09/2023 -     </v>
          </cell>
          <cell r="AD379" t="str">
            <v>30.09.2023</v>
          </cell>
          <cell r="AE379" t="str">
            <v>30/1.0000</v>
          </cell>
          <cell r="AF379">
            <v>125</v>
          </cell>
          <cell r="AG379" t="str">
            <v>KVA</v>
          </cell>
          <cell r="AH379">
            <v>125</v>
          </cell>
          <cell r="AI379" t="str">
            <v>R</v>
          </cell>
          <cell r="AJ379">
            <v>60020.98</v>
          </cell>
          <cell r="AK379" t="str">
            <v>30/09/2023</v>
          </cell>
          <cell r="AL379" t="str">
            <v>NES51937</v>
          </cell>
          <cell r="AM379" t="str">
            <v>SINGLE PHASE ELECTRO-MAGNETIC KWH METER-TOD</v>
          </cell>
          <cell r="AN379" t="str">
            <v>POST PAID</v>
          </cell>
          <cell r="AO379">
            <v>250</v>
          </cell>
          <cell r="AP379" t="str">
            <v>TOD</v>
          </cell>
          <cell r="AQ379">
            <v>-10378.98</v>
          </cell>
          <cell r="AR379">
            <v>0</v>
          </cell>
          <cell r="AS379">
            <v>0</v>
          </cell>
          <cell r="AT379">
            <v>0</v>
          </cell>
          <cell r="AU379">
            <v>0</v>
          </cell>
          <cell r="AV379">
            <v>0</v>
          </cell>
          <cell r="AW379">
            <v>29215</v>
          </cell>
          <cell r="AX379">
            <v>35517</v>
          </cell>
          <cell r="AY379">
            <v>35517</v>
          </cell>
          <cell r="AZ379">
            <v>707.92</v>
          </cell>
          <cell r="BA379">
            <v>112.79999999999998</v>
          </cell>
        </row>
        <row r="380">
          <cell r="F380">
            <v>121000000056</v>
          </cell>
          <cell r="G380" t="str">
            <v>ALBATROSS AQUATIC FARM P. LTD.</v>
          </cell>
          <cell r="H380" t="str">
            <v>C/O- SUBASH CH. MOHANTY</v>
          </cell>
          <cell r="I380" t="str">
            <v>10/31/2020 00:00:00</v>
          </cell>
          <cell r="J380">
            <v>1</v>
          </cell>
          <cell r="K380" t="str">
            <v xml:space="preserve"> </v>
          </cell>
          <cell r="L380" t="str">
            <v xml:space="preserve"> </v>
          </cell>
          <cell r="M380" t="str">
            <v>421000010231493761</v>
          </cell>
          <cell r="N380" t="str">
            <v>1210000055</v>
          </cell>
          <cell r="O380" t="str">
            <v>DBD-117738</v>
          </cell>
          <cell r="P380" t="str">
            <v>442152101</v>
          </cell>
          <cell r="Q380" t="str">
            <v>ALLIED AGRICULTURE ACTIVITIES</v>
          </cell>
          <cell r="R380" t="str">
            <v>HT</v>
          </cell>
          <cell r="S380" t="str">
            <v>01/10/2023</v>
          </cell>
          <cell r="T380" t="str">
            <v>01/10/2023</v>
          </cell>
          <cell r="U380" t="str">
            <v>09/10/2023</v>
          </cell>
          <cell r="V380" t="str">
            <v>09/10/2023</v>
          </cell>
          <cell r="W380" t="str">
            <v>2023/09</v>
          </cell>
          <cell r="X380" t="str">
            <v>11 KV</v>
          </cell>
          <cell r="Y380" t="str">
            <v>HT</v>
          </cell>
          <cell r="Z380">
            <v>187</v>
          </cell>
          <cell r="AA380">
            <v>1</v>
          </cell>
          <cell r="AB380">
            <v>0</v>
          </cell>
          <cell r="AC380" t="str">
            <v xml:space="preserve">01/09/2023 -     </v>
          </cell>
          <cell r="AD380" t="str">
            <v>30.09.2023</v>
          </cell>
          <cell r="AE380" t="str">
            <v>30/1.0000</v>
          </cell>
          <cell r="AF380">
            <v>187</v>
          </cell>
          <cell r="AG380" t="str">
            <v>KVA</v>
          </cell>
          <cell r="AH380">
            <v>187</v>
          </cell>
          <cell r="AI380" t="str">
            <v>R</v>
          </cell>
          <cell r="AJ380">
            <v>51016</v>
          </cell>
          <cell r="AK380" t="str">
            <v>30/09/2023</v>
          </cell>
          <cell r="AL380" t="str">
            <v>NES50113</v>
          </cell>
          <cell r="AM380" t="str">
            <v>TRI-VECTOR METER FOR RAILWAY TRACTION</v>
          </cell>
          <cell r="AN380" t="str">
            <v>POST PAID</v>
          </cell>
          <cell r="AO380">
            <v>250</v>
          </cell>
          <cell r="AP380" t="str">
            <v>TOD</v>
          </cell>
          <cell r="AQ380">
            <v>1763</v>
          </cell>
          <cell r="AR380">
            <v>0</v>
          </cell>
          <cell r="AS380">
            <v>0</v>
          </cell>
          <cell r="AT380">
            <v>0</v>
          </cell>
          <cell r="AU380">
            <v>0</v>
          </cell>
          <cell r="AV380">
            <v>0</v>
          </cell>
          <cell r="AW380">
            <v>121</v>
          </cell>
          <cell r="AX380">
            <v>121</v>
          </cell>
          <cell r="AY380">
            <v>121</v>
          </cell>
          <cell r="AZ380">
            <v>111.48</v>
          </cell>
          <cell r="BA380">
            <v>1.32</v>
          </cell>
        </row>
        <row r="381">
          <cell r="F381">
            <v>121000000057</v>
          </cell>
          <cell r="G381" t="str">
            <v>MANAS RANJAN DAS</v>
          </cell>
          <cell r="H381" t="str">
            <v>NARASINGHPUR,DHAMARA</v>
          </cell>
          <cell r="I381" t="str">
            <v>10/31/2020 00:00:00</v>
          </cell>
          <cell r="J381">
            <v>1</v>
          </cell>
          <cell r="K381" t="str">
            <v xml:space="preserve"> </v>
          </cell>
          <cell r="L381" t="str">
            <v xml:space="preserve"> </v>
          </cell>
          <cell r="M381" t="str">
            <v>421000010231493420</v>
          </cell>
          <cell r="N381" t="str">
            <v>1210000056</v>
          </cell>
          <cell r="O381" t="str">
            <v>DDD-117737</v>
          </cell>
          <cell r="P381" t="str">
            <v>442152101</v>
          </cell>
          <cell r="Q381" t="str">
            <v>ALLIED AGRICULTURE ACTIVITIES</v>
          </cell>
          <cell r="R381" t="str">
            <v>HT</v>
          </cell>
          <cell r="S381" t="str">
            <v>01/10/2023</v>
          </cell>
          <cell r="T381" t="str">
            <v>01/10/2023</v>
          </cell>
          <cell r="U381" t="str">
            <v>09/10/2023</v>
          </cell>
          <cell r="V381" t="str">
            <v>09/10/2023</v>
          </cell>
          <cell r="W381" t="str">
            <v>2023/09</v>
          </cell>
          <cell r="X381" t="str">
            <v>11 KV</v>
          </cell>
          <cell r="Y381" t="str">
            <v>HT</v>
          </cell>
          <cell r="Z381">
            <v>250</v>
          </cell>
          <cell r="AA381">
            <v>0.3846</v>
          </cell>
          <cell r="AB381">
            <v>0</v>
          </cell>
          <cell r="AC381" t="str">
            <v xml:space="preserve">01/09/2023 -     </v>
          </cell>
          <cell r="AD381" t="str">
            <v>30.09.2023</v>
          </cell>
          <cell r="AE381" t="str">
            <v>30/1.0000</v>
          </cell>
          <cell r="AF381">
            <v>250</v>
          </cell>
          <cell r="AG381" t="str">
            <v>KVA</v>
          </cell>
          <cell r="AH381">
            <v>250</v>
          </cell>
          <cell r="AI381" t="str">
            <v>R</v>
          </cell>
          <cell r="AJ381">
            <v>160800</v>
          </cell>
          <cell r="AK381" t="str">
            <v>30/09/2023</v>
          </cell>
          <cell r="AL381" t="str">
            <v>NES50329</v>
          </cell>
          <cell r="AM381" t="str">
            <v>SINGLE PHASE ELECTRO-MAGNETIC KWH METER-TOD</v>
          </cell>
          <cell r="AN381" t="str">
            <v>POST PAID</v>
          </cell>
          <cell r="AO381">
            <v>350</v>
          </cell>
          <cell r="AP381" t="str">
            <v>TOD</v>
          </cell>
          <cell r="AQ381">
            <v>-135609</v>
          </cell>
          <cell r="AR381">
            <v>0</v>
          </cell>
          <cell r="AS381">
            <v>0</v>
          </cell>
          <cell r="AT381">
            <v>0</v>
          </cell>
          <cell r="AU381">
            <v>0</v>
          </cell>
          <cell r="AV381">
            <v>0</v>
          </cell>
          <cell r="AW381">
            <v>397</v>
          </cell>
          <cell r="AX381">
            <v>1032</v>
          </cell>
          <cell r="AY381">
            <v>1032</v>
          </cell>
          <cell r="AZ381">
            <v>35.200000000000003</v>
          </cell>
          <cell r="BA381">
            <v>3.4</v>
          </cell>
        </row>
        <row r="382">
          <cell r="F382">
            <v>121000000058</v>
          </cell>
          <cell r="G382" t="str">
            <v>SK. TAJUDDIN</v>
          </cell>
          <cell r="H382" t="str">
            <v>BYPASS BHADRAK,BHADRAK</v>
          </cell>
          <cell r="I382" t="str">
            <v>10/31/2020 00:00:00</v>
          </cell>
          <cell r="J382">
            <v>1</v>
          </cell>
          <cell r="K382" t="str">
            <v xml:space="preserve"> </v>
          </cell>
          <cell r="L382" t="str">
            <v xml:space="preserve"> </v>
          </cell>
          <cell r="M382" t="str">
            <v>421000010231492854</v>
          </cell>
          <cell r="N382" t="str">
            <v>1210000057</v>
          </cell>
          <cell r="O382" t="str">
            <v>BXD-117792</v>
          </cell>
          <cell r="P382" t="str">
            <v>442112102</v>
          </cell>
          <cell r="Q382" t="str">
            <v>GENERAL PURPOSE &gt;= 110 KVA</v>
          </cell>
          <cell r="R382" t="str">
            <v>HT</v>
          </cell>
          <cell r="S382" t="str">
            <v>01/10/2023</v>
          </cell>
          <cell r="T382" t="str">
            <v>01/10/2023</v>
          </cell>
          <cell r="U382" t="str">
            <v>06/10/2023</v>
          </cell>
          <cell r="V382" t="str">
            <v>09/10/2023</v>
          </cell>
          <cell r="W382" t="str">
            <v>2023/09</v>
          </cell>
          <cell r="X382" t="str">
            <v>11 KV</v>
          </cell>
          <cell r="Y382" t="str">
            <v>HT</v>
          </cell>
          <cell r="Z382">
            <v>133.6</v>
          </cell>
          <cell r="AA382">
            <v>0.9395</v>
          </cell>
          <cell r="AB382">
            <v>24.04</v>
          </cell>
          <cell r="AC382" t="str">
            <v xml:space="preserve">01/09/2023 -     </v>
          </cell>
          <cell r="AD382" t="str">
            <v>30.09.2023</v>
          </cell>
          <cell r="AE382" t="str">
            <v>30/1.0000</v>
          </cell>
          <cell r="AF382">
            <v>167</v>
          </cell>
          <cell r="AG382" t="str">
            <v>KVA</v>
          </cell>
          <cell r="AH382">
            <v>167</v>
          </cell>
          <cell r="AI382" t="str">
            <v>R</v>
          </cell>
          <cell r="AJ382">
            <v>414174</v>
          </cell>
          <cell r="AK382" t="str">
            <v>30/09/2023</v>
          </cell>
          <cell r="AL382" t="str">
            <v>NES50345</v>
          </cell>
          <cell r="AM382" t="str">
            <v>SINGLE PHASE ELECTRO-MAGNETIC KWH METER-TOD</v>
          </cell>
          <cell r="AN382" t="str">
            <v>POST PAID</v>
          </cell>
          <cell r="AO382">
            <v>250</v>
          </cell>
          <cell r="AP382" t="str">
            <v>TOD</v>
          </cell>
          <cell r="AQ382">
            <v>-199766.8</v>
          </cell>
          <cell r="AR382">
            <v>0</v>
          </cell>
          <cell r="AS382">
            <v>0</v>
          </cell>
          <cell r="AT382">
            <v>0</v>
          </cell>
          <cell r="AU382">
            <v>0</v>
          </cell>
          <cell r="AV382">
            <v>0</v>
          </cell>
          <cell r="AW382">
            <v>15869</v>
          </cell>
          <cell r="AX382">
            <v>16890</v>
          </cell>
          <cell r="AY382">
            <v>16890</v>
          </cell>
          <cell r="AZ382">
            <v>751.68</v>
          </cell>
          <cell r="BA382">
            <v>97.6</v>
          </cell>
        </row>
        <row r="383">
          <cell r="F383">
            <v>121000000059</v>
          </cell>
          <cell r="G383" t="str">
            <v>M/S JAGAT JYOTI RESORTS P. LTD.</v>
          </cell>
          <cell r="H383" t="str">
            <v>C/O- SUBHENDU BHUSAN BEHERA</v>
          </cell>
          <cell r="I383" t="str">
            <v>10/31/2020 00:00:00</v>
          </cell>
          <cell r="J383">
            <v>1</v>
          </cell>
          <cell r="K383" t="str">
            <v>MAIN ROAD</v>
          </cell>
          <cell r="L383" t="str">
            <v>NARASINGHPRASAD,DHAMARA-756171</v>
          </cell>
          <cell r="M383" t="str">
            <v>421000010231493499</v>
          </cell>
          <cell r="N383" t="str">
            <v>1210000058</v>
          </cell>
          <cell r="O383" t="str">
            <v>DDD-117847</v>
          </cell>
          <cell r="P383" t="str">
            <v>442151203</v>
          </cell>
          <cell r="Q383" t="str">
            <v>GENERAL PURPOSE &gt;= 110 KVA</v>
          </cell>
          <cell r="R383" t="str">
            <v>HT</v>
          </cell>
          <cell r="S383" t="str">
            <v>01/10/2023</v>
          </cell>
          <cell r="T383" t="str">
            <v>01/10/2023</v>
          </cell>
          <cell r="U383" t="str">
            <v>06/10/2023</v>
          </cell>
          <cell r="V383" t="str">
            <v>09/10/2023</v>
          </cell>
          <cell r="W383" t="str">
            <v>2023/09</v>
          </cell>
          <cell r="X383" t="str">
            <v>33 KV</v>
          </cell>
          <cell r="Y383" t="str">
            <v>HT</v>
          </cell>
          <cell r="Z383">
            <v>204.8</v>
          </cell>
          <cell r="AA383">
            <v>0.95679999999999998</v>
          </cell>
          <cell r="AB383">
            <v>59.83</v>
          </cell>
          <cell r="AC383" t="str">
            <v xml:space="preserve">01/09/2023 -     </v>
          </cell>
          <cell r="AD383" t="str">
            <v>30.09.2023</v>
          </cell>
          <cell r="AE383" t="str">
            <v>30/1.0000</v>
          </cell>
          <cell r="AF383">
            <v>256</v>
          </cell>
          <cell r="AG383" t="str">
            <v>KVA</v>
          </cell>
          <cell r="AH383">
            <v>256</v>
          </cell>
          <cell r="AI383" t="str">
            <v>R</v>
          </cell>
          <cell r="AJ383">
            <v>634901</v>
          </cell>
          <cell r="AK383" t="str">
            <v>30/09/2023</v>
          </cell>
          <cell r="AL383" t="str">
            <v>NES83011</v>
          </cell>
          <cell r="AM383" t="str">
            <v>THREE PHASE HT CT METER-33KV</v>
          </cell>
          <cell r="AN383" t="str">
            <v>POST PAID</v>
          </cell>
          <cell r="AO383">
            <v>500</v>
          </cell>
          <cell r="AP383" t="str">
            <v>TOD</v>
          </cell>
          <cell r="AQ383">
            <v>-264360.40000000002</v>
          </cell>
          <cell r="AR383">
            <v>0</v>
          </cell>
          <cell r="AS383">
            <v>0</v>
          </cell>
          <cell r="AT383">
            <v>0</v>
          </cell>
          <cell r="AU383">
            <v>0</v>
          </cell>
          <cell r="AV383">
            <v>0</v>
          </cell>
          <cell r="AW383">
            <v>30471</v>
          </cell>
          <cell r="AX383">
            <v>31845</v>
          </cell>
          <cell r="AY383">
            <v>31845</v>
          </cell>
          <cell r="AZ383">
            <v>645.12</v>
          </cell>
          <cell r="BA383">
            <v>73.92</v>
          </cell>
        </row>
        <row r="384">
          <cell r="F384">
            <v>121000000060</v>
          </cell>
          <cell r="G384" t="str">
            <v>KAPILA SAHU</v>
          </cell>
          <cell r="H384" t="str">
            <v>S/O- LATE RAGHU SAHU,GUANLABANSADA</v>
          </cell>
          <cell r="I384" t="str">
            <v>10/31/2020 00:00:00</v>
          </cell>
          <cell r="J384">
            <v>1</v>
          </cell>
          <cell r="K384" t="str">
            <v xml:space="preserve"> </v>
          </cell>
          <cell r="L384" t="str">
            <v xml:space="preserve"> </v>
          </cell>
          <cell r="M384" t="str">
            <v>421000010231493574</v>
          </cell>
          <cell r="N384" t="str">
            <v>1210000059</v>
          </cell>
          <cell r="O384" t="str">
            <v>DDD-117848</v>
          </cell>
          <cell r="P384" t="str">
            <v>442151204</v>
          </cell>
          <cell r="Q384" t="str">
            <v>LARGE INDUSTRY</v>
          </cell>
          <cell r="R384" t="str">
            <v>HT</v>
          </cell>
          <cell r="S384" t="str">
            <v>01/10/2023</v>
          </cell>
          <cell r="T384" t="str">
            <v>01/10/2023</v>
          </cell>
          <cell r="U384" t="str">
            <v>06/10/2023</v>
          </cell>
          <cell r="V384" t="str">
            <v>09/10/2023</v>
          </cell>
          <cell r="W384" t="str">
            <v>2023/09</v>
          </cell>
          <cell r="X384" t="str">
            <v>11 KV</v>
          </cell>
          <cell r="Y384" t="str">
            <v>HT</v>
          </cell>
          <cell r="Z384">
            <v>204.8</v>
          </cell>
          <cell r="AA384">
            <v>1</v>
          </cell>
          <cell r="AB384">
            <v>32.049999999999997</v>
          </cell>
          <cell r="AC384" t="str">
            <v xml:space="preserve">27/08/2023 -     </v>
          </cell>
          <cell r="AD384" t="str">
            <v>30.09.2023</v>
          </cell>
          <cell r="AE384" t="str">
            <v>35/1.0000</v>
          </cell>
          <cell r="AF384">
            <v>256</v>
          </cell>
          <cell r="AG384" t="str">
            <v>KVA</v>
          </cell>
          <cell r="AH384">
            <v>256</v>
          </cell>
          <cell r="AI384" t="str">
            <v>R</v>
          </cell>
          <cell r="AJ384">
            <v>1308406</v>
          </cell>
          <cell r="AK384" t="str">
            <v>30/09/2023</v>
          </cell>
          <cell r="AL384" t="str">
            <v>NES83127</v>
          </cell>
          <cell r="AM384" t="str">
            <v>SINGLE PHASE ELECTRO-MAGNETIC KWH METER-TOD</v>
          </cell>
          <cell r="AN384" t="str">
            <v>POST PAID</v>
          </cell>
          <cell r="AO384">
            <v>500</v>
          </cell>
          <cell r="AP384" t="str">
            <v>TOD</v>
          </cell>
          <cell r="AQ384">
            <v>-943415.4</v>
          </cell>
          <cell r="AR384">
            <v>0</v>
          </cell>
          <cell r="AS384">
            <v>0</v>
          </cell>
          <cell r="AT384">
            <v>0</v>
          </cell>
          <cell r="AU384">
            <v>0</v>
          </cell>
          <cell r="AV384">
            <v>0</v>
          </cell>
          <cell r="AW384">
            <v>1206</v>
          </cell>
          <cell r="AX384">
            <v>1206</v>
          </cell>
          <cell r="AY384">
            <v>1206</v>
          </cell>
          <cell r="AZ384">
            <v>459.84</v>
          </cell>
          <cell r="BA384">
            <v>4.4799999999999995</v>
          </cell>
        </row>
        <row r="385">
          <cell r="F385">
            <v>121000000061</v>
          </cell>
          <cell r="G385" t="str">
            <v>KRUSHNA CHANDRA GHADEI</v>
          </cell>
          <cell r="H385" t="str">
            <v>C/O- SRI NARAYAN GHADEI</v>
          </cell>
          <cell r="I385" t="str">
            <v>10/31/2020 00:00:00</v>
          </cell>
          <cell r="J385">
            <v>1</v>
          </cell>
          <cell r="K385" t="str">
            <v xml:space="preserve"> </v>
          </cell>
          <cell r="L385" t="str">
            <v xml:space="preserve"> </v>
          </cell>
          <cell r="M385" t="str">
            <v>421000010231493853</v>
          </cell>
          <cell r="N385" t="str">
            <v>1210000060</v>
          </cell>
          <cell r="O385" t="str">
            <v>DBD-118060</v>
          </cell>
          <cell r="P385" t="str">
            <v>442132102</v>
          </cell>
          <cell r="Q385" t="str">
            <v>ALLIED AGRICULTURE ACTIVITIES</v>
          </cell>
          <cell r="R385" t="str">
            <v>HT</v>
          </cell>
          <cell r="S385" t="str">
            <v>01/10/2023</v>
          </cell>
          <cell r="T385" t="str">
            <v>01/10/2023</v>
          </cell>
          <cell r="U385" t="str">
            <v>09/10/2023</v>
          </cell>
          <cell r="V385" t="str">
            <v>09/10/2023</v>
          </cell>
          <cell r="W385" t="str">
            <v>2023/09</v>
          </cell>
          <cell r="X385" t="str">
            <v>11 KV</v>
          </cell>
          <cell r="Y385" t="str">
            <v>HT</v>
          </cell>
          <cell r="Z385">
            <v>200</v>
          </cell>
          <cell r="AA385">
            <v>0.87129999999999996</v>
          </cell>
          <cell r="AB385">
            <v>0</v>
          </cell>
          <cell r="AC385" t="str">
            <v xml:space="preserve">01/09/2023 -     </v>
          </cell>
          <cell r="AD385" t="str">
            <v>30.09.2023</v>
          </cell>
          <cell r="AE385" t="str">
            <v>30/1.0000</v>
          </cell>
          <cell r="AF385">
            <v>200</v>
          </cell>
          <cell r="AG385" t="str">
            <v>KVA</v>
          </cell>
          <cell r="AH385">
            <v>200</v>
          </cell>
          <cell r="AI385" t="str">
            <v>R</v>
          </cell>
          <cell r="AJ385">
            <v>128640</v>
          </cell>
          <cell r="AK385" t="str">
            <v>30/09/2023</v>
          </cell>
          <cell r="AL385" t="str">
            <v>NSC94748</v>
          </cell>
          <cell r="AM385" t="str">
            <v>HT THREE PHASE 3 WIRE AMR/AMI COMPLIANT METER</v>
          </cell>
          <cell r="AN385" t="str">
            <v>POST PAID</v>
          </cell>
          <cell r="AO385">
            <v>250</v>
          </cell>
          <cell r="AP385" t="str">
            <v>TOD</v>
          </cell>
          <cell r="AQ385">
            <v>-51635.4</v>
          </cell>
          <cell r="AR385">
            <v>0</v>
          </cell>
          <cell r="AS385">
            <v>0</v>
          </cell>
          <cell r="AT385">
            <v>0</v>
          </cell>
          <cell r="AU385">
            <v>0</v>
          </cell>
          <cell r="AV385">
            <v>0</v>
          </cell>
          <cell r="AW385">
            <v>33856</v>
          </cell>
          <cell r="AX385">
            <v>38854</v>
          </cell>
          <cell r="AY385">
            <v>38854</v>
          </cell>
          <cell r="AZ385">
            <v>1539.52</v>
          </cell>
          <cell r="BA385">
            <v>136.16</v>
          </cell>
        </row>
        <row r="386">
          <cell r="F386">
            <v>121000000062</v>
          </cell>
          <cell r="G386" t="str">
            <v>KRUSHNA CHANDRA JENA</v>
          </cell>
          <cell r="H386" t="str">
            <v>DHANAKUTA,BAINCHA, BANSADABHADRAK</v>
          </cell>
          <cell r="I386" t="str">
            <v>10/31/2020 00:00:00</v>
          </cell>
          <cell r="J386">
            <v>1</v>
          </cell>
          <cell r="K386" t="str">
            <v xml:space="preserve"> </v>
          </cell>
          <cell r="L386" t="str">
            <v xml:space="preserve"> </v>
          </cell>
          <cell r="M386" t="str">
            <v>421000010232495823</v>
          </cell>
          <cell r="N386" t="str">
            <v>1210000061</v>
          </cell>
          <cell r="O386" t="str">
            <v>DBD-118061</v>
          </cell>
          <cell r="P386" t="str">
            <v>442152101</v>
          </cell>
          <cell r="Q386" t="str">
            <v>ALLIED AGRICULTURE ACTIVITIES</v>
          </cell>
          <cell r="R386" t="str">
            <v>HT</v>
          </cell>
          <cell r="S386" t="str">
            <v>01/10/2023</v>
          </cell>
          <cell r="T386" t="str">
            <v>01/10/2023</v>
          </cell>
          <cell r="U386" t="str">
            <v>09/10/2023</v>
          </cell>
          <cell r="V386" t="str">
            <v>09/10/2023</v>
          </cell>
          <cell r="W386" t="str">
            <v>2023/09</v>
          </cell>
          <cell r="X386" t="str">
            <v>11 KV</v>
          </cell>
          <cell r="Y386" t="str">
            <v>HT</v>
          </cell>
          <cell r="Z386">
            <v>212</v>
          </cell>
          <cell r="AA386">
            <v>0</v>
          </cell>
          <cell r="AB386">
            <v>0</v>
          </cell>
          <cell r="AC386" t="str">
            <v xml:space="preserve">01/09/2023 -     </v>
          </cell>
          <cell r="AD386" t="str">
            <v>30.09.2023</v>
          </cell>
          <cell r="AE386" t="str">
            <v>30/1.0000</v>
          </cell>
          <cell r="AF386">
            <v>212</v>
          </cell>
          <cell r="AG386" t="str">
            <v>KVA</v>
          </cell>
          <cell r="AH386">
            <v>212</v>
          </cell>
          <cell r="AI386" t="str">
            <v>D</v>
          </cell>
          <cell r="AJ386">
            <v>136359</v>
          </cell>
          <cell r="AK386" t="str">
            <v>30/09/2023</v>
          </cell>
          <cell r="AL386" t="str">
            <v>NES83102</v>
          </cell>
          <cell r="AM386" t="str">
            <v>SINGLE PHASE ELECTRO-MAGNETIC KWH METER-TOD</v>
          </cell>
          <cell r="AN386" t="str">
            <v>POST PAID</v>
          </cell>
          <cell r="AO386">
            <v>315</v>
          </cell>
          <cell r="AP386" t="str">
            <v>TOD</v>
          </cell>
          <cell r="AQ386">
            <v>-106965</v>
          </cell>
          <cell r="AR386">
            <v>0</v>
          </cell>
          <cell r="AS386">
            <v>0</v>
          </cell>
          <cell r="AT386">
            <v>0</v>
          </cell>
          <cell r="AU386">
            <v>0</v>
          </cell>
          <cell r="AV386">
            <v>0</v>
          </cell>
          <cell r="AW386">
            <v>0</v>
          </cell>
          <cell r="AX386">
            <v>0</v>
          </cell>
          <cell r="AY386">
            <v>0</v>
          </cell>
          <cell r="AZ386">
            <v>0</v>
          </cell>
          <cell r="BA386">
            <v>0</v>
          </cell>
        </row>
        <row r="387">
          <cell r="F387">
            <v>121000000063</v>
          </cell>
          <cell r="G387" t="str">
            <v>M/S SHYAM SUNDAR COLD STORE</v>
          </cell>
          <cell r="H387" t="str">
            <v>PRO- SRI BHAKTA RANJAN PATTNAIK</v>
          </cell>
          <cell r="I387" t="str">
            <v>10/31/2020 00:00:00</v>
          </cell>
          <cell r="J387">
            <v>1</v>
          </cell>
          <cell r="K387" t="str">
            <v xml:space="preserve"> </v>
          </cell>
          <cell r="L387" t="str">
            <v xml:space="preserve"> </v>
          </cell>
          <cell r="M387" t="str">
            <v>421000010231493948</v>
          </cell>
          <cell r="N387" t="str">
            <v>1210000062</v>
          </cell>
          <cell r="O387" t="str">
            <v>DBD-118074</v>
          </cell>
          <cell r="P387" t="str">
            <v>442132102</v>
          </cell>
          <cell r="Q387" t="str">
            <v>LARGE INDUSTRY</v>
          </cell>
          <cell r="R387" t="str">
            <v>HT</v>
          </cell>
          <cell r="S387" t="str">
            <v>01/10/2023</v>
          </cell>
          <cell r="T387" t="str">
            <v>01/10/2023</v>
          </cell>
          <cell r="U387" t="str">
            <v>06/10/2023</v>
          </cell>
          <cell r="V387" t="str">
            <v>09/10/2023</v>
          </cell>
          <cell r="W387" t="str">
            <v>2023/09</v>
          </cell>
          <cell r="X387" t="str">
            <v>11 KV</v>
          </cell>
          <cell r="Y387" t="str">
            <v>HT</v>
          </cell>
          <cell r="Z387">
            <v>177.6</v>
          </cell>
          <cell r="AA387">
            <v>0.96899999999999997</v>
          </cell>
          <cell r="AB387">
            <v>29.34</v>
          </cell>
          <cell r="AC387" t="str">
            <v xml:space="preserve">01/09/2023 -     </v>
          </cell>
          <cell r="AD387" t="str">
            <v>30.09.2023</v>
          </cell>
          <cell r="AE387" t="str">
            <v>30/1.0000</v>
          </cell>
          <cell r="AF387">
            <v>222</v>
          </cell>
          <cell r="AG387" t="str">
            <v>KVA</v>
          </cell>
          <cell r="AH387">
            <v>222</v>
          </cell>
          <cell r="AI387" t="str">
            <v>R</v>
          </cell>
          <cell r="AJ387">
            <v>1134634</v>
          </cell>
          <cell r="AK387" t="str">
            <v>30/09/2023</v>
          </cell>
          <cell r="AL387" t="str">
            <v>NES51977</v>
          </cell>
          <cell r="AM387" t="str">
            <v>SINGLE PHASE ELECTRO-MAGNETIC KWH METER-TOD</v>
          </cell>
          <cell r="AN387" t="str">
            <v>POST PAID</v>
          </cell>
          <cell r="AO387">
            <v>315</v>
          </cell>
          <cell r="AP387" t="str">
            <v>TOD</v>
          </cell>
          <cell r="AQ387">
            <v>-798554.5</v>
          </cell>
          <cell r="AR387">
            <v>0</v>
          </cell>
          <cell r="AS387">
            <v>0</v>
          </cell>
          <cell r="AT387">
            <v>0</v>
          </cell>
          <cell r="AU387">
            <v>0</v>
          </cell>
          <cell r="AV387">
            <v>0</v>
          </cell>
          <cell r="AW387">
            <v>17424</v>
          </cell>
          <cell r="AX387">
            <v>17980</v>
          </cell>
          <cell r="AY387">
            <v>17980</v>
          </cell>
          <cell r="AZ387">
            <v>734.4</v>
          </cell>
          <cell r="BA387">
            <v>85.11999999999999</v>
          </cell>
        </row>
        <row r="388">
          <cell r="F388">
            <v>121000000064</v>
          </cell>
          <cell r="G388" t="str">
            <v>M/S BHAGYALAXMI ICE PLANT &amp; COLD ST</v>
          </cell>
          <cell r="H388" t="str">
            <v>M D-SRI MAKHAN MANDAL</v>
          </cell>
          <cell r="I388" t="str">
            <v>10/31/2020 00:00:00</v>
          </cell>
          <cell r="J388">
            <v>1</v>
          </cell>
          <cell r="K388" t="str">
            <v xml:space="preserve"> </v>
          </cell>
          <cell r="L388" t="str">
            <v xml:space="preserve"> </v>
          </cell>
          <cell r="M388" t="str">
            <v>421000010231493671</v>
          </cell>
          <cell r="N388" t="str">
            <v>1210000063</v>
          </cell>
          <cell r="O388" t="str">
            <v>DDD-118073</v>
          </cell>
          <cell r="P388" t="str">
            <v>43207406002</v>
          </cell>
          <cell r="Q388" t="str">
            <v>LARGE INDUSTRY</v>
          </cell>
          <cell r="R388" t="str">
            <v>HT</v>
          </cell>
          <cell r="S388" t="str">
            <v>01/10/2023</v>
          </cell>
          <cell r="T388" t="str">
            <v>01/10/2023</v>
          </cell>
          <cell r="U388" t="str">
            <v>06/10/2023</v>
          </cell>
          <cell r="V388" t="str">
            <v>09/10/2023</v>
          </cell>
          <cell r="W388" t="str">
            <v>2023/09</v>
          </cell>
          <cell r="X388" t="str">
            <v>33 KV</v>
          </cell>
          <cell r="Y388" t="str">
            <v>HT</v>
          </cell>
          <cell r="Z388">
            <v>216.24</v>
          </cell>
          <cell r="AA388">
            <v>0.9738</v>
          </cell>
          <cell r="AB388">
            <v>60.35</v>
          </cell>
          <cell r="AC388" t="str">
            <v xml:space="preserve">01/09/2023 -     </v>
          </cell>
          <cell r="AD388" t="str">
            <v>30.09.2023</v>
          </cell>
          <cell r="AE388" t="str">
            <v>30/1.0000</v>
          </cell>
          <cell r="AF388">
            <v>250</v>
          </cell>
          <cell r="AG388" t="str">
            <v>KVA</v>
          </cell>
          <cell r="AH388">
            <v>250</v>
          </cell>
          <cell r="AI388" t="str">
            <v>R</v>
          </cell>
          <cell r="AJ388">
            <v>1277740</v>
          </cell>
          <cell r="AK388" t="str">
            <v>30/09/2023</v>
          </cell>
          <cell r="AL388" t="str">
            <v>NES51939</v>
          </cell>
          <cell r="AM388" t="str">
            <v>THREE PHASE HT CT METER-33KV</v>
          </cell>
          <cell r="AN388" t="str">
            <v>POST PAID</v>
          </cell>
          <cell r="AO388">
            <v>315</v>
          </cell>
          <cell r="AP388" t="str">
            <v>TOD</v>
          </cell>
          <cell r="AQ388">
            <v>-461928.66</v>
          </cell>
          <cell r="AR388">
            <v>0</v>
          </cell>
          <cell r="AS388">
            <v>0</v>
          </cell>
          <cell r="AT388">
            <v>0</v>
          </cell>
          <cell r="AU388">
            <v>0</v>
          </cell>
          <cell r="AV388">
            <v>0</v>
          </cell>
          <cell r="AW388">
            <v>91509</v>
          </cell>
          <cell r="AX388">
            <v>93963</v>
          </cell>
          <cell r="AY388">
            <v>93963</v>
          </cell>
          <cell r="AZ388">
            <v>1410.72</v>
          </cell>
          <cell r="BA388">
            <v>216.24</v>
          </cell>
        </row>
        <row r="389">
          <cell r="F389">
            <v>121000000065</v>
          </cell>
          <cell r="G389" t="str">
            <v>SHREE GAJANAN AGRO UDYOG</v>
          </cell>
          <cell r="H389" t="str">
            <v>Himansu Mohapatra</v>
          </cell>
          <cell r="I389" t="str">
            <v>10/31/2020 00:00:00</v>
          </cell>
          <cell r="J389">
            <v>1</v>
          </cell>
          <cell r="K389" t="str">
            <v>Budhapur, Arasa</v>
          </cell>
          <cell r="L389" t="str">
            <v>Tihidi</v>
          </cell>
          <cell r="M389" t="str">
            <v>421000010231492340</v>
          </cell>
          <cell r="N389" t="str">
            <v>1210000064</v>
          </cell>
          <cell r="O389" t="str">
            <v>TTD-118060</v>
          </cell>
          <cell r="P389" t="str">
            <v>442121601</v>
          </cell>
          <cell r="Q389" t="str">
            <v>LARGE INDUSTRY</v>
          </cell>
          <cell r="R389" t="str">
            <v>HT</v>
          </cell>
          <cell r="S389" t="str">
            <v>01/10/2023</v>
          </cell>
          <cell r="T389" t="str">
            <v>01/10/2023</v>
          </cell>
          <cell r="U389" t="str">
            <v>06/10/2023</v>
          </cell>
          <cell r="V389" t="str">
            <v>09/10/2023</v>
          </cell>
          <cell r="W389" t="str">
            <v>2023/09</v>
          </cell>
          <cell r="X389" t="str">
            <v>11 KV</v>
          </cell>
          <cell r="Y389" t="str">
            <v>HT</v>
          </cell>
          <cell r="Z389">
            <v>222.4</v>
          </cell>
          <cell r="AA389">
            <v>0.88380000000000003</v>
          </cell>
          <cell r="AB389">
            <v>46.03</v>
          </cell>
          <cell r="AC389" t="str">
            <v xml:space="preserve">29/08/2023 -     </v>
          </cell>
          <cell r="AD389" t="str">
            <v>30.09.2023</v>
          </cell>
          <cell r="AE389" t="str">
            <v>33/1.0000</v>
          </cell>
          <cell r="AF389">
            <v>278</v>
          </cell>
          <cell r="AG389" t="str">
            <v>KVA</v>
          </cell>
          <cell r="AH389">
            <v>278</v>
          </cell>
          <cell r="AI389" t="str">
            <v>R</v>
          </cell>
          <cell r="AJ389">
            <v>1420847</v>
          </cell>
          <cell r="AK389" t="str">
            <v>30/09/2023</v>
          </cell>
          <cell r="AL389" t="str">
            <v>NES83072</v>
          </cell>
          <cell r="AM389" t="str">
            <v>SINGLE PHASE ELECTRO-MAGNETIC KWH METER-TOD</v>
          </cell>
          <cell r="AN389" t="str">
            <v>POST PAID</v>
          </cell>
          <cell r="AO389">
            <v>500</v>
          </cell>
          <cell r="AP389" t="str">
            <v>TOD</v>
          </cell>
          <cell r="AQ389">
            <v>-1132205.94</v>
          </cell>
          <cell r="AR389">
            <v>0</v>
          </cell>
          <cell r="AS389">
            <v>0</v>
          </cell>
          <cell r="AT389">
            <v>0</v>
          </cell>
          <cell r="AU389">
            <v>0</v>
          </cell>
          <cell r="AV389">
            <v>0</v>
          </cell>
          <cell r="AW389">
            <v>928</v>
          </cell>
          <cell r="AX389">
            <v>1050</v>
          </cell>
          <cell r="AY389">
            <v>1050</v>
          </cell>
          <cell r="AZ389">
            <v>174.08</v>
          </cell>
          <cell r="BA389">
            <v>2.88</v>
          </cell>
        </row>
        <row r="390">
          <cell r="F390">
            <v>121000000066</v>
          </cell>
          <cell r="G390" t="str">
            <v>M/S IGLOO ICE INDUSTRIES</v>
          </cell>
          <cell r="H390" t="str">
            <v>PROPRIETOR- SAHEJADI BIBI</v>
          </cell>
          <cell r="I390" t="str">
            <v>10/31/2020 00:00:00</v>
          </cell>
          <cell r="J390">
            <v>1</v>
          </cell>
          <cell r="K390" t="str">
            <v xml:space="preserve"> </v>
          </cell>
          <cell r="L390" t="str">
            <v xml:space="preserve"> </v>
          </cell>
          <cell r="M390" t="str">
            <v>421000010231492966</v>
          </cell>
          <cell r="N390" t="str">
            <v>1210000065</v>
          </cell>
          <cell r="O390" t="str">
            <v>BXD-118216</v>
          </cell>
          <cell r="P390" t="str">
            <v>442111104</v>
          </cell>
          <cell r="Q390" t="str">
            <v>LARGE INDUSTRY</v>
          </cell>
          <cell r="R390" t="str">
            <v>HT</v>
          </cell>
          <cell r="S390" t="str">
            <v>01/10/2023</v>
          </cell>
          <cell r="T390" t="str">
            <v>01/10/2023</v>
          </cell>
          <cell r="U390" t="str">
            <v>06/10/2023</v>
          </cell>
          <cell r="V390" t="str">
            <v>09/10/2023</v>
          </cell>
          <cell r="W390" t="str">
            <v>2023/09</v>
          </cell>
          <cell r="X390" t="str">
            <v>11 KV</v>
          </cell>
          <cell r="Y390" t="str">
            <v>HT</v>
          </cell>
          <cell r="Z390">
            <v>144</v>
          </cell>
          <cell r="AA390">
            <v>0.99250000000000005</v>
          </cell>
          <cell r="AB390">
            <v>32.450000000000003</v>
          </cell>
          <cell r="AC390" t="str">
            <v xml:space="preserve">01/09/2023 -     </v>
          </cell>
          <cell r="AD390" t="str">
            <v>30.09.2023</v>
          </cell>
          <cell r="AE390" t="str">
            <v>30/1.0000</v>
          </cell>
          <cell r="AF390">
            <v>180</v>
          </cell>
          <cell r="AG390" t="str">
            <v>KVA</v>
          </cell>
          <cell r="AH390">
            <v>180</v>
          </cell>
          <cell r="AI390" t="str">
            <v>R</v>
          </cell>
          <cell r="AJ390">
            <v>919973.42</v>
          </cell>
          <cell r="AK390" t="str">
            <v>30/09/2023</v>
          </cell>
          <cell r="AL390" t="str">
            <v>TPCANES52010</v>
          </cell>
          <cell r="AM390" t="str">
            <v>SINGLE PHASE ELECTRO-MAGNETIC KWH METER-TOD</v>
          </cell>
          <cell r="AN390" t="str">
            <v>POST PAID</v>
          </cell>
          <cell r="AO390">
            <v>315</v>
          </cell>
          <cell r="AP390" t="str">
            <v>TOD</v>
          </cell>
          <cell r="AQ390">
            <v>-547189.81999999995</v>
          </cell>
          <cell r="AR390">
            <v>0</v>
          </cell>
          <cell r="AS390">
            <v>0</v>
          </cell>
          <cell r="AT390">
            <v>0</v>
          </cell>
          <cell r="AU390">
            <v>0</v>
          </cell>
          <cell r="AV390">
            <v>0</v>
          </cell>
          <cell r="AW390">
            <v>30978</v>
          </cell>
          <cell r="AX390">
            <v>31210</v>
          </cell>
          <cell r="AY390">
            <v>31210</v>
          </cell>
          <cell r="AZ390">
            <v>1153.28</v>
          </cell>
          <cell r="BA390">
            <v>133.6</v>
          </cell>
        </row>
        <row r="391">
          <cell r="F391">
            <v>121000000067</v>
          </cell>
          <cell r="G391" t="str">
            <v>SRI LAXMIDHAR BAL</v>
          </cell>
          <cell r="H391" t="str">
            <v>CHHATRAPUR,JAGANNATHAPRASADBHADRAK</v>
          </cell>
          <cell r="I391" t="str">
            <v>10/31/2020 00:00:00</v>
          </cell>
          <cell r="J391">
            <v>1</v>
          </cell>
          <cell r="K391" t="str">
            <v xml:space="preserve"> </v>
          </cell>
          <cell r="L391" t="str">
            <v xml:space="preserve"> </v>
          </cell>
          <cell r="M391" t="str">
            <v>421000010232495276</v>
          </cell>
          <cell r="N391" t="str">
            <v>1210000066</v>
          </cell>
          <cell r="O391" t="str">
            <v>DBD-118217</v>
          </cell>
          <cell r="P391" t="str">
            <v>442132102</v>
          </cell>
          <cell r="Q391" t="str">
            <v>ALLIED AGRICULTURE ACTIVITIES</v>
          </cell>
          <cell r="R391" t="str">
            <v>HT</v>
          </cell>
          <cell r="S391" t="str">
            <v>01/10/2023</v>
          </cell>
          <cell r="T391" t="str">
            <v>01/10/2023</v>
          </cell>
          <cell r="U391" t="str">
            <v>09/10/2023</v>
          </cell>
          <cell r="V391" t="str">
            <v>09/10/2023</v>
          </cell>
          <cell r="W391" t="str">
            <v>2023/09</v>
          </cell>
          <cell r="X391" t="str">
            <v>11 KV</v>
          </cell>
          <cell r="Y391" t="str">
            <v>HT</v>
          </cell>
          <cell r="Z391">
            <v>217</v>
          </cell>
          <cell r="AA391">
            <v>0</v>
          </cell>
          <cell r="AB391">
            <v>0</v>
          </cell>
          <cell r="AC391" t="str">
            <v xml:space="preserve">01/09/2023 -     </v>
          </cell>
          <cell r="AD391" t="str">
            <v>30.09.2023</v>
          </cell>
          <cell r="AE391" t="str">
            <v>30/1.0000</v>
          </cell>
          <cell r="AF391">
            <v>217</v>
          </cell>
          <cell r="AG391" t="str">
            <v>KVA</v>
          </cell>
          <cell r="AH391">
            <v>217</v>
          </cell>
          <cell r="AI391" t="str">
            <v>D</v>
          </cell>
          <cell r="AJ391">
            <v>107415</v>
          </cell>
          <cell r="AK391" t="str">
            <v>30/09/2023</v>
          </cell>
          <cell r="AL391" t="str">
            <v>NES83027</v>
          </cell>
          <cell r="AM391" t="str">
            <v>SINGLE PHASE ELECTRO-MAGNETIC KWH METER-TOD</v>
          </cell>
          <cell r="AN391" t="str">
            <v>POST PAID</v>
          </cell>
          <cell r="AO391">
            <v>350</v>
          </cell>
          <cell r="AP391" t="str">
            <v>TOD</v>
          </cell>
          <cell r="AQ391">
            <v>-11080.6</v>
          </cell>
          <cell r="AR391">
            <v>0</v>
          </cell>
          <cell r="AS391">
            <v>0</v>
          </cell>
          <cell r="AT391">
            <v>0</v>
          </cell>
          <cell r="AU391">
            <v>0</v>
          </cell>
          <cell r="AV391">
            <v>0</v>
          </cell>
          <cell r="AW391">
            <v>0</v>
          </cell>
          <cell r="AX391">
            <v>0</v>
          </cell>
          <cell r="AY391">
            <v>0</v>
          </cell>
          <cell r="AZ391">
            <v>1E-3</v>
          </cell>
          <cell r="BA391">
            <v>0.4</v>
          </cell>
        </row>
        <row r="392">
          <cell r="F392">
            <v>121000000068</v>
          </cell>
          <cell r="G392" t="str">
            <v>SRI UDAYANATH DAS</v>
          </cell>
          <cell r="H392" t="str">
            <v>S/O- LATE NARAHARI DAS</v>
          </cell>
          <cell r="I392" t="str">
            <v>10/31/2020 00:00:00</v>
          </cell>
          <cell r="J392">
            <v>1</v>
          </cell>
          <cell r="K392" t="str">
            <v xml:space="preserve"> </v>
          </cell>
          <cell r="L392" t="str">
            <v xml:space="preserve"> </v>
          </cell>
          <cell r="M392" t="str">
            <v>421000010231492673</v>
          </cell>
          <cell r="N392" t="str">
            <v>1210000067</v>
          </cell>
          <cell r="O392" t="str">
            <v>BRD-118218</v>
          </cell>
          <cell r="P392" t="str">
            <v>442143103</v>
          </cell>
          <cell r="Q392" t="str">
            <v>LARGE INDUSTRY</v>
          </cell>
          <cell r="R392" t="str">
            <v>HT</v>
          </cell>
          <cell r="S392" t="str">
            <v>01/10/2023</v>
          </cell>
          <cell r="T392" t="str">
            <v>01/10/2023</v>
          </cell>
          <cell r="U392" t="str">
            <v>06/10/2023</v>
          </cell>
          <cell r="V392" t="str">
            <v>09/10/2023</v>
          </cell>
          <cell r="W392" t="str">
            <v>2023/09</v>
          </cell>
          <cell r="X392" t="str">
            <v>11 KV</v>
          </cell>
          <cell r="Y392" t="str">
            <v>HT</v>
          </cell>
          <cell r="Z392">
            <v>107.2</v>
          </cell>
          <cell r="AA392">
            <v>0.82240000000000002</v>
          </cell>
          <cell r="AB392">
            <v>11.04</v>
          </cell>
          <cell r="AC392" t="str">
            <v xml:space="preserve">01/09/2023 -     </v>
          </cell>
          <cell r="AD392" t="str">
            <v>30.09.2023</v>
          </cell>
          <cell r="AE392" t="str">
            <v>30/1.0000</v>
          </cell>
          <cell r="AF392">
            <v>134</v>
          </cell>
          <cell r="AG392" t="str">
            <v>KVA</v>
          </cell>
          <cell r="AH392">
            <v>134</v>
          </cell>
          <cell r="AI392" t="str">
            <v>R</v>
          </cell>
          <cell r="AJ392">
            <v>684898.5</v>
          </cell>
          <cell r="AK392" t="str">
            <v>30/09/2023</v>
          </cell>
          <cell r="AL392" t="str">
            <v>NSC95061</v>
          </cell>
          <cell r="AM392" t="str">
            <v>SINGLE PHASE ELECTRO-MAGNETIC KWH METER-TOD</v>
          </cell>
          <cell r="AN392" t="str">
            <v>POST PAID</v>
          </cell>
          <cell r="AO392">
            <v>250</v>
          </cell>
          <cell r="AP392" t="str">
            <v>TOD</v>
          </cell>
          <cell r="AQ392">
            <v>-395317.5</v>
          </cell>
          <cell r="AR392">
            <v>0</v>
          </cell>
          <cell r="AS392">
            <v>0</v>
          </cell>
          <cell r="AT392">
            <v>0</v>
          </cell>
          <cell r="AU392">
            <v>0</v>
          </cell>
          <cell r="AV392">
            <v>0</v>
          </cell>
          <cell r="AW392">
            <v>3447</v>
          </cell>
          <cell r="AX392">
            <v>4191</v>
          </cell>
          <cell r="AY392">
            <v>4191</v>
          </cell>
          <cell r="AZ392">
            <v>932.8</v>
          </cell>
          <cell r="BA392">
            <v>52.72</v>
          </cell>
        </row>
        <row r="393">
          <cell r="F393">
            <v>121000000069</v>
          </cell>
          <cell r="G393" t="str">
            <v>Mrs. SMT PRAMILA MANDAL</v>
          </cell>
          <cell r="H393" t="str">
            <v>W/O- PRAFULLA MANDAL,KARANPALLIBANSADA</v>
          </cell>
          <cell r="I393" t="str">
            <v>10/31/2020 00:00:00</v>
          </cell>
          <cell r="J393">
            <v>1</v>
          </cell>
          <cell r="K393" t="str">
            <v xml:space="preserve"> </v>
          </cell>
          <cell r="L393" t="str">
            <v xml:space="preserve"> </v>
          </cell>
          <cell r="M393" t="str">
            <v>421000010231494051</v>
          </cell>
          <cell r="N393" t="str">
            <v>1210000068</v>
          </cell>
          <cell r="O393" t="str">
            <v>DBD-118241</v>
          </cell>
          <cell r="P393" t="str">
            <v>442152101</v>
          </cell>
          <cell r="Q393" t="str">
            <v>ALLIED AGRICULTURE ACTIVITIES</v>
          </cell>
          <cell r="R393" t="str">
            <v>HT</v>
          </cell>
          <cell r="S393" t="str">
            <v>01/10/2023</v>
          </cell>
          <cell r="T393" t="str">
            <v>01/10/2023</v>
          </cell>
          <cell r="U393" t="str">
            <v>09/10/2023</v>
          </cell>
          <cell r="V393" t="str">
            <v>09/10/2023</v>
          </cell>
          <cell r="W393" t="str">
            <v>2023/09</v>
          </cell>
          <cell r="X393" t="str">
            <v>11 KV</v>
          </cell>
          <cell r="Y393" t="str">
            <v>HT</v>
          </cell>
          <cell r="Z393">
            <v>289</v>
          </cell>
          <cell r="AA393">
            <v>0.8095</v>
          </cell>
          <cell r="AB393">
            <v>0</v>
          </cell>
          <cell r="AC393" t="str">
            <v xml:space="preserve">01/09/2023 -     </v>
          </cell>
          <cell r="AD393" t="str">
            <v>30.09.2023</v>
          </cell>
          <cell r="AE393" t="str">
            <v>30/1.0000</v>
          </cell>
          <cell r="AF393">
            <v>289</v>
          </cell>
          <cell r="AG393" t="str">
            <v>KVA</v>
          </cell>
          <cell r="AH393">
            <v>289</v>
          </cell>
          <cell r="AI393" t="str">
            <v>R</v>
          </cell>
          <cell r="AJ393">
            <v>142188.0238</v>
          </cell>
          <cell r="AK393" t="str">
            <v>30/09/2023</v>
          </cell>
          <cell r="AL393" t="str">
            <v>NSC94432</v>
          </cell>
          <cell r="AM393" t="str">
            <v>SINGLE PHASE ELECTRO-MAGNETIC KWH METER-TOD</v>
          </cell>
          <cell r="AN393" t="str">
            <v>POST PAID</v>
          </cell>
          <cell r="AO393">
            <v>500</v>
          </cell>
          <cell r="AP393" t="str">
            <v>TOD</v>
          </cell>
          <cell r="AQ393">
            <v>-57187.199999999997</v>
          </cell>
          <cell r="AR393">
            <v>0</v>
          </cell>
          <cell r="AS393">
            <v>0</v>
          </cell>
          <cell r="AT393">
            <v>0</v>
          </cell>
          <cell r="AU393">
            <v>0</v>
          </cell>
          <cell r="AV393">
            <v>0</v>
          </cell>
          <cell r="AW393">
            <v>6612</v>
          </cell>
          <cell r="AX393">
            <v>8168</v>
          </cell>
          <cell r="AY393">
            <v>8168</v>
          </cell>
          <cell r="AZ393">
            <v>1412.8</v>
          </cell>
          <cell r="BA393">
            <v>56.48</v>
          </cell>
        </row>
        <row r="394">
          <cell r="F394">
            <v>121000000070</v>
          </cell>
          <cell r="G394" t="str">
            <v>M/S DHAMARA PORT COMPANY LTD.</v>
          </cell>
          <cell r="H394" t="str">
            <v>PUBLIC HEALTH CARE,NARASINGHAPRASADDHAMARA</v>
          </cell>
          <cell r="I394" t="str">
            <v>10/31/2020 00:00:00</v>
          </cell>
          <cell r="J394">
            <v>1</v>
          </cell>
          <cell r="K394" t="str">
            <v xml:space="preserve"> </v>
          </cell>
          <cell r="L394" t="str">
            <v xml:space="preserve"> </v>
          </cell>
          <cell r="M394" t="str">
            <v>421000010231493781</v>
          </cell>
          <cell r="N394" t="str">
            <v>1210000069</v>
          </cell>
          <cell r="O394" t="str">
            <v>DDD-118278</v>
          </cell>
          <cell r="P394" t="str">
            <v>442151203</v>
          </cell>
          <cell r="Q394" t="str">
            <v>GENERAL PURPOSE &gt;= 110 KVA</v>
          </cell>
          <cell r="R394" t="str">
            <v>HT</v>
          </cell>
          <cell r="S394" t="str">
            <v>01/10/2023</v>
          </cell>
          <cell r="T394" t="str">
            <v>01/10/2023</v>
          </cell>
          <cell r="U394" t="str">
            <v>06/10/2023</v>
          </cell>
          <cell r="V394" t="str">
            <v>09/10/2023</v>
          </cell>
          <cell r="W394" t="str">
            <v>2023/09</v>
          </cell>
          <cell r="X394" t="str">
            <v>33 KV</v>
          </cell>
          <cell r="Y394" t="str">
            <v>HT</v>
          </cell>
          <cell r="Z394">
            <v>444.8</v>
          </cell>
          <cell r="AA394">
            <v>0.35730000000000001</v>
          </cell>
          <cell r="AB394">
            <v>35.39</v>
          </cell>
          <cell r="AC394" t="str">
            <v xml:space="preserve">01/09/2023 -     </v>
          </cell>
          <cell r="AD394" t="str">
            <v>30.09.2023</v>
          </cell>
          <cell r="AE394" t="str">
            <v>30/1.0000</v>
          </cell>
          <cell r="AF394">
            <v>556</v>
          </cell>
          <cell r="AG394" t="str">
            <v>KVA</v>
          </cell>
          <cell r="AH394">
            <v>556</v>
          </cell>
          <cell r="AI394" t="str">
            <v>R</v>
          </cell>
          <cell r="AJ394">
            <v>1378925</v>
          </cell>
          <cell r="AK394" t="str">
            <v>30/09/2023</v>
          </cell>
          <cell r="AL394" t="str">
            <v>NSC95155</v>
          </cell>
          <cell r="AM394" t="str">
            <v>THREE PHASE HT CT METER-33KV</v>
          </cell>
          <cell r="AN394" t="str">
            <v>POST PAID</v>
          </cell>
          <cell r="AO394">
            <v>750</v>
          </cell>
          <cell r="AP394" t="str">
            <v>TOD</v>
          </cell>
          <cell r="AQ394">
            <v>-1130036.2</v>
          </cell>
          <cell r="AR394">
            <v>0</v>
          </cell>
          <cell r="AS394">
            <v>0</v>
          </cell>
          <cell r="AT394">
            <v>0</v>
          </cell>
          <cell r="AU394">
            <v>0</v>
          </cell>
          <cell r="AV394">
            <v>0</v>
          </cell>
          <cell r="AW394">
            <v>1923</v>
          </cell>
          <cell r="AX394">
            <v>5382</v>
          </cell>
          <cell r="AY394">
            <v>5382</v>
          </cell>
          <cell r="AZ394">
            <v>140.16</v>
          </cell>
          <cell r="BA394">
            <v>21.12</v>
          </cell>
        </row>
        <row r="395">
          <cell r="F395">
            <v>121000000071</v>
          </cell>
          <cell r="G395" t="str">
            <v>SRI PRAFULLA PARIDA</v>
          </cell>
          <cell r="H395" t="str">
            <v>S/O- LATE NARAYAN CH PARIDA</v>
          </cell>
          <cell r="I395" t="str">
            <v>10/31/2020 00:00:00</v>
          </cell>
          <cell r="J395">
            <v>1</v>
          </cell>
          <cell r="K395" t="str">
            <v xml:space="preserve"> </v>
          </cell>
          <cell r="L395" t="str">
            <v xml:space="preserve"> </v>
          </cell>
          <cell r="M395" t="str">
            <v>421000010231492571</v>
          </cell>
          <cell r="N395" t="str">
            <v>1210000070</v>
          </cell>
          <cell r="O395" t="str">
            <v>TJD-118292</v>
          </cell>
          <cell r="P395" t="str">
            <v>442123403</v>
          </cell>
          <cell r="Q395" t="str">
            <v>ALLIED AGRICULTURE ACTIVITIES</v>
          </cell>
          <cell r="R395" t="str">
            <v>HT</v>
          </cell>
          <cell r="S395" t="str">
            <v>01/10/2023</v>
          </cell>
          <cell r="T395" t="str">
            <v>01/10/2023</v>
          </cell>
          <cell r="U395" t="str">
            <v>09/10/2023</v>
          </cell>
          <cell r="V395" t="str">
            <v>09/10/2023</v>
          </cell>
          <cell r="W395" t="str">
            <v>2023/09</v>
          </cell>
          <cell r="X395" t="str">
            <v>11 KV</v>
          </cell>
          <cell r="Y395" t="str">
            <v>HT</v>
          </cell>
          <cell r="Z395">
            <v>223</v>
          </cell>
          <cell r="AA395">
            <v>0.62619999999999998</v>
          </cell>
          <cell r="AB395">
            <v>0</v>
          </cell>
          <cell r="AC395" t="str">
            <v xml:space="preserve">01/09/2023 -     </v>
          </cell>
          <cell r="AD395" t="str">
            <v>30.09.2023</v>
          </cell>
          <cell r="AE395" t="str">
            <v>30/1.0000</v>
          </cell>
          <cell r="AF395">
            <v>223</v>
          </cell>
          <cell r="AG395" t="str">
            <v>KVA</v>
          </cell>
          <cell r="AH395">
            <v>223</v>
          </cell>
          <cell r="AI395" t="str">
            <v>R</v>
          </cell>
          <cell r="AJ395">
            <v>143434</v>
          </cell>
          <cell r="AK395" t="str">
            <v>30/09/2023</v>
          </cell>
          <cell r="AL395" t="str">
            <v>NSC95001</v>
          </cell>
          <cell r="AM395" t="str">
            <v>SINGLE PHASE ELECTRO-MAGNETIC KWH METER-TOD</v>
          </cell>
          <cell r="AN395" t="str">
            <v>POST PAID</v>
          </cell>
          <cell r="AO395">
            <v>315</v>
          </cell>
          <cell r="AP395" t="str">
            <v>TOD</v>
          </cell>
          <cell r="AQ395">
            <v>-39112</v>
          </cell>
          <cell r="AR395">
            <v>0</v>
          </cell>
          <cell r="AS395">
            <v>0</v>
          </cell>
          <cell r="AT395">
            <v>0</v>
          </cell>
          <cell r="AU395">
            <v>0</v>
          </cell>
          <cell r="AV395">
            <v>0</v>
          </cell>
          <cell r="AW395">
            <v>16893</v>
          </cell>
          <cell r="AX395">
            <v>26976</v>
          </cell>
          <cell r="AY395">
            <v>26976</v>
          </cell>
          <cell r="AZ395">
            <v>764.88</v>
          </cell>
          <cell r="BA395">
            <v>102.24</v>
          </cell>
        </row>
        <row r="396">
          <cell r="F396">
            <v>121000000072</v>
          </cell>
          <cell r="G396" t="str">
            <v>SMT. GITAMANI DAS</v>
          </cell>
          <cell r="H396" t="str">
            <v>W/O- SRI ADWAITA KUMAR MALLICK</v>
          </cell>
          <cell r="I396" t="str">
            <v>10/31/2020 00:00:00</v>
          </cell>
          <cell r="J396">
            <v>1</v>
          </cell>
          <cell r="K396" t="str">
            <v>PLOT NO:2198/5348,2199/5349</v>
          </cell>
          <cell r="L396" t="str">
            <v>MOUZA-MATHSAHI, BYPASS,BHADRAK</v>
          </cell>
          <cell r="M396" t="str">
            <v>421000010231493059</v>
          </cell>
          <cell r="N396" t="str">
            <v>1210000071</v>
          </cell>
          <cell r="O396" t="str">
            <v>BXD-118331</v>
          </cell>
          <cell r="P396" t="str">
            <v>442112102</v>
          </cell>
          <cell r="Q396" t="str">
            <v>GENERAL PURPOSE &gt;= 110 KVA</v>
          </cell>
          <cell r="R396" t="str">
            <v>HT</v>
          </cell>
          <cell r="S396" t="str">
            <v>01/10/2023</v>
          </cell>
          <cell r="T396" t="str">
            <v>01/10/2023</v>
          </cell>
          <cell r="U396" t="str">
            <v>06/10/2023</v>
          </cell>
          <cell r="V396" t="str">
            <v>09/10/2023</v>
          </cell>
          <cell r="W396" t="str">
            <v>2023/09</v>
          </cell>
          <cell r="X396" t="str">
            <v>11 KV</v>
          </cell>
          <cell r="Y396" t="str">
            <v>HT</v>
          </cell>
          <cell r="Z396">
            <v>266.39999999999998</v>
          </cell>
          <cell r="AA396">
            <v>0.99729999999999996</v>
          </cell>
          <cell r="AB396">
            <v>46.48</v>
          </cell>
          <cell r="AC396" t="str">
            <v xml:space="preserve">01/09/2023 -     </v>
          </cell>
          <cell r="AD396" t="str">
            <v>30.09.2023</v>
          </cell>
          <cell r="AE396" t="str">
            <v>30/1.0000</v>
          </cell>
          <cell r="AF396">
            <v>333</v>
          </cell>
          <cell r="AG396" t="str">
            <v>KVA</v>
          </cell>
          <cell r="AH396">
            <v>333</v>
          </cell>
          <cell r="AI396" t="str">
            <v>R</v>
          </cell>
          <cell r="AJ396">
            <v>825867</v>
          </cell>
          <cell r="AK396" t="str">
            <v>30/09/2023</v>
          </cell>
          <cell r="AL396" t="str">
            <v>NSC95032</v>
          </cell>
          <cell r="AM396" t="str">
            <v>SINGLE PHASE ELECTRO-MAGNETIC KWH METER-TOD</v>
          </cell>
          <cell r="AN396" t="str">
            <v>POST PAID</v>
          </cell>
          <cell r="AO396">
            <v>500</v>
          </cell>
          <cell r="AP396" t="str">
            <v>TOD</v>
          </cell>
          <cell r="AQ396">
            <v>-401021.1</v>
          </cell>
          <cell r="AR396">
            <v>0</v>
          </cell>
          <cell r="AS396">
            <v>0</v>
          </cell>
          <cell r="AT396">
            <v>0</v>
          </cell>
          <cell r="AU396">
            <v>0</v>
          </cell>
          <cell r="AV396">
            <v>0</v>
          </cell>
          <cell r="AW396">
            <v>36530</v>
          </cell>
          <cell r="AX396">
            <v>36626</v>
          </cell>
          <cell r="AY396">
            <v>36626</v>
          </cell>
          <cell r="AZ396">
            <v>763.2</v>
          </cell>
          <cell r="BA396">
            <v>109.44</v>
          </cell>
        </row>
        <row r="397">
          <cell r="F397">
            <v>121000000073</v>
          </cell>
          <cell r="G397" t="str">
            <v>SMT. CHANDANA PATRO</v>
          </cell>
          <cell r="H397" t="str">
            <v>W/O- SRI NARESH KUMAR PATRO</v>
          </cell>
          <cell r="I397" t="str">
            <v>10/31/2020 00:00:00</v>
          </cell>
          <cell r="J397">
            <v>1</v>
          </cell>
          <cell r="K397" t="str">
            <v xml:space="preserve"> </v>
          </cell>
          <cell r="L397" t="str">
            <v xml:space="preserve"> </v>
          </cell>
          <cell r="M397" t="str">
            <v>421000010231494118</v>
          </cell>
          <cell r="N397" t="str">
            <v>1210000072</v>
          </cell>
          <cell r="O397" t="str">
            <v>DBD-118333</v>
          </cell>
          <cell r="P397" t="str">
            <v>442132102</v>
          </cell>
          <cell r="Q397" t="str">
            <v>ALLIED AGRICULTURE ACTIVITIES</v>
          </cell>
          <cell r="R397" t="str">
            <v>HT</v>
          </cell>
          <cell r="S397" t="str">
            <v>01/10/2023</v>
          </cell>
          <cell r="T397" t="str">
            <v>01/10/2023</v>
          </cell>
          <cell r="U397" t="str">
            <v>09/10/2023</v>
          </cell>
          <cell r="V397" t="str">
            <v>09/10/2023</v>
          </cell>
          <cell r="W397" t="str">
            <v>2023/09</v>
          </cell>
          <cell r="X397" t="str">
            <v>11 KV</v>
          </cell>
          <cell r="Y397" t="str">
            <v>HT</v>
          </cell>
          <cell r="Z397">
            <v>237</v>
          </cell>
          <cell r="AA397">
            <v>0.93540000000000001</v>
          </cell>
          <cell r="AB397">
            <v>0</v>
          </cell>
          <cell r="AC397" t="str">
            <v xml:space="preserve">01/09/2023 -     </v>
          </cell>
          <cell r="AD397" t="str">
            <v>30.09.2023</v>
          </cell>
          <cell r="AE397" t="str">
            <v>30/1.0000</v>
          </cell>
          <cell r="AF397">
            <v>237</v>
          </cell>
          <cell r="AG397" t="str">
            <v>KVA</v>
          </cell>
          <cell r="AH397">
            <v>237</v>
          </cell>
          <cell r="AI397" t="str">
            <v>R</v>
          </cell>
          <cell r="AJ397">
            <v>152439</v>
          </cell>
          <cell r="AK397" t="str">
            <v>30/09/2023</v>
          </cell>
          <cell r="AL397" t="str">
            <v>NSC94810</v>
          </cell>
          <cell r="AM397" t="str">
            <v>SINGLE PHASE ELECTRO-MAGNETIC KWH METER-TOD</v>
          </cell>
          <cell r="AN397" t="str">
            <v>POST PAID</v>
          </cell>
          <cell r="AO397">
            <v>315</v>
          </cell>
          <cell r="AP397" t="str">
            <v>TOD</v>
          </cell>
          <cell r="AQ397">
            <v>3769.8</v>
          </cell>
          <cell r="AR397">
            <v>0</v>
          </cell>
          <cell r="AS397">
            <v>0</v>
          </cell>
          <cell r="AT397">
            <v>0</v>
          </cell>
          <cell r="AU397">
            <v>0</v>
          </cell>
          <cell r="AV397">
            <v>0</v>
          </cell>
          <cell r="AW397">
            <v>7917</v>
          </cell>
          <cell r="AX397">
            <v>8463</v>
          </cell>
          <cell r="AY397">
            <v>8463</v>
          </cell>
          <cell r="AZ397">
            <v>781.2</v>
          </cell>
          <cell r="BA397">
            <v>68.400000000000006</v>
          </cell>
        </row>
        <row r="398">
          <cell r="F398">
            <v>121000000074</v>
          </cell>
          <cell r="G398" t="str">
            <v>DISTRICT HEAD QUARTER HOSPITAL,CDMO</v>
          </cell>
          <cell r="H398" t="str">
            <v>NAYABAZAR,,BHADRAK</v>
          </cell>
          <cell r="I398" t="str">
            <v>10/31/2020 00:00:00</v>
          </cell>
          <cell r="J398">
            <v>1</v>
          </cell>
          <cell r="K398" t="str">
            <v xml:space="preserve"> </v>
          </cell>
          <cell r="L398" t="str">
            <v xml:space="preserve"> </v>
          </cell>
          <cell r="M398" t="str">
            <v>421000010231493139</v>
          </cell>
          <cell r="N398" t="str">
            <v>1210000073</v>
          </cell>
          <cell r="O398" t="str">
            <v>BX-82413</v>
          </cell>
          <cell r="P398" t="str">
            <v>442114107</v>
          </cell>
          <cell r="Q398" t="str">
            <v>SPECIFIED PUBLIC PURPOSE</v>
          </cell>
          <cell r="R398" t="str">
            <v>HT</v>
          </cell>
          <cell r="S398" t="str">
            <v>01/10/2023</v>
          </cell>
          <cell r="T398" t="str">
            <v>01/10/2023</v>
          </cell>
          <cell r="U398" t="str">
            <v>06/10/2023</v>
          </cell>
          <cell r="V398" t="str">
            <v>09/10/2023</v>
          </cell>
          <cell r="W398" t="str">
            <v>2023/09</v>
          </cell>
          <cell r="X398" t="str">
            <v>11 KV</v>
          </cell>
          <cell r="Y398" t="str">
            <v>HT</v>
          </cell>
          <cell r="Z398">
            <v>280</v>
          </cell>
          <cell r="AA398">
            <v>0.9829</v>
          </cell>
          <cell r="AB398">
            <v>41.53</v>
          </cell>
          <cell r="AC398" t="str">
            <v xml:space="preserve">01/09/2023 -     </v>
          </cell>
          <cell r="AD398" t="str">
            <v>30.09.2023</v>
          </cell>
          <cell r="AE398" t="str">
            <v>30/1.0000</v>
          </cell>
          <cell r="AF398">
            <v>350</v>
          </cell>
          <cell r="AG398" t="str">
            <v>KVA</v>
          </cell>
          <cell r="AH398">
            <v>350</v>
          </cell>
          <cell r="AI398" t="str">
            <v>R</v>
          </cell>
          <cell r="AJ398">
            <v>868027.98</v>
          </cell>
          <cell r="AK398" t="str">
            <v>30/09/2023</v>
          </cell>
          <cell r="AL398" t="str">
            <v>NSC95115</v>
          </cell>
          <cell r="AM398" t="str">
            <v>SINGLE PHASE ELECTRO-MAGNETIC KWH METER-TOD</v>
          </cell>
          <cell r="AN398" t="str">
            <v>POST PAID</v>
          </cell>
          <cell r="AO398">
            <v>500</v>
          </cell>
          <cell r="AP398" t="str">
            <v>TOD</v>
          </cell>
          <cell r="AQ398">
            <v>-294273.88</v>
          </cell>
          <cell r="AR398">
            <v>0</v>
          </cell>
          <cell r="AS398">
            <v>0</v>
          </cell>
          <cell r="AT398">
            <v>0</v>
          </cell>
          <cell r="AU398">
            <v>0</v>
          </cell>
          <cell r="AV398">
            <v>0</v>
          </cell>
          <cell r="AW398">
            <v>46692</v>
          </cell>
          <cell r="AX398">
            <v>47502</v>
          </cell>
          <cell r="AY398">
            <v>47502</v>
          </cell>
          <cell r="AZ398">
            <v>1294.32</v>
          </cell>
          <cell r="BA398">
            <v>158.88</v>
          </cell>
        </row>
        <row r="399">
          <cell r="F399">
            <v>121000000075</v>
          </cell>
          <cell r="G399" t="str">
            <v>M/S MAA MANGALA ICE FACTORY</v>
          </cell>
          <cell r="H399" t="str">
            <v>PROP- SMT. ANJULATA MOHANTY</v>
          </cell>
          <cell r="I399" t="str">
            <v>10/31/2020 00:00:00</v>
          </cell>
          <cell r="J399">
            <v>1</v>
          </cell>
          <cell r="K399" t="str">
            <v xml:space="preserve"> </v>
          </cell>
          <cell r="L399" t="str">
            <v xml:space="preserve"> </v>
          </cell>
          <cell r="M399" t="str">
            <v>421000010231492391</v>
          </cell>
          <cell r="N399" t="str">
            <v>1210000074</v>
          </cell>
          <cell r="O399" t="str">
            <v>B2D-117618</v>
          </cell>
          <cell r="P399" t="str">
            <v>442132107</v>
          </cell>
          <cell r="Q399" t="str">
            <v>LARGE INDUSTRY</v>
          </cell>
          <cell r="R399" t="str">
            <v>HT</v>
          </cell>
          <cell r="S399" t="str">
            <v>01/10/2023</v>
          </cell>
          <cell r="T399" t="str">
            <v>01/10/2023</v>
          </cell>
          <cell r="U399" t="str">
            <v>06/10/2023</v>
          </cell>
          <cell r="V399" t="str">
            <v>09/10/2023</v>
          </cell>
          <cell r="W399" t="str">
            <v>2023/09</v>
          </cell>
          <cell r="X399" t="str">
            <v>11 KV</v>
          </cell>
          <cell r="Y399" t="str">
            <v>HT</v>
          </cell>
          <cell r="Z399">
            <v>112</v>
          </cell>
          <cell r="AA399">
            <v>0.99970000000000003</v>
          </cell>
          <cell r="AB399">
            <v>14.72</v>
          </cell>
          <cell r="AC399" t="str">
            <v xml:space="preserve">01/09/2023 -     </v>
          </cell>
          <cell r="AD399" t="str">
            <v>30.09.2023</v>
          </cell>
          <cell r="AE399" t="str">
            <v>30/1.0000</v>
          </cell>
          <cell r="AF399">
            <v>140</v>
          </cell>
          <cell r="AG399" t="str">
            <v>KVA</v>
          </cell>
          <cell r="AH399">
            <v>140</v>
          </cell>
          <cell r="AI399" t="str">
            <v>R</v>
          </cell>
          <cell r="AJ399">
            <v>251731</v>
          </cell>
          <cell r="AK399" t="str">
            <v>30/09/2023</v>
          </cell>
          <cell r="AL399" t="str">
            <v>TPCANES50101</v>
          </cell>
          <cell r="AM399" t="str">
            <v>SINGLE PHASE ELECTRO-MAGNETIC KWH METER-TOD</v>
          </cell>
          <cell r="AN399" t="str">
            <v>POST PAID</v>
          </cell>
          <cell r="AO399">
            <v>150</v>
          </cell>
          <cell r="AP399" t="str">
            <v>TOD</v>
          </cell>
          <cell r="AQ399">
            <v>-1413.06</v>
          </cell>
          <cell r="AR399">
            <v>0</v>
          </cell>
          <cell r="AS399">
            <v>0</v>
          </cell>
          <cell r="AT399">
            <v>0</v>
          </cell>
          <cell r="AU399">
            <v>0</v>
          </cell>
          <cell r="AV399">
            <v>0</v>
          </cell>
          <cell r="AW399">
            <v>7137</v>
          </cell>
          <cell r="AX399">
            <v>7139</v>
          </cell>
          <cell r="AY399">
            <v>7139</v>
          </cell>
          <cell r="AZ399">
            <v>593.76</v>
          </cell>
          <cell r="BA399">
            <v>67.36</v>
          </cell>
        </row>
        <row r="400">
          <cell r="F400">
            <v>121000000076</v>
          </cell>
          <cell r="G400" t="str">
            <v>M/S SHYAM SUNDAR ICE FACTORY</v>
          </cell>
          <cell r="H400" t="str">
            <v>DHAMARA,</v>
          </cell>
          <cell r="I400" t="str">
            <v>10/31/2020 00:00:00</v>
          </cell>
          <cell r="J400">
            <v>1</v>
          </cell>
          <cell r="K400" t="str">
            <v xml:space="preserve"> </v>
          </cell>
          <cell r="L400" t="str">
            <v xml:space="preserve"> </v>
          </cell>
          <cell r="M400" t="str">
            <v>421000010231494906</v>
          </cell>
          <cell r="N400" t="str">
            <v>1210000075</v>
          </cell>
          <cell r="O400" t="str">
            <v>TB-73233(MI)</v>
          </cell>
          <cell r="P400" t="str">
            <v>442151202</v>
          </cell>
          <cell r="Q400" t="str">
            <v>LARGE INDUSTRY</v>
          </cell>
          <cell r="R400" t="str">
            <v>HT</v>
          </cell>
          <cell r="S400" t="str">
            <v>01/10/2023</v>
          </cell>
          <cell r="T400" t="str">
            <v>01/10/2023</v>
          </cell>
          <cell r="U400" t="str">
            <v>06/10/2023</v>
          </cell>
          <cell r="V400" t="str">
            <v>09/10/2023</v>
          </cell>
          <cell r="W400" t="str">
            <v>2023/09</v>
          </cell>
          <cell r="X400" t="str">
            <v>11 KV</v>
          </cell>
          <cell r="Y400" t="str">
            <v>HT</v>
          </cell>
          <cell r="Z400">
            <v>96</v>
          </cell>
          <cell r="AA400">
            <v>0.97770000000000001</v>
          </cell>
          <cell r="AB400">
            <v>27.07</v>
          </cell>
          <cell r="AC400" t="str">
            <v xml:space="preserve">27/08/2023 -     </v>
          </cell>
          <cell r="AD400" t="str">
            <v>30.09.2023</v>
          </cell>
          <cell r="AE400" t="str">
            <v>35/1.0000</v>
          </cell>
          <cell r="AF400">
            <v>120</v>
          </cell>
          <cell r="AG400" t="str">
            <v>KVA</v>
          </cell>
          <cell r="AH400">
            <v>120</v>
          </cell>
          <cell r="AI400" t="str">
            <v>R</v>
          </cell>
          <cell r="AJ400">
            <v>413899.54</v>
          </cell>
          <cell r="AK400" t="str">
            <v>30/09/2023</v>
          </cell>
          <cell r="AL400" t="str">
            <v>TPN64141</v>
          </cell>
          <cell r="AM400" t="str">
            <v>HT THREE PHASE 4 WIRE AMR/AMI COMPLAINT METER</v>
          </cell>
          <cell r="AN400" t="str">
            <v>POST PAID</v>
          </cell>
          <cell r="AO400">
            <v>150</v>
          </cell>
          <cell r="AP400" t="str">
            <v>TOD</v>
          </cell>
          <cell r="AQ400">
            <v>-51505.74</v>
          </cell>
          <cell r="AR400">
            <v>0</v>
          </cell>
          <cell r="AS400">
            <v>0</v>
          </cell>
          <cell r="AT400">
            <v>0</v>
          </cell>
          <cell r="AU400">
            <v>0</v>
          </cell>
          <cell r="AV400">
            <v>0</v>
          </cell>
          <cell r="AW400">
            <v>19425</v>
          </cell>
          <cell r="AX400">
            <v>19868</v>
          </cell>
          <cell r="AY400">
            <v>19868</v>
          </cell>
          <cell r="AZ400">
            <v>620.16</v>
          </cell>
          <cell r="BA400">
            <v>87.36</v>
          </cell>
        </row>
        <row r="401">
          <cell r="F401">
            <v>121000000077</v>
          </cell>
          <cell r="G401" t="str">
            <v>AMULYA MANDAL</v>
          </cell>
          <cell r="H401" t="str">
            <v>S/O- SRI DEBENDRA MANDAL</v>
          </cell>
          <cell r="I401" t="str">
            <v>10/31/2020 00:00:00</v>
          </cell>
          <cell r="J401">
            <v>1</v>
          </cell>
          <cell r="K401" t="str">
            <v xml:space="preserve"> </v>
          </cell>
          <cell r="L401" t="str">
            <v xml:space="preserve"> </v>
          </cell>
          <cell r="M401" t="str">
            <v>421000010231494180</v>
          </cell>
          <cell r="N401" t="str">
            <v>1210000076</v>
          </cell>
          <cell r="O401" t="str">
            <v>DBD-117624</v>
          </cell>
          <cell r="P401" t="str">
            <v>442152101</v>
          </cell>
          <cell r="Q401" t="str">
            <v>ALLIED AGRICULTURE ACTIVITIES</v>
          </cell>
          <cell r="R401" t="str">
            <v>HT</v>
          </cell>
          <cell r="S401" t="str">
            <v>01/10/2023</v>
          </cell>
          <cell r="T401" t="str">
            <v>01/10/2023</v>
          </cell>
          <cell r="U401" t="str">
            <v>09/10/2023</v>
          </cell>
          <cell r="V401" t="str">
            <v>09/10/2023</v>
          </cell>
          <cell r="W401" t="str">
            <v>2023/09</v>
          </cell>
          <cell r="X401" t="str">
            <v>11 KV</v>
          </cell>
          <cell r="Y401" t="str">
            <v>HT</v>
          </cell>
          <cell r="Z401">
            <v>256.32</v>
          </cell>
          <cell r="AA401">
            <v>0.79879999999999995</v>
          </cell>
          <cell r="AB401">
            <v>0</v>
          </cell>
          <cell r="AC401" t="str">
            <v xml:space="preserve">01/09/2023 -     </v>
          </cell>
          <cell r="AD401" t="str">
            <v>30.09.2023</v>
          </cell>
          <cell r="AE401" t="str">
            <v>30/1.0000</v>
          </cell>
          <cell r="AF401">
            <v>250</v>
          </cell>
          <cell r="AG401" t="str">
            <v>KVA</v>
          </cell>
          <cell r="AH401">
            <v>250</v>
          </cell>
          <cell r="AI401" t="str">
            <v>R</v>
          </cell>
          <cell r="AJ401">
            <v>160800</v>
          </cell>
          <cell r="AK401" t="str">
            <v>30/09/2023</v>
          </cell>
          <cell r="AL401" t="str">
            <v>TPCANES50349</v>
          </cell>
          <cell r="AM401" t="str">
            <v>SINGLE PHASE ELECTRO-MAGNETIC KWH METER-TOD</v>
          </cell>
          <cell r="AN401" t="str">
            <v>POST PAID</v>
          </cell>
          <cell r="AO401">
            <v>250</v>
          </cell>
          <cell r="AP401" t="str">
            <v>TOD</v>
          </cell>
          <cell r="AQ401">
            <v>-111852</v>
          </cell>
          <cell r="AR401">
            <v>0</v>
          </cell>
          <cell r="AS401">
            <v>0</v>
          </cell>
          <cell r="AT401">
            <v>0</v>
          </cell>
          <cell r="AU401">
            <v>0</v>
          </cell>
          <cell r="AV401">
            <v>0</v>
          </cell>
          <cell r="AW401">
            <v>49855</v>
          </cell>
          <cell r="AX401">
            <v>62412</v>
          </cell>
          <cell r="AY401">
            <v>62412</v>
          </cell>
          <cell r="AZ401">
            <v>867.68</v>
          </cell>
          <cell r="BA401">
            <v>256.32</v>
          </cell>
        </row>
        <row r="402">
          <cell r="F402">
            <v>121000000078</v>
          </cell>
          <cell r="G402" t="str">
            <v>M/S RAGHUNATH ICE FACTORY</v>
          </cell>
          <cell r="H402" t="str">
            <v>PROP-SRI DEEPAK KUMAR DAS</v>
          </cell>
          <cell r="I402" t="str">
            <v>10/31/2020 00:00:00</v>
          </cell>
          <cell r="J402">
            <v>1</v>
          </cell>
          <cell r="K402" t="str">
            <v xml:space="preserve"> </v>
          </cell>
          <cell r="L402" t="str">
            <v xml:space="preserve"> </v>
          </cell>
          <cell r="M402" t="str">
            <v>421000010231493951</v>
          </cell>
          <cell r="N402" t="str">
            <v>1210000077</v>
          </cell>
          <cell r="O402" t="str">
            <v>DDD-118098</v>
          </cell>
          <cell r="P402" t="str">
            <v>442151202</v>
          </cell>
          <cell r="Q402" t="str">
            <v>LARGE INDUSTRY</v>
          </cell>
          <cell r="R402" t="str">
            <v>HT</v>
          </cell>
          <cell r="S402" t="str">
            <v>01/10/2023</v>
          </cell>
          <cell r="T402" t="str">
            <v>01/10/2023</v>
          </cell>
          <cell r="U402" t="str">
            <v>06/10/2023</v>
          </cell>
          <cell r="V402" t="str">
            <v>09/10/2023</v>
          </cell>
          <cell r="W402" t="str">
            <v>2023/09</v>
          </cell>
          <cell r="X402" t="str">
            <v>11 KV</v>
          </cell>
          <cell r="Y402" t="str">
            <v>HT</v>
          </cell>
          <cell r="Z402">
            <v>120</v>
          </cell>
          <cell r="AA402">
            <v>0.98680000000000001</v>
          </cell>
          <cell r="AB402">
            <v>26.54</v>
          </cell>
          <cell r="AC402" t="str">
            <v xml:space="preserve">01/09/2023 -     </v>
          </cell>
          <cell r="AD402" t="str">
            <v>30.09.2023</v>
          </cell>
          <cell r="AE402" t="str">
            <v>30/1.0000</v>
          </cell>
          <cell r="AF402">
            <v>150</v>
          </cell>
          <cell r="AG402" t="str">
            <v>KVA</v>
          </cell>
          <cell r="AH402">
            <v>150</v>
          </cell>
          <cell r="AI402" t="str">
            <v>R</v>
          </cell>
          <cell r="AJ402">
            <v>312919.7</v>
          </cell>
          <cell r="AK402" t="str">
            <v>30/09/2023</v>
          </cell>
          <cell r="AL402" t="str">
            <v>TPCANES52370</v>
          </cell>
          <cell r="AM402" t="str">
            <v>SINGLE PHASE ELECTRO-MAGNETIC KWH METER-TOD</v>
          </cell>
          <cell r="AN402" t="str">
            <v>POST PAID</v>
          </cell>
          <cell r="AO402">
            <v>150</v>
          </cell>
          <cell r="AP402" t="str">
            <v>TOD</v>
          </cell>
          <cell r="AQ402">
            <v>-102802.96</v>
          </cell>
          <cell r="AR402">
            <v>0</v>
          </cell>
          <cell r="AS402">
            <v>0</v>
          </cell>
          <cell r="AT402">
            <v>0</v>
          </cell>
          <cell r="AU402">
            <v>0</v>
          </cell>
          <cell r="AV402">
            <v>0</v>
          </cell>
          <cell r="AW402">
            <v>19313</v>
          </cell>
          <cell r="AX402">
            <v>19570</v>
          </cell>
          <cell r="AY402">
            <v>19570</v>
          </cell>
          <cell r="AZ402">
            <v>670.4</v>
          </cell>
          <cell r="BA402">
            <v>102.4</v>
          </cell>
        </row>
        <row r="403">
          <cell r="F403">
            <v>121000000079</v>
          </cell>
          <cell r="G403" t="str">
            <v>M/S MAA JAMUNA ICE FACTORY</v>
          </cell>
          <cell r="H403" t="str">
            <v>PROP-SRI DEEPAK KUMAR PARIDA</v>
          </cell>
          <cell r="I403" t="str">
            <v>10/31/2020 00:00:00</v>
          </cell>
          <cell r="J403">
            <v>1</v>
          </cell>
          <cell r="K403" t="str">
            <v xml:space="preserve"> </v>
          </cell>
          <cell r="L403" t="str">
            <v xml:space="preserve"> </v>
          </cell>
          <cell r="M403" t="str">
            <v>421000010231494043</v>
          </cell>
          <cell r="N403" t="str">
            <v>1210000078</v>
          </cell>
          <cell r="O403" t="str">
            <v>DDD-118466</v>
          </cell>
          <cell r="P403" t="str">
            <v>442151203</v>
          </cell>
          <cell r="Q403" t="str">
            <v>LARGE INDUSTRY</v>
          </cell>
          <cell r="R403" t="str">
            <v>HT</v>
          </cell>
          <cell r="S403" t="str">
            <v>01/10/2023</v>
          </cell>
          <cell r="T403" t="str">
            <v>01/10/2023</v>
          </cell>
          <cell r="U403" t="str">
            <v>06/10/2023</v>
          </cell>
          <cell r="V403" t="str">
            <v>09/10/2023</v>
          </cell>
          <cell r="W403" t="str">
            <v>2023/09</v>
          </cell>
          <cell r="X403" t="str">
            <v>11 KV</v>
          </cell>
          <cell r="Y403" t="str">
            <v>HT</v>
          </cell>
          <cell r="Z403">
            <v>257.12</v>
          </cell>
          <cell r="AA403">
            <v>0.9859</v>
          </cell>
          <cell r="AB403">
            <v>27.57</v>
          </cell>
          <cell r="AC403" t="str">
            <v xml:space="preserve">01/09/2023 -     </v>
          </cell>
          <cell r="AD403" t="str">
            <v>30.09.2023</v>
          </cell>
          <cell r="AE403" t="str">
            <v>30/1.0000</v>
          </cell>
          <cell r="AF403">
            <v>211</v>
          </cell>
          <cell r="AG403" t="str">
            <v>KVA</v>
          </cell>
          <cell r="AH403">
            <v>211</v>
          </cell>
          <cell r="AI403" t="str">
            <v>R</v>
          </cell>
          <cell r="AJ403">
            <v>1090986.96</v>
          </cell>
          <cell r="AK403" t="str">
            <v>30/09/2023</v>
          </cell>
          <cell r="AL403" t="str">
            <v>TPCANES51965</v>
          </cell>
          <cell r="AM403" t="str">
            <v>SINGLE PHASE ELECTRO-MAGNETIC KWH METER-TOD</v>
          </cell>
          <cell r="AN403" t="str">
            <v>POST PAID</v>
          </cell>
          <cell r="AO403">
            <v>315</v>
          </cell>
          <cell r="AP403" t="str">
            <v>TOD</v>
          </cell>
          <cell r="AQ403">
            <v>-436479.76</v>
          </cell>
          <cell r="AR403">
            <v>0</v>
          </cell>
          <cell r="AS403">
            <v>0</v>
          </cell>
          <cell r="AT403">
            <v>0</v>
          </cell>
          <cell r="AU403">
            <v>0</v>
          </cell>
          <cell r="AV403">
            <v>0</v>
          </cell>
          <cell r="AW403">
            <v>50324</v>
          </cell>
          <cell r="AX403">
            <v>51040</v>
          </cell>
          <cell r="AY403">
            <v>51040</v>
          </cell>
          <cell r="AZ403">
            <v>1736.48</v>
          </cell>
          <cell r="BA403">
            <v>257.12</v>
          </cell>
        </row>
        <row r="404">
          <cell r="F404">
            <v>121000000080</v>
          </cell>
          <cell r="G404" t="str">
            <v>BHARAT KUMAR NAYAK</v>
          </cell>
          <cell r="H404" t="str">
            <v>S/O- GANAPATI NAYAK,JAYAKRUSHNAPURPATNA MISHRAPUR</v>
          </cell>
          <cell r="I404" t="str">
            <v>10/31/2020 00:00:00</v>
          </cell>
          <cell r="J404">
            <v>1</v>
          </cell>
          <cell r="K404" t="str">
            <v xml:space="preserve"> </v>
          </cell>
          <cell r="L404" t="str">
            <v xml:space="preserve"> </v>
          </cell>
          <cell r="M404" t="str">
            <v>421000010232495827</v>
          </cell>
          <cell r="N404" t="str">
            <v>1210000079</v>
          </cell>
          <cell r="O404" t="str">
            <v>B1D-118485</v>
          </cell>
          <cell r="P404" t="str">
            <v>442132102</v>
          </cell>
          <cell r="Q404" t="str">
            <v>ALLIED AGRICULTURE ACTIVITIES</v>
          </cell>
          <cell r="R404" t="str">
            <v>HT</v>
          </cell>
          <cell r="S404" t="str">
            <v>01/10/2023</v>
          </cell>
          <cell r="T404" t="str">
            <v>01/10/2023</v>
          </cell>
          <cell r="U404" t="str">
            <v>09/10/2023</v>
          </cell>
          <cell r="V404" t="str">
            <v>09/10/2023</v>
          </cell>
          <cell r="W404" t="str">
            <v>2023/09</v>
          </cell>
          <cell r="X404" t="str">
            <v>11 KV</v>
          </cell>
          <cell r="Y404" t="str">
            <v>HT</v>
          </cell>
          <cell r="Z404">
            <v>167</v>
          </cell>
          <cell r="AA404">
            <v>0</v>
          </cell>
          <cell r="AB404">
            <v>0</v>
          </cell>
          <cell r="AC404" t="str">
            <v xml:space="preserve">30/08/2023 -     </v>
          </cell>
          <cell r="AD404" t="str">
            <v>30.09.2023</v>
          </cell>
          <cell r="AE404" t="str">
            <v>32/1.0000</v>
          </cell>
          <cell r="AF404">
            <v>167</v>
          </cell>
          <cell r="AG404" t="str">
            <v>KVA</v>
          </cell>
          <cell r="AH404">
            <v>167</v>
          </cell>
          <cell r="AI404" t="str">
            <v>R</v>
          </cell>
          <cell r="AJ404">
            <v>75300</v>
          </cell>
          <cell r="AK404" t="str">
            <v>30/09/2023</v>
          </cell>
          <cell r="AL404" t="str">
            <v>NSC94882</v>
          </cell>
          <cell r="AM404" t="str">
            <v>TRI-VECTOR METER FOR RAILWAY TRACTION</v>
          </cell>
          <cell r="AN404" t="str">
            <v>POST PAID</v>
          </cell>
          <cell r="AO404">
            <v>250</v>
          </cell>
          <cell r="AP404" t="str">
            <v>TOD</v>
          </cell>
          <cell r="AQ404">
            <v>-22063.8</v>
          </cell>
          <cell r="AR404">
            <v>0</v>
          </cell>
          <cell r="AS404">
            <v>0</v>
          </cell>
          <cell r="AT404">
            <v>0</v>
          </cell>
          <cell r="AU404">
            <v>0</v>
          </cell>
          <cell r="AV404">
            <v>0</v>
          </cell>
          <cell r="AW404">
            <v>0</v>
          </cell>
          <cell r="AX404">
            <v>0</v>
          </cell>
          <cell r="AY404">
            <v>0</v>
          </cell>
          <cell r="AZ404">
            <v>0</v>
          </cell>
          <cell r="BA404">
            <v>0</v>
          </cell>
        </row>
        <row r="405">
          <cell r="F405">
            <v>121000000081</v>
          </cell>
          <cell r="G405" t="str">
            <v>MEDICAL OFFICER CHC, BASUDEVPUR</v>
          </cell>
          <cell r="H405" t="str">
            <v>BASUDEVPUR,BHADRAK</v>
          </cell>
          <cell r="I405" t="str">
            <v>10/31/2020 00:00:00</v>
          </cell>
          <cell r="J405">
            <v>1</v>
          </cell>
          <cell r="K405" t="str">
            <v xml:space="preserve"> </v>
          </cell>
          <cell r="L405" t="str">
            <v xml:space="preserve"> </v>
          </cell>
          <cell r="M405" t="str">
            <v>421000010231492472</v>
          </cell>
          <cell r="N405" t="str">
            <v>1210000080</v>
          </cell>
          <cell r="O405" t="str">
            <v>TB-72975</v>
          </cell>
          <cell r="P405" t="str">
            <v>442132104</v>
          </cell>
          <cell r="Q405" t="str">
            <v>SPECIFIED PUBLIC PURPOSE</v>
          </cell>
          <cell r="R405" t="str">
            <v>HT</v>
          </cell>
          <cell r="S405" t="str">
            <v>01/10/2023</v>
          </cell>
          <cell r="T405" t="str">
            <v>01/10/2023</v>
          </cell>
          <cell r="U405" t="str">
            <v>06/10/2023</v>
          </cell>
          <cell r="V405" t="str">
            <v>09/10/2023</v>
          </cell>
          <cell r="W405" t="str">
            <v>2023/09</v>
          </cell>
          <cell r="X405" t="str">
            <v>11 KV</v>
          </cell>
          <cell r="Y405" t="str">
            <v>HT</v>
          </cell>
          <cell r="Z405">
            <v>197.6</v>
          </cell>
          <cell r="AA405">
            <v>0.9617</v>
          </cell>
          <cell r="AB405">
            <v>39.520000000000003</v>
          </cell>
          <cell r="AC405" t="str">
            <v xml:space="preserve">01/09/2023 -     </v>
          </cell>
          <cell r="AD405" t="str">
            <v>30.09.2023</v>
          </cell>
          <cell r="AE405" t="str">
            <v>30/1.0000</v>
          </cell>
          <cell r="AF405">
            <v>247</v>
          </cell>
          <cell r="AG405" t="str">
            <v>KVA</v>
          </cell>
          <cell r="AH405">
            <v>247</v>
          </cell>
          <cell r="AI405" t="str">
            <v>R</v>
          </cell>
          <cell r="AJ405">
            <v>612580</v>
          </cell>
          <cell r="AK405" t="str">
            <v>30/09/2023</v>
          </cell>
          <cell r="AL405" t="str">
            <v>TPCANSC94733</v>
          </cell>
          <cell r="AM405" t="str">
            <v>SINGLE PHASE ELECTRO-MAGNETIC KWH METER-TOD</v>
          </cell>
          <cell r="AN405" t="str">
            <v>POST PAID</v>
          </cell>
          <cell r="AO405">
            <v>500</v>
          </cell>
          <cell r="AP405" t="str">
            <v>TOD</v>
          </cell>
          <cell r="AQ405">
            <v>-414657.6</v>
          </cell>
          <cell r="AR405">
            <v>0</v>
          </cell>
          <cell r="AS405">
            <v>0</v>
          </cell>
          <cell r="AT405">
            <v>0</v>
          </cell>
          <cell r="AU405">
            <v>0</v>
          </cell>
          <cell r="AV405">
            <v>0</v>
          </cell>
          <cell r="AW405">
            <v>12260</v>
          </cell>
          <cell r="AX405">
            <v>12748</v>
          </cell>
          <cell r="AY405">
            <v>12748</v>
          </cell>
          <cell r="AZ405">
            <v>309.92</v>
          </cell>
          <cell r="BA405">
            <v>44.800000000000004</v>
          </cell>
        </row>
        <row r="406">
          <cell r="F406">
            <v>121000000082</v>
          </cell>
          <cell r="G406" t="str">
            <v>M/S R.K. CHEMICALS</v>
          </cell>
          <cell r="H406" t="str">
            <v>PROP-RATNAKAR MALLIK,AT-TARAGAON(SAMIL)PO-ICHHAPUR</v>
          </cell>
          <cell r="I406" t="str">
            <v>01/07/2021 00:00:00</v>
          </cell>
          <cell r="J406">
            <v>1</v>
          </cell>
          <cell r="K406" t="str">
            <v xml:space="preserve"> </v>
          </cell>
          <cell r="L406" t="str">
            <v xml:space="preserve"> </v>
          </cell>
          <cell r="M406" t="str">
            <v>421000010231492360</v>
          </cell>
          <cell r="N406" t="str">
            <v>1210000081</v>
          </cell>
          <cell r="O406" t="str">
            <v>BZD-118593</v>
          </cell>
          <cell r="P406" t="str">
            <v>442141301</v>
          </cell>
          <cell r="Q406" t="str">
            <v>LARGE INDUSTRY</v>
          </cell>
          <cell r="R406" t="str">
            <v>HT</v>
          </cell>
          <cell r="S406" t="str">
            <v>01/10/2023</v>
          </cell>
          <cell r="T406" t="str">
            <v>01/10/2023</v>
          </cell>
          <cell r="U406" t="str">
            <v>06/10/2023</v>
          </cell>
          <cell r="V406" t="str">
            <v>09/10/2023</v>
          </cell>
          <cell r="W406" t="str">
            <v>2023/09</v>
          </cell>
          <cell r="X406" t="str">
            <v>11 KV</v>
          </cell>
          <cell r="Y406" t="str">
            <v>HT</v>
          </cell>
          <cell r="Z406">
            <v>128.80000000000001</v>
          </cell>
          <cell r="AA406">
            <v>0.995</v>
          </cell>
          <cell r="AB406">
            <v>18.940000000000001</v>
          </cell>
          <cell r="AC406" t="str">
            <v xml:space="preserve">01/09/2023 -     </v>
          </cell>
          <cell r="AD406" t="str">
            <v>30.09.2023</v>
          </cell>
          <cell r="AE406" t="str">
            <v>30/1.0000</v>
          </cell>
          <cell r="AF406">
            <v>161</v>
          </cell>
          <cell r="AG406" t="str">
            <v>KVA</v>
          </cell>
          <cell r="AH406">
            <v>161</v>
          </cell>
          <cell r="AI406" t="str">
            <v>R</v>
          </cell>
          <cell r="AJ406">
            <v>823932</v>
          </cell>
          <cell r="AK406" t="str">
            <v>30/09/2023</v>
          </cell>
          <cell r="AL406" t="str">
            <v>NSC94546</v>
          </cell>
          <cell r="AM406" t="str">
            <v>HT THREE PHASE 3 WIRE AMR/AMI COMPLIANT METER</v>
          </cell>
          <cell r="AN406" t="str">
            <v>POST PAID</v>
          </cell>
          <cell r="AO406">
            <v>250</v>
          </cell>
          <cell r="AP406" t="str">
            <v>TOD</v>
          </cell>
          <cell r="AQ406">
            <v>-665265.1</v>
          </cell>
          <cell r="AR406">
            <v>0</v>
          </cell>
          <cell r="AS406">
            <v>0</v>
          </cell>
          <cell r="AT406">
            <v>0</v>
          </cell>
          <cell r="AU406">
            <v>0</v>
          </cell>
          <cell r="AV406">
            <v>0</v>
          </cell>
          <cell r="AW406">
            <v>9087</v>
          </cell>
          <cell r="AX406">
            <v>9132</v>
          </cell>
          <cell r="AY406">
            <v>9132</v>
          </cell>
          <cell r="AZ406">
            <v>445.2</v>
          </cell>
          <cell r="BA406">
            <v>66.960000000000008</v>
          </cell>
        </row>
        <row r="407">
          <cell r="F407">
            <v>121000000083</v>
          </cell>
          <cell r="G407" t="str">
            <v>SIBIRA KUMAR PARIDA</v>
          </cell>
          <cell r="H407" t="str">
            <v>S/O- RATNAKAR PARIDA,JAYADURGAPATNADHAMARA , BHADRAK</v>
          </cell>
          <cell r="I407" t="str">
            <v>02/06/2021 00:00:00</v>
          </cell>
          <cell r="J407">
            <v>1</v>
          </cell>
          <cell r="K407" t="str">
            <v xml:space="preserve"> </v>
          </cell>
          <cell r="L407" t="str">
            <v xml:space="preserve"> </v>
          </cell>
          <cell r="M407" t="str">
            <v>421000010231494278</v>
          </cell>
          <cell r="N407" t="str">
            <v>1210000082</v>
          </cell>
          <cell r="O407" t="str">
            <v>DBD-117259</v>
          </cell>
          <cell r="P407" t="str">
            <v>442151203</v>
          </cell>
          <cell r="Q407" t="str">
            <v>LARGE INDUSTRY</v>
          </cell>
          <cell r="R407" t="str">
            <v>HT</v>
          </cell>
          <cell r="S407" t="str">
            <v>01/10/2023</v>
          </cell>
          <cell r="T407" t="str">
            <v>01/10/2023</v>
          </cell>
          <cell r="U407" t="str">
            <v>06/10/2023</v>
          </cell>
          <cell r="V407" t="str">
            <v>09/10/2023</v>
          </cell>
          <cell r="W407" t="str">
            <v>2023/09</v>
          </cell>
          <cell r="X407" t="str">
            <v>11 KV</v>
          </cell>
          <cell r="Y407" t="str">
            <v>HT</v>
          </cell>
          <cell r="Z407">
            <v>133.6</v>
          </cell>
          <cell r="AA407">
            <v>0.92710000000000004</v>
          </cell>
          <cell r="AB407">
            <v>33.979999999999997</v>
          </cell>
          <cell r="AC407" t="str">
            <v xml:space="preserve">01/09/2023 -     </v>
          </cell>
          <cell r="AD407" t="str">
            <v>30.09.2023</v>
          </cell>
          <cell r="AE407" t="str">
            <v>30/1.0000</v>
          </cell>
          <cell r="AF407">
            <v>154</v>
          </cell>
          <cell r="AG407" t="str">
            <v>KVA</v>
          </cell>
          <cell r="AH407">
            <v>154</v>
          </cell>
          <cell r="AI407" t="str">
            <v>R</v>
          </cell>
          <cell r="AJ407">
            <v>843448.7</v>
          </cell>
          <cell r="AK407" t="str">
            <v>30/09/2023</v>
          </cell>
          <cell r="AL407" t="str">
            <v>NSC95005</v>
          </cell>
          <cell r="AM407" t="str">
            <v>TRI-VECTOR METER FOR RAILWAY TRACTION</v>
          </cell>
          <cell r="AN407" t="str">
            <v>POST PAID</v>
          </cell>
          <cell r="AO407">
            <v>250</v>
          </cell>
          <cell r="AP407" t="str">
            <v>TOD</v>
          </cell>
          <cell r="AQ407">
            <v>-552982.69999999995</v>
          </cell>
          <cell r="AR407">
            <v>0</v>
          </cell>
          <cell r="AS407">
            <v>0</v>
          </cell>
          <cell r="AT407">
            <v>0</v>
          </cell>
          <cell r="AU407">
            <v>0</v>
          </cell>
          <cell r="AV407">
            <v>0</v>
          </cell>
          <cell r="AW407">
            <v>30307</v>
          </cell>
          <cell r="AX407">
            <v>32690</v>
          </cell>
          <cell r="AY407">
            <v>32690</v>
          </cell>
          <cell r="AZ407">
            <v>754.88</v>
          </cell>
          <cell r="BA407">
            <v>133.6</v>
          </cell>
        </row>
        <row r="408">
          <cell r="F408">
            <v>121000000084</v>
          </cell>
          <cell r="G408" t="str">
            <v>HIMADRI BHUSAN NAYAK</v>
          </cell>
          <cell r="H408" t="str">
            <v>S/O- LATE PADMALOCHAN NAYAK</v>
          </cell>
          <cell r="I408" t="str">
            <v>03/13/2021 00:00:00</v>
          </cell>
          <cell r="J408">
            <v>1</v>
          </cell>
          <cell r="K408" t="str">
            <v xml:space="preserve"> </v>
          </cell>
          <cell r="L408" t="str">
            <v xml:space="preserve"> </v>
          </cell>
          <cell r="M408" t="str">
            <v>421000010231493282</v>
          </cell>
          <cell r="N408" t="str">
            <v>1210000083</v>
          </cell>
          <cell r="O408" t="str">
            <v>DBD-117672</v>
          </cell>
          <cell r="P408" t="str">
            <v>442152102</v>
          </cell>
          <cell r="Q408" t="str">
            <v>ALLIED AGRICULTURE ACTIVITIES</v>
          </cell>
          <cell r="R408" t="str">
            <v>HT</v>
          </cell>
          <cell r="S408" t="str">
            <v>01/10/2023</v>
          </cell>
          <cell r="T408" t="str">
            <v>01/10/2023</v>
          </cell>
          <cell r="U408" t="str">
            <v>09/10/2023</v>
          </cell>
          <cell r="V408" t="str">
            <v>09/10/2023</v>
          </cell>
          <cell r="W408" t="str">
            <v>2023/09</v>
          </cell>
          <cell r="X408" t="str">
            <v>11 KV</v>
          </cell>
          <cell r="Y408" t="str">
            <v>HT</v>
          </cell>
          <cell r="Z408">
            <v>134</v>
          </cell>
          <cell r="AA408">
            <v>0.60899999999999999</v>
          </cell>
          <cell r="AB408">
            <v>0</v>
          </cell>
          <cell r="AC408" t="str">
            <v xml:space="preserve">01/09/2023 -     </v>
          </cell>
          <cell r="AD408" t="str">
            <v>30.09.2023</v>
          </cell>
          <cell r="AE408" t="str">
            <v>30/1.0000</v>
          </cell>
          <cell r="AF408">
            <v>134</v>
          </cell>
          <cell r="AG408" t="str">
            <v>KVA</v>
          </cell>
          <cell r="AH408">
            <v>134</v>
          </cell>
          <cell r="AI408" t="str">
            <v>R</v>
          </cell>
          <cell r="AJ408">
            <v>58740</v>
          </cell>
          <cell r="AK408" t="str">
            <v>30/09/2023</v>
          </cell>
          <cell r="AL408" t="str">
            <v>NSC95019</v>
          </cell>
          <cell r="AM408" t="str">
            <v>SINGLE PHASE ELECTRO-MAGNETIC KWH METER-TOD</v>
          </cell>
          <cell r="AN408" t="str">
            <v>POST PAID</v>
          </cell>
          <cell r="AO408">
            <v>250</v>
          </cell>
          <cell r="AP408" t="str">
            <v>TOD</v>
          </cell>
          <cell r="AQ408">
            <v>-35973</v>
          </cell>
          <cell r="AR408">
            <v>0</v>
          </cell>
          <cell r="AS408">
            <v>0</v>
          </cell>
          <cell r="AT408">
            <v>0</v>
          </cell>
          <cell r="AU408">
            <v>0</v>
          </cell>
          <cell r="AV408">
            <v>0</v>
          </cell>
          <cell r="AW408">
            <v>402</v>
          </cell>
          <cell r="AX408">
            <v>660</v>
          </cell>
          <cell r="AY408">
            <v>660</v>
          </cell>
          <cell r="AZ408">
            <v>235.44</v>
          </cell>
          <cell r="BA408">
            <v>1.9200000000000002</v>
          </cell>
        </row>
        <row r="409">
          <cell r="F409">
            <v>121000000085</v>
          </cell>
          <cell r="G409" t="str">
            <v>Sri Ramesh Chandra Dixit</v>
          </cell>
          <cell r="H409" t="str">
            <v xml:space="preserve"> </v>
          </cell>
          <cell r="I409" t="str">
            <v>05/01/2021 00:00:00</v>
          </cell>
          <cell r="J409">
            <v>1</v>
          </cell>
          <cell r="K409" t="str">
            <v>Apartipur,Matipaka,Bhadrak</v>
          </cell>
          <cell r="L409" t="str">
            <v xml:space="preserve"> </v>
          </cell>
          <cell r="M409" t="str">
            <v>421000010231493219</v>
          </cell>
          <cell r="N409" t="str">
            <v>132100000015</v>
          </cell>
          <cell r="O409" t="str">
            <v>421000000022</v>
          </cell>
          <cell r="P409" t="str">
            <v>442132102</v>
          </cell>
          <cell r="Q409" t="str">
            <v>ALLIED AGRICULTURE ACTIVITIES</v>
          </cell>
          <cell r="R409" t="str">
            <v>HT</v>
          </cell>
          <cell r="S409" t="str">
            <v>01/10/2023</v>
          </cell>
          <cell r="T409" t="str">
            <v>01/10/2023</v>
          </cell>
          <cell r="U409" t="str">
            <v>09/10/2023</v>
          </cell>
          <cell r="V409" t="str">
            <v>09/10/2023</v>
          </cell>
          <cell r="W409" t="str">
            <v>2023/09</v>
          </cell>
          <cell r="X409" t="str">
            <v>11 KV</v>
          </cell>
          <cell r="Y409" t="str">
            <v>HT</v>
          </cell>
          <cell r="Z409">
            <v>167</v>
          </cell>
          <cell r="AA409">
            <v>0.72199999999999998</v>
          </cell>
          <cell r="AB409">
            <v>0</v>
          </cell>
          <cell r="AC409" t="str">
            <v xml:space="preserve">01/09/2023 -     </v>
          </cell>
          <cell r="AD409" t="str">
            <v>30.09.2023</v>
          </cell>
          <cell r="AE409" t="str">
            <v>30/1.0000</v>
          </cell>
          <cell r="AF409">
            <v>167</v>
          </cell>
          <cell r="AG409" t="str">
            <v>KVA</v>
          </cell>
          <cell r="AH409">
            <v>167</v>
          </cell>
          <cell r="AI409" t="str">
            <v>R</v>
          </cell>
          <cell r="AJ409">
            <v>73316</v>
          </cell>
          <cell r="AK409" t="str">
            <v>30/09/2023</v>
          </cell>
          <cell r="AL409" t="str">
            <v>NSC94510</v>
          </cell>
          <cell r="AM409" t="str">
            <v>HT THREE PHASE 3 WIRE AMR/AMI COMPLIANT METER</v>
          </cell>
          <cell r="AN409" t="str">
            <v>POST PAID</v>
          </cell>
          <cell r="AO409">
            <v>250</v>
          </cell>
          <cell r="AP409" t="str">
            <v>TOD</v>
          </cell>
          <cell r="AQ409">
            <v>-26312</v>
          </cell>
          <cell r="AR409">
            <v>0</v>
          </cell>
          <cell r="AS409">
            <v>0</v>
          </cell>
          <cell r="AT409">
            <v>0</v>
          </cell>
          <cell r="AU409">
            <v>0</v>
          </cell>
          <cell r="AV409">
            <v>0</v>
          </cell>
          <cell r="AW409">
            <v>15390</v>
          </cell>
          <cell r="AX409">
            <v>21314</v>
          </cell>
          <cell r="AY409">
            <v>21314</v>
          </cell>
          <cell r="AZ409">
            <v>990.36</v>
          </cell>
          <cell r="BA409">
            <v>112.44000000000001</v>
          </cell>
        </row>
        <row r="410">
          <cell r="F410">
            <v>121000000086</v>
          </cell>
          <cell r="G410" t="str">
            <v>Sri Ajaya Kumar Dhal</v>
          </cell>
          <cell r="H410" t="str">
            <v xml:space="preserve"> </v>
          </cell>
          <cell r="I410" t="str">
            <v>05/01/2021 00:00:00</v>
          </cell>
          <cell r="J410">
            <v>1</v>
          </cell>
          <cell r="K410" t="str">
            <v>Biswanathpur,Jashipur,Tihidi</v>
          </cell>
          <cell r="L410" t="str">
            <v xml:space="preserve"> </v>
          </cell>
          <cell r="M410" t="str">
            <v>421000010231492507</v>
          </cell>
          <cell r="N410" t="str">
            <v>132100000008</v>
          </cell>
          <cell r="O410" t="str">
            <v>421000000020</v>
          </cell>
          <cell r="P410" t="str">
            <v>442123403</v>
          </cell>
          <cell r="Q410" t="str">
            <v>ALLIED AGRICULTURE ACTIVITIES</v>
          </cell>
          <cell r="R410" t="str">
            <v>HT</v>
          </cell>
          <cell r="S410" t="str">
            <v>01/10/2023</v>
          </cell>
          <cell r="T410" t="str">
            <v>01/10/2023</v>
          </cell>
          <cell r="U410" t="str">
            <v>09/10/2023</v>
          </cell>
          <cell r="V410" t="str">
            <v>09/10/2023</v>
          </cell>
          <cell r="W410" t="str">
            <v>2023/09</v>
          </cell>
          <cell r="X410" t="str">
            <v>11 KV</v>
          </cell>
          <cell r="Y410" t="str">
            <v>HT</v>
          </cell>
          <cell r="Z410">
            <v>334</v>
          </cell>
          <cell r="AA410">
            <v>0.54249999999999998</v>
          </cell>
          <cell r="AB410">
            <v>0</v>
          </cell>
          <cell r="AC410" t="str">
            <v xml:space="preserve">01/09/2023 -     </v>
          </cell>
          <cell r="AD410" t="str">
            <v>30.09.2023</v>
          </cell>
          <cell r="AE410" t="str">
            <v>30/1.0000</v>
          </cell>
          <cell r="AF410">
            <v>334</v>
          </cell>
          <cell r="AG410" t="str">
            <v>KVA</v>
          </cell>
          <cell r="AH410">
            <v>334</v>
          </cell>
          <cell r="AI410" t="str">
            <v>R</v>
          </cell>
          <cell r="AJ410">
            <v>164328</v>
          </cell>
          <cell r="AK410" t="str">
            <v>30/09/2023</v>
          </cell>
          <cell r="AL410" t="str">
            <v>NSC94632</v>
          </cell>
          <cell r="AM410" t="str">
            <v>HT THREE PHASE 4 WIRE AMR/AMI COMPLAINT METER</v>
          </cell>
          <cell r="AN410" t="str">
            <v>POST PAID</v>
          </cell>
          <cell r="AO410">
            <v>500</v>
          </cell>
          <cell r="AP410" t="str">
            <v>TOD</v>
          </cell>
          <cell r="AQ410">
            <v>-66303</v>
          </cell>
          <cell r="AR410">
            <v>0</v>
          </cell>
          <cell r="AS410">
            <v>0</v>
          </cell>
          <cell r="AT410">
            <v>0</v>
          </cell>
          <cell r="AU410">
            <v>0</v>
          </cell>
          <cell r="AV410">
            <v>0</v>
          </cell>
          <cell r="AW410">
            <v>12738</v>
          </cell>
          <cell r="AX410">
            <v>23478</v>
          </cell>
          <cell r="AY410">
            <v>23478</v>
          </cell>
          <cell r="AZ410">
            <v>841.2</v>
          </cell>
          <cell r="BA410">
            <v>94.08</v>
          </cell>
        </row>
        <row r="411">
          <cell r="F411">
            <v>121000000087</v>
          </cell>
          <cell r="G411" t="str">
            <v>M/S Symbol Agro Foods, Prop-Sri Rajendra Ku Nayak</v>
          </cell>
          <cell r="H411" t="str">
            <v xml:space="preserve"> </v>
          </cell>
          <cell r="I411" t="str">
            <v>05/01/2021 00:00:00</v>
          </cell>
          <cell r="J411">
            <v>1</v>
          </cell>
          <cell r="K411" t="str">
            <v>Bedeipur,Basudevpur,Dhamara</v>
          </cell>
          <cell r="L411" t="str">
            <v xml:space="preserve"> </v>
          </cell>
          <cell r="M411" t="str">
            <v>421000010231493088</v>
          </cell>
          <cell r="N411" t="str">
            <v>132100000010</v>
          </cell>
          <cell r="O411" t="str">
            <v xml:space="preserve"> </v>
          </cell>
          <cell r="P411" t="str">
            <v>43207406002</v>
          </cell>
          <cell r="Q411" t="str">
            <v>LARGE INDUSTRY</v>
          </cell>
          <cell r="R411" t="str">
            <v>HT</v>
          </cell>
          <cell r="S411" t="str">
            <v>01/10/2023</v>
          </cell>
          <cell r="T411" t="str">
            <v>01/10/2023</v>
          </cell>
          <cell r="U411" t="str">
            <v>06/10/2023</v>
          </cell>
          <cell r="V411" t="str">
            <v>09/10/2023</v>
          </cell>
          <cell r="W411" t="str">
            <v>2023/09</v>
          </cell>
          <cell r="X411" t="str">
            <v>33 KV</v>
          </cell>
          <cell r="Y411" t="str">
            <v>HT</v>
          </cell>
          <cell r="Z411">
            <v>449.6</v>
          </cell>
          <cell r="AA411">
            <v>0.99960000000000004</v>
          </cell>
          <cell r="AB411">
            <v>42.93</v>
          </cell>
          <cell r="AC411" t="str">
            <v xml:space="preserve">01/09/2023 -     </v>
          </cell>
          <cell r="AD411" t="str">
            <v>30.09.2023</v>
          </cell>
          <cell r="AE411" t="str">
            <v>30/1.0000</v>
          </cell>
          <cell r="AF411">
            <v>562</v>
          </cell>
          <cell r="AG411" t="str">
            <v>KVA</v>
          </cell>
          <cell r="AH411">
            <v>562</v>
          </cell>
          <cell r="AI411" t="str">
            <v>R</v>
          </cell>
          <cell r="AJ411">
            <v>2974329</v>
          </cell>
          <cell r="AK411" t="str">
            <v>30/09/2023</v>
          </cell>
          <cell r="AL411" t="str">
            <v>NSC94442</v>
          </cell>
          <cell r="AM411" t="str">
            <v>THREE PHASE HT CT METER-33KV</v>
          </cell>
          <cell r="AN411" t="str">
            <v>POST PAID</v>
          </cell>
          <cell r="AO411">
            <v>750</v>
          </cell>
          <cell r="AP411" t="str">
            <v>TOD</v>
          </cell>
          <cell r="AQ411">
            <v>-2301536</v>
          </cell>
          <cell r="AR411">
            <v>0</v>
          </cell>
          <cell r="AS411">
            <v>0</v>
          </cell>
          <cell r="AT411">
            <v>0</v>
          </cell>
          <cell r="AU411">
            <v>0</v>
          </cell>
          <cell r="AV411">
            <v>0</v>
          </cell>
          <cell r="AW411">
            <v>114366</v>
          </cell>
          <cell r="AX411">
            <v>114402</v>
          </cell>
          <cell r="AY411">
            <v>114402</v>
          </cell>
          <cell r="AZ411">
            <v>2302.08</v>
          </cell>
          <cell r="BA411">
            <v>370.08</v>
          </cell>
        </row>
        <row r="412">
          <cell r="F412">
            <v>121000000088</v>
          </cell>
          <cell r="G412" t="str">
            <v>NITYANANDA MANDAL</v>
          </cell>
          <cell r="H412" t="str">
            <v xml:space="preserve">C/O- SUDAM MANDAL                  </v>
          </cell>
          <cell r="I412" t="str">
            <v>01/25/2021 00:00:00</v>
          </cell>
          <cell r="J412">
            <v>1</v>
          </cell>
          <cell r="K412" t="str">
            <v xml:space="preserve">RAJENDRAPALLI                      </v>
          </cell>
          <cell r="L412" t="str">
            <v xml:space="preserve">CHARDIA                            </v>
          </cell>
          <cell r="M412" t="str">
            <v>421000010231492370</v>
          </cell>
          <cell r="N412" t="str">
            <v>34212040414</v>
          </cell>
          <cell r="O412" t="str">
            <v xml:space="preserve"> </v>
          </cell>
          <cell r="P412" t="str">
            <v>442122503</v>
          </cell>
          <cell r="Q412" t="str">
            <v>LARGE INDUSTRY</v>
          </cell>
          <cell r="R412" t="str">
            <v>HT</v>
          </cell>
          <cell r="S412" t="str">
            <v>01/10/2023</v>
          </cell>
          <cell r="T412" t="str">
            <v>01/10/2023</v>
          </cell>
          <cell r="U412" t="str">
            <v>06/10/2023</v>
          </cell>
          <cell r="V412" t="str">
            <v>09/10/2023</v>
          </cell>
          <cell r="W412" t="str">
            <v>2023/09</v>
          </cell>
          <cell r="X412" t="str">
            <v>11 KV</v>
          </cell>
          <cell r="Y412" t="str">
            <v>HT</v>
          </cell>
          <cell r="Z412">
            <v>106.4</v>
          </cell>
          <cell r="AA412">
            <v>0.98839999999999995</v>
          </cell>
          <cell r="AB412">
            <v>25.13</v>
          </cell>
          <cell r="AC412" t="str">
            <v xml:space="preserve">01/09/2023 -     </v>
          </cell>
          <cell r="AD412" t="str">
            <v>30.09.2023</v>
          </cell>
          <cell r="AE412" t="str">
            <v>30/1.0000</v>
          </cell>
          <cell r="AF412">
            <v>133</v>
          </cell>
          <cell r="AG412" t="str">
            <v>KVA</v>
          </cell>
          <cell r="AH412">
            <v>133</v>
          </cell>
          <cell r="AI412" t="str">
            <v>R</v>
          </cell>
          <cell r="AJ412">
            <v>681961</v>
          </cell>
          <cell r="AK412" t="str">
            <v>30/09/2023</v>
          </cell>
          <cell r="AL412" t="str">
            <v>TPN64203</v>
          </cell>
          <cell r="AM412" t="str">
            <v>HT THREE PHASE 4 WIRE AMR/AMI COMPLAINT METER</v>
          </cell>
          <cell r="AN412" t="str">
            <v>POST PAID</v>
          </cell>
          <cell r="AO412">
            <v>250</v>
          </cell>
          <cell r="AP412" t="str">
            <v>TOD</v>
          </cell>
          <cell r="AQ412">
            <v>-369602.26</v>
          </cell>
          <cell r="AR412">
            <v>0</v>
          </cell>
          <cell r="AS412">
            <v>0</v>
          </cell>
          <cell r="AT412">
            <v>0</v>
          </cell>
          <cell r="AU412">
            <v>0</v>
          </cell>
          <cell r="AV412">
            <v>0</v>
          </cell>
          <cell r="AW412">
            <v>14291</v>
          </cell>
          <cell r="AX412">
            <v>14458</v>
          </cell>
          <cell r="AY412">
            <v>14458</v>
          </cell>
          <cell r="AZ412">
            <v>599.76</v>
          </cell>
          <cell r="BA412">
            <v>79.92</v>
          </cell>
        </row>
        <row r="413">
          <cell r="F413">
            <v>121000000089</v>
          </cell>
          <cell r="G413" t="str">
            <v>SRI DEEPAK KUMAR PARIDA</v>
          </cell>
          <cell r="H413" t="str">
            <v>KHATA NO:135/195,PLOT NO:203/642,210/644,202/643</v>
          </cell>
          <cell r="I413" t="str">
            <v>09/02/2021 00:00:00</v>
          </cell>
          <cell r="J413">
            <v>1</v>
          </cell>
          <cell r="K413" t="str">
            <v>HARIDASPUR</v>
          </cell>
          <cell r="L413" t="str">
            <v>BHADRAK</v>
          </cell>
          <cell r="M413" t="str">
            <v>421000010231494897</v>
          </cell>
          <cell r="N413" t="str">
            <v>132100010257</v>
          </cell>
          <cell r="O413" t="str">
            <v>TJD-118825</v>
          </cell>
          <cell r="P413" t="str">
            <v>442123402</v>
          </cell>
          <cell r="Q413" t="str">
            <v>ALLIED AGRICULTURE ACTIVITIES</v>
          </cell>
          <cell r="R413" t="str">
            <v>HT</v>
          </cell>
          <cell r="S413" t="str">
            <v>01/10/2023</v>
          </cell>
          <cell r="T413" t="str">
            <v>01/10/2023</v>
          </cell>
          <cell r="U413" t="str">
            <v>09/10/2023</v>
          </cell>
          <cell r="V413" t="str">
            <v>09/10/2023</v>
          </cell>
          <cell r="W413" t="str">
            <v>2023/09</v>
          </cell>
          <cell r="X413" t="str">
            <v>11 KV</v>
          </cell>
          <cell r="Y413" t="str">
            <v>HT</v>
          </cell>
          <cell r="Z413">
            <v>133</v>
          </cell>
          <cell r="AA413">
            <v>0.74099999999999999</v>
          </cell>
          <cell r="AB413">
            <v>0</v>
          </cell>
          <cell r="AC413" t="str">
            <v xml:space="preserve">01/09/2023 -     </v>
          </cell>
          <cell r="AD413" t="str">
            <v>30.09.2023</v>
          </cell>
          <cell r="AE413" t="str">
            <v>30/1.0000</v>
          </cell>
          <cell r="AF413">
            <v>133</v>
          </cell>
          <cell r="AG413" t="str">
            <v>KVA</v>
          </cell>
          <cell r="AH413">
            <v>133</v>
          </cell>
          <cell r="AI413" t="str">
            <v>R</v>
          </cell>
          <cell r="AJ413">
            <v>69060</v>
          </cell>
          <cell r="AK413" t="str">
            <v>30/09/2023</v>
          </cell>
          <cell r="AL413" t="str">
            <v>NSC94550</v>
          </cell>
          <cell r="AM413" t="str">
            <v>HT THREE PHASE 4 WIRE AMR/AMI COMPLAINT METER</v>
          </cell>
          <cell r="AN413" t="str">
            <v>POST PAID</v>
          </cell>
          <cell r="AO413">
            <v>250</v>
          </cell>
          <cell r="AP413" t="str">
            <v>TOD</v>
          </cell>
          <cell r="AQ413">
            <v>-6402</v>
          </cell>
          <cell r="AR413">
            <v>0</v>
          </cell>
          <cell r="AS413">
            <v>0</v>
          </cell>
          <cell r="AT413">
            <v>0</v>
          </cell>
          <cell r="AU413">
            <v>0</v>
          </cell>
          <cell r="AV413">
            <v>0</v>
          </cell>
          <cell r="AW413">
            <v>12247</v>
          </cell>
          <cell r="AX413">
            <v>16527</v>
          </cell>
          <cell r="AY413">
            <v>16527</v>
          </cell>
          <cell r="AZ413">
            <v>944.24</v>
          </cell>
          <cell r="BA413">
            <v>62.8</v>
          </cell>
        </row>
        <row r="414">
          <cell r="F414">
            <v>121000000090</v>
          </cell>
          <cell r="G414" t="str">
            <v>SRI PRAMOD KUMAR NAYAK</v>
          </cell>
          <cell r="H414" t="str">
            <v>KHATA NO: 235/203 &amp; 235/175,PLOT NO: 561/972,617/973 &amp; 619/933</v>
          </cell>
          <cell r="I414" t="str">
            <v>09/02/2021 00:00:00</v>
          </cell>
          <cell r="J414">
            <v>1</v>
          </cell>
          <cell r="K414" t="str">
            <v>BAINCHA</v>
          </cell>
          <cell r="L414" t="str">
            <v>BHADRAK</v>
          </cell>
          <cell r="M414" t="str">
            <v>421000010231493394</v>
          </cell>
          <cell r="N414" t="str">
            <v>132100010258</v>
          </cell>
          <cell r="O414" t="str">
            <v>DBD-118824</v>
          </cell>
          <cell r="P414" t="str">
            <v>442152101</v>
          </cell>
          <cell r="Q414" t="str">
            <v>ALLIED AGRICULTURE ACTIVITIES</v>
          </cell>
          <cell r="R414" t="str">
            <v>HT</v>
          </cell>
          <cell r="S414" t="str">
            <v>01/10/2023</v>
          </cell>
          <cell r="T414" t="str">
            <v>01/10/2023</v>
          </cell>
          <cell r="U414" t="str">
            <v>09/10/2023</v>
          </cell>
          <cell r="V414" t="str">
            <v>09/10/2023</v>
          </cell>
          <cell r="W414" t="str">
            <v>2023/09</v>
          </cell>
          <cell r="X414" t="str">
            <v>11 KV</v>
          </cell>
          <cell r="Y414" t="str">
            <v>HT</v>
          </cell>
          <cell r="Z414">
            <v>222</v>
          </cell>
          <cell r="AA414">
            <v>0.66110000000000002</v>
          </cell>
          <cell r="AB414">
            <v>0</v>
          </cell>
          <cell r="AC414" t="str">
            <v xml:space="preserve">01/09/2023 -     </v>
          </cell>
          <cell r="AD414" t="str">
            <v>30.09.2023</v>
          </cell>
          <cell r="AE414" t="str">
            <v>30/1.0000</v>
          </cell>
          <cell r="AF414">
            <v>222</v>
          </cell>
          <cell r="AG414" t="str">
            <v>KVA</v>
          </cell>
          <cell r="AH414">
            <v>222</v>
          </cell>
          <cell r="AI414" t="str">
            <v>R</v>
          </cell>
          <cell r="AJ414">
            <v>97567</v>
          </cell>
          <cell r="AK414" t="str">
            <v>30/09/2023</v>
          </cell>
          <cell r="AL414" t="str">
            <v>TPN64169</v>
          </cell>
          <cell r="AM414" t="str">
            <v>HT THREE PHASE 4 WIRE AMR/AMI COMPLAINT METER</v>
          </cell>
          <cell r="AN414" t="str">
            <v>POST PAID</v>
          </cell>
          <cell r="AO414">
            <v>315</v>
          </cell>
          <cell r="AP414" t="str">
            <v>TOD</v>
          </cell>
          <cell r="AQ414">
            <v>-45934</v>
          </cell>
          <cell r="AR414">
            <v>0</v>
          </cell>
          <cell r="AS414">
            <v>0</v>
          </cell>
          <cell r="AT414">
            <v>0</v>
          </cell>
          <cell r="AU414">
            <v>0</v>
          </cell>
          <cell r="AV414">
            <v>0</v>
          </cell>
          <cell r="AW414">
            <v>15013</v>
          </cell>
          <cell r="AX414">
            <v>22706</v>
          </cell>
          <cell r="AY414">
            <v>22706</v>
          </cell>
          <cell r="AZ414">
            <v>719.28</v>
          </cell>
          <cell r="BA414">
            <v>98.16</v>
          </cell>
        </row>
        <row r="415">
          <cell r="F415">
            <v>121000000091</v>
          </cell>
          <cell r="G415" t="str">
            <v>SBD INTERNATIONAL SCHOOL</v>
          </cell>
          <cell r="H415" t="str">
            <v>CHAIRMAN SRI DEBASIS DIXIT</v>
          </cell>
          <cell r="I415" t="str">
            <v>11/03/2021 00:00:00</v>
          </cell>
          <cell r="J415">
            <v>1</v>
          </cell>
          <cell r="K415" t="str">
            <v>AT-GELPUR</v>
          </cell>
          <cell r="L415" t="str">
            <v>BHADRAK</v>
          </cell>
          <cell r="M415" t="str">
            <v>421000010231492339</v>
          </cell>
          <cell r="N415" t="str">
            <v>132100012721</v>
          </cell>
          <cell r="O415" t="str">
            <v>BOD-118903</v>
          </cell>
          <cell r="P415" t="str">
            <v>442113205</v>
          </cell>
          <cell r="Q415" t="str">
            <v>GENERAL PURPOSE &gt;= 110 KVA</v>
          </cell>
          <cell r="R415" t="str">
            <v>HT</v>
          </cell>
          <cell r="S415" t="str">
            <v>01/10/2023</v>
          </cell>
          <cell r="T415" t="str">
            <v>01/10/2023</v>
          </cell>
          <cell r="U415" t="str">
            <v>06/10/2023</v>
          </cell>
          <cell r="V415" t="str">
            <v>09/10/2023</v>
          </cell>
          <cell r="W415" t="str">
            <v>2023/09</v>
          </cell>
          <cell r="X415" t="str">
            <v>11 KV</v>
          </cell>
          <cell r="Y415" t="str">
            <v>HT</v>
          </cell>
          <cell r="Z415">
            <v>133.6</v>
          </cell>
          <cell r="AA415">
            <v>0.93640000000000001</v>
          </cell>
          <cell r="AB415">
            <v>17.5</v>
          </cell>
          <cell r="AC415" t="str">
            <v xml:space="preserve">29/08/2023 -     </v>
          </cell>
          <cell r="AD415" t="str">
            <v>27.09.2023</v>
          </cell>
          <cell r="AE415" t="str">
            <v>30/1.0000</v>
          </cell>
          <cell r="AF415">
            <v>167</v>
          </cell>
          <cell r="AG415" t="str">
            <v>KVA</v>
          </cell>
          <cell r="AH415">
            <v>167</v>
          </cell>
          <cell r="AI415" t="str">
            <v>R</v>
          </cell>
          <cell r="AJ415">
            <v>446247</v>
          </cell>
          <cell r="AK415" t="str">
            <v>27/09/2023</v>
          </cell>
          <cell r="AL415" t="str">
            <v>TPN64023</v>
          </cell>
          <cell r="AM415" t="str">
            <v>HT THREE PHASE 4 WIRE AMR/AMI COMPLAINT METER</v>
          </cell>
          <cell r="AN415" t="str">
            <v>POST PAID</v>
          </cell>
          <cell r="AO415">
            <v>250</v>
          </cell>
          <cell r="AP415" t="str">
            <v>TOD</v>
          </cell>
          <cell r="AQ415">
            <v>-338766.1</v>
          </cell>
          <cell r="AR415">
            <v>0</v>
          </cell>
          <cell r="AS415">
            <v>0</v>
          </cell>
          <cell r="AT415">
            <v>0</v>
          </cell>
          <cell r="AU415">
            <v>0</v>
          </cell>
          <cell r="AV415">
            <v>0</v>
          </cell>
          <cell r="AW415">
            <v>15196</v>
          </cell>
          <cell r="AX415">
            <v>16228</v>
          </cell>
          <cell r="AY415">
            <v>16228</v>
          </cell>
          <cell r="AZ415">
            <v>632.64</v>
          </cell>
          <cell r="BA415">
            <v>128.80000000000001</v>
          </cell>
        </row>
        <row r="416">
          <cell r="F416">
            <v>121000000092</v>
          </cell>
          <cell r="G416" t="str">
            <v>M/S SURYO FOODS &amp; INDUSTRIES LTD</v>
          </cell>
          <cell r="H416" t="str">
            <v>AUTHORISED SIGNATORY-ASHOK KUMAR DAS</v>
          </cell>
          <cell r="I416" t="str">
            <v>11/03/2021 00:00:00</v>
          </cell>
          <cell r="J416">
            <v>1</v>
          </cell>
          <cell r="K416" t="str">
            <v>KARANJAMAL</v>
          </cell>
          <cell r="L416" t="str">
            <v>BHADRAK</v>
          </cell>
          <cell r="M416" t="str">
            <v>421000010231493045</v>
          </cell>
          <cell r="N416" t="str">
            <v>132100012724</v>
          </cell>
          <cell r="O416" t="str">
            <v>DBD-118911</v>
          </cell>
          <cell r="P416" t="str">
            <v>43207406002</v>
          </cell>
          <cell r="Q416" t="str">
            <v>ALLIED AGRICULTURE ACTIVITIES</v>
          </cell>
          <cell r="R416" t="str">
            <v>HT</v>
          </cell>
          <cell r="S416" t="str">
            <v>01/10/2023</v>
          </cell>
          <cell r="T416" t="str">
            <v>01/10/2023</v>
          </cell>
          <cell r="U416" t="str">
            <v>09/10/2023</v>
          </cell>
          <cell r="V416" t="str">
            <v>09/10/2023</v>
          </cell>
          <cell r="W416" t="str">
            <v>2023/09</v>
          </cell>
          <cell r="X416" t="str">
            <v>33 KV</v>
          </cell>
          <cell r="Y416" t="str">
            <v>HT</v>
          </cell>
          <cell r="Z416">
            <v>556</v>
          </cell>
          <cell r="AA416">
            <v>0.87080000000000002</v>
          </cell>
          <cell r="AB416">
            <v>0</v>
          </cell>
          <cell r="AC416" t="str">
            <v xml:space="preserve">01/09/2023 -     </v>
          </cell>
          <cell r="AD416" t="str">
            <v>30.09.2023</v>
          </cell>
          <cell r="AE416" t="str">
            <v>30/1.0000</v>
          </cell>
          <cell r="AF416">
            <v>556</v>
          </cell>
          <cell r="AG416" t="str">
            <v>KVA</v>
          </cell>
          <cell r="AH416">
            <v>556</v>
          </cell>
          <cell r="AI416" t="str">
            <v>R</v>
          </cell>
          <cell r="AJ416">
            <v>273552</v>
          </cell>
          <cell r="AK416" t="str">
            <v>30/09/2023</v>
          </cell>
          <cell r="AL416" t="str">
            <v>NSC94784</v>
          </cell>
          <cell r="AM416" t="str">
            <v>THREE PHASE HT CT METER-33KV</v>
          </cell>
          <cell r="AN416" t="str">
            <v>POST PAID</v>
          </cell>
          <cell r="AO416">
            <v>750</v>
          </cell>
          <cell r="AP416" t="str">
            <v>TOD</v>
          </cell>
          <cell r="AQ416">
            <v>-212769</v>
          </cell>
          <cell r="AR416">
            <v>0</v>
          </cell>
          <cell r="AS416">
            <v>0</v>
          </cell>
          <cell r="AT416">
            <v>0</v>
          </cell>
          <cell r="AU416">
            <v>0</v>
          </cell>
          <cell r="AV416">
            <v>0</v>
          </cell>
          <cell r="AW416">
            <v>42630</v>
          </cell>
          <cell r="AX416">
            <v>48954</v>
          </cell>
          <cell r="AY416">
            <v>48954</v>
          </cell>
          <cell r="AZ416">
            <v>1511.04</v>
          </cell>
          <cell r="BA416">
            <v>186.72</v>
          </cell>
        </row>
        <row r="417">
          <cell r="F417">
            <v>121000000093</v>
          </cell>
          <cell r="G417" t="str">
            <v>M/S MAA NACHINDA SEA FOODS PVT. LTD</v>
          </cell>
          <cell r="H417" t="str">
            <v xml:space="preserve"> </v>
          </cell>
          <cell r="I417" t="str">
            <v>02/16/2022 00:00:00</v>
          </cell>
          <cell r="J417">
            <v>1</v>
          </cell>
          <cell r="K417" t="str">
            <v>AT-KARANPALII</v>
          </cell>
          <cell r="L417" t="str">
            <v>BHADRAK</v>
          </cell>
          <cell r="M417" t="str">
            <v>421000010231493156</v>
          </cell>
          <cell r="N417" t="str">
            <v>132200037201</v>
          </cell>
          <cell r="O417" t="str">
            <v>DBD-118978</v>
          </cell>
          <cell r="P417" t="str">
            <v>43207406002</v>
          </cell>
          <cell r="Q417" t="str">
            <v>LARGE INDUSTRY</v>
          </cell>
          <cell r="R417" t="str">
            <v>HT</v>
          </cell>
          <cell r="S417" t="str">
            <v>01/10/2023</v>
          </cell>
          <cell r="T417" t="str">
            <v>01/10/2023</v>
          </cell>
          <cell r="U417" t="str">
            <v>06/10/2023</v>
          </cell>
          <cell r="V417" t="str">
            <v>09/10/2023</v>
          </cell>
          <cell r="W417" t="str">
            <v>2023/09</v>
          </cell>
          <cell r="X417" t="str">
            <v>33 KV</v>
          </cell>
          <cell r="Y417" t="str">
            <v>HT</v>
          </cell>
          <cell r="Z417">
            <v>885.12</v>
          </cell>
          <cell r="AA417">
            <v>0.99450000000000005</v>
          </cell>
          <cell r="AB417">
            <v>30.52</v>
          </cell>
          <cell r="AC417" t="str">
            <v xml:space="preserve">27/08/2023 -     </v>
          </cell>
          <cell r="AD417" t="str">
            <v>28.09.2023</v>
          </cell>
          <cell r="AE417" t="str">
            <v>33/1.0000</v>
          </cell>
          <cell r="AF417">
            <v>889</v>
          </cell>
          <cell r="AG417" t="str">
            <v>KVA</v>
          </cell>
          <cell r="AH417">
            <v>889</v>
          </cell>
          <cell r="AI417" t="str">
            <v>R</v>
          </cell>
          <cell r="AJ417">
            <v>5457038</v>
          </cell>
          <cell r="AK417" t="str">
            <v>28/09/2023</v>
          </cell>
          <cell r="AL417" t="str">
            <v>TPSENES50280</v>
          </cell>
          <cell r="AM417" t="str">
            <v>THREE PHASE HT CT METER-33KV</v>
          </cell>
          <cell r="AN417" t="str">
            <v>POST PAID</v>
          </cell>
          <cell r="AO417">
            <v>1250</v>
          </cell>
          <cell r="AP417" t="str">
            <v>TOD</v>
          </cell>
          <cell r="AQ417">
            <v>-4830255.4000000004</v>
          </cell>
          <cell r="AR417">
            <v>0</v>
          </cell>
          <cell r="AS417">
            <v>0</v>
          </cell>
          <cell r="AT417">
            <v>0</v>
          </cell>
          <cell r="AU417">
            <v>0</v>
          </cell>
          <cell r="AV417">
            <v>0</v>
          </cell>
          <cell r="AW417">
            <v>212754</v>
          </cell>
          <cell r="AX417">
            <v>213924</v>
          </cell>
          <cell r="AY417">
            <v>213924</v>
          </cell>
          <cell r="AZ417">
            <v>5807.52</v>
          </cell>
          <cell r="BA417">
            <v>885.12</v>
          </cell>
        </row>
        <row r="418">
          <cell r="F418">
            <v>121000000094</v>
          </cell>
          <cell r="G418" t="str">
            <v>M/S TRISTAR AQUATICS</v>
          </cell>
          <cell r="H418" t="str">
            <v xml:space="preserve"> </v>
          </cell>
          <cell r="I418" t="str">
            <v>02/16/2022 00:00:00</v>
          </cell>
          <cell r="J418">
            <v>1</v>
          </cell>
          <cell r="K418" t="str">
            <v>KISMATKRISHNAPUR</v>
          </cell>
          <cell r="L418" t="str">
            <v>BHADRAK</v>
          </cell>
          <cell r="M418" t="str">
            <v>421000010231492981</v>
          </cell>
          <cell r="N418" t="str">
            <v>132200037202</v>
          </cell>
          <cell r="O418" t="str">
            <v>DBD-118979</v>
          </cell>
          <cell r="P418" t="str">
            <v>442132102</v>
          </cell>
          <cell r="Q418" t="str">
            <v>ALLIED AGRICULTURE ACTIVITIES</v>
          </cell>
          <cell r="R418" t="str">
            <v>HT</v>
          </cell>
          <cell r="S418" t="str">
            <v>01/10/2023</v>
          </cell>
          <cell r="T418" t="str">
            <v>01/10/2023</v>
          </cell>
          <cell r="U418" t="str">
            <v>09/10/2023</v>
          </cell>
          <cell r="V418" t="str">
            <v>09/10/2023</v>
          </cell>
          <cell r="W418" t="str">
            <v>2023/09</v>
          </cell>
          <cell r="X418" t="str">
            <v>11 KV</v>
          </cell>
          <cell r="Y418" t="str">
            <v>HT</v>
          </cell>
          <cell r="Z418">
            <v>189</v>
          </cell>
          <cell r="AA418">
            <v>0.99939999999999996</v>
          </cell>
          <cell r="AB418">
            <v>0</v>
          </cell>
          <cell r="AC418" t="str">
            <v xml:space="preserve">01/09/2023 -     </v>
          </cell>
          <cell r="AD418" t="str">
            <v>30.09.2023</v>
          </cell>
          <cell r="AE418" t="str">
            <v>30/1.0000</v>
          </cell>
          <cell r="AF418">
            <v>189</v>
          </cell>
          <cell r="AG418" t="str">
            <v>KVA</v>
          </cell>
          <cell r="AH418">
            <v>189</v>
          </cell>
          <cell r="AI418" t="str">
            <v>R</v>
          </cell>
          <cell r="AJ418">
            <v>117335</v>
          </cell>
          <cell r="AK418" t="str">
            <v>30/09/2023</v>
          </cell>
          <cell r="AL418" t="str">
            <v>NSC94617</v>
          </cell>
          <cell r="AM418" t="str">
            <v>HT THREE PHASE 4 WIRE AMR/AMI COMPLAINT METER</v>
          </cell>
          <cell r="AN418" t="str">
            <v>POST PAID</v>
          </cell>
          <cell r="AO418">
            <v>250</v>
          </cell>
          <cell r="AP418" t="str">
            <v>TOD</v>
          </cell>
          <cell r="AQ418">
            <v>9520</v>
          </cell>
          <cell r="AR418">
            <v>0</v>
          </cell>
          <cell r="AS418">
            <v>0</v>
          </cell>
          <cell r="AT418">
            <v>0</v>
          </cell>
          <cell r="AU418">
            <v>0</v>
          </cell>
          <cell r="AV418">
            <v>0</v>
          </cell>
          <cell r="AW418">
            <v>3976</v>
          </cell>
          <cell r="AX418">
            <v>3978</v>
          </cell>
          <cell r="AY418">
            <v>3978</v>
          </cell>
          <cell r="AZ418">
            <v>789.92</v>
          </cell>
          <cell r="BA418">
            <v>25.919999999999998</v>
          </cell>
        </row>
        <row r="419">
          <cell r="F419">
            <v>121000000095</v>
          </cell>
          <cell r="G419" t="str">
            <v>SRI ABHAYA ROUL</v>
          </cell>
          <cell r="H419" t="str">
            <v>KHATA NO.78,PLOT NO.360</v>
          </cell>
          <cell r="I419" t="str">
            <v>03/29/2022 00:00:00</v>
          </cell>
          <cell r="J419">
            <v>1</v>
          </cell>
          <cell r="K419" t="str">
            <v>SUBHADIA</v>
          </cell>
          <cell r="L419" t="str">
            <v>BHADRAK</v>
          </cell>
          <cell r="M419" t="str">
            <v>421000010231492421</v>
          </cell>
          <cell r="N419" t="str">
            <v>132200049867</v>
          </cell>
          <cell r="O419" t="str">
            <v>TJD-119012</v>
          </cell>
          <cell r="P419" t="str">
            <v>442123403</v>
          </cell>
          <cell r="Q419" t="str">
            <v>ALLIED AGRICULTURE ACTIVITIES</v>
          </cell>
          <cell r="R419" t="str">
            <v>HT</v>
          </cell>
          <cell r="S419" t="str">
            <v>01/10/2023</v>
          </cell>
          <cell r="T419" t="str">
            <v>01/10/2023</v>
          </cell>
          <cell r="U419" t="str">
            <v>09/10/2023</v>
          </cell>
          <cell r="V419" t="str">
            <v>09/10/2023</v>
          </cell>
          <cell r="W419" t="str">
            <v>2023/09</v>
          </cell>
          <cell r="X419" t="str">
            <v>11 KV</v>
          </cell>
          <cell r="Y419" t="str">
            <v>HT</v>
          </cell>
          <cell r="Z419">
            <v>167</v>
          </cell>
          <cell r="AA419">
            <v>0.78769999999999996</v>
          </cell>
          <cell r="AB419">
            <v>0</v>
          </cell>
          <cell r="AC419" t="str">
            <v xml:space="preserve">01/09/2023 -     </v>
          </cell>
          <cell r="AD419" t="str">
            <v>30.09.2023</v>
          </cell>
          <cell r="AE419" t="str">
            <v>30/1.0000</v>
          </cell>
          <cell r="AF419">
            <v>167</v>
          </cell>
          <cell r="AG419" t="str">
            <v>KVA</v>
          </cell>
          <cell r="AH419">
            <v>167</v>
          </cell>
          <cell r="AI419" t="str">
            <v>R</v>
          </cell>
          <cell r="AJ419">
            <v>73300</v>
          </cell>
          <cell r="AK419" t="str">
            <v>30/09/2023</v>
          </cell>
          <cell r="AL419" t="str">
            <v>NSC95029</v>
          </cell>
          <cell r="AM419" t="str">
            <v>HT THREE PHASE 4 WIRE AMR/AMI COMPLAINT METER</v>
          </cell>
          <cell r="AN419" t="str">
            <v>POST PAID</v>
          </cell>
          <cell r="AO419">
            <v>250</v>
          </cell>
          <cell r="AP419" t="str">
            <v>TOD</v>
          </cell>
          <cell r="AQ419">
            <v>-52525</v>
          </cell>
          <cell r="AR419">
            <v>0</v>
          </cell>
          <cell r="AS419">
            <v>0</v>
          </cell>
          <cell r="AT419">
            <v>0</v>
          </cell>
          <cell r="AU419">
            <v>0</v>
          </cell>
          <cell r="AV419">
            <v>0</v>
          </cell>
          <cell r="AW419">
            <v>6395</v>
          </cell>
          <cell r="AX419">
            <v>8118</v>
          </cell>
          <cell r="AY419">
            <v>8118</v>
          </cell>
          <cell r="AZ419">
            <v>541.67999999999995</v>
          </cell>
          <cell r="BA419">
            <v>38.72</v>
          </cell>
        </row>
        <row r="420">
          <cell r="F420">
            <v>121000000096</v>
          </cell>
          <cell r="G420" t="str">
            <v>SALAMA BEGUM</v>
          </cell>
          <cell r="H420" t="str">
            <v>KHATA NO.26/91,PLOT NO.27</v>
          </cell>
          <cell r="I420" t="str">
            <v>03/31/2022 00:00:00</v>
          </cell>
          <cell r="J420">
            <v>1</v>
          </cell>
          <cell r="K420" t="str">
            <v>KANAKPALLI</v>
          </cell>
          <cell r="L420" t="str">
            <v>BANSADA</v>
          </cell>
          <cell r="M420" t="str">
            <v>421000010231492377</v>
          </cell>
          <cell r="N420" t="str">
            <v>132200049989</v>
          </cell>
          <cell r="O420" t="str">
            <v>TJD-119033</v>
          </cell>
          <cell r="P420" t="str">
            <v>442113201</v>
          </cell>
          <cell r="Q420" t="str">
            <v>ALLIED AGRICULTURE ACTIVITIES</v>
          </cell>
          <cell r="R420" t="str">
            <v>HT</v>
          </cell>
          <cell r="S420" t="str">
            <v>01/10/2023</v>
          </cell>
          <cell r="T420" t="str">
            <v>01/10/2023</v>
          </cell>
          <cell r="U420" t="str">
            <v>09/10/2023</v>
          </cell>
          <cell r="V420" t="str">
            <v>09/10/2023</v>
          </cell>
          <cell r="W420" t="str">
            <v>2023/09</v>
          </cell>
          <cell r="X420" t="str">
            <v>11 KV</v>
          </cell>
          <cell r="Y420" t="str">
            <v>HT</v>
          </cell>
          <cell r="Z420">
            <v>167</v>
          </cell>
          <cell r="AA420">
            <v>0.72409999999999997</v>
          </cell>
          <cell r="AB420">
            <v>0</v>
          </cell>
          <cell r="AC420" t="str">
            <v xml:space="preserve">01/09/2023 -     </v>
          </cell>
          <cell r="AD420" t="str">
            <v>30.09.2023</v>
          </cell>
          <cell r="AE420" t="str">
            <v>30/1.0000</v>
          </cell>
          <cell r="AF420">
            <v>167</v>
          </cell>
          <cell r="AG420" t="str">
            <v>KVA</v>
          </cell>
          <cell r="AH420">
            <v>167</v>
          </cell>
          <cell r="AI420" t="str">
            <v>R</v>
          </cell>
          <cell r="AJ420">
            <v>82000</v>
          </cell>
          <cell r="AK420" t="str">
            <v>30/09/2023</v>
          </cell>
          <cell r="AL420" t="str">
            <v>NSC94891</v>
          </cell>
          <cell r="AM420" t="str">
            <v>HT THREE PHASE 4 WIRE AMR/AMI COMPLAINT METER</v>
          </cell>
          <cell r="AN420" t="str">
            <v>POST PAID</v>
          </cell>
          <cell r="AO420">
            <v>250</v>
          </cell>
          <cell r="AP420" t="str">
            <v>TOD</v>
          </cell>
          <cell r="AQ420">
            <v>-71863</v>
          </cell>
          <cell r="AR420">
            <v>0</v>
          </cell>
          <cell r="AS420">
            <v>0</v>
          </cell>
          <cell r="AT420">
            <v>0</v>
          </cell>
          <cell r="AU420">
            <v>0</v>
          </cell>
          <cell r="AV420">
            <v>0</v>
          </cell>
          <cell r="AW420">
            <v>9240</v>
          </cell>
          <cell r="AX420">
            <v>12760</v>
          </cell>
          <cell r="AY420">
            <v>12760</v>
          </cell>
          <cell r="AZ420">
            <v>851.76</v>
          </cell>
          <cell r="BA420">
            <v>74.64</v>
          </cell>
        </row>
        <row r="421">
          <cell r="F421">
            <v>121000000097</v>
          </cell>
          <cell r="G421" t="str">
            <v>TANUJABALA MOHANTY</v>
          </cell>
          <cell r="H421" t="str">
            <v>KHATA NO.82/136,PLOT NO.56/57/54</v>
          </cell>
          <cell r="I421" t="str">
            <v>04/27/2022 00:00:00</v>
          </cell>
          <cell r="J421">
            <v>1</v>
          </cell>
          <cell r="K421" t="str">
            <v>TENTULIGADHIA</v>
          </cell>
          <cell r="L421" t="str">
            <v>BHADRAK</v>
          </cell>
          <cell r="M421" t="str">
            <v>421000010231492920</v>
          </cell>
          <cell r="N421" t="str">
            <v>132200055980</v>
          </cell>
          <cell r="O421" t="str">
            <v>DBD-119060</v>
          </cell>
          <cell r="P421" t="str">
            <v>442152101</v>
          </cell>
          <cell r="Q421" t="str">
            <v>ALLIED AGRICULTURE ACTIVITIES</v>
          </cell>
          <cell r="R421" t="str">
            <v>HT</v>
          </cell>
          <cell r="S421" t="str">
            <v>01/10/2023</v>
          </cell>
          <cell r="T421" t="str">
            <v>01/10/2023</v>
          </cell>
          <cell r="U421" t="str">
            <v>09/10/2023</v>
          </cell>
          <cell r="V421" t="str">
            <v>09/10/2023</v>
          </cell>
          <cell r="W421" t="str">
            <v>2023/09</v>
          </cell>
          <cell r="X421" t="str">
            <v>11 KV</v>
          </cell>
          <cell r="Y421" t="str">
            <v>HT</v>
          </cell>
          <cell r="Z421">
            <v>178</v>
          </cell>
          <cell r="AA421">
            <v>0.69410000000000005</v>
          </cell>
          <cell r="AB421">
            <v>0</v>
          </cell>
          <cell r="AC421" t="str">
            <v xml:space="preserve">01/09/2023 -     </v>
          </cell>
          <cell r="AD421" t="str">
            <v>30.09.2023</v>
          </cell>
          <cell r="AE421" t="str">
            <v>30/1.0000</v>
          </cell>
          <cell r="AF421">
            <v>178</v>
          </cell>
          <cell r="AG421" t="str">
            <v>KVA</v>
          </cell>
          <cell r="AH421">
            <v>178</v>
          </cell>
          <cell r="AI421" t="str">
            <v>R</v>
          </cell>
          <cell r="AJ421">
            <v>80300</v>
          </cell>
          <cell r="AK421" t="str">
            <v>30/09/2023</v>
          </cell>
          <cell r="AL421" t="str">
            <v>TPN64217</v>
          </cell>
          <cell r="AM421" t="str">
            <v>HT THREE PHASE 4 WIRE AMR/AMI COMPLAINT METER</v>
          </cell>
          <cell r="AN421" t="str">
            <v>POST PAID</v>
          </cell>
          <cell r="AO421">
            <v>250</v>
          </cell>
          <cell r="AP421" t="str">
            <v>TOD</v>
          </cell>
          <cell r="AQ421">
            <v>0</v>
          </cell>
          <cell r="AR421">
            <v>0</v>
          </cell>
          <cell r="AS421">
            <v>0</v>
          </cell>
          <cell r="AT421">
            <v>0</v>
          </cell>
          <cell r="AU421">
            <v>0</v>
          </cell>
          <cell r="AV421">
            <v>0</v>
          </cell>
          <cell r="AW421">
            <v>3732</v>
          </cell>
          <cell r="AX421">
            <v>5376</v>
          </cell>
          <cell r="AY421">
            <v>5376</v>
          </cell>
          <cell r="AZ421">
            <v>543.04</v>
          </cell>
          <cell r="BA421">
            <v>64.48</v>
          </cell>
        </row>
        <row r="422">
          <cell r="F422">
            <v>121000000098</v>
          </cell>
          <cell r="G422" t="str">
            <v>M/S.  Shree Ram Sales</v>
          </cell>
          <cell r="H422" t="str">
            <v>3302,3303</v>
          </cell>
          <cell r="I422" t="str">
            <v>05/09/2022 00:00:00</v>
          </cell>
          <cell r="J422">
            <v>1</v>
          </cell>
          <cell r="K422" t="str">
            <v>Baligaon</v>
          </cell>
          <cell r="L422" t="str">
            <v>Chandbali</v>
          </cell>
          <cell r="M422" t="str">
            <v>421023410231492338</v>
          </cell>
          <cell r="N422" t="str">
            <v>132200059485</v>
          </cell>
          <cell r="O422" t="str">
            <v xml:space="preserve"> </v>
          </cell>
          <cell r="P422" t="str">
            <v>442122203</v>
          </cell>
          <cell r="Q422" t="str">
            <v>LARGE INDUSTRY</v>
          </cell>
          <cell r="R422" t="str">
            <v>HT</v>
          </cell>
          <cell r="S422" t="str">
            <v>01/10/2023</v>
          </cell>
          <cell r="T422" t="str">
            <v>01/10/2023</v>
          </cell>
          <cell r="U422" t="str">
            <v>06/10/2023</v>
          </cell>
          <cell r="V422" t="str">
            <v>09/10/2023</v>
          </cell>
          <cell r="W422" t="str">
            <v>2023/09</v>
          </cell>
          <cell r="X422" t="str">
            <v>11 KV</v>
          </cell>
          <cell r="Y422" t="str">
            <v>HT</v>
          </cell>
          <cell r="Z422">
            <v>262.39999999999998</v>
          </cell>
          <cell r="AA422">
            <v>0.97160000000000002</v>
          </cell>
          <cell r="AB422">
            <v>28.1</v>
          </cell>
          <cell r="AC422" t="str">
            <v xml:space="preserve">01/09/2023 -     </v>
          </cell>
          <cell r="AD422" t="str">
            <v>30.09.2023</v>
          </cell>
          <cell r="AE422" t="str">
            <v>30/1.0000</v>
          </cell>
          <cell r="AF422">
            <v>328</v>
          </cell>
          <cell r="AG422" t="str">
            <v>KVA</v>
          </cell>
          <cell r="AH422">
            <v>328</v>
          </cell>
          <cell r="AI422" t="str">
            <v>R</v>
          </cell>
          <cell r="AJ422">
            <v>2012031.12</v>
          </cell>
          <cell r="AK422" t="str">
            <v>30/09/2023</v>
          </cell>
          <cell r="AL422" t="str">
            <v>TPN64228</v>
          </cell>
          <cell r="AM422" t="str">
            <v>HT THREE PHASE 4 WIRE AMR/AMI COMPLAINT METER</v>
          </cell>
          <cell r="AN422" t="str">
            <v>POST PAID</v>
          </cell>
          <cell r="AO422">
            <v>500</v>
          </cell>
          <cell r="AP422" t="str">
            <v>TOD</v>
          </cell>
          <cell r="AQ422">
            <v>0</v>
          </cell>
          <cell r="AR422">
            <v>0</v>
          </cell>
          <cell r="AS422">
            <v>0</v>
          </cell>
          <cell r="AT422">
            <v>0</v>
          </cell>
          <cell r="AU422">
            <v>0</v>
          </cell>
          <cell r="AV422">
            <v>0</v>
          </cell>
          <cell r="AW422">
            <v>26102</v>
          </cell>
          <cell r="AX422">
            <v>26864</v>
          </cell>
          <cell r="AY422">
            <v>26864</v>
          </cell>
          <cell r="AZ422">
            <v>1644</v>
          </cell>
          <cell r="BA422">
            <v>132.80000000000001</v>
          </cell>
        </row>
        <row r="423">
          <cell r="F423">
            <v>121000000099</v>
          </cell>
          <cell r="G423" t="str">
            <v>Mr. Kamala Kanta Ghadai</v>
          </cell>
          <cell r="H423" t="str">
            <v>69,72</v>
          </cell>
          <cell r="I423" t="str">
            <v>05/11/2022 00:00:00</v>
          </cell>
          <cell r="J423">
            <v>1</v>
          </cell>
          <cell r="K423" t="str">
            <v>Apartipur</v>
          </cell>
          <cell r="L423" t="str">
            <v>matipaka</v>
          </cell>
          <cell r="M423" t="str">
            <v>421000010231493336</v>
          </cell>
          <cell r="N423" t="str">
            <v>132200060925</v>
          </cell>
          <cell r="O423" t="str">
            <v xml:space="preserve"> </v>
          </cell>
          <cell r="P423" t="str">
            <v>442132102</v>
          </cell>
          <cell r="Q423" t="str">
            <v>ALLIED AGRICULTURE ACTIVITIES</v>
          </cell>
          <cell r="R423" t="str">
            <v>HT</v>
          </cell>
          <cell r="S423" t="str">
            <v>01/10/2023</v>
          </cell>
          <cell r="T423" t="str">
            <v>01/10/2023</v>
          </cell>
          <cell r="U423" t="str">
            <v>09/10/2023</v>
          </cell>
          <cell r="V423" t="str">
            <v>09/10/2023</v>
          </cell>
          <cell r="W423" t="str">
            <v>2023/09</v>
          </cell>
          <cell r="X423" t="str">
            <v>11 KV</v>
          </cell>
          <cell r="Y423" t="str">
            <v>HT</v>
          </cell>
          <cell r="Z423">
            <v>167</v>
          </cell>
          <cell r="AA423">
            <v>0.68100000000000005</v>
          </cell>
          <cell r="AB423">
            <v>0</v>
          </cell>
          <cell r="AC423" t="str">
            <v xml:space="preserve">27/08/2023 -     </v>
          </cell>
          <cell r="AD423" t="str">
            <v>30.09.2023</v>
          </cell>
          <cell r="AE423" t="str">
            <v>35/1.0000</v>
          </cell>
          <cell r="AF423">
            <v>167</v>
          </cell>
          <cell r="AG423" t="str">
            <v>KVA</v>
          </cell>
          <cell r="AH423">
            <v>167</v>
          </cell>
          <cell r="AI423" t="str">
            <v>R</v>
          </cell>
          <cell r="AJ423">
            <v>82000</v>
          </cell>
          <cell r="AK423" t="str">
            <v>30/09/2023</v>
          </cell>
          <cell r="AL423" t="str">
            <v>TPN64227</v>
          </cell>
          <cell r="AM423" t="str">
            <v>HT THREE PHASE 4 WIRE AMR/AMI COMPLAINT METER</v>
          </cell>
          <cell r="AN423" t="str">
            <v>POST PAID</v>
          </cell>
          <cell r="AO423">
            <v>250</v>
          </cell>
          <cell r="AP423" t="str">
            <v>TOD</v>
          </cell>
          <cell r="AQ423">
            <v>0</v>
          </cell>
          <cell r="AR423">
            <v>0</v>
          </cell>
          <cell r="AS423">
            <v>0</v>
          </cell>
          <cell r="AT423">
            <v>0</v>
          </cell>
          <cell r="AU423">
            <v>0</v>
          </cell>
          <cell r="AV423">
            <v>0</v>
          </cell>
          <cell r="AW423">
            <v>17946</v>
          </cell>
          <cell r="AX423">
            <v>26349</v>
          </cell>
          <cell r="AY423">
            <v>26349</v>
          </cell>
          <cell r="AZ423">
            <v>716.4</v>
          </cell>
          <cell r="BA423">
            <v>81.92</v>
          </cell>
        </row>
        <row r="424">
          <cell r="F424">
            <v>121000000100</v>
          </cell>
          <cell r="G424" t="str">
            <v>SMT TANUJABALA MOHANTY</v>
          </cell>
          <cell r="H424" t="str">
            <v>BANSIPATNA</v>
          </cell>
          <cell r="I424" t="str">
            <v>06/27/2022 00:00:00</v>
          </cell>
          <cell r="J424">
            <v>1</v>
          </cell>
          <cell r="K424" t="str">
            <v>BHAIRABPUR</v>
          </cell>
          <cell r="L424" t="str">
            <v>BHADRAK</v>
          </cell>
          <cell r="M424" t="str">
            <v>421000010231494228</v>
          </cell>
          <cell r="N424" t="str">
            <v>132200076826</v>
          </cell>
          <cell r="O424" t="str">
            <v xml:space="preserve"> </v>
          </cell>
          <cell r="P424" t="str">
            <v>442152101</v>
          </cell>
          <cell r="Q424" t="str">
            <v>ALLIED AGRICULTURE ACTIVITIES</v>
          </cell>
          <cell r="R424" t="str">
            <v>HT</v>
          </cell>
          <cell r="S424" t="str">
            <v>01/10/2023</v>
          </cell>
          <cell r="T424" t="str">
            <v>01/10/2023</v>
          </cell>
          <cell r="U424" t="str">
            <v>09/10/2023</v>
          </cell>
          <cell r="V424" t="str">
            <v>09/10/2023</v>
          </cell>
          <cell r="W424" t="str">
            <v>2023/09</v>
          </cell>
          <cell r="X424" t="str">
            <v>11 KV</v>
          </cell>
          <cell r="Y424" t="str">
            <v>HT</v>
          </cell>
          <cell r="Z424">
            <v>267</v>
          </cell>
          <cell r="AA424">
            <v>0.76490000000000002</v>
          </cell>
          <cell r="AB424">
            <v>0</v>
          </cell>
          <cell r="AC424" t="str">
            <v xml:space="preserve">01/09/2023 -     </v>
          </cell>
          <cell r="AD424" t="str">
            <v>30.09.2023</v>
          </cell>
          <cell r="AE424" t="str">
            <v>30/1.0000</v>
          </cell>
          <cell r="AF424">
            <v>267</v>
          </cell>
          <cell r="AG424" t="str">
            <v>KVA</v>
          </cell>
          <cell r="AH424">
            <v>267</v>
          </cell>
          <cell r="AI424" t="str">
            <v>R</v>
          </cell>
          <cell r="AJ424">
            <v>171735</v>
          </cell>
          <cell r="AK424" t="str">
            <v>30/09/2023</v>
          </cell>
          <cell r="AL424" t="str">
            <v>TPN64024</v>
          </cell>
          <cell r="AM424" t="str">
            <v>HT THREE PHASE 4 WIRE AMR/AMI COMPLAINT METER</v>
          </cell>
          <cell r="AN424" t="str">
            <v>POST PAID</v>
          </cell>
          <cell r="AO424">
            <v>500</v>
          </cell>
          <cell r="AP424" t="str">
            <v>TOD</v>
          </cell>
          <cell r="AQ424">
            <v>0</v>
          </cell>
          <cell r="AR424">
            <v>0</v>
          </cell>
          <cell r="AS424">
            <v>0</v>
          </cell>
          <cell r="AT424">
            <v>0</v>
          </cell>
          <cell r="AU424">
            <v>0</v>
          </cell>
          <cell r="AV424">
            <v>0</v>
          </cell>
          <cell r="AW424">
            <v>24818</v>
          </cell>
          <cell r="AX424">
            <v>32444</v>
          </cell>
          <cell r="AY424">
            <v>32444</v>
          </cell>
          <cell r="AZ424">
            <v>456.8</v>
          </cell>
          <cell r="BA424">
            <v>109.11999999999999</v>
          </cell>
        </row>
        <row r="425">
          <cell r="F425">
            <v>121000000101</v>
          </cell>
          <cell r="G425" t="str">
            <v>M/S BRC MARINE PRODUCTS</v>
          </cell>
          <cell r="H425" t="str">
            <v>NARASINGHAPRASAD</v>
          </cell>
          <cell r="I425" t="str">
            <v>01/25/2023 00:00:00</v>
          </cell>
          <cell r="J425">
            <v>1</v>
          </cell>
          <cell r="K425" t="str">
            <v>DOSINGA</v>
          </cell>
          <cell r="L425" t="str">
            <v>BHADRAK</v>
          </cell>
          <cell r="M425" t="str">
            <v>421000010231492681</v>
          </cell>
          <cell r="N425" t="str">
            <v>132321225087</v>
          </cell>
          <cell r="O425" t="str">
            <v>DDD-119203</v>
          </cell>
          <cell r="P425" t="str">
            <v>NULL</v>
          </cell>
          <cell r="Q425" t="str">
            <v>GENERAL PURPOSE &gt;= 110 KVA</v>
          </cell>
          <cell r="R425" t="str">
            <v>HT</v>
          </cell>
          <cell r="S425" t="str">
            <v>01/10/2023</v>
          </cell>
          <cell r="T425" t="str">
            <v>01/10/2023</v>
          </cell>
          <cell r="U425" t="str">
            <v>06/10/2023</v>
          </cell>
          <cell r="V425" t="str">
            <v>09/10/2023</v>
          </cell>
          <cell r="W425" t="str">
            <v>2023/09</v>
          </cell>
          <cell r="X425" t="str">
            <v>33 KV</v>
          </cell>
          <cell r="Y425" t="str">
            <v>HT</v>
          </cell>
          <cell r="Z425">
            <v>472.8</v>
          </cell>
          <cell r="AA425">
            <v>0.79569999999999996</v>
          </cell>
          <cell r="AB425">
            <v>12.05</v>
          </cell>
          <cell r="AC425" t="str">
            <v xml:space="preserve">01/09/2023 -     </v>
          </cell>
          <cell r="AD425" t="str">
            <v>30.09.2023</v>
          </cell>
          <cell r="AE425" t="str">
            <v>30/1.0000</v>
          </cell>
          <cell r="AF425">
            <v>560</v>
          </cell>
          <cell r="AG425" t="str">
            <v>KVA</v>
          </cell>
          <cell r="AH425">
            <v>560</v>
          </cell>
          <cell r="AI425" t="str">
            <v>R</v>
          </cell>
          <cell r="AJ425">
            <v>3252119.4459000002</v>
          </cell>
          <cell r="AK425" t="str">
            <v>30/09/2023</v>
          </cell>
          <cell r="AL425" t="str">
            <v>TPN64776</v>
          </cell>
          <cell r="AM425" t="str">
            <v>THREE PHASE HT CT METER-33KV</v>
          </cell>
          <cell r="AN425" t="str">
            <v>POST PAID</v>
          </cell>
          <cell r="AO425">
            <v>750</v>
          </cell>
          <cell r="AP425" t="str">
            <v>TOD</v>
          </cell>
          <cell r="AQ425">
            <v>0</v>
          </cell>
          <cell r="AR425">
            <v>0</v>
          </cell>
          <cell r="AS425">
            <v>0</v>
          </cell>
          <cell r="AT425">
            <v>0</v>
          </cell>
          <cell r="AU425">
            <v>0</v>
          </cell>
          <cell r="AV425">
            <v>0</v>
          </cell>
          <cell r="AW425">
            <v>32640</v>
          </cell>
          <cell r="AX425">
            <v>41016</v>
          </cell>
          <cell r="AY425">
            <v>41016</v>
          </cell>
          <cell r="AZ425">
            <v>2120.16</v>
          </cell>
          <cell r="BA425">
            <v>472.8</v>
          </cell>
        </row>
        <row r="426">
          <cell r="F426">
            <v>121000000102</v>
          </cell>
          <cell r="G426" t="str">
            <v>Executive Engineer, RWSS Division</v>
          </cell>
          <cell r="H426" t="str">
            <v xml:space="preserve"> </v>
          </cell>
          <cell r="I426" t="str">
            <v>04/11/2023 00:00:00</v>
          </cell>
          <cell r="J426">
            <v>1</v>
          </cell>
          <cell r="K426" t="str">
            <v>Nayahat</v>
          </cell>
          <cell r="L426" t="str">
            <v>Chandbali</v>
          </cell>
          <cell r="M426" t="str">
            <v>421000010231492455</v>
          </cell>
          <cell r="N426" t="str">
            <v>132327943366</v>
          </cell>
          <cell r="O426" t="str">
            <v xml:space="preserve"> </v>
          </cell>
          <cell r="P426" t="str">
            <v>NULL</v>
          </cell>
          <cell r="Q426" t="str">
            <v>PUBLIC WATER WORKS &amp; SEWERAGE PUMPING</v>
          </cell>
          <cell r="R426" t="str">
            <v>HT</v>
          </cell>
          <cell r="S426" t="str">
            <v>01/10/2023</v>
          </cell>
          <cell r="T426" t="str">
            <v>01/10/2023</v>
          </cell>
          <cell r="U426" t="str">
            <v>09/10/2023</v>
          </cell>
          <cell r="V426" t="str">
            <v>09/10/2023</v>
          </cell>
          <cell r="W426" t="str">
            <v>2023/09</v>
          </cell>
          <cell r="X426" t="str">
            <v>33 KV</v>
          </cell>
          <cell r="Y426" t="str">
            <v>HT</v>
          </cell>
          <cell r="Z426">
            <v>1280</v>
          </cell>
          <cell r="AA426">
            <v>0.99390000000000001</v>
          </cell>
          <cell r="AB426">
            <v>6.62</v>
          </cell>
          <cell r="AC426" t="str">
            <v xml:space="preserve">29/08/2023 -     </v>
          </cell>
          <cell r="AD426" t="str">
            <v>25.09.2023</v>
          </cell>
          <cell r="AE426" t="str">
            <v>28/1.0000</v>
          </cell>
          <cell r="AF426">
            <v>1600</v>
          </cell>
          <cell r="AG426" t="str">
            <v>KVA</v>
          </cell>
          <cell r="AH426">
            <v>1600</v>
          </cell>
          <cell r="AI426" t="str">
            <v>R</v>
          </cell>
          <cell r="AJ426">
            <v>7379200</v>
          </cell>
          <cell r="AK426" t="str">
            <v>25/09/2023</v>
          </cell>
          <cell r="AL426" t="str">
            <v>TPN64780</v>
          </cell>
          <cell r="AM426" t="str">
            <v>THREE PHASE HT CT METER-33KV</v>
          </cell>
          <cell r="AN426" t="str">
            <v>POST PAID</v>
          </cell>
          <cell r="AO426">
            <v>2500</v>
          </cell>
          <cell r="AP426" t="str">
            <v>TOD</v>
          </cell>
          <cell r="AQ426">
            <v>0</v>
          </cell>
          <cell r="AR426">
            <v>0</v>
          </cell>
          <cell r="AS426">
            <v>0</v>
          </cell>
          <cell r="AT426">
            <v>0</v>
          </cell>
          <cell r="AU426">
            <v>0</v>
          </cell>
          <cell r="AV426">
            <v>0</v>
          </cell>
          <cell r="AW426">
            <v>11754</v>
          </cell>
          <cell r="AX426">
            <v>11826</v>
          </cell>
          <cell r="AY426">
            <v>11826</v>
          </cell>
          <cell r="AZ426">
            <v>1730.16</v>
          </cell>
          <cell r="BA426">
            <v>265.68</v>
          </cell>
        </row>
        <row r="427">
          <cell r="F427">
            <v>121000000103</v>
          </cell>
          <cell r="G427" t="str">
            <v>Mrs. GITARANI GIRI</v>
          </cell>
          <cell r="H427" t="str">
            <v>6485/10131</v>
          </cell>
          <cell r="I427" t="str">
            <v>04/20/2023 00:00:00</v>
          </cell>
          <cell r="J427">
            <v>1</v>
          </cell>
          <cell r="K427" t="str">
            <v>BIDEIPUR</v>
          </cell>
          <cell r="L427" t="str">
            <v>BIDEIPUR</v>
          </cell>
          <cell r="M427" t="str">
            <v>421000010231492866</v>
          </cell>
          <cell r="N427" t="str">
            <v>132327946550</v>
          </cell>
          <cell r="O427" t="str">
            <v xml:space="preserve"> </v>
          </cell>
          <cell r="P427" t="str">
            <v>NULL</v>
          </cell>
          <cell r="Q427" t="str">
            <v>LARGE INDUSTRY</v>
          </cell>
          <cell r="R427" t="str">
            <v>HT</v>
          </cell>
          <cell r="S427" t="str">
            <v>01/10/2023</v>
          </cell>
          <cell r="T427" t="str">
            <v>01/10/2023</v>
          </cell>
          <cell r="U427" t="str">
            <v>06/10/2023</v>
          </cell>
          <cell r="V427" t="str">
            <v>09/10/2023</v>
          </cell>
          <cell r="W427" t="str">
            <v>2023/09</v>
          </cell>
          <cell r="X427" t="str">
            <v>11 KV</v>
          </cell>
          <cell r="Y427" t="str">
            <v>HT</v>
          </cell>
          <cell r="Z427">
            <v>147.16</v>
          </cell>
          <cell r="AA427">
            <v>0.96009999999999995</v>
          </cell>
          <cell r="AB427">
            <v>30.86</v>
          </cell>
          <cell r="AC427" t="str">
            <v xml:space="preserve">01/09/2023 -     </v>
          </cell>
          <cell r="AD427" t="str">
            <v>30.09.2023</v>
          </cell>
          <cell r="AE427" t="str">
            <v>30/1.0000</v>
          </cell>
          <cell r="AF427">
            <v>133</v>
          </cell>
          <cell r="AG427" t="str">
            <v>KVA</v>
          </cell>
          <cell r="AH427">
            <v>133</v>
          </cell>
          <cell r="AI427" t="str">
            <v>R</v>
          </cell>
          <cell r="AJ427">
            <v>816407.2</v>
          </cell>
          <cell r="AK427" t="str">
            <v>30/09/2023</v>
          </cell>
          <cell r="AL427" t="str">
            <v>TPNODL38111916</v>
          </cell>
          <cell r="AM427" t="str">
            <v>THREE PHASE SMART HT CT METER (AMR/AMI)-11KV</v>
          </cell>
          <cell r="AN427" t="str">
            <v>SMART METER</v>
          </cell>
          <cell r="AO427">
            <v>250</v>
          </cell>
          <cell r="AP427" t="str">
            <v>TOD</v>
          </cell>
          <cell r="AQ427">
            <v>0</v>
          </cell>
          <cell r="AR427">
            <v>0</v>
          </cell>
          <cell r="AS427">
            <v>0</v>
          </cell>
          <cell r="AT427">
            <v>0</v>
          </cell>
          <cell r="AU427">
            <v>0</v>
          </cell>
          <cell r="AV427">
            <v>0</v>
          </cell>
          <cell r="AW427">
            <v>31392</v>
          </cell>
          <cell r="AX427">
            <v>32695</v>
          </cell>
          <cell r="AY427">
            <v>32695</v>
          </cell>
          <cell r="AZ427">
            <v>448.40559999999999</v>
          </cell>
          <cell r="BA427">
            <v>147.15600000000001</v>
          </cell>
        </row>
        <row r="428">
          <cell r="F428">
            <v>121000000104</v>
          </cell>
          <cell r="G428" t="str">
            <v>M/S PRIME INDUSTRIES</v>
          </cell>
          <cell r="H428" t="str">
            <v xml:space="preserve">C/O- SUMAN SWAIN                   </v>
          </cell>
          <cell r="I428" t="str">
            <v>01/25/2021 00:00:00</v>
          </cell>
          <cell r="J428">
            <v>1</v>
          </cell>
          <cell r="K428" t="str">
            <v xml:space="preserve">RAHANJA                            </v>
          </cell>
          <cell r="L428" t="str">
            <v xml:space="preserve"> </v>
          </cell>
          <cell r="M428" t="str">
            <v>421000010231495025</v>
          </cell>
          <cell r="N428" t="str">
            <v>34214012294</v>
          </cell>
          <cell r="O428" t="str">
            <v>BRD-117748</v>
          </cell>
          <cell r="P428" t="str">
            <v>NULL</v>
          </cell>
          <cell r="Q428" t="str">
            <v>LARGE INDUSTRY</v>
          </cell>
          <cell r="R428" t="str">
            <v>HT</v>
          </cell>
          <cell r="S428" t="str">
            <v>01/10/2023</v>
          </cell>
          <cell r="T428" t="str">
            <v>01/10/2023</v>
          </cell>
          <cell r="U428" t="str">
            <v>06/10/2023</v>
          </cell>
          <cell r="V428" t="str">
            <v>09/10/2023</v>
          </cell>
          <cell r="W428" t="str">
            <v>2023/09</v>
          </cell>
          <cell r="X428" t="str">
            <v>11 KV</v>
          </cell>
          <cell r="Y428" t="str">
            <v>HT</v>
          </cell>
          <cell r="Z428">
            <v>110.4</v>
          </cell>
          <cell r="AA428">
            <v>0.88360000000000005</v>
          </cell>
          <cell r="AB428">
            <v>47.05</v>
          </cell>
          <cell r="AC428" t="str">
            <v xml:space="preserve">30/08/2023 -     </v>
          </cell>
          <cell r="AD428" t="str">
            <v>30.09.2023</v>
          </cell>
          <cell r="AE428" t="str">
            <v>32/1.0000</v>
          </cell>
          <cell r="AF428">
            <v>138</v>
          </cell>
          <cell r="AG428" t="str">
            <v>KVA</v>
          </cell>
          <cell r="AH428">
            <v>138</v>
          </cell>
          <cell r="AI428" t="str">
            <v>R</v>
          </cell>
          <cell r="AJ428">
            <v>208607</v>
          </cell>
          <cell r="AK428" t="str">
            <v>30/09/2023</v>
          </cell>
          <cell r="AL428" t="str">
            <v>TPNODL38111754</v>
          </cell>
          <cell r="AM428" t="str">
            <v>THREE PHASE SMART HT CT METER (AMR/AMI)-11KV</v>
          </cell>
          <cell r="AN428" t="str">
            <v>SMART METER</v>
          </cell>
          <cell r="AO428">
            <v>150</v>
          </cell>
          <cell r="AP428" t="str">
            <v>TOD</v>
          </cell>
          <cell r="AQ428">
            <v>23271.7</v>
          </cell>
          <cell r="AR428">
            <v>0</v>
          </cell>
          <cell r="AS428">
            <v>0</v>
          </cell>
          <cell r="AT428">
            <v>0</v>
          </cell>
          <cell r="AU428">
            <v>0</v>
          </cell>
          <cell r="AV428">
            <v>0</v>
          </cell>
          <cell r="AW428">
            <v>25031.360000000001</v>
          </cell>
          <cell r="AX428">
            <v>28327</v>
          </cell>
          <cell r="AY428">
            <v>28327</v>
          </cell>
          <cell r="AZ428">
            <v>39.195999999999998</v>
          </cell>
          <cell r="BA428">
            <v>78.391999999999996</v>
          </cell>
        </row>
        <row r="429">
          <cell r="F429">
            <v>421000000002</v>
          </cell>
          <cell r="G429" t="str">
            <v>BARPADA SCHOOL OF ENGG. &amp; TECH</v>
          </cell>
          <cell r="H429" t="str">
            <v>C/o PRINCIPAL,</v>
          </cell>
          <cell r="I429" t="str">
            <v>10/31/2020 00:00:00</v>
          </cell>
          <cell r="J429">
            <v>1</v>
          </cell>
          <cell r="K429" t="str">
            <v xml:space="preserve"> </v>
          </cell>
          <cell r="L429" t="str">
            <v xml:space="preserve"> </v>
          </cell>
          <cell r="M429" t="str">
            <v>422000010231492406</v>
          </cell>
          <cell r="N429" t="str">
            <v>1210000001</v>
          </cell>
          <cell r="O429" t="str">
            <v>23573-PI</v>
          </cell>
          <cell r="P429" t="str">
            <v>442221101</v>
          </cell>
          <cell r="Q429" t="str">
            <v>SPECIFIED PUBLIC PURPOSE</v>
          </cell>
          <cell r="R429" t="str">
            <v>HT</v>
          </cell>
          <cell r="S429" t="str">
            <v>01/10/2023</v>
          </cell>
          <cell r="T429" t="str">
            <v>01/10/2023</v>
          </cell>
          <cell r="U429" t="str">
            <v>06/10/2023</v>
          </cell>
          <cell r="V429" t="str">
            <v>09/10/2023</v>
          </cell>
          <cell r="W429" t="str">
            <v>2023/09</v>
          </cell>
          <cell r="X429" t="str">
            <v>11 KV</v>
          </cell>
          <cell r="Y429" t="str">
            <v>HT</v>
          </cell>
          <cell r="Z429">
            <v>373.6</v>
          </cell>
          <cell r="AA429">
            <v>0.84140000000000004</v>
          </cell>
          <cell r="AB429">
            <v>36.72</v>
          </cell>
          <cell r="AC429" t="str">
            <v xml:space="preserve">01/09/2023 -     </v>
          </cell>
          <cell r="AD429" t="str">
            <v>30.09.2023</v>
          </cell>
          <cell r="AE429" t="str">
            <v>30/1.0000</v>
          </cell>
          <cell r="AF429">
            <v>467</v>
          </cell>
          <cell r="AG429" t="str">
            <v>KVA</v>
          </cell>
          <cell r="AH429">
            <v>467</v>
          </cell>
          <cell r="AI429" t="str">
            <v>R</v>
          </cell>
          <cell r="AJ429">
            <v>613200</v>
          </cell>
          <cell r="AK429" t="str">
            <v>30/09/2023</v>
          </cell>
          <cell r="AL429" t="str">
            <v>TPN64230</v>
          </cell>
          <cell r="AM429" t="str">
            <v>HT THREE PHASE 4 WIRE AMR/AMI COMPLAINT METER</v>
          </cell>
          <cell r="AN429" t="str">
            <v>POST PAID</v>
          </cell>
          <cell r="AO429">
            <v>900</v>
          </cell>
          <cell r="AP429" t="str">
            <v>TOD</v>
          </cell>
          <cell r="AQ429">
            <v>-264881.5</v>
          </cell>
          <cell r="AR429">
            <v>0</v>
          </cell>
          <cell r="AS429">
            <v>0</v>
          </cell>
          <cell r="AT429">
            <v>0</v>
          </cell>
          <cell r="AU429">
            <v>0</v>
          </cell>
          <cell r="AV429">
            <v>0</v>
          </cell>
          <cell r="AW429">
            <v>19860</v>
          </cell>
          <cell r="AX429">
            <v>23601</v>
          </cell>
          <cell r="AY429">
            <v>23601</v>
          </cell>
          <cell r="AZ429">
            <v>567.12</v>
          </cell>
          <cell r="BA429">
            <v>89.279999999999987</v>
          </cell>
        </row>
        <row r="430">
          <cell r="F430">
            <v>421000000004</v>
          </cell>
          <cell r="G430" t="str">
            <v>M/S AGN AGRO PROCESSORS PVT LTD.</v>
          </cell>
          <cell r="H430" t="str">
            <v>RAJENDRAPUR,B. PAKHARIDHAMNAGAR</v>
          </cell>
          <cell r="I430" t="str">
            <v>10/31/2020 00:00:00</v>
          </cell>
          <cell r="J430">
            <v>1</v>
          </cell>
          <cell r="K430" t="str">
            <v xml:space="preserve"> </v>
          </cell>
          <cell r="L430" t="str">
            <v xml:space="preserve"> </v>
          </cell>
          <cell r="M430" t="str">
            <v>422000010231492428</v>
          </cell>
          <cell r="N430" t="str">
            <v>4210000003</v>
          </cell>
          <cell r="O430" t="str">
            <v>DYS-24225</v>
          </cell>
          <cell r="P430" t="str">
            <v>442213401</v>
          </cell>
          <cell r="Q430" t="str">
            <v>LARGE INDUSTRY</v>
          </cell>
          <cell r="R430" t="str">
            <v>HT</v>
          </cell>
          <cell r="S430" t="str">
            <v>01/10/2023</v>
          </cell>
          <cell r="T430" t="str">
            <v>01/10/2023</v>
          </cell>
          <cell r="U430" t="str">
            <v>06/10/2023</v>
          </cell>
          <cell r="V430" t="str">
            <v>09/10/2023</v>
          </cell>
          <cell r="W430" t="str">
            <v>2023/09</v>
          </cell>
          <cell r="X430" t="str">
            <v>11 KV</v>
          </cell>
          <cell r="Y430" t="str">
            <v>HT</v>
          </cell>
          <cell r="Z430">
            <v>183.76</v>
          </cell>
          <cell r="AA430">
            <v>0.93899999999999995</v>
          </cell>
          <cell r="AB430">
            <v>40.78</v>
          </cell>
          <cell r="AC430" t="str">
            <v xml:space="preserve">01/09/2023 -     </v>
          </cell>
          <cell r="AD430" t="str">
            <v>30.09.2023</v>
          </cell>
          <cell r="AE430" t="str">
            <v>30/1.0000</v>
          </cell>
          <cell r="AF430">
            <v>175</v>
          </cell>
          <cell r="AG430" t="str">
            <v>KVA</v>
          </cell>
          <cell r="AH430">
            <v>175</v>
          </cell>
          <cell r="AI430" t="str">
            <v>R</v>
          </cell>
          <cell r="AJ430">
            <v>822976</v>
          </cell>
          <cell r="AK430" t="str">
            <v>30/09/2023</v>
          </cell>
          <cell r="AL430" t="str">
            <v>TPN64142</v>
          </cell>
          <cell r="AM430" t="str">
            <v>HT THREE PHASE 4 WIRE AMR/AMI COMPLAINT METER</v>
          </cell>
          <cell r="AN430" t="str">
            <v>POST PAID</v>
          </cell>
          <cell r="AO430">
            <v>250</v>
          </cell>
          <cell r="AP430" t="str">
            <v>TOD</v>
          </cell>
          <cell r="AQ430">
            <v>-398650.06</v>
          </cell>
          <cell r="AR430">
            <v>0</v>
          </cell>
          <cell r="AS430">
            <v>0</v>
          </cell>
          <cell r="AT430">
            <v>0</v>
          </cell>
          <cell r="AU430">
            <v>0</v>
          </cell>
          <cell r="AV430">
            <v>0</v>
          </cell>
          <cell r="AW430">
            <v>50664</v>
          </cell>
          <cell r="AX430">
            <v>53951</v>
          </cell>
          <cell r="AY430">
            <v>53951</v>
          </cell>
          <cell r="AZ430">
            <v>1201.52</v>
          </cell>
          <cell r="BA430">
            <v>183.76</v>
          </cell>
        </row>
        <row r="431">
          <cell r="F431">
            <v>421000000005</v>
          </cell>
          <cell r="G431" t="str">
            <v>M/S MAA RICE MILL</v>
          </cell>
          <cell r="H431" t="str">
            <v>PALIKIRI,DHAMNAGAR</v>
          </cell>
          <cell r="I431" t="str">
            <v>10/31/2020 00:00:00</v>
          </cell>
          <cell r="J431">
            <v>1</v>
          </cell>
          <cell r="K431" t="str">
            <v xml:space="preserve"> </v>
          </cell>
          <cell r="L431" t="str">
            <v xml:space="preserve"> </v>
          </cell>
          <cell r="M431" t="str">
            <v>422000010231492341</v>
          </cell>
          <cell r="N431" t="str">
            <v>4210000004</v>
          </cell>
          <cell r="O431" t="str">
            <v>DDS-23737</v>
          </cell>
          <cell r="P431" t="str">
            <v>442211304</v>
          </cell>
          <cell r="Q431" t="str">
            <v>LARGE INDUSTRY</v>
          </cell>
          <cell r="R431" t="str">
            <v>HT</v>
          </cell>
          <cell r="S431" t="str">
            <v>01/10/2023</v>
          </cell>
          <cell r="T431" t="str">
            <v>01/10/2023</v>
          </cell>
          <cell r="U431" t="str">
            <v>06/10/2023</v>
          </cell>
          <cell r="V431" t="str">
            <v>09/10/2023</v>
          </cell>
          <cell r="W431" t="str">
            <v>2023/09</v>
          </cell>
          <cell r="X431" t="str">
            <v>11 KV</v>
          </cell>
          <cell r="Y431" t="str">
            <v>HT</v>
          </cell>
          <cell r="Z431">
            <v>178.96</v>
          </cell>
          <cell r="AA431">
            <v>0.86129999999999995</v>
          </cell>
          <cell r="AB431">
            <v>17.25</v>
          </cell>
          <cell r="AC431" t="str">
            <v xml:space="preserve">01/09/2023 -     </v>
          </cell>
          <cell r="AD431" t="str">
            <v>30.09.2023</v>
          </cell>
          <cell r="AE431" t="str">
            <v>30/1.0000</v>
          </cell>
          <cell r="AF431">
            <v>195</v>
          </cell>
          <cell r="AG431" t="str">
            <v>KVA</v>
          </cell>
          <cell r="AH431">
            <v>195</v>
          </cell>
          <cell r="AI431" t="str">
            <v>R</v>
          </cell>
          <cell r="AJ431">
            <v>980211</v>
          </cell>
          <cell r="AK431" t="str">
            <v>30/09/2023</v>
          </cell>
          <cell r="AL431" t="str">
            <v>TPN64144</v>
          </cell>
          <cell r="AM431" t="str">
            <v>HT THREE PHASE 4 WIRE AMR/AMI COMPLAINT METER</v>
          </cell>
          <cell r="AN431" t="str">
            <v>POST PAID</v>
          </cell>
          <cell r="AO431">
            <v>250</v>
          </cell>
          <cell r="AP431" t="str">
            <v>TOD</v>
          </cell>
          <cell r="AQ431">
            <v>-580407.16</v>
          </cell>
          <cell r="AR431">
            <v>0</v>
          </cell>
          <cell r="AS431">
            <v>0</v>
          </cell>
          <cell r="AT431">
            <v>0</v>
          </cell>
          <cell r="AU431">
            <v>0</v>
          </cell>
          <cell r="AV431">
            <v>0</v>
          </cell>
          <cell r="AW431">
            <v>19147</v>
          </cell>
          <cell r="AX431">
            <v>22229</v>
          </cell>
          <cell r="AY431">
            <v>22229</v>
          </cell>
          <cell r="AZ431">
            <v>1204.24</v>
          </cell>
          <cell r="BA431">
            <v>178.96</v>
          </cell>
        </row>
        <row r="432">
          <cell r="F432">
            <v>421000000006</v>
          </cell>
          <cell r="G432" t="str">
            <v>FERRO ALLOYS CORPORATION LTD</v>
          </cell>
          <cell r="H432" t="str">
            <v>POWER PLANT</v>
          </cell>
          <cell r="I432" t="str">
            <v>10/31/2020 00:00:00</v>
          </cell>
          <cell r="J432">
            <v>1</v>
          </cell>
          <cell r="K432" t="str">
            <v>DP NAGAR,RANDIABHADRAK</v>
          </cell>
          <cell r="L432" t="str">
            <v xml:space="preserve"> </v>
          </cell>
          <cell r="M432" t="str">
            <v>422000010232495552</v>
          </cell>
          <cell r="N432" t="str">
            <v>4210000005</v>
          </cell>
          <cell r="O432" t="str">
            <v>BSS-26088</v>
          </cell>
          <cell r="P432" t="str">
            <v>NULL</v>
          </cell>
          <cell r="Q432" t="str">
            <v>EMERGENCY SUPPLY TO CGP</v>
          </cell>
          <cell r="R432" t="str">
            <v>EHT</v>
          </cell>
          <cell r="S432" t="str">
            <v>01/10/2023</v>
          </cell>
          <cell r="T432" t="str">
            <v>01/10/2023</v>
          </cell>
          <cell r="U432" t="str">
            <v>06/10/2023</v>
          </cell>
          <cell r="V432" t="str">
            <v>09/10/2023</v>
          </cell>
          <cell r="W432" t="str">
            <v>2023/09</v>
          </cell>
          <cell r="X432" t="str">
            <v>132 KV</v>
          </cell>
          <cell r="Y432" t="str">
            <v>HT</v>
          </cell>
          <cell r="Z432">
            <v>4444</v>
          </cell>
          <cell r="AA432">
            <v>1</v>
          </cell>
          <cell r="AB432">
            <v>4.17</v>
          </cell>
          <cell r="AC432" t="str">
            <v xml:space="preserve">01/09/2023 -     </v>
          </cell>
          <cell r="AD432" t="str">
            <v>30.09.2023</v>
          </cell>
          <cell r="AE432" t="str">
            <v>30/1.0000</v>
          </cell>
          <cell r="AF432">
            <v>5555</v>
          </cell>
          <cell r="AG432" t="str">
            <v>KVA</v>
          </cell>
          <cell r="AH432">
            <v>5555</v>
          </cell>
          <cell r="AI432" t="str">
            <v>R</v>
          </cell>
          <cell r="AJ432">
            <v>14688000</v>
          </cell>
          <cell r="AK432" t="str">
            <v>30/09/2023</v>
          </cell>
          <cell r="AL432" t="str">
            <v>NSC95188</v>
          </cell>
          <cell r="AM432" t="str">
            <v>THREE PHASE HT CT METER-33KV</v>
          </cell>
          <cell r="AN432" t="str">
            <v>POST PAID</v>
          </cell>
          <cell r="AO432">
            <v>750</v>
          </cell>
          <cell r="AP432" t="str">
            <v>TOD</v>
          </cell>
          <cell r="AQ432">
            <v>-13976781.800000001</v>
          </cell>
          <cell r="AR432">
            <v>0</v>
          </cell>
          <cell r="AS432">
            <v>0</v>
          </cell>
          <cell r="AT432">
            <v>0</v>
          </cell>
          <cell r="AU432">
            <v>0</v>
          </cell>
          <cell r="AV432">
            <v>0</v>
          </cell>
          <cell r="AW432">
            <v>1440</v>
          </cell>
          <cell r="AX432">
            <v>1440</v>
          </cell>
          <cell r="AY432">
            <v>1440</v>
          </cell>
          <cell r="AZ432">
            <v>1E-4</v>
          </cell>
          <cell r="BA432">
            <v>48</v>
          </cell>
        </row>
        <row r="433">
          <cell r="F433">
            <v>421000000010</v>
          </cell>
          <cell r="G433" t="str">
            <v>M/S N&amp;B FOODS</v>
          </cell>
          <cell r="H433" t="str">
            <v>PROP-SRINIBAS PATI</v>
          </cell>
          <cell r="I433" t="str">
            <v>10/31/2020 00:00:00</v>
          </cell>
          <cell r="J433">
            <v>1</v>
          </cell>
          <cell r="K433" t="str">
            <v xml:space="preserve"> </v>
          </cell>
          <cell r="L433" t="str">
            <v xml:space="preserve"> </v>
          </cell>
          <cell r="M433" t="str">
            <v>422000010231492355</v>
          </cell>
          <cell r="N433" t="str">
            <v>4210000009</v>
          </cell>
          <cell r="O433" t="str">
            <v>BSSD-31480</v>
          </cell>
          <cell r="P433" t="str">
            <v>442222402</v>
          </cell>
          <cell r="Q433" t="str">
            <v>LARGE INDUSTRY</v>
          </cell>
          <cell r="R433" t="str">
            <v>HT</v>
          </cell>
          <cell r="S433" t="str">
            <v>01/10/2023</v>
          </cell>
          <cell r="T433" t="str">
            <v>01/10/2023</v>
          </cell>
          <cell r="U433" t="str">
            <v>06/10/2023</v>
          </cell>
          <cell r="V433" t="str">
            <v>09/10/2023</v>
          </cell>
          <cell r="W433" t="str">
            <v>2023/09</v>
          </cell>
          <cell r="X433" t="str">
            <v>11 KV</v>
          </cell>
          <cell r="Y433" t="str">
            <v>HT</v>
          </cell>
          <cell r="Z433">
            <v>178.4</v>
          </cell>
          <cell r="AA433">
            <v>0</v>
          </cell>
          <cell r="AB433">
            <v>0</v>
          </cell>
          <cell r="AC433" t="str">
            <v xml:space="preserve">01/09/2023 -     </v>
          </cell>
          <cell r="AD433" t="str">
            <v>30.09.2023</v>
          </cell>
          <cell r="AE433" t="str">
            <v>30/1.0000</v>
          </cell>
          <cell r="AF433">
            <v>223</v>
          </cell>
          <cell r="AG433" t="str">
            <v>KVA</v>
          </cell>
          <cell r="AH433">
            <v>223</v>
          </cell>
          <cell r="AI433" t="str">
            <v>D</v>
          </cell>
          <cell r="AJ433">
            <v>1080498</v>
          </cell>
          <cell r="AK433" t="str">
            <v>30/09/2023</v>
          </cell>
          <cell r="AL433" t="str">
            <v>NES50493</v>
          </cell>
          <cell r="AM433" t="str">
            <v>THREE PHASE STATIC TRI-VECTOR METER-TOD</v>
          </cell>
          <cell r="AN433" t="str">
            <v>POST PAID</v>
          </cell>
          <cell r="AO433">
            <v>315</v>
          </cell>
          <cell r="AP433" t="str">
            <v>TOD</v>
          </cell>
          <cell r="AQ433">
            <v>-896691.8</v>
          </cell>
          <cell r="AR433">
            <v>0</v>
          </cell>
          <cell r="AS433">
            <v>0</v>
          </cell>
          <cell r="AT433">
            <v>0</v>
          </cell>
          <cell r="AU433">
            <v>0</v>
          </cell>
          <cell r="AV433">
            <v>0</v>
          </cell>
          <cell r="AW433">
            <v>0</v>
          </cell>
          <cell r="AX433">
            <v>0</v>
          </cell>
          <cell r="AY433">
            <v>0</v>
          </cell>
          <cell r="AZ433">
            <v>0</v>
          </cell>
          <cell r="BA433">
            <v>0</v>
          </cell>
        </row>
        <row r="434">
          <cell r="F434">
            <v>421000000012</v>
          </cell>
          <cell r="G434" t="str">
            <v>M/S VODAFONE SPACETEL LIMITED</v>
          </cell>
          <cell r="H434" t="str">
            <v>AT/PO- BONTH,BHADRAK</v>
          </cell>
          <cell r="I434" t="str">
            <v>10/31/2020 00:00:00</v>
          </cell>
          <cell r="J434">
            <v>1</v>
          </cell>
          <cell r="K434" t="str">
            <v xml:space="preserve"> </v>
          </cell>
          <cell r="L434" t="str">
            <v xml:space="preserve"> </v>
          </cell>
          <cell r="M434" t="str">
            <v>422000010232495308</v>
          </cell>
          <cell r="N434" t="str">
            <v>4210000011</v>
          </cell>
          <cell r="O434" t="str">
            <v>BSSD-31625</v>
          </cell>
          <cell r="P434" t="str">
            <v>462322403</v>
          </cell>
          <cell r="Q434" t="str">
            <v>GENERAL PURPOSE &gt;= 110 KVA</v>
          </cell>
          <cell r="R434" t="str">
            <v>HT</v>
          </cell>
          <cell r="S434" t="str">
            <v>01/10/2023</v>
          </cell>
          <cell r="T434" t="str">
            <v>01/10/2023</v>
          </cell>
          <cell r="U434" t="str">
            <v>06/10/2023</v>
          </cell>
          <cell r="V434" t="str">
            <v>09/10/2023</v>
          </cell>
          <cell r="W434" t="str">
            <v>2023/09</v>
          </cell>
          <cell r="X434" t="str">
            <v>11 KV</v>
          </cell>
          <cell r="Y434" t="str">
            <v>HT</v>
          </cell>
          <cell r="Z434">
            <v>88.8</v>
          </cell>
          <cell r="AA434">
            <v>0.999</v>
          </cell>
          <cell r="AB434">
            <v>31.02</v>
          </cell>
          <cell r="AC434" t="str">
            <v xml:space="preserve">01/09/2023 -     </v>
          </cell>
          <cell r="AD434" t="str">
            <v>30.09.2023</v>
          </cell>
          <cell r="AE434" t="str">
            <v>30/1.0000</v>
          </cell>
          <cell r="AF434">
            <v>111</v>
          </cell>
          <cell r="AG434" t="str">
            <v>KVA</v>
          </cell>
          <cell r="AH434">
            <v>111</v>
          </cell>
          <cell r="AI434" t="str">
            <v>R</v>
          </cell>
          <cell r="AJ434">
            <v>262342</v>
          </cell>
          <cell r="AK434" t="str">
            <v>30/09/2023</v>
          </cell>
          <cell r="AL434" t="str">
            <v>TPN64166</v>
          </cell>
          <cell r="AM434" t="str">
            <v>HT THREE PHASE 4 WIRE AMR/AMI COMPLAINT METER</v>
          </cell>
          <cell r="AN434" t="str">
            <v>POST PAID</v>
          </cell>
          <cell r="AO434">
            <v>150</v>
          </cell>
          <cell r="AP434" t="str">
            <v>TOD</v>
          </cell>
          <cell r="AQ434">
            <v>-207002.5</v>
          </cell>
          <cell r="AR434">
            <v>0</v>
          </cell>
          <cell r="AS434">
            <v>0</v>
          </cell>
          <cell r="AT434">
            <v>0</v>
          </cell>
          <cell r="AU434">
            <v>0</v>
          </cell>
          <cell r="AV434">
            <v>0</v>
          </cell>
          <cell r="AW434">
            <v>2035</v>
          </cell>
          <cell r="AX434">
            <v>2037</v>
          </cell>
          <cell r="AY434">
            <v>2037</v>
          </cell>
          <cell r="AZ434">
            <v>73.52</v>
          </cell>
          <cell r="BA434">
            <v>9.120000000000001</v>
          </cell>
        </row>
        <row r="435">
          <cell r="F435">
            <v>421000000013</v>
          </cell>
          <cell r="G435" t="str">
            <v>M/S CHAKADOLA SHITAL BHANDAR</v>
          </cell>
          <cell r="H435" t="str">
            <v>PROP-ASHIM KU. GHOSH,PARBATIMANJURI</v>
          </cell>
          <cell r="I435" t="str">
            <v>10/31/2020 00:00:00</v>
          </cell>
          <cell r="J435">
            <v>1</v>
          </cell>
          <cell r="K435" t="str">
            <v xml:space="preserve"> </v>
          </cell>
          <cell r="L435" t="str">
            <v xml:space="preserve"> </v>
          </cell>
          <cell r="M435" t="str">
            <v>422000010231492449</v>
          </cell>
          <cell r="N435" t="str">
            <v>4210000012</v>
          </cell>
          <cell r="O435" t="str">
            <v>DBSD-31668</v>
          </cell>
          <cell r="P435" t="str">
            <v>442212201</v>
          </cell>
          <cell r="Q435" t="str">
            <v>ALLIED AGRO-INDUSTRIAL ACTIVITIES</v>
          </cell>
          <cell r="R435" t="str">
            <v>HT</v>
          </cell>
          <cell r="S435" t="str">
            <v>01/10/2023</v>
          </cell>
          <cell r="T435" t="str">
            <v>01/10/2023</v>
          </cell>
          <cell r="U435" t="str">
            <v>06/10/2023</v>
          </cell>
          <cell r="V435" t="str">
            <v>09/10/2023</v>
          </cell>
          <cell r="W435" t="str">
            <v>2023/09</v>
          </cell>
          <cell r="X435" t="str">
            <v>11 KV</v>
          </cell>
          <cell r="Y435" t="str">
            <v>HT</v>
          </cell>
          <cell r="Z435">
            <v>351.6</v>
          </cell>
          <cell r="AA435">
            <v>0.82569999999999999</v>
          </cell>
          <cell r="AB435">
            <v>0</v>
          </cell>
          <cell r="AC435" t="str">
            <v xml:space="preserve">01/09/2023 -     </v>
          </cell>
          <cell r="AD435" t="str">
            <v>30.09.2023</v>
          </cell>
          <cell r="AE435" t="str">
            <v>30/1.0000</v>
          </cell>
          <cell r="AF435">
            <v>306</v>
          </cell>
          <cell r="AG435" t="str">
            <v>KVA</v>
          </cell>
          <cell r="AH435">
            <v>306</v>
          </cell>
          <cell r="AI435" t="str">
            <v>R</v>
          </cell>
          <cell r="AJ435">
            <v>518389</v>
          </cell>
          <cell r="AK435" t="str">
            <v>30/09/2023</v>
          </cell>
          <cell r="AL435" t="str">
            <v>NES51068</v>
          </cell>
          <cell r="AM435" t="str">
            <v>TRI-VECTOR METER FOR RAILWAY TRACTION</v>
          </cell>
          <cell r="AN435" t="str">
            <v>POST PAID</v>
          </cell>
          <cell r="AO435">
            <v>500</v>
          </cell>
          <cell r="AP435" t="str">
            <v>TOD</v>
          </cell>
          <cell r="AQ435">
            <v>-334471</v>
          </cell>
          <cell r="AR435">
            <v>0</v>
          </cell>
          <cell r="AS435">
            <v>0</v>
          </cell>
          <cell r="AT435">
            <v>0</v>
          </cell>
          <cell r="AU435">
            <v>0</v>
          </cell>
          <cell r="AV435">
            <v>0</v>
          </cell>
          <cell r="AW435">
            <v>114530</v>
          </cell>
          <cell r="AX435">
            <v>138705</v>
          </cell>
          <cell r="AY435">
            <v>138705</v>
          </cell>
          <cell r="AZ435">
            <v>2351.1999999999998</v>
          </cell>
          <cell r="BA435">
            <v>351.6</v>
          </cell>
        </row>
        <row r="436">
          <cell r="F436">
            <v>421000000014</v>
          </cell>
          <cell r="G436" t="str">
            <v>PRINCIPAL , GOVT. POLYTECHNIC BDK</v>
          </cell>
          <cell r="H436" t="str">
            <v>SARAMANGA,RANDIAHAT</v>
          </cell>
          <cell r="I436" t="str">
            <v>10/31/2020 00:00:00</v>
          </cell>
          <cell r="J436">
            <v>1</v>
          </cell>
          <cell r="K436" t="str">
            <v xml:space="preserve"> </v>
          </cell>
          <cell r="L436" t="str">
            <v xml:space="preserve"> </v>
          </cell>
          <cell r="M436" t="str">
            <v>422000010231492501</v>
          </cell>
          <cell r="N436" t="str">
            <v>4210000013</v>
          </cell>
          <cell r="O436" t="str">
            <v>BSSD-31899</v>
          </cell>
          <cell r="P436" t="str">
            <v>442221504</v>
          </cell>
          <cell r="Q436" t="str">
            <v>SPECIFIED PUBLIC PURPOSE</v>
          </cell>
          <cell r="R436" t="str">
            <v>HT</v>
          </cell>
          <cell r="S436" t="str">
            <v>01/10/2023</v>
          </cell>
          <cell r="T436" t="str">
            <v>01/10/2023</v>
          </cell>
          <cell r="U436" t="str">
            <v>06/10/2023</v>
          </cell>
          <cell r="V436" t="str">
            <v>09/10/2023</v>
          </cell>
          <cell r="W436" t="str">
            <v>2023/09</v>
          </cell>
          <cell r="X436" t="str">
            <v>11 KV</v>
          </cell>
          <cell r="Y436" t="str">
            <v>HT</v>
          </cell>
          <cell r="Z436">
            <v>88.8</v>
          </cell>
          <cell r="AA436">
            <v>0.99970000000000003</v>
          </cell>
          <cell r="AB436">
            <v>35.08</v>
          </cell>
          <cell r="AC436" t="str">
            <v xml:space="preserve">01/09/2023 -     </v>
          </cell>
          <cell r="AD436" t="str">
            <v>30.09.2023</v>
          </cell>
          <cell r="AE436" t="str">
            <v>30/1.0000</v>
          </cell>
          <cell r="AF436">
            <v>111</v>
          </cell>
          <cell r="AG436" t="str">
            <v>KVA</v>
          </cell>
          <cell r="AH436">
            <v>111</v>
          </cell>
          <cell r="AI436" t="str">
            <v>R</v>
          </cell>
          <cell r="AJ436">
            <v>275289</v>
          </cell>
          <cell r="AK436" t="str">
            <v>30/09/2023</v>
          </cell>
          <cell r="AL436" t="str">
            <v>TPN64025</v>
          </cell>
          <cell r="AM436" t="str">
            <v>HT THREE PHASE 4 WIRE AMR/AMI COMPLAINT METER</v>
          </cell>
          <cell r="AN436" t="str">
            <v>POST PAID</v>
          </cell>
          <cell r="AO436">
            <v>150</v>
          </cell>
          <cell r="AP436" t="str">
            <v>TOD</v>
          </cell>
          <cell r="AQ436">
            <v>-141208.5</v>
          </cell>
          <cell r="AR436">
            <v>0</v>
          </cell>
          <cell r="AS436">
            <v>0</v>
          </cell>
          <cell r="AT436">
            <v>0</v>
          </cell>
          <cell r="AU436">
            <v>0</v>
          </cell>
          <cell r="AV436">
            <v>0</v>
          </cell>
          <cell r="AW436">
            <v>11554</v>
          </cell>
          <cell r="AX436">
            <v>11557</v>
          </cell>
          <cell r="AY436">
            <v>11557</v>
          </cell>
          <cell r="AZ436">
            <v>313.2</v>
          </cell>
          <cell r="BA436">
            <v>45.76</v>
          </cell>
        </row>
        <row r="437">
          <cell r="F437">
            <v>421000000015</v>
          </cell>
          <cell r="G437" t="str">
            <v>EXECUTIVE ENGINEER RWSS DIVISION</v>
          </cell>
          <cell r="H437" t="str">
            <v>BHADRAK MEGA PWS PROJECT</v>
          </cell>
          <cell r="I437" t="str">
            <v>10/31/2020 00:00:00</v>
          </cell>
          <cell r="J437">
            <v>1</v>
          </cell>
          <cell r="K437" t="str">
            <v xml:space="preserve"> </v>
          </cell>
          <cell r="L437" t="str">
            <v xml:space="preserve"> </v>
          </cell>
          <cell r="M437" t="str">
            <v>422000010231492564</v>
          </cell>
          <cell r="N437" t="str">
            <v>4210000014</v>
          </cell>
          <cell r="O437" t="str">
            <v>DBSD-32223</v>
          </cell>
          <cell r="P437" t="str">
            <v>442212204</v>
          </cell>
          <cell r="Q437" t="str">
            <v>PUBLIC WATER WORKS &amp; SEWERAGE PUMPING</v>
          </cell>
          <cell r="R437" t="str">
            <v>HT</v>
          </cell>
          <cell r="S437" t="str">
            <v>01/10/2023</v>
          </cell>
          <cell r="T437" t="str">
            <v>01/10/2023</v>
          </cell>
          <cell r="U437" t="str">
            <v>09/10/2023</v>
          </cell>
          <cell r="V437" t="str">
            <v>09/10/2023</v>
          </cell>
          <cell r="W437" t="str">
            <v>2023/09</v>
          </cell>
          <cell r="X437" t="str">
            <v>11 KV</v>
          </cell>
          <cell r="Y437" t="str">
            <v>HT</v>
          </cell>
          <cell r="Z437">
            <v>443.2</v>
          </cell>
          <cell r="AA437">
            <v>0.84540000000000004</v>
          </cell>
          <cell r="AB437">
            <v>18.59</v>
          </cell>
          <cell r="AC437" t="str">
            <v xml:space="preserve">01/09/2023 -     </v>
          </cell>
          <cell r="AD437" t="str">
            <v>30.09.2023</v>
          </cell>
          <cell r="AE437" t="str">
            <v>30/1.0000</v>
          </cell>
          <cell r="AF437">
            <v>554</v>
          </cell>
          <cell r="AG437" t="str">
            <v>KVA</v>
          </cell>
          <cell r="AH437">
            <v>554</v>
          </cell>
          <cell r="AI437" t="str">
            <v>R</v>
          </cell>
          <cell r="AJ437">
            <v>2142208</v>
          </cell>
          <cell r="AK437" t="str">
            <v>30/09/2023</v>
          </cell>
          <cell r="AL437" t="str">
            <v>NSC94779</v>
          </cell>
          <cell r="AM437" t="str">
            <v>SINGLE PHASE ELECTRO-MAGNETIC KWH METER-TOD</v>
          </cell>
          <cell r="AN437" t="str">
            <v>POST PAID</v>
          </cell>
          <cell r="AO437">
            <v>2000</v>
          </cell>
          <cell r="AP437" t="str">
            <v>TOD</v>
          </cell>
          <cell r="AQ437">
            <v>-1815296.3</v>
          </cell>
          <cell r="AR437">
            <v>0</v>
          </cell>
          <cell r="AS437">
            <v>0</v>
          </cell>
          <cell r="AT437">
            <v>0</v>
          </cell>
          <cell r="AU437">
            <v>0</v>
          </cell>
          <cell r="AV437">
            <v>0</v>
          </cell>
          <cell r="AW437">
            <v>28115</v>
          </cell>
          <cell r="AX437">
            <v>33255</v>
          </cell>
          <cell r="AY437">
            <v>33255</v>
          </cell>
          <cell r="AZ437">
            <v>1640</v>
          </cell>
          <cell r="BA437">
            <v>248.4</v>
          </cell>
        </row>
        <row r="438">
          <cell r="F438">
            <v>421000000017</v>
          </cell>
          <cell r="G438" t="str">
            <v>M/S HARAPARBATI RICE &amp; FLOUR MILLS</v>
          </cell>
          <cell r="H438" t="str">
            <v>PROP-BATAKRUSHNA SAHOO</v>
          </cell>
          <cell r="I438" t="str">
            <v>10/31/2020 00:00:00</v>
          </cell>
          <cell r="J438">
            <v>1</v>
          </cell>
          <cell r="K438" t="str">
            <v xml:space="preserve"> </v>
          </cell>
          <cell r="L438" t="str">
            <v xml:space="preserve"> </v>
          </cell>
          <cell r="M438" t="str">
            <v>422000010231492617</v>
          </cell>
          <cell r="N438" t="str">
            <v>4210000016</v>
          </cell>
          <cell r="O438" t="str">
            <v>DB-18407</v>
          </cell>
          <cell r="P438" t="str">
            <v>442212202</v>
          </cell>
          <cell r="Q438" t="str">
            <v>LARGE INDUSTRY</v>
          </cell>
          <cell r="R438" t="str">
            <v>HT</v>
          </cell>
          <cell r="S438" t="str">
            <v>01/10/2023</v>
          </cell>
          <cell r="T438" t="str">
            <v>01/10/2023</v>
          </cell>
          <cell r="U438" t="str">
            <v>06/10/2023</v>
          </cell>
          <cell r="V438" t="str">
            <v>09/10/2023</v>
          </cell>
          <cell r="W438" t="str">
            <v>2023/09</v>
          </cell>
          <cell r="X438" t="str">
            <v>11 KV</v>
          </cell>
          <cell r="Y438" t="str">
            <v>HT</v>
          </cell>
          <cell r="Z438">
            <v>150.56</v>
          </cell>
          <cell r="AA438">
            <v>0.71330000000000005</v>
          </cell>
          <cell r="AB438">
            <v>27.32</v>
          </cell>
          <cell r="AC438" t="str">
            <v xml:space="preserve">01/09/2023 -     </v>
          </cell>
          <cell r="AD438" t="str">
            <v>30.09.2023</v>
          </cell>
          <cell r="AE438" t="str">
            <v>30/1.0000</v>
          </cell>
          <cell r="AF438">
            <v>167</v>
          </cell>
          <cell r="AG438" t="str">
            <v>KVA</v>
          </cell>
          <cell r="AH438">
            <v>167</v>
          </cell>
          <cell r="AI438" t="str">
            <v>R</v>
          </cell>
          <cell r="AJ438">
            <v>853530</v>
          </cell>
          <cell r="AK438" t="str">
            <v>30/09/2023</v>
          </cell>
          <cell r="AL438" t="str">
            <v>TPN64145</v>
          </cell>
          <cell r="AM438" t="str">
            <v>HT THREE PHASE 4 WIRE AMR/AMI COMPLAINT METER</v>
          </cell>
          <cell r="AN438" t="str">
            <v>POST PAID</v>
          </cell>
          <cell r="AO438">
            <v>250</v>
          </cell>
          <cell r="AP438" t="str">
            <v>TOD</v>
          </cell>
          <cell r="AQ438">
            <v>-554103.06000000006</v>
          </cell>
          <cell r="AR438">
            <v>0</v>
          </cell>
          <cell r="AS438">
            <v>0</v>
          </cell>
          <cell r="AT438">
            <v>0</v>
          </cell>
          <cell r="AU438">
            <v>0</v>
          </cell>
          <cell r="AV438">
            <v>0</v>
          </cell>
          <cell r="AW438">
            <v>21125</v>
          </cell>
          <cell r="AX438">
            <v>29612</v>
          </cell>
          <cell r="AY438">
            <v>29612</v>
          </cell>
          <cell r="AZ438">
            <v>1252</v>
          </cell>
          <cell r="BA438">
            <v>150.56</v>
          </cell>
        </row>
        <row r="439">
          <cell r="F439">
            <v>421000000018</v>
          </cell>
          <cell r="G439" t="str">
            <v>M/S GEETANSH CABLE &amp; CONDUCTORS P L</v>
          </cell>
          <cell r="H439" t="str">
            <v>KAHARA,POKHARIBHADRAK</v>
          </cell>
          <cell r="I439" t="str">
            <v>11/18/2020 00:00:00</v>
          </cell>
          <cell r="J439">
            <v>1</v>
          </cell>
          <cell r="K439" t="str">
            <v xml:space="preserve"> </v>
          </cell>
          <cell r="L439" t="str">
            <v xml:space="preserve"> </v>
          </cell>
          <cell r="M439" t="str">
            <v>422000010231492369</v>
          </cell>
          <cell r="N439" t="str">
            <v>4210000017</v>
          </cell>
          <cell r="O439" t="str">
            <v>DBSD-32468</v>
          </cell>
          <cell r="P439" t="str">
            <v>442213403</v>
          </cell>
          <cell r="Q439" t="str">
            <v>LARGE INDUSTRY</v>
          </cell>
          <cell r="R439" t="str">
            <v>HT</v>
          </cell>
          <cell r="S439" t="str">
            <v>01/10/2023</v>
          </cell>
          <cell r="T439" t="str">
            <v>01/10/2023</v>
          </cell>
          <cell r="U439" t="str">
            <v>06/10/2023</v>
          </cell>
          <cell r="V439" t="str">
            <v>09/10/2023</v>
          </cell>
          <cell r="W439" t="str">
            <v>2023/09</v>
          </cell>
          <cell r="X439" t="str">
            <v>11 KV</v>
          </cell>
          <cell r="Y439" t="str">
            <v>HT</v>
          </cell>
          <cell r="Z439">
            <v>187.2</v>
          </cell>
          <cell r="AA439">
            <v>0.47339999999999999</v>
          </cell>
          <cell r="AB439">
            <v>11.96</v>
          </cell>
          <cell r="AC439" t="str">
            <v xml:space="preserve">01/09/2023 -     </v>
          </cell>
          <cell r="AD439" t="str">
            <v>30.09.2023</v>
          </cell>
          <cell r="AE439" t="str">
            <v>30/1.0000</v>
          </cell>
          <cell r="AF439">
            <v>234</v>
          </cell>
          <cell r="AG439" t="str">
            <v>KVA</v>
          </cell>
          <cell r="AH439">
            <v>234</v>
          </cell>
          <cell r="AI439" t="str">
            <v>R</v>
          </cell>
          <cell r="AJ439">
            <v>1195994.5</v>
          </cell>
          <cell r="AK439" t="str">
            <v>30/09/2023</v>
          </cell>
          <cell r="AL439" t="str">
            <v>NSC94574</v>
          </cell>
          <cell r="AM439" t="str">
            <v>LT SINGLE PHASE AMR/AMI COMPLIANT METER-TOD</v>
          </cell>
          <cell r="AN439" t="str">
            <v>POST PAID</v>
          </cell>
          <cell r="AO439">
            <v>315</v>
          </cell>
          <cell r="AP439" t="str">
            <v>TOD</v>
          </cell>
          <cell r="AQ439">
            <v>-1030240.6</v>
          </cell>
          <cell r="AR439">
            <v>0</v>
          </cell>
          <cell r="AS439">
            <v>0</v>
          </cell>
          <cell r="AT439">
            <v>0</v>
          </cell>
          <cell r="AU439">
            <v>0</v>
          </cell>
          <cell r="AV439">
            <v>0</v>
          </cell>
          <cell r="AW439">
            <v>1748</v>
          </cell>
          <cell r="AX439">
            <v>3692</v>
          </cell>
          <cell r="AY439">
            <v>3692</v>
          </cell>
          <cell r="AZ439">
            <v>382.08</v>
          </cell>
          <cell r="BA439">
            <v>42.88</v>
          </cell>
        </row>
        <row r="440">
          <cell r="F440">
            <v>421000000019</v>
          </cell>
          <cell r="G440" t="str">
            <v>M/S UMAPATI RICE MILL</v>
          </cell>
          <cell r="H440" t="str">
            <v>C/O- GOPINATH MOHAPATRA</v>
          </cell>
          <cell r="I440" t="str">
            <v>04/08/2021 00:00:00</v>
          </cell>
          <cell r="J440">
            <v>1</v>
          </cell>
          <cell r="K440" t="str">
            <v>AT-TODAGAON</v>
          </cell>
          <cell r="L440" t="str">
            <v>BHADRAK</v>
          </cell>
          <cell r="M440" t="str">
            <v>422000010231494896</v>
          </cell>
          <cell r="N440" t="str">
            <v>132100000002</v>
          </cell>
          <cell r="O440" t="str">
            <v xml:space="preserve"> </v>
          </cell>
          <cell r="P440" t="str">
            <v>442213402</v>
          </cell>
          <cell r="Q440" t="str">
            <v>LARGE INDUSTRY</v>
          </cell>
          <cell r="R440" t="str">
            <v>HT</v>
          </cell>
          <cell r="S440" t="str">
            <v>01/10/2023</v>
          </cell>
          <cell r="T440" t="str">
            <v>01/10/2023</v>
          </cell>
          <cell r="U440" t="str">
            <v>06/10/2023</v>
          </cell>
          <cell r="V440" t="str">
            <v>09/10/2023</v>
          </cell>
          <cell r="W440" t="str">
            <v>2023/09</v>
          </cell>
          <cell r="X440" t="str">
            <v>11 KV</v>
          </cell>
          <cell r="Y440" t="str">
            <v>HT</v>
          </cell>
          <cell r="Z440">
            <v>128.80000000000001</v>
          </cell>
          <cell r="AA440">
            <v>0.98009999999999997</v>
          </cell>
          <cell r="AB440">
            <v>5.7</v>
          </cell>
          <cell r="AC440" t="str">
            <v xml:space="preserve">01/09/2023 -     </v>
          </cell>
          <cell r="AD440" t="str">
            <v>30.09.2023</v>
          </cell>
          <cell r="AE440" t="str">
            <v>30/1.0000</v>
          </cell>
          <cell r="AF440">
            <v>161</v>
          </cell>
          <cell r="AG440" t="str">
            <v>KVA</v>
          </cell>
          <cell r="AH440">
            <v>161</v>
          </cell>
          <cell r="AI440" t="str">
            <v>R</v>
          </cell>
          <cell r="AJ440">
            <v>728417</v>
          </cell>
          <cell r="AK440" t="str">
            <v>30/09/2023</v>
          </cell>
          <cell r="AL440" t="str">
            <v>TPN64226</v>
          </cell>
          <cell r="AM440" t="str">
            <v>HT THREE PHASE 4 WIRE AMR/AMI COMPLAINT METER</v>
          </cell>
          <cell r="AN440" t="str">
            <v>POST PAID</v>
          </cell>
          <cell r="AO440">
            <v>250</v>
          </cell>
          <cell r="AP440" t="str">
            <v>TOD</v>
          </cell>
          <cell r="AQ440">
            <v>-301714.24</v>
          </cell>
          <cell r="AR440">
            <v>0</v>
          </cell>
          <cell r="AS440">
            <v>0</v>
          </cell>
          <cell r="AT440">
            <v>0</v>
          </cell>
          <cell r="AU440">
            <v>0</v>
          </cell>
          <cell r="AV440">
            <v>0</v>
          </cell>
          <cell r="AW440">
            <v>4441</v>
          </cell>
          <cell r="AX440">
            <v>4531</v>
          </cell>
          <cell r="AY440">
            <v>4531</v>
          </cell>
          <cell r="AZ440">
            <v>1155.92</v>
          </cell>
          <cell r="BA440">
            <v>110.48</v>
          </cell>
        </row>
        <row r="441">
          <cell r="F441">
            <v>421000000020</v>
          </cell>
          <cell r="G441" t="str">
            <v>DISTRICT JUDGE</v>
          </cell>
          <cell r="H441" t="str">
            <v>DISTRICT JUDGE COURT</v>
          </cell>
          <cell r="I441" t="str">
            <v>01/03/2022 00:00:00</v>
          </cell>
          <cell r="J441">
            <v>1</v>
          </cell>
          <cell r="K441" t="str">
            <v>BHADRAK</v>
          </cell>
          <cell r="L441" t="str">
            <v>BHADRAK</v>
          </cell>
          <cell r="M441" t="str">
            <v>422000010231492363</v>
          </cell>
          <cell r="N441" t="str">
            <v>132200010498</v>
          </cell>
          <cell r="O441" t="str">
            <v>DYSD-32712</v>
          </cell>
          <cell r="P441" t="str">
            <v>442213103</v>
          </cell>
          <cell r="Q441" t="str">
            <v>GENERAL PURPOSE &gt;= 110 KVA</v>
          </cell>
          <cell r="R441" t="str">
            <v>HT</v>
          </cell>
          <cell r="S441" t="str">
            <v>01/10/2023</v>
          </cell>
          <cell r="T441" t="str">
            <v>01/10/2023</v>
          </cell>
          <cell r="U441" t="str">
            <v>06/10/2023</v>
          </cell>
          <cell r="V441" t="str">
            <v>09/10/2023</v>
          </cell>
          <cell r="W441" t="str">
            <v>2023/09</v>
          </cell>
          <cell r="X441" t="str">
            <v>11 KV</v>
          </cell>
          <cell r="Y441" t="str">
            <v>HT</v>
          </cell>
          <cell r="Z441">
            <v>232</v>
          </cell>
          <cell r="AA441">
            <v>0.96460000000000001</v>
          </cell>
          <cell r="AB441">
            <v>22.68</v>
          </cell>
          <cell r="AC441" t="str">
            <v xml:space="preserve">01/09/2023 -     </v>
          </cell>
          <cell r="AD441" t="str">
            <v>30.09.2023</v>
          </cell>
          <cell r="AE441" t="str">
            <v>30/1.0000</v>
          </cell>
          <cell r="AF441">
            <v>290</v>
          </cell>
          <cell r="AG441" t="str">
            <v>KVA</v>
          </cell>
          <cell r="AH441">
            <v>290</v>
          </cell>
          <cell r="AI441" t="str">
            <v>R</v>
          </cell>
          <cell r="AJ441">
            <v>776099</v>
          </cell>
          <cell r="AK441" t="str">
            <v>30/09/2023</v>
          </cell>
          <cell r="AL441" t="str">
            <v>NSC94598</v>
          </cell>
          <cell r="AM441" t="str">
            <v>HT THREE PHASE 4 WIRE AMR/AMI COMPLAINT METER</v>
          </cell>
          <cell r="AN441" t="str">
            <v>POST PAID</v>
          </cell>
          <cell r="AO441">
            <v>500</v>
          </cell>
          <cell r="AP441" t="str">
            <v>TOD</v>
          </cell>
          <cell r="AQ441">
            <v>-547966.19999999995</v>
          </cell>
          <cell r="AR441">
            <v>0</v>
          </cell>
          <cell r="AS441">
            <v>0</v>
          </cell>
          <cell r="AT441">
            <v>0</v>
          </cell>
          <cell r="AU441">
            <v>0</v>
          </cell>
          <cell r="AV441">
            <v>0</v>
          </cell>
          <cell r="AW441">
            <v>31374</v>
          </cell>
          <cell r="AX441">
            <v>32523</v>
          </cell>
          <cell r="AY441">
            <v>32523</v>
          </cell>
          <cell r="AZ441">
            <v>0.33200000000000002</v>
          </cell>
          <cell r="BA441">
            <v>199.20000000000002</v>
          </cell>
        </row>
        <row r="442">
          <cell r="F442">
            <v>421000000021</v>
          </cell>
          <cell r="G442" t="str">
            <v>M/S MCH BUILDING AT NEW DHH</v>
          </cell>
          <cell r="H442" t="str">
            <v>CHIEF DIST. MEDICAL  &amp;</v>
          </cell>
          <cell r="I442" t="str">
            <v>09/21/2022 00:00:00</v>
          </cell>
          <cell r="J442">
            <v>1</v>
          </cell>
          <cell r="K442" t="str">
            <v>PUBLIC HEALTH OFFICER</v>
          </cell>
          <cell r="L442" t="str">
            <v>BHADRAK</v>
          </cell>
          <cell r="M442" t="str">
            <v>422000010231492372</v>
          </cell>
          <cell r="N442" t="str">
            <v>132200095371</v>
          </cell>
          <cell r="O442" t="str">
            <v xml:space="preserve"> </v>
          </cell>
          <cell r="P442" t="str">
            <v>44287414001</v>
          </cell>
          <cell r="Q442" t="str">
            <v>SPECIFIED PUBLIC PURPOSE</v>
          </cell>
          <cell r="R442" t="str">
            <v>HT</v>
          </cell>
          <cell r="S442" t="str">
            <v>01/10/2023</v>
          </cell>
          <cell r="T442" t="str">
            <v>01/10/2023</v>
          </cell>
          <cell r="U442" t="str">
            <v>06/10/2023</v>
          </cell>
          <cell r="V442" t="str">
            <v>09/10/2023</v>
          </cell>
          <cell r="W442" t="str">
            <v>2023/09</v>
          </cell>
          <cell r="X442" t="str">
            <v>33 KV</v>
          </cell>
          <cell r="Y442" t="str">
            <v>HT</v>
          </cell>
          <cell r="Z442">
            <v>497.6</v>
          </cell>
          <cell r="AA442">
            <v>0.98929999999999996</v>
          </cell>
          <cell r="AB442">
            <v>63.63</v>
          </cell>
          <cell r="AC442" t="str">
            <v xml:space="preserve">01/09/2023 -     </v>
          </cell>
          <cell r="AD442" t="str">
            <v>30.09.2023</v>
          </cell>
          <cell r="AE442" t="str">
            <v>30/1.0000</v>
          </cell>
          <cell r="AF442">
            <v>622</v>
          </cell>
          <cell r="AG442" t="str">
            <v>KVA</v>
          </cell>
          <cell r="AH442">
            <v>622</v>
          </cell>
          <cell r="AI442" t="str">
            <v>R</v>
          </cell>
          <cell r="AJ442">
            <v>1820718</v>
          </cell>
          <cell r="AK442" t="str">
            <v>30/09/2023</v>
          </cell>
          <cell r="AL442" t="str">
            <v>TPN64158</v>
          </cell>
          <cell r="AM442" t="str">
            <v>THREE PHASE HT CT METER-33KV</v>
          </cell>
          <cell r="AN442" t="str">
            <v>POST PAID</v>
          </cell>
          <cell r="AO442">
            <v>750</v>
          </cell>
          <cell r="AP442" t="str">
            <v>TOD</v>
          </cell>
          <cell r="AQ442">
            <v>0</v>
          </cell>
          <cell r="AR442">
            <v>0</v>
          </cell>
          <cell r="AS442">
            <v>0</v>
          </cell>
          <cell r="AT442">
            <v>0</v>
          </cell>
          <cell r="AU442">
            <v>0</v>
          </cell>
          <cell r="AV442">
            <v>0</v>
          </cell>
          <cell r="AW442">
            <v>42750</v>
          </cell>
          <cell r="AX442">
            <v>43209</v>
          </cell>
          <cell r="AY442">
            <v>43209</v>
          </cell>
          <cell r="AZ442">
            <v>440.64</v>
          </cell>
          <cell r="BA442">
            <v>94.320000000000007</v>
          </cell>
        </row>
        <row r="443">
          <cell r="F443">
            <v>421000000022</v>
          </cell>
          <cell r="G443" t="str">
            <v>M/S KUMKUM ENTER PRISES</v>
          </cell>
          <cell r="H443" t="str">
            <v xml:space="preserve">C/O- SRI UTKAL KESHARI MOHANTY     </v>
          </cell>
          <cell r="I443" t="str">
            <v>01/25/2021 00:00:00</v>
          </cell>
          <cell r="J443">
            <v>1</v>
          </cell>
          <cell r="K443" t="str">
            <v xml:space="preserve">JALANGA                            </v>
          </cell>
          <cell r="L443" t="str">
            <v xml:space="preserve">BHADRAK                            </v>
          </cell>
          <cell r="M443" t="str">
            <v>422000010231495026</v>
          </cell>
          <cell r="N443" t="str">
            <v>34222022790</v>
          </cell>
          <cell r="O443" t="str">
            <v xml:space="preserve"> </v>
          </cell>
          <cell r="P443" t="str">
            <v>NULL</v>
          </cell>
          <cell r="Q443" t="str">
            <v>ALLIED AGRICULTURE ACTIVITIES</v>
          </cell>
          <cell r="R443" t="str">
            <v>HT</v>
          </cell>
          <cell r="S443" t="str">
            <v>01/10/2023</v>
          </cell>
          <cell r="T443" t="str">
            <v>01/10/2023</v>
          </cell>
          <cell r="U443" t="str">
            <v>09/10/2023</v>
          </cell>
          <cell r="V443" t="str">
            <v>09/10/2023</v>
          </cell>
          <cell r="W443" t="str">
            <v>2023/09</v>
          </cell>
          <cell r="X443" t="str">
            <v>11 KV</v>
          </cell>
          <cell r="Y443" t="str">
            <v>HT</v>
          </cell>
          <cell r="Z443">
            <v>133</v>
          </cell>
          <cell r="AA443">
            <v>0.95350000000000001</v>
          </cell>
          <cell r="AB443">
            <v>0</v>
          </cell>
          <cell r="AC443" t="str">
            <v xml:space="preserve">27/08/2023 -     </v>
          </cell>
          <cell r="AD443" t="str">
            <v>30.09.2023</v>
          </cell>
          <cell r="AE443" t="str">
            <v>35/1.0000</v>
          </cell>
          <cell r="AF443">
            <v>133</v>
          </cell>
          <cell r="AG443" t="str">
            <v>KVA</v>
          </cell>
          <cell r="AH443">
            <v>133</v>
          </cell>
          <cell r="AI443" t="str">
            <v>R</v>
          </cell>
          <cell r="AJ443">
            <v>73389.149999999994</v>
          </cell>
          <cell r="AK443" t="str">
            <v>30/09/2023</v>
          </cell>
          <cell r="AL443" t="str">
            <v>TPN64586</v>
          </cell>
          <cell r="AM443" t="str">
            <v>HT THREE PHASE 4 WIRE AMR/AMI COMPLAINT METER</v>
          </cell>
          <cell r="AN443" t="str">
            <v>POST PAID</v>
          </cell>
          <cell r="AO443">
            <v>150</v>
          </cell>
          <cell r="AP443" t="str">
            <v>TOD</v>
          </cell>
          <cell r="AQ443">
            <v>20653.849999999999</v>
          </cell>
          <cell r="AR443">
            <v>0</v>
          </cell>
          <cell r="AS443">
            <v>0</v>
          </cell>
          <cell r="AT443">
            <v>0</v>
          </cell>
          <cell r="AU443">
            <v>0</v>
          </cell>
          <cell r="AV443">
            <v>0</v>
          </cell>
          <cell r="AW443">
            <v>13338</v>
          </cell>
          <cell r="AX443">
            <v>13987</v>
          </cell>
          <cell r="AY443">
            <v>13987</v>
          </cell>
          <cell r="AZ443">
            <v>0.28999999999999998</v>
          </cell>
          <cell r="BA443">
            <v>57.999999999999993</v>
          </cell>
        </row>
        <row r="444">
          <cell r="F444">
            <v>421000000023</v>
          </cell>
          <cell r="G444" t="str">
            <v>M/S.  SHREE BINAYAK GRAIN PROCESSING PVT LTD</v>
          </cell>
          <cell r="H444" t="str">
            <v>1382</v>
          </cell>
          <cell r="I444" t="str">
            <v>06/26/2023 00:00:00</v>
          </cell>
          <cell r="J444">
            <v>1</v>
          </cell>
          <cell r="K444" t="str">
            <v>BALO</v>
          </cell>
          <cell r="L444" t="str">
            <v>RAMAKRUSHNAPUR</v>
          </cell>
          <cell r="M444" t="str">
            <v>422000010231492357</v>
          </cell>
          <cell r="N444" t="str">
            <v>132328665765</v>
          </cell>
          <cell r="O444" t="str">
            <v xml:space="preserve"> </v>
          </cell>
          <cell r="P444" t="str">
            <v>NULL</v>
          </cell>
          <cell r="Q444" t="str">
            <v>LARGE INDUSTRY</v>
          </cell>
          <cell r="R444" t="str">
            <v>HT</v>
          </cell>
          <cell r="S444" t="str">
            <v>01/10/2023</v>
          </cell>
          <cell r="T444" t="str">
            <v>01/10/2023</v>
          </cell>
          <cell r="U444" t="str">
            <v>06/10/2023</v>
          </cell>
          <cell r="V444" t="str">
            <v>09/10/2023</v>
          </cell>
          <cell r="W444" t="str">
            <v>2023/09</v>
          </cell>
          <cell r="X444" t="str">
            <v>11 KV</v>
          </cell>
          <cell r="Y444" t="str">
            <v>HT</v>
          </cell>
          <cell r="Z444">
            <v>262.39999999999998</v>
          </cell>
          <cell r="AA444">
            <v>0.97899999999999998</v>
          </cell>
          <cell r="AB444">
            <v>32.6</v>
          </cell>
          <cell r="AC444" t="str">
            <v xml:space="preserve">01/09/2023 -     </v>
          </cell>
          <cell r="AD444" t="str">
            <v>30.09.2023</v>
          </cell>
          <cell r="AE444" t="str">
            <v>30/1.0000</v>
          </cell>
          <cell r="AF444">
            <v>328</v>
          </cell>
          <cell r="AG444" t="str">
            <v>KVA</v>
          </cell>
          <cell r="AH444">
            <v>328</v>
          </cell>
          <cell r="AI444" t="str">
            <v>R</v>
          </cell>
          <cell r="AJ444">
            <v>1810828</v>
          </cell>
          <cell r="AK444" t="str">
            <v>30/09/2023</v>
          </cell>
          <cell r="AL444" t="str">
            <v>TPNODL38111021</v>
          </cell>
          <cell r="AM444" t="str">
            <v>THREE PHASE SMART HT CT METER (AMR/AMI)-11KV</v>
          </cell>
          <cell r="AN444" t="str">
            <v>SMART METER</v>
          </cell>
          <cell r="AO444">
            <v>500</v>
          </cell>
          <cell r="AP444" t="str">
            <v>TOD</v>
          </cell>
          <cell r="AQ444">
            <v>0</v>
          </cell>
          <cell r="AR444">
            <v>0</v>
          </cell>
          <cell r="AS444">
            <v>0</v>
          </cell>
          <cell r="AT444">
            <v>0</v>
          </cell>
          <cell r="AU444">
            <v>0</v>
          </cell>
          <cell r="AV444">
            <v>0</v>
          </cell>
          <cell r="AW444">
            <v>42794</v>
          </cell>
          <cell r="AX444">
            <v>43710</v>
          </cell>
          <cell r="AY444">
            <v>43710</v>
          </cell>
          <cell r="AZ444">
            <v>623.15599999999995</v>
          </cell>
          <cell r="BA444">
            <v>186.23599999999999</v>
          </cell>
        </row>
        <row r="445">
          <cell r="F445">
            <v>611000000002</v>
          </cell>
          <cell r="G445" t="str">
            <v>TISCO FERRO ALLOYS PLANT</v>
          </cell>
          <cell r="H445" t="str">
            <v>BAMNIPAL,JAJPUR ROAD,</v>
          </cell>
          <cell r="I445" t="str">
            <v>10/31/2020 00:00:00</v>
          </cell>
          <cell r="J445">
            <v>1</v>
          </cell>
          <cell r="K445" t="str">
            <v xml:space="preserve"> </v>
          </cell>
          <cell r="L445" t="str">
            <v xml:space="preserve"> </v>
          </cell>
          <cell r="M445" t="str">
            <v>611000010232515971</v>
          </cell>
          <cell r="N445" t="str">
            <v>6110000002</v>
          </cell>
          <cell r="O445" t="str">
            <v>PI-2</v>
          </cell>
          <cell r="P445" t="str">
            <v>NULL</v>
          </cell>
          <cell r="Q445" t="str">
            <v>POWER INTENSIVE INDUSTRY</v>
          </cell>
          <cell r="R445" t="str">
            <v>EHT</v>
          </cell>
          <cell r="S445" t="str">
            <v>05/10/2023</v>
          </cell>
          <cell r="T445" t="str">
            <v>05/10/2023</v>
          </cell>
          <cell r="U445" t="str">
            <v>09/10/2023</v>
          </cell>
          <cell r="V445" t="str">
            <v>12/10/2023</v>
          </cell>
          <cell r="W445" t="str">
            <v>2023/09</v>
          </cell>
          <cell r="X445" t="str">
            <v>132 KV</v>
          </cell>
          <cell r="Y445" t="str">
            <v>HT</v>
          </cell>
          <cell r="Z445">
            <v>11260</v>
          </cell>
          <cell r="AA445">
            <v>1.0367999999999999</v>
          </cell>
          <cell r="AB445">
            <v>42.2</v>
          </cell>
          <cell r="AC445" t="str">
            <v xml:space="preserve">01/09/2023 -     </v>
          </cell>
          <cell r="AD445" t="str">
            <v>30.09.2023</v>
          </cell>
          <cell r="AE445" t="str">
            <v>30/1.0000</v>
          </cell>
          <cell r="AF445">
            <v>12000</v>
          </cell>
          <cell r="AG445" t="str">
            <v>KVA</v>
          </cell>
          <cell r="AH445">
            <v>12000</v>
          </cell>
          <cell r="AI445" t="str">
            <v>R</v>
          </cell>
          <cell r="AJ445">
            <v>47996321.630000003</v>
          </cell>
          <cell r="AK445" t="str">
            <v>30/09/2023</v>
          </cell>
          <cell r="AL445" t="str">
            <v>NSC95192</v>
          </cell>
          <cell r="AM445" t="str">
            <v>THREE PHASE HT CT METER-33KV</v>
          </cell>
          <cell r="AN445" t="str">
            <v>BI DIRECTIONAL</v>
          </cell>
          <cell r="AO445">
            <v>40000</v>
          </cell>
          <cell r="AP445" t="str">
            <v>TOD</v>
          </cell>
          <cell r="AQ445">
            <v>9459970.7699999996</v>
          </cell>
          <cell r="AR445">
            <v>0</v>
          </cell>
          <cell r="AS445">
            <v>0</v>
          </cell>
          <cell r="AT445">
            <v>1450926</v>
          </cell>
          <cell r="AU445">
            <v>0</v>
          </cell>
          <cell r="AV445">
            <v>299160</v>
          </cell>
          <cell r="AW445">
            <v>11546200</v>
          </cell>
          <cell r="AX445">
            <v>11714600</v>
          </cell>
          <cell r="AY445">
            <v>11714600</v>
          </cell>
          <cell r="AZ445">
            <v>21.64</v>
          </cell>
          <cell r="BA445">
            <v>21640</v>
          </cell>
        </row>
        <row r="446">
          <cell r="F446">
            <v>611000000004</v>
          </cell>
          <cell r="G446" t="str">
            <v>IDCOL FERROCHROME &amp; ALLOYS LTD</v>
          </cell>
          <cell r="H446" t="str">
            <v>JAJPUR ROAD,</v>
          </cell>
          <cell r="I446" t="str">
            <v>10/31/2020 00:00:00</v>
          </cell>
          <cell r="J446">
            <v>1</v>
          </cell>
          <cell r="K446" t="str">
            <v xml:space="preserve"> </v>
          </cell>
          <cell r="L446" t="str">
            <v xml:space="preserve"> </v>
          </cell>
          <cell r="M446" t="str">
            <v>611000010231493492</v>
          </cell>
          <cell r="N446" t="str">
            <v>6110000003</v>
          </cell>
          <cell r="O446" t="str">
            <v>PI-1</v>
          </cell>
          <cell r="P446" t="str">
            <v>46107418007</v>
          </cell>
          <cell r="Q446" t="str">
            <v>POWER INTENSIVE INDUSTRY</v>
          </cell>
          <cell r="R446" t="str">
            <v>HT</v>
          </cell>
          <cell r="S446" t="str">
            <v>01/10/2023</v>
          </cell>
          <cell r="T446" t="str">
            <v>01/10/2023</v>
          </cell>
          <cell r="U446" t="str">
            <v>06/10/2023</v>
          </cell>
          <cell r="V446" t="str">
            <v>09/10/2023</v>
          </cell>
          <cell r="W446" t="str">
            <v>2023/09</v>
          </cell>
          <cell r="X446" t="str">
            <v>33 KV</v>
          </cell>
          <cell r="Y446" t="str">
            <v>HT</v>
          </cell>
          <cell r="Z446">
            <v>444</v>
          </cell>
          <cell r="AA446">
            <v>0.67769999999999997</v>
          </cell>
          <cell r="AB446">
            <v>68.25</v>
          </cell>
          <cell r="AC446" t="str">
            <v xml:space="preserve">01/09/2023 -     </v>
          </cell>
          <cell r="AD446" t="str">
            <v>30.09.2023</v>
          </cell>
          <cell r="AE446" t="str">
            <v>30/1.0000</v>
          </cell>
          <cell r="AF446">
            <v>555</v>
          </cell>
          <cell r="AG446" t="str">
            <v>KVA</v>
          </cell>
          <cell r="AH446">
            <v>555</v>
          </cell>
          <cell r="AI446" t="str">
            <v>R</v>
          </cell>
          <cell r="AJ446">
            <v>56310744.060000002</v>
          </cell>
          <cell r="AK446" t="str">
            <v>30/09/2023</v>
          </cell>
          <cell r="AL446" t="str">
            <v>TPN64911</v>
          </cell>
          <cell r="AM446" t="str">
            <v>THREE PHASE HT CT METER-33KV</v>
          </cell>
          <cell r="AN446" t="str">
            <v>POST PAID</v>
          </cell>
          <cell r="AO446">
            <v>40000</v>
          </cell>
          <cell r="AP446" t="str">
            <v>TOD</v>
          </cell>
          <cell r="AQ446">
            <v>-15104029.1</v>
          </cell>
          <cell r="AR446">
            <v>0</v>
          </cell>
          <cell r="AS446">
            <v>0</v>
          </cell>
          <cell r="AT446">
            <v>0</v>
          </cell>
          <cell r="AU446">
            <v>0</v>
          </cell>
          <cell r="AV446">
            <v>0</v>
          </cell>
          <cell r="AW446">
            <v>71940</v>
          </cell>
          <cell r="AX446">
            <v>106140</v>
          </cell>
          <cell r="AY446">
            <v>106140</v>
          </cell>
          <cell r="AZ446">
            <v>1.8</v>
          </cell>
          <cell r="BA446">
            <v>216</v>
          </cell>
        </row>
        <row r="447">
          <cell r="F447">
            <v>611000000005</v>
          </cell>
          <cell r="G447" t="str">
            <v>NILACHAL ISPAT NIGAM COLONY</v>
          </cell>
          <cell r="H447" t="str">
            <v>DUBURI, JAJPUR ROAD,</v>
          </cell>
          <cell r="I447" t="str">
            <v>10/31/2020 00:00:00</v>
          </cell>
          <cell r="J447">
            <v>1</v>
          </cell>
          <cell r="K447" t="str">
            <v xml:space="preserve"> </v>
          </cell>
          <cell r="L447" t="str">
            <v xml:space="preserve"> </v>
          </cell>
          <cell r="M447" t="str">
            <v>611000010231493438</v>
          </cell>
          <cell r="N447" t="str">
            <v>6110000004</v>
          </cell>
          <cell r="O447" t="str">
            <v>DB-1565</v>
          </cell>
          <cell r="P447" t="str">
            <v>461121202</v>
          </cell>
          <cell r="Q447" t="str">
            <v>BULK SUPPLY DOMESTIC</v>
          </cell>
          <cell r="R447" t="str">
            <v>HT</v>
          </cell>
          <cell r="S447" t="str">
            <v>01/10/2023</v>
          </cell>
          <cell r="T447" t="str">
            <v>01/10/2023</v>
          </cell>
          <cell r="U447" t="str">
            <v>09/10/2023</v>
          </cell>
          <cell r="V447" t="str">
            <v>09/10/2023</v>
          </cell>
          <cell r="W447" t="str">
            <v>2023/09</v>
          </cell>
          <cell r="X447" t="str">
            <v>11 KV</v>
          </cell>
          <cell r="Y447" t="str">
            <v>HT</v>
          </cell>
          <cell r="Z447">
            <v>210.96</v>
          </cell>
          <cell r="AA447">
            <v>0.98319999999999996</v>
          </cell>
          <cell r="AB447">
            <v>0</v>
          </cell>
          <cell r="AC447" t="str">
            <v xml:space="preserve">01/09/2023 -     </v>
          </cell>
          <cell r="AD447" t="str">
            <v>30.09.2023</v>
          </cell>
          <cell r="AE447" t="str">
            <v>30/1.0000</v>
          </cell>
          <cell r="AF447">
            <v>116.67</v>
          </cell>
          <cell r="AG447" t="str">
            <v>KVA</v>
          </cell>
          <cell r="AH447">
            <v>116.67</v>
          </cell>
          <cell r="AI447" t="str">
            <v>R</v>
          </cell>
          <cell r="AJ447">
            <v>598059</v>
          </cell>
          <cell r="AK447" t="str">
            <v>30/09/2023</v>
          </cell>
          <cell r="AL447" t="str">
            <v>TPN64288</v>
          </cell>
          <cell r="AM447" t="str">
            <v>HT THREE PHASE 4 WIRE AMR/AMI COMPLAINT METER</v>
          </cell>
          <cell r="AN447" t="str">
            <v>POST PAID</v>
          </cell>
          <cell r="AO447">
            <v>150</v>
          </cell>
          <cell r="AP447" t="str">
            <v>TOD</v>
          </cell>
          <cell r="AQ447">
            <v>59157</v>
          </cell>
          <cell r="AR447">
            <v>0</v>
          </cell>
          <cell r="AS447">
            <v>0</v>
          </cell>
          <cell r="AT447">
            <v>0</v>
          </cell>
          <cell r="AU447">
            <v>0</v>
          </cell>
          <cell r="AV447">
            <v>0</v>
          </cell>
          <cell r="AW447">
            <v>73213</v>
          </cell>
          <cell r="AX447">
            <v>74462</v>
          </cell>
          <cell r="AY447">
            <v>74462</v>
          </cell>
          <cell r="AZ447">
            <v>1682.64</v>
          </cell>
          <cell r="BA447">
            <v>210.95999999999998</v>
          </cell>
        </row>
        <row r="448">
          <cell r="F448">
            <v>611000000006</v>
          </cell>
          <cell r="G448" t="str">
            <v>DAITARY IRON  ORE MINES</v>
          </cell>
          <cell r="H448" t="str">
            <v>TALAPADA,</v>
          </cell>
          <cell r="I448" t="str">
            <v>10/31/2020 00:00:00</v>
          </cell>
          <cell r="J448">
            <v>1</v>
          </cell>
          <cell r="K448" t="str">
            <v xml:space="preserve"> </v>
          </cell>
          <cell r="L448" t="str">
            <v xml:space="preserve"> </v>
          </cell>
          <cell r="M448" t="str">
            <v>611000010231493615</v>
          </cell>
          <cell r="N448" t="str">
            <v>6110000005</v>
          </cell>
          <cell r="O448" t="str">
            <v>L-2</v>
          </cell>
          <cell r="P448" t="str">
            <v>NULL</v>
          </cell>
          <cell r="Q448" t="str">
            <v>LARGE INDUSTRY</v>
          </cell>
          <cell r="R448" t="str">
            <v>HT</v>
          </cell>
          <cell r="S448" t="str">
            <v>01/10/2023</v>
          </cell>
          <cell r="T448" t="str">
            <v>01/10/2023</v>
          </cell>
          <cell r="U448" t="str">
            <v>06/10/2023</v>
          </cell>
          <cell r="V448" t="str">
            <v>09/10/2023</v>
          </cell>
          <cell r="W448" t="str">
            <v>2023/09</v>
          </cell>
          <cell r="X448" t="str">
            <v>33 KV</v>
          </cell>
          <cell r="Y448" t="str">
            <v>HT</v>
          </cell>
          <cell r="Z448">
            <v>1600</v>
          </cell>
          <cell r="AA448">
            <v>0.7732</v>
          </cell>
          <cell r="AB448">
            <v>48.36</v>
          </cell>
          <cell r="AC448" t="str">
            <v xml:space="preserve">01/09/2023 -     </v>
          </cell>
          <cell r="AD448" t="str">
            <v>30.09.2023</v>
          </cell>
          <cell r="AE448" t="str">
            <v>30/1.0000</v>
          </cell>
          <cell r="AF448">
            <v>2000</v>
          </cell>
          <cell r="AG448" t="str">
            <v>KVA</v>
          </cell>
          <cell r="AH448">
            <v>2000</v>
          </cell>
          <cell r="AI448" t="str">
            <v>R</v>
          </cell>
          <cell r="AJ448">
            <v>4951600</v>
          </cell>
          <cell r="AK448" t="str">
            <v>30/09/2023</v>
          </cell>
          <cell r="AL448" t="str">
            <v>NSC95194</v>
          </cell>
          <cell r="AM448" t="str">
            <v>THREE PHASE HT CT METER-33KV</v>
          </cell>
          <cell r="AN448" t="str">
            <v>POST PAID</v>
          </cell>
          <cell r="AO448">
            <v>3150</v>
          </cell>
          <cell r="AP448" t="str">
            <v>TOD</v>
          </cell>
          <cell r="AQ448">
            <v>-481965.2</v>
          </cell>
          <cell r="AR448">
            <v>0</v>
          </cell>
          <cell r="AS448">
            <v>0</v>
          </cell>
          <cell r="AT448">
            <v>0</v>
          </cell>
          <cell r="AU448">
            <v>0</v>
          </cell>
          <cell r="AV448">
            <v>0</v>
          </cell>
          <cell r="AW448">
            <v>294030</v>
          </cell>
          <cell r="AX448">
            <v>380250</v>
          </cell>
          <cell r="AY448">
            <v>380250</v>
          </cell>
          <cell r="AZ448">
            <v>7086</v>
          </cell>
          <cell r="BA448">
            <v>1092</v>
          </cell>
        </row>
        <row r="449">
          <cell r="F449">
            <v>611000000007</v>
          </cell>
          <cell r="G449" t="str">
            <v>IDCOL FERRO CHROME COLONY</v>
          </cell>
          <cell r="H449" t="str">
            <v>JAJPUR ROAD,</v>
          </cell>
          <cell r="I449" t="str">
            <v>10/31/2020 00:00:00</v>
          </cell>
          <cell r="J449">
            <v>1</v>
          </cell>
          <cell r="K449" t="str">
            <v xml:space="preserve"> </v>
          </cell>
          <cell r="L449" t="str">
            <v xml:space="preserve"> </v>
          </cell>
          <cell r="M449" t="str">
            <v>611000010231493723</v>
          </cell>
          <cell r="N449" t="str">
            <v>6110000006</v>
          </cell>
          <cell r="O449" t="str">
            <v>PI-1/COL</v>
          </cell>
          <cell r="P449" t="str">
            <v>46107418003</v>
          </cell>
          <cell r="Q449" t="str">
            <v>BULK SUPPLY DOMESTIC</v>
          </cell>
          <cell r="R449" t="str">
            <v>HT</v>
          </cell>
          <cell r="S449" t="str">
            <v>01/10/2023</v>
          </cell>
          <cell r="T449" t="str">
            <v>01/10/2023</v>
          </cell>
          <cell r="U449" t="str">
            <v>09/10/2023</v>
          </cell>
          <cell r="V449" t="str">
            <v>09/10/2023</v>
          </cell>
          <cell r="W449" t="str">
            <v>2023/09</v>
          </cell>
          <cell r="X449" t="str">
            <v>33 KV</v>
          </cell>
          <cell r="Y449" t="str">
            <v>HT</v>
          </cell>
          <cell r="Z449">
            <v>600</v>
          </cell>
          <cell r="AA449">
            <v>1</v>
          </cell>
          <cell r="AB449">
            <v>0</v>
          </cell>
          <cell r="AC449" t="str">
            <v xml:space="preserve">01/09/2023 -     </v>
          </cell>
          <cell r="AD449" t="str">
            <v>30.09.2023</v>
          </cell>
          <cell r="AE449" t="str">
            <v>30/1.0000</v>
          </cell>
          <cell r="AF449">
            <v>600</v>
          </cell>
          <cell r="AG449" t="str">
            <v>KVA</v>
          </cell>
          <cell r="AH449">
            <v>600</v>
          </cell>
          <cell r="AI449" t="str">
            <v>R</v>
          </cell>
          <cell r="AJ449">
            <v>1636959.2</v>
          </cell>
          <cell r="AK449" t="str">
            <v>30/09/2023</v>
          </cell>
          <cell r="AL449" t="str">
            <v>NES50277</v>
          </cell>
          <cell r="AM449" t="str">
            <v>THREE PHASE HT CT METER-33KV</v>
          </cell>
          <cell r="AN449" t="str">
            <v>POST PAID</v>
          </cell>
          <cell r="AO449">
            <v>0</v>
          </cell>
          <cell r="AP449" t="str">
            <v>TOD</v>
          </cell>
          <cell r="AQ449">
            <v>-1051801.3999999999</v>
          </cell>
          <cell r="AR449">
            <v>0</v>
          </cell>
          <cell r="AS449">
            <v>0</v>
          </cell>
          <cell r="AT449">
            <v>0</v>
          </cell>
          <cell r="AU449">
            <v>0</v>
          </cell>
          <cell r="AV449">
            <v>0</v>
          </cell>
          <cell r="AW449">
            <v>12</v>
          </cell>
          <cell r="AX449">
            <v>12</v>
          </cell>
          <cell r="AY449">
            <v>12</v>
          </cell>
          <cell r="AZ449">
            <v>800.64</v>
          </cell>
          <cell r="BA449">
            <v>0</v>
          </cell>
        </row>
        <row r="450">
          <cell r="F450">
            <v>611000000014</v>
          </cell>
          <cell r="G450" t="str">
            <v>K.J  ISPAT LIMITED</v>
          </cell>
          <cell r="H450" t="str">
            <v>KALINGA NAGAR,</v>
          </cell>
          <cell r="I450" t="str">
            <v>10/31/2020 00:00:00</v>
          </cell>
          <cell r="J450">
            <v>1</v>
          </cell>
          <cell r="K450" t="str">
            <v xml:space="preserve"> </v>
          </cell>
          <cell r="L450" t="str">
            <v xml:space="preserve"> </v>
          </cell>
          <cell r="M450" t="str">
            <v>611000010231493398</v>
          </cell>
          <cell r="N450" t="str">
            <v>6110000013</v>
          </cell>
          <cell r="O450" t="str">
            <v>L-2035</v>
          </cell>
          <cell r="P450" t="str">
            <v>46187417002</v>
          </cell>
          <cell r="Q450" t="str">
            <v>LARGE INDUSTRY</v>
          </cell>
          <cell r="R450" t="str">
            <v>HT</v>
          </cell>
          <cell r="S450" t="str">
            <v>01/10/2023</v>
          </cell>
          <cell r="T450" t="str">
            <v>01/10/2023</v>
          </cell>
          <cell r="U450" t="str">
            <v>06/10/2023</v>
          </cell>
          <cell r="V450" t="str">
            <v>09/10/2023</v>
          </cell>
          <cell r="W450" t="str">
            <v>2023/09</v>
          </cell>
          <cell r="X450" t="str">
            <v>33 KV</v>
          </cell>
          <cell r="Y450" t="str">
            <v>HT</v>
          </cell>
          <cell r="Z450">
            <v>720</v>
          </cell>
          <cell r="AA450">
            <v>0.99839999999999995</v>
          </cell>
          <cell r="AB450">
            <v>68.819999999999993</v>
          </cell>
          <cell r="AC450" t="str">
            <v xml:space="preserve">01/09/2023 -     </v>
          </cell>
          <cell r="AD450" t="str">
            <v>30.09.2023</v>
          </cell>
          <cell r="AE450" t="str">
            <v>30/1.0000</v>
          </cell>
          <cell r="AF450">
            <v>780</v>
          </cell>
          <cell r="AG450" t="str">
            <v>KVA</v>
          </cell>
          <cell r="AH450">
            <v>780</v>
          </cell>
          <cell r="AI450" t="str">
            <v>R</v>
          </cell>
          <cell r="AJ450">
            <v>4787951.5810000002</v>
          </cell>
          <cell r="AK450" t="str">
            <v>30/09/2023</v>
          </cell>
          <cell r="AL450" t="str">
            <v>TPCANES50240</v>
          </cell>
          <cell r="AM450" t="str">
            <v>THREE PHASE HT CT METER-33KV</v>
          </cell>
          <cell r="AN450" t="str">
            <v>POST PAID</v>
          </cell>
          <cell r="AO450">
            <v>1000</v>
          </cell>
          <cell r="AP450" t="str">
            <v>TOD</v>
          </cell>
          <cell r="AQ450">
            <v>-143843.92000000001</v>
          </cell>
          <cell r="AR450">
            <v>0</v>
          </cell>
          <cell r="AS450">
            <v>0</v>
          </cell>
          <cell r="AT450">
            <v>0</v>
          </cell>
          <cell r="AU450">
            <v>0</v>
          </cell>
          <cell r="AV450">
            <v>0</v>
          </cell>
          <cell r="AW450">
            <v>356208</v>
          </cell>
          <cell r="AX450">
            <v>356772</v>
          </cell>
          <cell r="AY450">
            <v>356772</v>
          </cell>
          <cell r="AZ450">
            <v>5267.04</v>
          </cell>
          <cell r="BA450">
            <v>720</v>
          </cell>
        </row>
        <row r="451">
          <cell r="F451">
            <v>611000000015</v>
          </cell>
          <cell r="G451" t="str">
            <v>COLONY SUPPLY, OMC, DAITARY</v>
          </cell>
          <cell r="H451" t="str">
            <v>C/o GENERAL MANAGER,</v>
          </cell>
          <cell r="I451" t="str">
            <v>10/31/2020 00:00:00</v>
          </cell>
          <cell r="J451">
            <v>1</v>
          </cell>
          <cell r="K451" t="str">
            <v xml:space="preserve"> </v>
          </cell>
          <cell r="L451" t="str">
            <v xml:space="preserve"> </v>
          </cell>
          <cell r="M451" t="str">
            <v>611000010231493542</v>
          </cell>
          <cell r="N451" t="str">
            <v>6110000014</v>
          </cell>
          <cell r="O451" t="str">
            <v>BD-2031</v>
          </cell>
          <cell r="P451" t="str">
            <v>46187417001</v>
          </cell>
          <cell r="Q451" t="str">
            <v>BULK SUPPLY DOMESTIC</v>
          </cell>
          <cell r="R451" t="str">
            <v>HT</v>
          </cell>
          <cell r="S451" t="str">
            <v>01/10/2023</v>
          </cell>
          <cell r="T451" t="str">
            <v>01/10/2023</v>
          </cell>
          <cell r="U451" t="str">
            <v>09/10/2023</v>
          </cell>
          <cell r="V451" t="str">
            <v>09/10/2023</v>
          </cell>
          <cell r="W451" t="str">
            <v>2023/09</v>
          </cell>
          <cell r="X451" t="str">
            <v>33 KV</v>
          </cell>
          <cell r="Y451" t="str">
            <v>HT</v>
          </cell>
          <cell r="Z451">
            <v>1236</v>
          </cell>
          <cell r="AA451">
            <v>0.97829999999999995</v>
          </cell>
          <cell r="AB451">
            <v>0</v>
          </cell>
          <cell r="AC451" t="str">
            <v xml:space="preserve">01/09/2023 -     </v>
          </cell>
          <cell r="AD451" t="str">
            <v>30.09.2023</v>
          </cell>
          <cell r="AE451" t="str">
            <v>30/1.0000</v>
          </cell>
          <cell r="AF451">
            <v>1236</v>
          </cell>
          <cell r="AG451" t="str">
            <v>KVA</v>
          </cell>
          <cell r="AH451">
            <v>1236</v>
          </cell>
          <cell r="AI451" t="str">
            <v>R</v>
          </cell>
          <cell r="AJ451">
            <v>4572580.9000000004</v>
          </cell>
          <cell r="AK451" t="str">
            <v>30/09/2023</v>
          </cell>
          <cell r="AL451" t="str">
            <v>NSC95198</v>
          </cell>
          <cell r="AM451" t="str">
            <v>THREE PHASE HT CT METER-33KV</v>
          </cell>
          <cell r="AN451" t="str">
            <v>POST PAID</v>
          </cell>
          <cell r="AO451">
            <v>1500</v>
          </cell>
          <cell r="AP451" t="str">
            <v>TOD</v>
          </cell>
          <cell r="AQ451">
            <v>610814.1</v>
          </cell>
          <cell r="AR451">
            <v>0</v>
          </cell>
          <cell r="AS451">
            <v>0</v>
          </cell>
          <cell r="AT451">
            <v>0</v>
          </cell>
          <cell r="AU451">
            <v>0</v>
          </cell>
          <cell r="AV451">
            <v>0</v>
          </cell>
          <cell r="AW451">
            <v>423210</v>
          </cell>
          <cell r="AX451">
            <v>432555</v>
          </cell>
          <cell r="AY451">
            <v>432555</v>
          </cell>
          <cell r="AZ451">
            <v>6951</v>
          </cell>
          <cell r="BA451">
            <v>977.99999999999989</v>
          </cell>
        </row>
        <row r="452">
          <cell r="F452">
            <v>611000000016</v>
          </cell>
          <cell r="G452" t="str">
            <v>M/S.YAZDANI STEEL &amp; POWER LTD.</v>
          </cell>
          <cell r="H452" t="str">
            <v>LTD,KALINGA NAGAR,</v>
          </cell>
          <cell r="I452" t="str">
            <v>10/31/2020 00:00:00</v>
          </cell>
          <cell r="J452">
            <v>1</v>
          </cell>
          <cell r="K452" t="str">
            <v xml:space="preserve"> </v>
          </cell>
          <cell r="L452" t="str">
            <v xml:space="preserve"> </v>
          </cell>
          <cell r="M452" t="str">
            <v>611000010231493540</v>
          </cell>
          <cell r="N452" t="str">
            <v>6110000015</v>
          </cell>
          <cell r="O452" t="str">
            <v>L-2073</v>
          </cell>
          <cell r="P452" t="str">
            <v>NULL</v>
          </cell>
          <cell r="Q452" t="str">
            <v>LARGE INDUSTRY</v>
          </cell>
          <cell r="R452" t="str">
            <v>HT</v>
          </cell>
          <cell r="S452" t="str">
            <v>01/10/2023</v>
          </cell>
          <cell r="T452" t="str">
            <v>01/10/2023</v>
          </cell>
          <cell r="U452" t="str">
            <v>06/10/2023</v>
          </cell>
          <cell r="V452" t="str">
            <v>09/10/2023</v>
          </cell>
          <cell r="W452" t="str">
            <v>2023/09</v>
          </cell>
          <cell r="X452" t="str">
            <v>33 KV</v>
          </cell>
          <cell r="Y452" t="str">
            <v>HT</v>
          </cell>
          <cell r="Z452">
            <v>1600</v>
          </cell>
          <cell r="AA452">
            <v>0.98670000000000002</v>
          </cell>
          <cell r="AB452">
            <v>15.05</v>
          </cell>
          <cell r="AC452" t="str">
            <v xml:space="preserve">01/09/2023 -     </v>
          </cell>
          <cell r="AD452" t="str">
            <v>30.09.2023</v>
          </cell>
          <cell r="AE452" t="str">
            <v>30/1.0000</v>
          </cell>
          <cell r="AF452">
            <v>2000</v>
          </cell>
          <cell r="AG452" t="str">
            <v>KVA</v>
          </cell>
          <cell r="AH452">
            <v>2000</v>
          </cell>
          <cell r="AI452" t="str">
            <v>R</v>
          </cell>
          <cell r="AJ452">
            <v>13717600</v>
          </cell>
          <cell r="AK452" t="str">
            <v>30/09/2023</v>
          </cell>
          <cell r="AL452" t="str">
            <v>NSC95183</v>
          </cell>
          <cell r="AM452" t="str">
            <v>THREE PHASE HT CT METER-33KV</v>
          </cell>
          <cell r="AN452" t="str">
            <v>POST PAID</v>
          </cell>
          <cell r="AO452">
            <v>12500</v>
          </cell>
          <cell r="AP452" t="str">
            <v>TOD</v>
          </cell>
          <cell r="AQ452">
            <v>-8932900.2599999998</v>
          </cell>
          <cell r="AR452">
            <v>0</v>
          </cell>
          <cell r="AS452">
            <v>0</v>
          </cell>
          <cell r="AT452">
            <v>0</v>
          </cell>
          <cell r="AU452">
            <v>0</v>
          </cell>
          <cell r="AV452">
            <v>0</v>
          </cell>
          <cell r="AW452">
            <v>74400</v>
          </cell>
          <cell r="AX452">
            <v>75400</v>
          </cell>
          <cell r="AY452">
            <v>75400</v>
          </cell>
          <cell r="AZ452">
            <v>957624</v>
          </cell>
          <cell r="BA452">
            <v>696</v>
          </cell>
        </row>
        <row r="453">
          <cell r="F453">
            <v>611000000017</v>
          </cell>
          <cell r="G453" t="str">
            <v>IDCO PUMP HOUSE</v>
          </cell>
          <cell r="H453" t="str">
            <v>C/o EXECUTIVE ENGINEER</v>
          </cell>
          <cell r="I453" t="str">
            <v>10/31/2020 00:00:00</v>
          </cell>
          <cell r="J453">
            <v>1</v>
          </cell>
          <cell r="K453" t="str">
            <v xml:space="preserve"> </v>
          </cell>
          <cell r="L453" t="str">
            <v xml:space="preserve"> </v>
          </cell>
          <cell r="M453" t="str">
            <v>611000010231493632</v>
          </cell>
          <cell r="N453" t="str">
            <v>6110000016</v>
          </cell>
          <cell r="O453" t="str">
            <v>L-2079</v>
          </cell>
          <cell r="P453" t="str">
            <v>46187417002</v>
          </cell>
          <cell r="Q453" t="str">
            <v>GENERAL PURPOSE &gt;= 110 KVA</v>
          </cell>
          <cell r="R453" t="str">
            <v>HT</v>
          </cell>
          <cell r="S453" t="str">
            <v>01/10/2023</v>
          </cell>
          <cell r="T453" t="str">
            <v>01/10/2023</v>
          </cell>
          <cell r="U453" t="str">
            <v>06/10/2023</v>
          </cell>
          <cell r="V453" t="str">
            <v>09/10/2023</v>
          </cell>
          <cell r="W453" t="str">
            <v>2023/09</v>
          </cell>
          <cell r="X453" t="str">
            <v>33 KV</v>
          </cell>
          <cell r="Y453" t="str">
            <v>HT</v>
          </cell>
          <cell r="Z453">
            <v>1500.48</v>
          </cell>
          <cell r="AA453">
            <v>0.84370000000000001</v>
          </cell>
          <cell r="AB453">
            <v>68.180000000000007</v>
          </cell>
          <cell r="AC453" t="str">
            <v xml:space="preserve">01/09/2023 -     </v>
          </cell>
          <cell r="AD453" t="str">
            <v>30.09.2023</v>
          </cell>
          <cell r="AE453" t="str">
            <v>30/1.0000</v>
          </cell>
          <cell r="AF453">
            <v>1200</v>
          </cell>
          <cell r="AG453" t="str">
            <v>KVA</v>
          </cell>
          <cell r="AH453">
            <v>1200</v>
          </cell>
          <cell r="AI453" t="str">
            <v>R</v>
          </cell>
          <cell r="AJ453">
            <v>5764812.3700000001</v>
          </cell>
          <cell r="AK453" t="str">
            <v>30/09/2023</v>
          </cell>
          <cell r="AL453" t="str">
            <v>NSC26119</v>
          </cell>
          <cell r="AM453" t="str">
            <v>THREE PHASE HT CT METER-33KV</v>
          </cell>
          <cell r="AN453" t="str">
            <v>POST PAID</v>
          </cell>
          <cell r="AO453">
            <v>2000</v>
          </cell>
          <cell r="AP453" t="str">
            <v>TOD</v>
          </cell>
          <cell r="AQ453">
            <v>3272074.73</v>
          </cell>
          <cell r="AR453">
            <v>0</v>
          </cell>
          <cell r="AS453">
            <v>0</v>
          </cell>
          <cell r="AT453">
            <v>0</v>
          </cell>
          <cell r="AU453">
            <v>0</v>
          </cell>
          <cell r="AV453">
            <v>0</v>
          </cell>
          <cell r="AW453">
            <v>0</v>
          </cell>
          <cell r="AX453">
            <v>0</v>
          </cell>
          <cell r="AY453">
            <v>736614</v>
          </cell>
          <cell r="AZ453">
            <v>0</v>
          </cell>
          <cell r="BA453">
            <v>0</v>
          </cell>
        </row>
        <row r="454">
          <cell r="F454">
            <v>611000000021</v>
          </cell>
          <cell r="G454" t="str">
            <v>M/S.B.C.MOHANTY &amp; SONS.(P)LTD.</v>
          </cell>
          <cell r="H454" t="str">
            <v>BALIAPAL,SALIJANGHA,</v>
          </cell>
          <cell r="I454" t="str">
            <v>10/31/2020 00:00:00</v>
          </cell>
          <cell r="J454">
            <v>1</v>
          </cell>
          <cell r="K454" t="str">
            <v xml:space="preserve"> </v>
          </cell>
          <cell r="L454" t="str">
            <v xml:space="preserve"> </v>
          </cell>
          <cell r="M454" t="str">
            <v>611000010231495230</v>
          </cell>
          <cell r="N454" t="str">
            <v>6110000020</v>
          </cell>
          <cell r="O454" t="str">
            <v>L-2098</v>
          </cell>
          <cell r="P454" t="str">
            <v>NULL</v>
          </cell>
          <cell r="Q454" t="str">
            <v>LARGE INDUSTRY</v>
          </cell>
          <cell r="R454" t="str">
            <v>EHT</v>
          </cell>
          <cell r="S454" t="str">
            <v>01/10/2023</v>
          </cell>
          <cell r="T454" t="str">
            <v>01/10/2023</v>
          </cell>
          <cell r="U454" t="str">
            <v>06/10/2023</v>
          </cell>
          <cell r="V454" t="str">
            <v>09/10/2023</v>
          </cell>
          <cell r="W454" t="str">
            <v>2023/09</v>
          </cell>
          <cell r="X454" t="str">
            <v>132 KV</v>
          </cell>
          <cell r="Y454" t="str">
            <v>HT</v>
          </cell>
          <cell r="Z454">
            <v>9720</v>
          </cell>
          <cell r="AA454">
            <v>0.99529999999999996</v>
          </cell>
          <cell r="AB454">
            <v>91.81</v>
          </cell>
          <cell r="AC454" t="str">
            <v xml:space="preserve">01/09/2023 -     </v>
          </cell>
          <cell r="AD454" t="str">
            <v>30.09.2023</v>
          </cell>
          <cell r="AE454" t="str">
            <v>30/1.0000</v>
          </cell>
          <cell r="AF454">
            <v>10000</v>
          </cell>
          <cell r="AG454" t="str">
            <v>KVA</v>
          </cell>
          <cell r="AH454">
            <v>10000</v>
          </cell>
          <cell r="AI454" t="str">
            <v>R</v>
          </cell>
          <cell r="AJ454">
            <v>73922520.359999999</v>
          </cell>
          <cell r="AK454" t="str">
            <v>30/09/2023</v>
          </cell>
          <cell r="AL454" t="str">
            <v>NSC95200</v>
          </cell>
          <cell r="AM454" t="str">
            <v>THREE PHASE HT CT METER-33KV</v>
          </cell>
          <cell r="AN454" t="str">
            <v>POST PAID</v>
          </cell>
          <cell r="AO454">
            <v>25000</v>
          </cell>
          <cell r="AP454" t="str">
            <v>TOD</v>
          </cell>
          <cell r="AQ454">
            <v>23266520.18</v>
          </cell>
          <cell r="AR454">
            <v>0</v>
          </cell>
          <cell r="AS454">
            <v>0</v>
          </cell>
          <cell r="AT454">
            <v>0</v>
          </cell>
          <cell r="AU454">
            <v>-82668</v>
          </cell>
          <cell r="AV454">
            <v>0</v>
          </cell>
          <cell r="AW454">
            <v>6395300</v>
          </cell>
          <cell r="AX454">
            <v>6425400</v>
          </cell>
          <cell r="AY454">
            <v>6425400</v>
          </cell>
          <cell r="AZ454">
            <v>9.7200000000000006</v>
          </cell>
          <cell r="BA454">
            <v>9720</v>
          </cell>
        </row>
        <row r="455">
          <cell r="F455">
            <v>611000000022</v>
          </cell>
          <cell r="G455" t="str">
            <v>M/S JINDAL STAINLESS LIMITED</v>
          </cell>
          <cell r="H455" t="str">
            <v>KALINGA NAGAR,DANAGADI</v>
          </cell>
          <cell r="I455" t="str">
            <v>10/31/2020 00:00:00</v>
          </cell>
          <cell r="J455">
            <v>1</v>
          </cell>
          <cell r="K455" t="str">
            <v xml:space="preserve"> </v>
          </cell>
          <cell r="L455" t="str">
            <v xml:space="preserve"> </v>
          </cell>
          <cell r="M455" t="str">
            <v>611000010232516451</v>
          </cell>
          <cell r="N455" t="str">
            <v>6110000021</v>
          </cell>
          <cell r="O455" t="str">
            <v>L-2023B</v>
          </cell>
          <cell r="P455" t="str">
            <v>NULL</v>
          </cell>
          <cell r="Q455" t="str">
            <v>HEAVY INDUSTRY</v>
          </cell>
          <cell r="R455" t="str">
            <v>EHT</v>
          </cell>
          <cell r="S455" t="str">
            <v>05/10/2023</v>
          </cell>
          <cell r="T455" t="str">
            <v>05/10/2023</v>
          </cell>
          <cell r="U455" t="str">
            <v>09/10/2023</v>
          </cell>
          <cell r="V455" t="str">
            <v>12/10/2023</v>
          </cell>
          <cell r="W455" t="str">
            <v>2023/09</v>
          </cell>
          <cell r="X455" t="str">
            <v>220 KV</v>
          </cell>
          <cell r="Y455" t="str">
            <v>HT</v>
          </cell>
          <cell r="Z455">
            <v>47952.800000000003</v>
          </cell>
          <cell r="AA455">
            <v>0.99339999999999995</v>
          </cell>
          <cell r="AB455">
            <v>48.59</v>
          </cell>
          <cell r="AC455" t="str">
            <v xml:space="preserve">01/09/2023 -     </v>
          </cell>
          <cell r="AD455" t="str">
            <v>30.09.2023</v>
          </cell>
          <cell r="AE455" t="str">
            <v>30/1.0000</v>
          </cell>
          <cell r="AF455">
            <v>44000</v>
          </cell>
          <cell r="AG455" t="str">
            <v>KVA</v>
          </cell>
          <cell r="AH455">
            <v>44000</v>
          </cell>
          <cell r="AI455" t="str">
            <v>R</v>
          </cell>
          <cell r="AJ455">
            <v>267872000</v>
          </cell>
          <cell r="AK455" t="str">
            <v>30/09/2023</v>
          </cell>
          <cell r="AL455" t="str">
            <v>TPNS6403</v>
          </cell>
          <cell r="AM455" t="str">
            <v>THREE PHASE HT CT METER-33KV</v>
          </cell>
          <cell r="AN455" t="str">
            <v>POST PAID</v>
          </cell>
          <cell r="AO455">
            <v>120000</v>
          </cell>
          <cell r="AP455" t="str">
            <v>TOD</v>
          </cell>
          <cell r="AQ455">
            <v>-18236349.699999999</v>
          </cell>
          <cell r="AR455">
            <v>0</v>
          </cell>
          <cell r="AS455">
            <v>0</v>
          </cell>
          <cell r="AT455">
            <v>0</v>
          </cell>
          <cell r="AU455">
            <v>0</v>
          </cell>
          <cell r="AV455">
            <v>0</v>
          </cell>
          <cell r="AW455">
            <v>19010000</v>
          </cell>
          <cell r="AX455">
            <v>19136000</v>
          </cell>
          <cell r="AY455">
            <v>19136000</v>
          </cell>
          <cell r="AZ455">
            <v>85.2684</v>
          </cell>
          <cell r="BA455">
            <v>85268.4</v>
          </cell>
        </row>
        <row r="456">
          <cell r="F456">
            <v>611000000025</v>
          </cell>
          <cell r="G456" t="str">
            <v>JAKHAPURA TRACTION SUB-STATION</v>
          </cell>
          <cell r="H456" t="str">
            <v xml:space="preserve">C/O-SR.DIV.ENGINEER, EAST COAST RAILWAY, KHURDA </v>
          </cell>
          <cell r="I456" t="str">
            <v>10/31/2020 00:00:00</v>
          </cell>
          <cell r="J456">
            <v>1</v>
          </cell>
          <cell r="K456" t="str">
            <v>AT/PO: Jatni, Dist: Khordha, Odisha-752050</v>
          </cell>
          <cell r="L456" t="str">
            <v>AT: JAKHAPURA, DIST: JAJPUR, ODISHA-755026.</v>
          </cell>
          <cell r="M456" t="str">
            <v>611000010232495316</v>
          </cell>
          <cell r="N456" t="str">
            <v>6110000024</v>
          </cell>
          <cell r="O456" t="str">
            <v>L-2121</v>
          </cell>
          <cell r="P456" t="str">
            <v>NULL</v>
          </cell>
          <cell r="Q456" t="str">
            <v>RAILWAY TRACTION</v>
          </cell>
          <cell r="R456" t="str">
            <v>EHT</v>
          </cell>
          <cell r="S456" t="str">
            <v>01/10/2023</v>
          </cell>
          <cell r="T456" t="str">
            <v>01/10/2023</v>
          </cell>
          <cell r="U456" t="str">
            <v>06/10/2023</v>
          </cell>
          <cell r="V456" t="str">
            <v>09/10/2023</v>
          </cell>
          <cell r="W456" t="str">
            <v>2023/09</v>
          </cell>
          <cell r="X456" t="str">
            <v>132 KV</v>
          </cell>
          <cell r="Y456" t="str">
            <v>HT</v>
          </cell>
          <cell r="Z456">
            <v>21200</v>
          </cell>
          <cell r="AA456">
            <v>0.97130000000000005</v>
          </cell>
          <cell r="AB456">
            <v>52.72</v>
          </cell>
          <cell r="AC456" t="str">
            <v xml:space="preserve">01/09/2023 -     </v>
          </cell>
          <cell r="AD456" t="str">
            <v>30.09.2023</v>
          </cell>
          <cell r="AE456" t="str">
            <v>30/1.0000</v>
          </cell>
          <cell r="AF456">
            <v>22000</v>
          </cell>
          <cell r="AG456" t="str">
            <v>KVA</v>
          </cell>
          <cell r="AH456">
            <v>22000</v>
          </cell>
          <cell r="AI456" t="str">
            <v>R</v>
          </cell>
          <cell r="AJ456">
            <v>95710289.359999999</v>
          </cell>
          <cell r="AK456" t="str">
            <v>30/09/2023</v>
          </cell>
          <cell r="AL456" t="str">
            <v>OPT01031</v>
          </cell>
          <cell r="AM456" t="str">
            <v>TRI-VECTOR METER FOR RAILWAY TRACTION</v>
          </cell>
          <cell r="AN456" t="str">
            <v>POST PAID</v>
          </cell>
          <cell r="AO456">
            <v>21600</v>
          </cell>
          <cell r="AP456" t="str">
            <v>TOD</v>
          </cell>
          <cell r="AQ456">
            <v>0.1</v>
          </cell>
          <cell r="AR456">
            <v>0</v>
          </cell>
          <cell r="AS456">
            <v>0</v>
          </cell>
          <cell r="AT456">
            <v>0</v>
          </cell>
          <cell r="AU456">
            <v>0</v>
          </cell>
          <cell r="AV456">
            <v>0</v>
          </cell>
          <cell r="AW456">
            <v>7817100</v>
          </cell>
          <cell r="AX456">
            <v>8047800</v>
          </cell>
          <cell r="AY456">
            <v>8047800</v>
          </cell>
          <cell r="AZ456">
            <v>21.2</v>
          </cell>
          <cell r="BA456">
            <v>21200</v>
          </cell>
        </row>
        <row r="457">
          <cell r="F457">
            <v>611000000027</v>
          </cell>
          <cell r="G457" t="str">
            <v>HOTEL SARADA NIVAS</v>
          </cell>
          <cell r="H457" t="str">
            <v>BANK STREET,JAJPUR ROAD</v>
          </cell>
          <cell r="I457" t="str">
            <v>10/31/2020 00:00:00</v>
          </cell>
          <cell r="J457">
            <v>1</v>
          </cell>
          <cell r="K457" t="str">
            <v xml:space="preserve"> </v>
          </cell>
          <cell r="L457" t="str">
            <v xml:space="preserve"> </v>
          </cell>
          <cell r="M457" t="str">
            <v>611000010231493834</v>
          </cell>
          <cell r="N457" t="str">
            <v>6110000026</v>
          </cell>
          <cell r="O457" t="str">
            <v>L-2091</v>
          </cell>
          <cell r="P457" t="str">
            <v>461111203</v>
          </cell>
          <cell r="Q457" t="str">
            <v>GENERAL PURPOSE &gt;= 110 KVA</v>
          </cell>
          <cell r="R457" t="str">
            <v>HT</v>
          </cell>
          <cell r="S457" t="str">
            <v>01/10/2023</v>
          </cell>
          <cell r="T457" t="str">
            <v>01/10/2023</v>
          </cell>
          <cell r="U457" t="str">
            <v>06/10/2023</v>
          </cell>
          <cell r="V457" t="str">
            <v>09/10/2023</v>
          </cell>
          <cell r="W457" t="str">
            <v>2023/09</v>
          </cell>
          <cell r="X457" t="str">
            <v>11 KV</v>
          </cell>
          <cell r="Y457" t="str">
            <v>HT</v>
          </cell>
          <cell r="Z457">
            <v>216</v>
          </cell>
          <cell r="AA457">
            <v>0.99139999999999995</v>
          </cell>
          <cell r="AB457">
            <v>39.92</v>
          </cell>
          <cell r="AC457" t="str">
            <v xml:space="preserve">01/09/2023 -     </v>
          </cell>
          <cell r="AD457" t="str">
            <v>30.09.2023</v>
          </cell>
          <cell r="AE457" t="str">
            <v>30/1.0000</v>
          </cell>
          <cell r="AF457">
            <v>148</v>
          </cell>
          <cell r="AG457" t="str">
            <v>KVA</v>
          </cell>
          <cell r="AH457">
            <v>148</v>
          </cell>
          <cell r="AI457" t="str">
            <v>R</v>
          </cell>
          <cell r="AJ457">
            <v>561686.74</v>
          </cell>
          <cell r="AK457" t="str">
            <v>30/09/2023</v>
          </cell>
          <cell r="AL457" t="str">
            <v>NSC92478</v>
          </cell>
          <cell r="AM457" t="str">
            <v>TRI-VECTOR METER FOR RAILWAY TRACTION</v>
          </cell>
          <cell r="AN457" t="str">
            <v>POST PAID</v>
          </cell>
          <cell r="AO457">
            <v>250</v>
          </cell>
          <cell r="AP457" t="str">
            <v>TOD</v>
          </cell>
          <cell r="AQ457">
            <v>-413894.34</v>
          </cell>
          <cell r="AR457">
            <v>0</v>
          </cell>
          <cell r="AS457">
            <v>0</v>
          </cell>
          <cell r="AT457">
            <v>0</v>
          </cell>
          <cell r="AU457">
            <v>0</v>
          </cell>
          <cell r="AV457">
            <v>0</v>
          </cell>
          <cell r="AW457">
            <v>61560</v>
          </cell>
          <cell r="AX457">
            <v>62090</v>
          </cell>
          <cell r="AY457">
            <v>62090</v>
          </cell>
          <cell r="AZ457">
            <v>1215</v>
          </cell>
          <cell r="BA457">
            <v>216</v>
          </cell>
        </row>
        <row r="458">
          <cell r="F458">
            <v>611000000032</v>
          </cell>
          <cell r="G458" t="str">
            <v>M/S TATA STEEL MINING LTD.</v>
          </cell>
          <cell r="H458" t="str">
            <v>RABANA , KALINGA NAGAR</v>
          </cell>
          <cell r="I458" t="str">
            <v>10/31/2020 00:00:00</v>
          </cell>
          <cell r="J458">
            <v>1</v>
          </cell>
          <cell r="K458" t="str">
            <v xml:space="preserve"> </v>
          </cell>
          <cell r="L458" t="str">
            <v>DUBURI</v>
          </cell>
          <cell r="M458" t="str">
            <v>611000010231495246</v>
          </cell>
          <cell r="N458" t="str">
            <v>6110000031</v>
          </cell>
          <cell r="O458" t="str">
            <v>L-2100B</v>
          </cell>
          <cell r="P458" t="str">
            <v>NULL</v>
          </cell>
          <cell r="Q458" t="str">
            <v>LARGE INDUSTRY</v>
          </cell>
          <cell r="R458" t="str">
            <v>EHT</v>
          </cell>
          <cell r="S458" t="str">
            <v>01/10/2023</v>
          </cell>
          <cell r="T458" t="str">
            <v>01/10/2023</v>
          </cell>
          <cell r="U458" t="str">
            <v>06/10/2023</v>
          </cell>
          <cell r="V458" t="str">
            <v>09/10/2023</v>
          </cell>
          <cell r="W458" t="str">
            <v>2023/09</v>
          </cell>
          <cell r="X458" t="str">
            <v>220 KV</v>
          </cell>
          <cell r="Y458" t="str">
            <v>HT</v>
          </cell>
          <cell r="Z458">
            <v>28680</v>
          </cell>
          <cell r="AA458">
            <v>0.98129999999999995</v>
          </cell>
          <cell r="AB458">
            <v>82.62</v>
          </cell>
          <cell r="AC458" t="str">
            <v xml:space="preserve">01/09/2023 -     </v>
          </cell>
          <cell r="AD458" t="str">
            <v>30.09.2023</v>
          </cell>
          <cell r="AE458" t="str">
            <v>30/1.0000</v>
          </cell>
          <cell r="AF458">
            <v>35000</v>
          </cell>
          <cell r="AG458" t="str">
            <v>KVA</v>
          </cell>
          <cell r="AH458">
            <v>35000</v>
          </cell>
          <cell r="AI458" t="str">
            <v>R</v>
          </cell>
          <cell r="AJ458">
            <v>225281123.69999999</v>
          </cell>
          <cell r="AK458" t="str">
            <v>30/09/2023</v>
          </cell>
          <cell r="AL458" t="str">
            <v>TPN64913</v>
          </cell>
          <cell r="AM458" t="str">
            <v>THREE PHASE HT CT METER-33KV</v>
          </cell>
          <cell r="AN458" t="str">
            <v>POST PAID</v>
          </cell>
          <cell r="AO458">
            <v>40000</v>
          </cell>
          <cell r="AP458" t="str">
            <v>TOD</v>
          </cell>
          <cell r="AQ458">
            <v>23204646.300000001</v>
          </cell>
          <cell r="AR458">
            <v>0</v>
          </cell>
          <cell r="AS458">
            <v>0</v>
          </cell>
          <cell r="AT458">
            <v>0</v>
          </cell>
          <cell r="AU458">
            <v>-54102</v>
          </cell>
          <cell r="AV458">
            <v>0</v>
          </cell>
          <cell r="AW458">
            <v>16742700</v>
          </cell>
          <cell r="AX458">
            <v>17060700</v>
          </cell>
          <cell r="AY458">
            <v>17060700</v>
          </cell>
          <cell r="AZ458">
            <v>47.8</v>
          </cell>
          <cell r="BA458">
            <v>28680</v>
          </cell>
        </row>
        <row r="459">
          <cell r="F459">
            <v>611000000035</v>
          </cell>
          <cell r="G459" t="str">
            <v>M/S VISA STEELS LTD.</v>
          </cell>
          <cell r="H459" t="str">
            <v>JAKHAPURA,</v>
          </cell>
          <cell r="I459" t="str">
            <v>10/31/2020 00:00:00</v>
          </cell>
          <cell r="J459">
            <v>1</v>
          </cell>
          <cell r="K459" t="str">
            <v xml:space="preserve"> </v>
          </cell>
          <cell r="L459" t="str">
            <v xml:space="preserve"> </v>
          </cell>
          <cell r="M459" t="str">
            <v>611000010231495165</v>
          </cell>
          <cell r="N459" t="str">
            <v>6110000034</v>
          </cell>
          <cell r="O459" t="str">
            <v>L-1999B</v>
          </cell>
          <cell r="P459" t="str">
            <v>NULL</v>
          </cell>
          <cell r="Q459" t="str">
            <v>LARGE INDUSTRY</v>
          </cell>
          <cell r="R459" t="str">
            <v>EHT</v>
          </cell>
          <cell r="S459" t="str">
            <v>01/10/2023</v>
          </cell>
          <cell r="T459" t="str">
            <v>01/10/2023</v>
          </cell>
          <cell r="U459" t="str">
            <v>06/10/2023</v>
          </cell>
          <cell r="V459" t="str">
            <v>09/10/2023</v>
          </cell>
          <cell r="W459" t="str">
            <v>2023/09</v>
          </cell>
          <cell r="X459" t="str">
            <v>220 KV</v>
          </cell>
          <cell r="Y459" t="str">
            <v>HT</v>
          </cell>
          <cell r="Z459">
            <v>15900</v>
          </cell>
          <cell r="AA459">
            <v>0.99890000000000001</v>
          </cell>
          <cell r="AB459">
            <v>30.07</v>
          </cell>
          <cell r="AC459" t="str">
            <v xml:space="preserve">01/09/2023 -     </v>
          </cell>
          <cell r="AD459" t="str">
            <v>30.09.2023</v>
          </cell>
          <cell r="AE459" t="str">
            <v>30/1.0000</v>
          </cell>
          <cell r="AF459">
            <v>18000</v>
          </cell>
          <cell r="AG459" t="str">
            <v>KVA</v>
          </cell>
          <cell r="AH459">
            <v>18000</v>
          </cell>
          <cell r="AI459" t="str">
            <v>R</v>
          </cell>
          <cell r="AJ459">
            <v>115036911.94</v>
          </cell>
          <cell r="AK459" t="str">
            <v>30/09/2023</v>
          </cell>
          <cell r="AL459" t="str">
            <v>NSC95189</v>
          </cell>
          <cell r="AM459" t="str">
            <v>THREE PHASE HT CT METER-33KV</v>
          </cell>
          <cell r="AN459" t="str">
            <v>POST PAID</v>
          </cell>
          <cell r="AO459">
            <v>80000</v>
          </cell>
          <cell r="AP459" t="str">
            <v>TOD</v>
          </cell>
          <cell r="AQ459">
            <v>57473945.600000001</v>
          </cell>
          <cell r="AR459">
            <v>0</v>
          </cell>
          <cell r="AS459">
            <v>0</v>
          </cell>
          <cell r="AT459">
            <v>0</v>
          </cell>
          <cell r="AU459">
            <v>0</v>
          </cell>
          <cell r="AV459">
            <v>0</v>
          </cell>
          <cell r="AW459">
            <v>3439200</v>
          </cell>
          <cell r="AX459">
            <v>3442800</v>
          </cell>
          <cell r="AY459">
            <v>3442800</v>
          </cell>
          <cell r="AZ459">
            <v>26.5</v>
          </cell>
          <cell r="BA459">
            <v>15900</v>
          </cell>
        </row>
        <row r="460">
          <cell r="F460">
            <v>611000000041</v>
          </cell>
          <cell r="G460" t="str">
            <v>M/S ANANDA EXPORTS</v>
          </cell>
          <cell r="H460" t="str">
            <v>NIMAPALI,PINGAL</v>
          </cell>
          <cell r="I460" t="str">
            <v>10/31/2020 00:00:00</v>
          </cell>
          <cell r="J460">
            <v>1</v>
          </cell>
          <cell r="K460" t="str">
            <v xml:space="preserve"> </v>
          </cell>
          <cell r="L460" t="str">
            <v xml:space="preserve"> </v>
          </cell>
          <cell r="M460" t="str">
            <v>611000010231493754</v>
          </cell>
          <cell r="N460" t="str">
            <v>6110000040</v>
          </cell>
          <cell r="O460" t="str">
            <v>L-2175</v>
          </cell>
          <cell r="P460" t="str">
            <v>46187417002</v>
          </cell>
          <cell r="Q460" t="str">
            <v>LARGE INDUSTRY</v>
          </cell>
          <cell r="R460" t="str">
            <v>HT</v>
          </cell>
          <cell r="S460" t="str">
            <v>01/10/2023</v>
          </cell>
          <cell r="T460" t="str">
            <v>01/10/2023</v>
          </cell>
          <cell r="U460" t="str">
            <v>06/10/2023</v>
          </cell>
          <cell r="V460" t="str">
            <v>09/10/2023</v>
          </cell>
          <cell r="W460" t="str">
            <v>2023/09</v>
          </cell>
          <cell r="X460" t="str">
            <v>33 KV</v>
          </cell>
          <cell r="Y460" t="str">
            <v>HT</v>
          </cell>
          <cell r="Z460">
            <v>533.6</v>
          </cell>
          <cell r="AA460">
            <v>0.99919999999999998</v>
          </cell>
          <cell r="AB460">
            <v>45.35</v>
          </cell>
          <cell r="AC460" t="str">
            <v xml:space="preserve">01/09/2023 -     </v>
          </cell>
          <cell r="AD460" t="str">
            <v>30.09.2023</v>
          </cell>
          <cell r="AE460" t="str">
            <v>30/1.0000</v>
          </cell>
          <cell r="AF460">
            <v>667</v>
          </cell>
          <cell r="AG460" t="str">
            <v>KVA</v>
          </cell>
          <cell r="AH460">
            <v>667</v>
          </cell>
          <cell r="AI460" t="str">
            <v>R</v>
          </cell>
          <cell r="AJ460">
            <v>2162143</v>
          </cell>
          <cell r="AK460" t="str">
            <v>30/09/2023</v>
          </cell>
          <cell r="AL460" t="str">
            <v>NES50514</v>
          </cell>
          <cell r="AM460" t="str">
            <v>THREE PHASE HT CT METER-33KV</v>
          </cell>
          <cell r="AN460" t="str">
            <v>POST PAID</v>
          </cell>
          <cell r="AO460">
            <v>1000</v>
          </cell>
          <cell r="AP460" t="str">
            <v>TOD</v>
          </cell>
          <cell r="AQ460">
            <v>-448229.86</v>
          </cell>
          <cell r="AR460">
            <v>0</v>
          </cell>
          <cell r="AS460">
            <v>0</v>
          </cell>
          <cell r="AT460">
            <v>0</v>
          </cell>
          <cell r="AU460">
            <v>0</v>
          </cell>
          <cell r="AV460">
            <v>0</v>
          </cell>
          <cell r="AW460">
            <v>98826</v>
          </cell>
          <cell r="AX460">
            <v>98898</v>
          </cell>
          <cell r="AY460">
            <v>98898</v>
          </cell>
          <cell r="AZ460">
            <v>2746.56</v>
          </cell>
          <cell r="BA460">
            <v>302.88</v>
          </cell>
        </row>
        <row r="461">
          <cell r="F461">
            <v>611000000043</v>
          </cell>
          <cell r="G461" t="str">
            <v>JINDAL STAINLESS LTD.</v>
          </cell>
          <cell r="H461" t="str">
            <v>RESIDENTIAL COLONY</v>
          </cell>
          <cell r="I461" t="str">
            <v>10/31/2020 00:00:00</v>
          </cell>
          <cell r="J461">
            <v>1</v>
          </cell>
          <cell r="K461" t="str">
            <v>MANPUR</v>
          </cell>
          <cell r="L461" t="str">
            <v>DANAGADI</v>
          </cell>
          <cell r="M461" t="str">
            <v>611000010231493652</v>
          </cell>
          <cell r="N461" t="str">
            <v>6110000042</v>
          </cell>
          <cell r="O461" t="str">
            <v>L-2027</v>
          </cell>
          <cell r="P461" t="str">
            <v>46187417002</v>
          </cell>
          <cell r="Q461" t="str">
            <v>BULK SUPPLY DOMESTIC</v>
          </cell>
          <cell r="R461" t="str">
            <v>HT</v>
          </cell>
          <cell r="S461" t="str">
            <v>01/10/2023</v>
          </cell>
          <cell r="T461" t="str">
            <v>01/10/2023</v>
          </cell>
          <cell r="U461" t="str">
            <v>09/10/2023</v>
          </cell>
          <cell r="V461" t="str">
            <v>09/10/2023</v>
          </cell>
          <cell r="W461" t="str">
            <v>2023/09</v>
          </cell>
          <cell r="X461" t="str">
            <v>33 KV</v>
          </cell>
          <cell r="Y461" t="str">
            <v>HT</v>
          </cell>
          <cell r="Z461">
            <v>666.67</v>
          </cell>
          <cell r="AA461">
            <v>0.96970000000000001</v>
          </cell>
          <cell r="AB461">
            <v>0</v>
          </cell>
          <cell r="AC461" t="str">
            <v xml:space="preserve">01/09/2023 -     </v>
          </cell>
          <cell r="AD461" t="str">
            <v>30.09.2023</v>
          </cell>
          <cell r="AE461" t="str">
            <v>30/1.0000</v>
          </cell>
          <cell r="AF461">
            <v>666.67</v>
          </cell>
          <cell r="AG461" t="str">
            <v>KVA</v>
          </cell>
          <cell r="AH461">
            <v>666.67</v>
          </cell>
          <cell r="AI461" t="str">
            <v>R</v>
          </cell>
          <cell r="AJ461">
            <v>624314.53</v>
          </cell>
          <cell r="AK461" t="str">
            <v>30/09/2023</v>
          </cell>
          <cell r="AL461" t="str">
            <v>NSC94608</v>
          </cell>
          <cell r="AM461" t="str">
            <v>THREE PHASE HT CT METER-33KV</v>
          </cell>
          <cell r="AN461" t="str">
            <v>POST PAID</v>
          </cell>
          <cell r="AO461">
            <v>1000</v>
          </cell>
          <cell r="AP461" t="str">
            <v>TOD</v>
          </cell>
          <cell r="AQ461">
            <v>-20790.330000000002</v>
          </cell>
          <cell r="AR461">
            <v>0</v>
          </cell>
          <cell r="AS461">
            <v>0</v>
          </cell>
          <cell r="AT461">
            <v>0</v>
          </cell>
          <cell r="AU461">
            <v>0</v>
          </cell>
          <cell r="AV461">
            <v>0</v>
          </cell>
          <cell r="AW461">
            <v>59916</v>
          </cell>
          <cell r="AX461">
            <v>61782</v>
          </cell>
          <cell r="AY461">
            <v>61782</v>
          </cell>
          <cell r="AZ461">
            <v>1523.52</v>
          </cell>
          <cell r="BA461">
            <v>180</v>
          </cell>
        </row>
        <row r="462">
          <cell r="F462">
            <v>611000000049</v>
          </cell>
          <cell r="G462" t="str">
            <v>M/S. M/S KRUPALU RICE INDUSTRIES PVT LTD</v>
          </cell>
          <cell r="H462" t="str">
            <v>PATHARPADA,</v>
          </cell>
          <cell r="I462" t="str">
            <v>10/31/2020 00:00:00</v>
          </cell>
          <cell r="J462">
            <v>1</v>
          </cell>
          <cell r="K462" t="str">
            <v xml:space="preserve"> </v>
          </cell>
          <cell r="L462" t="str">
            <v xml:space="preserve"> </v>
          </cell>
          <cell r="M462" t="str">
            <v>611000010231494169</v>
          </cell>
          <cell r="N462" t="str">
            <v>6140000003</v>
          </cell>
          <cell r="O462" t="str">
            <v>L-2593</v>
          </cell>
          <cell r="P462" t="str">
            <v>46107418004</v>
          </cell>
          <cell r="Q462" t="str">
            <v>LARGE INDUSTRY</v>
          </cell>
          <cell r="R462" t="str">
            <v>HT</v>
          </cell>
          <cell r="S462" t="str">
            <v>01/10/2023</v>
          </cell>
          <cell r="T462" t="str">
            <v>01/10/2023</v>
          </cell>
          <cell r="U462" t="str">
            <v>06/10/2023</v>
          </cell>
          <cell r="V462" t="str">
            <v>09/10/2023</v>
          </cell>
          <cell r="W462" t="str">
            <v>2023/09</v>
          </cell>
          <cell r="X462" t="str">
            <v>33 KV</v>
          </cell>
          <cell r="Y462" t="str">
            <v>HT</v>
          </cell>
          <cell r="Z462">
            <v>635.4</v>
          </cell>
          <cell r="AA462">
            <v>0.997</v>
          </cell>
          <cell r="AB462">
            <v>61.86</v>
          </cell>
          <cell r="AC462" t="str">
            <v xml:space="preserve">01/09/2023 -     </v>
          </cell>
          <cell r="AD462" t="str">
            <v>30.09.2023</v>
          </cell>
          <cell r="AE462" t="str">
            <v>30/1.0000</v>
          </cell>
          <cell r="AF462">
            <v>750</v>
          </cell>
          <cell r="AG462" t="str">
            <v>KVA</v>
          </cell>
          <cell r="AH462">
            <v>750</v>
          </cell>
          <cell r="AI462" t="str">
            <v>R</v>
          </cell>
          <cell r="AJ462">
            <v>4603800</v>
          </cell>
          <cell r="AK462" t="str">
            <v>30/09/2023</v>
          </cell>
          <cell r="AL462" t="str">
            <v>NES52189</v>
          </cell>
          <cell r="AM462" t="str">
            <v>THREE PHASE HT CT METER-33KV</v>
          </cell>
          <cell r="AN462" t="str">
            <v>POST PAID</v>
          </cell>
          <cell r="AO462">
            <v>1400</v>
          </cell>
          <cell r="AP462" t="str">
            <v>TOD</v>
          </cell>
          <cell r="AQ462">
            <v>96608.3</v>
          </cell>
          <cell r="AR462">
            <v>0</v>
          </cell>
          <cell r="AS462">
            <v>0</v>
          </cell>
          <cell r="AT462">
            <v>0</v>
          </cell>
          <cell r="AU462">
            <v>0</v>
          </cell>
          <cell r="AV462">
            <v>0</v>
          </cell>
          <cell r="AW462">
            <v>282172</v>
          </cell>
          <cell r="AX462">
            <v>283020</v>
          </cell>
          <cell r="AY462">
            <v>283020</v>
          </cell>
          <cell r="AZ462">
            <v>4321.2</v>
          </cell>
          <cell r="BA462">
            <v>635.4</v>
          </cell>
        </row>
        <row r="463">
          <cell r="F463">
            <v>611000000051</v>
          </cell>
          <cell r="G463" t="str">
            <v>M/S JAY JAGANNATH RE-ROLLING</v>
          </cell>
          <cell r="H463" t="str">
            <v>&amp; STEELS (P) LTD.,PATHARAPADA</v>
          </cell>
          <cell r="I463" t="str">
            <v>10/31/2020 00:00:00</v>
          </cell>
          <cell r="J463">
            <v>1</v>
          </cell>
          <cell r="K463" t="str">
            <v xml:space="preserve"> </v>
          </cell>
          <cell r="L463" t="str">
            <v xml:space="preserve"> </v>
          </cell>
          <cell r="M463" t="str">
            <v>611000010231493510</v>
          </cell>
          <cell r="N463" t="str">
            <v>6110000047</v>
          </cell>
          <cell r="O463" t="str">
            <v>L-2614</v>
          </cell>
          <cell r="P463" t="str">
            <v>461141101</v>
          </cell>
          <cell r="Q463" t="str">
            <v>LARGE INDUSTRY</v>
          </cell>
          <cell r="R463" t="str">
            <v>HT</v>
          </cell>
          <cell r="S463" t="str">
            <v>01/10/2023</v>
          </cell>
          <cell r="T463" t="str">
            <v>01/10/2023</v>
          </cell>
          <cell r="U463" t="str">
            <v>06/10/2023</v>
          </cell>
          <cell r="V463" t="str">
            <v>09/10/2023</v>
          </cell>
          <cell r="W463" t="str">
            <v>2023/09</v>
          </cell>
          <cell r="X463" t="str">
            <v>11 KV</v>
          </cell>
          <cell r="Y463" t="str">
            <v>HT</v>
          </cell>
          <cell r="Z463">
            <v>266.39999999999998</v>
          </cell>
          <cell r="AA463">
            <v>0.86109999999999998</v>
          </cell>
          <cell r="AB463">
            <v>33.22</v>
          </cell>
          <cell r="AC463" t="str">
            <v xml:space="preserve">01/09/2023 -     </v>
          </cell>
          <cell r="AD463" t="str">
            <v>30.09.2023</v>
          </cell>
          <cell r="AE463" t="str">
            <v>30/1.0000</v>
          </cell>
          <cell r="AF463">
            <v>333</v>
          </cell>
          <cell r="AG463" t="str">
            <v>KVA</v>
          </cell>
          <cell r="AH463">
            <v>333</v>
          </cell>
          <cell r="AI463" t="str">
            <v>R</v>
          </cell>
          <cell r="AJ463">
            <v>945958</v>
          </cell>
          <cell r="AK463" t="str">
            <v>30/09/2023</v>
          </cell>
          <cell r="AL463" t="str">
            <v>TPN64027</v>
          </cell>
          <cell r="AM463" t="str">
            <v>HT THREE PHASE 4 WIRE AMR/AMI COMPLAINT METER</v>
          </cell>
          <cell r="AN463" t="str">
            <v>POST PAID</v>
          </cell>
          <cell r="AO463">
            <v>500</v>
          </cell>
          <cell r="AP463" t="str">
            <v>TOD</v>
          </cell>
          <cell r="AQ463">
            <v>-525464.5</v>
          </cell>
          <cell r="AR463">
            <v>0</v>
          </cell>
          <cell r="AS463">
            <v>0</v>
          </cell>
          <cell r="AT463">
            <v>0</v>
          </cell>
          <cell r="AU463">
            <v>0</v>
          </cell>
          <cell r="AV463">
            <v>0</v>
          </cell>
          <cell r="AW463">
            <v>41735</v>
          </cell>
          <cell r="AX463">
            <v>48465</v>
          </cell>
          <cell r="AY463">
            <v>48465</v>
          </cell>
          <cell r="AZ463">
            <v>1370.8</v>
          </cell>
          <cell r="BA463">
            <v>202.6</v>
          </cell>
        </row>
        <row r="464">
          <cell r="F464">
            <v>611000000052</v>
          </cell>
          <cell r="G464" t="str">
            <v>M/S ASHIRBAD AGRO PRODUCTS PVT LTD.</v>
          </cell>
          <cell r="H464" t="str">
            <v>MULARI,PANIKOILIJAJPUR ROAD</v>
          </cell>
          <cell r="I464" t="str">
            <v>10/31/2020 00:00:00</v>
          </cell>
          <cell r="J464">
            <v>1</v>
          </cell>
          <cell r="K464" t="str">
            <v xml:space="preserve"> </v>
          </cell>
          <cell r="L464" t="str">
            <v xml:space="preserve"> </v>
          </cell>
          <cell r="M464" t="str">
            <v>611000010231493631</v>
          </cell>
          <cell r="N464" t="str">
            <v>6110000048</v>
          </cell>
          <cell r="O464" t="str">
            <v>L-2648</v>
          </cell>
          <cell r="P464" t="str">
            <v>46107418004</v>
          </cell>
          <cell r="Q464" t="str">
            <v>LARGE INDUSTRY</v>
          </cell>
          <cell r="R464" t="str">
            <v>HT</v>
          </cell>
          <cell r="S464" t="str">
            <v>01/10/2023</v>
          </cell>
          <cell r="T464" t="str">
            <v>01/10/2023</v>
          </cell>
          <cell r="U464" t="str">
            <v>06/10/2023</v>
          </cell>
          <cell r="V464" t="str">
            <v>09/10/2023</v>
          </cell>
          <cell r="W464" t="str">
            <v>2023/09</v>
          </cell>
          <cell r="X464" t="str">
            <v>33 KV</v>
          </cell>
          <cell r="Y464" t="str">
            <v>HT</v>
          </cell>
          <cell r="Z464">
            <v>384.48</v>
          </cell>
          <cell r="AA464">
            <v>0.99509999999999998</v>
          </cell>
          <cell r="AB464">
            <v>57.7</v>
          </cell>
          <cell r="AC464" t="str">
            <v xml:space="preserve">01/09/2023 -     </v>
          </cell>
          <cell r="AD464" t="str">
            <v>30.09.2023</v>
          </cell>
          <cell r="AE464" t="str">
            <v>30/1.0000</v>
          </cell>
          <cell r="AF464">
            <v>475</v>
          </cell>
          <cell r="AG464" t="str">
            <v>KVA</v>
          </cell>
          <cell r="AH464">
            <v>475</v>
          </cell>
          <cell r="AI464" t="str">
            <v>R</v>
          </cell>
          <cell r="AJ464">
            <v>2427706.1</v>
          </cell>
          <cell r="AK464" t="str">
            <v>30/09/2023</v>
          </cell>
          <cell r="AL464" t="str">
            <v>NSC94606</v>
          </cell>
          <cell r="AM464" t="str">
            <v>THREE PHASE HT CT METER-33KV</v>
          </cell>
          <cell r="AN464" t="str">
            <v>POST PAID</v>
          </cell>
          <cell r="AO464">
            <v>750</v>
          </cell>
          <cell r="AP464" t="str">
            <v>TOD</v>
          </cell>
          <cell r="AQ464">
            <v>-519636.04</v>
          </cell>
          <cell r="AR464">
            <v>0</v>
          </cell>
          <cell r="AS464">
            <v>0</v>
          </cell>
          <cell r="AT464">
            <v>0</v>
          </cell>
          <cell r="AU464">
            <v>0</v>
          </cell>
          <cell r="AV464">
            <v>0</v>
          </cell>
          <cell r="AW464">
            <v>158952</v>
          </cell>
          <cell r="AX464">
            <v>159732</v>
          </cell>
          <cell r="AY464">
            <v>159732</v>
          </cell>
          <cell r="AZ464">
            <v>2740.32</v>
          </cell>
          <cell r="BA464">
            <v>384.48</v>
          </cell>
        </row>
        <row r="465">
          <cell r="F465">
            <v>611000000053</v>
          </cell>
          <cell r="G465" t="str">
            <v>M/S RAMKY ENVIRO ENGINEERS LTD.</v>
          </cell>
          <cell r="H465" t="str">
            <v>PURUNAPANI,SUKINDAJAJPUR ROAD</v>
          </cell>
          <cell r="I465" t="str">
            <v>10/31/2020 00:00:00</v>
          </cell>
          <cell r="J465">
            <v>1</v>
          </cell>
          <cell r="K465" t="str">
            <v xml:space="preserve"> </v>
          </cell>
          <cell r="L465" t="str">
            <v xml:space="preserve"> </v>
          </cell>
          <cell r="M465" t="str">
            <v>611000010231493605</v>
          </cell>
          <cell r="N465" t="str">
            <v>6110000049</v>
          </cell>
          <cell r="O465" t="str">
            <v>L-2649</v>
          </cell>
          <cell r="P465" t="str">
            <v>46187417001</v>
          </cell>
          <cell r="Q465" t="str">
            <v>GENERAL PURPOSE &gt;= 110 KVA</v>
          </cell>
          <cell r="R465" t="str">
            <v>HT</v>
          </cell>
          <cell r="S465" t="str">
            <v>01/10/2023</v>
          </cell>
          <cell r="T465" t="str">
            <v>01/10/2023</v>
          </cell>
          <cell r="U465" t="str">
            <v>06/10/2023</v>
          </cell>
          <cell r="V465" t="str">
            <v>09/10/2023</v>
          </cell>
          <cell r="W465" t="str">
            <v>2023/09</v>
          </cell>
          <cell r="X465" t="str">
            <v>33 KV</v>
          </cell>
          <cell r="Y465" t="str">
            <v>HT</v>
          </cell>
          <cell r="Z465">
            <v>240</v>
          </cell>
          <cell r="AA465">
            <v>0.9899</v>
          </cell>
          <cell r="AB465">
            <v>17.36</v>
          </cell>
          <cell r="AC465" t="str">
            <v xml:space="preserve">01/09/2023 -     </v>
          </cell>
          <cell r="AD465" t="str">
            <v>30.09.2023</v>
          </cell>
          <cell r="AE465" t="str">
            <v>30/1.0000</v>
          </cell>
          <cell r="AF465">
            <v>300</v>
          </cell>
          <cell r="AG465" t="str">
            <v>KVA</v>
          </cell>
          <cell r="AH465">
            <v>300</v>
          </cell>
          <cell r="AI465" t="str">
            <v>R</v>
          </cell>
          <cell r="AJ465">
            <v>1364044</v>
          </cell>
          <cell r="AK465" t="str">
            <v>30/09/2023</v>
          </cell>
          <cell r="AL465" t="str">
            <v>NES51972</v>
          </cell>
          <cell r="AM465" t="str">
            <v>THREE PHASE HT CT METER-33KV</v>
          </cell>
          <cell r="AN465" t="str">
            <v>POST PAID</v>
          </cell>
          <cell r="AO465">
            <v>750</v>
          </cell>
          <cell r="AP465" t="str">
            <v>TOD</v>
          </cell>
          <cell r="AQ465">
            <v>-1142628.3999999999</v>
          </cell>
          <cell r="AR465">
            <v>0</v>
          </cell>
          <cell r="AS465">
            <v>0</v>
          </cell>
          <cell r="AT465">
            <v>0</v>
          </cell>
          <cell r="AU465">
            <v>0</v>
          </cell>
          <cell r="AV465">
            <v>0</v>
          </cell>
          <cell r="AW465">
            <v>11820</v>
          </cell>
          <cell r="AX465">
            <v>11940</v>
          </cell>
          <cell r="AY465">
            <v>11940</v>
          </cell>
          <cell r="AZ465">
            <v>919.68</v>
          </cell>
          <cell r="BA465">
            <v>95.52000000000001</v>
          </cell>
        </row>
        <row r="466">
          <cell r="F466">
            <v>611000000055</v>
          </cell>
          <cell r="G466" t="str">
            <v>SENIOR DIVISIONAL ENGINEER (G)</v>
          </cell>
          <cell r="H466" t="str">
            <v>EAST COAST RAILWAY KHURDA ROAD</v>
          </cell>
          <cell r="I466" t="str">
            <v>10/31/2020 00:00:00</v>
          </cell>
          <cell r="J466">
            <v>1</v>
          </cell>
          <cell r="K466" t="str">
            <v xml:space="preserve"> </v>
          </cell>
          <cell r="L466" t="str">
            <v xml:space="preserve"> </v>
          </cell>
          <cell r="M466" t="str">
            <v>611000010231493954</v>
          </cell>
          <cell r="N466" t="str">
            <v>6110000051</v>
          </cell>
          <cell r="O466" t="str">
            <v>RAILWAY-1</v>
          </cell>
          <cell r="P466" t="str">
            <v>461111203</v>
          </cell>
          <cell r="Q466" t="str">
            <v>GENERAL PURPOSE &gt;= 110 KVA</v>
          </cell>
          <cell r="R466" t="str">
            <v>HT</v>
          </cell>
          <cell r="S466" t="str">
            <v>01/10/2023</v>
          </cell>
          <cell r="T466" t="str">
            <v>01/10/2023</v>
          </cell>
          <cell r="U466" t="str">
            <v>06/10/2023</v>
          </cell>
          <cell r="V466" t="str">
            <v>09/10/2023</v>
          </cell>
          <cell r="W466" t="str">
            <v>2023/09</v>
          </cell>
          <cell r="X466" t="str">
            <v>11 KV</v>
          </cell>
          <cell r="Y466" t="str">
            <v>HT</v>
          </cell>
          <cell r="Z466">
            <v>123.28</v>
          </cell>
          <cell r="AA466">
            <v>0.94610000000000005</v>
          </cell>
          <cell r="AB466">
            <v>59.72</v>
          </cell>
          <cell r="AC466" t="str">
            <v xml:space="preserve">01/09/2023 -     </v>
          </cell>
          <cell r="AD466" t="str">
            <v>30.09.2023</v>
          </cell>
          <cell r="AE466" t="str">
            <v>30/1.0000</v>
          </cell>
          <cell r="AF466">
            <v>150</v>
          </cell>
          <cell r="AG466" t="str">
            <v>KVA</v>
          </cell>
          <cell r="AH466">
            <v>150</v>
          </cell>
          <cell r="AI466" t="str">
            <v>R</v>
          </cell>
          <cell r="AJ466">
            <v>573708.35</v>
          </cell>
          <cell r="AK466" t="str">
            <v>30/09/2023</v>
          </cell>
          <cell r="AL466" t="str">
            <v>NSC94650</v>
          </cell>
          <cell r="AM466" t="str">
            <v>TRI-VECTOR METER FOR RAILWAY TRACTION</v>
          </cell>
          <cell r="AN466" t="str">
            <v>POST PAID</v>
          </cell>
          <cell r="AO466">
            <v>250</v>
          </cell>
          <cell r="AP466" t="str">
            <v>TOD</v>
          </cell>
          <cell r="AQ466">
            <v>27505.29</v>
          </cell>
          <cell r="AR466">
            <v>0</v>
          </cell>
          <cell r="AS466">
            <v>0</v>
          </cell>
          <cell r="AT466">
            <v>0</v>
          </cell>
          <cell r="AU466">
            <v>0</v>
          </cell>
          <cell r="AV466">
            <v>0</v>
          </cell>
          <cell r="AW466">
            <v>50159</v>
          </cell>
          <cell r="AX466">
            <v>53011</v>
          </cell>
          <cell r="AY466">
            <v>53011</v>
          </cell>
          <cell r="AZ466">
            <v>890.88</v>
          </cell>
          <cell r="BA466">
            <v>123.27999999999999</v>
          </cell>
        </row>
        <row r="467">
          <cell r="F467">
            <v>611000000056</v>
          </cell>
          <cell r="G467" t="str">
            <v>M/S MISRILAL MINES PVT.LTD</v>
          </cell>
          <cell r="H467" t="str">
            <v>Unit- Ferro Alloys Division</v>
          </cell>
          <cell r="I467" t="str">
            <v>10/31/2020 00:00:00</v>
          </cell>
          <cell r="J467">
            <v>1</v>
          </cell>
          <cell r="K467" t="str">
            <v>Jajpur</v>
          </cell>
          <cell r="L467" t="str">
            <v>Pincode- 755026</v>
          </cell>
          <cell r="M467" t="str">
            <v>611000010231495259</v>
          </cell>
          <cell r="N467" t="str">
            <v>6110000052</v>
          </cell>
          <cell r="O467" t="str">
            <v xml:space="preserve"> </v>
          </cell>
          <cell r="P467" t="str">
            <v>NULL</v>
          </cell>
          <cell r="Q467" t="str">
            <v>LARGE INDUSTRY</v>
          </cell>
          <cell r="R467" t="str">
            <v>EHT</v>
          </cell>
          <cell r="S467" t="str">
            <v>01/10/2023</v>
          </cell>
          <cell r="T467" t="str">
            <v>01/10/2023</v>
          </cell>
          <cell r="U467" t="str">
            <v>06/10/2023</v>
          </cell>
          <cell r="V467" t="str">
            <v>09/10/2023</v>
          </cell>
          <cell r="W467" t="str">
            <v>2023/09</v>
          </cell>
          <cell r="X467" t="str">
            <v>132 KV</v>
          </cell>
          <cell r="Y467" t="str">
            <v>HT</v>
          </cell>
          <cell r="Z467">
            <v>14184</v>
          </cell>
          <cell r="AA467">
            <v>0.99970000000000003</v>
          </cell>
          <cell r="AB467">
            <v>91.27</v>
          </cell>
          <cell r="AC467" t="str">
            <v xml:space="preserve">01/09/2023 -     </v>
          </cell>
          <cell r="AD467" t="str">
            <v>30.09.2023</v>
          </cell>
          <cell r="AE467" t="str">
            <v>30/1.0000</v>
          </cell>
          <cell r="AF467">
            <v>16000</v>
          </cell>
          <cell r="AG467" t="str">
            <v>KVA</v>
          </cell>
          <cell r="AH467">
            <v>16000</v>
          </cell>
          <cell r="AI467" t="str">
            <v>R</v>
          </cell>
          <cell r="AJ467">
            <v>97408000</v>
          </cell>
          <cell r="AK467" t="str">
            <v>30/09/2023</v>
          </cell>
          <cell r="AL467" t="str">
            <v>TPN64915</v>
          </cell>
          <cell r="AM467" t="str">
            <v>THREE PHASE HT CT METER-33KV</v>
          </cell>
          <cell r="AN467" t="str">
            <v>POST PAID</v>
          </cell>
          <cell r="AO467">
            <v>20000</v>
          </cell>
          <cell r="AP467" t="str">
            <v>TOD</v>
          </cell>
          <cell r="AQ467">
            <v>-3528398.66</v>
          </cell>
          <cell r="AR467">
            <v>0</v>
          </cell>
          <cell r="AS467">
            <v>0</v>
          </cell>
          <cell r="AT467">
            <v>0</v>
          </cell>
          <cell r="AU467">
            <v>-115077.6</v>
          </cell>
          <cell r="AV467">
            <v>0</v>
          </cell>
          <cell r="AW467">
            <v>9318780</v>
          </cell>
          <cell r="AX467">
            <v>9320760</v>
          </cell>
          <cell r="AY467">
            <v>9320760</v>
          </cell>
          <cell r="AZ467">
            <v>39.4</v>
          </cell>
          <cell r="BA467">
            <v>14184</v>
          </cell>
        </row>
        <row r="468">
          <cell r="F468">
            <v>611000000058</v>
          </cell>
          <cell r="G468" t="str">
            <v>M/S S G S  FOOD PRODUCTS (PVT) LTD.</v>
          </cell>
          <cell r="H468" t="str">
            <v>KOARABANDI</v>
          </cell>
          <cell r="I468" t="str">
            <v>10/31/2020 00:00:00</v>
          </cell>
          <cell r="J468">
            <v>1</v>
          </cell>
          <cell r="K468" t="str">
            <v>RAGADI</v>
          </cell>
          <cell r="L468" t="str">
            <v>JAJPUR- 755019</v>
          </cell>
          <cell r="M468" t="str">
            <v>611000010231493016</v>
          </cell>
          <cell r="N468" t="str">
            <v>6110000054</v>
          </cell>
          <cell r="O468" t="str">
            <v>L-2723</v>
          </cell>
          <cell r="P468" t="str">
            <v>461142902</v>
          </cell>
          <cell r="Q468" t="str">
            <v>LARGE INDUSTRY</v>
          </cell>
          <cell r="R468" t="str">
            <v>HT</v>
          </cell>
          <cell r="S468" t="str">
            <v>01/10/2023</v>
          </cell>
          <cell r="T468" t="str">
            <v>01/10/2023</v>
          </cell>
          <cell r="U468" t="str">
            <v>06/10/2023</v>
          </cell>
          <cell r="V468" t="str">
            <v>09/10/2023</v>
          </cell>
          <cell r="W468" t="str">
            <v>2023/09</v>
          </cell>
          <cell r="X468" t="str">
            <v>11 KV</v>
          </cell>
          <cell r="Y468" t="str">
            <v>HT</v>
          </cell>
          <cell r="Z468">
            <v>208.48</v>
          </cell>
          <cell r="AA468">
            <v>0.96819999999999995</v>
          </cell>
          <cell r="AB468">
            <v>33.21</v>
          </cell>
          <cell r="AC468" t="str">
            <v xml:space="preserve">01/09/2023 -     </v>
          </cell>
          <cell r="AD468" t="str">
            <v>30.09.2023</v>
          </cell>
          <cell r="AE468" t="str">
            <v>30/1.0000</v>
          </cell>
          <cell r="AF468">
            <v>255</v>
          </cell>
          <cell r="AG468" t="str">
            <v>KVA</v>
          </cell>
          <cell r="AH468">
            <v>255</v>
          </cell>
          <cell r="AI468" t="str">
            <v>R</v>
          </cell>
          <cell r="AJ468">
            <v>1235547</v>
          </cell>
          <cell r="AK468" t="str">
            <v>30/09/2023</v>
          </cell>
          <cell r="AL468" t="str">
            <v>NES50125</v>
          </cell>
          <cell r="AM468" t="str">
            <v>TRI-VECTOR METER FOR RAILWAY TRACTION</v>
          </cell>
          <cell r="AN468" t="str">
            <v>POST PAID</v>
          </cell>
          <cell r="AO468">
            <v>315</v>
          </cell>
          <cell r="AP468" t="str">
            <v>TOD</v>
          </cell>
          <cell r="AQ468">
            <v>-508448.5</v>
          </cell>
          <cell r="AR468">
            <v>0</v>
          </cell>
          <cell r="AS468">
            <v>0</v>
          </cell>
          <cell r="AT468">
            <v>0</v>
          </cell>
          <cell r="AU468">
            <v>0</v>
          </cell>
          <cell r="AV468">
            <v>0</v>
          </cell>
          <cell r="AW468">
            <v>48266</v>
          </cell>
          <cell r="AX468">
            <v>49848</v>
          </cell>
          <cell r="AY468">
            <v>49848</v>
          </cell>
          <cell r="AZ468">
            <v>1680</v>
          </cell>
          <cell r="BA468">
            <v>208.48</v>
          </cell>
        </row>
        <row r="469">
          <cell r="F469">
            <v>611000000059</v>
          </cell>
          <cell r="G469" t="str">
            <v>M/S HOTEL VENEGIA  P. LTD.</v>
          </cell>
          <cell r="H469" t="str">
            <v>JAJPUR ROAD,JAJPUR ROAD</v>
          </cell>
          <cell r="I469" t="str">
            <v>10/31/2020 00:00:00</v>
          </cell>
          <cell r="J469">
            <v>1</v>
          </cell>
          <cell r="K469" t="str">
            <v xml:space="preserve"> </v>
          </cell>
          <cell r="L469" t="str">
            <v xml:space="preserve"> </v>
          </cell>
          <cell r="M469" t="str">
            <v>611000010231494057</v>
          </cell>
          <cell r="N469" t="str">
            <v>6110000055</v>
          </cell>
          <cell r="O469" t="str">
            <v>L-2748</v>
          </cell>
          <cell r="P469" t="str">
            <v>461111203</v>
          </cell>
          <cell r="Q469" t="str">
            <v>GENERAL PURPOSE &gt;= 110 KVA</v>
          </cell>
          <cell r="R469" t="str">
            <v>HT</v>
          </cell>
          <cell r="S469" t="str">
            <v>01/10/2023</v>
          </cell>
          <cell r="T469" t="str">
            <v>01/10/2023</v>
          </cell>
          <cell r="U469" t="str">
            <v>06/10/2023</v>
          </cell>
          <cell r="V469" t="str">
            <v>09/10/2023</v>
          </cell>
          <cell r="W469" t="str">
            <v>2023/09</v>
          </cell>
          <cell r="X469" t="str">
            <v>11 KV</v>
          </cell>
          <cell r="Y469" t="str">
            <v>HT</v>
          </cell>
          <cell r="Z469">
            <v>311.2</v>
          </cell>
          <cell r="AA469">
            <v>0.82220000000000004</v>
          </cell>
          <cell r="AB469">
            <v>42.73</v>
          </cell>
          <cell r="AC469" t="str">
            <v xml:space="preserve">01/09/2023 -     </v>
          </cell>
          <cell r="AD469" t="str">
            <v>30.09.2023</v>
          </cell>
          <cell r="AE469" t="str">
            <v>30/1.0000</v>
          </cell>
          <cell r="AF469">
            <v>389</v>
          </cell>
          <cell r="AG469" t="str">
            <v>KVA</v>
          </cell>
          <cell r="AH469">
            <v>389</v>
          </cell>
          <cell r="AI469" t="str">
            <v>R</v>
          </cell>
          <cell r="AJ469">
            <v>691480</v>
          </cell>
          <cell r="AK469" t="str">
            <v>30/09/2023</v>
          </cell>
          <cell r="AL469" t="str">
            <v>NES83138</v>
          </cell>
          <cell r="AM469" t="str">
            <v>TRI-VECTOR METER FOR RAILWAY TRACTION</v>
          </cell>
          <cell r="AN469" t="str">
            <v>POST PAID</v>
          </cell>
          <cell r="AO469">
            <v>500</v>
          </cell>
          <cell r="AP469" t="str">
            <v>TOD</v>
          </cell>
          <cell r="AQ469">
            <v>-277415.3</v>
          </cell>
          <cell r="AR469">
            <v>0</v>
          </cell>
          <cell r="AS469">
            <v>0</v>
          </cell>
          <cell r="AT469">
            <v>0</v>
          </cell>
          <cell r="AU469">
            <v>0</v>
          </cell>
          <cell r="AV469">
            <v>0</v>
          </cell>
          <cell r="AW469">
            <v>28716</v>
          </cell>
          <cell r="AX469">
            <v>34923</v>
          </cell>
          <cell r="AY469">
            <v>34923</v>
          </cell>
          <cell r="AZ469">
            <v>783.6</v>
          </cell>
          <cell r="BA469">
            <v>113.52000000000001</v>
          </cell>
        </row>
        <row r="470">
          <cell r="F470">
            <v>611000000061</v>
          </cell>
          <cell r="G470" t="str">
            <v>JINDAL STAINLESS LTD.</v>
          </cell>
          <cell r="H470" t="str">
            <v>INTAKEWELL PUMP HOUSE</v>
          </cell>
          <cell r="I470" t="str">
            <v>10/31/2020 00:00:00</v>
          </cell>
          <cell r="J470">
            <v>1</v>
          </cell>
          <cell r="K470" t="str">
            <v>LEFT BANK OF BRAHMANI RIVER</v>
          </cell>
          <cell r="L470" t="str">
            <v xml:space="preserve"> DUBURI</v>
          </cell>
          <cell r="M470" t="str">
            <v>611000010231493755</v>
          </cell>
          <cell r="N470" t="str">
            <v>6110000058</v>
          </cell>
          <cell r="O470" t="str">
            <v>L-2811</v>
          </cell>
          <cell r="P470" t="str">
            <v>46187417002</v>
          </cell>
          <cell r="Q470" t="str">
            <v>LARGE INDUSTRY</v>
          </cell>
          <cell r="R470" t="str">
            <v>HT</v>
          </cell>
          <cell r="S470" t="str">
            <v>01/10/2023</v>
          </cell>
          <cell r="T470" t="str">
            <v>01/10/2023</v>
          </cell>
          <cell r="U470" t="str">
            <v>06/10/2023</v>
          </cell>
          <cell r="V470" t="str">
            <v>09/10/2023</v>
          </cell>
          <cell r="W470" t="str">
            <v>2023/09</v>
          </cell>
          <cell r="X470" t="str">
            <v>33 KV</v>
          </cell>
          <cell r="Y470" t="str">
            <v>HT</v>
          </cell>
          <cell r="Z470">
            <v>1400</v>
          </cell>
          <cell r="AA470">
            <v>0.99890000000000001</v>
          </cell>
          <cell r="AB470">
            <v>29.53</v>
          </cell>
          <cell r="AC470" t="str">
            <v xml:space="preserve">01/09/2023 -     </v>
          </cell>
          <cell r="AD470" t="str">
            <v>30.09.2023</v>
          </cell>
          <cell r="AE470" t="str">
            <v>30/1.0000</v>
          </cell>
          <cell r="AF470">
            <v>1750</v>
          </cell>
          <cell r="AG470" t="str">
            <v>KVA</v>
          </cell>
          <cell r="AH470">
            <v>1750</v>
          </cell>
          <cell r="AI470" t="str">
            <v>R</v>
          </cell>
          <cell r="AJ470">
            <v>4464857.76</v>
          </cell>
          <cell r="AK470" t="str">
            <v>30/09/2023</v>
          </cell>
          <cell r="AL470" t="str">
            <v>TPN64712</v>
          </cell>
          <cell r="AM470" t="str">
            <v>THREE PHASE HT CT METER-33KV</v>
          </cell>
          <cell r="AN470" t="str">
            <v>POST PAID</v>
          </cell>
          <cell r="AO470">
            <v>15000</v>
          </cell>
          <cell r="AP470" t="str">
            <v>TOD</v>
          </cell>
          <cell r="AQ470">
            <v>-6156822.2400000002</v>
          </cell>
          <cell r="AR470">
            <v>0</v>
          </cell>
          <cell r="AS470">
            <v>0</v>
          </cell>
          <cell r="AT470">
            <v>0</v>
          </cell>
          <cell r="AU470">
            <v>0</v>
          </cell>
          <cell r="AV470">
            <v>0</v>
          </cell>
          <cell r="AW470">
            <v>267600</v>
          </cell>
          <cell r="AX470">
            <v>267870</v>
          </cell>
          <cell r="AY470">
            <v>267870</v>
          </cell>
          <cell r="AZ470">
            <v>8884.7999999999993</v>
          </cell>
          <cell r="BA470">
            <v>1260</v>
          </cell>
        </row>
        <row r="471">
          <cell r="F471">
            <v>611000000063</v>
          </cell>
          <cell r="G471" t="str">
            <v>M/S PRADHAN INDUSTRY</v>
          </cell>
          <cell r="H471" t="str">
            <v>SANAPATULI DALA,JAJPUR</v>
          </cell>
          <cell r="I471" t="str">
            <v>10/31/2020 00:00:00</v>
          </cell>
          <cell r="J471">
            <v>1</v>
          </cell>
          <cell r="K471" t="str">
            <v xml:space="preserve"> </v>
          </cell>
          <cell r="L471" t="str">
            <v xml:space="preserve"> </v>
          </cell>
          <cell r="M471" t="str">
            <v>611000010231494909</v>
          </cell>
          <cell r="N471" t="str">
            <v>6110000060</v>
          </cell>
          <cell r="O471" t="str">
            <v>L-1400</v>
          </cell>
          <cell r="P471" t="str">
            <v>NULL</v>
          </cell>
          <cell r="Q471" t="str">
            <v>LARGE INDUSTRY</v>
          </cell>
          <cell r="R471" t="str">
            <v>HT</v>
          </cell>
          <cell r="S471" t="str">
            <v>01/10/2023</v>
          </cell>
          <cell r="T471" t="str">
            <v>01/10/2023</v>
          </cell>
          <cell r="U471" t="str">
            <v>06/10/2023</v>
          </cell>
          <cell r="V471" t="str">
            <v>09/10/2023</v>
          </cell>
          <cell r="W471" t="str">
            <v>2023/09</v>
          </cell>
          <cell r="X471" t="str">
            <v>11 KV</v>
          </cell>
          <cell r="Y471" t="str">
            <v>HT</v>
          </cell>
          <cell r="Z471">
            <v>120.96</v>
          </cell>
          <cell r="AA471">
            <v>0.61629999999999996</v>
          </cell>
          <cell r="AB471">
            <v>15.93</v>
          </cell>
          <cell r="AC471" t="str">
            <v xml:space="preserve">01/09/2023 -     </v>
          </cell>
          <cell r="AD471" t="str">
            <v>30.09.2023</v>
          </cell>
          <cell r="AE471" t="str">
            <v>30/1.0000</v>
          </cell>
          <cell r="AF471">
            <v>151.19999999999999</v>
          </cell>
          <cell r="AG471" t="str">
            <v>KVA</v>
          </cell>
          <cell r="AH471">
            <v>151.19999999999999</v>
          </cell>
          <cell r="AI471" t="str">
            <v>R</v>
          </cell>
          <cell r="AJ471">
            <v>0</v>
          </cell>
          <cell r="AK471" t="str">
            <v>30/09/2023</v>
          </cell>
          <cell r="AL471" t="str">
            <v>NSC94614</v>
          </cell>
          <cell r="AM471" t="str">
            <v>LT SINGLE PHASE AMR/AMI COMPLIANT METER-TOD</v>
          </cell>
          <cell r="AN471" t="str">
            <v>POST PAID</v>
          </cell>
          <cell r="AO471">
            <v>200</v>
          </cell>
          <cell r="AP471" t="str">
            <v>TOD</v>
          </cell>
          <cell r="AQ471">
            <v>-12703.24</v>
          </cell>
          <cell r="AR471">
            <v>0</v>
          </cell>
          <cell r="AS471">
            <v>0</v>
          </cell>
          <cell r="AT471">
            <v>0</v>
          </cell>
          <cell r="AU471">
            <v>0</v>
          </cell>
          <cell r="AV471">
            <v>0</v>
          </cell>
          <cell r="AW471">
            <v>4417</v>
          </cell>
          <cell r="AX471">
            <v>7166</v>
          </cell>
          <cell r="AY471">
            <v>7166</v>
          </cell>
          <cell r="AZ471">
            <v>318.95999999999998</v>
          </cell>
          <cell r="BA471">
            <v>62.480000000000004</v>
          </cell>
        </row>
        <row r="472">
          <cell r="F472">
            <v>611000000064</v>
          </cell>
          <cell r="G472" t="str">
            <v>M/S ADITYA AUTO CARE</v>
          </cell>
          <cell r="H472" t="str">
            <v>C/O- ADITYA PATRA,MIRZAAPURPANIKOILI</v>
          </cell>
          <cell r="I472" t="str">
            <v>10/31/2020 00:00:00</v>
          </cell>
          <cell r="J472">
            <v>1</v>
          </cell>
          <cell r="K472" t="str">
            <v xml:space="preserve"> </v>
          </cell>
          <cell r="L472" t="str">
            <v xml:space="preserve"> </v>
          </cell>
          <cell r="M472" t="str">
            <v>611000010231493736</v>
          </cell>
          <cell r="N472" t="str">
            <v>6110000061</v>
          </cell>
          <cell r="O472" t="str">
            <v>L-2857</v>
          </cell>
          <cell r="P472" t="str">
            <v>461141101</v>
          </cell>
          <cell r="Q472" t="str">
            <v>LARGE INDUSTRY</v>
          </cell>
          <cell r="R472" t="str">
            <v>HT</v>
          </cell>
          <cell r="S472" t="str">
            <v>01/10/2023</v>
          </cell>
          <cell r="T472" t="str">
            <v>01/10/2023</v>
          </cell>
          <cell r="U472" t="str">
            <v>06/10/2023</v>
          </cell>
          <cell r="V472" t="str">
            <v>09/10/2023</v>
          </cell>
          <cell r="W472" t="str">
            <v>2023/09</v>
          </cell>
          <cell r="X472" t="str">
            <v>11 KV</v>
          </cell>
          <cell r="Y472" t="str">
            <v>HT</v>
          </cell>
          <cell r="Z472">
            <v>97.6</v>
          </cell>
          <cell r="AA472">
            <v>0.94410000000000005</v>
          </cell>
          <cell r="AB472">
            <v>23.26</v>
          </cell>
          <cell r="AC472" t="str">
            <v xml:space="preserve">01/09/2023 -     </v>
          </cell>
          <cell r="AD472" t="str">
            <v>30.09.2023</v>
          </cell>
          <cell r="AE472" t="str">
            <v>30/1.0000</v>
          </cell>
          <cell r="AF472">
            <v>122</v>
          </cell>
          <cell r="AG472" t="str">
            <v>KVA</v>
          </cell>
          <cell r="AH472">
            <v>122</v>
          </cell>
          <cell r="AI472" t="str">
            <v>R</v>
          </cell>
          <cell r="AJ472">
            <v>195580</v>
          </cell>
          <cell r="AK472" t="str">
            <v>30/09/2023</v>
          </cell>
          <cell r="AL472" t="str">
            <v>NSC94850</v>
          </cell>
          <cell r="AM472" t="str">
            <v>TRI-VECTOR METER FOR RAILWAY TRACTION</v>
          </cell>
          <cell r="AN472" t="str">
            <v>POST PAID</v>
          </cell>
          <cell r="AO472">
            <v>150</v>
          </cell>
          <cell r="AP472" t="str">
            <v>TOD</v>
          </cell>
          <cell r="AQ472">
            <v>-75398.3</v>
          </cell>
          <cell r="AR472">
            <v>0</v>
          </cell>
          <cell r="AS472">
            <v>0</v>
          </cell>
          <cell r="AT472">
            <v>0</v>
          </cell>
          <cell r="AU472">
            <v>0</v>
          </cell>
          <cell r="AV472">
            <v>0</v>
          </cell>
          <cell r="AW472">
            <v>10221</v>
          </cell>
          <cell r="AX472">
            <v>10826</v>
          </cell>
          <cell r="AY472">
            <v>10826</v>
          </cell>
          <cell r="AZ472">
            <v>465.76</v>
          </cell>
          <cell r="BA472">
            <v>64.64</v>
          </cell>
        </row>
        <row r="473">
          <cell r="F473">
            <v>611000000065</v>
          </cell>
          <cell r="G473" t="str">
            <v>PRINCIPAL JAWAHAR NAVODAYA BIDYALAY</v>
          </cell>
          <cell r="H473" t="str">
            <v>PATHARPADA,PANIKOILI</v>
          </cell>
          <cell r="I473" t="str">
            <v>10/31/2020 00:00:00</v>
          </cell>
          <cell r="J473">
            <v>1</v>
          </cell>
          <cell r="K473" t="str">
            <v xml:space="preserve"> </v>
          </cell>
          <cell r="L473" t="str">
            <v xml:space="preserve"> </v>
          </cell>
          <cell r="M473" t="str">
            <v>611000010231495123</v>
          </cell>
          <cell r="N473" t="str">
            <v>6110000062</v>
          </cell>
          <cell r="O473" t="str">
            <v>L-2869</v>
          </cell>
          <cell r="P473" t="str">
            <v>461141104</v>
          </cell>
          <cell r="Q473" t="str">
            <v>SPECIFIED PUBLIC PURPOSE</v>
          </cell>
          <cell r="R473" t="str">
            <v>HT</v>
          </cell>
          <cell r="S473" t="str">
            <v>01/10/2023</v>
          </cell>
          <cell r="T473" t="str">
            <v>01/10/2023</v>
          </cell>
          <cell r="U473" t="str">
            <v>06/10/2023</v>
          </cell>
          <cell r="V473" t="str">
            <v>09/10/2023</v>
          </cell>
          <cell r="W473" t="str">
            <v>2023/09</v>
          </cell>
          <cell r="X473" t="str">
            <v>11 KV</v>
          </cell>
          <cell r="Y473" t="str">
            <v>HT</v>
          </cell>
          <cell r="Z473">
            <v>204.8</v>
          </cell>
          <cell r="AA473">
            <v>0.96640000000000004</v>
          </cell>
          <cell r="AB473">
            <v>44.96</v>
          </cell>
          <cell r="AC473" t="str">
            <v xml:space="preserve">01/09/2023 -     </v>
          </cell>
          <cell r="AD473" t="str">
            <v>30.09.2023</v>
          </cell>
          <cell r="AE473" t="str">
            <v>30/1.0000</v>
          </cell>
          <cell r="AF473">
            <v>256</v>
          </cell>
          <cell r="AG473" t="str">
            <v>KVA</v>
          </cell>
          <cell r="AH473">
            <v>256</v>
          </cell>
          <cell r="AI473" t="str">
            <v>R</v>
          </cell>
          <cell r="AJ473">
            <v>395600</v>
          </cell>
          <cell r="AK473" t="str">
            <v>30/09/2023</v>
          </cell>
          <cell r="AL473" t="str">
            <v>TPNODL38111914</v>
          </cell>
          <cell r="AM473" t="str">
            <v>THREE PHASE SMART HT CT METER (AMR/AMI)-11KV</v>
          </cell>
          <cell r="AN473" t="str">
            <v>SMART METER</v>
          </cell>
          <cell r="AO473">
            <v>315</v>
          </cell>
          <cell r="AP473" t="str">
            <v>TOD</v>
          </cell>
          <cell r="AQ473">
            <v>-138806.79999999999</v>
          </cell>
          <cell r="AR473">
            <v>0</v>
          </cell>
          <cell r="AS473">
            <v>0</v>
          </cell>
          <cell r="AT473">
            <v>0</v>
          </cell>
          <cell r="AU473">
            <v>0</v>
          </cell>
          <cell r="AV473">
            <v>0</v>
          </cell>
          <cell r="AW473">
            <v>26967.200000000001</v>
          </cell>
          <cell r="AX473">
            <v>27903</v>
          </cell>
          <cell r="AY473">
            <v>27903</v>
          </cell>
          <cell r="AZ473">
            <v>0.1724</v>
          </cell>
          <cell r="BA473">
            <v>1.0344</v>
          </cell>
        </row>
        <row r="474">
          <cell r="F474">
            <v>611000000066</v>
          </cell>
          <cell r="G474" t="str">
            <v>BRAHMANI RIVER PELLETS LTD.</v>
          </cell>
          <cell r="H474" t="str">
            <v>AT-KHURUNTI,DANAGADI</v>
          </cell>
          <cell r="I474" t="str">
            <v>10/31/2020 00:00:00</v>
          </cell>
          <cell r="J474">
            <v>1</v>
          </cell>
          <cell r="K474" t="str">
            <v xml:space="preserve"> </v>
          </cell>
          <cell r="L474" t="str">
            <v xml:space="preserve"> </v>
          </cell>
          <cell r="M474" t="str">
            <v>611000010231495264</v>
          </cell>
          <cell r="N474" t="str">
            <v>6110000063</v>
          </cell>
          <cell r="O474" t="str">
            <v>L-2362B</v>
          </cell>
          <cell r="P474" t="str">
            <v>NULL</v>
          </cell>
          <cell r="Q474" t="str">
            <v>LARGE INDUSTRY</v>
          </cell>
          <cell r="R474" t="str">
            <v>EHT</v>
          </cell>
          <cell r="S474" t="str">
            <v>01/10/2023</v>
          </cell>
          <cell r="T474" t="str">
            <v>01/10/2023</v>
          </cell>
          <cell r="U474" t="str">
            <v>06/10/2023</v>
          </cell>
          <cell r="V474" t="str">
            <v>09/10/2023</v>
          </cell>
          <cell r="W474" t="str">
            <v>2023/09</v>
          </cell>
          <cell r="X474" t="str">
            <v>132 KV</v>
          </cell>
          <cell r="Y474" t="str">
            <v>HT</v>
          </cell>
          <cell r="Z474">
            <v>17777.599999999999</v>
          </cell>
          <cell r="AA474">
            <v>0.99860000000000004</v>
          </cell>
          <cell r="AB474">
            <v>84.32</v>
          </cell>
          <cell r="AC474" t="str">
            <v xml:space="preserve">01/09/2023 -     </v>
          </cell>
          <cell r="AD474" t="str">
            <v>30.09.2023</v>
          </cell>
          <cell r="AE474" t="str">
            <v>30/1.0000</v>
          </cell>
          <cell r="AF474">
            <v>22222</v>
          </cell>
          <cell r="AG474" t="str">
            <v>KVA</v>
          </cell>
          <cell r="AH474">
            <v>22222</v>
          </cell>
          <cell r="AI474" t="str">
            <v>R</v>
          </cell>
          <cell r="AJ474">
            <v>115497484</v>
          </cell>
          <cell r="AK474" t="str">
            <v>30/09/2023</v>
          </cell>
          <cell r="AL474" t="str">
            <v>TPN64917</v>
          </cell>
          <cell r="AM474" t="str">
            <v>THREE PHASE HT CT METER-33KV</v>
          </cell>
          <cell r="AN474" t="str">
            <v>POST PAID</v>
          </cell>
          <cell r="AO474">
            <v>31500</v>
          </cell>
          <cell r="AP474" t="str">
            <v>TOD</v>
          </cell>
          <cell r="AQ474">
            <v>1840468.38</v>
          </cell>
          <cell r="AR474">
            <v>0</v>
          </cell>
          <cell r="AS474">
            <v>0</v>
          </cell>
          <cell r="AT474">
            <v>0</v>
          </cell>
          <cell r="AU474">
            <v>-52968</v>
          </cell>
          <cell r="AV474">
            <v>0</v>
          </cell>
          <cell r="AW474">
            <v>10330920</v>
          </cell>
          <cell r="AX474">
            <v>10344720</v>
          </cell>
          <cell r="AY474">
            <v>10344720</v>
          </cell>
          <cell r="AZ474">
            <v>71</v>
          </cell>
          <cell r="BA474">
            <v>17040</v>
          </cell>
        </row>
        <row r="475">
          <cell r="F475">
            <v>611000000068</v>
          </cell>
          <cell r="G475" t="str">
            <v>BHARAT BHUSAN DEO</v>
          </cell>
          <cell r="H475" t="str">
            <v>BARAGADIA DUBURI,</v>
          </cell>
          <cell r="I475" t="str">
            <v>10/31/2020 00:00:00</v>
          </cell>
          <cell r="J475">
            <v>1</v>
          </cell>
          <cell r="K475" t="str">
            <v xml:space="preserve"> </v>
          </cell>
          <cell r="L475" t="str">
            <v xml:space="preserve"> </v>
          </cell>
          <cell r="M475" t="str">
            <v>611000010231493863</v>
          </cell>
          <cell r="N475" t="str">
            <v>6110000065</v>
          </cell>
          <cell r="O475" t="str">
            <v>L-2713</v>
          </cell>
          <cell r="P475" t="str">
            <v>461121201</v>
          </cell>
          <cell r="Q475" t="str">
            <v>GENERAL PURPOSE &gt;= 110 KVA</v>
          </cell>
          <cell r="R475" t="str">
            <v>HT</v>
          </cell>
          <cell r="S475" t="str">
            <v>01/10/2023</v>
          </cell>
          <cell r="T475" t="str">
            <v>01/10/2023</v>
          </cell>
          <cell r="U475" t="str">
            <v>06/10/2023</v>
          </cell>
          <cell r="V475" t="str">
            <v>09/10/2023</v>
          </cell>
          <cell r="W475" t="str">
            <v>2023/09</v>
          </cell>
          <cell r="X475" t="str">
            <v>11 KV</v>
          </cell>
          <cell r="Y475" t="str">
            <v>HT</v>
          </cell>
          <cell r="Z475">
            <v>158.80000000000001</v>
          </cell>
          <cell r="AA475">
            <v>0.91690000000000005</v>
          </cell>
          <cell r="AB475">
            <v>51.5</v>
          </cell>
          <cell r="AC475" t="str">
            <v xml:space="preserve">01/09/2023 -     </v>
          </cell>
          <cell r="AD475" t="str">
            <v>30.09.2023</v>
          </cell>
          <cell r="AE475" t="str">
            <v>30/1.0000</v>
          </cell>
          <cell r="AF475">
            <v>117.2</v>
          </cell>
          <cell r="AG475" t="str">
            <v>KVA</v>
          </cell>
          <cell r="AH475">
            <v>117.2</v>
          </cell>
          <cell r="AI475" t="str">
            <v>R</v>
          </cell>
          <cell r="AJ475">
            <v>526233.84</v>
          </cell>
          <cell r="AK475" t="str">
            <v>30/09/2023</v>
          </cell>
          <cell r="AL475" t="str">
            <v>TPN64035</v>
          </cell>
          <cell r="AM475" t="str">
            <v>HT THREE PHASE 4 WIRE AMR/AMI COMPLAINT METER</v>
          </cell>
          <cell r="AN475" t="str">
            <v>POST PAID</v>
          </cell>
          <cell r="AO475">
            <v>150</v>
          </cell>
          <cell r="AP475" t="str">
            <v>TOD</v>
          </cell>
          <cell r="AQ475">
            <v>-124578.4</v>
          </cell>
          <cell r="AR475">
            <v>0</v>
          </cell>
          <cell r="AS475">
            <v>0</v>
          </cell>
          <cell r="AT475">
            <v>0</v>
          </cell>
          <cell r="AU475">
            <v>0</v>
          </cell>
          <cell r="AV475">
            <v>0</v>
          </cell>
          <cell r="AW475">
            <v>53991</v>
          </cell>
          <cell r="AX475">
            <v>58879</v>
          </cell>
          <cell r="AY475">
            <v>58879</v>
          </cell>
          <cell r="AZ475">
            <v>1444.4</v>
          </cell>
          <cell r="BA475">
            <v>158.80000000000001</v>
          </cell>
        </row>
        <row r="476">
          <cell r="F476">
            <v>611000000069</v>
          </cell>
          <cell r="G476" t="str">
            <v>M/S BRAHMANI RIVER PELLETS</v>
          </cell>
          <cell r="H476" t="str">
            <v>NADIABHANYA,</v>
          </cell>
          <cell r="I476" t="str">
            <v>10/31/2020 00:00:00</v>
          </cell>
          <cell r="J476">
            <v>1</v>
          </cell>
          <cell r="K476" t="str">
            <v xml:space="preserve"> </v>
          </cell>
          <cell r="L476" t="str">
            <v xml:space="preserve"> </v>
          </cell>
          <cell r="M476" t="str">
            <v>611000010231493985</v>
          </cell>
          <cell r="N476" t="str">
            <v>6110000066</v>
          </cell>
          <cell r="O476" t="str">
            <v>L-2720</v>
          </cell>
          <cell r="P476" t="str">
            <v>46187417001</v>
          </cell>
          <cell r="Q476" t="str">
            <v>BULK SUPPLY DOMESTIC</v>
          </cell>
          <cell r="R476" t="str">
            <v>HT</v>
          </cell>
          <cell r="S476" t="str">
            <v>01/10/2023</v>
          </cell>
          <cell r="T476" t="str">
            <v>01/10/2023</v>
          </cell>
          <cell r="U476" t="str">
            <v>09/10/2023</v>
          </cell>
          <cell r="V476" t="str">
            <v>09/10/2023</v>
          </cell>
          <cell r="W476" t="str">
            <v>2023/09</v>
          </cell>
          <cell r="X476" t="str">
            <v>33 KV</v>
          </cell>
          <cell r="Y476" t="str">
            <v>HT</v>
          </cell>
          <cell r="Z476">
            <v>555</v>
          </cell>
          <cell r="AA476">
            <v>0.95209999999999995</v>
          </cell>
          <cell r="AB476">
            <v>0</v>
          </cell>
          <cell r="AC476" t="str">
            <v xml:space="preserve">01/09/2023 -     </v>
          </cell>
          <cell r="AD476" t="str">
            <v>30.09.2023</v>
          </cell>
          <cell r="AE476" t="str">
            <v>30/1.0000</v>
          </cell>
          <cell r="AF476">
            <v>555</v>
          </cell>
          <cell r="AG476" t="str">
            <v>KVA</v>
          </cell>
          <cell r="AH476">
            <v>555</v>
          </cell>
          <cell r="AI476" t="str">
            <v>R</v>
          </cell>
          <cell r="AJ476">
            <v>1290131</v>
          </cell>
          <cell r="AK476" t="str">
            <v>30/09/2023</v>
          </cell>
          <cell r="AL476" t="str">
            <v>NES50948</v>
          </cell>
          <cell r="AM476" t="str">
            <v>THREE PHASE HT CT METER-33KV</v>
          </cell>
          <cell r="AN476" t="str">
            <v>POST PAID</v>
          </cell>
          <cell r="AO476">
            <v>1000</v>
          </cell>
          <cell r="AP476" t="str">
            <v>TOD</v>
          </cell>
          <cell r="AQ476">
            <v>-1218578.2</v>
          </cell>
          <cell r="AR476">
            <v>0</v>
          </cell>
          <cell r="AS476">
            <v>0</v>
          </cell>
          <cell r="AT476">
            <v>0</v>
          </cell>
          <cell r="AU476">
            <v>0</v>
          </cell>
          <cell r="AV476">
            <v>0</v>
          </cell>
          <cell r="AW476">
            <v>0</v>
          </cell>
          <cell r="AX476">
            <v>0</v>
          </cell>
          <cell r="AY476">
            <v>26955</v>
          </cell>
          <cell r="AZ476">
            <v>0</v>
          </cell>
          <cell r="BA476">
            <v>0</v>
          </cell>
        </row>
        <row r="477">
          <cell r="F477">
            <v>611000000070</v>
          </cell>
          <cell r="G477" t="str">
            <v>M/S DAYAL RESEDENCY</v>
          </cell>
          <cell r="H477" t="str">
            <v>KANHEIPUR, CHANDAMA,JAJPUR ROAD</v>
          </cell>
          <cell r="I477" t="str">
            <v>10/31/2020 00:00:00</v>
          </cell>
          <cell r="J477">
            <v>1</v>
          </cell>
          <cell r="K477" t="str">
            <v xml:space="preserve"> </v>
          </cell>
          <cell r="L477" t="str">
            <v xml:space="preserve"> </v>
          </cell>
          <cell r="M477" t="str">
            <v>611000010231494150</v>
          </cell>
          <cell r="N477" t="str">
            <v>6110000067</v>
          </cell>
          <cell r="O477" t="str">
            <v>L-3024</v>
          </cell>
          <cell r="P477" t="str">
            <v>461111201</v>
          </cell>
          <cell r="Q477" t="str">
            <v>GENERAL PURPOSE &gt;= 110 KVA</v>
          </cell>
          <cell r="R477" t="str">
            <v>HT</v>
          </cell>
          <cell r="S477" t="str">
            <v>01/10/2023</v>
          </cell>
          <cell r="T477" t="str">
            <v>01/10/2023</v>
          </cell>
          <cell r="U477" t="str">
            <v>06/10/2023</v>
          </cell>
          <cell r="V477" t="str">
            <v>09/10/2023</v>
          </cell>
          <cell r="W477" t="str">
            <v>2023/09</v>
          </cell>
          <cell r="X477" t="str">
            <v>11 KV</v>
          </cell>
          <cell r="Y477" t="str">
            <v>HT</v>
          </cell>
          <cell r="Z477">
            <v>107.2</v>
          </cell>
          <cell r="AA477">
            <v>0.78979999999999995</v>
          </cell>
          <cell r="AB477">
            <v>54.53</v>
          </cell>
          <cell r="AC477" t="str">
            <v xml:space="preserve">30/08/2023 -     </v>
          </cell>
          <cell r="AD477" t="str">
            <v>30.09.2023</v>
          </cell>
          <cell r="AE477" t="str">
            <v>32/1.0000</v>
          </cell>
          <cell r="AF477">
            <v>134</v>
          </cell>
          <cell r="AG477" t="str">
            <v>KVA</v>
          </cell>
          <cell r="AH477">
            <v>134</v>
          </cell>
          <cell r="AI477" t="str">
            <v>R</v>
          </cell>
          <cell r="AJ477">
            <v>311491</v>
          </cell>
          <cell r="AK477" t="str">
            <v>30/09/2023</v>
          </cell>
          <cell r="AL477" t="str">
            <v>NSC94666</v>
          </cell>
          <cell r="AM477" t="str">
            <v>TRI-VECTOR METER FOR RAILWAY TRACTION</v>
          </cell>
          <cell r="AN477" t="str">
            <v>POST PAID</v>
          </cell>
          <cell r="AO477">
            <v>250</v>
          </cell>
          <cell r="AP477" t="str">
            <v>TOD</v>
          </cell>
          <cell r="AQ477">
            <v>-46085.9</v>
          </cell>
          <cell r="AR477">
            <v>0</v>
          </cell>
          <cell r="AS477">
            <v>0</v>
          </cell>
          <cell r="AT477">
            <v>0</v>
          </cell>
          <cell r="AU477">
            <v>0</v>
          </cell>
          <cell r="AV477">
            <v>0</v>
          </cell>
          <cell r="AW477">
            <v>15031</v>
          </cell>
          <cell r="AX477">
            <v>19029</v>
          </cell>
          <cell r="AY477">
            <v>19029</v>
          </cell>
          <cell r="AZ477">
            <v>383.76</v>
          </cell>
          <cell r="BA477">
            <v>45.440000000000005</v>
          </cell>
        </row>
        <row r="478">
          <cell r="F478">
            <v>611000000075</v>
          </cell>
          <cell r="G478" t="str">
            <v>SENIOR DIVISIONAL ELECTRICAL  DIVIS</v>
          </cell>
          <cell r="H478" t="str">
            <v>EAST COAST RAILWAY, KHURDA ROAD</v>
          </cell>
          <cell r="I478" t="str">
            <v>10/31/2020 00:00:00</v>
          </cell>
          <cell r="J478">
            <v>1</v>
          </cell>
          <cell r="K478" t="str">
            <v>AT/PO: Jatni, Dist: Khordha, Odisha-752050</v>
          </cell>
          <cell r="L478" t="str">
            <v>AT: TOMKA, PO:DANKARISAHI, DIST: JAJPUR,    ODISHA</v>
          </cell>
          <cell r="M478" t="str">
            <v>611000010231495268</v>
          </cell>
          <cell r="N478" t="str">
            <v>6110000072</v>
          </cell>
          <cell r="O478" t="str">
            <v xml:space="preserve"> </v>
          </cell>
          <cell r="P478" t="str">
            <v>NULL</v>
          </cell>
          <cell r="Q478" t="str">
            <v>RAILWAY TRACTION</v>
          </cell>
          <cell r="R478" t="str">
            <v>EHT</v>
          </cell>
          <cell r="S478" t="str">
            <v>01/10/2023</v>
          </cell>
          <cell r="T478" t="str">
            <v>01/10/2023</v>
          </cell>
          <cell r="U478" t="str">
            <v>06/10/2023</v>
          </cell>
          <cell r="V478" t="str">
            <v>09/10/2023</v>
          </cell>
          <cell r="W478" t="str">
            <v>2023/09</v>
          </cell>
          <cell r="X478" t="str">
            <v>132 KV</v>
          </cell>
          <cell r="Y478" t="str">
            <v>HT</v>
          </cell>
          <cell r="Z478">
            <v>14640</v>
          </cell>
          <cell r="AA478">
            <v>0.99070000000000003</v>
          </cell>
          <cell r="AB478">
            <v>24.28</v>
          </cell>
          <cell r="AC478" t="str">
            <v xml:space="preserve">01/09/2023 -     </v>
          </cell>
          <cell r="AD478" t="str">
            <v>30.09.2023</v>
          </cell>
          <cell r="AE478" t="str">
            <v>30/1.0000</v>
          </cell>
          <cell r="AF478">
            <v>17500</v>
          </cell>
          <cell r="AG478" t="str">
            <v>KVA</v>
          </cell>
          <cell r="AH478">
            <v>17500</v>
          </cell>
          <cell r="AI478" t="str">
            <v>R</v>
          </cell>
          <cell r="AJ478">
            <v>37392034.659999996</v>
          </cell>
          <cell r="AK478" t="str">
            <v>30/09/2023</v>
          </cell>
          <cell r="AL478" t="str">
            <v>NSC92459</v>
          </cell>
          <cell r="AM478" t="str">
            <v>TRI-VECTOR METER FOR RAILWAY TRACTION</v>
          </cell>
          <cell r="AN478" t="str">
            <v>POST PAID</v>
          </cell>
          <cell r="AO478">
            <v>0</v>
          </cell>
          <cell r="AP478" t="str">
            <v>TOD</v>
          </cell>
          <cell r="AQ478">
            <v>-32869.47</v>
          </cell>
          <cell r="AR478">
            <v>0</v>
          </cell>
          <cell r="AS478">
            <v>0</v>
          </cell>
          <cell r="AT478">
            <v>0</v>
          </cell>
          <cell r="AU478">
            <v>0</v>
          </cell>
          <cell r="AV478">
            <v>0</v>
          </cell>
          <cell r="AW478">
            <v>2535120</v>
          </cell>
          <cell r="AX478">
            <v>2558880</v>
          </cell>
          <cell r="AY478">
            <v>2558880</v>
          </cell>
          <cell r="AZ478">
            <v>61</v>
          </cell>
          <cell r="BA478">
            <v>14640</v>
          </cell>
        </row>
        <row r="479">
          <cell r="F479">
            <v>611000000078</v>
          </cell>
          <cell r="G479" t="str">
            <v>M/S TATA STEEL LTD</v>
          </cell>
          <cell r="H479" t="str">
            <v>KALINGANAGAR INDUSTRIAL COMPLEX</v>
          </cell>
          <cell r="I479" t="str">
            <v>10/31/2020 00:00:00</v>
          </cell>
          <cell r="J479">
            <v>1</v>
          </cell>
          <cell r="K479" t="str">
            <v xml:space="preserve"> </v>
          </cell>
          <cell r="L479" t="str">
            <v xml:space="preserve"> </v>
          </cell>
          <cell r="M479" t="str">
            <v>611000010232515861</v>
          </cell>
          <cell r="N479" t="str">
            <v>6110000075</v>
          </cell>
          <cell r="O479" t="str">
            <v>L-3347</v>
          </cell>
          <cell r="P479" t="str">
            <v>NULL</v>
          </cell>
          <cell r="Q479" t="str">
            <v>LARGE INDUSTRY</v>
          </cell>
          <cell r="R479" t="str">
            <v>EHT</v>
          </cell>
          <cell r="S479" t="str">
            <v>04/10/2023</v>
          </cell>
          <cell r="T479" t="str">
            <v>04/10/2023</v>
          </cell>
          <cell r="U479" t="str">
            <v>07/10/2023</v>
          </cell>
          <cell r="V479" t="str">
            <v>11/10/2023</v>
          </cell>
          <cell r="W479" t="str">
            <v>2023/09</v>
          </cell>
          <cell r="X479" t="str">
            <v>400 KV</v>
          </cell>
          <cell r="Y479" t="str">
            <v>HT</v>
          </cell>
          <cell r="Z479">
            <v>110644.8</v>
          </cell>
          <cell r="AA479">
            <v>1</v>
          </cell>
          <cell r="AB479">
            <v>34.14</v>
          </cell>
          <cell r="AC479" t="str">
            <v xml:space="preserve">01/09/2023 -     </v>
          </cell>
          <cell r="AD479" t="str">
            <v>30.09.2023</v>
          </cell>
          <cell r="AE479" t="str">
            <v>30/1.0000</v>
          </cell>
          <cell r="AF479">
            <v>110000</v>
          </cell>
          <cell r="AG479" t="str">
            <v>KVA</v>
          </cell>
          <cell r="AH479">
            <v>110000</v>
          </cell>
          <cell r="AI479" t="str">
            <v>R</v>
          </cell>
          <cell r="AJ479">
            <v>752743273</v>
          </cell>
          <cell r="AK479" t="str">
            <v>30/09/2023</v>
          </cell>
          <cell r="AL479" t="str">
            <v>TPNS6401</v>
          </cell>
          <cell r="AM479" t="str">
            <v>THREE PHASE HT CT METER-33KV</v>
          </cell>
          <cell r="AN479" t="str">
            <v>POST PAID</v>
          </cell>
          <cell r="AO479">
            <v>220</v>
          </cell>
          <cell r="AP479" t="str">
            <v>TOD</v>
          </cell>
          <cell r="AQ479">
            <v>-593866855</v>
          </cell>
          <cell r="AR479">
            <v>0</v>
          </cell>
          <cell r="AS479">
            <v>0</v>
          </cell>
          <cell r="AT479">
            <v>0</v>
          </cell>
          <cell r="AU479">
            <v>0</v>
          </cell>
          <cell r="AV479">
            <v>0</v>
          </cell>
          <cell r="AW479">
            <v>84942000</v>
          </cell>
          <cell r="AX479">
            <v>84942000</v>
          </cell>
          <cell r="AY479">
            <v>84942000</v>
          </cell>
          <cell r="AZ479">
            <v>187.52</v>
          </cell>
          <cell r="BA479">
            <v>187520</v>
          </cell>
        </row>
        <row r="480">
          <cell r="F480">
            <v>611000000079</v>
          </cell>
          <cell r="G480" t="str">
            <v>SMT. RASHMITA NAYAK</v>
          </cell>
          <cell r="H480" t="str">
            <v>SATABANSIA, DANAGADI,DANAGADIJAJPURROAD</v>
          </cell>
          <cell r="I480" t="str">
            <v>10/31/2020 00:00:00</v>
          </cell>
          <cell r="J480">
            <v>1</v>
          </cell>
          <cell r="K480" t="str">
            <v xml:space="preserve"> </v>
          </cell>
          <cell r="L480" t="str">
            <v xml:space="preserve"> </v>
          </cell>
          <cell r="M480" t="str">
            <v>611000010231493859</v>
          </cell>
          <cell r="N480" t="str">
            <v>6110000076</v>
          </cell>
          <cell r="O480" t="str">
            <v>L-3349</v>
          </cell>
          <cell r="P480" t="str">
            <v>46187417002</v>
          </cell>
          <cell r="Q480" t="str">
            <v>GENERAL PURPOSE &gt;= 110 KVA</v>
          </cell>
          <cell r="R480" t="str">
            <v>HT</v>
          </cell>
          <cell r="S480" t="str">
            <v>01/10/2023</v>
          </cell>
          <cell r="T480" t="str">
            <v>01/10/2023</v>
          </cell>
          <cell r="U480" t="str">
            <v>06/10/2023</v>
          </cell>
          <cell r="V480" t="str">
            <v>09/10/2023</v>
          </cell>
          <cell r="W480" t="str">
            <v>2023/09</v>
          </cell>
          <cell r="X480" t="str">
            <v>33 KV</v>
          </cell>
          <cell r="Y480" t="str">
            <v>HT</v>
          </cell>
          <cell r="Z480">
            <v>120</v>
          </cell>
          <cell r="AA480">
            <v>0.88680000000000003</v>
          </cell>
          <cell r="AB480">
            <v>41.65</v>
          </cell>
          <cell r="AC480" t="str">
            <v xml:space="preserve">01/09/2023 -     </v>
          </cell>
          <cell r="AD480" t="str">
            <v>30.09.2023</v>
          </cell>
          <cell r="AE480" t="str">
            <v>30/1.0000</v>
          </cell>
          <cell r="AF480">
            <v>150</v>
          </cell>
          <cell r="AG480" t="str">
            <v>KVA</v>
          </cell>
          <cell r="AH480">
            <v>150</v>
          </cell>
          <cell r="AI480" t="str">
            <v>R</v>
          </cell>
          <cell r="AJ480">
            <v>439600</v>
          </cell>
          <cell r="AK480" t="str">
            <v>30/09/2023</v>
          </cell>
          <cell r="AL480" t="str">
            <v>NES52081</v>
          </cell>
          <cell r="AM480" t="str">
            <v>THREE PHASE HT CT METER-33KV</v>
          </cell>
          <cell r="AN480" t="str">
            <v>POST PAID</v>
          </cell>
          <cell r="AO480">
            <v>500</v>
          </cell>
          <cell r="AP480" t="str">
            <v>TOD</v>
          </cell>
          <cell r="AQ480">
            <v>-773513.1</v>
          </cell>
          <cell r="AR480">
            <v>0</v>
          </cell>
          <cell r="AS480">
            <v>0</v>
          </cell>
          <cell r="AT480">
            <v>0</v>
          </cell>
          <cell r="AU480">
            <v>0</v>
          </cell>
          <cell r="AV480">
            <v>0</v>
          </cell>
          <cell r="AW480">
            <v>22656</v>
          </cell>
          <cell r="AX480">
            <v>25548</v>
          </cell>
          <cell r="AY480">
            <v>25548</v>
          </cell>
          <cell r="AZ480">
            <v>634.79999999999995</v>
          </cell>
          <cell r="BA480">
            <v>85.199999999999989</v>
          </cell>
        </row>
        <row r="481">
          <cell r="F481">
            <v>611000000080</v>
          </cell>
          <cell r="G481" t="str">
            <v>M/S SUMA REAL MEDIA PVT.LTD.</v>
          </cell>
          <cell r="H481" t="str">
            <v>PANIKOILI,JAJPUR</v>
          </cell>
          <cell r="I481" t="str">
            <v>10/31/2020 00:00:00</v>
          </cell>
          <cell r="J481">
            <v>1</v>
          </cell>
          <cell r="K481" t="str">
            <v xml:space="preserve"> </v>
          </cell>
          <cell r="L481" t="str">
            <v xml:space="preserve"> </v>
          </cell>
          <cell r="M481" t="str">
            <v>611000010231493844</v>
          </cell>
          <cell r="N481" t="str">
            <v>6110000077</v>
          </cell>
          <cell r="O481" t="str">
            <v>L-3404</v>
          </cell>
          <cell r="P481" t="str">
            <v>461141101</v>
          </cell>
          <cell r="Q481" t="str">
            <v>LARGE INDUSTRY</v>
          </cell>
          <cell r="R481" t="str">
            <v>HT</v>
          </cell>
          <cell r="S481" t="str">
            <v>01/10/2023</v>
          </cell>
          <cell r="T481" t="str">
            <v>01/10/2023</v>
          </cell>
          <cell r="U481" t="str">
            <v>06/10/2023</v>
          </cell>
          <cell r="V481" t="str">
            <v>09/10/2023</v>
          </cell>
          <cell r="W481" t="str">
            <v>2023/09</v>
          </cell>
          <cell r="X481" t="str">
            <v>11 KV</v>
          </cell>
          <cell r="Y481" t="str">
            <v>HT</v>
          </cell>
          <cell r="Z481">
            <v>230.04</v>
          </cell>
          <cell r="AA481">
            <v>0.69420000000000004</v>
          </cell>
          <cell r="AB481">
            <v>10.89</v>
          </cell>
          <cell r="AC481" t="str">
            <v xml:space="preserve">01/09/2023 -     </v>
          </cell>
          <cell r="AD481" t="str">
            <v>30.09.2023</v>
          </cell>
          <cell r="AE481" t="str">
            <v>30/1.0000</v>
          </cell>
          <cell r="AF481">
            <v>222</v>
          </cell>
          <cell r="AG481" t="str">
            <v>KVA</v>
          </cell>
          <cell r="AH481">
            <v>222</v>
          </cell>
          <cell r="AI481" t="str">
            <v>R</v>
          </cell>
          <cell r="AJ481">
            <v>1075652</v>
          </cell>
          <cell r="AK481" t="str">
            <v>30/09/2023</v>
          </cell>
          <cell r="AL481" t="str">
            <v>NES52321</v>
          </cell>
          <cell r="AM481" t="str">
            <v>TRI-VECTOR METER FOR RAILWAY TRACTION</v>
          </cell>
          <cell r="AN481" t="str">
            <v>POST PAID</v>
          </cell>
          <cell r="AO481">
            <v>500</v>
          </cell>
          <cell r="AP481" t="str">
            <v>TOD</v>
          </cell>
          <cell r="AQ481">
            <v>-780870.4</v>
          </cell>
          <cell r="AR481">
            <v>0</v>
          </cell>
          <cell r="AS481">
            <v>0</v>
          </cell>
          <cell r="AT481">
            <v>0</v>
          </cell>
          <cell r="AU481">
            <v>0</v>
          </cell>
          <cell r="AV481">
            <v>0</v>
          </cell>
          <cell r="AW481">
            <v>12522</v>
          </cell>
          <cell r="AX481">
            <v>18036</v>
          </cell>
          <cell r="AY481">
            <v>18036</v>
          </cell>
          <cell r="AZ481">
            <v>1641.6</v>
          </cell>
          <cell r="BA481">
            <v>230.04000000000002</v>
          </cell>
        </row>
        <row r="482">
          <cell r="F482">
            <v>611000000081</v>
          </cell>
          <cell r="G482" t="str">
            <v>SRI LOKANATH GUPTA</v>
          </cell>
          <cell r="H482" t="str">
            <v>BANKSTREET,JAJPUR ROADJAJPUR ROAD</v>
          </cell>
          <cell r="I482" t="str">
            <v>10/31/2020 00:00:00</v>
          </cell>
          <cell r="J482">
            <v>1</v>
          </cell>
          <cell r="K482" t="str">
            <v xml:space="preserve"> </v>
          </cell>
          <cell r="L482" t="str">
            <v xml:space="preserve"> </v>
          </cell>
          <cell r="M482" t="str">
            <v>611000010231494257</v>
          </cell>
          <cell r="N482" t="str">
            <v>6110000078</v>
          </cell>
          <cell r="O482" t="str">
            <v>L-3419</v>
          </cell>
          <cell r="P482" t="str">
            <v>461111203</v>
          </cell>
          <cell r="Q482" t="str">
            <v>GENERAL PURPOSE &gt;= 110 KVA</v>
          </cell>
          <cell r="R482" t="str">
            <v>HT</v>
          </cell>
          <cell r="S482" t="str">
            <v>01/10/2023</v>
          </cell>
          <cell r="T482" t="str">
            <v>01/10/2023</v>
          </cell>
          <cell r="U482" t="str">
            <v>06/10/2023</v>
          </cell>
          <cell r="V482" t="str">
            <v>09/10/2023</v>
          </cell>
          <cell r="W482" t="str">
            <v>2023/09</v>
          </cell>
          <cell r="X482" t="str">
            <v>11 KV</v>
          </cell>
          <cell r="Y482" t="str">
            <v>HT</v>
          </cell>
          <cell r="Z482">
            <v>107.2</v>
          </cell>
          <cell r="AA482">
            <v>0.8407</v>
          </cell>
          <cell r="AB482">
            <v>30.44</v>
          </cell>
          <cell r="AC482" t="str">
            <v xml:space="preserve">01/09/2023 -     </v>
          </cell>
          <cell r="AD482" t="str">
            <v>30.09.2023</v>
          </cell>
          <cell r="AE482" t="str">
            <v>30/1.0000</v>
          </cell>
          <cell r="AF482">
            <v>134</v>
          </cell>
          <cell r="AG482" t="str">
            <v>KVA</v>
          </cell>
          <cell r="AH482">
            <v>134</v>
          </cell>
          <cell r="AI482" t="str">
            <v>R</v>
          </cell>
          <cell r="AJ482">
            <v>316705</v>
          </cell>
          <cell r="AK482" t="str">
            <v>30/09/2023</v>
          </cell>
          <cell r="AL482" t="str">
            <v>NES51042</v>
          </cell>
          <cell r="AM482" t="str">
            <v>TRI-VECTOR METER FOR RAILWAY TRACTION</v>
          </cell>
          <cell r="AN482" t="str">
            <v>POST PAID</v>
          </cell>
          <cell r="AO482">
            <v>200</v>
          </cell>
          <cell r="AP482" t="str">
            <v>TOD</v>
          </cell>
          <cell r="AQ482">
            <v>-108641.60000000001</v>
          </cell>
          <cell r="AR482">
            <v>0</v>
          </cell>
          <cell r="AS482">
            <v>0</v>
          </cell>
          <cell r="AT482">
            <v>0</v>
          </cell>
          <cell r="AU482">
            <v>0</v>
          </cell>
          <cell r="AV482">
            <v>0</v>
          </cell>
          <cell r="AW482">
            <v>16468</v>
          </cell>
          <cell r="AX482">
            <v>19587</v>
          </cell>
          <cell r="AY482">
            <v>19587</v>
          </cell>
          <cell r="AZ482">
            <v>672.88</v>
          </cell>
          <cell r="BA482">
            <v>89.36</v>
          </cell>
        </row>
        <row r="483">
          <cell r="F483">
            <v>611000000082</v>
          </cell>
          <cell r="G483" t="str">
            <v>M/S - HOTEL BRAHMANI (P) LTD.</v>
          </cell>
          <cell r="H483" t="str">
            <v>CHORDA BY PASS,JAJPUR ROAD</v>
          </cell>
          <cell r="I483" t="str">
            <v>10/31/2020 00:00:00</v>
          </cell>
          <cell r="J483">
            <v>1</v>
          </cell>
          <cell r="K483" t="str">
            <v xml:space="preserve"> </v>
          </cell>
          <cell r="L483" t="str">
            <v xml:space="preserve"> </v>
          </cell>
          <cell r="M483" t="str">
            <v>611000010231494333</v>
          </cell>
          <cell r="N483" t="str">
            <v>6110000079</v>
          </cell>
          <cell r="O483" t="str">
            <v>L-3510</v>
          </cell>
          <cell r="P483" t="str">
            <v>461111203</v>
          </cell>
          <cell r="Q483" t="str">
            <v>GENERAL PURPOSE &gt;= 110 KVA</v>
          </cell>
          <cell r="R483" t="str">
            <v>HT</v>
          </cell>
          <cell r="S483" t="str">
            <v>01/10/2023</v>
          </cell>
          <cell r="T483" t="str">
            <v>01/10/2023</v>
          </cell>
          <cell r="U483" t="str">
            <v>06/10/2023</v>
          </cell>
          <cell r="V483" t="str">
            <v>09/10/2023</v>
          </cell>
          <cell r="W483" t="str">
            <v>2023/09</v>
          </cell>
          <cell r="X483" t="str">
            <v>11 KV</v>
          </cell>
          <cell r="Y483" t="str">
            <v>HT</v>
          </cell>
          <cell r="Z483">
            <v>191.04</v>
          </cell>
          <cell r="AA483">
            <v>0.92110000000000003</v>
          </cell>
          <cell r="AB483">
            <v>34.94</v>
          </cell>
          <cell r="AC483" t="str">
            <v xml:space="preserve">01/09/2023 -     </v>
          </cell>
          <cell r="AD483" t="str">
            <v>30.09.2023</v>
          </cell>
          <cell r="AE483" t="str">
            <v>30/1.0000</v>
          </cell>
          <cell r="AF483">
            <v>206</v>
          </cell>
          <cell r="AG483" t="str">
            <v>KVA</v>
          </cell>
          <cell r="AH483">
            <v>206</v>
          </cell>
          <cell r="AI483" t="str">
            <v>R</v>
          </cell>
          <cell r="AJ483">
            <v>949627</v>
          </cell>
          <cell r="AK483" t="str">
            <v>30/09/2023</v>
          </cell>
          <cell r="AL483" t="str">
            <v>NES51003</v>
          </cell>
          <cell r="AM483" t="str">
            <v>THREE PHASE STATIC TRI-VECTOR METER-TOD</v>
          </cell>
          <cell r="AN483" t="str">
            <v>POST PAID</v>
          </cell>
          <cell r="AO483">
            <v>500</v>
          </cell>
          <cell r="AP483" t="str">
            <v>TOD</v>
          </cell>
          <cell r="AQ483">
            <v>-549526.5</v>
          </cell>
          <cell r="AR483">
            <v>0</v>
          </cell>
          <cell r="AS483">
            <v>0</v>
          </cell>
          <cell r="AT483">
            <v>0</v>
          </cell>
          <cell r="AU483">
            <v>0</v>
          </cell>
          <cell r="AV483">
            <v>0</v>
          </cell>
          <cell r="AW483">
            <v>44271</v>
          </cell>
          <cell r="AX483">
            <v>48060</v>
          </cell>
          <cell r="AY483">
            <v>48060</v>
          </cell>
          <cell r="AZ483">
            <v>1437.6</v>
          </cell>
          <cell r="BA483">
            <v>191.04000000000002</v>
          </cell>
        </row>
        <row r="484">
          <cell r="F484">
            <v>611000000083</v>
          </cell>
          <cell r="G484" t="str">
            <v>M/S CENTRAL TOOL ROOM &amp;</v>
          </cell>
          <cell r="H484" t="str">
            <v>TRAINING CENTRE,PANKAPAL</v>
          </cell>
          <cell r="I484" t="str">
            <v>10/31/2020 00:00:00</v>
          </cell>
          <cell r="J484">
            <v>1</v>
          </cell>
          <cell r="K484" t="str">
            <v xml:space="preserve"> </v>
          </cell>
          <cell r="L484" t="str">
            <v xml:space="preserve"> </v>
          </cell>
          <cell r="M484" t="str">
            <v>611000010231494094</v>
          </cell>
          <cell r="N484" t="str">
            <v>6110000080</v>
          </cell>
          <cell r="O484" t="str">
            <v>L-3628</v>
          </cell>
          <cell r="P484" t="str">
            <v>461121201</v>
          </cell>
          <cell r="Q484" t="str">
            <v>GENERAL PURPOSE &gt;= 110 KVA</v>
          </cell>
          <cell r="R484" t="str">
            <v>HT</v>
          </cell>
          <cell r="S484" t="str">
            <v>01/10/2023</v>
          </cell>
          <cell r="T484" t="str">
            <v>01/10/2023</v>
          </cell>
          <cell r="U484" t="str">
            <v>06/10/2023</v>
          </cell>
          <cell r="V484" t="str">
            <v>09/10/2023</v>
          </cell>
          <cell r="W484" t="str">
            <v>2023/09</v>
          </cell>
          <cell r="X484" t="str">
            <v>11 KV</v>
          </cell>
          <cell r="Y484" t="str">
            <v>HT</v>
          </cell>
          <cell r="Z484">
            <v>120</v>
          </cell>
          <cell r="AA484">
            <v>0.89129999999999998</v>
          </cell>
          <cell r="AB484">
            <v>29.03</v>
          </cell>
          <cell r="AC484" t="str">
            <v xml:space="preserve">01/09/2023 -     </v>
          </cell>
          <cell r="AD484" t="str">
            <v>30.09.2023</v>
          </cell>
          <cell r="AE484" t="str">
            <v>30/1.0000</v>
          </cell>
          <cell r="AF484">
            <v>150</v>
          </cell>
          <cell r="AG484" t="str">
            <v>KVA</v>
          </cell>
          <cell r="AH484">
            <v>150</v>
          </cell>
          <cell r="AI484" t="str">
            <v>R</v>
          </cell>
          <cell r="AJ484">
            <v>366180</v>
          </cell>
          <cell r="AK484" t="str">
            <v>30/09/2023</v>
          </cell>
          <cell r="AL484" t="str">
            <v>NES50992</v>
          </cell>
          <cell r="AM484" t="str">
            <v>TRI-VECTOR METER FOR RAILWAY TRACTION</v>
          </cell>
          <cell r="AN484" t="str">
            <v>POST PAID</v>
          </cell>
          <cell r="AO484">
            <v>250</v>
          </cell>
          <cell r="AP484" t="str">
            <v>TOD</v>
          </cell>
          <cell r="AQ484">
            <v>-273747.59999999998</v>
          </cell>
          <cell r="AR484">
            <v>0</v>
          </cell>
          <cell r="AS484">
            <v>0</v>
          </cell>
          <cell r="AT484">
            <v>0</v>
          </cell>
          <cell r="AU484">
            <v>0</v>
          </cell>
          <cell r="AV484">
            <v>0</v>
          </cell>
          <cell r="AW484">
            <v>2698</v>
          </cell>
          <cell r="AX484">
            <v>3027</v>
          </cell>
          <cell r="AY484">
            <v>3027</v>
          </cell>
          <cell r="AZ484">
            <v>109.36</v>
          </cell>
          <cell r="BA484">
            <v>14.48</v>
          </cell>
        </row>
        <row r="485">
          <cell r="F485">
            <v>611000000084</v>
          </cell>
          <cell r="G485" t="str">
            <v>M/S MAHARAJA RESOURCES PVT. LTD.</v>
          </cell>
          <cell r="H485" t="str">
            <v>SAMBHU KALYAN DAS,UMAPADAJAJPUR ROAD</v>
          </cell>
          <cell r="I485" t="str">
            <v>10/31/2020 00:00:00</v>
          </cell>
          <cell r="J485">
            <v>1</v>
          </cell>
          <cell r="K485" t="str">
            <v xml:space="preserve"> </v>
          </cell>
          <cell r="L485" t="str">
            <v xml:space="preserve"> </v>
          </cell>
          <cell r="M485" t="str">
            <v>611000010231494401</v>
          </cell>
          <cell r="N485" t="str">
            <v>6110000081</v>
          </cell>
          <cell r="O485" t="str">
            <v>L-3660</v>
          </cell>
          <cell r="P485" t="str">
            <v>46107418003</v>
          </cell>
          <cell r="Q485" t="str">
            <v>LARGE INDUSTRY</v>
          </cell>
          <cell r="R485" t="str">
            <v>HT</v>
          </cell>
          <cell r="S485" t="str">
            <v>01/10/2023</v>
          </cell>
          <cell r="T485" t="str">
            <v>01/10/2023</v>
          </cell>
          <cell r="U485" t="str">
            <v>06/10/2023</v>
          </cell>
          <cell r="V485" t="str">
            <v>09/10/2023</v>
          </cell>
          <cell r="W485" t="str">
            <v>2023/09</v>
          </cell>
          <cell r="X485" t="str">
            <v>33 KV</v>
          </cell>
          <cell r="Y485" t="str">
            <v>HT</v>
          </cell>
          <cell r="Z485">
            <v>448</v>
          </cell>
          <cell r="AA485">
            <v>0.98980000000000001</v>
          </cell>
          <cell r="AB485">
            <v>46.83</v>
          </cell>
          <cell r="AC485" t="str">
            <v xml:space="preserve">01/09/2023 -     </v>
          </cell>
          <cell r="AD485" t="str">
            <v>30.09.2023</v>
          </cell>
          <cell r="AE485" t="str">
            <v>30/1.0000</v>
          </cell>
          <cell r="AF485">
            <v>560</v>
          </cell>
          <cell r="AG485" t="str">
            <v>KVA</v>
          </cell>
          <cell r="AH485">
            <v>560</v>
          </cell>
          <cell r="AI485" t="str">
            <v>R</v>
          </cell>
          <cell r="AJ485">
            <v>1508016</v>
          </cell>
          <cell r="AK485" t="str">
            <v>30/09/2023</v>
          </cell>
          <cell r="AL485" t="str">
            <v>NES50976</v>
          </cell>
          <cell r="AM485" t="str">
            <v>THREE PHASE HT CT METER-33KV</v>
          </cell>
          <cell r="AN485" t="str">
            <v>POST PAID</v>
          </cell>
          <cell r="AO485">
            <v>750</v>
          </cell>
          <cell r="AP485" t="str">
            <v>TOD</v>
          </cell>
          <cell r="AQ485">
            <v>-74430.16</v>
          </cell>
          <cell r="AR485">
            <v>0</v>
          </cell>
          <cell r="AS485">
            <v>0</v>
          </cell>
          <cell r="AT485">
            <v>0</v>
          </cell>
          <cell r="AU485">
            <v>0</v>
          </cell>
          <cell r="AV485">
            <v>0</v>
          </cell>
          <cell r="AW485">
            <v>136980</v>
          </cell>
          <cell r="AX485">
            <v>138384</v>
          </cell>
          <cell r="AY485">
            <v>138384</v>
          </cell>
          <cell r="AZ485">
            <v>3965.76</v>
          </cell>
          <cell r="BA485">
            <v>410.40000000000003</v>
          </cell>
        </row>
        <row r="486">
          <cell r="F486">
            <v>611000000085</v>
          </cell>
          <cell r="G486" t="str">
            <v>M/S. M/S MEDICA TS HOSPITAL P. LTD.</v>
          </cell>
          <cell r="H486" t="str">
            <v>KALINGANAGAR INDUSTIAL COMPLEX</v>
          </cell>
          <cell r="I486" t="str">
            <v>10/31/2020 00:00:00</v>
          </cell>
          <cell r="J486">
            <v>1</v>
          </cell>
          <cell r="K486" t="str">
            <v xml:space="preserve"> </v>
          </cell>
          <cell r="L486" t="str">
            <v xml:space="preserve"> </v>
          </cell>
          <cell r="M486" t="str">
            <v>611000010231494184</v>
          </cell>
          <cell r="N486" t="str">
            <v>6110000082</v>
          </cell>
          <cell r="O486" t="str">
            <v>L-3879</v>
          </cell>
          <cell r="P486" t="str">
            <v>46187417002</v>
          </cell>
          <cell r="Q486" t="str">
            <v>GENERAL PURPOSE &gt;= 110 KVA</v>
          </cell>
          <cell r="R486" t="str">
            <v>HT</v>
          </cell>
          <cell r="S486" t="str">
            <v>01/10/2023</v>
          </cell>
          <cell r="T486" t="str">
            <v>01/10/2023</v>
          </cell>
          <cell r="U486" t="str">
            <v>06/10/2023</v>
          </cell>
          <cell r="V486" t="str">
            <v>09/10/2023</v>
          </cell>
          <cell r="W486" t="str">
            <v>2023/09</v>
          </cell>
          <cell r="X486" t="str">
            <v>33 KV</v>
          </cell>
          <cell r="Y486" t="str">
            <v>HT</v>
          </cell>
          <cell r="Z486">
            <v>445.44</v>
          </cell>
          <cell r="AA486">
            <v>0.98</v>
          </cell>
          <cell r="AB486">
            <v>49.7</v>
          </cell>
          <cell r="AC486" t="str">
            <v xml:space="preserve">01/09/2023 -     </v>
          </cell>
          <cell r="AD486" t="str">
            <v>30.09.2023</v>
          </cell>
          <cell r="AE486" t="str">
            <v>30/1.0000</v>
          </cell>
          <cell r="AF486">
            <v>500</v>
          </cell>
          <cell r="AG486" t="str">
            <v>KVA</v>
          </cell>
          <cell r="AH486">
            <v>500</v>
          </cell>
          <cell r="AI486" t="str">
            <v>R</v>
          </cell>
          <cell r="AJ486">
            <v>1708888.2</v>
          </cell>
          <cell r="AK486" t="str">
            <v>30/09/2023</v>
          </cell>
          <cell r="AL486" t="str">
            <v>NSC94582</v>
          </cell>
          <cell r="AM486" t="str">
            <v>THREE PHASE HT CT METER-33KV</v>
          </cell>
          <cell r="AN486" t="str">
            <v>POST PAID</v>
          </cell>
          <cell r="AO486">
            <v>750</v>
          </cell>
          <cell r="AP486" t="str">
            <v>TOD</v>
          </cell>
          <cell r="AQ486">
            <v>53223.3</v>
          </cell>
          <cell r="AR486">
            <v>0</v>
          </cell>
          <cell r="AS486">
            <v>0</v>
          </cell>
          <cell r="AT486">
            <v>0</v>
          </cell>
          <cell r="AU486">
            <v>0</v>
          </cell>
          <cell r="AV486">
            <v>0</v>
          </cell>
          <cell r="AW486">
            <v>156198</v>
          </cell>
          <cell r="AX486">
            <v>159384</v>
          </cell>
          <cell r="AY486">
            <v>159384</v>
          </cell>
          <cell r="AZ486">
            <v>2899.68</v>
          </cell>
          <cell r="BA486">
            <v>445.43999999999994</v>
          </cell>
        </row>
        <row r="487">
          <cell r="F487">
            <v>611000000086</v>
          </cell>
          <cell r="G487" t="str">
            <v>ASHIRBAD AGRO PRODUCTS PLTD(UNIT-2)</v>
          </cell>
          <cell r="H487" t="str">
            <v>MULARI,PANIKOILI</v>
          </cell>
          <cell r="I487" t="str">
            <v>10/31/2020 00:00:00</v>
          </cell>
          <cell r="J487">
            <v>1</v>
          </cell>
          <cell r="K487" t="str">
            <v xml:space="preserve"> </v>
          </cell>
          <cell r="L487" t="str">
            <v xml:space="preserve"> </v>
          </cell>
          <cell r="M487" t="str">
            <v>611000010231493953</v>
          </cell>
          <cell r="N487" t="str">
            <v>6110000083</v>
          </cell>
          <cell r="O487" t="str">
            <v>L-3953</v>
          </cell>
          <cell r="P487" t="str">
            <v>46107418004</v>
          </cell>
          <cell r="Q487" t="str">
            <v>LARGE INDUSTRY</v>
          </cell>
          <cell r="R487" t="str">
            <v>HT</v>
          </cell>
          <cell r="S487" t="str">
            <v>01/10/2023</v>
          </cell>
          <cell r="T487" t="str">
            <v>01/10/2023</v>
          </cell>
          <cell r="U487" t="str">
            <v>06/10/2023</v>
          </cell>
          <cell r="V487" t="str">
            <v>09/10/2023</v>
          </cell>
          <cell r="W487" t="str">
            <v>2023/09</v>
          </cell>
          <cell r="X487" t="str">
            <v>33 KV</v>
          </cell>
          <cell r="Y487" t="str">
            <v>HT</v>
          </cell>
          <cell r="Z487">
            <v>1160</v>
          </cell>
          <cell r="AA487">
            <v>0.97629999999999995</v>
          </cell>
          <cell r="AB487">
            <v>34.92</v>
          </cell>
          <cell r="AC487" t="str">
            <v xml:space="preserve">01/09/2023 -     </v>
          </cell>
          <cell r="AD487" t="str">
            <v>30.09.2023</v>
          </cell>
          <cell r="AE487" t="str">
            <v>30/1.0000</v>
          </cell>
          <cell r="AF487">
            <v>1450</v>
          </cell>
          <cell r="AG487" t="str">
            <v>KVA</v>
          </cell>
          <cell r="AH487">
            <v>1450</v>
          </cell>
          <cell r="AI487" t="str">
            <v>R</v>
          </cell>
          <cell r="AJ487">
            <v>7410892</v>
          </cell>
          <cell r="AK487" t="str">
            <v>30/09/2023</v>
          </cell>
          <cell r="AL487" t="str">
            <v>NES50346</v>
          </cell>
          <cell r="AM487" t="str">
            <v>THREE PHASE HT CT METER-33KV</v>
          </cell>
          <cell r="AN487" t="str">
            <v>POST PAID</v>
          </cell>
          <cell r="AO487">
            <v>2000</v>
          </cell>
          <cell r="AP487" t="str">
            <v>TOD</v>
          </cell>
          <cell r="AQ487">
            <v>549851</v>
          </cell>
          <cell r="AR487">
            <v>0</v>
          </cell>
          <cell r="AS487">
            <v>0</v>
          </cell>
          <cell r="AT487">
            <v>0</v>
          </cell>
          <cell r="AU487">
            <v>0</v>
          </cell>
          <cell r="AV487">
            <v>0</v>
          </cell>
          <cell r="AW487">
            <v>0</v>
          </cell>
          <cell r="AX487">
            <v>0</v>
          </cell>
          <cell r="AY487">
            <v>290142</v>
          </cell>
          <cell r="AZ487">
            <v>0</v>
          </cell>
          <cell r="BA487">
            <v>0</v>
          </cell>
        </row>
        <row r="488">
          <cell r="F488">
            <v>611000000088</v>
          </cell>
          <cell r="G488" t="str">
            <v>M/S HAREKRISHNA RICE PROCESSING -</v>
          </cell>
          <cell r="H488" t="str">
            <v>AND EXPORT,PANIKOILI,PANIKOILI, ODISHAPANIKOILI, ODISHA</v>
          </cell>
          <cell r="I488" t="str">
            <v>10/31/2020 00:00:00</v>
          </cell>
          <cell r="J488">
            <v>1</v>
          </cell>
          <cell r="K488" t="str">
            <v xml:space="preserve"> </v>
          </cell>
          <cell r="L488" t="str">
            <v xml:space="preserve"> </v>
          </cell>
          <cell r="M488" t="str">
            <v>611000010231494064</v>
          </cell>
          <cell r="N488" t="str">
            <v>6110000085</v>
          </cell>
          <cell r="O488" t="str">
            <v>L-4306</v>
          </cell>
          <cell r="P488" t="str">
            <v>46107418004</v>
          </cell>
          <cell r="Q488" t="str">
            <v>LARGE INDUSTRY</v>
          </cell>
          <cell r="R488" t="str">
            <v>HT</v>
          </cell>
          <cell r="S488" t="str">
            <v>01/10/2023</v>
          </cell>
          <cell r="T488" t="str">
            <v>01/10/2023</v>
          </cell>
          <cell r="U488" t="str">
            <v>06/10/2023</v>
          </cell>
          <cell r="V488" t="str">
            <v>09/10/2023</v>
          </cell>
          <cell r="W488" t="str">
            <v>2023/09</v>
          </cell>
          <cell r="X488" t="str">
            <v>33 KV</v>
          </cell>
          <cell r="Y488" t="str">
            <v>HT</v>
          </cell>
          <cell r="Z488">
            <v>980.64</v>
          </cell>
          <cell r="AA488">
            <v>0.99580000000000002</v>
          </cell>
          <cell r="AB488">
            <v>53.24</v>
          </cell>
          <cell r="AC488" t="str">
            <v xml:space="preserve">01/09/2023 -     </v>
          </cell>
          <cell r="AD488" t="str">
            <v>30.09.2023</v>
          </cell>
          <cell r="AE488" t="str">
            <v>30/1.0000</v>
          </cell>
          <cell r="AF488">
            <v>1000</v>
          </cell>
          <cell r="AG488" t="str">
            <v>KVA</v>
          </cell>
          <cell r="AH488">
            <v>1000</v>
          </cell>
          <cell r="AI488" t="str">
            <v>R</v>
          </cell>
          <cell r="AJ488">
            <v>3850216.56</v>
          </cell>
          <cell r="AK488" t="str">
            <v>30/09/2023</v>
          </cell>
          <cell r="AL488" t="str">
            <v>NSC94507</v>
          </cell>
          <cell r="AM488" t="str">
            <v>THREE PHASE HT CT METER-33KV</v>
          </cell>
          <cell r="AN488" t="str">
            <v>POST PAID</v>
          </cell>
          <cell r="AO488">
            <v>1500</v>
          </cell>
          <cell r="AP488" t="str">
            <v>TOD</v>
          </cell>
          <cell r="AQ488">
            <v>-1220324.52</v>
          </cell>
          <cell r="AR488">
            <v>0</v>
          </cell>
          <cell r="AS488">
            <v>0</v>
          </cell>
          <cell r="AT488">
            <v>0</v>
          </cell>
          <cell r="AU488">
            <v>0</v>
          </cell>
          <cell r="AV488">
            <v>0</v>
          </cell>
          <cell r="AW488">
            <v>374328</v>
          </cell>
          <cell r="AX488">
            <v>375894</v>
          </cell>
          <cell r="AY488">
            <v>375894</v>
          </cell>
          <cell r="AZ488">
            <v>6112.8</v>
          </cell>
          <cell r="BA488">
            <v>980.6400000000001</v>
          </cell>
        </row>
        <row r="489">
          <cell r="F489">
            <v>611000000089</v>
          </cell>
          <cell r="G489" t="str">
            <v>M/S PRADEEP MINING &amp; CONSTRUCTION P</v>
          </cell>
          <cell r="H489" t="str">
            <v>GOLAGAON,ANKURAPALDANAGADI, JAJPUR</v>
          </cell>
          <cell r="I489" t="str">
            <v>10/31/2020 00:00:00</v>
          </cell>
          <cell r="J489">
            <v>1</v>
          </cell>
          <cell r="K489" t="str">
            <v xml:space="preserve"> </v>
          </cell>
          <cell r="L489" t="str">
            <v xml:space="preserve"> </v>
          </cell>
          <cell r="M489" t="str">
            <v>611000010232494991</v>
          </cell>
          <cell r="N489" t="str">
            <v>6110000086</v>
          </cell>
          <cell r="O489" t="str">
            <v>L-4419</v>
          </cell>
          <cell r="P489" t="str">
            <v>46187417002</v>
          </cell>
          <cell r="Q489" t="str">
            <v>LARGE INDUSTRY</v>
          </cell>
          <cell r="R489" t="str">
            <v>HT</v>
          </cell>
          <cell r="S489" t="str">
            <v>01/10/2023</v>
          </cell>
          <cell r="T489" t="str">
            <v>01/10/2023</v>
          </cell>
          <cell r="U489" t="str">
            <v>06/10/2023</v>
          </cell>
          <cell r="V489" t="str">
            <v>09/10/2023</v>
          </cell>
          <cell r="W489" t="str">
            <v>2023/09</v>
          </cell>
          <cell r="X489" t="str">
            <v>33 KV</v>
          </cell>
          <cell r="Y489" t="str">
            <v>HT</v>
          </cell>
          <cell r="Z489">
            <v>144</v>
          </cell>
          <cell r="AA489">
            <v>0.85119999999999996</v>
          </cell>
          <cell r="AB489">
            <v>22.73</v>
          </cell>
          <cell r="AC489" t="str">
            <v xml:space="preserve">01/09/2023 -     </v>
          </cell>
          <cell r="AD489" t="str">
            <v>30.09.2023</v>
          </cell>
          <cell r="AE489" t="str">
            <v>30/1.0000</v>
          </cell>
          <cell r="AF489">
            <v>180</v>
          </cell>
          <cell r="AG489" t="str">
            <v>KVA</v>
          </cell>
          <cell r="AH489">
            <v>180</v>
          </cell>
          <cell r="AI489" t="str">
            <v>R</v>
          </cell>
          <cell r="AJ489">
            <v>1104912</v>
          </cell>
          <cell r="AK489" t="str">
            <v>30/09/2023</v>
          </cell>
          <cell r="AL489" t="str">
            <v>NES83091</v>
          </cell>
          <cell r="AM489" t="str">
            <v>THREE PHASE HT CT METER-33KV</v>
          </cell>
          <cell r="AN489" t="str">
            <v>POST PAID</v>
          </cell>
          <cell r="AO489">
            <v>1000</v>
          </cell>
          <cell r="AP489" t="str">
            <v>TOD</v>
          </cell>
          <cell r="AQ489">
            <v>-850684.5</v>
          </cell>
          <cell r="AR489">
            <v>0</v>
          </cell>
          <cell r="AS489">
            <v>0</v>
          </cell>
          <cell r="AT489">
            <v>0</v>
          </cell>
          <cell r="AU489">
            <v>0</v>
          </cell>
          <cell r="AV489">
            <v>0</v>
          </cell>
          <cell r="AW489">
            <v>0</v>
          </cell>
          <cell r="AX489">
            <v>0</v>
          </cell>
          <cell r="AY489">
            <v>13512</v>
          </cell>
          <cell r="AZ489">
            <v>0</v>
          </cell>
          <cell r="BA489">
            <v>0</v>
          </cell>
        </row>
        <row r="490">
          <cell r="F490">
            <v>611000000090</v>
          </cell>
          <cell r="G490" t="str">
            <v>EXECUTIVE ENGINEER</v>
          </cell>
          <cell r="H490" t="str">
            <v>PH DIVISION- II, CUTTACK</v>
          </cell>
          <cell r="I490" t="str">
            <v>10/31/2020 00:00:00</v>
          </cell>
          <cell r="J490">
            <v>1</v>
          </cell>
          <cell r="K490" t="str">
            <v xml:space="preserve"> </v>
          </cell>
          <cell r="L490" t="str">
            <v xml:space="preserve"> </v>
          </cell>
          <cell r="M490" t="str">
            <v>611000010231493288</v>
          </cell>
          <cell r="N490" t="str">
            <v>6110000087</v>
          </cell>
          <cell r="O490" t="str">
            <v>L-4420</v>
          </cell>
          <cell r="P490" t="str">
            <v>461112802</v>
          </cell>
          <cell r="Q490" t="str">
            <v>PUBLIC WATER WORKS &amp; SEWERAGE PUMPING</v>
          </cell>
          <cell r="R490" t="str">
            <v>HT</v>
          </cell>
          <cell r="S490" t="str">
            <v>01/10/2023</v>
          </cell>
          <cell r="T490" t="str">
            <v>01/10/2023</v>
          </cell>
          <cell r="U490" t="str">
            <v>09/10/2023</v>
          </cell>
          <cell r="V490" t="str">
            <v>09/10/2023</v>
          </cell>
          <cell r="W490" t="str">
            <v>2023/09</v>
          </cell>
          <cell r="X490" t="str">
            <v>11 KV</v>
          </cell>
          <cell r="Y490" t="str">
            <v>HT</v>
          </cell>
          <cell r="Z490">
            <v>95.2</v>
          </cell>
          <cell r="AA490">
            <v>0.6825</v>
          </cell>
          <cell r="AB490">
            <v>84.76</v>
          </cell>
          <cell r="AC490" t="str">
            <v xml:space="preserve">01/09/2023 -     </v>
          </cell>
          <cell r="AD490" t="str">
            <v>30.09.2023</v>
          </cell>
          <cell r="AE490" t="str">
            <v>30/1.0000</v>
          </cell>
          <cell r="AF490">
            <v>119</v>
          </cell>
          <cell r="AG490" t="str">
            <v>KVA</v>
          </cell>
          <cell r="AH490">
            <v>119</v>
          </cell>
          <cell r="AI490" t="str">
            <v>R</v>
          </cell>
          <cell r="AJ490">
            <v>460150</v>
          </cell>
          <cell r="AK490" t="str">
            <v>30/09/2023</v>
          </cell>
          <cell r="AL490" t="str">
            <v>NES83143</v>
          </cell>
          <cell r="AM490" t="str">
            <v>TRI-VECTOR METER FOR RAILWAY TRACTION</v>
          </cell>
          <cell r="AN490" t="str">
            <v>POST PAID</v>
          </cell>
          <cell r="AO490">
            <v>250</v>
          </cell>
          <cell r="AP490" t="str">
            <v>TOD</v>
          </cell>
          <cell r="AQ490">
            <v>44198.96</v>
          </cell>
          <cell r="AR490">
            <v>0</v>
          </cell>
          <cell r="AS490">
            <v>0</v>
          </cell>
          <cell r="AT490">
            <v>0</v>
          </cell>
          <cell r="AU490">
            <v>0</v>
          </cell>
          <cell r="AV490">
            <v>0</v>
          </cell>
          <cell r="AW490">
            <v>38852</v>
          </cell>
          <cell r="AX490">
            <v>56925</v>
          </cell>
          <cell r="AY490">
            <v>56925</v>
          </cell>
          <cell r="AZ490">
            <v>660.96</v>
          </cell>
          <cell r="BA490">
            <v>93.28</v>
          </cell>
        </row>
        <row r="491">
          <cell r="F491">
            <v>611000000093</v>
          </cell>
          <cell r="G491" t="str">
            <v>EXECUTIVE ENGINEER</v>
          </cell>
          <cell r="H491" t="str">
            <v>PHD DIVISION- II,AT: MUNDAMALMUNDAMAL, JAJPUR</v>
          </cell>
          <cell r="I491" t="str">
            <v>10/31/2020 00:00:00</v>
          </cell>
          <cell r="J491">
            <v>1</v>
          </cell>
          <cell r="K491" t="str">
            <v xml:space="preserve"> </v>
          </cell>
          <cell r="L491" t="str">
            <v xml:space="preserve"> </v>
          </cell>
          <cell r="M491" t="str">
            <v>611000010231493393</v>
          </cell>
          <cell r="N491" t="str">
            <v>6110000090</v>
          </cell>
          <cell r="O491" t="str">
            <v>L-4735</v>
          </cell>
          <cell r="P491" t="str">
            <v>461121203</v>
          </cell>
          <cell r="Q491" t="str">
            <v>PUBLIC WATER WORKS &amp; SEWERAGE PUMPING</v>
          </cell>
          <cell r="R491" t="str">
            <v>HT</v>
          </cell>
          <cell r="S491" t="str">
            <v>01/10/2023</v>
          </cell>
          <cell r="T491" t="str">
            <v>01/10/2023</v>
          </cell>
          <cell r="U491" t="str">
            <v>09/10/2023</v>
          </cell>
          <cell r="V491" t="str">
            <v>09/10/2023</v>
          </cell>
          <cell r="W491" t="str">
            <v>2023/09</v>
          </cell>
          <cell r="X491" t="str">
            <v>11 KV</v>
          </cell>
          <cell r="Y491" t="str">
            <v>HT</v>
          </cell>
          <cell r="Z491">
            <v>122.56</v>
          </cell>
          <cell r="AA491">
            <v>0.79100000000000004</v>
          </cell>
          <cell r="AB491">
            <v>35.479999999999997</v>
          </cell>
          <cell r="AC491" t="str">
            <v xml:space="preserve">26/08/2023 -     </v>
          </cell>
          <cell r="AD491" t="str">
            <v>30.09.2023</v>
          </cell>
          <cell r="AE491" t="str">
            <v>36/1.0000</v>
          </cell>
          <cell r="AF491">
            <v>119</v>
          </cell>
          <cell r="AG491" t="str">
            <v>KVA</v>
          </cell>
          <cell r="AH491">
            <v>119</v>
          </cell>
          <cell r="AI491" t="str">
            <v>R</v>
          </cell>
          <cell r="AJ491">
            <v>519434</v>
          </cell>
          <cell r="AK491" t="str">
            <v>30/09/2023</v>
          </cell>
          <cell r="AL491" t="str">
            <v>NSC95098</v>
          </cell>
          <cell r="AM491" t="str">
            <v>THREE PHASE STATIC TRI-VECTOR METER-TOD</v>
          </cell>
          <cell r="AN491" t="str">
            <v>POST PAID</v>
          </cell>
          <cell r="AO491">
            <v>250</v>
          </cell>
          <cell r="AP491" t="str">
            <v>TOD</v>
          </cell>
          <cell r="AQ491">
            <v>-176978.84</v>
          </cell>
          <cell r="AR491">
            <v>0</v>
          </cell>
          <cell r="AS491">
            <v>0</v>
          </cell>
          <cell r="AT491">
            <v>0</v>
          </cell>
          <cell r="AU491">
            <v>0</v>
          </cell>
          <cell r="AV491">
            <v>0</v>
          </cell>
          <cell r="AW491">
            <v>29723</v>
          </cell>
          <cell r="AX491">
            <v>37572</v>
          </cell>
          <cell r="AY491">
            <v>37572</v>
          </cell>
          <cell r="AZ491">
            <v>810.8</v>
          </cell>
          <cell r="BA491">
            <v>122.56</v>
          </cell>
        </row>
        <row r="492">
          <cell r="F492">
            <v>611000000094</v>
          </cell>
          <cell r="G492" t="str">
            <v>M/S NU Vista Limited</v>
          </cell>
          <cell r="H492" t="str">
            <v>MANTIRA,KALINGANAGARJAJPUR</v>
          </cell>
          <cell r="I492" t="str">
            <v>10/31/2020 00:00:00</v>
          </cell>
          <cell r="J492">
            <v>1</v>
          </cell>
          <cell r="K492" t="str">
            <v xml:space="preserve"> </v>
          </cell>
          <cell r="L492" t="str">
            <v xml:space="preserve"> </v>
          </cell>
          <cell r="M492" t="str">
            <v>611000010232515870</v>
          </cell>
          <cell r="N492" t="str">
            <v>6110000091</v>
          </cell>
          <cell r="O492" t="str">
            <v>L-4736</v>
          </cell>
          <cell r="P492" t="str">
            <v>NULL</v>
          </cell>
          <cell r="Q492" t="str">
            <v>LARGE INDUSTRY</v>
          </cell>
          <cell r="R492" t="str">
            <v>EHT</v>
          </cell>
          <cell r="S492" t="str">
            <v>04/10/2023</v>
          </cell>
          <cell r="T492" t="str">
            <v>04/10/2023</v>
          </cell>
          <cell r="U492" t="str">
            <v>07/10/2023</v>
          </cell>
          <cell r="V492" t="str">
            <v>11/10/2023</v>
          </cell>
          <cell r="W492" t="str">
            <v>2023/09</v>
          </cell>
          <cell r="X492" t="str">
            <v>220 KV</v>
          </cell>
          <cell r="Y492" t="str">
            <v>HT</v>
          </cell>
          <cell r="Z492">
            <v>11340</v>
          </cell>
          <cell r="AA492">
            <v>0.99809999999999999</v>
          </cell>
          <cell r="AB492">
            <v>28.57</v>
          </cell>
          <cell r="AC492" t="str">
            <v xml:space="preserve">01/09/2023 -     </v>
          </cell>
          <cell r="AD492" t="str">
            <v>30.09.2023</v>
          </cell>
          <cell r="AE492" t="str">
            <v>30/1.0000</v>
          </cell>
          <cell r="AF492">
            <v>13000</v>
          </cell>
          <cell r="AG492" t="str">
            <v>KVA</v>
          </cell>
          <cell r="AH492">
            <v>13000</v>
          </cell>
          <cell r="AI492" t="str">
            <v>R</v>
          </cell>
          <cell r="AJ492">
            <v>41857645</v>
          </cell>
          <cell r="AK492" t="str">
            <v>30/09/2023</v>
          </cell>
          <cell r="AL492" t="str">
            <v>NSC95195</v>
          </cell>
          <cell r="AM492" t="str">
            <v>THREE PHASE HT CT METER-33KV</v>
          </cell>
          <cell r="AN492" t="str">
            <v>POST PAID</v>
          </cell>
          <cell r="AO492">
            <v>20000</v>
          </cell>
          <cell r="AP492" t="str">
            <v>TOD</v>
          </cell>
          <cell r="AQ492">
            <v>7488693.7999999998</v>
          </cell>
          <cell r="AR492">
            <v>0</v>
          </cell>
          <cell r="AS492">
            <v>0</v>
          </cell>
          <cell r="AT492">
            <v>0</v>
          </cell>
          <cell r="AU492">
            <v>0</v>
          </cell>
          <cell r="AV492">
            <v>0</v>
          </cell>
          <cell r="AW492">
            <v>2328300</v>
          </cell>
          <cell r="AX492">
            <v>2332500</v>
          </cell>
          <cell r="AY492">
            <v>2332500</v>
          </cell>
          <cell r="AZ492">
            <v>18.899999999999999</v>
          </cell>
          <cell r="BA492">
            <v>11340</v>
          </cell>
        </row>
        <row r="493">
          <cell r="F493">
            <v>611000000095</v>
          </cell>
          <cell r="G493" t="str">
            <v>M/S KRUPALU SOLVENT</v>
          </cell>
          <cell r="H493" t="str">
            <v>PATHARPADA,PANIKOILI</v>
          </cell>
          <cell r="I493" t="str">
            <v>10/31/2020 00:00:00</v>
          </cell>
          <cell r="J493">
            <v>1</v>
          </cell>
          <cell r="K493" t="str">
            <v xml:space="preserve"> </v>
          </cell>
          <cell r="L493" t="str">
            <v xml:space="preserve"> </v>
          </cell>
          <cell r="M493" t="str">
            <v>611000010232494995</v>
          </cell>
          <cell r="N493" t="str">
            <v>6110000092</v>
          </cell>
          <cell r="O493" t="str">
            <v>L-4749</v>
          </cell>
          <cell r="P493" t="str">
            <v>46107418004</v>
          </cell>
          <cell r="Q493" t="str">
            <v>LARGE INDUSTRY</v>
          </cell>
          <cell r="R493" t="str">
            <v>HT</v>
          </cell>
          <cell r="S493" t="str">
            <v>01/10/2023</v>
          </cell>
          <cell r="T493" t="str">
            <v>01/10/2023</v>
          </cell>
          <cell r="U493" t="str">
            <v>06/10/2023</v>
          </cell>
          <cell r="V493" t="str">
            <v>09/10/2023</v>
          </cell>
          <cell r="W493" t="str">
            <v>2023/09</v>
          </cell>
          <cell r="X493" t="str">
            <v>33 KV</v>
          </cell>
          <cell r="Y493" t="str">
            <v>HT</v>
          </cell>
          <cell r="Z493">
            <v>451.2</v>
          </cell>
          <cell r="AA493">
            <v>0.99670000000000003</v>
          </cell>
          <cell r="AB493">
            <v>38.17</v>
          </cell>
          <cell r="AC493" t="str">
            <v xml:space="preserve">01/09/2023 -     </v>
          </cell>
          <cell r="AD493" t="str">
            <v>30.09.2023</v>
          </cell>
          <cell r="AE493" t="str">
            <v>30/1.0000</v>
          </cell>
          <cell r="AF493">
            <v>465</v>
          </cell>
          <cell r="AG493" t="str">
            <v>KVA</v>
          </cell>
          <cell r="AH493">
            <v>465</v>
          </cell>
          <cell r="AI493" t="str">
            <v>R</v>
          </cell>
          <cell r="AJ493">
            <v>1485266.56</v>
          </cell>
          <cell r="AK493" t="str">
            <v>30/09/2023</v>
          </cell>
          <cell r="AL493" t="str">
            <v>NSC94766</v>
          </cell>
          <cell r="AM493" t="str">
            <v>THREE PHASE HT CT METER-33KV</v>
          </cell>
          <cell r="AN493" t="str">
            <v>POST PAID</v>
          </cell>
          <cell r="AO493">
            <v>1500</v>
          </cell>
          <cell r="AP493" t="str">
            <v>TOD</v>
          </cell>
          <cell r="AQ493">
            <v>-673479.7</v>
          </cell>
          <cell r="AR493">
            <v>0</v>
          </cell>
          <cell r="AS493">
            <v>0</v>
          </cell>
          <cell r="AT493">
            <v>0</v>
          </cell>
          <cell r="AU493">
            <v>0</v>
          </cell>
          <cell r="AV493">
            <v>0</v>
          </cell>
          <cell r="AW493">
            <v>0</v>
          </cell>
          <cell r="AX493">
            <v>0</v>
          </cell>
          <cell r="AY493">
            <v>124014</v>
          </cell>
          <cell r="AZ493">
            <v>0</v>
          </cell>
          <cell r="BA493">
            <v>0</v>
          </cell>
        </row>
        <row r="494">
          <cell r="F494">
            <v>611000000096</v>
          </cell>
          <cell r="G494" t="str">
            <v>M/S NEZONE TUBES (UTKAL) LTD.</v>
          </cell>
          <cell r="H494" t="str">
            <v>KALINGANAGAR,JAJPUR</v>
          </cell>
          <cell r="I494" t="str">
            <v>10/31/2020 00:00:00</v>
          </cell>
          <cell r="J494">
            <v>1</v>
          </cell>
          <cell r="K494" t="str">
            <v xml:space="preserve"> </v>
          </cell>
          <cell r="L494" t="str">
            <v xml:space="preserve"> </v>
          </cell>
          <cell r="M494" t="str">
            <v>611000010231494269</v>
          </cell>
          <cell r="N494" t="str">
            <v>6110000093</v>
          </cell>
          <cell r="O494" t="str">
            <v>L-4786</v>
          </cell>
          <cell r="P494" t="str">
            <v>46187417002</v>
          </cell>
          <cell r="Q494" t="str">
            <v>LARGE INDUSTRY</v>
          </cell>
          <cell r="R494" t="str">
            <v>HT</v>
          </cell>
          <cell r="S494" t="str">
            <v>01/10/2023</v>
          </cell>
          <cell r="T494" t="str">
            <v>01/10/2023</v>
          </cell>
          <cell r="U494" t="str">
            <v>06/10/2023</v>
          </cell>
          <cell r="V494" t="str">
            <v>09/10/2023</v>
          </cell>
          <cell r="W494" t="str">
            <v>2023/09</v>
          </cell>
          <cell r="X494" t="str">
            <v>33 KV</v>
          </cell>
          <cell r="Y494" t="str">
            <v>HT</v>
          </cell>
          <cell r="Z494">
            <v>2018.4</v>
          </cell>
          <cell r="AA494">
            <v>0.9768</v>
          </cell>
          <cell r="AB494">
            <v>56.02</v>
          </cell>
          <cell r="AC494" t="str">
            <v xml:space="preserve">01/09/2023 -     </v>
          </cell>
          <cell r="AD494" t="str">
            <v>30.09.2023</v>
          </cell>
          <cell r="AE494" t="str">
            <v>30/1.0000</v>
          </cell>
          <cell r="AF494">
            <v>2223</v>
          </cell>
          <cell r="AG494" t="str">
            <v>KVA</v>
          </cell>
          <cell r="AH494">
            <v>2223</v>
          </cell>
          <cell r="AI494" t="str">
            <v>R</v>
          </cell>
          <cell r="AJ494">
            <v>11361664</v>
          </cell>
          <cell r="AK494" t="str">
            <v>30/09/2023</v>
          </cell>
          <cell r="AL494" t="str">
            <v>NSC94919</v>
          </cell>
          <cell r="AM494" t="str">
            <v>THREE PHASE HT CT METER-33KV</v>
          </cell>
          <cell r="AN494" t="str">
            <v>POST PAID</v>
          </cell>
          <cell r="AO494">
            <v>3000</v>
          </cell>
          <cell r="AP494" t="str">
            <v>TOD</v>
          </cell>
          <cell r="AQ494">
            <v>-3050943.4</v>
          </cell>
          <cell r="AR494">
            <v>0</v>
          </cell>
          <cell r="AS494">
            <v>0</v>
          </cell>
          <cell r="AT494">
            <v>0</v>
          </cell>
          <cell r="AU494">
            <v>0</v>
          </cell>
          <cell r="AV494">
            <v>0</v>
          </cell>
          <cell r="AW494">
            <v>795240</v>
          </cell>
          <cell r="AX494">
            <v>814110</v>
          </cell>
          <cell r="AY494">
            <v>814110</v>
          </cell>
          <cell r="AZ494">
            <v>13478.4</v>
          </cell>
          <cell r="BA494">
            <v>2018.3999999999999</v>
          </cell>
        </row>
        <row r="495">
          <cell r="F495">
            <v>611000000097</v>
          </cell>
          <cell r="G495" t="str">
            <v>Mr. SRI SHIV RATAN MASKARA</v>
          </cell>
          <cell r="H495" t="str">
            <v>CHORDA BY PASS,JAJPUR ROAD</v>
          </cell>
          <cell r="I495" t="str">
            <v>10/31/2020 00:00:00</v>
          </cell>
          <cell r="J495">
            <v>1</v>
          </cell>
          <cell r="K495" t="str">
            <v xml:space="preserve"> </v>
          </cell>
          <cell r="L495" t="str">
            <v xml:space="preserve"> </v>
          </cell>
          <cell r="M495" t="str">
            <v>611000010231494449</v>
          </cell>
          <cell r="N495" t="str">
            <v>6110000094</v>
          </cell>
          <cell r="O495" t="str">
            <v>L-4787</v>
          </cell>
          <cell r="P495" t="str">
            <v>461111203</v>
          </cell>
          <cell r="Q495" t="str">
            <v>GENERAL PURPOSE &gt;= 110 KVA</v>
          </cell>
          <cell r="R495" t="str">
            <v>HT</v>
          </cell>
          <cell r="S495" t="str">
            <v>01/10/2023</v>
          </cell>
          <cell r="T495" t="str">
            <v>01/10/2023</v>
          </cell>
          <cell r="U495" t="str">
            <v>06/10/2023</v>
          </cell>
          <cell r="V495" t="str">
            <v>09/10/2023</v>
          </cell>
          <cell r="W495" t="str">
            <v>2023/09</v>
          </cell>
          <cell r="X495" t="str">
            <v>11 KV</v>
          </cell>
          <cell r="Y495" t="str">
            <v>HT</v>
          </cell>
          <cell r="Z495">
            <v>264</v>
          </cell>
          <cell r="AA495">
            <v>0.99199999999999999</v>
          </cell>
          <cell r="AB495">
            <v>31.38</v>
          </cell>
          <cell r="AC495" t="str">
            <v xml:space="preserve">01/09/2023 -     </v>
          </cell>
          <cell r="AD495" t="str">
            <v>30.09.2023</v>
          </cell>
          <cell r="AE495" t="str">
            <v>30/1.0000</v>
          </cell>
          <cell r="AF495">
            <v>330</v>
          </cell>
          <cell r="AG495" t="str">
            <v>KVA</v>
          </cell>
          <cell r="AH495">
            <v>330</v>
          </cell>
          <cell r="AI495" t="str">
            <v>R</v>
          </cell>
          <cell r="AJ495">
            <v>965976</v>
          </cell>
          <cell r="AK495" t="str">
            <v>30/09/2023</v>
          </cell>
          <cell r="AL495" t="str">
            <v>NSC94796</v>
          </cell>
          <cell r="AM495" t="str">
            <v>THREE PHASE STATIC TRI-VECTOR METER-TOD</v>
          </cell>
          <cell r="AN495" t="str">
            <v>POST PAID</v>
          </cell>
          <cell r="AO495">
            <v>500</v>
          </cell>
          <cell r="AP495" t="str">
            <v>TOD</v>
          </cell>
          <cell r="AQ495">
            <v>-228818.66</v>
          </cell>
          <cell r="AR495">
            <v>0</v>
          </cell>
          <cell r="AS495">
            <v>0</v>
          </cell>
          <cell r="AT495">
            <v>0</v>
          </cell>
          <cell r="AU495">
            <v>0</v>
          </cell>
          <cell r="AV495">
            <v>0</v>
          </cell>
          <cell r="AW495">
            <v>47067</v>
          </cell>
          <cell r="AX495">
            <v>47445</v>
          </cell>
          <cell r="AY495">
            <v>47445</v>
          </cell>
          <cell r="AZ495">
            <v>1598.4</v>
          </cell>
          <cell r="BA495">
            <v>210</v>
          </cell>
        </row>
        <row r="496">
          <cell r="F496">
            <v>611000000098</v>
          </cell>
          <cell r="G496" t="str">
            <v>M/S OMC LTD.</v>
          </cell>
          <cell r="H496" t="str">
            <v>OMC COLONY,F.C. PLANT ROADDHABALGIRI, JAJPUR</v>
          </cell>
          <cell r="I496" t="str">
            <v>10/31/2020 00:00:00</v>
          </cell>
          <cell r="J496">
            <v>1</v>
          </cell>
          <cell r="K496" t="str">
            <v xml:space="preserve"> </v>
          </cell>
          <cell r="L496" t="str">
            <v xml:space="preserve"> </v>
          </cell>
          <cell r="M496" t="str">
            <v>611000010231494489</v>
          </cell>
          <cell r="N496" t="str">
            <v>6110000095</v>
          </cell>
          <cell r="O496" t="str">
            <v>L-4788</v>
          </cell>
          <cell r="P496" t="str">
            <v>461111402</v>
          </cell>
          <cell r="Q496" t="str">
            <v>GENERAL PURPOSE &gt;= 110 KVA</v>
          </cell>
          <cell r="R496" t="str">
            <v>HT</v>
          </cell>
          <cell r="S496" t="str">
            <v>01/10/2023</v>
          </cell>
          <cell r="T496" t="str">
            <v>01/10/2023</v>
          </cell>
          <cell r="U496" t="str">
            <v>06/10/2023</v>
          </cell>
          <cell r="V496" t="str">
            <v>09/10/2023</v>
          </cell>
          <cell r="W496" t="str">
            <v>2023/09</v>
          </cell>
          <cell r="X496" t="str">
            <v>11 KV</v>
          </cell>
          <cell r="Y496" t="str">
            <v>HT</v>
          </cell>
          <cell r="Z496">
            <v>160</v>
          </cell>
          <cell r="AA496">
            <v>0.97929999999999995</v>
          </cell>
          <cell r="AB496">
            <v>51.23</v>
          </cell>
          <cell r="AC496" t="str">
            <v xml:space="preserve">01/09/2023 -     </v>
          </cell>
          <cell r="AD496" t="str">
            <v>30.09.2023</v>
          </cell>
          <cell r="AE496" t="str">
            <v>30/1.0000</v>
          </cell>
          <cell r="AF496">
            <v>200</v>
          </cell>
          <cell r="AG496" t="str">
            <v>KVA</v>
          </cell>
          <cell r="AH496">
            <v>200</v>
          </cell>
          <cell r="AI496" t="str">
            <v>R</v>
          </cell>
          <cell r="AJ496">
            <v>496016</v>
          </cell>
          <cell r="AK496" t="str">
            <v>30/09/2023</v>
          </cell>
          <cell r="AL496" t="str">
            <v>NSC94773</v>
          </cell>
          <cell r="AM496" t="str">
            <v>TRI-VECTOR METER FOR RAILWAY TRACTION</v>
          </cell>
          <cell r="AN496" t="str">
            <v>POST PAID</v>
          </cell>
          <cell r="AO496">
            <v>250</v>
          </cell>
          <cell r="AP496" t="str">
            <v>TOD</v>
          </cell>
          <cell r="AQ496">
            <v>-62278.2</v>
          </cell>
          <cell r="AR496">
            <v>0</v>
          </cell>
          <cell r="AS496">
            <v>0</v>
          </cell>
          <cell r="AT496">
            <v>0</v>
          </cell>
          <cell r="AU496">
            <v>0</v>
          </cell>
          <cell r="AV496">
            <v>0</v>
          </cell>
          <cell r="AW496">
            <v>29244</v>
          </cell>
          <cell r="AX496">
            <v>29862</v>
          </cell>
          <cell r="AY496">
            <v>29862</v>
          </cell>
          <cell r="AZ496">
            <v>650.55999999999995</v>
          </cell>
          <cell r="BA496">
            <v>80.959999999999994</v>
          </cell>
        </row>
        <row r="497">
          <cell r="F497">
            <v>611000000099</v>
          </cell>
          <cell r="G497" t="str">
            <v>M/S BAIT LOGITECH (P) LTD</v>
          </cell>
          <cell r="H497" t="str">
            <v>MANTIRA,KALINGANAGARJAJPUR</v>
          </cell>
          <cell r="I497" t="str">
            <v>10/31/2020 00:00:00</v>
          </cell>
          <cell r="J497">
            <v>1</v>
          </cell>
          <cell r="K497" t="str">
            <v xml:space="preserve"> </v>
          </cell>
          <cell r="L497" t="str">
            <v xml:space="preserve"> </v>
          </cell>
          <cell r="M497" t="str">
            <v>611000010231494342</v>
          </cell>
          <cell r="N497" t="str">
            <v>6110000096</v>
          </cell>
          <cell r="O497" t="str">
            <v>L-4989</v>
          </cell>
          <cell r="P497" t="str">
            <v>46187417002</v>
          </cell>
          <cell r="Q497" t="str">
            <v>TEMP. SUPPLY LARGE INDUSTRY</v>
          </cell>
          <cell r="R497" t="str">
            <v>HT</v>
          </cell>
          <cell r="S497" t="str">
            <v>01/10/2023</v>
          </cell>
          <cell r="T497" t="str">
            <v>01/10/2023</v>
          </cell>
          <cell r="U497" t="str">
            <v>06/10/2023</v>
          </cell>
          <cell r="V497" t="str">
            <v>09/10/2023</v>
          </cell>
          <cell r="W497" t="str">
            <v>2023/09</v>
          </cell>
          <cell r="X497" t="str">
            <v>33 KV</v>
          </cell>
          <cell r="Y497" t="str">
            <v>HT</v>
          </cell>
          <cell r="Z497">
            <v>320</v>
          </cell>
          <cell r="AA497">
            <v>1</v>
          </cell>
          <cell r="AB497">
            <v>51.87</v>
          </cell>
          <cell r="AC497" t="str">
            <v xml:space="preserve">01/09/2023 -     </v>
          </cell>
          <cell r="AD497" t="str">
            <v>30.09.2023</v>
          </cell>
          <cell r="AE497" t="str">
            <v>30/1.0000</v>
          </cell>
          <cell r="AF497">
            <v>400</v>
          </cell>
          <cell r="AG497" t="str">
            <v>KVA</v>
          </cell>
          <cell r="AH497">
            <v>400</v>
          </cell>
          <cell r="AI497" t="str">
            <v>R</v>
          </cell>
          <cell r="AJ497">
            <v>2836583</v>
          </cell>
          <cell r="AK497" t="str">
            <v>30/09/2023</v>
          </cell>
          <cell r="AL497" t="str">
            <v>NSC94703</v>
          </cell>
          <cell r="AM497" t="str">
            <v>THREE PHASE HT CT METER-33KV</v>
          </cell>
          <cell r="AN497" t="str">
            <v>POST PAID</v>
          </cell>
          <cell r="AO497">
            <v>500</v>
          </cell>
          <cell r="AP497" t="str">
            <v>TOD</v>
          </cell>
          <cell r="AQ497">
            <v>-2448333.54</v>
          </cell>
          <cell r="AR497">
            <v>0</v>
          </cell>
          <cell r="AS497">
            <v>0</v>
          </cell>
          <cell r="AT497">
            <v>0</v>
          </cell>
          <cell r="AU497">
            <v>0</v>
          </cell>
          <cell r="AV497">
            <v>0</v>
          </cell>
          <cell r="AW497">
            <v>4302</v>
          </cell>
          <cell r="AX497">
            <v>4302</v>
          </cell>
          <cell r="AY497">
            <v>4302</v>
          </cell>
          <cell r="AZ497">
            <v>512.64</v>
          </cell>
          <cell r="BA497">
            <v>11.52</v>
          </cell>
        </row>
        <row r="498">
          <cell r="F498">
            <v>611000000100</v>
          </cell>
          <cell r="G498" t="str">
            <v>M/S JSW CEMENT LTD.</v>
          </cell>
          <cell r="H498" t="str">
            <v>KALINGANAGAR INDUSTRIAL COMPLEX</v>
          </cell>
          <cell r="I498" t="str">
            <v>10/31/2020 00:00:00</v>
          </cell>
          <cell r="J498">
            <v>1</v>
          </cell>
          <cell r="K498" t="str">
            <v xml:space="preserve"> </v>
          </cell>
          <cell r="L498" t="str">
            <v xml:space="preserve"> </v>
          </cell>
          <cell r="M498" t="str">
            <v>611000010232515991</v>
          </cell>
          <cell r="N498" t="str">
            <v>6110000097</v>
          </cell>
          <cell r="O498" t="str">
            <v>L-5063</v>
          </cell>
          <cell r="P498" t="str">
            <v>NULL</v>
          </cell>
          <cell r="Q498" t="str">
            <v>LARGE INDUSTRY</v>
          </cell>
          <cell r="R498" t="str">
            <v>EHT</v>
          </cell>
          <cell r="S498" t="str">
            <v>05/10/2023</v>
          </cell>
          <cell r="T498" t="str">
            <v>05/10/2023</v>
          </cell>
          <cell r="U498" t="str">
            <v>09/10/2023</v>
          </cell>
          <cell r="V498" t="str">
            <v>12/10/2023</v>
          </cell>
          <cell r="W498" t="str">
            <v>2023/09</v>
          </cell>
          <cell r="X498" t="str">
            <v>132 KV</v>
          </cell>
          <cell r="Y498" t="str">
            <v>HT</v>
          </cell>
          <cell r="Z498">
            <v>6400</v>
          </cell>
          <cell r="AA498">
            <v>0.99019999999999997</v>
          </cell>
          <cell r="AB498">
            <v>50.83</v>
          </cell>
          <cell r="AC498" t="str">
            <v xml:space="preserve">01/09/2023 -     </v>
          </cell>
          <cell r="AD498" t="str">
            <v>30.09.2023</v>
          </cell>
          <cell r="AE498" t="str">
            <v>30/1.0000</v>
          </cell>
          <cell r="AF498">
            <v>8000</v>
          </cell>
          <cell r="AG498" t="str">
            <v>KVA</v>
          </cell>
          <cell r="AH498">
            <v>8000</v>
          </cell>
          <cell r="AI498" t="str">
            <v>R</v>
          </cell>
          <cell r="AJ498">
            <v>40524800</v>
          </cell>
          <cell r="AK498" t="str">
            <v>30/09/2023</v>
          </cell>
          <cell r="AL498" t="str">
            <v>NSC95185</v>
          </cell>
          <cell r="AM498" t="str">
            <v>THREE PHASE HT CT METER-33KV</v>
          </cell>
          <cell r="AN498" t="str">
            <v>POST PAID</v>
          </cell>
          <cell r="AO498">
            <v>31500</v>
          </cell>
          <cell r="AP498" t="str">
            <v>TOD</v>
          </cell>
          <cell r="AQ498">
            <v>-22697072.399999999</v>
          </cell>
          <cell r="AR498">
            <v>0</v>
          </cell>
          <cell r="AS498">
            <v>0</v>
          </cell>
          <cell r="AT498">
            <v>0</v>
          </cell>
          <cell r="AU498">
            <v>0</v>
          </cell>
          <cell r="AV498">
            <v>0</v>
          </cell>
          <cell r="AW498">
            <v>1578600</v>
          </cell>
          <cell r="AX498">
            <v>1594080</v>
          </cell>
          <cell r="AY498">
            <v>1594080</v>
          </cell>
          <cell r="AZ498">
            <v>18</v>
          </cell>
          <cell r="BA498">
            <v>4320</v>
          </cell>
        </row>
        <row r="499">
          <cell r="F499">
            <v>611000000101</v>
          </cell>
          <cell r="G499" t="str">
            <v>M/S UTKAL BUILDERS LTD</v>
          </cell>
          <cell r="H499" t="str">
            <v>CHORDA BY PASS,JAJPUR ROAD</v>
          </cell>
          <cell r="I499" t="str">
            <v>10/31/2020 00:00:00</v>
          </cell>
          <cell r="J499">
            <v>1</v>
          </cell>
          <cell r="K499" t="str">
            <v xml:space="preserve"> </v>
          </cell>
          <cell r="L499" t="str">
            <v xml:space="preserve"> </v>
          </cell>
          <cell r="M499" t="str">
            <v>611000010231494532</v>
          </cell>
          <cell r="N499" t="str">
            <v>6110000098</v>
          </cell>
          <cell r="O499" t="str">
            <v>L-5072</v>
          </cell>
          <cell r="P499" t="str">
            <v>46107418002</v>
          </cell>
          <cell r="Q499" t="str">
            <v>GENERAL PURPOSE &gt;= 110 KVA</v>
          </cell>
          <cell r="R499" t="str">
            <v>HT</v>
          </cell>
          <cell r="S499" t="str">
            <v>01/10/2023</v>
          </cell>
          <cell r="T499" t="str">
            <v>01/10/2023</v>
          </cell>
          <cell r="U499" t="str">
            <v>06/10/2023</v>
          </cell>
          <cell r="V499" t="str">
            <v>09/10/2023</v>
          </cell>
          <cell r="W499" t="str">
            <v>2023/09</v>
          </cell>
          <cell r="X499" t="str">
            <v>33 KV</v>
          </cell>
          <cell r="Y499" t="str">
            <v>HT</v>
          </cell>
          <cell r="Z499">
            <v>444</v>
          </cell>
          <cell r="AA499">
            <v>0.97570000000000001</v>
          </cell>
          <cell r="AB499">
            <v>37.64</v>
          </cell>
          <cell r="AC499" t="str">
            <v xml:space="preserve">01/09/2023 -     </v>
          </cell>
          <cell r="AD499" t="str">
            <v>30.09.2023</v>
          </cell>
          <cell r="AE499" t="str">
            <v>30/1.0000</v>
          </cell>
          <cell r="AF499">
            <v>555</v>
          </cell>
          <cell r="AG499" t="str">
            <v>KVA</v>
          </cell>
          <cell r="AH499">
            <v>555</v>
          </cell>
          <cell r="AI499" t="str">
            <v>R</v>
          </cell>
          <cell r="AJ499">
            <v>1984064</v>
          </cell>
          <cell r="AK499" t="str">
            <v>30/09/2023</v>
          </cell>
          <cell r="AL499" t="str">
            <v>TPCANES50207</v>
          </cell>
          <cell r="AM499" t="str">
            <v>THREE PHASE HT CT METER-33KV</v>
          </cell>
          <cell r="AN499" t="str">
            <v>POST PAID</v>
          </cell>
          <cell r="AO499">
            <v>1500</v>
          </cell>
          <cell r="AP499" t="str">
            <v>TOD</v>
          </cell>
          <cell r="AQ499">
            <v>-1136745.8</v>
          </cell>
          <cell r="AR499">
            <v>0</v>
          </cell>
          <cell r="AS499">
            <v>0</v>
          </cell>
          <cell r="AT499">
            <v>0</v>
          </cell>
          <cell r="AU499">
            <v>0</v>
          </cell>
          <cell r="AV499">
            <v>0</v>
          </cell>
          <cell r="AW499">
            <v>85926</v>
          </cell>
          <cell r="AX499">
            <v>88062</v>
          </cell>
          <cell r="AY499">
            <v>88062</v>
          </cell>
          <cell r="AZ499">
            <v>2173.92</v>
          </cell>
          <cell r="BA499">
            <v>324.95999999999998</v>
          </cell>
        </row>
        <row r="500">
          <cell r="F500">
            <v>611000000102</v>
          </cell>
          <cell r="G500" t="str">
            <v>M/S ROOTS CORPORATION LTD.</v>
          </cell>
          <cell r="H500" t="str">
            <v>KHURUNTI,KALINGANAGARPIN- 755026</v>
          </cell>
          <cell r="I500" t="str">
            <v>10/31/2020 00:00:00</v>
          </cell>
          <cell r="J500">
            <v>1</v>
          </cell>
          <cell r="K500" t="str">
            <v xml:space="preserve"> </v>
          </cell>
          <cell r="L500" t="str">
            <v xml:space="preserve"> </v>
          </cell>
          <cell r="M500" t="str">
            <v>611000010231494390</v>
          </cell>
          <cell r="N500" t="str">
            <v>6110000099</v>
          </cell>
          <cell r="O500" t="str">
            <v>L-5125</v>
          </cell>
          <cell r="P500" t="str">
            <v>46187417002</v>
          </cell>
          <cell r="Q500" t="str">
            <v>GENERAL PURPOSE &gt;= 110 KVA</v>
          </cell>
          <cell r="R500" t="str">
            <v>HT</v>
          </cell>
          <cell r="S500" t="str">
            <v>01/10/2023</v>
          </cell>
          <cell r="T500" t="str">
            <v>01/10/2023</v>
          </cell>
          <cell r="U500" t="str">
            <v>06/10/2023</v>
          </cell>
          <cell r="V500" t="str">
            <v>09/10/2023</v>
          </cell>
          <cell r="W500" t="str">
            <v>2023/09</v>
          </cell>
          <cell r="X500" t="str">
            <v>33 KV</v>
          </cell>
          <cell r="Y500" t="str">
            <v>HT</v>
          </cell>
          <cell r="Z500">
            <v>288.8</v>
          </cell>
          <cell r="AA500">
            <v>0.99729999999999996</v>
          </cell>
          <cell r="AB500">
            <v>54.98</v>
          </cell>
          <cell r="AC500" t="str">
            <v xml:space="preserve">01/09/2023 -     </v>
          </cell>
          <cell r="AD500" t="str">
            <v>30.09.2023</v>
          </cell>
          <cell r="AE500" t="str">
            <v>30/1.0000</v>
          </cell>
          <cell r="AF500">
            <v>361</v>
          </cell>
          <cell r="AG500" t="str">
            <v>KVA</v>
          </cell>
          <cell r="AH500">
            <v>361</v>
          </cell>
          <cell r="AI500" t="str">
            <v>R</v>
          </cell>
          <cell r="AJ500">
            <v>895309</v>
          </cell>
          <cell r="AK500" t="str">
            <v>30/09/2023</v>
          </cell>
          <cell r="AL500" t="str">
            <v>NSC94439</v>
          </cell>
          <cell r="AM500" t="str">
            <v>THREE PHASE HT CT METER-33KV</v>
          </cell>
          <cell r="AN500" t="str">
            <v>POST PAID</v>
          </cell>
          <cell r="AO500">
            <v>500</v>
          </cell>
          <cell r="AP500" t="str">
            <v>TOD</v>
          </cell>
          <cell r="AQ500">
            <v>-257765.7</v>
          </cell>
          <cell r="AR500">
            <v>0</v>
          </cell>
          <cell r="AS500">
            <v>0</v>
          </cell>
          <cell r="AT500">
            <v>0</v>
          </cell>
          <cell r="AU500">
            <v>0</v>
          </cell>
          <cell r="AV500">
            <v>0</v>
          </cell>
          <cell r="AW500">
            <v>52017</v>
          </cell>
          <cell r="AX500">
            <v>52155</v>
          </cell>
          <cell r="AY500">
            <v>52155</v>
          </cell>
          <cell r="AZ500">
            <v>934.32</v>
          </cell>
          <cell r="BA500">
            <v>131.76</v>
          </cell>
        </row>
        <row r="501">
          <cell r="F501">
            <v>611000000103</v>
          </cell>
          <cell r="G501" t="str">
            <v>M/S JAJPUR CEMENTS (P) LTD.</v>
          </cell>
          <cell r="H501" t="str">
            <v>TANGARASAHI,MANTIRA KALINGANAGARPIN-755026</v>
          </cell>
          <cell r="I501" t="str">
            <v>10/31/2020 00:00:00</v>
          </cell>
          <cell r="J501">
            <v>1</v>
          </cell>
          <cell r="K501" t="str">
            <v xml:space="preserve"> </v>
          </cell>
          <cell r="L501" t="str">
            <v xml:space="preserve"> </v>
          </cell>
          <cell r="M501" t="str">
            <v>611000010231494429</v>
          </cell>
          <cell r="N501" t="str">
            <v>6110000100</v>
          </cell>
          <cell r="O501" t="str">
            <v>L-5151</v>
          </cell>
          <cell r="P501" t="str">
            <v>NULL</v>
          </cell>
          <cell r="Q501" t="str">
            <v>LARGE INDUSTRY</v>
          </cell>
          <cell r="R501" t="str">
            <v>HT</v>
          </cell>
          <cell r="S501" t="str">
            <v>01/10/2023</v>
          </cell>
          <cell r="T501" t="str">
            <v>01/10/2023</v>
          </cell>
          <cell r="U501" t="str">
            <v>06/10/2023</v>
          </cell>
          <cell r="V501" t="str">
            <v>09/10/2023</v>
          </cell>
          <cell r="W501" t="str">
            <v>2023/09</v>
          </cell>
          <cell r="X501" t="str">
            <v>33 KV</v>
          </cell>
          <cell r="Y501" t="str">
            <v>HT</v>
          </cell>
          <cell r="Z501">
            <v>6547.2</v>
          </cell>
          <cell r="AA501">
            <v>0.99639999999999995</v>
          </cell>
          <cell r="AB501">
            <v>31.21</v>
          </cell>
          <cell r="AC501" t="str">
            <v xml:space="preserve">01/09/2023 -     </v>
          </cell>
          <cell r="AD501" t="str">
            <v>30.09.2023</v>
          </cell>
          <cell r="AE501" t="str">
            <v>30/1.0000</v>
          </cell>
          <cell r="AF501">
            <v>8000</v>
          </cell>
          <cell r="AG501" t="str">
            <v>KVA</v>
          </cell>
          <cell r="AH501">
            <v>8000</v>
          </cell>
          <cell r="AI501" t="str">
            <v>R</v>
          </cell>
          <cell r="AJ501">
            <v>50198435</v>
          </cell>
          <cell r="AK501" t="str">
            <v>30/09/2023</v>
          </cell>
          <cell r="AL501" t="str">
            <v>NSC94767</v>
          </cell>
          <cell r="AM501" t="str">
            <v>THREE PHASE HT CT METER-33KV</v>
          </cell>
          <cell r="AN501" t="str">
            <v>POST PAID</v>
          </cell>
          <cell r="AO501">
            <v>15000</v>
          </cell>
          <cell r="AP501" t="str">
            <v>TOD</v>
          </cell>
          <cell r="AQ501">
            <v>-47731601.399999999</v>
          </cell>
          <cell r="AR501">
            <v>0</v>
          </cell>
          <cell r="AS501">
            <v>0</v>
          </cell>
          <cell r="AT501">
            <v>0</v>
          </cell>
          <cell r="AU501">
            <v>0</v>
          </cell>
          <cell r="AV501">
            <v>0</v>
          </cell>
          <cell r="AW501">
            <v>1465980</v>
          </cell>
          <cell r="AX501">
            <v>1471200</v>
          </cell>
          <cell r="AY501">
            <v>1471200</v>
          </cell>
          <cell r="AZ501">
            <v>44908.800000000003</v>
          </cell>
          <cell r="BA501">
            <v>6547.2</v>
          </cell>
        </row>
        <row r="502">
          <cell r="F502">
            <v>611000000104</v>
          </cell>
          <cell r="G502" t="str">
            <v>SUSHIL KUMAR PATRA</v>
          </cell>
          <cell r="H502" t="str">
            <v>BANK STREET,JAJPUR ROADJAJPUR</v>
          </cell>
          <cell r="I502" t="str">
            <v>10/31/2020 00:00:00</v>
          </cell>
          <cell r="J502">
            <v>1</v>
          </cell>
          <cell r="K502" t="str">
            <v xml:space="preserve"> </v>
          </cell>
          <cell r="L502" t="str">
            <v xml:space="preserve"> </v>
          </cell>
          <cell r="M502" t="str">
            <v>611000010231494568</v>
          </cell>
          <cell r="N502" t="str">
            <v>6110000101</v>
          </cell>
          <cell r="O502" t="str">
            <v>L-5282</v>
          </cell>
          <cell r="P502" t="str">
            <v>461111203</v>
          </cell>
          <cell r="Q502" t="str">
            <v>GENERAL PURPOSE &gt;= 110 KVA</v>
          </cell>
          <cell r="R502" t="str">
            <v>HT</v>
          </cell>
          <cell r="S502" t="str">
            <v>01/10/2023</v>
          </cell>
          <cell r="T502" t="str">
            <v>01/10/2023</v>
          </cell>
          <cell r="U502" t="str">
            <v>06/10/2023</v>
          </cell>
          <cell r="V502" t="str">
            <v>09/10/2023</v>
          </cell>
          <cell r="W502" t="str">
            <v>2023/09</v>
          </cell>
          <cell r="X502" t="str">
            <v>11 KV</v>
          </cell>
          <cell r="Y502" t="str">
            <v>HT</v>
          </cell>
          <cell r="Z502">
            <v>142.4</v>
          </cell>
          <cell r="AA502">
            <v>0.81459999999999999</v>
          </cell>
          <cell r="AB502">
            <v>20.11</v>
          </cell>
          <cell r="AC502" t="str">
            <v xml:space="preserve">01/09/2023 -     </v>
          </cell>
          <cell r="AD502" t="str">
            <v>30.09.2023</v>
          </cell>
          <cell r="AE502" t="str">
            <v>30/1.0000</v>
          </cell>
          <cell r="AF502">
            <v>178</v>
          </cell>
          <cell r="AG502" t="str">
            <v>KVA</v>
          </cell>
          <cell r="AH502">
            <v>178</v>
          </cell>
          <cell r="AI502" t="str">
            <v>R</v>
          </cell>
          <cell r="AJ502">
            <v>478820</v>
          </cell>
          <cell r="AK502" t="str">
            <v>30/09/2023</v>
          </cell>
          <cell r="AL502" t="str">
            <v>NSC94870</v>
          </cell>
          <cell r="AM502" t="str">
            <v>SINGLE PHASE ELECTRO-MAGNETIC KWH METER-TOD</v>
          </cell>
          <cell r="AN502" t="str">
            <v>POST PAID</v>
          </cell>
          <cell r="AO502">
            <v>250</v>
          </cell>
          <cell r="AP502" t="str">
            <v>TOD</v>
          </cell>
          <cell r="AQ502">
            <v>-293779</v>
          </cell>
          <cell r="AR502">
            <v>0</v>
          </cell>
          <cell r="AS502">
            <v>0</v>
          </cell>
          <cell r="AT502">
            <v>0</v>
          </cell>
          <cell r="AU502">
            <v>0</v>
          </cell>
          <cell r="AV502">
            <v>0</v>
          </cell>
          <cell r="AW502">
            <v>13514</v>
          </cell>
          <cell r="AX502">
            <v>16588</v>
          </cell>
          <cell r="AY502">
            <v>16588</v>
          </cell>
          <cell r="AZ502">
            <v>876.48</v>
          </cell>
          <cell r="BA502">
            <v>114.56</v>
          </cell>
        </row>
        <row r="503">
          <cell r="F503">
            <v>611000000105</v>
          </cell>
          <cell r="G503" t="str">
            <v>M/S JINDAL STAINLESS CORPORATE</v>
          </cell>
          <cell r="H503" t="str">
            <v>MANAGEMENT SERVICES PVT LTD.</v>
          </cell>
          <cell r="I503" t="str">
            <v>10/31/2020 00:00:00</v>
          </cell>
          <cell r="J503">
            <v>1</v>
          </cell>
          <cell r="K503" t="str">
            <v>SPRING VILLE</v>
          </cell>
          <cell r="L503" t="str">
            <v>DANAGADI</v>
          </cell>
          <cell r="M503" t="str">
            <v>611000010231493252</v>
          </cell>
          <cell r="N503" t="str">
            <v>6110000102</v>
          </cell>
          <cell r="O503" t="str">
            <v>L-5293</v>
          </cell>
          <cell r="P503" t="str">
            <v>46187417002</v>
          </cell>
          <cell r="Q503" t="str">
            <v>BULK SUPPLY DOMESTIC</v>
          </cell>
          <cell r="R503" t="str">
            <v>HT</v>
          </cell>
          <cell r="S503" t="str">
            <v>01/10/2023</v>
          </cell>
          <cell r="T503" t="str">
            <v>01/10/2023</v>
          </cell>
          <cell r="U503" t="str">
            <v>09/10/2023</v>
          </cell>
          <cell r="V503" t="str">
            <v>09/10/2023</v>
          </cell>
          <cell r="W503" t="str">
            <v>2023/09</v>
          </cell>
          <cell r="X503" t="str">
            <v>33 KV</v>
          </cell>
          <cell r="Y503" t="str">
            <v>HT</v>
          </cell>
          <cell r="Z503">
            <v>555</v>
          </cell>
          <cell r="AA503">
            <v>0.99960000000000004</v>
          </cell>
          <cell r="AB503">
            <v>0</v>
          </cell>
          <cell r="AC503" t="str">
            <v xml:space="preserve">01/09/2023 -     </v>
          </cell>
          <cell r="AD503" t="str">
            <v>30.09.2023</v>
          </cell>
          <cell r="AE503" t="str">
            <v>30/1.0000</v>
          </cell>
          <cell r="AF503">
            <v>555</v>
          </cell>
          <cell r="AG503" t="str">
            <v>KVA</v>
          </cell>
          <cell r="AH503">
            <v>555</v>
          </cell>
          <cell r="AI503" t="str">
            <v>R</v>
          </cell>
          <cell r="AJ503">
            <v>338684</v>
          </cell>
          <cell r="AK503" t="str">
            <v>30/09/2023</v>
          </cell>
          <cell r="AL503" t="str">
            <v>NSC94478</v>
          </cell>
          <cell r="AM503" t="str">
            <v>THREE PHASE HT CT METER-33KV</v>
          </cell>
          <cell r="AN503" t="str">
            <v>POST PAID</v>
          </cell>
          <cell r="AO503">
            <v>1000</v>
          </cell>
          <cell r="AP503" t="str">
            <v>TOD</v>
          </cell>
          <cell r="AQ503">
            <v>-62928.6</v>
          </cell>
          <cell r="AR503">
            <v>0</v>
          </cell>
          <cell r="AS503">
            <v>0</v>
          </cell>
          <cell r="AT503">
            <v>0</v>
          </cell>
          <cell r="AU503">
            <v>0</v>
          </cell>
          <cell r="AV503">
            <v>0</v>
          </cell>
          <cell r="AW503">
            <v>33486</v>
          </cell>
          <cell r="AX503">
            <v>33498</v>
          </cell>
          <cell r="AY503">
            <v>33498</v>
          </cell>
          <cell r="AZ503">
            <v>776.64</v>
          </cell>
          <cell r="BA503">
            <v>101.28</v>
          </cell>
        </row>
        <row r="504">
          <cell r="F504">
            <v>611000000106</v>
          </cell>
          <cell r="G504" t="str">
            <v>SRI RATNAKAR SENAPATI</v>
          </cell>
          <cell r="H504" t="str">
            <v>PATHARPADA,PANIKOILIJAJPUR</v>
          </cell>
          <cell r="I504" t="str">
            <v>10/31/2020 00:00:00</v>
          </cell>
          <cell r="J504">
            <v>1</v>
          </cell>
          <cell r="K504" t="str">
            <v xml:space="preserve"> </v>
          </cell>
          <cell r="L504" t="str">
            <v xml:space="preserve"> </v>
          </cell>
          <cell r="M504" t="str">
            <v>611000010231494259</v>
          </cell>
          <cell r="N504" t="str">
            <v>6110000103</v>
          </cell>
          <cell r="O504" t="str">
            <v>L-5310</v>
          </cell>
          <cell r="P504" t="str">
            <v>461141104</v>
          </cell>
          <cell r="Q504" t="str">
            <v>LARGE INDUSTRY</v>
          </cell>
          <cell r="R504" t="str">
            <v>HT</v>
          </cell>
          <cell r="S504" t="str">
            <v>01/10/2023</v>
          </cell>
          <cell r="T504" t="str">
            <v>01/10/2023</v>
          </cell>
          <cell r="U504" t="str">
            <v>06/10/2023</v>
          </cell>
          <cell r="V504" t="str">
            <v>09/10/2023</v>
          </cell>
          <cell r="W504" t="str">
            <v>2023/09</v>
          </cell>
          <cell r="X504" t="str">
            <v>11 KV</v>
          </cell>
          <cell r="Y504" t="str">
            <v>HT</v>
          </cell>
          <cell r="Z504">
            <v>124.8</v>
          </cell>
          <cell r="AA504">
            <v>0.97740000000000005</v>
          </cell>
          <cell r="AB504">
            <v>25.17</v>
          </cell>
          <cell r="AC504" t="str">
            <v xml:space="preserve">01/09/2023 -     </v>
          </cell>
          <cell r="AD504" t="str">
            <v>30.09.2023</v>
          </cell>
          <cell r="AE504" t="str">
            <v>30/1.0000</v>
          </cell>
          <cell r="AF504">
            <v>156</v>
          </cell>
          <cell r="AG504" t="str">
            <v>KVA</v>
          </cell>
          <cell r="AH504">
            <v>156</v>
          </cell>
          <cell r="AI504" t="str">
            <v>R</v>
          </cell>
          <cell r="AJ504">
            <v>797310</v>
          </cell>
          <cell r="AK504" t="str">
            <v>30/09/2023</v>
          </cell>
          <cell r="AL504" t="str">
            <v>NSC94477</v>
          </cell>
          <cell r="AM504" t="str">
            <v>SINGLE PHASE ELECTRO-MAGNETIC KWH METER-TOD</v>
          </cell>
          <cell r="AN504" t="str">
            <v>POST PAID</v>
          </cell>
          <cell r="AO504">
            <v>200</v>
          </cell>
          <cell r="AP504" t="str">
            <v>TOD</v>
          </cell>
          <cell r="AQ504">
            <v>-553829.1</v>
          </cell>
          <cell r="AR504">
            <v>0</v>
          </cell>
          <cell r="AS504">
            <v>0</v>
          </cell>
          <cell r="AT504">
            <v>0</v>
          </cell>
          <cell r="AU504">
            <v>0</v>
          </cell>
          <cell r="AV504">
            <v>0</v>
          </cell>
          <cell r="AW504">
            <v>20828</v>
          </cell>
          <cell r="AX504">
            <v>21308</v>
          </cell>
          <cell r="AY504">
            <v>21308</v>
          </cell>
          <cell r="AZ504">
            <v>672.12</v>
          </cell>
          <cell r="BA504">
            <v>117.60000000000001</v>
          </cell>
        </row>
        <row r="505">
          <cell r="F505">
            <v>611000000107</v>
          </cell>
          <cell r="G505" t="str">
            <v>JAKHAPURA RIALWAY STATION</v>
          </cell>
          <cell r="H505" t="str">
            <v>JAKHAPURA,JAJPUR</v>
          </cell>
          <cell r="I505" t="str">
            <v>11/18/2020 00:00:00</v>
          </cell>
          <cell r="J505">
            <v>1</v>
          </cell>
          <cell r="K505" t="str">
            <v xml:space="preserve"> </v>
          </cell>
          <cell r="L505" t="str">
            <v xml:space="preserve"> </v>
          </cell>
          <cell r="M505" t="str">
            <v>611000010231493310</v>
          </cell>
          <cell r="N505" t="str">
            <v>6110000104</v>
          </cell>
          <cell r="O505" t="str">
            <v>L-5325</v>
          </cell>
          <cell r="P505" t="str">
            <v>461112801</v>
          </cell>
          <cell r="Q505" t="str">
            <v>GENERAL PURPOSE &gt;= 110 KVA</v>
          </cell>
          <cell r="R505" t="str">
            <v>HT</v>
          </cell>
          <cell r="S505" t="str">
            <v>01/10/2023</v>
          </cell>
          <cell r="T505" t="str">
            <v>01/10/2023</v>
          </cell>
          <cell r="U505" t="str">
            <v>06/10/2023</v>
          </cell>
          <cell r="V505" t="str">
            <v>09/10/2023</v>
          </cell>
          <cell r="W505" t="str">
            <v>2023/09</v>
          </cell>
          <cell r="X505" t="str">
            <v>11 KV</v>
          </cell>
          <cell r="Y505" t="str">
            <v>HT</v>
          </cell>
          <cell r="Z505">
            <v>154.4</v>
          </cell>
          <cell r="AA505">
            <v>0.99060000000000004</v>
          </cell>
          <cell r="AB505">
            <v>41.83</v>
          </cell>
          <cell r="AC505" t="str">
            <v xml:space="preserve">01/09/2023 -     </v>
          </cell>
          <cell r="AD505" t="str">
            <v>30.09.2023</v>
          </cell>
          <cell r="AE505" t="str">
            <v>30/1.0000</v>
          </cell>
          <cell r="AF505">
            <v>193</v>
          </cell>
          <cell r="AG505" t="str">
            <v>KVA</v>
          </cell>
          <cell r="AH505">
            <v>193</v>
          </cell>
          <cell r="AI505" t="str">
            <v>R</v>
          </cell>
          <cell r="AJ505">
            <v>478656</v>
          </cell>
          <cell r="AK505" t="str">
            <v>30/09/2023</v>
          </cell>
          <cell r="AL505" t="str">
            <v>NSC94583</v>
          </cell>
          <cell r="AM505" t="str">
            <v>TRI-VECTOR METER FOR RAILWAY TRACTION</v>
          </cell>
          <cell r="AN505" t="str">
            <v>POST PAID</v>
          </cell>
          <cell r="AO505">
            <v>250</v>
          </cell>
          <cell r="AP505" t="str">
            <v>TOD</v>
          </cell>
          <cell r="AQ505">
            <v>-212454.2</v>
          </cell>
          <cell r="AR505">
            <v>0</v>
          </cell>
          <cell r="AS505">
            <v>0</v>
          </cell>
          <cell r="AT505">
            <v>0</v>
          </cell>
          <cell r="AU505">
            <v>0</v>
          </cell>
          <cell r="AV505">
            <v>0</v>
          </cell>
          <cell r="AW505">
            <v>27828</v>
          </cell>
          <cell r="AX505">
            <v>28092</v>
          </cell>
          <cell r="AY505">
            <v>28092</v>
          </cell>
          <cell r="AZ505">
            <v>461.44</v>
          </cell>
          <cell r="BA505">
            <v>93.28</v>
          </cell>
        </row>
        <row r="506">
          <cell r="F506">
            <v>611000000108</v>
          </cell>
          <cell r="G506" t="str">
            <v>M/S INDIAN EAST COAST MINERALS</v>
          </cell>
          <cell r="H506" t="str">
            <v>PROP-MRS RENUKA ROUT,AT-BALIPOSIHARIPUR,DIST-JAJPUR</v>
          </cell>
          <cell r="I506" t="str">
            <v>12/04/2020 00:00:00</v>
          </cell>
          <cell r="J506">
            <v>1</v>
          </cell>
          <cell r="K506" t="str">
            <v xml:space="preserve"> </v>
          </cell>
          <cell r="L506" t="str">
            <v xml:space="preserve"> </v>
          </cell>
          <cell r="M506" t="str">
            <v>611000010231493453</v>
          </cell>
          <cell r="N506" t="str">
            <v>6110000105</v>
          </cell>
          <cell r="O506" t="str">
            <v>L-5333</v>
          </cell>
          <cell r="P506" t="str">
            <v>461511301</v>
          </cell>
          <cell r="Q506" t="str">
            <v>LARGE INDUSTRY</v>
          </cell>
          <cell r="R506" t="str">
            <v>HT</v>
          </cell>
          <cell r="S506" t="str">
            <v>01/10/2023</v>
          </cell>
          <cell r="T506" t="str">
            <v>01/10/2023</v>
          </cell>
          <cell r="U506" t="str">
            <v>06/10/2023</v>
          </cell>
          <cell r="V506" t="str">
            <v>09/10/2023</v>
          </cell>
          <cell r="W506" t="str">
            <v>2023/09</v>
          </cell>
          <cell r="X506" t="str">
            <v>11 KV</v>
          </cell>
          <cell r="Y506" t="str">
            <v>HT</v>
          </cell>
          <cell r="Z506">
            <v>97.6</v>
          </cell>
          <cell r="AA506">
            <v>0.9506</v>
          </cell>
          <cell r="AB506">
            <v>13.41</v>
          </cell>
          <cell r="AC506" t="str">
            <v xml:space="preserve">01/09/2023 -     </v>
          </cell>
          <cell r="AD506" t="str">
            <v>30.09.2023</v>
          </cell>
          <cell r="AE506" t="str">
            <v>30/1.0000</v>
          </cell>
          <cell r="AF506">
            <v>122</v>
          </cell>
          <cell r="AG506" t="str">
            <v>KVA</v>
          </cell>
          <cell r="AH506">
            <v>122</v>
          </cell>
          <cell r="AI506" t="str">
            <v>R</v>
          </cell>
          <cell r="AJ506">
            <v>663774</v>
          </cell>
          <cell r="AK506" t="str">
            <v>30/09/2023</v>
          </cell>
          <cell r="AL506" t="str">
            <v>NSC95012</v>
          </cell>
          <cell r="AM506" t="str">
            <v>TRI-VECTOR METER FOR RAILWAY TRACTION</v>
          </cell>
          <cell r="AN506" t="str">
            <v>POST PAID</v>
          </cell>
          <cell r="AO506">
            <v>200</v>
          </cell>
          <cell r="AP506" t="str">
            <v>TOD</v>
          </cell>
          <cell r="AQ506">
            <v>-562780.30000000005</v>
          </cell>
          <cell r="AR506">
            <v>0</v>
          </cell>
          <cell r="AS506">
            <v>0</v>
          </cell>
          <cell r="AT506">
            <v>0</v>
          </cell>
          <cell r="AU506">
            <v>0</v>
          </cell>
          <cell r="AV506">
            <v>0</v>
          </cell>
          <cell r="AW506">
            <v>6996</v>
          </cell>
          <cell r="AX506">
            <v>7359</v>
          </cell>
          <cell r="AY506">
            <v>7359</v>
          </cell>
          <cell r="AZ506">
            <v>356.4</v>
          </cell>
          <cell r="BA506">
            <v>76.2</v>
          </cell>
        </row>
        <row r="507">
          <cell r="F507">
            <v>611000000109</v>
          </cell>
          <cell r="G507" t="str">
            <v>E. E. RW&amp;S DIVISION JAJPUR</v>
          </cell>
          <cell r="H507" t="str">
            <v>KANKADAPAI,SUKINDAJAJPUR</v>
          </cell>
          <cell r="I507" t="str">
            <v>03/13/2021 00:00:00</v>
          </cell>
          <cell r="J507">
            <v>1</v>
          </cell>
          <cell r="K507" t="str">
            <v xml:space="preserve"> </v>
          </cell>
          <cell r="L507" t="str">
            <v xml:space="preserve"> </v>
          </cell>
          <cell r="M507" t="str">
            <v>611000010231493526</v>
          </cell>
          <cell r="N507" t="str">
            <v>6110000106</v>
          </cell>
          <cell r="O507" t="str">
            <v>L-5385</v>
          </cell>
          <cell r="P507" t="str">
            <v>461122401</v>
          </cell>
          <cell r="Q507" t="str">
            <v>PUBLIC WATER WORKS &amp; SEWERAGE PUMPING</v>
          </cell>
          <cell r="R507" t="str">
            <v>HT</v>
          </cell>
          <cell r="S507" t="str">
            <v>01/10/2023</v>
          </cell>
          <cell r="T507" t="str">
            <v>01/10/2023</v>
          </cell>
          <cell r="U507" t="str">
            <v>09/10/2023</v>
          </cell>
          <cell r="V507" t="str">
            <v>09/10/2023</v>
          </cell>
          <cell r="W507" t="str">
            <v>2023/09</v>
          </cell>
          <cell r="X507" t="str">
            <v>11 KV</v>
          </cell>
          <cell r="Y507" t="str">
            <v>HT</v>
          </cell>
          <cell r="Z507">
            <v>280.8</v>
          </cell>
          <cell r="AA507">
            <v>0.89290000000000003</v>
          </cell>
          <cell r="AB507">
            <v>33.270000000000003</v>
          </cell>
          <cell r="AC507" t="str">
            <v xml:space="preserve">01/09/2023 -     </v>
          </cell>
          <cell r="AD507" t="str">
            <v>30.09.2023</v>
          </cell>
          <cell r="AE507" t="str">
            <v>30/1.0000</v>
          </cell>
          <cell r="AF507">
            <v>351</v>
          </cell>
          <cell r="AG507" t="str">
            <v>KVA</v>
          </cell>
          <cell r="AH507">
            <v>351</v>
          </cell>
          <cell r="AI507" t="str">
            <v>R</v>
          </cell>
          <cell r="AJ507">
            <v>1402737</v>
          </cell>
          <cell r="AK507" t="str">
            <v>30/09/2023</v>
          </cell>
          <cell r="AL507" t="str">
            <v>TPN64577</v>
          </cell>
          <cell r="AM507" t="str">
            <v>THREE PHASE HT CT METER-11KV</v>
          </cell>
          <cell r="AN507" t="str">
            <v>POST PAID</v>
          </cell>
          <cell r="AO507">
            <v>800</v>
          </cell>
          <cell r="AP507" t="str">
            <v>TOD</v>
          </cell>
          <cell r="AQ507">
            <v>-1028769.9</v>
          </cell>
          <cell r="AR507">
            <v>0</v>
          </cell>
          <cell r="AS507">
            <v>0</v>
          </cell>
          <cell r="AT507">
            <v>0</v>
          </cell>
          <cell r="AU507">
            <v>0</v>
          </cell>
          <cell r="AV507">
            <v>0</v>
          </cell>
          <cell r="AW507">
            <v>50871</v>
          </cell>
          <cell r="AX507">
            <v>56970</v>
          </cell>
          <cell r="AY507">
            <v>56970</v>
          </cell>
          <cell r="AZ507">
            <v>1239.1199999999999</v>
          </cell>
          <cell r="BA507">
            <v>237.83999999999997</v>
          </cell>
        </row>
        <row r="508">
          <cell r="F508">
            <v>611000000110</v>
          </cell>
          <cell r="G508" t="str">
            <v>EXECUTIVE ENGINEER,RWSS,CHANDIKHOLE</v>
          </cell>
          <cell r="H508" t="str">
            <v xml:space="preserve"> </v>
          </cell>
          <cell r="I508" t="str">
            <v>05/01/2021 00:00:00</v>
          </cell>
          <cell r="J508">
            <v>1</v>
          </cell>
          <cell r="K508" t="str">
            <v>Mangarajpur, Kumudi,Sukinda</v>
          </cell>
          <cell r="L508" t="str">
            <v xml:space="preserve"> </v>
          </cell>
          <cell r="M508" t="str">
            <v>611000010232515960</v>
          </cell>
          <cell r="N508" t="str">
            <v>132100000016</v>
          </cell>
          <cell r="O508" t="str">
            <v>L-5465</v>
          </cell>
          <cell r="P508" t="str">
            <v>461511301</v>
          </cell>
          <cell r="Q508" t="str">
            <v>PUBLIC WATER WORKS &amp; SEWERAGE PUMPING</v>
          </cell>
          <cell r="R508" t="str">
            <v>HT</v>
          </cell>
          <cell r="S508" t="str">
            <v>05/10/2023</v>
          </cell>
          <cell r="T508" t="str">
            <v>05/10/2023</v>
          </cell>
          <cell r="U508" t="str">
            <v>12/10/2023</v>
          </cell>
          <cell r="V508" t="str">
            <v>12/10/2023</v>
          </cell>
          <cell r="W508" t="str">
            <v>2023/09</v>
          </cell>
          <cell r="X508" t="str">
            <v>11 KV</v>
          </cell>
          <cell r="Y508" t="str">
            <v>HT</v>
          </cell>
          <cell r="Z508">
            <v>115.68</v>
          </cell>
          <cell r="AA508">
            <v>0.95509999999999995</v>
          </cell>
          <cell r="AB508">
            <v>34.85</v>
          </cell>
          <cell r="AC508" t="str">
            <v xml:space="preserve">01/09/2023 -     </v>
          </cell>
          <cell r="AD508" t="str">
            <v>14.09.2023</v>
          </cell>
          <cell r="AE508" t="str">
            <v>14/1.0000</v>
          </cell>
          <cell r="AF508">
            <v>133</v>
          </cell>
          <cell r="AG508" t="str">
            <v>KVA</v>
          </cell>
          <cell r="AH508">
            <v>133</v>
          </cell>
          <cell r="AI508" t="str">
            <v>R</v>
          </cell>
          <cell r="AJ508">
            <v>572440</v>
          </cell>
          <cell r="AK508" t="str">
            <v>14/09/2023</v>
          </cell>
          <cell r="AL508" t="str">
            <v>NSC95037</v>
          </cell>
          <cell r="AM508" t="str">
            <v>HT THREE PHASE 3 WIRE AMR/AMI COMPLIANT METER</v>
          </cell>
          <cell r="AN508" t="str">
            <v>POST PAID</v>
          </cell>
          <cell r="AO508">
            <v>250</v>
          </cell>
          <cell r="AP508" t="str">
            <v>TOD</v>
          </cell>
          <cell r="AQ508">
            <v>-338257.5</v>
          </cell>
          <cell r="AR508">
            <v>0</v>
          </cell>
          <cell r="AS508">
            <v>0</v>
          </cell>
          <cell r="AT508">
            <v>0</v>
          </cell>
          <cell r="AU508">
            <v>0</v>
          </cell>
          <cell r="AV508">
            <v>0</v>
          </cell>
          <cell r="AW508">
            <v>12940</v>
          </cell>
          <cell r="AX508">
            <v>13547</v>
          </cell>
          <cell r="AY508">
            <v>13547</v>
          </cell>
          <cell r="AZ508">
            <v>0.3856</v>
          </cell>
          <cell r="BA508">
            <v>115.67999999999999</v>
          </cell>
        </row>
        <row r="509">
          <cell r="F509">
            <v>611000000113</v>
          </cell>
          <cell r="G509" t="str">
            <v>M/s. MAITHAN ISPAT LTD</v>
          </cell>
          <cell r="H509" t="str">
            <v>KALINGANAGAR INDUSTRIAL COMPLEX</v>
          </cell>
          <cell r="I509" t="str">
            <v>01/03/2022 00:00:00</v>
          </cell>
          <cell r="J509">
            <v>1</v>
          </cell>
          <cell r="K509" t="str">
            <v>DASMANIA</v>
          </cell>
          <cell r="L509" t="str">
            <v>JAJPUR</v>
          </cell>
          <cell r="M509" t="str">
            <v>611000010231495130</v>
          </cell>
          <cell r="N509" t="str">
            <v>132200010492</v>
          </cell>
          <cell r="O509" t="str">
            <v>L-5650</v>
          </cell>
          <cell r="P509" t="str">
            <v>NULL</v>
          </cell>
          <cell r="Q509" t="str">
            <v>LARGE INDUSTRY</v>
          </cell>
          <cell r="R509" t="str">
            <v>EHT</v>
          </cell>
          <cell r="S509" t="str">
            <v>01/10/2023</v>
          </cell>
          <cell r="T509" t="str">
            <v>01/10/2023</v>
          </cell>
          <cell r="U509" t="str">
            <v>06/10/2023</v>
          </cell>
          <cell r="V509" t="str">
            <v>09/10/2023</v>
          </cell>
          <cell r="W509" t="str">
            <v>2023/09</v>
          </cell>
          <cell r="X509" t="str">
            <v>220 KV</v>
          </cell>
          <cell r="Y509" t="str">
            <v>HT</v>
          </cell>
          <cell r="Z509">
            <v>3200</v>
          </cell>
          <cell r="AA509">
            <v>0.88229999999999997</v>
          </cell>
          <cell r="AB509">
            <v>0.23</v>
          </cell>
          <cell r="AC509" t="str">
            <v xml:space="preserve">01/09/2023 -     </v>
          </cell>
          <cell r="AD509" t="str">
            <v>30.09.2023</v>
          </cell>
          <cell r="AE509" t="str">
            <v>30/1.0000</v>
          </cell>
          <cell r="AF509">
            <v>4000</v>
          </cell>
          <cell r="AG509" t="str">
            <v>KVA</v>
          </cell>
          <cell r="AH509">
            <v>4000</v>
          </cell>
          <cell r="AI509" t="str">
            <v>R</v>
          </cell>
          <cell r="AJ509">
            <v>24352000</v>
          </cell>
          <cell r="AK509" t="str">
            <v>30/09/2023</v>
          </cell>
          <cell r="AL509" t="str">
            <v>NSC95190</v>
          </cell>
          <cell r="AM509" t="str">
            <v>THREE PHASE HT CT METER-33KV</v>
          </cell>
          <cell r="AN509" t="str">
            <v>POST PAID</v>
          </cell>
          <cell r="AO509">
            <v>6000</v>
          </cell>
          <cell r="AP509" t="str">
            <v>TOD</v>
          </cell>
          <cell r="AQ509">
            <v>-16082480</v>
          </cell>
          <cell r="AR509">
            <v>0</v>
          </cell>
          <cell r="AS509">
            <v>0</v>
          </cell>
          <cell r="AT509">
            <v>0</v>
          </cell>
          <cell r="AU509">
            <v>0</v>
          </cell>
          <cell r="AV509">
            <v>0</v>
          </cell>
          <cell r="AW509">
            <v>4500</v>
          </cell>
          <cell r="AX509">
            <v>5100</v>
          </cell>
          <cell r="AY509">
            <v>5100</v>
          </cell>
          <cell r="AZ509">
            <v>5.0999999999999996</v>
          </cell>
          <cell r="BA509">
            <v>3060</v>
          </cell>
        </row>
        <row r="510">
          <cell r="F510">
            <v>611000000114</v>
          </cell>
          <cell r="G510" t="str">
            <v xml:space="preserve">NANDIGHOSHA NETWORK PVT LTD </v>
          </cell>
          <cell r="H510" t="str">
            <v>AT-SOTI, PANIKOILI</v>
          </cell>
          <cell r="I510" t="str">
            <v>02/24/2022 00:00:00</v>
          </cell>
          <cell r="J510">
            <v>1</v>
          </cell>
          <cell r="K510" t="str">
            <v>PANIKOILI</v>
          </cell>
          <cell r="L510" t="str">
            <v>PANIKOILI</v>
          </cell>
          <cell r="M510" t="str">
            <v>611000010232502053</v>
          </cell>
          <cell r="N510" t="str">
            <v>132200038298</v>
          </cell>
          <cell r="O510" t="str">
            <v>L-5681</v>
          </cell>
          <cell r="P510" t="str">
            <v>461141101</v>
          </cell>
          <cell r="Q510" t="str">
            <v>GENERAL PURPOSE &gt;= 110 KVA</v>
          </cell>
          <cell r="R510" t="str">
            <v>HT</v>
          </cell>
          <cell r="S510" t="str">
            <v>03/10/2023</v>
          </cell>
          <cell r="T510" t="str">
            <v>03/10/2023</v>
          </cell>
          <cell r="U510" t="str">
            <v>06/10/2023</v>
          </cell>
          <cell r="V510" t="str">
            <v>10/10/2023</v>
          </cell>
          <cell r="W510" t="str">
            <v>2023/09</v>
          </cell>
          <cell r="X510" t="str">
            <v>11 KV</v>
          </cell>
          <cell r="Y510" t="str">
            <v>HT</v>
          </cell>
          <cell r="Z510">
            <v>234</v>
          </cell>
          <cell r="AA510">
            <v>0.5524</v>
          </cell>
          <cell r="AB510">
            <v>6.73</v>
          </cell>
          <cell r="AC510" t="str">
            <v xml:space="preserve">01/09/2023 -     </v>
          </cell>
          <cell r="AD510" t="str">
            <v>30.09.2023</v>
          </cell>
          <cell r="AE510" t="str">
            <v>30/1.0000</v>
          </cell>
          <cell r="AF510">
            <v>250</v>
          </cell>
          <cell r="AG510" t="str">
            <v>KVA</v>
          </cell>
          <cell r="AH510">
            <v>250</v>
          </cell>
          <cell r="AI510" t="str">
            <v>R</v>
          </cell>
          <cell r="AJ510">
            <v>731800</v>
          </cell>
          <cell r="AK510" t="str">
            <v>30/09/2023</v>
          </cell>
          <cell r="AL510" t="str">
            <v>2982699</v>
          </cell>
          <cell r="AM510" t="str">
            <v>HT THREE PHASE 4 WIRE AMR/AMI COMPLAINT METER</v>
          </cell>
          <cell r="AN510" t="str">
            <v>POST PAID</v>
          </cell>
          <cell r="AO510">
            <v>500</v>
          </cell>
          <cell r="AP510" t="str">
            <v>TOD</v>
          </cell>
          <cell r="AQ510">
            <v>-580682.9</v>
          </cell>
          <cell r="AR510">
            <v>0</v>
          </cell>
          <cell r="AS510">
            <v>0</v>
          </cell>
          <cell r="AT510">
            <v>0</v>
          </cell>
          <cell r="AU510">
            <v>0</v>
          </cell>
          <cell r="AV510">
            <v>0</v>
          </cell>
          <cell r="AW510">
            <v>6260</v>
          </cell>
          <cell r="AX510">
            <v>11332</v>
          </cell>
          <cell r="AY510">
            <v>11332</v>
          </cell>
          <cell r="AZ510">
            <v>46.8</v>
          </cell>
          <cell r="BA510">
            <v>234</v>
          </cell>
        </row>
        <row r="511">
          <cell r="F511">
            <v>611000000116</v>
          </cell>
          <cell r="G511" t="str">
            <v>M/s. KRUPALU REFINERY</v>
          </cell>
          <cell r="H511" t="str">
            <v>PATHARPADA</v>
          </cell>
          <cell r="I511" t="str">
            <v>06/02/2022 00:00:00</v>
          </cell>
          <cell r="J511">
            <v>1</v>
          </cell>
          <cell r="K511" t="str">
            <v>C/O-ANIRUDHA DASH</v>
          </cell>
          <cell r="L511" t="str">
            <v>PANIKOILI</v>
          </cell>
          <cell r="M511" t="str">
            <v>611000010231494952</v>
          </cell>
          <cell r="N511" t="str">
            <v>132200070638</v>
          </cell>
          <cell r="O511" t="str">
            <v>L-5751</v>
          </cell>
          <cell r="P511" t="str">
            <v>46107418004</v>
          </cell>
          <cell r="Q511" t="str">
            <v>LARGE INDUSTRY</v>
          </cell>
          <cell r="R511" t="str">
            <v>HT</v>
          </cell>
          <cell r="S511" t="str">
            <v>01/10/2023</v>
          </cell>
          <cell r="T511" t="str">
            <v>01/10/2023</v>
          </cell>
          <cell r="U511" t="str">
            <v>06/10/2023</v>
          </cell>
          <cell r="V511" t="str">
            <v>09/10/2023</v>
          </cell>
          <cell r="W511" t="str">
            <v>2023/09</v>
          </cell>
          <cell r="X511" t="str">
            <v>33 KV</v>
          </cell>
          <cell r="Y511" t="str">
            <v>HT</v>
          </cell>
          <cell r="Z511">
            <v>240</v>
          </cell>
          <cell r="AA511">
            <v>0.93589999999999995</v>
          </cell>
          <cell r="AB511">
            <v>14.2</v>
          </cell>
          <cell r="AC511" t="str">
            <v xml:space="preserve">01/09/2023 -     </v>
          </cell>
          <cell r="AD511" t="str">
            <v>30.09.2023</v>
          </cell>
          <cell r="AE511" t="str">
            <v>30/1.0000</v>
          </cell>
          <cell r="AF511">
            <v>300</v>
          </cell>
          <cell r="AG511" t="str">
            <v>KVA</v>
          </cell>
          <cell r="AH511">
            <v>300</v>
          </cell>
          <cell r="AI511" t="str">
            <v>R</v>
          </cell>
          <cell r="AJ511">
            <v>1841520</v>
          </cell>
          <cell r="AK511" t="str">
            <v>30/09/2023</v>
          </cell>
          <cell r="AL511" t="str">
            <v>TPN64764</v>
          </cell>
          <cell r="AM511" t="str">
            <v>THREE PHASE HT CT METER-33KV</v>
          </cell>
          <cell r="AN511" t="str">
            <v>POST PAID</v>
          </cell>
          <cell r="AO511">
            <v>500</v>
          </cell>
          <cell r="AP511" t="str">
            <v>TOD</v>
          </cell>
          <cell r="AQ511">
            <v>0</v>
          </cell>
          <cell r="AR511">
            <v>0</v>
          </cell>
          <cell r="AS511">
            <v>0</v>
          </cell>
          <cell r="AT511">
            <v>0</v>
          </cell>
          <cell r="AU511">
            <v>0</v>
          </cell>
          <cell r="AV511">
            <v>0</v>
          </cell>
          <cell r="AW511">
            <v>21936</v>
          </cell>
          <cell r="AX511">
            <v>23436</v>
          </cell>
          <cell r="AY511">
            <v>23436</v>
          </cell>
          <cell r="AZ511">
            <v>995.04</v>
          </cell>
          <cell r="BA511">
            <v>229.20000000000002</v>
          </cell>
        </row>
        <row r="512">
          <cell r="F512">
            <v>611000000117</v>
          </cell>
          <cell r="G512" t="str">
            <v>SRI PURNA CHANDRA BISWAL</v>
          </cell>
          <cell r="H512" t="str">
            <v>STATION ROAD</v>
          </cell>
          <cell r="I512" t="str">
            <v>06/02/2022 00:00:00</v>
          </cell>
          <cell r="J512">
            <v>1</v>
          </cell>
          <cell r="K512" t="str">
            <v>JAJPUR ROAD</v>
          </cell>
          <cell r="L512" t="str">
            <v>JAJPUR ROAD</v>
          </cell>
          <cell r="M512" t="str">
            <v>611000010231493373</v>
          </cell>
          <cell r="N512" t="str">
            <v>132200070640</v>
          </cell>
          <cell r="O512" t="str">
            <v>L-5753</v>
          </cell>
          <cell r="P512" t="str">
            <v>461111203</v>
          </cell>
          <cell r="Q512" t="str">
            <v>GENERAL PURPOSE &gt;= 110 KVA</v>
          </cell>
          <cell r="R512" t="str">
            <v>HT</v>
          </cell>
          <cell r="S512" t="str">
            <v>01/10/2023</v>
          </cell>
          <cell r="T512" t="str">
            <v>01/10/2023</v>
          </cell>
          <cell r="U512" t="str">
            <v>06/10/2023</v>
          </cell>
          <cell r="V512" t="str">
            <v>09/10/2023</v>
          </cell>
          <cell r="W512" t="str">
            <v>2023/09</v>
          </cell>
          <cell r="X512" t="str">
            <v>11 KV</v>
          </cell>
          <cell r="Y512" t="str">
            <v>HT</v>
          </cell>
          <cell r="Z512">
            <v>133.6</v>
          </cell>
          <cell r="AA512">
            <v>0.96140000000000003</v>
          </cell>
          <cell r="AB512">
            <v>37.04</v>
          </cell>
          <cell r="AC512" t="str">
            <v xml:space="preserve">01/09/2023 -     </v>
          </cell>
          <cell r="AD512" t="str">
            <v>30.09.2023</v>
          </cell>
          <cell r="AE512" t="str">
            <v>30/1.0000</v>
          </cell>
          <cell r="AF512">
            <v>167</v>
          </cell>
          <cell r="AG512" t="str">
            <v>KVA</v>
          </cell>
          <cell r="AH512">
            <v>167</v>
          </cell>
          <cell r="AI512" t="str">
            <v>R</v>
          </cell>
          <cell r="AJ512">
            <v>489062</v>
          </cell>
          <cell r="AK512" t="str">
            <v>30/09/2023</v>
          </cell>
          <cell r="AL512" t="str">
            <v>TPN64763</v>
          </cell>
          <cell r="AM512" t="str">
            <v>HT THREE PHASE 4 WIRE AMR/AMI COMPLAINT METER</v>
          </cell>
          <cell r="AN512" t="str">
            <v>POST PAID</v>
          </cell>
          <cell r="AO512">
            <v>250</v>
          </cell>
          <cell r="AP512" t="str">
            <v>TOD</v>
          </cell>
          <cell r="AQ512">
            <v>0</v>
          </cell>
          <cell r="AR512">
            <v>0</v>
          </cell>
          <cell r="AS512">
            <v>0</v>
          </cell>
          <cell r="AT512">
            <v>0</v>
          </cell>
          <cell r="AU512">
            <v>0</v>
          </cell>
          <cell r="AV512">
            <v>0</v>
          </cell>
          <cell r="AW512">
            <v>6030</v>
          </cell>
          <cell r="AX512">
            <v>6272</v>
          </cell>
          <cell r="AY512">
            <v>6272</v>
          </cell>
          <cell r="AZ512">
            <v>196</v>
          </cell>
          <cell r="BA512">
            <v>23.52</v>
          </cell>
        </row>
        <row r="513">
          <cell r="F513">
            <v>611000000118</v>
          </cell>
          <cell r="G513" t="str">
            <v>M/S. SAIZAR ENTERPRISE PVT LTD</v>
          </cell>
          <cell r="H513" t="str">
            <v xml:space="preserve"> PLOT NO-856P,865P,867P,KALINGANAGAR INDUSTRIAL CO</v>
          </cell>
          <cell r="I513" t="str">
            <v>01/25/2021 00:00:00</v>
          </cell>
          <cell r="J513">
            <v>1</v>
          </cell>
          <cell r="K513" t="str">
            <v>BIJU PATTNAIK MARG,VILL-JAKHAPURA</v>
          </cell>
          <cell r="L513" t="str">
            <v xml:space="preserve">JAJPUR,ODISHA,PIN-755026                 </v>
          </cell>
          <cell r="M513" t="str">
            <v>611000010232495494</v>
          </cell>
          <cell r="N513" t="str">
            <v>36111048423</v>
          </cell>
          <cell r="O513" t="str">
            <v>L-4928-C</v>
          </cell>
          <cell r="P513" t="str">
            <v>46111212</v>
          </cell>
          <cell r="Q513" t="str">
            <v>GENERAL PURPOSE &gt;= 110 KVA</v>
          </cell>
          <cell r="R513" t="str">
            <v>HT</v>
          </cell>
          <cell r="S513" t="str">
            <v>01/10/2023</v>
          </cell>
          <cell r="T513" t="str">
            <v>01/10/2023</v>
          </cell>
          <cell r="U513" t="str">
            <v>06/10/2023</v>
          </cell>
          <cell r="V513" t="str">
            <v>09/10/2023</v>
          </cell>
          <cell r="W513" t="str">
            <v>2023/09</v>
          </cell>
          <cell r="X513" t="str">
            <v>11 KV</v>
          </cell>
          <cell r="Y513" t="str">
            <v>HT</v>
          </cell>
          <cell r="Z513">
            <v>266.39999999999998</v>
          </cell>
          <cell r="AA513">
            <v>0.99170000000000003</v>
          </cell>
          <cell r="AB513">
            <v>29.48</v>
          </cell>
          <cell r="AC513" t="str">
            <v xml:space="preserve">01/09/2023 -     </v>
          </cell>
          <cell r="AD513" t="str">
            <v>30.09.2023</v>
          </cell>
          <cell r="AE513" t="str">
            <v>30/1.0000</v>
          </cell>
          <cell r="AF513">
            <v>333</v>
          </cell>
          <cell r="AG513" t="str">
            <v>KVA</v>
          </cell>
          <cell r="AH513">
            <v>333</v>
          </cell>
          <cell r="AI513" t="str">
            <v>R</v>
          </cell>
          <cell r="AJ513">
            <v>1172178</v>
          </cell>
          <cell r="AK513" t="str">
            <v>30/09/2023</v>
          </cell>
          <cell r="AL513" t="str">
            <v>TPN64680</v>
          </cell>
          <cell r="AM513" t="str">
            <v>HT THREE PHASE 4 WIRE AMR/AMI COMPLAINT METER</v>
          </cell>
          <cell r="AN513" t="str">
            <v>BI DIRECTIONAL</v>
          </cell>
          <cell r="AO513">
            <v>500</v>
          </cell>
          <cell r="AP513" t="str">
            <v>TOD</v>
          </cell>
          <cell r="AQ513">
            <v>-35595.599999999999</v>
          </cell>
          <cell r="AR513">
            <v>0</v>
          </cell>
          <cell r="AS513">
            <v>0</v>
          </cell>
          <cell r="AT513">
            <v>0</v>
          </cell>
          <cell r="AU513">
            <v>0</v>
          </cell>
          <cell r="AV513">
            <v>0</v>
          </cell>
          <cell r="AW513">
            <v>23708</v>
          </cell>
          <cell r="AX513">
            <v>23906</v>
          </cell>
          <cell r="AY513">
            <v>21801</v>
          </cell>
          <cell r="AZ513">
            <v>0.25679999999999997</v>
          </cell>
          <cell r="BA513">
            <v>102.71999999999998</v>
          </cell>
        </row>
        <row r="514">
          <cell r="F514">
            <v>611000000119</v>
          </cell>
          <cell r="G514" t="str">
            <v>M/S. JABAMAYEE FERRO ALLOYS LIMITED</v>
          </cell>
          <cell r="H514" t="str">
            <v>AT- NIZIGARH</v>
          </cell>
          <cell r="I514" t="str">
            <v>06/22/2022 00:00:00</v>
          </cell>
          <cell r="J514">
            <v>1</v>
          </cell>
          <cell r="K514" t="str">
            <v>SUKINDA</v>
          </cell>
          <cell r="L514" t="str">
            <v>Jajpur</v>
          </cell>
          <cell r="M514" t="str">
            <v>611000010232495571</v>
          </cell>
          <cell r="N514" t="str">
            <v>132200076097</v>
          </cell>
          <cell r="O514" t="str">
            <v>L-5769</v>
          </cell>
          <cell r="P514" t="str">
            <v>NULL</v>
          </cell>
          <cell r="Q514" t="str">
            <v>LARGE INDUSTRY</v>
          </cell>
          <cell r="R514" t="str">
            <v>EHT</v>
          </cell>
          <cell r="S514" t="str">
            <v>01/10/2023</v>
          </cell>
          <cell r="T514" t="str">
            <v>01/10/2023</v>
          </cell>
          <cell r="U514" t="str">
            <v>06/10/2023</v>
          </cell>
          <cell r="V514" t="str">
            <v>09/10/2023</v>
          </cell>
          <cell r="W514" t="str">
            <v>2023/09</v>
          </cell>
          <cell r="X514" t="str">
            <v>132 KV</v>
          </cell>
          <cell r="Y514" t="str">
            <v>HT</v>
          </cell>
          <cell r="Z514">
            <v>7932</v>
          </cell>
          <cell r="AA514">
            <v>0.97840000000000005</v>
          </cell>
          <cell r="AB514">
            <v>62.66</v>
          </cell>
          <cell r="AC514" t="str">
            <v xml:space="preserve">01/09/2023 -     </v>
          </cell>
          <cell r="AD514" t="str">
            <v>30.09.2023</v>
          </cell>
          <cell r="AE514" t="str">
            <v>30/1.0000</v>
          </cell>
          <cell r="AF514">
            <v>7500</v>
          </cell>
          <cell r="AG514" t="str">
            <v>KVA</v>
          </cell>
          <cell r="AH514">
            <v>7500</v>
          </cell>
          <cell r="AI514" t="str">
            <v>R</v>
          </cell>
          <cell r="AJ514">
            <v>45660000</v>
          </cell>
          <cell r="AK514" t="str">
            <v>30/09/2023</v>
          </cell>
          <cell r="AL514" t="str">
            <v>TPN64916</v>
          </cell>
          <cell r="AM514" t="str">
            <v>THREE PHASE HT CT METER-33KV</v>
          </cell>
          <cell r="AN514" t="str">
            <v>POST PAID</v>
          </cell>
          <cell r="AO514">
            <v>25000</v>
          </cell>
          <cell r="AP514" t="str">
            <v>TOD</v>
          </cell>
          <cell r="AQ514">
            <v>0</v>
          </cell>
          <cell r="AR514">
            <v>0</v>
          </cell>
          <cell r="AS514">
            <v>0</v>
          </cell>
          <cell r="AT514">
            <v>0</v>
          </cell>
          <cell r="AU514">
            <v>0</v>
          </cell>
          <cell r="AV514">
            <v>0</v>
          </cell>
          <cell r="AW514">
            <v>3501540</v>
          </cell>
          <cell r="AX514">
            <v>3578760</v>
          </cell>
          <cell r="AY514">
            <v>3578760</v>
          </cell>
          <cell r="AZ514">
            <v>66.099999999999994</v>
          </cell>
          <cell r="BA514">
            <v>7931.9999999999991</v>
          </cell>
        </row>
        <row r="515">
          <cell r="F515">
            <v>611000000121</v>
          </cell>
          <cell r="G515" t="str">
            <v>M/s. Neelachal Ispat Nigam Ltd</v>
          </cell>
          <cell r="H515" t="str">
            <v>Kalinganagar Industrial Complex</v>
          </cell>
          <cell r="I515" t="str">
            <v>08/26/2022 00:00:00</v>
          </cell>
          <cell r="J515">
            <v>1</v>
          </cell>
          <cell r="K515" t="str">
            <v>NINL Pump House</v>
          </cell>
          <cell r="L515" t="str">
            <v>Duburi</v>
          </cell>
          <cell r="M515" t="str">
            <v>611000010231493132</v>
          </cell>
          <cell r="N515" t="str">
            <v>132200091393</v>
          </cell>
          <cell r="O515" t="str">
            <v xml:space="preserve"> </v>
          </cell>
          <cell r="P515" t="str">
            <v>46107418003</v>
          </cell>
          <cell r="Q515" t="str">
            <v>GENERAL PURPOSE &gt;= 110 KVA</v>
          </cell>
          <cell r="R515" t="str">
            <v>HT</v>
          </cell>
          <cell r="S515" t="str">
            <v>01/10/2023</v>
          </cell>
          <cell r="T515" t="str">
            <v>01/10/2023</v>
          </cell>
          <cell r="U515" t="str">
            <v>06/10/2023</v>
          </cell>
          <cell r="V515" t="str">
            <v>09/10/2023</v>
          </cell>
          <cell r="W515" t="str">
            <v>2023/09</v>
          </cell>
          <cell r="X515" t="str">
            <v>33 KV</v>
          </cell>
          <cell r="Y515" t="str">
            <v>HT</v>
          </cell>
          <cell r="Z515">
            <v>760</v>
          </cell>
          <cell r="AA515">
            <v>0.70989999999999998</v>
          </cell>
          <cell r="AB515">
            <v>32.74</v>
          </cell>
          <cell r="AC515" t="str">
            <v xml:space="preserve">01/09/2023 -     </v>
          </cell>
          <cell r="AD515" t="str">
            <v>30.09.2023</v>
          </cell>
          <cell r="AE515" t="str">
            <v>30/1.0000</v>
          </cell>
          <cell r="AF515">
            <v>950</v>
          </cell>
          <cell r="AG515" t="str">
            <v>KVA</v>
          </cell>
          <cell r="AH515">
            <v>950</v>
          </cell>
          <cell r="AI515" t="str">
            <v>R</v>
          </cell>
          <cell r="AJ515">
            <v>2780840</v>
          </cell>
          <cell r="AK515" t="str">
            <v>30/09/2023</v>
          </cell>
          <cell r="AL515" t="str">
            <v>TPN64737</v>
          </cell>
          <cell r="AM515" t="str">
            <v>THREE PHASE HT CT METER-33KV</v>
          </cell>
          <cell r="AN515" t="str">
            <v>POST PAID</v>
          </cell>
          <cell r="AO515">
            <v>2000</v>
          </cell>
          <cell r="AP515" t="str">
            <v>TOD</v>
          </cell>
          <cell r="AQ515">
            <v>0</v>
          </cell>
          <cell r="AR515">
            <v>0</v>
          </cell>
          <cell r="AS515">
            <v>0</v>
          </cell>
          <cell r="AT515">
            <v>0</v>
          </cell>
          <cell r="AU515">
            <v>0</v>
          </cell>
          <cell r="AV515">
            <v>0</v>
          </cell>
          <cell r="AW515">
            <v>101400</v>
          </cell>
          <cell r="AX515">
            <v>142830</v>
          </cell>
          <cell r="AY515">
            <v>142830</v>
          </cell>
          <cell r="AZ515">
            <v>4990.8</v>
          </cell>
          <cell r="BA515">
            <v>606</v>
          </cell>
        </row>
        <row r="516">
          <cell r="F516">
            <v>611000000122</v>
          </cell>
          <cell r="G516" t="str">
            <v>M/S. NEELACHAL ISPAT NIGAM LTD</v>
          </cell>
          <cell r="H516" t="str">
            <v>Kalinganagar Industrial Complex</v>
          </cell>
          <cell r="I516" t="str">
            <v>09/25/2022 00:00:00</v>
          </cell>
          <cell r="J516">
            <v>1</v>
          </cell>
          <cell r="K516" t="str">
            <v>Duburi</v>
          </cell>
          <cell r="L516" t="str">
            <v>Duburi</v>
          </cell>
          <cell r="M516" t="str">
            <v>611000010232495576</v>
          </cell>
          <cell r="N516" t="str">
            <v>132200096097</v>
          </cell>
          <cell r="O516" t="str">
            <v xml:space="preserve"> </v>
          </cell>
          <cell r="P516" t="str">
            <v>NULL</v>
          </cell>
          <cell r="Q516" t="str">
            <v>LARGE INDUSTRY</v>
          </cell>
          <cell r="R516" t="str">
            <v>EHT</v>
          </cell>
          <cell r="S516" t="str">
            <v>01/10/2023</v>
          </cell>
          <cell r="T516" t="str">
            <v>01/10/2023</v>
          </cell>
          <cell r="U516" t="str">
            <v>06/10/2023</v>
          </cell>
          <cell r="V516" t="str">
            <v>09/10/2023</v>
          </cell>
          <cell r="W516" t="str">
            <v>2023/09</v>
          </cell>
          <cell r="X516" t="str">
            <v>220 KV</v>
          </cell>
          <cell r="Y516" t="str">
            <v>HT</v>
          </cell>
          <cell r="Z516">
            <v>44700</v>
          </cell>
          <cell r="AA516">
            <v>0.98060000000000003</v>
          </cell>
          <cell r="AB516">
            <v>57.81</v>
          </cell>
          <cell r="AC516" t="str">
            <v xml:space="preserve">01/09/2023 -     </v>
          </cell>
          <cell r="AD516" t="str">
            <v>30.09.2023</v>
          </cell>
          <cell r="AE516" t="str">
            <v>30/1.0000</v>
          </cell>
          <cell r="AF516">
            <v>50000</v>
          </cell>
          <cell r="AG516" t="str">
            <v>KVA</v>
          </cell>
          <cell r="AH516">
            <v>50000</v>
          </cell>
          <cell r="AI516" t="str">
            <v>R</v>
          </cell>
          <cell r="AJ516">
            <v>304400000</v>
          </cell>
          <cell r="AK516" t="str">
            <v>30/09/2023</v>
          </cell>
          <cell r="AL516" t="str">
            <v>TPN64976</v>
          </cell>
          <cell r="AM516" t="str">
            <v>THREE PHASE HT CT METER-33KV</v>
          </cell>
          <cell r="AN516" t="str">
            <v>POST PAID</v>
          </cell>
          <cell r="AO516">
            <v>80000</v>
          </cell>
          <cell r="AP516" t="str">
            <v>TOD</v>
          </cell>
          <cell r="AQ516">
            <v>0</v>
          </cell>
          <cell r="AR516">
            <v>0</v>
          </cell>
          <cell r="AS516">
            <v>0</v>
          </cell>
          <cell r="AT516">
            <v>0</v>
          </cell>
          <cell r="AU516">
            <v>0</v>
          </cell>
          <cell r="AV516">
            <v>0</v>
          </cell>
          <cell r="AW516">
            <v>18245400</v>
          </cell>
          <cell r="AX516">
            <v>18604500</v>
          </cell>
          <cell r="AY516">
            <v>18604500</v>
          </cell>
          <cell r="AZ516">
            <v>74.5</v>
          </cell>
          <cell r="BA516">
            <v>44700</v>
          </cell>
        </row>
        <row r="517">
          <cell r="F517">
            <v>611000000123</v>
          </cell>
          <cell r="G517" t="str">
            <v>M/s MEGA LIFT IRRIGATION PROJECT</v>
          </cell>
          <cell r="H517" t="str">
            <v>At- Bagharasahi</v>
          </cell>
          <cell r="I517" t="str">
            <v>01/11/2023 00:00:00</v>
          </cell>
          <cell r="J517">
            <v>1</v>
          </cell>
          <cell r="K517" t="str">
            <v>Sukinda</v>
          </cell>
          <cell r="L517" t="str">
            <v>Sukinda</v>
          </cell>
          <cell r="M517" t="str">
            <v>611000010231493387</v>
          </cell>
          <cell r="N517" t="str">
            <v>132321221981</v>
          </cell>
          <cell r="O517" t="str">
            <v>NA</v>
          </cell>
          <cell r="P517" t="str">
            <v>NULL</v>
          </cell>
          <cell r="Q517" t="str">
            <v>MEGA LIFT</v>
          </cell>
          <cell r="R517" t="str">
            <v>HT</v>
          </cell>
          <cell r="S517" t="str">
            <v>01/10/2023</v>
          </cell>
          <cell r="T517" t="str">
            <v>01/10/2023</v>
          </cell>
          <cell r="U517" t="str">
            <v>06/10/2023</v>
          </cell>
          <cell r="V517" t="str">
            <v>09/10/2023</v>
          </cell>
          <cell r="W517" t="str">
            <v>2023/09</v>
          </cell>
          <cell r="X517" t="str">
            <v>33 KV</v>
          </cell>
          <cell r="Y517" t="str">
            <v>HT</v>
          </cell>
          <cell r="Z517">
            <v>2330.4</v>
          </cell>
          <cell r="AA517">
            <v>0.98619999999999997</v>
          </cell>
          <cell r="AB517">
            <v>3.1</v>
          </cell>
          <cell r="AC517" t="str">
            <v xml:space="preserve">01/09/2023 -     </v>
          </cell>
          <cell r="AD517" t="str">
            <v>30.09.2023</v>
          </cell>
          <cell r="AE517" t="str">
            <v>30/1.0000</v>
          </cell>
          <cell r="AF517">
            <v>2913</v>
          </cell>
          <cell r="AG517" t="str">
            <v>KVA</v>
          </cell>
          <cell r="AH517">
            <v>2913</v>
          </cell>
          <cell r="AI517" t="str">
            <v>R</v>
          </cell>
          <cell r="AJ517">
            <v>4844902</v>
          </cell>
          <cell r="AK517" t="str">
            <v>30/09/2023</v>
          </cell>
          <cell r="AL517" t="str">
            <v>TPN64385</v>
          </cell>
          <cell r="AM517" t="str">
            <v>THREE PHASE HT CT METER-33KV</v>
          </cell>
          <cell r="AN517" t="str">
            <v>POST PAID</v>
          </cell>
          <cell r="AO517">
            <v>3150</v>
          </cell>
          <cell r="AP517" t="str">
            <v>TOD</v>
          </cell>
          <cell r="AQ517">
            <v>0</v>
          </cell>
          <cell r="AR517">
            <v>0</v>
          </cell>
          <cell r="AS517">
            <v>0</v>
          </cell>
          <cell r="AT517">
            <v>0</v>
          </cell>
          <cell r="AU517">
            <v>0</v>
          </cell>
          <cell r="AV517">
            <v>0</v>
          </cell>
          <cell r="AW517">
            <v>21450</v>
          </cell>
          <cell r="AX517">
            <v>21750</v>
          </cell>
          <cell r="AY517">
            <v>21750</v>
          </cell>
          <cell r="AZ517">
            <v>4195.2</v>
          </cell>
          <cell r="BA517">
            <v>974.4</v>
          </cell>
        </row>
        <row r="518">
          <cell r="F518">
            <v>611000000124</v>
          </cell>
          <cell r="G518" t="str">
            <v>M/S Orind Special Refractories Pvt.Ltd.</v>
          </cell>
          <cell r="H518" t="str">
            <v>40P</v>
          </cell>
          <cell r="I518" t="str">
            <v>01/21/2023 00:00:00</v>
          </cell>
          <cell r="J518">
            <v>1</v>
          </cell>
          <cell r="K518" t="str">
            <v>KHURUNTI,JAJPUR</v>
          </cell>
          <cell r="L518" t="str">
            <v>JAJPUR ROAD</v>
          </cell>
          <cell r="M518" t="str">
            <v>611000010231493367</v>
          </cell>
          <cell r="N518" t="str">
            <v>132321224405</v>
          </cell>
          <cell r="O518" t="str">
            <v xml:space="preserve"> </v>
          </cell>
          <cell r="P518" t="str">
            <v>NULL</v>
          </cell>
          <cell r="Q518" t="str">
            <v>GENERAL PURPOSE &gt;= 110 KVA</v>
          </cell>
          <cell r="R518" t="str">
            <v>HT</v>
          </cell>
          <cell r="S518" t="str">
            <v>01/10/2023</v>
          </cell>
          <cell r="T518" t="str">
            <v>01/10/2023</v>
          </cell>
          <cell r="U518" t="str">
            <v>06/10/2023</v>
          </cell>
          <cell r="V518" t="str">
            <v>09/10/2023</v>
          </cell>
          <cell r="W518" t="str">
            <v>2023/09</v>
          </cell>
          <cell r="X518" t="str">
            <v>11 KV</v>
          </cell>
          <cell r="Y518" t="str">
            <v>HT</v>
          </cell>
          <cell r="Z518">
            <v>133.6</v>
          </cell>
          <cell r="AA518">
            <v>0.7339</v>
          </cell>
          <cell r="AB518">
            <v>16.3</v>
          </cell>
          <cell r="AC518" t="str">
            <v xml:space="preserve">01/09/2023 -     </v>
          </cell>
          <cell r="AD518" t="str">
            <v>30.09.2023</v>
          </cell>
          <cell r="AE518" t="str">
            <v>30/1.0000</v>
          </cell>
          <cell r="AF518">
            <v>167</v>
          </cell>
          <cell r="AG518" t="str">
            <v>KVA</v>
          </cell>
          <cell r="AH518">
            <v>167</v>
          </cell>
          <cell r="AI518" t="str">
            <v>R</v>
          </cell>
          <cell r="AJ518">
            <v>488842.4</v>
          </cell>
          <cell r="AK518" t="str">
            <v>30/09/2023</v>
          </cell>
          <cell r="AL518" t="str">
            <v>TPN64381</v>
          </cell>
          <cell r="AM518" t="str">
            <v>HT THREE PHASE 4 WIRE AMR/AMI COMPLAINT METER</v>
          </cell>
          <cell r="AN518" t="str">
            <v>POST PAID</v>
          </cell>
          <cell r="AO518">
            <v>250</v>
          </cell>
          <cell r="AP518" t="str">
            <v>TOD</v>
          </cell>
          <cell r="AQ518">
            <v>0</v>
          </cell>
          <cell r="AR518">
            <v>0</v>
          </cell>
          <cell r="AS518">
            <v>0</v>
          </cell>
          <cell r="AT518">
            <v>0</v>
          </cell>
          <cell r="AU518">
            <v>0</v>
          </cell>
          <cell r="AV518">
            <v>0</v>
          </cell>
          <cell r="AW518">
            <v>1302</v>
          </cell>
          <cell r="AX518">
            <v>1774</v>
          </cell>
          <cell r="AY518">
            <v>1774</v>
          </cell>
          <cell r="AZ518">
            <v>38.76</v>
          </cell>
          <cell r="BA518">
            <v>15.120000000000001</v>
          </cell>
        </row>
        <row r="519">
          <cell r="F519">
            <v>611000000126</v>
          </cell>
          <cell r="G519" t="str">
            <v>SANSKRUTI BHAWAN</v>
          </cell>
          <cell r="H519" t="str">
            <v>GOVT</v>
          </cell>
          <cell r="I519" t="str">
            <v>02/17/2023 00:00:00</v>
          </cell>
          <cell r="J519">
            <v>1</v>
          </cell>
          <cell r="K519" t="str">
            <v>SANTARA DALA</v>
          </cell>
          <cell r="L519" t="str">
            <v>DALA</v>
          </cell>
          <cell r="M519" t="str">
            <v>611000010231493181</v>
          </cell>
          <cell r="N519" t="str">
            <v>132327029632</v>
          </cell>
          <cell r="O519" t="str">
            <v xml:space="preserve"> </v>
          </cell>
          <cell r="P519" t="str">
            <v>NULL</v>
          </cell>
          <cell r="Q519" t="str">
            <v>SPECIFIED PUBLIC PURPOSE</v>
          </cell>
          <cell r="R519" t="str">
            <v>HT</v>
          </cell>
          <cell r="S519" t="str">
            <v>01/10/2023</v>
          </cell>
          <cell r="T519" t="str">
            <v>01/10/2023</v>
          </cell>
          <cell r="U519" t="str">
            <v>06/10/2023</v>
          </cell>
          <cell r="V519" t="str">
            <v>09/10/2023</v>
          </cell>
          <cell r="W519" t="str">
            <v>2023/09</v>
          </cell>
          <cell r="X519" t="str">
            <v>11 KV</v>
          </cell>
          <cell r="Y519" t="str">
            <v>HT</v>
          </cell>
          <cell r="Z519">
            <v>88.88</v>
          </cell>
          <cell r="AA519">
            <v>0.18060000000000001</v>
          </cell>
          <cell r="AB519">
            <v>20.29</v>
          </cell>
          <cell r="AC519" t="str">
            <v xml:space="preserve">01/09/2023 -     </v>
          </cell>
          <cell r="AD519" t="str">
            <v>30.09.2023</v>
          </cell>
          <cell r="AE519" t="str">
            <v>30/1.0000</v>
          </cell>
          <cell r="AF519">
            <v>111.1</v>
          </cell>
          <cell r="AG519" t="str">
            <v>KVA</v>
          </cell>
          <cell r="AH519">
            <v>111.1</v>
          </cell>
          <cell r="AI519" t="str">
            <v>R</v>
          </cell>
          <cell r="AJ519">
            <v>325244.44</v>
          </cell>
          <cell r="AK519" t="str">
            <v>30/09/2023</v>
          </cell>
          <cell r="AL519" t="str">
            <v>TPN64369</v>
          </cell>
          <cell r="AM519" t="str">
            <v>HT THREE PHASE 4 WIRE AMR/AMI COMPLAINT METER</v>
          </cell>
          <cell r="AN519" t="str">
            <v>POST PAID</v>
          </cell>
          <cell r="AO519">
            <v>250</v>
          </cell>
          <cell r="AP519" t="str">
            <v>TOD</v>
          </cell>
          <cell r="AQ519">
            <v>0</v>
          </cell>
          <cell r="AR519">
            <v>0</v>
          </cell>
          <cell r="AS519">
            <v>0</v>
          </cell>
          <cell r="AT519">
            <v>0</v>
          </cell>
          <cell r="AU519">
            <v>0</v>
          </cell>
          <cell r="AV519">
            <v>0</v>
          </cell>
          <cell r="AW519">
            <v>1178</v>
          </cell>
          <cell r="AX519">
            <v>6520</v>
          </cell>
          <cell r="AY519">
            <v>6520</v>
          </cell>
          <cell r="AZ519">
            <v>349.44</v>
          </cell>
          <cell r="BA519">
            <v>44.64</v>
          </cell>
        </row>
        <row r="520">
          <cell r="F520">
            <v>611000000127</v>
          </cell>
          <cell r="G520" t="str">
            <v>M/S.  JATIA STEEL LIMITED</v>
          </cell>
          <cell r="H520" t="str">
            <v>419/858</v>
          </cell>
          <cell r="I520" t="str">
            <v>07/04/2023 00:00:00</v>
          </cell>
          <cell r="J520">
            <v>1</v>
          </cell>
          <cell r="K520" t="str">
            <v>JAKHAPURA</v>
          </cell>
          <cell r="L520" t="str">
            <v>DANAGADI</v>
          </cell>
          <cell r="M520" t="str">
            <v>611000010231493199</v>
          </cell>
          <cell r="N520" t="str">
            <v>132328668463</v>
          </cell>
          <cell r="O520" t="str">
            <v xml:space="preserve"> </v>
          </cell>
          <cell r="P520" t="str">
            <v>NULL</v>
          </cell>
          <cell r="Q520" t="str">
            <v>TEMP. SUPPLY GENERAL PURPOSE &gt;= 110 KVA</v>
          </cell>
          <cell r="R520" t="str">
            <v>HT</v>
          </cell>
          <cell r="S520" t="str">
            <v>01/10/2023</v>
          </cell>
          <cell r="T520" t="str">
            <v>01/10/2023</v>
          </cell>
          <cell r="U520" t="str">
            <v>06/10/2023</v>
          </cell>
          <cell r="V520" t="str">
            <v>09/10/2023</v>
          </cell>
          <cell r="W520" t="str">
            <v>2023/09</v>
          </cell>
          <cell r="X520" t="str">
            <v>11 KV</v>
          </cell>
          <cell r="Y520" t="str">
            <v>HT</v>
          </cell>
          <cell r="Z520">
            <v>266.39999999999998</v>
          </cell>
          <cell r="AA520">
            <v>0.92</v>
          </cell>
          <cell r="AB520">
            <v>42.46</v>
          </cell>
          <cell r="AC520" t="str">
            <v xml:space="preserve">01/09/2023 -     </v>
          </cell>
          <cell r="AD520" t="str">
            <v>30.09.2023</v>
          </cell>
          <cell r="AE520" t="str">
            <v>30/1.0000</v>
          </cell>
          <cell r="AF520">
            <v>333</v>
          </cell>
          <cell r="AG520" t="str">
            <v>KVA</v>
          </cell>
          <cell r="AH520">
            <v>333</v>
          </cell>
          <cell r="AI520" t="str">
            <v>R</v>
          </cell>
          <cell r="AJ520">
            <v>974757.6</v>
          </cell>
          <cell r="AK520" t="str">
            <v>30/09/2023</v>
          </cell>
          <cell r="AL520" t="str">
            <v>TPNODL38111614</v>
          </cell>
          <cell r="AM520" t="str">
            <v>THREE PHASE SMART HT CT METER (AMR/AMI)-11KV</v>
          </cell>
          <cell r="AN520" t="str">
            <v>SMART METER</v>
          </cell>
          <cell r="AO520">
            <v>500</v>
          </cell>
          <cell r="AP520" t="str">
            <v>TOD</v>
          </cell>
          <cell r="AQ520">
            <v>0</v>
          </cell>
          <cell r="AR520">
            <v>0</v>
          </cell>
          <cell r="AS520">
            <v>0</v>
          </cell>
          <cell r="AT520">
            <v>0</v>
          </cell>
          <cell r="AU520">
            <v>0</v>
          </cell>
          <cell r="AV520">
            <v>0</v>
          </cell>
          <cell r="AW520">
            <v>4489</v>
          </cell>
          <cell r="AX520">
            <v>4879</v>
          </cell>
          <cell r="AY520">
            <v>4879</v>
          </cell>
          <cell r="AZ520">
            <v>44.576000000000001</v>
          </cell>
          <cell r="BA520">
            <v>15.96</v>
          </cell>
        </row>
        <row r="521">
          <cell r="F521">
            <v>611000000128</v>
          </cell>
          <cell r="G521" t="str">
            <v>District Sports  Officer</v>
          </cell>
          <cell r="H521" t="str">
            <v xml:space="preserve">RAJIV GANDHI STADIUM , VYASANAGAR </v>
          </cell>
          <cell r="I521" t="str">
            <v>07/10/2023 00:00:00</v>
          </cell>
          <cell r="J521">
            <v>1</v>
          </cell>
          <cell r="K521" t="str">
            <v xml:space="preserve">VYASANAGAR MUNICIPALITY </v>
          </cell>
          <cell r="L521" t="str">
            <v xml:space="preserve">JAJPUR ROAD </v>
          </cell>
          <cell r="M521" t="str">
            <v>611000010231493444</v>
          </cell>
          <cell r="N521" t="str">
            <v>132328669764</v>
          </cell>
          <cell r="O521" t="str">
            <v xml:space="preserve"> </v>
          </cell>
          <cell r="P521" t="str">
            <v>NULL</v>
          </cell>
          <cell r="Q521" t="str">
            <v>SPECIFIED PUBLIC PURPOSE</v>
          </cell>
          <cell r="R521" t="str">
            <v>HT</v>
          </cell>
          <cell r="S521" t="str">
            <v>01/10/2023</v>
          </cell>
          <cell r="T521" t="str">
            <v>01/10/2023</v>
          </cell>
          <cell r="U521" t="str">
            <v>06/10/2023</v>
          </cell>
          <cell r="V521" t="str">
            <v>09/10/2023</v>
          </cell>
          <cell r="W521" t="str">
            <v>2023/09</v>
          </cell>
          <cell r="X521" t="str">
            <v>11 KV</v>
          </cell>
          <cell r="Y521" t="str">
            <v>HT</v>
          </cell>
          <cell r="Z521">
            <v>97.6</v>
          </cell>
          <cell r="AA521">
            <v>0.80720000000000003</v>
          </cell>
          <cell r="AB521">
            <v>9.65</v>
          </cell>
          <cell r="AC521" t="str">
            <v xml:space="preserve">01/09/2023 -     </v>
          </cell>
          <cell r="AD521" t="str">
            <v>30.09.2023</v>
          </cell>
          <cell r="AE521" t="str">
            <v>30/1.0000</v>
          </cell>
          <cell r="AF521">
            <v>122</v>
          </cell>
          <cell r="AG521" t="str">
            <v>KVA</v>
          </cell>
          <cell r="AH521">
            <v>122</v>
          </cell>
          <cell r="AI521" t="str">
            <v>R</v>
          </cell>
          <cell r="AJ521">
            <v>357768.88</v>
          </cell>
          <cell r="AK521" t="str">
            <v>30/09/2023</v>
          </cell>
          <cell r="AL521" t="str">
            <v>TPNODL38111624</v>
          </cell>
          <cell r="AM521" t="str">
            <v>THREE PHASE SMART HT CT METER (AMR/AMI)-11KV</v>
          </cell>
          <cell r="AN521" t="str">
            <v>SMART METER</v>
          </cell>
          <cell r="AO521">
            <v>200</v>
          </cell>
          <cell r="AP521" t="str">
            <v>TOD</v>
          </cell>
          <cell r="AQ521">
            <v>0</v>
          </cell>
          <cell r="AR521">
            <v>0</v>
          </cell>
          <cell r="AS521">
            <v>0</v>
          </cell>
          <cell r="AT521">
            <v>0</v>
          </cell>
          <cell r="AU521">
            <v>0</v>
          </cell>
          <cell r="AV521">
            <v>0</v>
          </cell>
          <cell r="AW521">
            <v>959</v>
          </cell>
          <cell r="AX521">
            <v>1188</v>
          </cell>
          <cell r="AY521">
            <v>1188</v>
          </cell>
          <cell r="AZ521">
            <v>27.682200000000002</v>
          </cell>
          <cell r="BA521">
            <v>17.102999999999998</v>
          </cell>
        </row>
        <row r="522">
          <cell r="F522">
            <v>611000000129</v>
          </cell>
          <cell r="G522" t="str">
            <v>The Superintending Engineer RWSS Division Chandikhol</v>
          </cell>
          <cell r="H522" t="str">
            <v xml:space="preserve"> </v>
          </cell>
          <cell r="I522" t="str">
            <v>09/08/2023 00:00:00</v>
          </cell>
          <cell r="J522">
            <v>1</v>
          </cell>
          <cell r="K522" t="str">
            <v>Atta &amp; Mangarajpur</v>
          </cell>
          <cell r="L522" t="str">
            <v>Jajpur</v>
          </cell>
          <cell r="M522" t="str">
            <v>611000010232495581</v>
          </cell>
          <cell r="N522" t="str">
            <v>132329083316</v>
          </cell>
          <cell r="O522" t="str">
            <v xml:space="preserve"> </v>
          </cell>
          <cell r="P522" t="str">
            <v>NULL</v>
          </cell>
          <cell r="Q522" t="str">
            <v>PUBLIC WATER WORKS &amp; SEWERAGE PUMPING</v>
          </cell>
          <cell r="R522" t="str">
            <v>HT</v>
          </cell>
          <cell r="S522" t="str">
            <v>01/10/2023</v>
          </cell>
          <cell r="T522" t="str">
            <v>01/10/2023</v>
          </cell>
          <cell r="U522" t="str">
            <v>09/10/2023</v>
          </cell>
          <cell r="V522" t="str">
            <v>09/10/2023</v>
          </cell>
          <cell r="W522" t="str">
            <v>2023/09</v>
          </cell>
          <cell r="X522" t="str">
            <v>11 KV</v>
          </cell>
          <cell r="Y522" t="str">
            <v>HT</v>
          </cell>
          <cell r="Z522">
            <v>466.32</v>
          </cell>
          <cell r="AA522">
            <v>0.8468</v>
          </cell>
          <cell r="AB522">
            <v>18.5</v>
          </cell>
          <cell r="AC522" t="str">
            <v xml:space="preserve">04/09/2023 -          </v>
          </cell>
          <cell r="AD522" t="str">
            <v>30.09.2023</v>
          </cell>
          <cell r="AE522" t="str">
            <v>27/0.9000</v>
          </cell>
          <cell r="AF522">
            <v>502</v>
          </cell>
          <cell r="AG522" t="str">
            <v>KVA</v>
          </cell>
          <cell r="AH522">
            <v>502</v>
          </cell>
          <cell r="AI522" t="str">
            <v>N</v>
          </cell>
          <cell r="AJ522">
            <v>2358716</v>
          </cell>
          <cell r="AK522" t="str">
            <v>30/09/2023</v>
          </cell>
          <cell r="AL522" t="str">
            <v>TPNODL38111950</v>
          </cell>
          <cell r="AM522" t="str">
            <v>THREE PHASE SMART HT CT METER (AMR/AMI)-11KV</v>
          </cell>
          <cell r="AN522" t="str">
            <v>SMART METER</v>
          </cell>
          <cell r="AO522">
            <v>1400</v>
          </cell>
          <cell r="AP522" t="str">
            <v>TOD</v>
          </cell>
          <cell r="AQ522">
            <v>0</v>
          </cell>
          <cell r="AR522">
            <v>0</v>
          </cell>
          <cell r="AS522">
            <v>0</v>
          </cell>
          <cell r="AT522">
            <v>0</v>
          </cell>
          <cell r="AU522">
            <v>0</v>
          </cell>
          <cell r="AV522">
            <v>0</v>
          </cell>
          <cell r="AW522">
            <v>45593</v>
          </cell>
          <cell r="AX522">
            <v>53836</v>
          </cell>
          <cell r="AY522">
            <v>53836</v>
          </cell>
          <cell r="AZ522">
            <v>46.631999999999998</v>
          </cell>
          <cell r="BA522">
            <v>466.32</v>
          </cell>
        </row>
        <row r="523">
          <cell r="F523">
            <v>611000000130</v>
          </cell>
          <cell r="G523" t="str">
            <v>M/S. BHARAT PETROLEUM CORPORATION LTD</v>
          </cell>
          <cell r="H523" t="str">
            <v>2200/3053</v>
          </cell>
          <cell r="I523" t="str">
            <v>09/18/2023 00:00:00</v>
          </cell>
          <cell r="J523">
            <v>1</v>
          </cell>
          <cell r="K523" t="str">
            <v>CHHOTRAYPUR</v>
          </cell>
          <cell r="L523" t="str">
            <v>DALA</v>
          </cell>
          <cell r="M523" t="str">
            <v>611000010232495708</v>
          </cell>
          <cell r="N523" t="str">
            <v>132329085940</v>
          </cell>
          <cell r="O523" t="str">
            <v xml:space="preserve"> </v>
          </cell>
          <cell r="P523" t="str">
            <v>NULL</v>
          </cell>
          <cell r="Q523" t="str">
            <v>GENERAL PURPOSE &gt;= 110 KVA</v>
          </cell>
          <cell r="R523" t="str">
            <v>HT</v>
          </cell>
          <cell r="S523" t="str">
            <v>01/10/2023</v>
          </cell>
          <cell r="T523" t="str">
            <v>01/10/2023</v>
          </cell>
          <cell r="U523" t="str">
            <v>06/10/2023</v>
          </cell>
          <cell r="V523" t="str">
            <v>09/10/2023</v>
          </cell>
          <cell r="W523" t="str">
            <v>2023/09</v>
          </cell>
          <cell r="X523" t="str">
            <v>11 KV</v>
          </cell>
          <cell r="Y523" t="str">
            <v>HT</v>
          </cell>
          <cell r="Z523">
            <v>176</v>
          </cell>
          <cell r="AA523">
            <v>0.65439999999999998</v>
          </cell>
          <cell r="AB523">
            <v>46.06</v>
          </cell>
          <cell r="AC523" t="str">
            <v xml:space="preserve">17/09/2023 -          </v>
          </cell>
          <cell r="AD523" t="str">
            <v>30.09.2023</v>
          </cell>
          <cell r="AE523" t="str">
            <v>14/0.4667</v>
          </cell>
          <cell r="AF523">
            <v>220</v>
          </cell>
          <cell r="AG523" t="str">
            <v>KVA</v>
          </cell>
          <cell r="AH523">
            <v>220</v>
          </cell>
          <cell r="AI523" t="str">
            <v>N</v>
          </cell>
          <cell r="AJ523">
            <v>643984</v>
          </cell>
          <cell r="AK523" t="str">
            <v>30/09/2023</v>
          </cell>
          <cell r="AL523" t="str">
            <v>TPNODL38111058</v>
          </cell>
          <cell r="AM523" t="str">
            <v>THREE PHASE SMART HT CT METER (AMR/AMI)-11KV</v>
          </cell>
          <cell r="AN523" t="str">
            <v>SMART METER</v>
          </cell>
          <cell r="AO523">
            <v>315</v>
          </cell>
          <cell r="AP523" t="str">
            <v>TOD</v>
          </cell>
          <cell r="AQ523">
            <v>0</v>
          </cell>
          <cell r="AR523">
            <v>0</v>
          </cell>
          <cell r="AS523">
            <v>0</v>
          </cell>
          <cell r="AT523">
            <v>0</v>
          </cell>
          <cell r="AU523">
            <v>0</v>
          </cell>
          <cell r="AV523">
            <v>0</v>
          </cell>
          <cell r="AW523">
            <v>966</v>
          </cell>
          <cell r="AX523">
            <v>1476</v>
          </cell>
          <cell r="AY523">
            <v>1476</v>
          </cell>
          <cell r="AZ523">
            <v>2.5680000000000001</v>
          </cell>
          <cell r="BA523">
            <v>10.272</v>
          </cell>
        </row>
        <row r="524">
          <cell r="F524">
            <v>614000000001</v>
          </cell>
          <cell r="G524" t="str">
            <v>MCH BUILDING</v>
          </cell>
          <cell r="H524" t="str">
            <v>DIST HEADQUARTER HOSPITAL JAJPUR</v>
          </cell>
          <cell r="I524" t="str">
            <v>10/31/2020 00:00:00</v>
          </cell>
          <cell r="J524">
            <v>1</v>
          </cell>
          <cell r="K524" t="str">
            <v xml:space="preserve"> </v>
          </cell>
          <cell r="L524" t="str">
            <v xml:space="preserve"> </v>
          </cell>
          <cell r="M524" t="str">
            <v>612000010231493757</v>
          </cell>
          <cell r="N524" t="str">
            <v>6140000004</v>
          </cell>
          <cell r="O524" t="str">
            <v>JTT01L</v>
          </cell>
          <cell r="P524" t="str">
            <v>461212202</v>
          </cell>
          <cell r="Q524" t="str">
            <v>SPECIFIED PUBLIC PURPOSE</v>
          </cell>
          <cell r="R524" t="str">
            <v>HT</v>
          </cell>
          <cell r="S524" t="str">
            <v>01/10/2023</v>
          </cell>
          <cell r="T524" t="str">
            <v>01/10/2023</v>
          </cell>
          <cell r="U524" t="str">
            <v>06/10/2023</v>
          </cell>
          <cell r="V524" t="str">
            <v>09/10/2023</v>
          </cell>
          <cell r="W524" t="str">
            <v>2023/09</v>
          </cell>
          <cell r="X524" t="str">
            <v>11 KV</v>
          </cell>
          <cell r="Y524" t="str">
            <v>HT</v>
          </cell>
          <cell r="Z524">
            <v>284.8</v>
          </cell>
          <cell r="AA524">
            <v>0.95289999999999997</v>
          </cell>
          <cell r="AB524">
            <v>51.68</v>
          </cell>
          <cell r="AC524" t="str">
            <v xml:space="preserve">01/09/2023 -     </v>
          </cell>
          <cell r="AD524" t="str">
            <v>30.09.2023</v>
          </cell>
          <cell r="AE524" t="str">
            <v>30/1.0000</v>
          </cell>
          <cell r="AF524">
            <v>356</v>
          </cell>
          <cell r="AG524" t="str">
            <v>KVA</v>
          </cell>
          <cell r="AH524">
            <v>356</v>
          </cell>
          <cell r="AI524" t="str">
            <v>R</v>
          </cell>
          <cell r="AJ524">
            <v>882909</v>
          </cell>
          <cell r="AK524" t="str">
            <v>30/09/2023</v>
          </cell>
          <cell r="AL524" t="str">
            <v>NES83056</v>
          </cell>
          <cell r="AM524" t="str">
            <v>SINGLE PHASE ELECTRO-MAGNETIC KWH METER-TOD</v>
          </cell>
          <cell r="AN524" t="str">
            <v>POST PAID</v>
          </cell>
          <cell r="AO524">
            <v>500</v>
          </cell>
          <cell r="AP524" t="str">
            <v>TOD</v>
          </cell>
          <cell r="AQ524">
            <v>-411645.4</v>
          </cell>
          <cell r="AR524">
            <v>0</v>
          </cell>
          <cell r="AS524">
            <v>0</v>
          </cell>
          <cell r="AT524">
            <v>0</v>
          </cell>
          <cell r="AU524">
            <v>0</v>
          </cell>
          <cell r="AV524">
            <v>0</v>
          </cell>
          <cell r="AW524">
            <v>39032</v>
          </cell>
          <cell r="AX524">
            <v>40960</v>
          </cell>
          <cell r="AY524">
            <v>40960</v>
          </cell>
          <cell r="AZ524">
            <v>765.92</v>
          </cell>
          <cell r="BA524">
            <v>110.08</v>
          </cell>
        </row>
        <row r="525">
          <cell r="F525">
            <v>614000000002</v>
          </cell>
          <cell r="G525" t="str">
            <v>PROJECT MANAGER,LARSEN &amp; TOUBRO  LIMITED</v>
          </cell>
          <cell r="H525" t="str">
            <v>ANKULA</v>
          </cell>
          <cell r="I525" t="str">
            <v>08/03/2021 00:00:00</v>
          </cell>
          <cell r="J525">
            <v>1</v>
          </cell>
          <cell r="K525" t="str">
            <v>ANKULA</v>
          </cell>
          <cell r="L525" t="str">
            <v>JAJPUR</v>
          </cell>
          <cell r="M525" t="str">
            <v>612000010231493679</v>
          </cell>
          <cell r="N525" t="str">
            <v>132100000660</v>
          </cell>
          <cell r="O525" t="str">
            <v>JTT02L</v>
          </cell>
          <cell r="P525" t="str">
            <v>461212202</v>
          </cell>
          <cell r="Q525" t="str">
            <v>TEMP. SUPPLY GENERAL PURPOSE &gt;= 110 KVA</v>
          </cell>
          <cell r="R525" t="str">
            <v>HT</v>
          </cell>
          <cell r="S525" t="str">
            <v>01/10/2023</v>
          </cell>
          <cell r="T525" t="str">
            <v>01/10/2023</v>
          </cell>
          <cell r="U525" t="str">
            <v>06/10/2023</v>
          </cell>
          <cell r="V525" t="str">
            <v>09/10/2023</v>
          </cell>
          <cell r="W525" t="str">
            <v>2023/09</v>
          </cell>
          <cell r="X525" t="str">
            <v>11 KV</v>
          </cell>
          <cell r="Y525" t="str">
            <v>HT</v>
          </cell>
          <cell r="Z525">
            <v>216.48</v>
          </cell>
          <cell r="AA525">
            <v>0.95940000000000003</v>
          </cell>
          <cell r="AB525">
            <v>44.18</v>
          </cell>
          <cell r="AC525" t="str">
            <v xml:space="preserve">01/09/2023 -     </v>
          </cell>
          <cell r="AD525" t="str">
            <v>30.09.2023</v>
          </cell>
          <cell r="AE525" t="str">
            <v>30/1.0000</v>
          </cell>
          <cell r="AF525">
            <v>222</v>
          </cell>
          <cell r="AG525" t="str">
            <v>KVA</v>
          </cell>
          <cell r="AH525">
            <v>222</v>
          </cell>
          <cell r="AI525" t="str">
            <v>R</v>
          </cell>
          <cell r="AJ525">
            <v>781888</v>
          </cell>
          <cell r="AK525" t="str">
            <v>30/09/2023</v>
          </cell>
          <cell r="AL525" t="str">
            <v>TPN64028</v>
          </cell>
          <cell r="AM525" t="str">
            <v>HT THREE PHASE 4 WIRE AMR/AMI COMPLAINT METER</v>
          </cell>
          <cell r="AN525" t="str">
            <v>POST PAID</v>
          </cell>
          <cell r="AO525">
            <v>315</v>
          </cell>
          <cell r="AP525" t="str">
            <v>TOD</v>
          </cell>
          <cell r="AQ525">
            <v>0</v>
          </cell>
          <cell r="AR525">
            <v>0</v>
          </cell>
          <cell r="AS525">
            <v>0</v>
          </cell>
          <cell r="AT525">
            <v>0</v>
          </cell>
          <cell r="AU525">
            <v>0</v>
          </cell>
          <cell r="AV525">
            <v>0</v>
          </cell>
          <cell r="AW525">
            <v>66074</v>
          </cell>
          <cell r="AX525">
            <v>68868</v>
          </cell>
          <cell r="AY525">
            <v>68868</v>
          </cell>
          <cell r="AZ525">
            <v>1495.84</v>
          </cell>
          <cell r="BA525">
            <v>216.48000000000002</v>
          </cell>
        </row>
        <row r="526">
          <cell r="F526">
            <v>614000000003</v>
          </cell>
          <cell r="G526" t="str">
            <v xml:space="preserve">ZILLA SANSKRUT BHABAN JAJPUR       </v>
          </cell>
          <cell r="H526" t="str">
            <v xml:space="preserve">C/O D.P.I.R. / D.C.O               </v>
          </cell>
          <cell r="I526" t="str">
            <v>01/25/2021 00:00:00</v>
          </cell>
          <cell r="J526">
            <v>1</v>
          </cell>
          <cell r="K526" t="str">
            <v xml:space="preserve">JAJPUR                             </v>
          </cell>
          <cell r="L526" t="str">
            <v xml:space="preserve"> </v>
          </cell>
          <cell r="M526" t="str">
            <v>612000010231493458</v>
          </cell>
          <cell r="N526" t="str">
            <v>36121021837</v>
          </cell>
          <cell r="O526" t="str">
            <v>JTT115COM</v>
          </cell>
          <cell r="P526" t="str">
            <v>461212207</v>
          </cell>
          <cell r="Q526" t="str">
            <v>GENERAL PURPOSE &gt;= 110 KVA</v>
          </cell>
          <cell r="R526" t="str">
            <v>HT</v>
          </cell>
          <cell r="S526" t="str">
            <v>01/10/2023</v>
          </cell>
          <cell r="T526" t="str">
            <v>01/10/2023</v>
          </cell>
          <cell r="U526" t="str">
            <v>06/10/2023</v>
          </cell>
          <cell r="V526" t="str">
            <v>09/10/2023</v>
          </cell>
          <cell r="W526" t="str">
            <v>2023/09</v>
          </cell>
          <cell r="X526" t="str">
            <v>11 KV</v>
          </cell>
          <cell r="Y526" t="str">
            <v>LT</v>
          </cell>
          <cell r="Z526">
            <v>111.2</v>
          </cell>
          <cell r="AA526">
            <v>0.91200000000000003</v>
          </cell>
          <cell r="AB526">
            <v>10.8</v>
          </cell>
          <cell r="AC526" t="str">
            <v xml:space="preserve">01/09/2023 -     </v>
          </cell>
          <cell r="AD526" t="str">
            <v>30.09.2023</v>
          </cell>
          <cell r="AE526" t="str">
            <v>30/1.0000</v>
          </cell>
          <cell r="AF526">
            <v>139</v>
          </cell>
          <cell r="AG526" t="str">
            <v>KVA</v>
          </cell>
          <cell r="AH526">
            <v>139</v>
          </cell>
          <cell r="AI526" t="str">
            <v>R</v>
          </cell>
          <cell r="AJ526">
            <v>22624.6</v>
          </cell>
          <cell r="AK526" t="str">
            <v>30/09/2023</v>
          </cell>
          <cell r="AL526" t="str">
            <v>TPNODL37101166</v>
          </cell>
          <cell r="AM526" t="str">
            <v>THREE PHASE SMART LTCT METER-TOD</v>
          </cell>
          <cell r="AN526" t="str">
            <v>SMART METER</v>
          </cell>
          <cell r="AO526">
            <v>500</v>
          </cell>
          <cell r="AP526" t="str">
            <v>TOD</v>
          </cell>
          <cell r="AQ526">
            <v>-13566.2</v>
          </cell>
          <cell r="AR526">
            <v>0</v>
          </cell>
          <cell r="AS526">
            <v>0</v>
          </cell>
          <cell r="AT526">
            <v>0</v>
          </cell>
          <cell r="AU526">
            <v>0</v>
          </cell>
          <cell r="AV526">
            <v>0</v>
          </cell>
          <cell r="AW526">
            <v>3630</v>
          </cell>
          <cell r="AX526">
            <v>3980</v>
          </cell>
          <cell r="AY526">
            <v>5805</v>
          </cell>
          <cell r="AZ526">
            <v>0.90200000000000002</v>
          </cell>
          <cell r="BA526">
            <v>74.66</v>
          </cell>
        </row>
        <row r="527">
          <cell r="F527">
            <v>614000000004</v>
          </cell>
          <cell r="G527" t="str">
            <v>Mr.  CHINMAYA KUMAR MISHRA</v>
          </cell>
          <cell r="H527" t="str">
            <v xml:space="preserve">SUDHALATA SOCIAL                   </v>
          </cell>
          <cell r="I527" t="str">
            <v>01/25/2021 00:00:00</v>
          </cell>
          <cell r="J527">
            <v>1</v>
          </cell>
          <cell r="K527" t="str">
            <v xml:space="preserve">EDUCATIONAL WELFAIR TRUST          </v>
          </cell>
          <cell r="L527" t="str">
            <v xml:space="preserve">SITALESWAR , JAJPUR                </v>
          </cell>
          <cell r="M527" t="str">
            <v>612000010231493337</v>
          </cell>
          <cell r="N527" t="str">
            <v>36121019587</v>
          </cell>
          <cell r="O527" t="str">
            <v>JTT85PI</v>
          </cell>
          <cell r="P527" t="str">
            <v>461212207</v>
          </cell>
          <cell r="Q527" t="str">
            <v>GENERAL PURPOSE &gt;= 110 KVA</v>
          </cell>
          <cell r="R527" t="str">
            <v>HT</v>
          </cell>
          <cell r="S527" t="str">
            <v>01/10/2023</v>
          </cell>
          <cell r="T527" t="str">
            <v>01/10/2023</v>
          </cell>
          <cell r="U527" t="str">
            <v>06/10/2023</v>
          </cell>
          <cell r="V527" t="str">
            <v>09/10/2023</v>
          </cell>
          <cell r="W527" t="str">
            <v>2023/09</v>
          </cell>
          <cell r="X527" t="str">
            <v>11 KV</v>
          </cell>
          <cell r="Y527" t="str">
            <v>HT</v>
          </cell>
          <cell r="Z527">
            <v>133.6</v>
          </cell>
          <cell r="AA527">
            <v>0.99919999999999998</v>
          </cell>
          <cell r="AB527">
            <v>32.729999999999997</v>
          </cell>
          <cell r="AC527" t="str">
            <v xml:space="preserve">01/09/2023 -     </v>
          </cell>
          <cell r="AD527" t="str">
            <v>30.09.2023</v>
          </cell>
          <cell r="AE527" t="str">
            <v>30/1.0000</v>
          </cell>
          <cell r="AF527">
            <v>167</v>
          </cell>
          <cell r="AG527" t="str">
            <v>KVA</v>
          </cell>
          <cell r="AH527">
            <v>167</v>
          </cell>
          <cell r="AI527" t="str">
            <v>R</v>
          </cell>
          <cell r="AJ527">
            <v>488842.46250000002</v>
          </cell>
          <cell r="AK527" t="str">
            <v>30/09/2023</v>
          </cell>
          <cell r="AL527" t="str">
            <v>TPN64265</v>
          </cell>
          <cell r="AM527" t="str">
            <v>HT THREE PHASE 4 WIRE AMR/AMI COMPLAINT METER</v>
          </cell>
          <cell r="AN527" t="str">
            <v>POST PAID</v>
          </cell>
          <cell r="AO527">
            <v>250</v>
          </cell>
          <cell r="AP527" t="str">
            <v>TOD</v>
          </cell>
          <cell r="AQ527">
            <v>2171.62</v>
          </cell>
          <cell r="AR527">
            <v>0</v>
          </cell>
          <cell r="AS527">
            <v>0</v>
          </cell>
          <cell r="AT527">
            <v>0</v>
          </cell>
          <cell r="AU527">
            <v>0</v>
          </cell>
          <cell r="AV527">
            <v>0</v>
          </cell>
          <cell r="AW527">
            <v>15318</v>
          </cell>
          <cell r="AX527">
            <v>15329</v>
          </cell>
          <cell r="AY527">
            <v>15329</v>
          </cell>
          <cell r="AZ527">
            <v>462</v>
          </cell>
          <cell r="BA527">
            <v>65.039999999999992</v>
          </cell>
        </row>
        <row r="528">
          <cell r="F528">
            <v>614000000005</v>
          </cell>
          <cell r="G528" t="str">
            <v>DIST. SPORTS OFFICER</v>
          </cell>
          <cell r="H528" t="str">
            <v>P/S TO INDOOR STADIUM</v>
          </cell>
          <cell r="I528" t="str">
            <v>12/26/2022 00:00:00</v>
          </cell>
          <cell r="J528">
            <v>1</v>
          </cell>
          <cell r="K528" t="str">
            <v>NEAR KUSUMA</v>
          </cell>
          <cell r="L528" t="str">
            <v>JAJPUR TOWN</v>
          </cell>
          <cell r="M528" t="str">
            <v>612000010231493545</v>
          </cell>
          <cell r="N528" t="str">
            <v>132299958717</v>
          </cell>
          <cell r="O528" t="str">
            <v xml:space="preserve"> </v>
          </cell>
          <cell r="P528" t="str">
            <v>461212207</v>
          </cell>
          <cell r="Q528" t="str">
            <v>SPECIFIED PUBLIC PURPOSE</v>
          </cell>
          <cell r="R528" t="str">
            <v>HT</v>
          </cell>
          <cell r="S528" t="str">
            <v>01/10/2023</v>
          </cell>
          <cell r="T528" t="str">
            <v>01/10/2023</v>
          </cell>
          <cell r="U528" t="str">
            <v>06/10/2023</v>
          </cell>
          <cell r="V528" t="str">
            <v>09/10/2023</v>
          </cell>
          <cell r="W528" t="str">
            <v>2023/09</v>
          </cell>
          <cell r="X528" t="str">
            <v>11 KV</v>
          </cell>
          <cell r="Y528" t="str">
            <v>HT</v>
          </cell>
          <cell r="Z528">
            <v>372</v>
          </cell>
          <cell r="AA528">
            <v>0.68340000000000001</v>
          </cell>
          <cell r="AB528">
            <v>27.69</v>
          </cell>
          <cell r="AC528" t="str">
            <v xml:space="preserve">01/09/2023 -     </v>
          </cell>
          <cell r="AD528" t="str">
            <v>30.09.2023</v>
          </cell>
          <cell r="AE528" t="str">
            <v>30/1.0000</v>
          </cell>
          <cell r="AF528">
            <v>465</v>
          </cell>
          <cell r="AG528" t="str">
            <v>KVA</v>
          </cell>
          <cell r="AH528">
            <v>465</v>
          </cell>
          <cell r="AI528" t="str">
            <v>R</v>
          </cell>
          <cell r="AJ528">
            <v>1361148</v>
          </cell>
          <cell r="AK528" t="str">
            <v>30/09/2023</v>
          </cell>
          <cell r="AL528" t="str">
            <v>TPN64383</v>
          </cell>
          <cell r="AM528" t="str">
            <v>HT THREE PHASE 4 WIRE AMR/AMI COMPLAINT METER</v>
          </cell>
          <cell r="AN528" t="str">
            <v>POST PAID</v>
          </cell>
          <cell r="AO528">
            <v>500</v>
          </cell>
          <cell r="AP528" t="str">
            <v>TOD</v>
          </cell>
          <cell r="AQ528">
            <v>0</v>
          </cell>
          <cell r="AR528">
            <v>0</v>
          </cell>
          <cell r="AS528">
            <v>0</v>
          </cell>
          <cell r="AT528">
            <v>0</v>
          </cell>
          <cell r="AU528">
            <v>0</v>
          </cell>
          <cell r="AV528">
            <v>0</v>
          </cell>
          <cell r="AW528">
            <v>1341</v>
          </cell>
          <cell r="AX528">
            <v>1962</v>
          </cell>
          <cell r="AY528">
            <v>1962</v>
          </cell>
          <cell r="AZ528">
            <v>924</v>
          </cell>
          <cell r="BA528">
            <v>9.8400000000000016</v>
          </cell>
        </row>
        <row r="529">
          <cell r="F529">
            <v>614000000006</v>
          </cell>
          <cell r="G529" t="str">
            <v>DISTRICT SPORTS OFFICER,Hockey Stadium</v>
          </cell>
          <cell r="H529" t="str">
            <v>GOVT</v>
          </cell>
          <cell r="I529" t="str">
            <v>12/27/2022 00:00:00</v>
          </cell>
          <cell r="J529">
            <v>1</v>
          </cell>
          <cell r="K529" t="str">
            <v>MEDICAL ROAD</v>
          </cell>
          <cell r="L529" t="str">
            <v>MEDICAL ROAD</v>
          </cell>
          <cell r="M529" t="str">
            <v>612000010231493633</v>
          </cell>
          <cell r="N529" t="str">
            <v>132299959078</v>
          </cell>
          <cell r="O529" t="str">
            <v xml:space="preserve"> </v>
          </cell>
          <cell r="P529" t="str">
            <v>NULL</v>
          </cell>
          <cell r="Q529" t="str">
            <v>GENERAL PURPOSE &gt;= 110 KVA</v>
          </cell>
          <cell r="R529" t="str">
            <v>HT</v>
          </cell>
          <cell r="S529" t="str">
            <v>01/10/2023</v>
          </cell>
          <cell r="T529" t="str">
            <v>01/10/2023</v>
          </cell>
          <cell r="U529" t="str">
            <v>06/10/2023</v>
          </cell>
          <cell r="V529" t="str">
            <v>09/10/2023</v>
          </cell>
          <cell r="W529" t="str">
            <v>2023/09</v>
          </cell>
          <cell r="X529" t="str">
            <v>11 KV</v>
          </cell>
          <cell r="Y529" t="str">
            <v>LT</v>
          </cell>
          <cell r="Z529">
            <v>115.2</v>
          </cell>
          <cell r="AA529">
            <v>0.99480000000000002</v>
          </cell>
          <cell r="AB529">
            <v>10.27</v>
          </cell>
          <cell r="AC529" t="str">
            <v xml:space="preserve">26/08/2023 -     </v>
          </cell>
          <cell r="AD529" t="str">
            <v>25.09.2023</v>
          </cell>
          <cell r="AE529" t="str">
            <v>31/1.0000</v>
          </cell>
          <cell r="AF529">
            <v>144</v>
          </cell>
          <cell r="AG529" t="str">
            <v>KVA</v>
          </cell>
          <cell r="AH529">
            <v>144</v>
          </cell>
          <cell r="AI529" t="str">
            <v>R</v>
          </cell>
          <cell r="AJ529">
            <v>422817.99489999999</v>
          </cell>
          <cell r="AK529" t="str">
            <v>25/09/2023</v>
          </cell>
          <cell r="AL529" t="str">
            <v>NEC10912</v>
          </cell>
          <cell r="AM529" t="str">
            <v>TRI-VECTOR METER FOR RAILWAY TRACTION</v>
          </cell>
          <cell r="AN529" t="str">
            <v>NULL</v>
          </cell>
          <cell r="AO529">
            <v>500</v>
          </cell>
          <cell r="AP529" t="str">
            <v>TOD</v>
          </cell>
          <cell r="AQ529">
            <v>0</v>
          </cell>
          <cell r="AR529">
            <v>0</v>
          </cell>
          <cell r="AS529">
            <v>0</v>
          </cell>
          <cell r="AT529">
            <v>0</v>
          </cell>
          <cell r="AU529">
            <v>0</v>
          </cell>
          <cell r="AV529">
            <v>0</v>
          </cell>
          <cell r="AW529">
            <v>5383</v>
          </cell>
          <cell r="AX529">
            <v>5411</v>
          </cell>
          <cell r="AY529">
            <v>5411</v>
          </cell>
          <cell r="AZ529">
            <v>897.2</v>
          </cell>
          <cell r="BA529">
            <v>70.8</v>
          </cell>
        </row>
        <row r="530">
          <cell r="F530">
            <v>614000000008</v>
          </cell>
          <cell r="G530" t="str">
            <v xml:space="preserve">EXE. OFFICER JAJPUR MUNICIPALITY   </v>
          </cell>
          <cell r="H530" t="str">
            <v xml:space="preserve">P/S TO- KUSUMA PROJECT             </v>
          </cell>
          <cell r="I530" t="str">
            <v>01/25/2021 00:00:00</v>
          </cell>
          <cell r="J530">
            <v>1</v>
          </cell>
          <cell r="K530" t="str">
            <v xml:space="preserve"> </v>
          </cell>
          <cell r="L530" t="str">
            <v xml:space="preserve"> </v>
          </cell>
          <cell r="M530" t="str">
            <v>612000010232515573</v>
          </cell>
          <cell r="N530" t="str">
            <v>36121033319</v>
          </cell>
          <cell r="O530" t="str">
            <v>JTT210COM</v>
          </cell>
          <cell r="P530" t="str">
            <v>NULL</v>
          </cell>
          <cell r="Q530" t="str">
            <v>GENERAL PURPOSE &gt;= 110 KVA</v>
          </cell>
          <cell r="R530" t="str">
            <v>HT</v>
          </cell>
          <cell r="S530" t="str">
            <v>03/10/2023</v>
          </cell>
          <cell r="T530" t="str">
            <v>03/10/2023</v>
          </cell>
          <cell r="U530" t="str">
            <v>06/10/2023</v>
          </cell>
          <cell r="V530" t="str">
            <v>10/10/2023</v>
          </cell>
          <cell r="W530" t="str">
            <v>2023/09</v>
          </cell>
          <cell r="X530" t="str">
            <v>11 KV</v>
          </cell>
          <cell r="Y530" t="str">
            <v>LT</v>
          </cell>
          <cell r="Z530">
            <v>130.4</v>
          </cell>
          <cell r="AA530">
            <v>0.91549999999999998</v>
          </cell>
          <cell r="AB530">
            <v>18.52</v>
          </cell>
          <cell r="AC530" t="str">
            <v xml:space="preserve">01/09/2023 -     </v>
          </cell>
          <cell r="AD530" t="str">
            <v>30.09.2023</v>
          </cell>
          <cell r="AE530" t="str">
            <v>30/1.0000</v>
          </cell>
          <cell r="AF530">
            <v>163</v>
          </cell>
          <cell r="AG530" t="str">
            <v>KVA</v>
          </cell>
          <cell r="AH530">
            <v>163</v>
          </cell>
          <cell r="AI530" t="str">
            <v>R</v>
          </cell>
          <cell r="AJ530">
            <v>116643.02</v>
          </cell>
          <cell r="AK530" t="str">
            <v>30/09/2023</v>
          </cell>
          <cell r="AL530" t="str">
            <v>TPNODL37101177</v>
          </cell>
          <cell r="AM530" t="str">
            <v>THREE PHASE SMART LTCT METER-TOD</v>
          </cell>
          <cell r="AN530" t="str">
            <v>SMART METER</v>
          </cell>
          <cell r="AO530">
            <v>500</v>
          </cell>
          <cell r="AP530" t="str">
            <v>TOD</v>
          </cell>
          <cell r="AQ530">
            <v>-20111.82</v>
          </cell>
          <cell r="AR530">
            <v>0</v>
          </cell>
          <cell r="AS530">
            <v>0</v>
          </cell>
          <cell r="AT530">
            <v>0</v>
          </cell>
          <cell r="AU530">
            <v>0</v>
          </cell>
          <cell r="AV530">
            <v>0</v>
          </cell>
          <cell r="AW530">
            <v>6020</v>
          </cell>
          <cell r="AX530">
            <v>6575</v>
          </cell>
          <cell r="AY530">
            <v>6575</v>
          </cell>
          <cell r="AZ530">
            <v>1.2330000000000001</v>
          </cell>
          <cell r="BA530">
            <v>49.320000000000007</v>
          </cell>
        </row>
        <row r="531">
          <cell r="F531">
            <v>614000000009</v>
          </cell>
          <cell r="G531" t="str">
            <v>BIRAJA PANTHASALA,DEPT OF TOURISM</v>
          </cell>
          <cell r="H531" t="str">
            <v>O.T.D.C</v>
          </cell>
          <cell r="I531" t="str">
            <v>09/04/2023 00:00:00</v>
          </cell>
          <cell r="J531">
            <v>1</v>
          </cell>
          <cell r="K531" t="str">
            <v>JAJPUR TOWN</v>
          </cell>
          <cell r="L531" t="str">
            <v>JAJPUR TOWN</v>
          </cell>
          <cell r="M531" t="str">
            <v>612000010231493594</v>
          </cell>
          <cell r="N531" t="str">
            <v>132329082170</v>
          </cell>
          <cell r="O531" t="str">
            <v xml:space="preserve"> </v>
          </cell>
          <cell r="P531" t="str">
            <v>NULL</v>
          </cell>
          <cell r="Q531" t="str">
            <v>GENERAL PURPOSE &gt;= 110 KVA</v>
          </cell>
          <cell r="R531" t="str">
            <v>HT</v>
          </cell>
          <cell r="S531" t="str">
            <v>01/10/2023</v>
          </cell>
          <cell r="T531" t="str">
            <v>01/10/2023</v>
          </cell>
          <cell r="U531" t="str">
            <v>06/10/2023</v>
          </cell>
          <cell r="V531" t="str">
            <v>09/10/2023</v>
          </cell>
          <cell r="W531" t="str">
            <v>2023/09</v>
          </cell>
          <cell r="X531" t="str">
            <v>11 KV</v>
          </cell>
          <cell r="Y531" t="str">
            <v>HT</v>
          </cell>
          <cell r="Z531">
            <v>116</v>
          </cell>
          <cell r="AA531">
            <v>0.69210000000000005</v>
          </cell>
          <cell r="AB531">
            <v>47.07</v>
          </cell>
          <cell r="AC531" t="str">
            <v xml:space="preserve">01/09/2023 -     </v>
          </cell>
          <cell r="AD531" t="str">
            <v>30.09.2023</v>
          </cell>
          <cell r="AE531" t="str">
            <v>30/1.0000</v>
          </cell>
          <cell r="AF531">
            <v>145</v>
          </cell>
          <cell r="AG531" t="str">
            <v>KVA</v>
          </cell>
          <cell r="AH531">
            <v>145</v>
          </cell>
          <cell r="AI531" t="str">
            <v>R</v>
          </cell>
          <cell r="AJ531">
            <v>359612</v>
          </cell>
          <cell r="AK531" t="str">
            <v>30/09/2023</v>
          </cell>
          <cell r="AL531" t="str">
            <v>TPNODL38111951</v>
          </cell>
          <cell r="AM531" t="str">
            <v>THREE PHASE SMART HT CT METER (AMR/AMI)-11KV</v>
          </cell>
          <cell r="AN531" t="str">
            <v>SMART METER</v>
          </cell>
          <cell r="AO531">
            <v>250</v>
          </cell>
          <cell r="AP531" t="str">
            <v>TOD</v>
          </cell>
          <cell r="AQ531">
            <v>0</v>
          </cell>
          <cell r="AR531">
            <v>0</v>
          </cell>
          <cell r="AS531">
            <v>0</v>
          </cell>
          <cell r="AT531">
            <v>0</v>
          </cell>
          <cell r="AU531">
            <v>0</v>
          </cell>
          <cell r="AV531">
            <v>0</v>
          </cell>
          <cell r="AW531">
            <v>5414</v>
          </cell>
          <cell r="AX531">
            <v>7822</v>
          </cell>
          <cell r="AY531">
            <v>7822</v>
          </cell>
          <cell r="AZ531">
            <v>43.992899999999999</v>
          </cell>
          <cell r="BA531">
            <v>23.082000000000001</v>
          </cell>
        </row>
        <row r="532">
          <cell r="F532">
            <v>615000000001</v>
          </cell>
          <cell r="G532" t="str">
            <v>M/S NILANCHAL CARBO METALIKS</v>
          </cell>
          <cell r="H532" t="str">
            <v>C/O BIBHUDATTA PANDA,</v>
          </cell>
          <cell r="I532" t="str">
            <v>10/31/2020 00:00:00</v>
          </cell>
          <cell r="J532">
            <v>1</v>
          </cell>
          <cell r="K532" t="str">
            <v xml:space="preserve"> </v>
          </cell>
          <cell r="L532" t="str">
            <v xml:space="preserve"> </v>
          </cell>
          <cell r="M532" t="str">
            <v>615000010232494967</v>
          </cell>
          <cell r="N532" t="str">
            <v>6110000010</v>
          </cell>
          <cell r="O532" t="str">
            <v>L-1979</v>
          </cell>
          <cell r="P532" t="str">
            <v>461523103</v>
          </cell>
          <cell r="Q532" t="str">
            <v>LARGE INDUSTRY</v>
          </cell>
          <cell r="R532" t="str">
            <v>HT</v>
          </cell>
          <cell r="S532" t="str">
            <v>01/10/2023</v>
          </cell>
          <cell r="T532" t="str">
            <v>01/10/2023</v>
          </cell>
          <cell r="U532" t="str">
            <v>06/10/2023</v>
          </cell>
          <cell r="V532" t="str">
            <v>09/10/2023</v>
          </cell>
          <cell r="W532" t="str">
            <v>2023/09</v>
          </cell>
          <cell r="X532" t="str">
            <v>11 KV</v>
          </cell>
          <cell r="Y532" t="str">
            <v>HT</v>
          </cell>
          <cell r="Z532">
            <v>340.8</v>
          </cell>
          <cell r="AA532">
            <v>0.97870000000000001</v>
          </cell>
          <cell r="AB532">
            <v>17.41</v>
          </cell>
          <cell r="AC532" t="str">
            <v xml:space="preserve">01/09/2023 -     </v>
          </cell>
          <cell r="AD532" t="str">
            <v>30.09.2023</v>
          </cell>
          <cell r="AE532" t="str">
            <v>30/1.0000</v>
          </cell>
          <cell r="AF532">
            <v>152</v>
          </cell>
          <cell r="AG532" t="str">
            <v>KVA</v>
          </cell>
          <cell r="AH532">
            <v>152</v>
          </cell>
          <cell r="AI532" t="str">
            <v>R</v>
          </cell>
          <cell r="AJ532">
            <v>410269.14</v>
          </cell>
          <cell r="AK532" t="str">
            <v>30/09/2023</v>
          </cell>
          <cell r="AL532" t="str">
            <v>NSC16812</v>
          </cell>
          <cell r="AM532" t="str">
            <v>TRI-VECTOR METER FOR RAILWAY TRACTION</v>
          </cell>
          <cell r="AN532" t="str">
            <v>POST PAID</v>
          </cell>
          <cell r="AO532">
            <v>250</v>
          </cell>
          <cell r="AP532" t="str">
            <v>TOD</v>
          </cell>
          <cell r="AQ532">
            <v>158500.16</v>
          </cell>
          <cell r="AR532">
            <v>0</v>
          </cell>
          <cell r="AS532">
            <v>0</v>
          </cell>
          <cell r="AT532">
            <v>0</v>
          </cell>
          <cell r="AU532">
            <v>0</v>
          </cell>
          <cell r="AV532">
            <v>0</v>
          </cell>
          <cell r="AW532">
            <v>41800</v>
          </cell>
          <cell r="AX532">
            <v>42708</v>
          </cell>
          <cell r="AY532">
            <v>42708</v>
          </cell>
          <cell r="AZ532">
            <v>0.85199999999999998</v>
          </cell>
          <cell r="BA532">
            <v>340.8</v>
          </cell>
        </row>
        <row r="533">
          <cell r="F533">
            <v>615000000003</v>
          </cell>
          <cell r="G533" t="str">
            <v>M/S.KRISHNA COKE INDIA (P)LTD.</v>
          </cell>
          <cell r="H533" t="str">
            <v>BALISAHI,SARGADAMUKUNDPUR</v>
          </cell>
          <cell r="I533" t="str">
            <v>10/31/2020 00:00:00</v>
          </cell>
          <cell r="J533">
            <v>1</v>
          </cell>
          <cell r="K533" t="str">
            <v xml:space="preserve"> </v>
          </cell>
          <cell r="L533" t="str">
            <v xml:space="preserve"> </v>
          </cell>
          <cell r="M533" t="str">
            <v>615000010232495847</v>
          </cell>
          <cell r="N533" t="str">
            <v>6110000023</v>
          </cell>
          <cell r="O533" t="str">
            <v>L-2101</v>
          </cell>
          <cell r="P533" t="str">
            <v>46107416002</v>
          </cell>
          <cell r="Q533" t="str">
            <v>LARGE INDUSTRY</v>
          </cell>
          <cell r="R533" t="str">
            <v>HT</v>
          </cell>
          <cell r="S533" t="str">
            <v>01/10/2023</v>
          </cell>
          <cell r="T533" t="str">
            <v>01/10/2023</v>
          </cell>
          <cell r="U533" t="str">
            <v>06/10/2023</v>
          </cell>
          <cell r="V533" t="str">
            <v>09/10/2023</v>
          </cell>
          <cell r="W533" t="str">
            <v>2023/09</v>
          </cell>
          <cell r="X533" t="str">
            <v>33 KV</v>
          </cell>
          <cell r="Y533" t="str">
            <v>HT</v>
          </cell>
          <cell r="Z533">
            <v>106.4</v>
          </cell>
          <cell r="AA533">
            <v>0</v>
          </cell>
          <cell r="AB533">
            <v>0</v>
          </cell>
          <cell r="AC533" t="str">
            <v xml:space="preserve">01/09/2023 -     </v>
          </cell>
          <cell r="AD533" t="str">
            <v>30.09.2023</v>
          </cell>
          <cell r="AE533" t="str">
            <v>30/1.0000</v>
          </cell>
          <cell r="AF533">
            <v>133</v>
          </cell>
          <cell r="AG533" t="str">
            <v>KVA</v>
          </cell>
          <cell r="AH533">
            <v>133</v>
          </cell>
          <cell r="AI533" t="str">
            <v>R</v>
          </cell>
          <cell r="AJ533">
            <v>196436.2</v>
          </cell>
          <cell r="AK533" t="str">
            <v>30/09/2023</v>
          </cell>
          <cell r="AL533" t="str">
            <v>NES83065</v>
          </cell>
          <cell r="AM533" t="str">
            <v>THREE PHASE HT CT METER-33KV</v>
          </cell>
          <cell r="AN533" t="str">
            <v>POST PAID</v>
          </cell>
          <cell r="AO533">
            <v>250</v>
          </cell>
          <cell r="AP533" t="str">
            <v>TOD</v>
          </cell>
          <cell r="AQ533">
            <v>155978.85999999999</v>
          </cell>
          <cell r="AR533">
            <v>0</v>
          </cell>
          <cell r="AS533">
            <v>0</v>
          </cell>
          <cell r="AT533">
            <v>0</v>
          </cell>
          <cell r="AU533">
            <v>0</v>
          </cell>
          <cell r="AV533">
            <v>0</v>
          </cell>
          <cell r="AW533">
            <v>0</v>
          </cell>
          <cell r="AX533">
            <v>0</v>
          </cell>
          <cell r="AY533">
            <v>0</v>
          </cell>
          <cell r="AZ533">
            <v>0</v>
          </cell>
          <cell r="BA533">
            <v>0</v>
          </cell>
        </row>
        <row r="534">
          <cell r="F534">
            <v>615000000005</v>
          </cell>
          <cell r="G534" t="str">
            <v>SUBHASHREE GAS (PVT) LTD.</v>
          </cell>
          <cell r="H534" t="str">
            <v>RAGADIPOSI, GARHMADHUPUR</v>
          </cell>
          <cell r="I534" t="str">
            <v>10/31/2020 00:00:00</v>
          </cell>
          <cell r="J534">
            <v>1</v>
          </cell>
          <cell r="K534" t="str">
            <v xml:space="preserve"> </v>
          </cell>
          <cell r="L534" t="str">
            <v xml:space="preserve"> </v>
          </cell>
          <cell r="M534" t="str">
            <v>615000010231494736</v>
          </cell>
          <cell r="N534" t="str">
            <v>6110000028</v>
          </cell>
          <cell r="O534" t="str">
            <v>L-2183</v>
          </cell>
          <cell r="P534" t="str">
            <v>46107416002</v>
          </cell>
          <cell r="Q534" t="str">
            <v>LARGE INDUSTRY</v>
          </cell>
          <cell r="R534" t="str">
            <v>HT</v>
          </cell>
          <cell r="S534" t="str">
            <v>01/10/2023</v>
          </cell>
          <cell r="T534" t="str">
            <v>01/10/2023</v>
          </cell>
          <cell r="U534" t="str">
            <v>06/10/2023</v>
          </cell>
          <cell r="V534" t="str">
            <v>09/10/2023</v>
          </cell>
          <cell r="W534" t="str">
            <v>2023/09</v>
          </cell>
          <cell r="X534" t="str">
            <v>33 KV</v>
          </cell>
          <cell r="Y534" t="str">
            <v>LT</v>
          </cell>
          <cell r="Z534">
            <v>88</v>
          </cell>
          <cell r="AA534">
            <v>1</v>
          </cell>
          <cell r="AB534">
            <v>37.51</v>
          </cell>
          <cell r="AC534" t="str">
            <v xml:space="preserve">01/09/2023 -     </v>
          </cell>
          <cell r="AD534" t="str">
            <v>30.09.2023</v>
          </cell>
          <cell r="AE534" t="str">
            <v>30/1.0000</v>
          </cell>
          <cell r="AF534">
            <v>110</v>
          </cell>
          <cell r="AG534" t="str">
            <v>KVA</v>
          </cell>
          <cell r="AH534">
            <v>110</v>
          </cell>
          <cell r="AI534" t="str">
            <v>R</v>
          </cell>
          <cell r="AJ534">
            <v>1065622.8999999999</v>
          </cell>
          <cell r="AK534" t="str">
            <v>30/09/2023</v>
          </cell>
          <cell r="AL534" t="str">
            <v>NEC04162</v>
          </cell>
          <cell r="AM534" t="str">
            <v>THREE PHASE HT CT METER-33KV</v>
          </cell>
          <cell r="AN534" t="str">
            <v>POST PAID</v>
          </cell>
          <cell r="AO534">
            <v>250</v>
          </cell>
          <cell r="AP534" t="str">
            <v>TOD</v>
          </cell>
          <cell r="AQ534">
            <v>-1000059.8</v>
          </cell>
          <cell r="AR534">
            <v>0</v>
          </cell>
          <cell r="AS534">
            <v>0</v>
          </cell>
          <cell r="AT534">
            <v>0</v>
          </cell>
          <cell r="AU534">
            <v>0</v>
          </cell>
          <cell r="AV534">
            <v>0</v>
          </cell>
          <cell r="AW534">
            <v>894</v>
          </cell>
          <cell r="AX534">
            <v>894</v>
          </cell>
          <cell r="AY534">
            <v>1807</v>
          </cell>
          <cell r="AZ534">
            <v>41.6</v>
          </cell>
          <cell r="BA534">
            <v>6.69</v>
          </cell>
        </row>
        <row r="535">
          <cell r="F535">
            <v>615000000006</v>
          </cell>
          <cell r="G535" t="str">
            <v>PURE COKE LTD.</v>
          </cell>
          <cell r="H535" t="str">
            <v>ANJIRA,BALISAHI,</v>
          </cell>
          <cell r="I535" t="str">
            <v>10/31/2020 00:00:00</v>
          </cell>
          <cell r="J535">
            <v>1</v>
          </cell>
          <cell r="K535" t="str">
            <v xml:space="preserve"> </v>
          </cell>
          <cell r="L535" t="str">
            <v xml:space="preserve"> </v>
          </cell>
          <cell r="M535" t="str">
            <v>615000010231494759</v>
          </cell>
          <cell r="N535" t="str">
            <v>6110000029</v>
          </cell>
          <cell r="O535" t="str">
            <v>L-2182</v>
          </cell>
          <cell r="P535" t="str">
            <v>46107416002</v>
          </cell>
          <cell r="Q535" t="str">
            <v>LARGE INDUSTRY</v>
          </cell>
          <cell r="R535" t="str">
            <v>HT</v>
          </cell>
          <cell r="S535" t="str">
            <v>01/10/2023</v>
          </cell>
          <cell r="T535" t="str">
            <v>01/10/2023</v>
          </cell>
          <cell r="U535" t="str">
            <v>06/10/2023</v>
          </cell>
          <cell r="V535" t="str">
            <v>09/10/2023</v>
          </cell>
          <cell r="W535" t="str">
            <v>2023/09</v>
          </cell>
          <cell r="X535" t="str">
            <v>33 KV</v>
          </cell>
          <cell r="Y535" t="str">
            <v>HT</v>
          </cell>
          <cell r="Z535">
            <v>96</v>
          </cell>
          <cell r="AA535">
            <v>0.5534</v>
          </cell>
          <cell r="AB535">
            <v>17.260000000000002</v>
          </cell>
          <cell r="AC535" t="str">
            <v xml:space="preserve">01/09/2023 -     </v>
          </cell>
          <cell r="AD535" t="str">
            <v>30.09.2023</v>
          </cell>
          <cell r="AE535" t="str">
            <v>30/1.0000</v>
          </cell>
          <cell r="AF535">
            <v>120</v>
          </cell>
          <cell r="AG535" t="str">
            <v>KVA</v>
          </cell>
          <cell r="AH535">
            <v>120</v>
          </cell>
          <cell r="AI535" t="str">
            <v>R</v>
          </cell>
          <cell r="AJ535">
            <v>62499</v>
          </cell>
          <cell r="AK535" t="str">
            <v>30/09/2023</v>
          </cell>
          <cell r="AL535" t="str">
            <v>TPN64711</v>
          </cell>
          <cell r="AM535" t="str">
            <v>THREE PHASE HT CT METER-33KV</v>
          </cell>
          <cell r="AN535" t="str">
            <v>POST PAID</v>
          </cell>
          <cell r="AO535">
            <v>200</v>
          </cell>
          <cell r="AP535" t="str">
            <v>TOD</v>
          </cell>
          <cell r="AQ535">
            <v>246767.2</v>
          </cell>
          <cell r="AR535">
            <v>0</v>
          </cell>
          <cell r="AS535">
            <v>0</v>
          </cell>
          <cell r="AT535">
            <v>0</v>
          </cell>
          <cell r="AU535">
            <v>0</v>
          </cell>
          <cell r="AV535">
            <v>0</v>
          </cell>
          <cell r="AW535">
            <v>3120</v>
          </cell>
          <cell r="AX535">
            <v>5637</v>
          </cell>
          <cell r="AY535">
            <v>5637</v>
          </cell>
          <cell r="AZ535">
            <v>468.24</v>
          </cell>
          <cell r="BA535">
            <v>45.36</v>
          </cell>
        </row>
        <row r="536">
          <cell r="F536">
            <v>615000000009</v>
          </cell>
          <cell r="G536" t="str">
            <v>M/S MATRIX FERRO L.L.P</v>
          </cell>
          <cell r="H536" t="str">
            <v>MANDIA,MANDIAJAJPUR ROAD</v>
          </cell>
          <cell r="I536" t="str">
            <v>10/31/2020 00:00:00</v>
          </cell>
          <cell r="J536">
            <v>1</v>
          </cell>
          <cell r="K536" t="str">
            <v xml:space="preserve"> </v>
          </cell>
          <cell r="L536" t="str">
            <v xml:space="preserve"> </v>
          </cell>
          <cell r="M536" t="str">
            <v>615000010232495304</v>
          </cell>
          <cell r="N536" t="str">
            <v>6110000036</v>
          </cell>
          <cell r="O536" t="str">
            <v>L-2296</v>
          </cell>
          <cell r="P536" t="str">
            <v>46107416002</v>
          </cell>
          <cell r="Q536" t="str">
            <v>LARGE INDUSTRY</v>
          </cell>
          <cell r="R536" t="str">
            <v>HT</v>
          </cell>
          <cell r="S536" t="str">
            <v>01/10/2023</v>
          </cell>
          <cell r="T536" t="str">
            <v>01/10/2023</v>
          </cell>
          <cell r="U536" t="str">
            <v>06/10/2023</v>
          </cell>
          <cell r="V536" t="str">
            <v>09/10/2023</v>
          </cell>
          <cell r="W536" t="str">
            <v>2023/09</v>
          </cell>
          <cell r="X536" t="str">
            <v>33 KV</v>
          </cell>
          <cell r="Y536" t="str">
            <v>HT</v>
          </cell>
          <cell r="Z536">
            <v>4435.2</v>
          </cell>
          <cell r="AA536">
            <v>0.99360000000000004</v>
          </cell>
          <cell r="AB536">
            <v>72.5</v>
          </cell>
          <cell r="AC536" t="str">
            <v xml:space="preserve">01/09/2023 -     </v>
          </cell>
          <cell r="AD536" t="str">
            <v>30.09.2023</v>
          </cell>
          <cell r="AE536" t="str">
            <v>30/1.0000</v>
          </cell>
          <cell r="AF536">
            <v>4400</v>
          </cell>
          <cell r="AG536" t="str">
            <v>KVA</v>
          </cell>
          <cell r="AH536">
            <v>4400</v>
          </cell>
          <cell r="AI536" t="str">
            <v>R</v>
          </cell>
          <cell r="AJ536">
            <v>27008960</v>
          </cell>
          <cell r="AK536" t="str">
            <v>30/09/2023</v>
          </cell>
          <cell r="AL536" t="str">
            <v>NSC94898</v>
          </cell>
          <cell r="AM536" t="str">
            <v>THREE PHASE HT CT METER-33KV</v>
          </cell>
          <cell r="AN536" t="str">
            <v>POST PAID</v>
          </cell>
          <cell r="AO536">
            <v>5000</v>
          </cell>
          <cell r="AP536" t="str">
            <v>TOD</v>
          </cell>
          <cell r="AQ536">
            <v>4889622.4800000004</v>
          </cell>
          <cell r="AR536">
            <v>0</v>
          </cell>
          <cell r="AS536">
            <v>0</v>
          </cell>
          <cell r="AT536">
            <v>0</v>
          </cell>
          <cell r="AU536">
            <v>0</v>
          </cell>
          <cell r="AV536">
            <v>0</v>
          </cell>
          <cell r="AW536">
            <v>2300460</v>
          </cell>
          <cell r="AX536">
            <v>2315070</v>
          </cell>
          <cell r="AY536">
            <v>2315070</v>
          </cell>
          <cell r="AZ536">
            <v>17100</v>
          </cell>
          <cell r="BA536">
            <v>4435.2</v>
          </cell>
        </row>
        <row r="537">
          <cell r="F537">
            <v>615000000011</v>
          </cell>
          <cell r="G537" t="str">
            <v>K.L. RESOURCES  (P)  LTD.</v>
          </cell>
          <cell r="H537" t="str">
            <v>SUNDARIA,NEULPURJAJPUR</v>
          </cell>
          <cell r="I537" t="str">
            <v>10/31/2020 00:00:00</v>
          </cell>
          <cell r="J537">
            <v>1</v>
          </cell>
          <cell r="K537" t="str">
            <v xml:space="preserve"> </v>
          </cell>
          <cell r="L537" t="str">
            <v xml:space="preserve"> </v>
          </cell>
          <cell r="M537" t="str">
            <v>615000010231494312</v>
          </cell>
          <cell r="N537" t="str">
            <v>6110000046</v>
          </cell>
          <cell r="O537" t="str">
            <v>L-2213</v>
          </cell>
          <cell r="P537" t="str">
            <v>461523503</v>
          </cell>
          <cell r="Q537" t="str">
            <v>LARGE INDUSTRY</v>
          </cell>
          <cell r="R537" t="str">
            <v>HT</v>
          </cell>
          <cell r="S537" t="str">
            <v>01/10/2023</v>
          </cell>
          <cell r="T537" t="str">
            <v>01/10/2023</v>
          </cell>
          <cell r="U537" t="str">
            <v>06/10/2023</v>
          </cell>
          <cell r="V537" t="str">
            <v>09/10/2023</v>
          </cell>
          <cell r="W537" t="str">
            <v>2023/09</v>
          </cell>
          <cell r="X537" t="str">
            <v>11 KV</v>
          </cell>
          <cell r="Y537" t="str">
            <v>HT</v>
          </cell>
          <cell r="Z537">
            <v>266.39999999999998</v>
          </cell>
          <cell r="AA537">
            <v>0.99690000000000001</v>
          </cell>
          <cell r="AB537">
            <v>65.290000000000006</v>
          </cell>
          <cell r="AC537" t="str">
            <v xml:space="preserve">01/09/2023 -     </v>
          </cell>
          <cell r="AD537" t="str">
            <v>30.09.2023</v>
          </cell>
          <cell r="AE537" t="str">
            <v>30/1.0000</v>
          </cell>
          <cell r="AF537">
            <v>333</v>
          </cell>
          <cell r="AG537" t="str">
            <v>KVA</v>
          </cell>
          <cell r="AH537">
            <v>333</v>
          </cell>
          <cell r="AI537" t="str">
            <v>R</v>
          </cell>
          <cell r="AJ537">
            <v>945956</v>
          </cell>
          <cell r="AK537" t="str">
            <v>30/09/2023</v>
          </cell>
          <cell r="AL537" t="str">
            <v>TPN64270</v>
          </cell>
          <cell r="AM537" t="str">
            <v>HT THREE PHASE 4 WIRE AMR/AMI COMPLAINT METER</v>
          </cell>
          <cell r="AN537" t="str">
            <v>POST PAID</v>
          </cell>
          <cell r="AO537">
            <v>500</v>
          </cell>
          <cell r="AP537" t="str">
            <v>TOD</v>
          </cell>
          <cell r="AQ537">
            <v>-687998.9</v>
          </cell>
          <cell r="AR537">
            <v>0</v>
          </cell>
          <cell r="AS537">
            <v>0</v>
          </cell>
          <cell r="AT537">
            <v>0</v>
          </cell>
          <cell r="AU537">
            <v>0</v>
          </cell>
          <cell r="AV537">
            <v>0</v>
          </cell>
          <cell r="AW537">
            <v>65805</v>
          </cell>
          <cell r="AX537">
            <v>66005</v>
          </cell>
          <cell r="AY537">
            <v>66005</v>
          </cell>
          <cell r="AZ537">
            <v>973.6</v>
          </cell>
          <cell r="BA537">
            <v>140.4</v>
          </cell>
        </row>
        <row r="538">
          <cell r="F538">
            <v>615000000013</v>
          </cell>
          <cell r="G538" t="str">
            <v>M/S MAA CHANDI STONE CRUSHER</v>
          </cell>
          <cell r="H538" t="str">
            <v>C/O ASHOK AGARWALLA,KABATABANDHA</v>
          </cell>
          <cell r="I538" t="str">
            <v>10/31/2020 00:00:00</v>
          </cell>
          <cell r="J538">
            <v>1</v>
          </cell>
          <cell r="K538" t="str">
            <v xml:space="preserve"> </v>
          </cell>
          <cell r="L538" t="str">
            <v xml:space="preserve"> </v>
          </cell>
          <cell r="M538" t="str">
            <v>615000010231494776</v>
          </cell>
          <cell r="N538" t="str">
            <v>6110000053</v>
          </cell>
          <cell r="O538" t="str">
            <v>L-1444</v>
          </cell>
          <cell r="P538" t="str">
            <v>461524403</v>
          </cell>
          <cell r="Q538" t="str">
            <v>LARGE INDUSTRY</v>
          </cell>
          <cell r="R538" t="str">
            <v>HT</v>
          </cell>
          <cell r="S538" t="str">
            <v>01/10/2023</v>
          </cell>
          <cell r="T538" t="str">
            <v>01/10/2023</v>
          </cell>
          <cell r="U538" t="str">
            <v>06/10/2023</v>
          </cell>
          <cell r="V538" t="str">
            <v>09/10/2023</v>
          </cell>
          <cell r="W538" t="str">
            <v>2023/09</v>
          </cell>
          <cell r="X538" t="str">
            <v>11 KV</v>
          </cell>
          <cell r="Y538" t="str">
            <v>HT</v>
          </cell>
          <cell r="Z538">
            <v>160</v>
          </cell>
          <cell r="AA538">
            <v>0.3604</v>
          </cell>
          <cell r="AB538">
            <v>24.48</v>
          </cell>
          <cell r="AC538" t="str">
            <v xml:space="preserve">01/09/2023 -     </v>
          </cell>
          <cell r="AD538" t="str">
            <v>30.09.2023</v>
          </cell>
          <cell r="AE538" t="str">
            <v>30/1.0000</v>
          </cell>
          <cell r="AF538">
            <v>200</v>
          </cell>
          <cell r="AG538" t="str">
            <v>KVA</v>
          </cell>
          <cell r="AH538">
            <v>200</v>
          </cell>
          <cell r="AI538" t="str">
            <v>R</v>
          </cell>
          <cell r="AJ538">
            <v>421546</v>
          </cell>
          <cell r="AK538" t="str">
            <v>30/09/2023</v>
          </cell>
          <cell r="AL538" t="str">
            <v>TPN64267</v>
          </cell>
          <cell r="AM538" t="str">
            <v>HT THREE PHASE 4 WIRE AMR/AMI COMPLAINT METER</v>
          </cell>
          <cell r="AN538" t="str">
            <v>POST PAID</v>
          </cell>
          <cell r="AO538">
            <v>250</v>
          </cell>
          <cell r="AP538" t="str">
            <v>TOD</v>
          </cell>
          <cell r="AQ538">
            <v>-313407.5</v>
          </cell>
          <cell r="AR538">
            <v>0</v>
          </cell>
          <cell r="AS538">
            <v>0</v>
          </cell>
          <cell r="AT538">
            <v>0</v>
          </cell>
          <cell r="AU538">
            <v>0</v>
          </cell>
          <cell r="AV538">
            <v>0</v>
          </cell>
          <cell r="AW538">
            <v>930</v>
          </cell>
          <cell r="AX538">
            <v>2580</v>
          </cell>
          <cell r="AY538">
            <v>2580</v>
          </cell>
          <cell r="AZ538">
            <v>57.36</v>
          </cell>
          <cell r="BA538">
            <v>14.64</v>
          </cell>
        </row>
        <row r="539">
          <cell r="F539">
            <v>615000000014</v>
          </cell>
          <cell r="G539" t="str">
            <v>M/S A.N. TRANSPORT</v>
          </cell>
          <cell r="H539" t="str">
            <v>C/O- SRINATH MISHRA,RANASIGHA BATI</v>
          </cell>
          <cell r="I539" t="str">
            <v>10/31/2020 00:00:00</v>
          </cell>
          <cell r="J539">
            <v>1</v>
          </cell>
          <cell r="K539" t="str">
            <v xml:space="preserve"> </v>
          </cell>
          <cell r="L539" t="str">
            <v xml:space="preserve"> </v>
          </cell>
          <cell r="M539" t="str">
            <v>615000010231494374</v>
          </cell>
          <cell r="N539" t="str">
            <v>6110000057</v>
          </cell>
          <cell r="O539" t="str">
            <v>0102KDNMI</v>
          </cell>
          <cell r="P539" t="str">
            <v>461523103</v>
          </cell>
          <cell r="Q539" t="str">
            <v>LARGE INDUSTRY</v>
          </cell>
          <cell r="R539" t="str">
            <v>HT</v>
          </cell>
          <cell r="S539" t="str">
            <v>01/10/2023</v>
          </cell>
          <cell r="T539" t="str">
            <v>01/10/2023</v>
          </cell>
          <cell r="U539" t="str">
            <v>06/10/2023</v>
          </cell>
          <cell r="V539" t="str">
            <v>09/10/2023</v>
          </cell>
          <cell r="W539" t="str">
            <v>2023/09</v>
          </cell>
          <cell r="X539" t="str">
            <v>11 KV</v>
          </cell>
          <cell r="Y539" t="str">
            <v>HT</v>
          </cell>
          <cell r="Z539">
            <v>106.12</v>
          </cell>
          <cell r="AA539">
            <v>0.7339</v>
          </cell>
          <cell r="AB539">
            <v>7.36</v>
          </cell>
          <cell r="AC539" t="str">
            <v xml:space="preserve">01/09/2023 -     </v>
          </cell>
          <cell r="AD539" t="str">
            <v>30.09.2023</v>
          </cell>
          <cell r="AE539" t="str">
            <v>30/1.0000</v>
          </cell>
          <cell r="AF539">
            <v>127.8</v>
          </cell>
          <cell r="AG539" t="str">
            <v>KVA</v>
          </cell>
          <cell r="AH539">
            <v>127.8</v>
          </cell>
          <cell r="AI539" t="str">
            <v>R</v>
          </cell>
          <cell r="AJ539">
            <v>510487</v>
          </cell>
          <cell r="AK539" t="str">
            <v>30/09/2023</v>
          </cell>
          <cell r="AL539" t="str">
            <v>TPN64033</v>
          </cell>
          <cell r="AM539" t="str">
            <v>HT THREE PHASE 4 WIRE AMR/AMI COMPLAINT METER</v>
          </cell>
          <cell r="AN539" t="str">
            <v>POST PAID</v>
          </cell>
          <cell r="AO539">
            <v>100</v>
          </cell>
          <cell r="AP539" t="str">
            <v>TOD</v>
          </cell>
          <cell r="AQ539">
            <v>-422771.7</v>
          </cell>
          <cell r="AR539">
            <v>0</v>
          </cell>
          <cell r="AS539">
            <v>0</v>
          </cell>
          <cell r="AT539">
            <v>0</v>
          </cell>
          <cell r="AU539">
            <v>0</v>
          </cell>
          <cell r="AV539">
            <v>0</v>
          </cell>
          <cell r="AW539">
            <v>4128</v>
          </cell>
          <cell r="AX539">
            <v>5624</v>
          </cell>
          <cell r="AY539">
            <v>5624</v>
          </cell>
          <cell r="AZ539">
            <v>828.72</v>
          </cell>
          <cell r="BA539">
            <v>106.11999999999999</v>
          </cell>
        </row>
        <row r="540">
          <cell r="F540">
            <v>615000000015</v>
          </cell>
          <cell r="G540" t="str">
            <v>DAS STONE CRUSHER</v>
          </cell>
          <cell r="H540" t="str">
            <v>BARAMAN,NEULPUR</v>
          </cell>
          <cell r="I540" t="str">
            <v>10/31/2020 00:00:00</v>
          </cell>
          <cell r="J540">
            <v>1</v>
          </cell>
          <cell r="K540" t="str">
            <v xml:space="preserve"> </v>
          </cell>
          <cell r="L540" t="str">
            <v xml:space="preserve"> </v>
          </cell>
          <cell r="M540" t="str">
            <v>615000010231494431</v>
          </cell>
          <cell r="N540" t="str">
            <v>6150000001</v>
          </cell>
          <cell r="O540" t="str">
            <v>2574-MI</v>
          </cell>
          <cell r="P540" t="str">
            <v>461523103</v>
          </cell>
          <cell r="Q540" t="str">
            <v>LARGE INDUSTRY</v>
          </cell>
          <cell r="R540" t="str">
            <v>HT</v>
          </cell>
          <cell r="S540" t="str">
            <v>01/10/2023</v>
          </cell>
          <cell r="T540" t="str">
            <v>01/10/2023</v>
          </cell>
          <cell r="U540" t="str">
            <v>06/10/2023</v>
          </cell>
          <cell r="V540" t="str">
            <v>09/10/2023</v>
          </cell>
          <cell r="W540" t="str">
            <v>2023/09</v>
          </cell>
          <cell r="X540" t="str">
            <v>11 KV</v>
          </cell>
          <cell r="Y540" t="str">
            <v>HT</v>
          </cell>
          <cell r="Z540">
            <v>211.2</v>
          </cell>
          <cell r="AA540">
            <v>0.67910000000000004</v>
          </cell>
          <cell r="AB540">
            <v>7.91</v>
          </cell>
          <cell r="AC540" t="str">
            <v xml:space="preserve">01/09/2023 -     </v>
          </cell>
          <cell r="AD540" t="str">
            <v>30.09.2023</v>
          </cell>
          <cell r="AE540" t="str">
            <v>30/1.0000</v>
          </cell>
          <cell r="AF540">
            <v>167</v>
          </cell>
          <cell r="AG540" t="str">
            <v>KVA</v>
          </cell>
          <cell r="AH540">
            <v>167</v>
          </cell>
          <cell r="AI540" t="str">
            <v>R</v>
          </cell>
          <cell r="AJ540">
            <v>541914</v>
          </cell>
          <cell r="AK540" t="str">
            <v>30/09/2023</v>
          </cell>
          <cell r="AL540" t="str">
            <v>TPN64266</v>
          </cell>
          <cell r="AM540" t="str">
            <v>HT THREE PHASE 4 WIRE AMR/AMI COMPLAINT METER</v>
          </cell>
          <cell r="AN540" t="str">
            <v>POST PAID</v>
          </cell>
          <cell r="AO540">
            <v>250</v>
          </cell>
          <cell r="AP540" t="str">
            <v>TOD</v>
          </cell>
          <cell r="AQ540">
            <v>-393512.74</v>
          </cell>
          <cell r="AR540">
            <v>0</v>
          </cell>
          <cell r="AS540">
            <v>0</v>
          </cell>
          <cell r="AT540">
            <v>0</v>
          </cell>
          <cell r="AU540">
            <v>0</v>
          </cell>
          <cell r="AV540">
            <v>0</v>
          </cell>
          <cell r="AW540">
            <v>8170</v>
          </cell>
          <cell r="AX540">
            <v>12029</v>
          </cell>
          <cell r="AY540">
            <v>12029</v>
          </cell>
          <cell r="AZ540">
            <v>1502.72</v>
          </cell>
          <cell r="BA540">
            <v>211.20000000000002</v>
          </cell>
        </row>
        <row r="541">
          <cell r="F541">
            <v>615000000019</v>
          </cell>
          <cell r="G541" t="str">
            <v>SRI PRATAP KUMAR MOHANTY</v>
          </cell>
          <cell r="H541" t="str">
            <v>MANDIA MAHISARA,</v>
          </cell>
          <cell r="I541" t="str">
            <v>10/31/2020 00:00:00</v>
          </cell>
          <cell r="J541">
            <v>1</v>
          </cell>
          <cell r="K541" t="str">
            <v xml:space="preserve"> </v>
          </cell>
          <cell r="L541" t="str">
            <v xml:space="preserve"> </v>
          </cell>
          <cell r="M541" t="str">
            <v>615000010231494483</v>
          </cell>
          <cell r="N541" t="str">
            <v>6150000005</v>
          </cell>
          <cell r="O541" t="str">
            <v>M-2088</v>
          </cell>
          <cell r="P541" t="str">
            <v>461523103</v>
          </cell>
          <cell r="Q541" t="str">
            <v>LARGE INDUSTRY</v>
          </cell>
          <cell r="R541" t="str">
            <v>HT</v>
          </cell>
          <cell r="S541" t="str">
            <v>01/10/2023</v>
          </cell>
          <cell r="T541" t="str">
            <v>01/10/2023</v>
          </cell>
          <cell r="U541" t="str">
            <v>06/10/2023</v>
          </cell>
          <cell r="V541" t="str">
            <v>09/10/2023</v>
          </cell>
          <cell r="W541" t="str">
            <v>2023/09</v>
          </cell>
          <cell r="X541" t="str">
            <v>11 KV</v>
          </cell>
          <cell r="Y541" t="str">
            <v>HT</v>
          </cell>
          <cell r="Z541">
            <v>110.08</v>
          </cell>
          <cell r="AA541">
            <v>0.49049999999999999</v>
          </cell>
          <cell r="AB541">
            <v>4.67</v>
          </cell>
          <cell r="AC541" t="str">
            <v xml:space="preserve">01/09/2023 -     </v>
          </cell>
          <cell r="AD541" t="str">
            <v>30.09.2023</v>
          </cell>
          <cell r="AE541" t="str">
            <v>30/1.0000</v>
          </cell>
          <cell r="AF541">
            <v>115</v>
          </cell>
          <cell r="AG541" t="str">
            <v>KVA</v>
          </cell>
          <cell r="AH541">
            <v>115</v>
          </cell>
          <cell r="AI541" t="str">
            <v>R</v>
          </cell>
          <cell r="AJ541">
            <v>137308</v>
          </cell>
          <cell r="AK541" t="str">
            <v>30/09/2023</v>
          </cell>
          <cell r="AL541" t="str">
            <v>TPN64034</v>
          </cell>
          <cell r="AM541" t="str">
            <v>HT THREE PHASE 4 WIRE AMR/AMI COMPLAINT METER</v>
          </cell>
          <cell r="AN541" t="str">
            <v>POST PAID</v>
          </cell>
          <cell r="AO541">
            <v>150</v>
          </cell>
          <cell r="AP541" t="str">
            <v>TOD</v>
          </cell>
          <cell r="AQ541">
            <v>-84816.26</v>
          </cell>
          <cell r="AR541">
            <v>0</v>
          </cell>
          <cell r="AS541">
            <v>0</v>
          </cell>
          <cell r="AT541">
            <v>0</v>
          </cell>
          <cell r="AU541">
            <v>0</v>
          </cell>
          <cell r="AV541">
            <v>0</v>
          </cell>
          <cell r="AW541">
            <v>1817</v>
          </cell>
          <cell r="AX541">
            <v>3704</v>
          </cell>
          <cell r="AY541">
            <v>3704</v>
          </cell>
          <cell r="AZ541">
            <v>651.04</v>
          </cell>
          <cell r="BA541">
            <v>110.08</v>
          </cell>
        </row>
        <row r="542">
          <cell r="F542">
            <v>615000000022</v>
          </cell>
          <cell r="G542" t="str">
            <v>SRI SRIDHAR PARIDA</v>
          </cell>
          <cell r="H542" t="str">
            <v>BALISAHI KABATABANDHA</v>
          </cell>
          <cell r="I542" t="str">
            <v>10/31/2020 00:00:00</v>
          </cell>
          <cell r="J542">
            <v>1</v>
          </cell>
          <cell r="K542" t="str">
            <v xml:space="preserve"> </v>
          </cell>
          <cell r="L542" t="str">
            <v xml:space="preserve"> </v>
          </cell>
          <cell r="M542" t="str">
            <v>615000010231494792</v>
          </cell>
          <cell r="N542" t="str">
            <v>6150000008</v>
          </cell>
          <cell r="O542" t="str">
            <v>2177M</v>
          </cell>
          <cell r="P542" t="str">
            <v>461524403</v>
          </cell>
          <cell r="Q542" t="str">
            <v>LARGE INDUSTRY</v>
          </cell>
          <cell r="R542" t="str">
            <v>HT</v>
          </cell>
          <cell r="S542" t="str">
            <v>01/10/2023</v>
          </cell>
          <cell r="T542" t="str">
            <v>01/10/2023</v>
          </cell>
          <cell r="U542" t="str">
            <v>06/10/2023</v>
          </cell>
          <cell r="V542" t="str">
            <v>09/10/2023</v>
          </cell>
          <cell r="W542" t="str">
            <v>2023/09</v>
          </cell>
          <cell r="X542" t="str">
            <v>11 KV</v>
          </cell>
          <cell r="Y542" t="str">
            <v>HT</v>
          </cell>
          <cell r="Z542">
            <v>92.8</v>
          </cell>
          <cell r="AA542">
            <v>0.68540000000000001</v>
          </cell>
          <cell r="AB542">
            <v>15.79</v>
          </cell>
          <cell r="AC542" t="str">
            <v xml:space="preserve">01/09/2023 -     </v>
          </cell>
          <cell r="AD542" t="str">
            <v>30.09.2023</v>
          </cell>
          <cell r="AE542" t="str">
            <v>30/1.0000</v>
          </cell>
          <cell r="AF542">
            <v>116</v>
          </cell>
          <cell r="AG542" t="str">
            <v>KVA</v>
          </cell>
          <cell r="AH542">
            <v>116</v>
          </cell>
          <cell r="AI542" t="str">
            <v>R</v>
          </cell>
          <cell r="AJ542">
            <v>158981.98000000001</v>
          </cell>
          <cell r="AK542" t="str">
            <v>30/09/2023</v>
          </cell>
          <cell r="AL542" t="str">
            <v>NES50374</v>
          </cell>
          <cell r="AM542" t="str">
            <v>TRI-VECTOR METER FOR RAILWAY TRACTION</v>
          </cell>
          <cell r="AN542" t="str">
            <v>POST PAID</v>
          </cell>
          <cell r="AO542">
            <v>100</v>
          </cell>
          <cell r="AP542" t="str">
            <v>TOD</v>
          </cell>
          <cell r="AQ542">
            <v>-53671.32</v>
          </cell>
          <cell r="AR542">
            <v>0</v>
          </cell>
          <cell r="AS542">
            <v>0</v>
          </cell>
          <cell r="AT542">
            <v>0</v>
          </cell>
          <cell r="AU542">
            <v>0</v>
          </cell>
          <cell r="AV542">
            <v>0</v>
          </cell>
          <cell r="AW542">
            <v>536</v>
          </cell>
          <cell r="AX542">
            <v>782</v>
          </cell>
          <cell r="AY542">
            <v>782</v>
          </cell>
          <cell r="AZ542">
            <v>28.64</v>
          </cell>
          <cell r="BA542">
            <v>6.88</v>
          </cell>
        </row>
        <row r="543">
          <cell r="F543">
            <v>615000000023</v>
          </cell>
          <cell r="G543" t="str">
            <v>M/S KONARK MINERALS &amp; METALS</v>
          </cell>
          <cell r="H543" t="str">
            <v>PARTNER- PRADYUMANA KU. NAYAK</v>
          </cell>
          <cell r="I543" t="str">
            <v>10/31/2020 00:00:00</v>
          </cell>
          <cell r="J543">
            <v>1</v>
          </cell>
          <cell r="K543" t="str">
            <v xml:space="preserve"> </v>
          </cell>
          <cell r="L543" t="str">
            <v xml:space="preserve"> </v>
          </cell>
          <cell r="M543" t="str">
            <v>615000010231494535</v>
          </cell>
          <cell r="N543" t="str">
            <v>6150000009</v>
          </cell>
          <cell r="O543" t="str">
            <v>KD0313</v>
          </cell>
          <cell r="P543" t="str">
            <v>46107416002</v>
          </cell>
          <cell r="Q543" t="str">
            <v>LARGE INDUSTRY</v>
          </cell>
          <cell r="R543" t="str">
            <v>HT</v>
          </cell>
          <cell r="S543" t="str">
            <v>01/10/2023</v>
          </cell>
          <cell r="T543" t="str">
            <v>01/10/2023</v>
          </cell>
          <cell r="U543" t="str">
            <v>06/10/2023</v>
          </cell>
          <cell r="V543" t="str">
            <v>09/10/2023</v>
          </cell>
          <cell r="W543" t="str">
            <v>2023/09</v>
          </cell>
          <cell r="X543" t="str">
            <v>33 KV</v>
          </cell>
          <cell r="Y543" t="str">
            <v>HT</v>
          </cell>
          <cell r="Z543">
            <v>444</v>
          </cell>
          <cell r="AA543">
            <v>0.98550000000000004</v>
          </cell>
          <cell r="AB543">
            <v>26.11</v>
          </cell>
          <cell r="AC543" t="str">
            <v xml:space="preserve">01/09/2023 -     </v>
          </cell>
          <cell r="AD543" t="str">
            <v>30.09.2023</v>
          </cell>
          <cell r="AE543" t="str">
            <v>30/1.0000</v>
          </cell>
          <cell r="AF543">
            <v>555</v>
          </cell>
          <cell r="AG543" t="str">
            <v>KVA</v>
          </cell>
          <cell r="AH543">
            <v>555</v>
          </cell>
          <cell r="AI543" t="str">
            <v>R</v>
          </cell>
          <cell r="AJ543">
            <v>2689131</v>
          </cell>
          <cell r="AK543" t="str">
            <v>30/09/2023</v>
          </cell>
          <cell r="AL543" t="str">
            <v>NSC94823</v>
          </cell>
          <cell r="AM543" t="str">
            <v>THREE PHASE HT CT METER-33KV</v>
          </cell>
          <cell r="AN543" t="str">
            <v>POST PAID</v>
          </cell>
          <cell r="AO543">
            <v>750</v>
          </cell>
          <cell r="AP543" t="str">
            <v>TOD</v>
          </cell>
          <cell r="AQ543">
            <v>-1687372.8</v>
          </cell>
          <cell r="AR543">
            <v>0</v>
          </cell>
          <cell r="AS543">
            <v>0</v>
          </cell>
          <cell r="AT543">
            <v>0</v>
          </cell>
          <cell r="AU543">
            <v>0</v>
          </cell>
          <cell r="AV543">
            <v>0</v>
          </cell>
          <cell r="AW543">
            <v>53754</v>
          </cell>
          <cell r="AX543">
            <v>54543</v>
          </cell>
          <cell r="AY543">
            <v>54543</v>
          </cell>
          <cell r="AZ543">
            <v>1962</v>
          </cell>
          <cell r="BA543">
            <v>290.15999999999997</v>
          </cell>
        </row>
        <row r="544">
          <cell r="F544">
            <v>615000000026</v>
          </cell>
          <cell r="G544" t="str">
            <v>SRIBAS JENA</v>
          </cell>
          <cell r="H544" t="str">
            <v>BARAMAN,CHADIEDHARA</v>
          </cell>
          <cell r="I544" t="str">
            <v>10/31/2020 00:00:00</v>
          </cell>
          <cell r="J544">
            <v>1</v>
          </cell>
          <cell r="K544" t="str">
            <v xml:space="preserve"> </v>
          </cell>
          <cell r="L544" t="str">
            <v xml:space="preserve"> </v>
          </cell>
          <cell r="M544" t="str">
            <v>615000010231494584</v>
          </cell>
          <cell r="N544" t="str">
            <v>6150000012</v>
          </cell>
          <cell r="O544" t="str">
            <v>0101KDNGP</v>
          </cell>
          <cell r="P544" t="str">
            <v>461523103</v>
          </cell>
          <cell r="Q544" t="str">
            <v>LARGE INDUSTRY</v>
          </cell>
          <cell r="R544" t="str">
            <v>HT</v>
          </cell>
          <cell r="S544" t="str">
            <v>01/10/2023</v>
          </cell>
          <cell r="T544" t="str">
            <v>01/10/2023</v>
          </cell>
          <cell r="U544" t="str">
            <v>06/10/2023</v>
          </cell>
          <cell r="V544" t="str">
            <v>09/10/2023</v>
          </cell>
          <cell r="W544" t="str">
            <v>2023/09</v>
          </cell>
          <cell r="X544" t="str">
            <v>11 KV</v>
          </cell>
          <cell r="Y544" t="str">
            <v>HT</v>
          </cell>
          <cell r="Z544">
            <v>92.8</v>
          </cell>
          <cell r="AA544">
            <v>0.94079999999999997</v>
          </cell>
          <cell r="AB544">
            <v>43.74</v>
          </cell>
          <cell r="AC544" t="str">
            <v xml:space="preserve">01/09/2023 -     </v>
          </cell>
          <cell r="AD544" t="str">
            <v>30.09.2023</v>
          </cell>
          <cell r="AE544" t="str">
            <v>30/1.0000</v>
          </cell>
          <cell r="AF544">
            <v>116</v>
          </cell>
          <cell r="AG544" t="str">
            <v>KVA</v>
          </cell>
          <cell r="AH544">
            <v>116</v>
          </cell>
          <cell r="AI544" t="str">
            <v>R</v>
          </cell>
          <cell r="AJ544">
            <v>562337.97</v>
          </cell>
          <cell r="AK544" t="str">
            <v>30/09/2023</v>
          </cell>
          <cell r="AL544" t="str">
            <v>TPN64269</v>
          </cell>
          <cell r="AM544" t="str">
            <v>HT THREE PHASE 4 WIRE AMR/AMI COMPLAINT METER</v>
          </cell>
          <cell r="AN544" t="str">
            <v>POST PAID</v>
          </cell>
          <cell r="AO544">
            <v>160</v>
          </cell>
          <cell r="AP544" t="str">
            <v>TOD</v>
          </cell>
          <cell r="AQ544">
            <v>-419143.87</v>
          </cell>
          <cell r="AR544">
            <v>0</v>
          </cell>
          <cell r="AS544">
            <v>0</v>
          </cell>
          <cell r="AT544">
            <v>0</v>
          </cell>
          <cell r="AU544">
            <v>0</v>
          </cell>
          <cell r="AV544">
            <v>0</v>
          </cell>
          <cell r="AW544">
            <v>7609</v>
          </cell>
          <cell r="AX544">
            <v>8087</v>
          </cell>
          <cell r="AY544">
            <v>8087</v>
          </cell>
          <cell r="AZ544">
            <v>180.08</v>
          </cell>
          <cell r="BA544">
            <v>25.679999999999996</v>
          </cell>
        </row>
        <row r="545">
          <cell r="F545">
            <v>615000000027</v>
          </cell>
          <cell r="G545" t="str">
            <v>TATA STEEL LTD</v>
          </cell>
          <cell r="H545" t="str">
            <v>CHANDIKHOLE,CHANDIKHOLE</v>
          </cell>
          <cell r="I545" t="str">
            <v>10/31/2020 00:00:00</v>
          </cell>
          <cell r="J545">
            <v>1</v>
          </cell>
          <cell r="K545" t="str">
            <v xml:space="preserve"> </v>
          </cell>
          <cell r="L545" t="str">
            <v xml:space="preserve"> </v>
          </cell>
          <cell r="M545" t="str">
            <v>615000010231494627</v>
          </cell>
          <cell r="N545" t="str">
            <v>6150000013</v>
          </cell>
          <cell r="O545" t="str">
            <v>KD0556LI</v>
          </cell>
          <cell r="P545" t="str">
            <v>46107416001</v>
          </cell>
          <cell r="Q545" t="str">
            <v>BULK SUPPLY DOMESTIC</v>
          </cell>
          <cell r="R545" t="str">
            <v>HT</v>
          </cell>
          <cell r="S545" t="str">
            <v>01/10/2023</v>
          </cell>
          <cell r="T545" t="str">
            <v>01/10/2023</v>
          </cell>
          <cell r="U545" t="str">
            <v>09/10/2023</v>
          </cell>
          <cell r="V545" t="str">
            <v>09/10/2023</v>
          </cell>
          <cell r="W545" t="str">
            <v>2023/09</v>
          </cell>
          <cell r="X545" t="str">
            <v>33 KV</v>
          </cell>
          <cell r="Y545" t="str">
            <v>HT</v>
          </cell>
          <cell r="Z545">
            <v>833.33</v>
          </cell>
          <cell r="AA545">
            <v>0.97340000000000004</v>
          </cell>
          <cell r="AB545">
            <v>0</v>
          </cell>
          <cell r="AC545" t="str">
            <v xml:space="preserve">01/09/2023 -     </v>
          </cell>
          <cell r="AD545" t="str">
            <v>30.09.2023</v>
          </cell>
          <cell r="AE545" t="str">
            <v>30/1.0000</v>
          </cell>
          <cell r="AF545">
            <v>833.33</v>
          </cell>
          <cell r="AG545" t="str">
            <v>KVA</v>
          </cell>
          <cell r="AH545">
            <v>833.33</v>
          </cell>
          <cell r="AI545" t="str">
            <v>R</v>
          </cell>
          <cell r="AJ545">
            <v>472800</v>
          </cell>
          <cell r="AK545" t="str">
            <v>30/09/2023</v>
          </cell>
          <cell r="AL545" t="str">
            <v>NES51045</v>
          </cell>
          <cell r="AM545" t="str">
            <v>THREE PHASE HT CT METER-33KV</v>
          </cell>
          <cell r="AN545" t="str">
            <v>POST PAID</v>
          </cell>
          <cell r="AO545">
            <v>1000</v>
          </cell>
          <cell r="AP545" t="str">
            <v>TOD</v>
          </cell>
          <cell r="AQ545">
            <v>-303952.40000000002</v>
          </cell>
          <cell r="AR545">
            <v>0</v>
          </cell>
          <cell r="AS545">
            <v>0</v>
          </cell>
          <cell r="AT545">
            <v>0</v>
          </cell>
          <cell r="AU545">
            <v>0</v>
          </cell>
          <cell r="AV545">
            <v>0</v>
          </cell>
          <cell r="AW545">
            <v>10040</v>
          </cell>
          <cell r="AX545">
            <v>10314</v>
          </cell>
          <cell r="AY545">
            <v>10314</v>
          </cell>
          <cell r="AZ545">
            <v>74.16</v>
          </cell>
          <cell r="BA545">
            <v>27.720000000000002</v>
          </cell>
        </row>
        <row r="546">
          <cell r="F546">
            <v>615000000028</v>
          </cell>
          <cell r="G546" t="str">
            <v>MEDICAL OFFICER DHARMASALA</v>
          </cell>
          <cell r="H546" t="str">
            <v>P/S TO CHC DHARMASALA</v>
          </cell>
          <cell r="I546" t="str">
            <v>10/31/2020 00:00:00</v>
          </cell>
          <cell r="J546">
            <v>1</v>
          </cell>
          <cell r="K546" t="str">
            <v xml:space="preserve"> </v>
          </cell>
          <cell r="L546" t="str">
            <v xml:space="preserve"> </v>
          </cell>
          <cell r="M546" t="str">
            <v>615000010231493782</v>
          </cell>
          <cell r="N546" t="str">
            <v>6150000014</v>
          </cell>
          <cell r="O546" t="str">
            <v>KD1028SPP</v>
          </cell>
          <cell r="P546" t="str">
            <v>461521301</v>
          </cell>
          <cell r="Q546" t="str">
            <v>SPECIFIED PUBLIC PURPOSE</v>
          </cell>
          <cell r="R546" t="str">
            <v>HT</v>
          </cell>
          <cell r="S546" t="str">
            <v>01/10/2023</v>
          </cell>
          <cell r="T546" t="str">
            <v>01/10/2023</v>
          </cell>
          <cell r="U546" t="str">
            <v>06/10/2023</v>
          </cell>
          <cell r="V546" t="str">
            <v>09/10/2023</v>
          </cell>
          <cell r="W546" t="str">
            <v>2023/09</v>
          </cell>
          <cell r="X546" t="str">
            <v>11 KV</v>
          </cell>
          <cell r="Y546" t="str">
            <v>HT</v>
          </cell>
          <cell r="Z546">
            <v>88.8</v>
          </cell>
          <cell r="AA546">
            <v>0.86560000000000004</v>
          </cell>
          <cell r="AB546">
            <v>55.6</v>
          </cell>
          <cell r="AC546" t="str">
            <v xml:space="preserve">01/09/2023 -     </v>
          </cell>
          <cell r="AD546" t="str">
            <v>30.09.2023</v>
          </cell>
          <cell r="AE546" t="str">
            <v>30/1.0000</v>
          </cell>
          <cell r="AF546">
            <v>111</v>
          </cell>
          <cell r="AG546" t="str">
            <v>KVA</v>
          </cell>
          <cell r="AH546">
            <v>111</v>
          </cell>
          <cell r="AI546" t="str">
            <v>R</v>
          </cell>
          <cell r="AJ546">
            <v>275289</v>
          </cell>
          <cell r="AK546" t="str">
            <v>30/09/2023</v>
          </cell>
          <cell r="AL546" t="str">
            <v>NES50555</v>
          </cell>
          <cell r="AM546" t="str">
            <v>TRI-VECTOR METER FOR RAILWAY TRACTION</v>
          </cell>
          <cell r="AN546" t="str">
            <v>POST PAID</v>
          </cell>
          <cell r="AO546">
            <v>250</v>
          </cell>
          <cell r="AP546" t="str">
            <v>TOD</v>
          </cell>
          <cell r="AQ546">
            <v>-210917.1</v>
          </cell>
          <cell r="AR546">
            <v>0</v>
          </cell>
          <cell r="AS546">
            <v>0</v>
          </cell>
          <cell r="AT546">
            <v>0</v>
          </cell>
          <cell r="AU546">
            <v>0</v>
          </cell>
          <cell r="AV546">
            <v>0</v>
          </cell>
          <cell r="AW546">
            <v>2384</v>
          </cell>
          <cell r="AX546">
            <v>2754</v>
          </cell>
          <cell r="AY546">
            <v>2754</v>
          </cell>
          <cell r="AZ546">
            <v>49.28</v>
          </cell>
          <cell r="BA546">
            <v>6.88</v>
          </cell>
        </row>
        <row r="547">
          <cell r="F547">
            <v>615000000029</v>
          </cell>
          <cell r="G547" t="str">
            <v>M/S M. S. INDUSTRIES</v>
          </cell>
          <cell r="H547" t="str">
            <v>NEULPUR,JAJPUR</v>
          </cell>
          <cell r="I547" t="str">
            <v>10/31/2020 00:00:00</v>
          </cell>
          <cell r="J547">
            <v>1</v>
          </cell>
          <cell r="K547" t="str">
            <v xml:space="preserve"> </v>
          </cell>
          <cell r="L547" t="str">
            <v xml:space="preserve"> </v>
          </cell>
          <cell r="M547" t="str">
            <v>615000010232494971</v>
          </cell>
          <cell r="N547" t="str">
            <v>6150000015</v>
          </cell>
          <cell r="O547" t="str">
            <v>2151M</v>
          </cell>
          <cell r="P547" t="str">
            <v>461523503</v>
          </cell>
          <cell r="Q547" t="str">
            <v>LARGE INDUSTRY</v>
          </cell>
          <cell r="R547" t="str">
            <v>HT</v>
          </cell>
          <cell r="S547" t="str">
            <v>01/10/2023</v>
          </cell>
          <cell r="T547" t="str">
            <v>01/10/2023</v>
          </cell>
          <cell r="U547" t="str">
            <v>06/10/2023</v>
          </cell>
          <cell r="V547" t="str">
            <v>09/10/2023</v>
          </cell>
          <cell r="W547" t="str">
            <v>2023/09</v>
          </cell>
          <cell r="X547" t="str">
            <v>11 KV</v>
          </cell>
          <cell r="Y547" t="str">
            <v>HT</v>
          </cell>
          <cell r="Z547">
            <v>209.92</v>
          </cell>
          <cell r="AA547">
            <v>0.77059999999999995</v>
          </cell>
          <cell r="AB547">
            <v>18.96</v>
          </cell>
          <cell r="AC547" t="str">
            <v xml:space="preserve">01/09/2023 -     </v>
          </cell>
          <cell r="AD547" t="str">
            <v>30.09.2023</v>
          </cell>
          <cell r="AE547" t="str">
            <v>30/1.0000</v>
          </cell>
          <cell r="AF547">
            <v>220</v>
          </cell>
          <cell r="AG547" t="str">
            <v>KVA</v>
          </cell>
          <cell r="AH547">
            <v>220</v>
          </cell>
          <cell r="AI547" t="str">
            <v>R</v>
          </cell>
          <cell r="AJ547">
            <v>1124412.45</v>
          </cell>
          <cell r="AK547" t="str">
            <v>30/09/2023</v>
          </cell>
          <cell r="AL547" t="str">
            <v>NES83068</v>
          </cell>
          <cell r="AM547" t="str">
            <v>TRI-VECTOR METER FOR RAILWAY TRACTION</v>
          </cell>
          <cell r="AN547" t="str">
            <v>POST PAID</v>
          </cell>
          <cell r="AO547">
            <v>250</v>
          </cell>
          <cell r="AP547" t="str">
            <v>TOD</v>
          </cell>
          <cell r="AQ547">
            <v>-827469.05</v>
          </cell>
          <cell r="AR547">
            <v>0</v>
          </cell>
          <cell r="AS547">
            <v>0</v>
          </cell>
          <cell r="AT547">
            <v>0</v>
          </cell>
          <cell r="AU547">
            <v>0</v>
          </cell>
          <cell r="AV547">
            <v>0</v>
          </cell>
          <cell r="AW547">
            <v>0</v>
          </cell>
          <cell r="AX547">
            <v>0</v>
          </cell>
          <cell r="AY547">
            <v>28664</v>
          </cell>
          <cell r="AZ547">
            <v>0</v>
          </cell>
          <cell r="BA547">
            <v>0</v>
          </cell>
        </row>
        <row r="548">
          <cell r="F548">
            <v>615000000030</v>
          </cell>
          <cell r="G548" t="str">
            <v>M/S S T MINERALS PVT. LTD.</v>
          </cell>
          <cell r="H548" t="str">
            <v>MD- SRI SRIBAS JENA,BARHAMPURHARIDASPUR</v>
          </cell>
          <cell r="I548" t="str">
            <v>10/31/2020 00:00:00</v>
          </cell>
          <cell r="J548">
            <v>1</v>
          </cell>
          <cell r="K548" t="str">
            <v xml:space="preserve"> </v>
          </cell>
          <cell r="L548" t="str">
            <v xml:space="preserve"> </v>
          </cell>
          <cell r="M548" t="str">
            <v>615000010231494659</v>
          </cell>
          <cell r="N548" t="str">
            <v>6150000016</v>
          </cell>
          <cell r="O548" t="str">
            <v>KD1136</v>
          </cell>
          <cell r="P548" t="str">
            <v>46107416002</v>
          </cell>
          <cell r="Q548" t="str">
            <v>LARGE INDUSTRY</v>
          </cell>
          <cell r="R548" t="str">
            <v>HT</v>
          </cell>
          <cell r="S548" t="str">
            <v>01/10/2023</v>
          </cell>
          <cell r="T548" t="str">
            <v>01/10/2023</v>
          </cell>
          <cell r="U548" t="str">
            <v>06/10/2023</v>
          </cell>
          <cell r="V548" t="str">
            <v>09/10/2023</v>
          </cell>
          <cell r="W548" t="str">
            <v>2023/09</v>
          </cell>
          <cell r="X548" t="str">
            <v>33 KV</v>
          </cell>
          <cell r="Y548" t="str">
            <v>HT</v>
          </cell>
          <cell r="Z548">
            <v>444</v>
          </cell>
          <cell r="AA548">
            <v>0.67059999999999997</v>
          </cell>
          <cell r="AB548">
            <v>10.92</v>
          </cell>
          <cell r="AC548" t="str">
            <v xml:space="preserve">01/09/2023 -     </v>
          </cell>
          <cell r="AD548" t="str">
            <v>30.09.2023</v>
          </cell>
          <cell r="AE548" t="str">
            <v>30/1.0000</v>
          </cell>
          <cell r="AF548">
            <v>555</v>
          </cell>
          <cell r="AG548" t="str">
            <v>KVA</v>
          </cell>
          <cell r="AH548">
            <v>555</v>
          </cell>
          <cell r="AI548" t="str">
            <v>R</v>
          </cell>
          <cell r="AJ548">
            <v>2836583</v>
          </cell>
          <cell r="AK548" t="str">
            <v>30/09/2023</v>
          </cell>
          <cell r="AL548" t="str">
            <v>NES83058</v>
          </cell>
          <cell r="AM548" t="str">
            <v>THREE PHASE HT CT METER-33KV</v>
          </cell>
          <cell r="AN548" t="str">
            <v>POST PAID</v>
          </cell>
          <cell r="AO548">
            <v>750</v>
          </cell>
          <cell r="AP548" t="str">
            <v>TOD</v>
          </cell>
          <cell r="AQ548">
            <v>-2250958.7000000002</v>
          </cell>
          <cell r="AR548">
            <v>0</v>
          </cell>
          <cell r="AS548">
            <v>0</v>
          </cell>
          <cell r="AT548">
            <v>0</v>
          </cell>
          <cell r="AU548">
            <v>0</v>
          </cell>
          <cell r="AV548">
            <v>0</v>
          </cell>
          <cell r="AW548">
            <v>11489</v>
          </cell>
          <cell r="AX548">
            <v>17132</v>
          </cell>
          <cell r="AY548">
            <v>17132</v>
          </cell>
          <cell r="AZ548">
            <v>1508.4</v>
          </cell>
          <cell r="BA548">
            <v>217.79999999999998</v>
          </cell>
        </row>
        <row r="549">
          <cell r="F549">
            <v>615000000031</v>
          </cell>
          <cell r="G549" t="str">
            <v>MANIBABA STONE CRUSHER</v>
          </cell>
          <cell r="H549" t="str">
            <v>SUKUTIJHAR,KABATABANDHA</v>
          </cell>
          <cell r="I549" t="str">
            <v>10/31/2020 00:00:00</v>
          </cell>
          <cell r="J549">
            <v>1</v>
          </cell>
          <cell r="K549" t="str">
            <v xml:space="preserve"> </v>
          </cell>
          <cell r="L549" t="str">
            <v xml:space="preserve"> </v>
          </cell>
          <cell r="M549" t="str">
            <v>615000010231494807</v>
          </cell>
          <cell r="N549" t="str">
            <v>6150000017</v>
          </cell>
          <cell r="O549" t="str">
            <v>KD1262</v>
          </cell>
          <cell r="P549" t="str">
            <v>46107416002</v>
          </cell>
          <cell r="Q549" t="str">
            <v>LARGE INDUSTRY</v>
          </cell>
          <cell r="R549" t="str">
            <v>HT</v>
          </cell>
          <cell r="S549" t="str">
            <v>01/10/2023</v>
          </cell>
          <cell r="T549" t="str">
            <v>01/10/2023</v>
          </cell>
          <cell r="U549" t="str">
            <v>06/10/2023</v>
          </cell>
          <cell r="V549" t="str">
            <v>09/10/2023</v>
          </cell>
          <cell r="W549" t="str">
            <v>2023/09</v>
          </cell>
          <cell r="X549" t="str">
            <v>33 KV</v>
          </cell>
          <cell r="Y549" t="str">
            <v>HT</v>
          </cell>
          <cell r="Z549">
            <v>444</v>
          </cell>
          <cell r="AA549">
            <v>0.99350000000000005</v>
          </cell>
          <cell r="AB549">
            <v>27.78</v>
          </cell>
          <cell r="AC549" t="str">
            <v xml:space="preserve">01/09/2023 -     </v>
          </cell>
          <cell r="AD549" t="str">
            <v>30.09.2023</v>
          </cell>
          <cell r="AE549" t="str">
            <v>30/1.0000</v>
          </cell>
          <cell r="AF549">
            <v>555</v>
          </cell>
          <cell r="AG549" t="str">
            <v>KVA</v>
          </cell>
          <cell r="AH549">
            <v>555</v>
          </cell>
          <cell r="AI549" t="str">
            <v>R</v>
          </cell>
          <cell r="AJ549">
            <v>2836583</v>
          </cell>
          <cell r="AK549" t="str">
            <v>30/09/2023</v>
          </cell>
          <cell r="AL549" t="str">
            <v>NES83042</v>
          </cell>
          <cell r="AM549" t="str">
            <v>THREE PHASE HT CT METER-33KV</v>
          </cell>
          <cell r="AN549" t="str">
            <v>POST PAID</v>
          </cell>
          <cell r="AO549">
            <v>750</v>
          </cell>
          <cell r="AP549" t="str">
            <v>TOD</v>
          </cell>
          <cell r="AQ549">
            <v>-2434484.9</v>
          </cell>
          <cell r="AR549">
            <v>0</v>
          </cell>
          <cell r="AS549">
            <v>0</v>
          </cell>
          <cell r="AT549">
            <v>0</v>
          </cell>
          <cell r="AU549">
            <v>0</v>
          </cell>
          <cell r="AV549">
            <v>0</v>
          </cell>
          <cell r="AW549">
            <v>1383</v>
          </cell>
          <cell r="AX549">
            <v>1392</v>
          </cell>
          <cell r="AY549">
            <v>1392</v>
          </cell>
          <cell r="AZ549">
            <v>233.04</v>
          </cell>
          <cell r="BA549">
            <v>6.9599999999999991</v>
          </cell>
        </row>
        <row r="550">
          <cell r="F550">
            <v>615000000033</v>
          </cell>
          <cell r="G550" t="str">
            <v>M/S MAA CHANDI STONE CRUSHER</v>
          </cell>
          <cell r="H550" t="str">
            <v>MANAGING PARTNER- SUNIL KUMAR SWAIN</v>
          </cell>
          <cell r="I550" t="str">
            <v>10/31/2020 00:00:00</v>
          </cell>
          <cell r="J550">
            <v>1</v>
          </cell>
          <cell r="K550" t="str">
            <v xml:space="preserve"> </v>
          </cell>
          <cell r="L550" t="str">
            <v xml:space="preserve"> </v>
          </cell>
          <cell r="M550" t="str">
            <v>615000010232494975</v>
          </cell>
          <cell r="N550" t="str">
            <v>6150000019</v>
          </cell>
          <cell r="O550" t="str">
            <v>KD1334</v>
          </cell>
          <cell r="P550" t="str">
            <v>461524403</v>
          </cell>
          <cell r="Q550" t="str">
            <v>LARGE INDUSTRY</v>
          </cell>
          <cell r="R550" t="str">
            <v>HT</v>
          </cell>
          <cell r="S550" t="str">
            <v>01/10/2023</v>
          </cell>
          <cell r="T550" t="str">
            <v>01/10/2023</v>
          </cell>
          <cell r="U550" t="str">
            <v>06/10/2023</v>
          </cell>
          <cell r="V550" t="str">
            <v>09/10/2023</v>
          </cell>
          <cell r="W550" t="str">
            <v>2023/09</v>
          </cell>
          <cell r="X550" t="str">
            <v>11 KV</v>
          </cell>
          <cell r="Y550" t="str">
            <v>HT</v>
          </cell>
          <cell r="Z550">
            <v>174</v>
          </cell>
          <cell r="AA550">
            <v>0.97919999999999996</v>
          </cell>
          <cell r="AB550">
            <v>18.04</v>
          </cell>
          <cell r="AC550" t="str">
            <v xml:space="preserve">01/09/2023 -     </v>
          </cell>
          <cell r="AD550" t="str">
            <v>30.09.2023</v>
          </cell>
          <cell r="AE550" t="str">
            <v>30/1.0000</v>
          </cell>
          <cell r="AF550">
            <v>134</v>
          </cell>
          <cell r="AG550" t="str">
            <v>KVA</v>
          </cell>
          <cell r="AH550">
            <v>134</v>
          </cell>
          <cell r="AI550" t="str">
            <v>R</v>
          </cell>
          <cell r="AJ550">
            <v>684869</v>
          </cell>
          <cell r="AK550" t="str">
            <v>30/09/2023</v>
          </cell>
          <cell r="AL550" t="str">
            <v>NSC94687</v>
          </cell>
          <cell r="AM550" t="str">
            <v>LT SINGLE PHASE AMR/AMI COMPLIANT METER-TOD</v>
          </cell>
          <cell r="AN550" t="str">
            <v>POST PAID</v>
          </cell>
          <cell r="AO550">
            <v>250</v>
          </cell>
          <cell r="AP550" t="str">
            <v>TOD</v>
          </cell>
          <cell r="AQ550">
            <v>-478361.2</v>
          </cell>
          <cell r="AR550">
            <v>0</v>
          </cell>
          <cell r="AS550">
            <v>0</v>
          </cell>
          <cell r="AT550">
            <v>0</v>
          </cell>
          <cell r="AU550">
            <v>0</v>
          </cell>
          <cell r="AV550">
            <v>0</v>
          </cell>
          <cell r="AW550">
            <v>0</v>
          </cell>
          <cell r="AX550">
            <v>0</v>
          </cell>
          <cell r="AY550">
            <v>22604</v>
          </cell>
          <cell r="AZ550">
            <v>0</v>
          </cell>
          <cell r="BA550">
            <v>0</v>
          </cell>
        </row>
        <row r="551">
          <cell r="F551">
            <v>615000000034</v>
          </cell>
          <cell r="G551" t="str">
            <v>M/S BISAL INDUSTRIES</v>
          </cell>
          <cell r="H551" t="str">
            <v>PROP- SIDARTH KUMAR BISAL</v>
          </cell>
          <cell r="I551" t="str">
            <v>10/31/2020 00:00:00</v>
          </cell>
          <cell r="J551">
            <v>1</v>
          </cell>
          <cell r="K551" t="str">
            <v xml:space="preserve"> </v>
          </cell>
          <cell r="L551" t="str">
            <v xml:space="preserve"> </v>
          </cell>
          <cell r="M551" t="str">
            <v>615000010231493668</v>
          </cell>
          <cell r="N551" t="str">
            <v>6150000020</v>
          </cell>
          <cell r="O551" t="str">
            <v>KD1369</v>
          </cell>
          <cell r="P551" t="str">
            <v>461511302</v>
          </cell>
          <cell r="Q551" t="str">
            <v>LARGE INDUSTRY</v>
          </cell>
          <cell r="R551" t="str">
            <v>HT</v>
          </cell>
          <cell r="S551" t="str">
            <v>01/10/2023</v>
          </cell>
          <cell r="T551" t="str">
            <v>01/10/2023</v>
          </cell>
          <cell r="U551" t="str">
            <v>06/10/2023</v>
          </cell>
          <cell r="V551" t="str">
            <v>09/10/2023</v>
          </cell>
          <cell r="W551" t="str">
            <v>2023/09</v>
          </cell>
          <cell r="X551" t="str">
            <v>11 KV</v>
          </cell>
          <cell r="Y551" t="str">
            <v>HT</v>
          </cell>
          <cell r="Z551">
            <v>142.4</v>
          </cell>
          <cell r="AA551">
            <v>0</v>
          </cell>
          <cell r="AB551">
            <v>0</v>
          </cell>
          <cell r="AC551" t="str">
            <v xml:space="preserve">01/09/2023 -     </v>
          </cell>
          <cell r="AD551" t="str">
            <v>30.09.2023</v>
          </cell>
          <cell r="AE551" t="str">
            <v>30/1.0000</v>
          </cell>
          <cell r="AF551">
            <v>178</v>
          </cell>
          <cell r="AG551" t="str">
            <v>KVA</v>
          </cell>
          <cell r="AH551">
            <v>178</v>
          </cell>
          <cell r="AI551" t="str">
            <v>D</v>
          </cell>
          <cell r="AJ551">
            <v>909751</v>
          </cell>
          <cell r="AK551" t="str">
            <v>30/09/2023</v>
          </cell>
          <cell r="AL551" t="str">
            <v>NSC94685</v>
          </cell>
          <cell r="AM551" t="str">
            <v>LT SINGLE PHASE AMR/AMI COMPLIANT METER-TOD</v>
          </cell>
          <cell r="AN551" t="str">
            <v>POST PAID</v>
          </cell>
          <cell r="AO551">
            <v>250</v>
          </cell>
          <cell r="AP551" t="str">
            <v>TOD</v>
          </cell>
          <cell r="AQ551">
            <v>0</v>
          </cell>
          <cell r="AR551">
            <v>0</v>
          </cell>
          <cell r="AS551">
            <v>0</v>
          </cell>
          <cell r="AT551">
            <v>0</v>
          </cell>
          <cell r="AU551">
            <v>0</v>
          </cell>
          <cell r="AV551">
            <v>0</v>
          </cell>
          <cell r="AW551">
            <v>0</v>
          </cell>
          <cell r="AX551">
            <v>0</v>
          </cell>
          <cell r="AY551">
            <v>0</v>
          </cell>
          <cell r="AZ551">
            <v>0</v>
          </cell>
          <cell r="BA551">
            <v>0</v>
          </cell>
        </row>
        <row r="552">
          <cell r="F552">
            <v>615000000035</v>
          </cell>
          <cell r="G552" t="str">
            <v>E.E MEGA LIFT PROJECT,CLUSTER XI</v>
          </cell>
          <cell r="H552" t="str">
            <v>SAHASPUR,BARI</v>
          </cell>
          <cell r="I552" t="str">
            <v>10/31/2020 00:00:00</v>
          </cell>
          <cell r="J552">
            <v>1</v>
          </cell>
          <cell r="K552" t="str">
            <v xml:space="preserve"> </v>
          </cell>
          <cell r="L552" t="str">
            <v xml:space="preserve"> </v>
          </cell>
          <cell r="M552" t="str">
            <v>615000010231493662</v>
          </cell>
          <cell r="N552" t="str">
            <v>6150000021</v>
          </cell>
          <cell r="O552" t="str">
            <v>KB1467</v>
          </cell>
          <cell r="P552" t="str">
            <v>46107419003</v>
          </cell>
          <cell r="Q552" t="str">
            <v>MEGA LIFT</v>
          </cell>
          <cell r="R552" t="str">
            <v>HT</v>
          </cell>
          <cell r="S552" t="str">
            <v>01/10/2023</v>
          </cell>
          <cell r="T552" t="str">
            <v>01/10/2023</v>
          </cell>
          <cell r="U552" t="str">
            <v>06/10/2023</v>
          </cell>
          <cell r="V552" t="str">
            <v>09/10/2023</v>
          </cell>
          <cell r="W552" t="str">
            <v>2023/09</v>
          </cell>
          <cell r="X552" t="str">
            <v>33 KV</v>
          </cell>
          <cell r="Y552" t="str">
            <v>HT</v>
          </cell>
          <cell r="Z552">
            <v>4073.6</v>
          </cell>
          <cell r="AA552">
            <v>0.96750000000000003</v>
          </cell>
          <cell r="AB552">
            <v>14.59</v>
          </cell>
          <cell r="AC552" t="str">
            <v xml:space="preserve">01/09/2023 -     </v>
          </cell>
          <cell r="AD552" t="str">
            <v>30.09.2023</v>
          </cell>
          <cell r="AE552" t="str">
            <v>30/1.0000</v>
          </cell>
          <cell r="AF552">
            <v>5092</v>
          </cell>
          <cell r="AG552" t="str">
            <v>KVA</v>
          </cell>
          <cell r="AH552">
            <v>5092</v>
          </cell>
          <cell r="AI552" t="str">
            <v>R</v>
          </cell>
          <cell r="AJ552">
            <v>1691359</v>
          </cell>
          <cell r="AK552" t="str">
            <v>30/09/2023</v>
          </cell>
          <cell r="AL552" t="str">
            <v>NSC95187</v>
          </cell>
          <cell r="AM552" t="str">
            <v>THREE PHASE HT CT METER-33KV</v>
          </cell>
          <cell r="AN552" t="str">
            <v>POST PAID</v>
          </cell>
          <cell r="AO552">
            <v>6200</v>
          </cell>
          <cell r="AP552" t="str">
            <v>TOD</v>
          </cell>
          <cell r="AQ552">
            <v>-1321405</v>
          </cell>
          <cell r="AR552">
            <v>0</v>
          </cell>
          <cell r="AS552">
            <v>0</v>
          </cell>
          <cell r="AT552">
            <v>0</v>
          </cell>
          <cell r="AU552">
            <v>0</v>
          </cell>
          <cell r="AV552">
            <v>0</v>
          </cell>
          <cell r="AW552">
            <v>134190</v>
          </cell>
          <cell r="AX552">
            <v>138690</v>
          </cell>
          <cell r="AY552">
            <v>138690</v>
          </cell>
          <cell r="AZ552">
            <v>4200</v>
          </cell>
          <cell r="BA552">
            <v>1320</v>
          </cell>
        </row>
        <row r="553">
          <cell r="F553">
            <v>615000000036</v>
          </cell>
          <cell r="G553" t="str">
            <v>M/S JAY MAA SANTOSHI PLASTICS</v>
          </cell>
          <cell r="H553" t="str">
            <v>NARSINGHPUR,HARIPURJAJPUR</v>
          </cell>
          <cell r="I553" t="str">
            <v>10/31/2020 00:00:00</v>
          </cell>
          <cell r="J553">
            <v>1</v>
          </cell>
          <cell r="K553" t="str">
            <v xml:space="preserve"> </v>
          </cell>
          <cell r="L553" t="str">
            <v xml:space="preserve"> </v>
          </cell>
          <cell r="M553" t="str">
            <v>615000010231493919</v>
          </cell>
          <cell r="N553" t="str">
            <v>6150000022</v>
          </cell>
          <cell r="O553" t="str">
            <v>L-0259</v>
          </cell>
          <cell r="P553" t="str">
            <v>461523103</v>
          </cell>
          <cell r="Q553" t="str">
            <v>LARGE INDUSTRY</v>
          </cell>
          <cell r="R553" t="str">
            <v>HT</v>
          </cell>
          <cell r="S553" t="str">
            <v>01/10/2023</v>
          </cell>
          <cell r="T553" t="str">
            <v>01/10/2023</v>
          </cell>
          <cell r="U553" t="str">
            <v>06/10/2023</v>
          </cell>
          <cell r="V553" t="str">
            <v>09/10/2023</v>
          </cell>
          <cell r="W553" t="str">
            <v>2023/09</v>
          </cell>
          <cell r="X553" t="str">
            <v>11 KV</v>
          </cell>
          <cell r="Y553" t="str">
            <v>HT</v>
          </cell>
          <cell r="Z553">
            <v>182.64</v>
          </cell>
          <cell r="AA553">
            <v>0.96130000000000004</v>
          </cell>
          <cell r="AB553">
            <v>43.1</v>
          </cell>
          <cell r="AC553" t="str">
            <v xml:space="preserve">01/09/2023 -     </v>
          </cell>
          <cell r="AD553" t="str">
            <v>30.09.2023</v>
          </cell>
          <cell r="AE553" t="str">
            <v>30/1.0000</v>
          </cell>
          <cell r="AF553">
            <v>200</v>
          </cell>
          <cell r="AG553" t="str">
            <v>KVA</v>
          </cell>
          <cell r="AH553">
            <v>200</v>
          </cell>
          <cell r="AI553" t="str">
            <v>R</v>
          </cell>
          <cell r="AJ553">
            <v>1227680.1599999999</v>
          </cell>
          <cell r="AK553" t="str">
            <v>30/09/2023</v>
          </cell>
          <cell r="AL553" t="str">
            <v>TPN64031</v>
          </cell>
          <cell r="AM553" t="str">
            <v>HT THREE PHASE 4 WIRE AMR/AMI COMPLAINT METER</v>
          </cell>
          <cell r="AN553" t="str">
            <v>POST PAID</v>
          </cell>
          <cell r="AO553">
            <v>160</v>
          </cell>
          <cell r="AP553" t="str">
            <v>TOD</v>
          </cell>
          <cell r="AQ553">
            <v>0</v>
          </cell>
          <cell r="AR553">
            <v>0</v>
          </cell>
          <cell r="AS553">
            <v>0</v>
          </cell>
          <cell r="AT553">
            <v>0</v>
          </cell>
          <cell r="AU553">
            <v>0</v>
          </cell>
          <cell r="AV553">
            <v>0</v>
          </cell>
          <cell r="AW553">
            <v>54489</v>
          </cell>
          <cell r="AX553">
            <v>56678</v>
          </cell>
          <cell r="AY553">
            <v>56678</v>
          </cell>
          <cell r="AZ553">
            <v>1194.48</v>
          </cell>
          <cell r="BA553">
            <v>182.64000000000001</v>
          </cell>
        </row>
        <row r="554">
          <cell r="F554">
            <v>615000000037</v>
          </cell>
          <cell r="G554" t="str">
            <v>JAGABANDHU MUDULI</v>
          </cell>
          <cell r="H554" t="str">
            <v>CHADEIDHARA,NEULPUR , JAJPUR</v>
          </cell>
          <cell r="I554" t="str">
            <v>10/31/2020 00:00:00</v>
          </cell>
          <cell r="J554">
            <v>1</v>
          </cell>
          <cell r="K554" t="str">
            <v xml:space="preserve"> </v>
          </cell>
          <cell r="L554" t="str">
            <v xml:space="preserve"> </v>
          </cell>
          <cell r="M554" t="str">
            <v>615000010232494979</v>
          </cell>
          <cell r="N554" t="str">
            <v>6150000023</v>
          </cell>
          <cell r="O554" t="str">
            <v>L-1945</v>
          </cell>
          <cell r="P554" t="str">
            <v>461523103</v>
          </cell>
          <cell r="Q554" t="str">
            <v>LARGE INDUSTRY</v>
          </cell>
          <cell r="R554" t="str">
            <v>HT</v>
          </cell>
          <cell r="S554" t="str">
            <v>01/10/2023</v>
          </cell>
          <cell r="T554" t="str">
            <v>01/10/2023</v>
          </cell>
          <cell r="U554" t="str">
            <v>06/10/2023</v>
          </cell>
          <cell r="V554" t="str">
            <v>09/10/2023</v>
          </cell>
          <cell r="W554" t="str">
            <v>2023/09</v>
          </cell>
          <cell r="X554" t="str">
            <v>11 KV</v>
          </cell>
          <cell r="Y554" t="str">
            <v>HT</v>
          </cell>
          <cell r="Z554">
            <v>160</v>
          </cell>
          <cell r="AA554">
            <v>0.54869999999999997</v>
          </cell>
          <cell r="AB554">
            <v>20.04</v>
          </cell>
          <cell r="AC554" t="str">
            <v xml:space="preserve">01/09/2023 -     </v>
          </cell>
          <cell r="AD554" t="str">
            <v>30.09.2023</v>
          </cell>
          <cell r="AE554" t="str">
            <v>30/1.0000</v>
          </cell>
          <cell r="AF554">
            <v>200</v>
          </cell>
          <cell r="AG554" t="str">
            <v>KVA</v>
          </cell>
          <cell r="AH554">
            <v>200</v>
          </cell>
          <cell r="AI554" t="str">
            <v>R</v>
          </cell>
          <cell r="AJ554">
            <v>84446.32</v>
          </cell>
          <cell r="AK554" t="str">
            <v>30/09/2023</v>
          </cell>
          <cell r="AL554" t="str">
            <v>TPCANSC16809</v>
          </cell>
          <cell r="AM554" t="str">
            <v>TRI-VECTOR METER FOR RAILWAY TRACTION</v>
          </cell>
          <cell r="AN554" t="str">
            <v>POST PAID</v>
          </cell>
          <cell r="AO554">
            <v>100</v>
          </cell>
          <cell r="AP554" t="str">
            <v>TOD</v>
          </cell>
          <cell r="AQ554">
            <v>282022.21999999997</v>
          </cell>
          <cell r="AR554">
            <v>0</v>
          </cell>
          <cell r="AS554">
            <v>0</v>
          </cell>
          <cell r="AT554">
            <v>0</v>
          </cell>
          <cell r="AU554">
            <v>0</v>
          </cell>
          <cell r="AV554">
            <v>0</v>
          </cell>
          <cell r="AW554">
            <v>10008</v>
          </cell>
          <cell r="AX554">
            <v>18238</v>
          </cell>
          <cell r="AY554">
            <v>18238</v>
          </cell>
          <cell r="AZ554">
            <v>0.63200000000000001</v>
          </cell>
          <cell r="BA554">
            <v>126.4</v>
          </cell>
        </row>
        <row r="555">
          <cell r="F555">
            <v>615000000038</v>
          </cell>
          <cell r="G555" t="str">
            <v>M/S SHYAMESWAR STONE SRUSHER</v>
          </cell>
          <cell r="H555" t="str">
            <v>PROP- ASHOK KUMAR BEHERA</v>
          </cell>
          <cell r="I555" t="str">
            <v>10/31/2020 00:00:00</v>
          </cell>
          <cell r="J555">
            <v>1</v>
          </cell>
          <cell r="K555" t="str">
            <v xml:space="preserve"> </v>
          </cell>
          <cell r="L555" t="str">
            <v xml:space="preserve"> </v>
          </cell>
          <cell r="M555" t="str">
            <v>615000010231494818</v>
          </cell>
          <cell r="N555" t="str">
            <v>6150000024</v>
          </cell>
          <cell r="O555" t="str">
            <v>L-1466</v>
          </cell>
          <cell r="P555" t="str">
            <v>461524403</v>
          </cell>
          <cell r="Q555" t="str">
            <v>LARGE INDUSTRY</v>
          </cell>
          <cell r="R555" t="str">
            <v>HT</v>
          </cell>
          <cell r="S555" t="str">
            <v>01/10/2023</v>
          </cell>
          <cell r="T555" t="str">
            <v>01/10/2023</v>
          </cell>
          <cell r="U555" t="str">
            <v>06/10/2023</v>
          </cell>
          <cell r="V555" t="str">
            <v>09/10/2023</v>
          </cell>
          <cell r="W555" t="str">
            <v>2023/09</v>
          </cell>
          <cell r="X555" t="str">
            <v>11 KV</v>
          </cell>
          <cell r="Y555" t="str">
            <v>HT</v>
          </cell>
          <cell r="Z555">
            <v>104.4</v>
          </cell>
          <cell r="AA555">
            <v>0.93479999999999996</v>
          </cell>
          <cell r="AB555">
            <v>16.38</v>
          </cell>
          <cell r="AC555" t="str">
            <v xml:space="preserve">01/09/2023 -     </v>
          </cell>
          <cell r="AD555" t="str">
            <v>30.09.2023</v>
          </cell>
          <cell r="AE555" t="str">
            <v>30/1.0000</v>
          </cell>
          <cell r="AF555">
            <v>126</v>
          </cell>
          <cell r="AG555" t="str">
            <v>KVA</v>
          </cell>
          <cell r="AH555">
            <v>126</v>
          </cell>
          <cell r="AI555" t="str">
            <v>R</v>
          </cell>
          <cell r="AJ555">
            <v>644029</v>
          </cell>
          <cell r="AK555" t="str">
            <v>30/09/2023</v>
          </cell>
          <cell r="AL555" t="str">
            <v>TPCANSC95059</v>
          </cell>
          <cell r="AM555" t="str">
            <v>TRI-VECTOR METER FOR RAILWAY TRACTION</v>
          </cell>
          <cell r="AN555" t="str">
            <v>POST PAID</v>
          </cell>
          <cell r="AO555">
            <v>150</v>
          </cell>
          <cell r="AP555" t="str">
            <v>TOD</v>
          </cell>
          <cell r="AQ555">
            <v>-106305.14</v>
          </cell>
          <cell r="AR555">
            <v>0</v>
          </cell>
          <cell r="AS555">
            <v>0</v>
          </cell>
          <cell r="AT555">
            <v>0</v>
          </cell>
          <cell r="AU555">
            <v>0</v>
          </cell>
          <cell r="AV555">
            <v>0</v>
          </cell>
          <cell r="AW555">
            <v>11512</v>
          </cell>
          <cell r="AX555">
            <v>12314</v>
          </cell>
          <cell r="AY555">
            <v>12314</v>
          </cell>
          <cell r="AZ555">
            <v>860.96</v>
          </cell>
          <cell r="BA555">
            <v>104.4</v>
          </cell>
        </row>
        <row r="556">
          <cell r="F556">
            <v>615000000040</v>
          </cell>
          <cell r="G556" t="str">
            <v>M/S THE RAMCO CEMENTS LTD.</v>
          </cell>
          <cell r="H556" t="str">
            <v>HARIDASPUR,JAJPUR</v>
          </cell>
          <cell r="I556" t="str">
            <v>10/31/2020 00:00:00</v>
          </cell>
          <cell r="J556">
            <v>1</v>
          </cell>
          <cell r="K556" t="str">
            <v xml:space="preserve"> </v>
          </cell>
          <cell r="L556" t="str">
            <v xml:space="preserve"> </v>
          </cell>
          <cell r="M556" t="str">
            <v>615000010231495122</v>
          </cell>
          <cell r="N556" t="str">
            <v>6150000026</v>
          </cell>
          <cell r="O556" t="str">
            <v xml:space="preserve"> </v>
          </cell>
          <cell r="P556" t="str">
            <v>NULL</v>
          </cell>
          <cell r="Q556" t="str">
            <v>LARGE INDUSTRY</v>
          </cell>
          <cell r="R556" t="str">
            <v>EHT</v>
          </cell>
          <cell r="S556" t="str">
            <v>01/10/2023</v>
          </cell>
          <cell r="T556" t="str">
            <v>01/10/2023</v>
          </cell>
          <cell r="U556" t="str">
            <v>06/10/2023</v>
          </cell>
          <cell r="V556" t="str">
            <v>09/10/2023</v>
          </cell>
          <cell r="W556" t="str">
            <v>2023/09</v>
          </cell>
          <cell r="X556" t="str">
            <v>132 KV</v>
          </cell>
          <cell r="Y556" t="str">
            <v>HT</v>
          </cell>
          <cell r="Z556">
            <v>6760</v>
          </cell>
          <cell r="AA556">
            <v>0.99819999999999998</v>
          </cell>
          <cell r="AB556">
            <v>69.66</v>
          </cell>
          <cell r="AC556" t="str">
            <v xml:space="preserve">01/09/2023 -     </v>
          </cell>
          <cell r="AD556" t="str">
            <v>30.09.2023</v>
          </cell>
          <cell r="AE556" t="str">
            <v>30/1.0000</v>
          </cell>
          <cell r="AF556">
            <v>7500</v>
          </cell>
          <cell r="AG556" t="str">
            <v>KVA</v>
          </cell>
          <cell r="AH556">
            <v>7500</v>
          </cell>
          <cell r="AI556" t="str">
            <v>R</v>
          </cell>
          <cell r="AJ556">
            <v>45660000</v>
          </cell>
          <cell r="AK556" t="str">
            <v>30/09/2023</v>
          </cell>
          <cell r="AL556" t="str">
            <v>NSC95196</v>
          </cell>
          <cell r="AM556" t="str">
            <v>THREE PHASE HT CT METER-33KV</v>
          </cell>
          <cell r="AN556" t="str">
            <v>POST PAID</v>
          </cell>
          <cell r="AO556">
            <v>0</v>
          </cell>
          <cell r="AP556" t="str">
            <v>TOD</v>
          </cell>
          <cell r="AQ556">
            <v>-14129414.539999999</v>
          </cell>
          <cell r="AR556">
            <v>0</v>
          </cell>
          <cell r="AS556">
            <v>0</v>
          </cell>
          <cell r="AT556">
            <v>0</v>
          </cell>
          <cell r="AU556">
            <v>0</v>
          </cell>
          <cell r="AV556">
            <v>0</v>
          </cell>
          <cell r="AW556">
            <v>3384600</v>
          </cell>
          <cell r="AX556">
            <v>3390400</v>
          </cell>
          <cell r="AY556">
            <v>3390400</v>
          </cell>
          <cell r="AZ556">
            <v>6.76</v>
          </cell>
          <cell r="BA556">
            <v>6760</v>
          </cell>
        </row>
        <row r="557">
          <cell r="F557">
            <v>615000000041</v>
          </cell>
          <cell r="G557" t="str">
            <v>M/S JAIN CONSTRUCTION</v>
          </cell>
          <cell r="H557" t="str">
            <v>PROP- KAMLESH JAIN,BARADA , MAHISARAJAJPUR</v>
          </cell>
          <cell r="I557" t="str">
            <v>10/31/2020 00:00:00</v>
          </cell>
          <cell r="J557">
            <v>1</v>
          </cell>
          <cell r="K557" t="str">
            <v xml:space="preserve"> </v>
          </cell>
          <cell r="L557" t="str">
            <v xml:space="preserve"> </v>
          </cell>
          <cell r="M557" t="str">
            <v>615000010231494026</v>
          </cell>
          <cell r="N557" t="str">
            <v>6150000027</v>
          </cell>
          <cell r="O557" t="str">
            <v>L-1673</v>
          </cell>
          <cell r="P557" t="str">
            <v>46107416002</v>
          </cell>
          <cell r="Q557" t="str">
            <v>LARGE INDUSTRY</v>
          </cell>
          <cell r="R557" t="str">
            <v>HT</v>
          </cell>
          <cell r="S557" t="str">
            <v>01/10/2023</v>
          </cell>
          <cell r="T557" t="str">
            <v>01/10/2023</v>
          </cell>
          <cell r="U557" t="str">
            <v>06/10/2023</v>
          </cell>
          <cell r="V557" t="str">
            <v>09/10/2023</v>
          </cell>
          <cell r="W557" t="str">
            <v>2023/09</v>
          </cell>
          <cell r="X557" t="str">
            <v>33 KV</v>
          </cell>
          <cell r="Y557" t="str">
            <v>HT</v>
          </cell>
          <cell r="Z557">
            <v>444</v>
          </cell>
          <cell r="AA557">
            <v>0.91080000000000005</v>
          </cell>
          <cell r="AB557">
            <v>10.86</v>
          </cell>
          <cell r="AC557" t="str">
            <v xml:space="preserve">01/09/2023 -     </v>
          </cell>
          <cell r="AD557" t="str">
            <v>30.09.2023</v>
          </cell>
          <cell r="AE557" t="str">
            <v>30/1.0000</v>
          </cell>
          <cell r="AF557">
            <v>555</v>
          </cell>
          <cell r="AG557" t="str">
            <v>KVA</v>
          </cell>
          <cell r="AH557">
            <v>555</v>
          </cell>
          <cell r="AI557" t="str">
            <v>R</v>
          </cell>
          <cell r="AJ557">
            <v>2836583</v>
          </cell>
          <cell r="AK557" t="str">
            <v>30/09/2023</v>
          </cell>
          <cell r="AL557" t="str">
            <v>NSC94446</v>
          </cell>
          <cell r="AM557" t="str">
            <v>THREE PHASE HT CT METER-33KV</v>
          </cell>
          <cell r="AN557" t="str">
            <v>POST PAID</v>
          </cell>
          <cell r="AO557">
            <v>750</v>
          </cell>
          <cell r="AP557" t="str">
            <v>TOD</v>
          </cell>
          <cell r="AQ557">
            <v>-2119474.1</v>
          </cell>
          <cell r="AR557">
            <v>0</v>
          </cell>
          <cell r="AS557">
            <v>0</v>
          </cell>
          <cell r="AT557">
            <v>0</v>
          </cell>
          <cell r="AU557">
            <v>0</v>
          </cell>
          <cell r="AV557">
            <v>0</v>
          </cell>
          <cell r="AW557">
            <v>24780</v>
          </cell>
          <cell r="AX557">
            <v>27204</v>
          </cell>
          <cell r="AY557">
            <v>27204</v>
          </cell>
          <cell r="AZ557">
            <v>2274.2399999999998</v>
          </cell>
          <cell r="BA557">
            <v>348</v>
          </cell>
        </row>
        <row r="558">
          <cell r="F558">
            <v>615000000042</v>
          </cell>
          <cell r="G558" t="str">
            <v>SURYA KANTA BISWAL</v>
          </cell>
          <cell r="H558" t="str">
            <v>AT-CHAKRADHARAPUR,KUAKHIA</v>
          </cell>
          <cell r="I558" t="str">
            <v>11/18/2020 00:00:00</v>
          </cell>
          <cell r="J558">
            <v>1</v>
          </cell>
          <cell r="K558" t="str">
            <v xml:space="preserve"> </v>
          </cell>
          <cell r="L558" t="str">
            <v xml:space="preserve"> </v>
          </cell>
          <cell r="M558" t="str">
            <v>615000010231494693</v>
          </cell>
          <cell r="N558" t="str">
            <v>6150000028</v>
          </cell>
          <cell r="O558" t="str">
            <v>L-0283</v>
          </cell>
          <cell r="P558" t="str">
            <v>461524403</v>
          </cell>
          <cell r="Q558" t="str">
            <v>LARGE INDUSTRY</v>
          </cell>
          <cell r="R558" t="str">
            <v>HT</v>
          </cell>
          <cell r="S558" t="str">
            <v>01/10/2023</v>
          </cell>
          <cell r="T558" t="str">
            <v>01/10/2023</v>
          </cell>
          <cell r="U558" t="str">
            <v>06/10/2023</v>
          </cell>
          <cell r="V558" t="str">
            <v>09/10/2023</v>
          </cell>
          <cell r="W558" t="str">
            <v>2023/09</v>
          </cell>
          <cell r="X558" t="str">
            <v>11 KV</v>
          </cell>
          <cell r="Y558" t="str">
            <v>HT</v>
          </cell>
          <cell r="Z558">
            <v>124.8</v>
          </cell>
          <cell r="AA558">
            <v>0.98570000000000002</v>
          </cell>
          <cell r="AB558">
            <v>18.079999999999998</v>
          </cell>
          <cell r="AC558" t="str">
            <v xml:space="preserve">01/09/2023 -     </v>
          </cell>
          <cell r="AD558" t="str">
            <v>30.09.2023</v>
          </cell>
          <cell r="AE558" t="str">
            <v>30/1.0000</v>
          </cell>
          <cell r="AF558">
            <v>156</v>
          </cell>
          <cell r="AG558" t="str">
            <v>KVA</v>
          </cell>
          <cell r="AH558">
            <v>156</v>
          </cell>
          <cell r="AI558" t="str">
            <v>R</v>
          </cell>
          <cell r="AJ558">
            <v>797310</v>
          </cell>
          <cell r="AK558" t="str">
            <v>30/09/2023</v>
          </cell>
          <cell r="AL558" t="str">
            <v>NSC94569</v>
          </cell>
          <cell r="AM558" t="str">
            <v>LT SINGLE PHASE AMR/AMI COMPLIANT METER-TOD</v>
          </cell>
          <cell r="AN558" t="str">
            <v>POST PAID</v>
          </cell>
          <cell r="AO558">
            <v>250</v>
          </cell>
          <cell r="AP558" t="str">
            <v>TOD</v>
          </cell>
          <cell r="AQ558">
            <v>-617254.80000000005</v>
          </cell>
          <cell r="AR558">
            <v>0</v>
          </cell>
          <cell r="AS558">
            <v>0</v>
          </cell>
          <cell r="AT558">
            <v>0</v>
          </cell>
          <cell r="AU558">
            <v>0</v>
          </cell>
          <cell r="AV558">
            <v>0</v>
          </cell>
          <cell r="AW558">
            <v>13443</v>
          </cell>
          <cell r="AX558">
            <v>13638</v>
          </cell>
          <cell r="AY558">
            <v>13638</v>
          </cell>
          <cell r="AZ558">
            <v>819.72</v>
          </cell>
          <cell r="BA558">
            <v>104.76</v>
          </cell>
        </row>
        <row r="559">
          <cell r="F559">
            <v>615000000043</v>
          </cell>
          <cell r="G559" t="str">
            <v>MAHENDRA KUMAR PANDA</v>
          </cell>
          <cell r="H559" t="str">
            <v>AT-CHAKRADHARPUR,</v>
          </cell>
          <cell r="I559" t="str">
            <v>11/18/2020 00:00:00</v>
          </cell>
          <cell r="J559">
            <v>1</v>
          </cell>
          <cell r="K559" t="str">
            <v xml:space="preserve"> </v>
          </cell>
          <cell r="L559" t="str">
            <v xml:space="preserve"> </v>
          </cell>
          <cell r="M559" t="str">
            <v>615000010232494983</v>
          </cell>
          <cell r="N559" t="str">
            <v>6150000029</v>
          </cell>
          <cell r="O559" t="str">
            <v>L-0282</v>
          </cell>
          <cell r="P559" t="str">
            <v>461524403</v>
          </cell>
          <cell r="Q559" t="str">
            <v>LARGE INDUSTRY</v>
          </cell>
          <cell r="R559" t="str">
            <v>HT</v>
          </cell>
          <cell r="S559" t="str">
            <v>01/10/2023</v>
          </cell>
          <cell r="T559" t="str">
            <v>01/10/2023</v>
          </cell>
          <cell r="U559" t="str">
            <v>06/10/2023</v>
          </cell>
          <cell r="V559" t="str">
            <v>09/10/2023</v>
          </cell>
          <cell r="W559" t="str">
            <v>2023/09</v>
          </cell>
          <cell r="X559" t="str">
            <v>11 KV</v>
          </cell>
          <cell r="Y559" t="str">
            <v>HT</v>
          </cell>
          <cell r="Z559">
            <v>124.8</v>
          </cell>
          <cell r="AA559">
            <v>0.92949999999999999</v>
          </cell>
          <cell r="AB559">
            <v>12.55</v>
          </cell>
          <cell r="AC559" t="str">
            <v xml:space="preserve">01/09/2023 -     </v>
          </cell>
          <cell r="AD559" t="str">
            <v>30.09.2023</v>
          </cell>
          <cell r="AE559" t="str">
            <v>30/1.0000</v>
          </cell>
          <cell r="AF559">
            <v>156</v>
          </cell>
          <cell r="AG559" t="str">
            <v>KVA</v>
          </cell>
          <cell r="AH559">
            <v>156</v>
          </cell>
          <cell r="AI559" t="str">
            <v>R</v>
          </cell>
          <cell r="AJ559">
            <v>797310</v>
          </cell>
          <cell r="AK559" t="str">
            <v>30/09/2023</v>
          </cell>
          <cell r="AL559" t="str">
            <v>TPNODL38111537</v>
          </cell>
          <cell r="AM559" t="str">
            <v>THREE PHASE SMART HT CT METER (AMR/AMI)-11KV</v>
          </cell>
          <cell r="AN559" t="str">
            <v>SMART METER</v>
          </cell>
          <cell r="AO559">
            <v>250</v>
          </cell>
          <cell r="AP559" t="str">
            <v>TOD</v>
          </cell>
          <cell r="AQ559">
            <v>-655899.9</v>
          </cell>
          <cell r="AR559">
            <v>0</v>
          </cell>
          <cell r="AS559">
            <v>0</v>
          </cell>
          <cell r="AT559">
            <v>0</v>
          </cell>
          <cell r="AU559">
            <v>0</v>
          </cell>
          <cell r="AV559">
            <v>0</v>
          </cell>
          <cell r="AW559">
            <v>10415</v>
          </cell>
          <cell r="AX559">
            <v>11204</v>
          </cell>
          <cell r="AY559">
            <v>11204</v>
          </cell>
          <cell r="AZ559">
            <v>809.35680000000002</v>
          </cell>
          <cell r="BA559">
            <v>124.024</v>
          </cell>
        </row>
        <row r="560">
          <cell r="F560">
            <v>615000000044</v>
          </cell>
          <cell r="G560" t="str">
            <v>M/S UTKAL GRAVELS INDUSTRY (P) LTD, DIRECTOR- SRI RANJEET KESHARI JENA</v>
          </cell>
          <cell r="H560" t="str">
            <v xml:space="preserve"> </v>
          </cell>
          <cell r="I560" t="str">
            <v>05/01/2021 00:00:00</v>
          </cell>
          <cell r="J560">
            <v>1</v>
          </cell>
          <cell r="K560" t="str">
            <v>AT- ANJIRA, BALISAHI, JAJPUR</v>
          </cell>
          <cell r="L560" t="str">
            <v xml:space="preserve"> </v>
          </cell>
          <cell r="M560" t="str">
            <v>615000010231494712</v>
          </cell>
          <cell r="N560" t="str">
            <v>132100000012</v>
          </cell>
          <cell r="O560" t="str">
            <v xml:space="preserve"> </v>
          </cell>
          <cell r="P560" t="str">
            <v>461524403</v>
          </cell>
          <cell r="Q560" t="str">
            <v>LARGE INDUSTRY</v>
          </cell>
          <cell r="R560" t="str">
            <v>HT</v>
          </cell>
          <cell r="S560" t="str">
            <v>01/10/2023</v>
          </cell>
          <cell r="T560" t="str">
            <v>01/10/2023</v>
          </cell>
          <cell r="U560" t="str">
            <v>06/10/2023</v>
          </cell>
          <cell r="V560" t="str">
            <v>09/10/2023</v>
          </cell>
          <cell r="W560" t="str">
            <v>2023/09</v>
          </cell>
          <cell r="X560" t="str">
            <v>11 KV</v>
          </cell>
          <cell r="Y560" t="str">
            <v>HT</v>
          </cell>
          <cell r="Z560">
            <v>187.2</v>
          </cell>
          <cell r="AA560">
            <v>0.72360000000000002</v>
          </cell>
          <cell r="AB560">
            <v>18.989999999999998</v>
          </cell>
          <cell r="AC560" t="str">
            <v xml:space="preserve">01/09/2023 -     </v>
          </cell>
          <cell r="AD560" t="str">
            <v>30.09.2023</v>
          </cell>
          <cell r="AE560" t="str">
            <v>30/1.0000</v>
          </cell>
          <cell r="AF560">
            <v>234</v>
          </cell>
          <cell r="AG560" t="str">
            <v>KVA</v>
          </cell>
          <cell r="AH560">
            <v>234</v>
          </cell>
          <cell r="AI560" t="str">
            <v>R</v>
          </cell>
          <cell r="AJ560">
            <v>1272688</v>
          </cell>
          <cell r="AK560" t="str">
            <v>30/09/2023</v>
          </cell>
          <cell r="AL560" t="str">
            <v>NSC95022</v>
          </cell>
          <cell r="AM560" t="str">
            <v>HT THREE PHASE 3 WIRE AMR/AMI COMPLIANT METER</v>
          </cell>
          <cell r="AN560" t="str">
            <v>POST PAID</v>
          </cell>
          <cell r="AO560">
            <v>315</v>
          </cell>
          <cell r="AP560" t="str">
            <v>TOD</v>
          </cell>
          <cell r="AQ560">
            <v>-993720</v>
          </cell>
          <cell r="AR560">
            <v>0</v>
          </cell>
          <cell r="AS560">
            <v>0</v>
          </cell>
          <cell r="AT560">
            <v>0</v>
          </cell>
          <cell r="AU560">
            <v>0</v>
          </cell>
          <cell r="AV560">
            <v>0</v>
          </cell>
          <cell r="AW560">
            <v>11828</v>
          </cell>
          <cell r="AX560">
            <v>16344</v>
          </cell>
          <cell r="AY560">
            <v>16344</v>
          </cell>
          <cell r="AZ560">
            <v>879.84</v>
          </cell>
          <cell r="BA560">
            <v>119.52000000000001</v>
          </cell>
        </row>
        <row r="561">
          <cell r="F561">
            <v>615000000045</v>
          </cell>
          <cell r="G561" t="str">
            <v>SRI HIMANSU SEKHAR KAR</v>
          </cell>
          <cell r="H561" t="str">
            <v>CHANDIPUR</v>
          </cell>
          <cell r="I561" t="str">
            <v>06/03/2021 00:00:00</v>
          </cell>
          <cell r="J561">
            <v>1</v>
          </cell>
          <cell r="K561" t="str">
            <v>KUAKHIA</v>
          </cell>
          <cell r="L561" t="str">
            <v>CHANDIPUR</v>
          </cell>
          <cell r="M561" t="str">
            <v>615000010231493602</v>
          </cell>
          <cell r="N561" t="str">
            <v>132100000403</v>
          </cell>
          <cell r="O561" t="str">
            <v>L-1792</v>
          </cell>
          <cell r="P561" t="str">
            <v>461511302</v>
          </cell>
          <cell r="Q561" t="str">
            <v>GENERAL PURPOSE &gt;= 110 KVA</v>
          </cell>
          <cell r="R561" t="str">
            <v>HT</v>
          </cell>
          <cell r="S561" t="str">
            <v>01/10/2023</v>
          </cell>
          <cell r="T561" t="str">
            <v>01/10/2023</v>
          </cell>
          <cell r="U561" t="str">
            <v>06/10/2023</v>
          </cell>
          <cell r="V561" t="str">
            <v>09/10/2023</v>
          </cell>
          <cell r="W561" t="str">
            <v>2023/09</v>
          </cell>
          <cell r="X561" t="str">
            <v>11 KV</v>
          </cell>
          <cell r="Y561" t="str">
            <v>HT</v>
          </cell>
          <cell r="Z561">
            <v>88.8</v>
          </cell>
          <cell r="AA561">
            <v>0.93179999999999996</v>
          </cell>
          <cell r="AB561">
            <v>22.66</v>
          </cell>
          <cell r="AC561" t="str">
            <v xml:space="preserve">01/09/2023 -     </v>
          </cell>
          <cell r="AD561" t="str">
            <v>30.09.2023</v>
          </cell>
          <cell r="AE561" t="str">
            <v>30/1.0000</v>
          </cell>
          <cell r="AF561">
            <v>111</v>
          </cell>
          <cell r="AG561" t="str">
            <v>KVA</v>
          </cell>
          <cell r="AH561">
            <v>111</v>
          </cell>
          <cell r="AI561" t="str">
            <v>R</v>
          </cell>
          <cell r="AJ561">
            <v>297864</v>
          </cell>
          <cell r="AK561" t="str">
            <v>30/09/2023</v>
          </cell>
          <cell r="AL561" t="str">
            <v>NES52028</v>
          </cell>
          <cell r="AM561" t="str">
            <v>HT THREE PHASE 3 WIRE AMR/AMI COMPLIANT METER</v>
          </cell>
          <cell r="AN561" t="str">
            <v>POST PAID</v>
          </cell>
          <cell r="AO561">
            <v>250</v>
          </cell>
          <cell r="AP561" t="str">
            <v>TOD</v>
          </cell>
          <cell r="AQ561">
            <v>-143674.64000000001</v>
          </cell>
          <cell r="AR561">
            <v>0</v>
          </cell>
          <cell r="AS561">
            <v>0</v>
          </cell>
          <cell r="AT561">
            <v>0</v>
          </cell>
          <cell r="AU561">
            <v>0</v>
          </cell>
          <cell r="AV561">
            <v>0</v>
          </cell>
          <cell r="AW561">
            <v>4500</v>
          </cell>
          <cell r="AX561">
            <v>4829</v>
          </cell>
          <cell r="AY561">
            <v>4829</v>
          </cell>
          <cell r="AZ561">
            <v>209.6</v>
          </cell>
          <cell r="BA561">
            <v>29.599999999999998</v>
          </cell>
        </row>
        <row r="562">
          <cell r="F562">
            <v>615000000046</v>
          </cell>
          <cell r="G562" t="str">
            <v>M/S BRECHERS TECHNO INDIA PVT LTD</v>
          </cell>
          <cell r="H562" t="str">
            <v>AT/PO-SHYAMSUNDERPUR</v>
          </cell>
          <cell r="I562" t="str">
            <v>09/02/2021 00:00:00</v>
          </cell>
          <cell r="J562">
            <v>1</v>
          </cell>
          <cell r="K562" t="str">
            <v>ANJIRA</v>
          </cell>
          <cell r="L562" t="str">
            <v>JAJPUR</v>
          </cell>
          <cell r="M562" t="str">
            <v>615000010231494680</v>
          </cell>
          <cell r="N562" t="str">
            <v>132100010254</v>
          </cell>
          <cell r="O562" t="str">
            <v>KD1850</v>
          </cell>
          <cell r="P562" t="str">
            <v>46107416002</v>
          </cell>
          <cell r="Q562" t="str">
            <v>LARGE INDUSTRY</v>
          </cell>
          <cell r="R562" t="str">
            <v>HT</v>
          </cell>
          <cell r="S562" t="str">
            <v>01/10/2023</v>
          </cell>
          <cell r="T562" t="str">
            <v>01/10/2023</v>
          </cell>
          <cell r="U562" t="str">
            <v>06/10/2023</v>
          </cell>
          <cell r="V562" t="str">
            <v>09/10/2023</v>
          </cell>
          <cell r="W562" t="str">
            <v>2023/09</v>
          </cell>
          <cell r="X562" t="str">
            <v>33 KV</v>
          </cell>
          <cell r="Y562" t="str">
            <v>HT</v>
          </cell>
          <cell r="Z562">
            <v>563.52</v>
          </cell>
          <cell r="AA562">
            <v>0.93720000000000003</v>
          </cell>
          <cell r="AB562">
            <v>11.75</v>
          </cell>
          <cell r="AC562" t="str">
            <v xml:space="preserve">01/09/2023 -     </v>
          </cell>
          <cell r="AD562" t="str">
            <v>30.09.2023</v>
          </cell>
          <cell r="AE562" t="str">
            <v>30/1.0000</v>
          </cell>
          <cell r="AF562">
            <v>623</v>
          </cell>
          <cell r="AG562" t="str">
            <v>KVA</v>
          </cell>
          <cell r="AH562">
            <v>623</v>
          </cell>
          <cell r="AI562" t="str">
            <v>R</v>
          </cell>
          <cell r="AJ562">
            <v>3824224</v>
          </cell>
          <cell r="AK562" t="str">
            <v>30/09/2023</v>
          </cell>
          <cell r="AL562" t="str">
            <v>TPN64713</v>
          </cell>
          <cell r="AM562" t="str">
            <v>THREE PHASE HT CT METER-33KV</v>
          </cell>
          <cell r="AN562" t="str">
            <v>POST PAID</v>
          </cell>
          <cell r="AO562">
            <v>950</v>
          </cell>
          <cell r="AP562" t="str">
            <v>TOD</v>
          </cell>
          <cell r="AQ562">
            <v>-3158592</v>
          </cell>
          <cell r="AR562">
            <v>0</v>
          </cell>
          <cell r="AS562">
            <v>0</v>
          </cell>
          <cell r="AT562">
            <v>0</v>
          </cell>
          <cell r="AU562">
            <v>0</v>
          </cell>
          <cell r="AV562">
            <v>0</v>
          </cell>
          <cell r="AW562">
            <v>44682</v>
          </cell>
          <cell r="AX562">
            <v>47676</v>
          </cell>
          <cell r="AY562">
            <v>47676</v>
          </cell>
          <cell r="AZ562">
            <v>3948.96</v>
          </cell>
          <cell r="BA562">
            <v>563.52</v>
          </cell>
        </row>
        <row r="563">
          <cell r="F563">
            <v>615000000047</v>
          </cell>
          <cell r="G563" t="str">
            <v>M/S BROTHERS CRUSHER</v>
          </cell>
          <cell r="H563" t="str">
            <v xml:space="preserve">PROP-SRI JAYDEV JATTA              </v>
          </cell>
          <cell r="I563" t="str">
            <v>01/25/2021 00:00:00</v>
          </cell>
          <cell r="J563">
            <v>1</v>
          </cell>
          <cell r="K563" t="str">
            <v xml:space="preserve">AT-ANJIRA                          </v>
          </cell>
          <cell r="L563" t="str">
            <v xml:space="preserve">BAGHUA                             </v>
          </cell>
          <cell r="M563" t="str">
            <v>615000010231494422</v>
          </cell>
          <cell r="N563" t="str">
            <v>36152019264</v>
          </cell>
          <cell r="O563" t="str">
            <v>L-1202</v>
          </cell>
          <cell r="P563" t="str">
            <v>461524403</v>
          </cell>
          <cell r="Q563" t="str">
            <v>LARGE INDUSTRY</v>
          </cell>
          <cell r="R563" t="str">
            <v>HT</v>
          </cell>
          <cell r="S563" t="str">
            <v>01/10/2023</v>
          </cell>
          <cell r="T563" t="str">
            <v>01/10/2023</v>
          </cell>
          <cell r="U563" t="str">
            <v>06/10/2023</v>
          </cell>
          <cell r="V563" t="str">
            <v>09/10/2023</v>
          </cell>
          <cell r="W563" t="str">
            <v>2023/09</v>
          </cell>
          <cell r="X563" t="str">
            <v>11 KV</v>
          </cell>
          <cell r="Y563" t="str">
            <v>HT</v>
          </cell>
          <cell r="Z563">
            <v>109.6</v>
          </cell>
          <cell r="AA563">
            <v>0.99339999999999995</v>
          </cell>
          <cell r="AB563">
            <v>4.43</v>
          </cell>
          <cell r="AC563" t="str">
            <v xml:space="preserve">01/09/2023 -     </v>
          </cell>
          <cell r="AD563" t="str">
            <v>30.09.2023</v>
          </cell>
          <cell r="AE563" t="str">
            <v>30/1.0000</v>
          </cell>
          <cell r="AF563">
            <v>137</v>
          </cell>
          <cell r="AG563" t="str">
            <v>KVA</v>
          </cell>
          <cell r="AH563">
            <v>137</v>
          </cell>
          <cell r="AI563" t="str">
            <v>R</v>
          </cell>
          <cell r="AJ563">
            <v>841162</v>
          </cell>
          <cell r="AK563" t="str">
            <v>30/09/2023</v>
          </cell>
          <cell r="AL563" t="str">
            <v>NSC94897</v>
          </cell>
          <cell r="AM563" t="str">
            <v>TRI-VECTOR METER FOR RAILWAY TRACTION</v>
          </cell>
          <cell r="AN563" t="str">
            <v>NULL</v>
          </cell>
          <cell r="AO563">
            <v>150</v>
          </cell>
          <cell r="AP563" t="str">
            <v>TOD</v>
          </cell>
          <cell r="AQ563">
            <v>-609751.46</v>
          </cell>
          <cell r="AR563">
            <v>0</v>
          </cell>
          <cell r="AS563">
            <v>0</v>
          </cell>
          <cell r="AT563">
            <v>0</v>
          </cell>
          <cell r="AU563">
            <v>0</v>
          </cell>
          <cell r="AV563">
            <v>0</v>
          </cell>
          <cell r="AW563">
            <v>0</v>
          </cell>
          <cell r="AX563">
            <v>0</v>
          </cell>
          <cell r="AY563">
            <v>1369</v>
          </cell>
          <cell r="AZ563">
            <v>0</v>
          </cell>
          <cell r="BA563">
            <v>0</v>
          </cell>
        </row>
        <row r="564">
          <cell r="F564">
            <v>615000000048</v>
          </cell>
          <cell r="G564" t="str">
            <v>M/S OM AVI CARBON RESOURCES PVT LTD</v>
          </cell>
          <cell r="H564" t="str">
            <v>BARAMAN</v>
          </cell>
          <cell r="I564" t="str">
            <v>01/01/2022 00:00:00</v>
          </cell>
          <cell r="J564">
            <v>1</v>
          </cell>
          <cell r="K564" t="str">
            <v>BARADA</v>
          </cell>
          <cell r="L564" t="str">
            <v>JAJPUR</v>
          </cell>
          <cell r="M564" t="str">
            <v>615000010231493959</v>
          </cell>
          <cell r="N564" t="str">
            <v>132200010117</v>
          </cell>
          <cell r="O564" t="str">
            <v>KD1887</v>
          </cell>
          <cell r="P564" t="str">
            <v>461523103</v>
          </cell>
          <cell r="Q564" t="str">
            <v>LARGE INDUSTRY</v>
          </cell>
          <cell r="R564" t="str">
            <v>HT</v>
          </cell>
          <cell r="S564" t="str">
            <v>01/10/2023</v>
          </cell>
          <cell r="T564" t="str">
            <v>01/10/2023</v>
          </cell>
          <cell r="U564" t="str">
            <v>06/10/2023</v>
          </cell>
          <cell r="V564" t="str">
            <v>09/10/2023</v>
          </cell>
          <cell r="W564" t="str">
            <v>2023/09</v>
          </cell>
          <cell r="X564" t="str">
            <v>11 KV</v>
          </cell>
          <cell r="Y564" t="str">
            <v>HT</v>
          </cell>
          <cell r="Z564">
            <v>161.6</v>
          </cell>
          <cell r="AA564">
            <v>0.28599999999999998</v>
          </cell>
          <cell r="AB564">
            <v>54.62</v>
          </cell>
          <cell r="AC564" t="str">
            <v xml:space="preserve">01/09/2023 -     </v>
          </cell>
          <cell r="AD564" t="str">
            <v>30.09.2023</v>
          </cell>
          <cell r="AE564" t="str">
            <v>30/1.0000</v>
          </cell>
          <cell r="AF564">
            <v>202</v>
          </cell>
          <cell r="AG564" t="str">
            <v>KVA</v>
          </cell>
          <cell r="AH564">
            <v>202</v>
          </cell>
          <cell r="AI564" t="str">
            <v>R</v>
          </cell>
          <cell r="AJ564">
            <v>1239957</v>
          </cell>
          <cell r="AK564" t="str">
            <v>30/09/2023</v>
          </cell>
          <cell r="AL564" t="str">
            <v>TPN64268</v>
          </cell>
          <cell r="AM564" t="str">
            <v>HT THREE PHASE 4 WIRE AMR/AMI COMPLAINT METER</v>
          </cell>
          <cell r="AN564" t="str">
            <v>POST PAID</v>
          </cell>
          <cell r="AO564">
            <v>250</v>
          </cell>
          <cell r="AP564" t="str">
            <v>TOD</v>
          </cell>
          <cell r="AQ564">
            <v>-947907</v>
          </cell>
          <cell r="AR564">
            <v>0</v>
          </cell>
          <cell r="AS564">
            <v>0</v>
          </cell>
          <cell r="AT564">
            <v>0</v>
          </cell>
          <cell r="AU564">
            <v>0</v>
          </cell>
          <cell r="AV564">
            <v>0</v>
          </cell>
          <cell r="AW564">
            <v>351</v>
          </cell>
          <cell r="AX564">
            <v>1227</v>
          </cell>
          <cell r="AY564">
            <v>1227</v>
          </cell>
          <cell r="AZ564">
            <v>1312.08</v>
          </cell>
          <cell r="BA564">
            <v>3.1199999999999997</v>
          </cell>
        </row>
        <row r="565">
          <cell r="F565">
            <v>615000000049</v>
          </cell>
          <cell r="G565" t="str">
            <v>MEGA LIFT PROJECT, TIKARAPADA, AT- ROUTRAPUR PH &amp; TULASIPUR PH</v>
          </cell>
          <cell r="H565" t="str">
            <v>ROUTRAPUR &amp; TULASIPUR</v>
          </cell>
          <cell r="I565" t="str">
            <v>01/01/2022 00:00:00</v>
          </cell>
          <cell r="J565">
            <v>1</v>
          </cell>
          <cell r="K565" t="str">
            <v>MATHASAHI</v>
          </cell>
          <cell r="L565" t="str">
            <v>JAJPUR</v>
          </cell>
          <cell r="M565" t="str">
            <v>615000010231493559</v>
          </cell>
          <cell r="N565" t="str">
            <v>132200010118</v>
          </cell>
          <cell r="O565" t="str">
            <v>KD1886</v>
          </cell>
          <cell r="P565" t="str">
            <v>46107418003</v>
          </cell>
          <cell r="Q565" t="str">
            <v>MEGA LIFT</v>
          </cell>
          <cell r="R565" t="str">
            <v>HT</v>
          </cell>
          <cell r="S565" t="str">
            <v>01/10/2023</v>
          </cell>
          <cell r="T565" t="str">
            <v>01/10/2023</v>
          </cell>
          <cell r="U565" t="str">
            <v>06/10/2023</v>
          </cell>
          <cell r="V565" t="str">
            <v>09/10/2023</v>
          </cell>
          <cell r="W565" t="str">
            <v>2023/09</v>
          </cell>
          <cell r="X565" t="str">
            <v>33 KV</v>
          </cell>
          <cell r="Y565" t="str">
            <v>HT</v>
          </cell>
          <cell r="Z565">
            <v>1351.2</v>
          </cell>
          <cell r="AA565">
            <v>0.99329999999999996</v>
          </cell>
          <cell r="AB565">
            <v>6.61</v>
          </cell>
          <cell r="AC565" t="str">
            <v xml:space="preserve">01/09/2023 -     </v>
          </cell>
          <cell r="AD565" t="str">
            <v>30.09.2023</v>
          </cell>
          <cell r="AE565" t="str">
            <v>30/1.0000</v>
          </cell>
          <cell r="AF565">
            <v>1689</v>
          </cell>
          <cell r="AG565" t="str">
            <v>KVA</v>
          </cell>
          <cell r="AH565">
            <v>1689</v>
          </cell>
          <cell r="AI565" t="str">
            <v>R</v>
          </cell>
          <cell r="AJ565">
            <v>612094</v>
          </cell>
          <cell r="AK565" t="str">
            <v>30/09/2023</v>
          </cell>
          <cell r="AL565" t="str">
            <v>TPN64740</v>
          </cell>
          <cell r="AM565" t="str">
            <v>THREE PHASE HT CT METER-33KV</v>
          </cell>
          <cell r="AN565" t="str">
            <v>POST PAID</v>
          </cell>
          <cell r="AO565">
            <v>0</v>
          </cell>
          <cell r="AP565" t="str">
            <v>TOD</v>
          </cell>
          <cell r="AQ565">
            <v>-560672.5</v>
          </cell>
          <cell r="AR565">
            <v>0</v>
          </cell>
          <cell r="AS565">
            <v>0</v>
          </cell>
          <cell r="AT565">
            <v>0</v>
          </cell>
          <cell r="AU565">
            <v>0</v>
          </cell>
          <cell r="AV565">
            <v>0</v>
          </cell>
          <cell r="AW565">
            <v>40395</v>
          </cell>
          <cell r="AX565">
            <v>40665</v>
          </cell>
          <cell r="AY565">
            <v>40665</v>
          </cell>
          <cell r="AZ565">
            <v>2126.4</v>
          </cell>
          <cell r="BA565">
            <v>854.4</v>
          </cell>
        </row>
        <row r="566">
          <cell r="F566">
            <v>615000000050</v>
          </cell>
          <cell r="G566" t="str">
            <v>M/S KONARK BEVERAGES INDUSTRIES</v>
          </cell>
          <cell r="H566" t="str">
            <v xml:space="preserve">PROP-SRI NIRANJAN DEO              </v>
          </cell>
          <cell r="I566" t="str">
            <v>01/25/2021 00:00:00</v>
          </cell>
          <cell r="J566">
            <v>1</v>
          </cell>
          <cell r="K566" t="str">
            <v xml:space="preserve">AT-PITAMBA                         </v>
          </cell>
          <cell r="L566" t="str">
            <v xml:space="preserve">JARAKA                             </v>
          </cell>
          <cell r="M566" t="str">
            <v>615000010231493661</v>
          </cell>
          <cell r="N566" t="str">
            <v>36152019266</v>
          </cell>
          <cell r="O566" t="str">
            <v>KD1204MI</v>
          </cell>
          <cell r="P566" t="str">
            <v>461521301</v>
          </cell>
          <cell r="Q566" t="str">
            <v>LARGE INDUSTRY</v>
          </cell>
          <cell r="R566" t="str">
            <v>HT</v>
          </cell>
          <cell r="S566" t="str">
            <v>01/10/2023</v>
          </cell>
          <cell r="T566" t="str">
            <v>01/10/2023</v>
          </cell>
          <cell r="U566" t="str">
            <v>06/10/2023</v>
          </cell>
          <cell r="V566" t="str">
            <v>09/10/2023</v>
          </cell>
          <cell r="W566" t="str">
            <v>2023/09</v>
          </cell>
          <cell r="X566" t="str">
            <v>11 KV</v>
          </cell>
          <cell r="Y566" t="str">
            <v>HT</v>
          </cell>
          <cell r="Z566">
            <v>226.16</v>
          </cell>
          <cell r="AA566">
            <v>0.78790000000000004</v>
          </cell>
          <cell r="AB566">
            <v>10.26</v>
          </cell>
          <cell r="AC566" t="str">
            <v xml:space="preserve">01/09/2023 -     </v>
          </cell>
          <cell r="AD566" t="str">
            <v>30.09.2023</v>
          </cell>
          <cell r="AE566" t="str">
            <v>30/1.0000</v>
          </cell>
          <cell r="AF566">
            <v>167</v>
          </cell>
          <cell r="AG566" t="str">
            <v>KVA</v>
          </cell>
          <cell r="AH566">
            <v>167</v>
          </cell>
          <cell r="AI566" t="str">
            <v>R</v>
          </cell>
          <cell r="AJ566">
            <v>1125928</v>
          </cell>
          <cell r="AK566" t="str">
            <v>30/09/2023</v>
          </cell>
          <cell r="AL566" t="str">
            <v>NES83029</v>
          </cell>
          <cell r="AM566" t="str">
            <v>HT THREE PHASE 4 WIRE AMR/AMI COMPLAINT METER</v>
          </cell>
          <cell r="AN566" t="str">
            <v>POST PAID</v>
          </cell>
          <cell r="AO566">
            <v>0</v>
          </cell>
          <cell r="AP566" t="str">
            <v>TOD</v>
          </cell>
          <cell r="AQ566">
            <v>-1028093.9</v>
          </cell>
          <cell r="AR566">
            <v>0</v>
          </cell>
          <cell r="AS566">
            <v>0</v>
          </cell>
          <cell r="AT566">
            <v>0</v>
          </cell>
          <cell r="AU566">
            <v>0</v>
          </cell>
          <cell r="AV566">
            <v>0</v>
          </cell>
          <cell r="AW566">
            <v>13170</v>
          </cell>
          <cell r="AX566">
            <v>16715</v>
          </cell>
          <cell r="AY566">
            <v>16715</v>
          </cell>
          <cell r="AZ566">
            <v>1073.5999999999999</v>
          </cell>
          <cell r="BA566">
            <v>226.16</v>
          </cell>
        </row>
        <row r="567">
          <cell r="F567">
            <v>615000000051</v>
          </cell>
          <cell r="G567" t="str">
            <v>M/S ST MINERALS PVT LTD</v>
          </cell>
          <cell r="H567" t="str">
            <v>BARAMAN</v>
          </cell>
          <cell r="I567" t="str">
            <v>01/27/2022 00:00:00</v>
          </cell>
          <cell r="J567">
            <v>1</v>
          </cell>
          <cell r="K567" t="str">
            <v>DANKARI HILL</v>
          </cell>
          <cell r="L567" t="str">
            <v>JAJPUR</v>
          </cell>
          <cell r="M567" t="str">
            <v>615000010231494186</v>
          </cell>
          <cell r="N567" t="str">
            <v>132200015420</v>
          </cell>
          <cell r="O567" t="str">
            <v>KD1887</v>
          </cell>
          <cell r="P567" t="str">
            <v>46107416002</v>
          </cell>
          <cell r="Q567" t="str">
            <v>LARGE INDUSTRY</v>
          </cell>
          <cell r="R567" t="str">
            <v>HT</v>
          </cell>
          <cell r="S567" t="str">
            <v>01/10/2023</v>
          </cell>
          <cell r="T567" t="str">
            <v>01/10/2023</v>
          </cell>
          <cell r="U567" t="str">
            <v>06/10/2023</v>
          </cell>
          <cell r="V567" t="str">
            <v>09/10/2023</v>
          </cell>
          <cell r="W567" t="str">
            <v>2023/09</v>
          </cell>
          <cell r="X567" t="str">
            <v>33 KV</v>
          </cell>
          <cell r="Y567" t="str">
            <v>HT</v>
          </cell>
          <cell r="Z567">
            <v>449.6</v>
          </cell>
          <cell r="AA567">
            <v>0.67400000000000004</v>
          </cell>
          <cell r="AB567">
            <v>27.05</v>
          </cell>
          <cell r="AC567" t="str">
            <v xml:space="preserve">01/09/2023 -     </v>
          </cell>
          <cell r="AD567" t="str">
            <v>30.09.2023</v>
          </cell>
          <cell r="AE567" t="str">
            <v>30/1.0000</v>
          </cell>
          <cell r="AF567">
            <v>562</v>
          </cell>
          <cell r="AG567" t="str">
            <v>KVA</v>
          </cell>
          <cell r="AH567">
            <v>562</v>
          </cell>
          <cell r="AI567" t="str">
            <v>R</v>
          </cell>
          <cell r="AJ567">
            <v>3449781</v>
          </cell>
          <cell r="AK567" t="str">
            <v>30/09/2023</v>
          </cell>
          <cell r="AL567" t="str">
            <v>NES83172</v>
          </cell>
          <cell r="AM567" t="str">
            <v>THREE PHASE HT CT METER-33KV</v>
          </cell>
          <cell r="AN567" t="str">
            <v>POST PAID</v>
          </cell>
          <cell r="AO567">
            <v>750</v>
          </cell>
          <cell r="AP567" t="str">
            <v>TOD</v>
          </cell>
          <cell r="AQ567">
            <v>-2583821</v>
          </cell>
          <cell r="AR567">
            <v>0</v>
          </cell>
          <cell r="AS567">
            <v>0</v>
          </cell>
          <cell r="AT567">
            <v>0</v>
          </cell>
          <cell r="AU567">
            <v>0</v>
          </cell>
          <cell r="AV567">
            <v>0</v>
          </cell>
          <cell r="AW567">
            <v>52062</v>
          </cell>
          <cell r="AX567">
            <v>77232</v>
          </cell>
          <cell r="AY567">
            <v>77232</v>
          </cell>
          <cell r="AZ567">
            <v>2687.52</v>
          </cell>
          <cell r="BA567">
            <v>396.48</v>
          </cell>
        </row>
        <row r="568">
          <cell r="F568">
            <v>615000000052</v>
          </cell>
          <cell r="G568" t="str">
            <v>PRINCIPAL GOVT ITI, JAJPUR</v>
          </cell>
          <cell r="H568" t="str">
            <v>P/S TO THERMAL CUTTING &amp; WELDING SET UP</v>
          </cell>
          <cell r="I568" t="str">
            <v>04/28/2022 00:00:00</v>
          </cell>
          <cell r="J568">
            <v>1</v>
          </cell>
          <cell r="K568" t="str">
            <v>BARUAN</v>
          </cell>
          <cell r="L568" t="str">
            <v>JAJPUR</v>
          </cell>
          <cell r="M568" t="str">
            <v>615000010232495720</v>
          </cell>
          <cell r="N568" t="str">
            <v>132200056756</v>
          </cell>
          <cell r="O568" t="str">
            <v>KK1911SPP</v>
          </cell>
          <cell r="P568" t="str">
            <v>461511302</v>
          </cell>
          <cell r="Q568" t="str">
            <v>SPECIFIED PUBLIC PURPOSE</v>
          </cell>
          <cell r="R568" t="str">
            <v>HT</v>
          </cell>
          <cell r="S568" t="str">
            <v>01/10/2023</v>
          </cell>
          <cell r="T568" t="str">
            <v>01/10/2023</v>
          </cell>
          <cell r="U568" t="str">
            <v>06/10/2023</v>
          </cell>
          <cell r="V568" t="str">
            <v>09/10/2023</v>
          </cell>
          <cell r="W568" t="str">
            <v>2023/09</v>
          </cell>
          <cell r="X568" t="str">
            <v>11 KV</v>
          </cell>
          <cell r="Y568" t="str">
            <v>HT</v>
          </cell>
          <cell r="Z568">
            <v>161.6</v>
          </cell>
          <cell r="AA568">
            <v>0.30790000000000001</v>
          </cell>
          <cell r="AB568">
            <v>0</v>
          </cell>
          <cell r="AC568" t="str">
            <v xml:space="preserve">01/09/2023 -     </v>
          </cell>
          <cell r="AD568" t="str">
            <v>30.09.2023</v>
          </cell>
          <cell r="AE568" t="str">
            <v>30/1.0000</v>
          </cell>
          <cell r="AF568">
            <v>202</v>
          </cell>
          <cell r="AG568" t="str">
            <v>KVA</v>
          </cell>
          <cell r="AH568">
            <v>202</v>
          </cell>
          <cell r="AI568" t="str">
            <v>R</v>
          </cell>
          <cell r="AJ568">
            <v>591295</v>
          </cell>
          <cell r="AK568" t="str">
            <v>30/09/2023</v>
          </cell>
          <cell r="AL568" t="str">
            <v>TPNODL38111623</v>
          </cell>
          <cell r="AM568" t="str">
            <v>THREE PHASE SMART HT CT METER (AMR/AMI)-11KV</v>
          </cell>
          <cell r="AN568" t="str">
            <v>BI DIRECTIONAL</v>
          </cell>
          <cell r="AO568">
            <v>250</v>
          </cell>
          <cell r="AP568" t="str">
            <v>TOD</v>
          </cell>
          <cell r="AQ568">
            <v>0</v>
          </cell>
          <cell r="AR568">
            <v>0</v>
          </cell>
          <cell r="AS568">
            <v>0</v>
          </cell>
          <cell r="AT568">
            <v>0</v>
          </cell>
          <cell r="AU568">
            <v>0</v>
          </cell>
          <cell r="AV568">
            <v>0</v>
          </cell>
          <cell r="AW568">
            <v>279</v>
          </cell>
          <cell r="AX568">
            <v>906</v>
          </cell>
          <cell r="AY568">
            <v>0</v>
          </cell>
          <cell r="AZ568">
            <v>6.5289999999999999</v>
          </cell>
          <cell r="BA568">
            <v>13.058</v>
          </cell>
        </row>
        <row r="569">
          <cell r="F569">
            <v>615000000053</v>
          </cell>
          <cell r="G569" t="str">
            <v>M/S MAA LAXMI STONE CRUSHER</v>
          </cell>
          <cell r="H569" t="str">
            <v>PROP-SRI KUNA PRADHAN</v>
          </cell>
          <cell r="I569" t="str">
            <v>06/18/2022 00:00:00</v>
          </cell>
          <cell r="J569">
            <v>1</v>
          </cell>
          <cell r="K569" t="str">
            <v>AT- BARADA</v>
          </cell>
          <cell r="L569" t="str">
            <v>KABATABANDHA</v>
          </cell>
          <cell r="M569" t="str">
            <v>615000010231494656</v>
          </cell>
          <cell r="N569" t="str">
            <v>132200075131</v>
          </cell>
          <cell r="O569" t="str">
            <v xml:space="preserve"> </v>
          </cell>
          <cell r="P569" t="str">
            <v>46107416002</v>
          </cell>
          <cell r="Q569" t="str">
            <v>LARGE INDUSTRY</v>
          </cell>
          <cell r="R569" t="str">
            <v>HT</v>
          </cell>
          <cell r="S569" t="str">
            <v>01/10/2023</v>
          </cell>
          <cell r="T569" t="str">
            <v>01/10/2023</v>
          </cell>
          <cell r="U569" t="str">
            <v>06/10/2023</v>
          </cell>
          <cell r="V569" t="str">
            <v>09/10/2023</v>
          </cell>
          <cell r="W569" t="str">
            <v>2023/09</v>
          </cell>
          <cell r="X569" t="str">
            <v>33 KV</v>
          </cell>
          <cell r="Y569" t="str">
            <v>HT</v>
          </cell>
          <cell r="Z569">
            <v>444</v>
          </cell>
          <cell r="AA569">
            <v>0.68440000000000001</v>
          </cell>
          <cell r="AB569">
            <v>26.38</v>
          </cell>
          <cell r="AC569" t="str">
            <v xml:space="preserve">01/09/2023 -     </v>
          </cell>
          <cell r="AD569" t="str">
            <v>30.09.2023</v>
          </cell>
          <cell r="AE569" t="str">
            <v>30/1.0000</v>
          </cell>
          <cell r="AF569">
            <v>555</v>
          </cell>
          <cell r="AG569" t="str">
            <v>KVA</v>
          </cell>
          <cell r="AH569">
            <v>555</v>
          </cell>
          <cell r="AI569" t="str">
            <v>R</v>
          </cell>
          <cell r="AJ569">
            <v>3406812</v>
          </cell>
          <cell r="AK569" t="str">
            <v>30/09/2023</v>
          </cell>
          <cell r="AL569" t="str">
            <v>TPN64765</v>
          </cell>
          <cell r="AM569" t="str">
            <v>THREE PHASE HT CT METER-33KV</v>
          </cell>
          <cell r="AN569" t="str">
            <v>POST PAID</v>
          </cell>
          <cell r="AO569">
            <v>750</v>
          </cell>
          <cell r="AP569" t="str">
            <v>TOD</v>
          </cell>
          <cell r="AQ569">
            <v>0</v>
          </cell>
          <cell r="AR569">
            <v>0</v>
          </cell>
          <cell r="AS569">
            <v>0</v>
          </cell>
          <cell r="AT569">
            <v>0</v>
          </cell>
          <cell r="AU569">
            <v>0</v>
          </cell>
          <cell r="AV569">
            <v>0</v>
          </cell>
          <cell r="AW569">
            <v>47835</v>
          </cell>
          <cell r="AX569">
            <v>69891</v>
          </cell>
          <cell r="AY569">
            <v>69891</v>
          </cell>
          <cell r="AZ569">
            <v>2499.12</v>
          </cell>
          <cell r="BA569">
            <v>367.91999999999996</v>
          </cell>
        </row>
        <row r="570">
          <cell r="F570">
            <v>615000000054</v>
          </cell>
          <cell r="G570" t="str">
            <v>M/S. NATUREMADE RESOURCES</v>
          </cell>
          <cell r="H570" t="str">
            <v>508 AND 509</v>
          </cell>
          <cell r="I570" t="str">
            <v>07/15/2022 00:00:00</v>
          </cell>
          <cell r="J570">
            <v>1</v>
          </cell>
          <cell r="K570" t="str">
            <v>508</v>
          </cell>
          <cell r="L570" t="str">
            <v>RATHIA,DHARMASALA,HARIDASPUR</v>
          </cell>
          <cell r="M570" t="str">
            <v>615000010231494098</v>
          </cell>
          <cell r="N570" t="str">
            <v>132200081531</v>
          </cell>
          <cell r="O570" t="str">
            <v xml:space="preserve"> </v>
          </cell>
          <cell r="P570" t="str">
            <v>461523503</v>
          </cell>
          <cell r="Q570" t="str">
            <v>LARGE INDUSTRY</v>
          </cell>
          <cell r="R570" t="str">
            <v>HT</v>
          </cell>
          <cell r="S570" t="str">
            <v>01/10/2023</v>
          </cell>
          <cell r="T570" t="str">
            <v>01/10/2023</v>
          </cell>
          <cell r="U570" t="str">
            <v>06/10/2023</v>
          </cell>
          <cell r="V570" t="str">
            <v>09/10/2023</v>
          </cell>
          <cell r="W570" t="str">
            <v>2023/09</v>
          </cell>
          <cell r="X570" t="str">
            <v>11 KV</v>
          </cell>
          <cell r="Y570" t="str">
            <v>HT</v>
          </cell>
          <cell r="Z570">
            <v>200</v>
          </cell>
          <cell r="AA570">
            <v>0.42509999999999998</v>
          </cell>
          <cell r="AB570">
            <v>64.05</v>
          </cell>
          <cell r="AC570" t="str">
            <v xml:space="preserve">01/09/2023 -     </v>
          </cell>
          <cell r="AD570" t="str">
            <v>30.09.2023</v>
          </cell>
          <cell r="AE570" t="str">
            <v>30/1.0000</v>
          </cell>
          <cell r="AF570">
            <v>250</v>
          </cell>
          <cell r="AG570" t="str">
            <v>KVA</v>
          </cell>
          <cell r="AH570">
            <v>250</v>
          </cell>
          <cell r="AI570" t="str">
            <v>R</v>
          </cell>
          <cell r="AJ570">
            <v>1534600</v>
          </cell>
          <cell r="AK570" t="str">
            <v>30/09/2023</v>
          </cell>
          <cell r="AL570" t="str">
            <v>TPN64182</v>
          </cell>
          <cell r="AM570" t="str">
            <v>HT THREE PHASE 4 WIRE AMR/AMI COMPLAINT METER</v>
          </cell>
          <cell r="AN570" t="str">
            <v>POST PAID</v>
          </cell>
          <cell r="AO570">
            <v>500</v>
          </cell>
          <cell r="AP570" t="str">
            <v>TOD</v>
          </cell>
          <cell r="AQ570">
            <v>0</v>
          </cell>
          <cell r="AR570">
            <v>0</v>
          </cell>
          <cell r="AS570">
            <v>0</v>
          </cell>
          <cell r="AT570">
            <v>0</v>
          </cell>
          <cell r="AU570">
            <v>0</v>
          </cell>
          <cell r="AV570">
            <v>0</v>
          </cell>
          <cell r="AW570">
            <v>596</v>
          </cell>
          <cell r="AX570">
            <v>1402</v>
          </cell>
          <cell r="AY570">
            <v>1402</v>
          </cell>
          <cell r="AZ570">
            <v>24.64</v>
          </cell>
          <cell r="BA570">
            <v>3.04</v>
          </cell>
        </row>
        <row r="571">
          <cell r="F571">
            <v>615000000055</v>
          </cell>
          <cell r="G571" t="str">
            <v>M/S. AARBEE ODISHA WORKS PVT LTD</v>
          </cell>
          <cell r="H571" t="str">
            <v>KHATA NO. 1780, PLOT NO. 2526, MZ-ANJIRA</v>
          </cell>
          <cell r="I571" t="str">
            <v>07/16/2022 00:00:00</v>
          </cell>
          <cell r="J571">
            <v>1</v>
          </cell>
          <cell r="K571" t="str">
            <v>ANJIRA</v>
          </cell>
          <cell r="L571" t="str">
            <v>BALISAHI</v>
          </cell>
          <cell r="M571" t="str">
            <v>615000010231494629</v>
          </cell>
          <cell r="N571" t="str">
            <v>132200081654</v>
          </cell>
          <cell r="O571" t="str">
            <v xml:space="preserve"> </v>
          </cell>
          <cell r="P571" t="str">
            <v>46107416002</v>
          </cell>
          <cell r="Q571" t="str">
            <v>LARGE INDUSTRY</v>
          </cell>
          <cell r="R571" t="str">
            <v>HT</v>
          </cell>
          <cell r="S571" t="str">
            <v>01/10/2023</v>
          </cell>
          <cell r="T571" t="str">
            <v>01/10/2023</v>
          </cell>
          <cell r="U571" t="str">
            <v>06/10/2023</v>
          </cell>
          <cell r="V571" t="str">
            <v>09/10/2023</v>
          </cell>
          <cell r="W571" t="str">
            <v>2023/09</v>
          </cell>
          <cell r="X571" t="str">
            <v>33 KV</v>
          </cell>
          <cell r="Y571" t="str">
            <v>HT</v>
          </cell>
          <cell r="Z571">
            <v>200</v>
          </cell>
          <cell r="AA571">
            <v>0.8014</v>
          </cell>
          <cell r="AB571">
            <v>19.57</v>
          </cell>
          <cell r="AC571" t="str">
            <v xml:space="preserve">01/09/2023 -     </v>
          </cell>
          <cell r="AD571" t="str">
            <v>30.09.2023</v>
          </cell>
          <cell r="AE571" t="str">
            <v>30/1.0000</v>
          </cell>
          <cell r="AF571">
            <v>250</v>
          </cell>
          <cell r="AG571" t="str">
            <v>KVA</v>
          </cell>
          <cell r="AH571">
            <v>250</v>
          </cell>
          <cell r="AI571" t="str">
            <v>R</v>
          </cell>
          <cell r="AJ571">
            <v>1534600</v>
          </cell>
          <cell r="AK571" t="str">
            <v>30/09/2023</v>
          </cell>
          <cell r="AL571" t="str">
            <v>TPN64183</v>
          </cell>
          <cell r="AM571" t="str">
            <v>THREE PHASE HT CT METER-33KV</v>
          </cell>
          <cell r="AN571" t="str">
            <v>POST PAID</v>
          </cell>
          <cell r="AO571">
            <v>1000</v>
          </cell>
          <cell r="AP571" t="str">
            <v>TOD</v>
          </cell>
          <cell r="AQ571">
            <v>0</v>
          </cell>
          <cell r="AR571">
            <v>0</v>
          </cell>
          <cell r="AS571">
            <v>0</v>
          </cell>
          <cell r="AT571">
            <v>0</v>
          </cell>
          <cell r="AU571">
            <v>0</v>
          </cell>
          <cell r="AV571">
            <v>0</v>
          </cell>
          <cell r="AW571">
            <v>16482</v>
          </cell>
          <cell r="AX571">
            <v>20565</v>
          </cell>
          <cell r="AY571">
            <v>20565</v>
          </cell>
          <cell r="AZ571">
            <v>1022.4</v>
          </cell>
          <cell r="BA571">
            <v>145.91999999999999</v>
          </cell>
        </row>
        <row r="572">
          <cell r="F572">
            <v>615000000056</v>
          </cell>
          <cell r="G572" t="str">
            <v xml:space="preserve">M/S MAA DURGA EARTH MOVERS         </v>
          </cell>
          <cell r="H572" t="str">
            <v xml:space="preserve">PROP- DEBRAJ NAYAK                 </v>
          </cell>
          <cell r="I572" t="str">
            <v>01/25/2021 00:00:00</v>
          </cell>
          <cell r="J572">
            <v>1</v>
          </cell>
          <cell r="K572" t="str">
            <v xml:space="preserve">KUSUNPUR                           </v>
          </cell>
          <cell r="L572" t="str">
            <v xml:space="preserve"> </v>
          </cell>
          <cell r="M572" t="str">
            <v>615000010231494469</v>
          </cell>
          <cell r="N572" t="str">
            <v>36152025700</v>
          </cell>
          <cell r="O572" t="str">
            <v>KD1366MI</v>
          </cell>
          <cell r="P572" t="str">
            <v>461524403</v>
          </cell>
          <cell r="Q572" t="str">
            <v>LARGE INDUSTRY</v>
          </cell>
          <cell r="R572" t="str">
            <v>HT</v>
          </cell>
          <cell r="S572" t="str">
            <v>01/10/2023</v>
          </cell>
          <cell r="T572" t="str">
            <v>01/10/2023</v>
          </cell>
          <cell r="U572" t="str">
            <v>06/10/2023</v>
          </cell>
          <cell r="V572" t="str">
            <v>09/10/2023</v>
          </cell>
          <cell r="W572" t="str">
            <v>2023/09</v>
          </cell>
          <cell r="X572" t="str">
            <v>11 KV</v>
          </cell>
          <cell r="Y572" t="str">
            <v>HT</v>
          </cell>
          <cell r="Z572">
            <v>209.44</v>
          </cell>
          <cell r="AA572">
            <v>0.6925</v>
          </cell>
          <cell r="AB572">
            <v>9.08</v>
          </cell>
          <cell r="AC572" t="str">
            <v xml:space="preserve">01/09/2023 -     </v>
          </cell>
          <cell r="AD572" t="str">
            <v>30.09.2023</v>
          </cell>
          <cell r="AE572" t="str">
            <v>30/1.0000</v>
          </cell>
          <cell r="AF572">
            <v>224</v>
          </cell>
          <cell r="AG572" t="str">
            <v>KVA</v>
          </cell>
          <cell r="AH572">
            <v>224</v>
          </cell>
          <cell r="AI572" t="str">
            <v>R</v>
          </cell>
          <cell r="AJ572">
            <v>230175</v>
          </cell>
          <cell r="AK572" t="str">
            <v>30/09/2023</v>
          </cell>
          <cell r="AL572" t="str">
            <v>NES52006</v>
          </cell>
          <cell r="AM572" t="str">
            <v>TRI-VECTOR METER FOR RAILWAY TRACTION</v>
          </cell>
          <cell r="AN572" t="str">
            <v>POST PAID</v>
          </cell>
          <cell r="AO572">
            <v>150</v>
          </cell>
          <cell r="AP572" t="str">
            <v>TOD</v>
          </cell>
          <cell r="AQ572">
            <v>-67028.399999999994</v>
          </cell>
          <cell r="AR572">
            <v>0</v>
          </cell>
          <cell r="AS572">
            <v>0</v>
          </cell>
          <cell r="AT572">
            <v>0</v>
          </cell>
          <cell r="AU572">
            <v>0</v>
          </cell>
          <cell r="AV572">
            <v>0</v>
          </cell>
          <cell r="AW572">
            <v>9478</v>
          </cell>
          <cell r="AX572">
            <v>13685</v>
          </cell>
          <cell r="AY572">
            <v>13685</v>
          </cell>
          <cell r="AZ572">
            <v>1488.16</v>
          </cell>
          <cell r="BA572">
            <v>209.43999999999997</v>
          </cell>
        </row>
        <row r="573">
          <cell r="F573">
            <v>615000000057</v>
          </cell>
          <cell r="G573" t="str">
            <v>EHT CONSTRUCTION DIVISION  CUTTACK OPTCL</v>
          </cell>
          <cell r="H573" t="str">
            <v xml:space="preserve">KHATA NO. 117, PLOT NO. 386, MZ-BATIJANGA,HARIDASPUR </v>
          </cell>
          <cell r="I573" t="str">
            <v>11/05/2022 00:00:00</v>
          </cell>
          <cell r="J573">
            <v>1</v>
          </cell>
          <cell r="K573" t="str">
            <v>HARIDASPUR</v>
          </cell>
          <cell r="L573" t="str">
            <v>HARIDASPUR</v>
          </cell>
          <cell r="M573" t="str">
            <v>615000010231494644</v>
          </cell>
          <cell r="N573" t="str">
            <v>132299949591</v>
          </cell>
          <cell r="O573" t="str">
            <v xml:space="preserve"> </v>
          </cell>
          <cell r="P573" t="str">
            <v>46107416002</v>
          </cell>
          <cell r="Q573" t="str">
            <v>GENERAL PURPOSE &gt;= 110 KVA</v>
          </cell>
          <cell r="R573" t="str">
            <v>HT</v>
          </cell>
          <cell r="S573" t="str">
            <v>01/10/2023</v>
          </cell>
          <cell r="T573" t="str">
            <v>01/10/2023</v>
          </cell>
          <cell r="U573" t="str">
            <v>06/10/2023</v>
          </cell>
          <cell r="V573" t="str">
            <v>09/10/2023</v>
          </cell>
          <cell r="W573" t="str">
            <v>2023/09</v>
          </cell>
          <cell r="X573" t="str">
            <v>33 KV</v>
          </cell>
          <cell r="Y573" t="str">
            <v>HT</v>
          </cell>
          <cell r="Z573">
            <v>88</v>
          </cell>
          <cell r="AA573">
            <v>1.5</v>
          </cell>
          <cell r="AB573">
            <v>3.47</v>
          </cell>
          <cell r="AC573" t="str">
            <v xml:space="preserve">01/09/2023 -     </v>
          </cell>
          <cell r="AD573" t="str">
            <v>30.09.2023</v>
          </cell>
          <cell r="AE573" t="str">
            <v>30/1.0000</v>
          </cell>
          <cell r="AF573">
            <v>110</v>
          </cell>
          <cell r="AG573" t="str">
            <v>KVA</v>
          </cell>
          <cell r="AH573">
            <v>110</v>
          </cell>
          <cell r="AI573" t="str">
            <v>R</v>
          </cell>
          <cell r="AJ573">
            <v>321992</v>
          </cell>
          <cell r="AK573" t="str">
            <v>30/09/2023</v>
          </cell>
          <cell r="AL573" t="str">
            <v>TPN64736</v>
          </cell>
          <cell r="AM573" t="str">
            <v>THREE PHASE HT CT METER-33KV</v>
          </cell>
          <cell r="AN573" t="str">
            <v>POST PAID</v>
          </cell>
          <cell r="AO573">
            <v>250</v>
          </cell>
          <cell r="AP573" t="str">
            <v>TOD</v>
          </cell>
          <cell r="AQ573">
            <v>0</v>
          </cell>
          <cell r="AR573">
            <v>0</v>
          </cell>
          <cell r="AS573">
            <v>0</v>
          </cell>
          <cell r="AT573">
            <v>0</v>
          </cell>
          <cell r="AU573">
            <v>0</v>
          </cell>
          <cell r="AV573">
            <v>0</v>
          </cell>
          <cell r="AW573">
            <v>9</v>
          </cell>
          <cell r="AX573">
            <v>6</v>
          </cell>
          <cell r="AY573">
            <v>6</v>
          </cell>
          <cell r="AZ573">
            <v>41.28</v>
          </cell>
          <cell r="BA573">
            <v>0.24000000000000002</v>
          </cell>
        </row>
        <row r="574">
          <cell r="F574">
            <v>615000000058</v>
          </cell>
          <cell r="G574" t="str">
            <v>M/S STAR STONE CRUSHER</v>
          </cell>
          <cell r="H574" t="str">
            <v>PARTNER- SRI THANAMAL JAIN</v>
          </cell>
          <cell r="I574" t="str">
            <v>11/29/2022 00:00:00</v>
          </cell>
          <cell r="J574">
            <v>1</v>
          </cell>
          <cell r="K574" t="str">
            <v>BARADA</v>
          </cell>
          <cell r="L574" t="str">
            <v>JAJPUR</v>
          </cell>
          <cell r="M574" t="str">
            <v>615000010231494582</v>
          </cell>
          <cell r="N574" t="str">
            <v>132299953650</v>
          </cell>
          <cell r="O574" t="str">
            <v xml:space="preserve"> </v>
          </cell>
          <cell r="P574" t="str">
            <v>46107416002</v>
          </cell>
          <cell r="Q574" t="str">
            <v>LARGE INDUSTRY</v>
          </cell>
          <cell r="R574" t="str">
            <v>HT</v>
          </cell>
          <cell r="S574" t="str">
            <v>01/10/2023</v>
          </cell>
          <cell r="T574" t="str">
            <v>01/10/2023</v>
          </cell>
          <cell r="U574" t="str">
            <v>06/10/2023</v>
          </cell>
          <cell r="V574" t="str">
            <v>09/10/2023</v>
          </cell>
          <cell r="W574" t="str">
            <v>2023/09</v>
          </cell>
          <cell r="X574" t="str">
            <v>33 KV</v>
          </cell>
          <cell r="Y574" t="str">
            <v>HT</v>
          </cell>
          <cell r="Z574">
            <v>444</v>
          </cell>
          <cell r="AA574">
            <v>0.73819999999999997</v>
          </cell>
          <cell r="AB574">
            <v>5.83</v>
          </cell>
          <cell r="AC574" t="str">
            <v xml:space="preserve">01/09/2023 -     </v>
          </cell>
          <cell r="AD574" t="str">
            <v>30.09.2023</v>
          </cell>
          <cell r="AE574" t="str">
            <v>30/1.0000</v>
          </cell>
          <cell r="AF574">
            <v>555</v>
          </cell>
          <cell r="AG574" t="str">
            <v>KVA</v>
          </cell>
          <cell r="AH574">
            <v>555</v>
          </cell>
          <cell r="AI574" t="str">
            <v>R</v>
          </cell>
          <cell r="AJ574">
            <v>3406812</v>
          </cell>
          <cell r="AK574" t="str">
            <v>30/09/2023</v>
          </cell>
          <cell r="AL574" t="str">
            <v>TPN64738</v>
          </cell>
          <cell r="AM574" t="str">
            <v>THREE PHASE HT CT METER-33KV</v>
          </cell>
          <cell r="AN574" t="str">
            <v>POST PAID</v>
          </cell>
          <cell r="AO574">
            <v>750</v>
          </cell>
          <cell r="AP574" t="str">
            <v>TOD</v>
          </cell>
          <cell r="AQ574">
            <v>0</v>
          </cell>
          <cell r="AR574">
            <v>0</v>
          </cell>
          <cell r="AS574">
            <v>0</v>
          </cell>
          <cell r="AT574">
            <v>0</v>
          </cell>
          <cell r="AU574">
            <v>0</v>
          </cell>
          <cell r="AV574">
            <v>0</v>
          </cell>
          <cell r="AW574">
            <v>10272</v>
          </cell>
          <cell r="AX574">
            <v>13914</v>
          </cell>
          <cell r="AY574">
            <v>13914</v>
          </cell>
          <cell r="AZ574">
            <v>2075.52</v>
          </cell>
          <cell r="BA574">
            <v>331.20000000000005</v>
          </cell>
        </row>
        <row r="575">
          <cell r="F575">
            <v>615000000059</v>
          </cell>
          <cell r="G575" t="str">
            <v>M/S MAHAVEER STONE PRODUCTS</v>
          </cell>
          <cell r="H575" t="str">
            <v>PROP-SMT RANUBALA PARIDA</v>
          </cell>
          <cell r="I575" t="str">
            <v>02/27/2023 00:00:00</v>
          </cell>
          <cell r="J575">
            <v>1</v>
          </cell>
          <cell r="K575" t="str">
            <v>AT-KUSUNPUR</v>
          </cell>
          <cell r="L575" t="str">
            <v>KABATABANDHA</v>
          </cell>
          <cell r="M575" t="str">
            <v>615000010231494725</v>
          </cell>
          <cell r="N575" t="str">
            <v>132327532308</v>
          </cell>
          <cell r="O575" t="str">
            <v xml:space="preserve"> </v>
          </cell>
          <cell r="P575" t="str">
            <v>NULL</v>
          </cell>
          <cell r="Q575" t="str">
            <v>LARGE INDUSTRY</v>
          </cell>
          <cell r="R575" t="str">
            <v>HT</v>
          </cell>
          <cell r="S575" t="str">
            <v>01/10/2023</v>
          </cell>
          <cell r="T575" t="str">
            <v>01/10/2023</v>
          </cell>
          <cell r="U575" t="str">
            <v>06/10/2023</v>
          </cell>
          <cell r="V575" t="str">
            <v>09/10/2023</v>
          </cell>
          <cell r="W575" t="str">
            <v>2023/09</v>
          </cell>
          <cell r="X575" t="str">
            <v>11 KV</v>
          </cell>
          <cell r="Y575" t="str">
            <v>HT</v>
          </cell>
          <cell r="Z575">
            <v>182.64</v>
          </cell>
          <cell r="AA575">
            <v>0.67169999999999996</v>
          </cell>
          <cell r="AB575">
            <v>14.25</v>
          </cell>
          <cell r="AC575" t="str">
            <v xml:space="preserve">01/09/2023 -     </v>
          </cell>
          <cell r="AD575" t="str">
            <v>30.09.2023</v>
          </cell>
          <cell r="AE575" t="str">
            <v>30/1.0000</v>
          </cell>
          <cell r="AF575">
            <v>202</v>
          </cell>
          <cell r="AG575" t="str">
            <v>KVA</v>
          </cell>
          <cell r="AH575">
            <v>202</v>
          </cell>
          <cell r="AI575" t="str">
            <v>R</v>
          </cell>
          <cell r="AJ575">
            <v>1239957</v>
          </cell>
          <cell r="AK575" t="str">
            <v>30/09/2023</v>
          </cell>
          <cell r="AL575" t="str">
            <v>TPN64368</v>
          </cell>
          <cell r="AM575" t="str">
            <v>HT THREE PHASE 4 WIRE AMR/AMI COMPLAINT METER</v>
          </cell>
          <cell r="AN575" t="str">
            <v>POST PAID</v>
          </cell>
          <cell r="AO575">
            <v>250</v>
          </cell>
          <cell r="AP575" t="str">
            <v>TOD</v>
          </cell>
          <cell r="AQ575">
            <v>0</v>
          </cell>
          <cell r="AR575">
            <v>0</v>
          </cell>
          <cell r="AS575">
            <v>0</v>
          </cell>
          <cell r="AT575">
            <v>0</v>
          </cell>
          <cell r="AU575">
            <v>0</v>
          </cell>
          <cell r="AV575">
            <v>0</v>
          </cell>
          <cell r="AW575">
            <v>12588</v>
          </cell>
          <cell r="AX575">
            <v>18739</v>
          </cell>
          <cell r="AY575">
            <v>18739</v>
          </cell>
          <cell r="AZ575">
            <v>1203.24</v>
          </cell>
          <cell r="BA575">
            <v>182.64000000000001</v>
          </cell>
        </row>
        <row r="576">
          <cell r="F576">
            <v>615000000060</v>
          </cell>
          <cell r="G576" t="str">
            <v>M/s Manibaba Stone Crusher, Prop- Baidhar Sahoo</v>
          </cell>
          <cell r="H576" t="str">
            <v>Bichhakhandi</v>
          </cell>
          <cell r="I576" t="str">
            <v>04/04/2023 00:00:00</v>
          </cell>
          <cell r="J576">
            <v>1</v>
          </cell>
          <cell r="K576" t="str">
            <v>Endalaba</v>
          </cell>
          <cell r="L576" t="str">
            <v>Jajpur</v>
          </cell>
          <cell r="M576" t="str">
            <v>615000010231494616</v>
          </cell>
          <cell r="N576" t="str">
            <v>132327841156</v>
          </cell>
          <cell r="O576" t="str">
            <v xml:space="preserve"> </v>
          </cell>
          <cell r="P576" t="str">
            <v>NULL</v>
          </cell>
          <cell r="Q576" t="str">
            <v>LARGE INDUSTRY</v>
          </cell>
          <cell r="R576" t="str">
            <v>HT</v>
          </cell>
          <cell r="S576" t="str">
            <v>01/10/2023</v>
          </cell>
          <cell r="T576" t="str">
            <v>01/10/2023</v>
          </cell>
          <cell r="U576" t="str">
            <v>06/10/2023</v>
          </cell>
          <cell r="V576" t="str">
            <v>09/10/2023</v>
          </cell>
          <cell r="W576" t="str">
            <v>2023/09</v>
          </cell>
          <cell r="X576" t="str">
            <v>33 KV</v>
          </cell>
          <cell r="Y576" t="str">
            <v>HT</v>
          </cell>
          <cell r="Z576">
            <v>453.6</v>
          </cell>
          <cell r="AA576">
            <v>0.98629999999999995</v>
          </cell>
          <cell r="AB576">
            <v>22.99</v>
          </cell>
          <cell r="AC576" t="str">
            <v xml:space="preserve">01/09/2023 -     </v>
          </cell>
          <cell r="AD576" t="str">
            <v>30.09.2023</v>
          </cell>
          <cell r="AE576" t="str">
            <v>30/1.0000</v>
          </cell>
          <cell r="AF576">
            <v>555</v>
          </cell>
          <cell r="AG576" t="str">
            <v>KVA</v>
          </cell>
          <cell r="AH576">
            <v>555</v>
          </cell>
          <cell r="AI576" t="str">
            <v>R</v>
          </cell>
          <cell r="AJ576">
            <v>3406812</v>
          </cell>
          <cell r="AK576" t="str">
            <v>30/09/2023</v>
          </cell>
          <cell r="AL576" t="str">
            <v>TPN64372</v>
          </cell>
          <cell r="AM576" t="str">
            <v>THREE PHASE HT CT METER-33KV</v>
          </cell>
          <cell r="AN576" t="str">
            <v>POST PAID</v>
          </cell>
          <cell r="AO576">
            <v>750</v>
          </cell>
          <cell r="AP576" t="str">
            <v>TOD</v>
          </cell>
          <cell r="AQ576">
            <v>0</v>
          </cell>
          <cell r="AR576">
            <v>0</v>
          </cell>
          <cell r="AS576">
            <v>0</v>
          </cell>
          <cell r="AT576">
            <v>0</v>
          </cell>
          <cell r="AU576">
            <v>0</v>
          </cell>
          <cell r="AV576">
            <v>0</v>
          </cell>
          <cell r="AW576">
            <v>74058</v>
          </cell>
          <cell r="AX576">
            <v>75084</v>
          </cell>
          <cell r="AY576">
            <v>75084</v>
          </cell>
          <cell r="AZ576">
            <v>2479.1999999999998</v>
          </cell>
          <cell r="BA576">
            <v>453.6</v>
          </cell>
        </row>
        <row r="577">
          <cell r="F577">
            <v>615000000061</v>
          </cell>
          <cell r="G577" t="str">
            <v>M/S Purusottam Stone Crusher</v>
          </cell>
          <cell r="H577" t="str">
            <v>Bichhakhandi</v>
          </cell>
          <cell r="I577" t="str">
            <v>04/11/2023 00:00:00</v>
          </cell>
          <cell r="J577">
            <v>1</v>
          </cell>
          <cell r="K577" t="str">
            <v>Jenapur</v>
          </cell>
          <cell r="L577" t="str">
            <v>Kuakhia</v>
          </cell>
          <cell r="M577" t="str">
            <v>615000010231494547</v>
          </cell>
          <cell r="N577" t="str">
            <v>132327943419</v>
          </cell>
          <cell r="O577" t="str">
            <v xml:space="preserve"> </v>
          </cell>
          <cell r="P577" t="str">
            <v>NULL</v>
          </cell>
          <cell r="Q577" t="str">
            <v>LARGE INDUSTRY</v>
          </cell>
          <cell r="R577" t="str">
            <v>HT</v>
          </cell>
          <cell r="S577" t="str">
            <v>01/10/2023</v>
          </cell>
          <cell r="T577" t="str">
            <v>01/10/2023</v>
          </cell>
          <cell r="U577" t="str">
            <v>06/10/2023</v>
          </cell>
          <cell r="V577" t="str">
            <v>09/10/2023</v>
          </cell>
          <cell r="W577" t="str">
            <v>2023/09</v>
          </cell>
          <cell r="X577" t="str">
            <v>33 KV</v>
          </cell>
          <cell r="Y577" t="str">
            <v>HT</v>
          </cell>
          <cell r="Z577">
            <v>444</v>
          </cell>
          <cell r="AA577">
            <v>0.95020000000000004</v>
          </cell>
          <cell r="AB577">
            <v>13.78</v>
          </cell>
          <cell r="AC577" t="str">
            <v xml:space="preserve">01/09/2023 -     </v>
          </cell>
          <cell r="AD577" t="str">
            <v>30.09.2023</v>
          </cell>
          <cell r="AE577" t="str">
            <v>30/1.0000</v>
          </cell>
          <cell r="AF577">
            <v>555</v>
          </cell>
          <cell r="AG577" t="str">
            <v>KVA</v>
          </cell>
          <cell r="AH577">
            <v>555</v>
          </cell>
          <cell r="AI577" t="str">
            <v>R</v>
          </cell>
          <cell r="AJ577">
            <v>3406812</v>
          </cell>
          <cell r="AK577" t="str">
            <v>30/09/2023</v>
          </cell>
          <cell r="AL577" t="str">
            <v>TPN64374</v>
          </cell>
          <cell r="AM577" t="str">
            <v>THREE PHASE HT CT METER-33KV</v>
          </cell>
          <cell r="AN577" t="str">
            <v>POST PAID</v>
          </cell>
          <cell r="AO577">
            <v>750</v>
          </cell>
          <cell r="AP577" t="str">
            <v>TOD</v>
          </cell>
          <cell r="AQ577">
            <v>0</v>
          </cell>
          <cell r="AR577">
            <v>0</v>
          </cell>
          <cell r="AS577">
            <v>0</v>
          </cell>
          <cell r="AT577">
            <v>0</v>
          </cell>
          <cell r="AU577">
            <v>0</v>
          </cell>
          <cell r="AV577">
            <v>0</v>
          </cell>
          <cell r="AW577">
            <v>23877</v>
          </cell>
          <cell r="AX577">
            <v>25128</v>
          </cell>
          <cell r="AY577">
            <v>25128</v>
          </cell>
          <cell r="AZ577">
            <v>1704.96</v>
          </cell>
          <cell r="BA577">
            <v>253.2</v>
          </cell>
        </row>
        <row r="578">
          <cell r="F578">
            <v>615000000062</v>
          </cell>
          <cell r="G578" t="str">
            <v>M/S Omm Sai Stone Crusher</v>
          </cell>
          <cell r="H578" t="str">
            <v xml:space="preserve"> </v>
          </cell>
          <cell r="I578" t="str">
            <v>04/11/2023 00:00:00</v>
          </cell>
          <cell r="J578">
            <v>1</v>
          </cell>
          <cell r="K578" t="str">
            <v>Bichhakhandi</v>
          </cell>
          <cell r="L578" t="str">
            <v>Kuakhia</v>
          </cell>
          <cell r="M578" t="str">
            <v>615000010231494564</v>
          </cell>
          <cell r="N578" t="str">
            <v>132327943469</v>
          </cell>
          <cell r="O578" t="str">
            <v xml:space="preserve"> </v>
          </cell>
          <cell r="P578" t="str">
            <v>NULL</v>
          </cell>
          <cell r="Q578" t="str">
            <v>LARGE INDUSTRY</v>
          </cell>
          <cell r="R578" t="str">
            <v>HT</v>
          </cell>
          <cell r="S578" t="str">
            <v>01/10/2023</v>
          </cell>
          <cell r="T578" t="str">
            <v>01/10/2023</v>
          </cell>
          <cell r="U578" t="str">
            <v>06/10/2023</v>
          </cell>
          <cell r="V578" t="str">
            <v>09/10/2023</v>
          </cell>
          <cell r="W578" t="str">
            <v>2023/09</v>
          </cell>
          <cell r="X578" t="str">
            <v>33 KV</v>
          </cell>
          <cell r="Y578" t="str">
            <v>HT</v>
          </cell>
          <cell r="Z578">
            <v>444</v>
          </cell>
          <cell r="AA578">
            <v>0.96970000000000001</v>
          </cell>
          <cell r="AB578">
            <v>31.06</v>
          </cell>
          <cell r="AC578" t="str">
            <v xml:space="preserve">01/09/2023 -     </v>
          </cell>
          <cell r="AD578" t="str">
            <v>30.09.2023</v>
          </cell>
          <cell r="AE578" t="str">
            <v>30/1.0000</v>
          </cell>
          <cell r="AF578">
            <v>555</v>
          </cell>
          <cell r="AG578" t="str">
            <v>KVA</v>
          </cell>
          <cell r="AH578">
            <v>555</v>
          </cell>
          <cell r="AI578" t="str">
            <v>R</v>
          </cell>
          <cell r="AJ578">
            <v>3406812</v>
          </cell>
          <cell r="AK578" t="str">
            <v>30/09/2023</v>
          </cell>
          <cell r="AL578" t="str">
            <v>TPN64375</v>
          </cell>
          <cell r="AM578" t="str">
            <v>THREE PHASE HT CT METER-33KV</v>
          </cell>
          <cell r="AN578" t="str">
            <v>POST PAID</v>
          </cell>
          <cell r="AO578">
            <v>750</v>
          </cell>
          <cell r="AP578" t="str">
            <v>TOD</v>
          </cell>
          <cell r="AQ578">
            <v>0</v>
          </cell>
          <cell r="AR578">
            <v>0</v>
          </cell>
          <cell r="AS578">
            <v>0</v>
          </cell>
          <cell r="AT578">
            <v>0</v>
          </cell>
          <cell r="AU578">
            <v>0</v>
          </cell>
          <cell r="AV578">
            <v>0</v>
          </cell>
          <cell r="AW578">
            <v>69903</v>
          </cell>
          <cell r="AX578">
            <v>72087</v>
          </cell>
          <cell r="AY578">
            <v>72087</v>
          </cell>
          <cell r="AZ578">
            <v>1687.44</v>
          </cell>
          <cell r="BA578">
            <v>322.32</v>
          </cell>
        </row>
        <row r="579">
          <cell r="F579">
            <v>615000000063</v>
          </cell>
          <cell r="G579" t="str">
            <v>M/S Janani Stone Crusher</v>
          </cell>
          <cell r="H579" t="str">
            <v xml:space="preserve"> </v>
          </cell>
          <cell r="I579" t="str">
            <v>04/15/2023 00:00:00</v>
          </cell>
          <cell r="J579">
            <v>1</v>
          </cell>
          <cell r="K579" t="str">
            <v>Bichhakhandi</v>
          </cell>
          <cell r="L579" t="str">
            <v>Jajpur</v>
          </cell>
          <cell r="M579" t="str">
            <v>615000010231494529</v>
          </cell>
          <cell r="N579" t="str">
            <v>132327944342</v>
          </cell>
          <cell r="O579" t="str">
            <v xml:space="preserve"> </v>
          </cell>
          <cell r="P579" t="str">
            <v>NULL</v>
          </cell>
          <cell r="Q579" t="str">
            <v>LARGE INDUSTRY</v>
          </cell>
          <cell r="R579" t="str">
            <v>HT</v>
          </cell>
          <cell r="S579" t="str">
            <v>01/10/2023</v>
          </cell>
          <cell r="T579" t="str">
            <v>01/10/2023</v>
          </cell>
          <cell r="U579" t="str">
            <v>06/10/2023</v>
          </cell>
          <cell r="V579" t="str">
            <v>09/10/2023</v>
          </cell>
          <cell r="W579" t="str">
            <v>2023/09</v>
          </cell>
          <cell r="X579" t="str">
            <v>33 KV</v>
          </cell>
          <cell r="Y579" t="str">
            <v>HT</v>
          </cell>
          <cell r="Z579">
            <v>450.72</v>
          </cell>
          <cell r="AA579">
            <v>0.98770000000000002</v>
          </cell>
          <cell r="AB579">
            <v>39.549999999999997</v>
          </cell>
          <cell r="AC579" t="str">
            <v xml:space="preserve">01/09/2023 -     </v>
          </cell>
          <cell r="AD579" t="str">
            <v>30.09.2023</v>
          </cell>
          <cell r="AE579" t="str">
            <v>30/1.0000</v>
          </cell>
          <cell r="AF579">
            <v>555</v>
          </cell>
          <cell r="AG579" t="str">
            <v>KVA</v>
          </cell>
          <cell r="AH579">
            <v>555</v>
          </cell>
          <cell r="AI579" t="str">
            <v>R</v>
          </cell>
          <cell r="AJ579">
            <v>3406812</v>
          </cell>
          <cell r="AK579" t="str">
            <v>30/09/2023</v>
          </cell>
          <cell r="AL579" t="str">
            <v>TPN64550</v>
          </cell>
          <cell r="AM579" t="str">
            <v>THREE PHASE HT CT METER-33KV</v>
          </cell>
          <cell r="AN579" t="str">
            <v>POST PAID</v>
          </cell>
          <cell r="AO579">
            <v>750</v>
          </cell>
          <cell r="AP579" t="str">
            <v>TOD</v>
          </cell>
          <cell r="AQ579">
            <v>0</v>
          </cell>
          <cell r="AR579">
            <v>0</v>
          </cell>
          <cell r="AS579">
            <v>0</v>
          </cell>
          <cell r="AT579">
            <v>0</v>
          </cell>
          <cell r="AU579">
            <v>0</v>
          </cell>
          <cell r="AV579">
            <v>0</v>
          </cell>
          <cell r="AW579">
            <v>126792</v>
          </cell>
          <cell r="AX579">
            <v>128358</v>
          </cell>
          <cell r="AY579">
            <v>128358</v>
          </cell>
          <cell r="AZ579">
            <v>2934.96</v>
          </cell>
          <cell r="BA579">
            <v>450.71999999999997</v>
          </cell>
        </row>
        <row r="580">
          <cell r="F580">
            <v>615000000064</v>
          </cell>
          <cell r="G580" t="str">
            <v>M/S S.N. Infrastructure</v>
          </cell>
          <cell r="H580" t="str">
            <v xml:space="preserve"> </v>
          </cell>
          <cell r="I580" t="str">
            <v>04/15/2023 00:00:00</v>
          </cell>
          <cell r="J580">
            <v>1</v>
          </cell>
          <cell r="K580" t="str">
            <v>Bichhakhandi</v>
          </cell>
          <cell r="L580" t="str">
            <v>Jajpur</v>
          </cell>
          <cell r="M580" t="str">
            <v>615000010231494667</v>
          </cell>
          <cell r="N580" t="str">
            <v>132327944435</v>
          </cell>
          <cell r="O580" t="str">
            <v xml:space="preserve"> </v>
          </cell>
          <cell r="P580" t="str">
            <v>NULL</v>
          </cell>
          <cell r="Q580" t="str">
            <v>LARGE INDUSTRY</v>
          </cell>
          <cell r="R580" t="str">
            <v>HT</v>
          </cell>
          <cell r="S580" t="str">
            <v>01/10/2023</v>
          </cell>
          <cell r="T580" t="str">
            <v>01/10/2023</v>
          </cell>
          <cell r="U580" t="str">
            <v>06/10/2023</v>
          </cell>
          <cell r="V580" t="str">
            <v>09/10/2023</v>
          </cell>
          <cell r="W580" t="str">
            <v>2023/09</v>
          </cell>
          <cell r="X580" t="str">
            <v>33 KV</v>
          </cell>
          <cell r="Y580" t="str">
            <v>HT</v>
          </cell>
          <cell r="Z580">
            <v>444</v>
          </cell>
          <cell r="AA580">
            <v>0.98580000000000001</v>
          </cell>
          <cell r="AB580">
            <v>32.96</v>
          </cell>
          <cell r="AC580" t="str">
            <v xml:space="preserve">01/09/2023 -     </v>
          </cell>
          <cell r="AD580" t="str">
            <v>30.09.2023</v>
          </cell>
          <cell r="AE580" t="str">
            <v>30/1.0000</v>
          </cell>
          <cell r="AF580">
            <v>555</v>
          </cell>
          <cell r="AG580" t="str">
            <v>KVA</v>
          </cell>
          <cell r="AH580">
            <v>555</v>
          </cell>
          <cell r="AI580" t="str">
            <v>R</v>
          </cell>
          <cell r="AJ580">
            <v>3406812</v>
          </cell>
          <cell r="AK580" t="str">
            <v>30/09/2023</v>
          </cell>
          <cell r="AL580" t="str">
            <v>TPN64576</v>
          </cell>
          <cell r="AM580" t="str">
            <v>THREE PHASE HT CT METER-33KV</v>
          </cell>
          <cell r="AN580" t="str">
            <v>POST PAID</v>
          </cell>
          <cell r="AO580">
            <v>750</v>
          </cell>
          <cell r="AP580" t="str">
            <v>TOD</v>
          </cell>
          <cell r="AQ580">
            <v>0</v>
          </cell>
          <cell r="AR580">
            <v>0</v>
          </cell>
          <cell r="AS580">
            <v>0</v>
          </cell>
          <cell r="AT580">
            <v>0</v>
          </cell>
          <cell r="AU580">
            <v>0</v>
          </cell>
          <cell r="AV580">
            <v>0</v>
          </cell>
          <cell r="AW580">
            <v>70911</v>
          </cell>
          <cell r="AX580">
            <v>71931</v>
          </cell>
          <cell r="AY580">
            <v>71931</v>
          </cell>
          <cell r="AZ580">
            <v>2044.08</v>
          </cell>
          <cell r="BA580">
            <v>303.12</v>
          </cell>
        </row>
        <row r="581">
          <cell r="F581">
            <v>615000000065</v>
          </cell>
          <cell r="G581" t="str">
            <v xml:space="preserve">M/S M.V.INTERNATIONAL (P) LTD.     </v>
          </cell>
          <cell r="H581" t="str">
            <v xml:space="preserve">C/O- BINODA SWAIN                  </v>
          </cell>
          <cell r="I581" t="str">
            <v>01/25/2021 00:00:00</v>
          </cell>
          <cell r="J581">
            <v>1</v>
          </cell>
          <cell r="K581" t="str">
            <v xml:space="preserve">PROJECT MANAGER                    </v>
          </cell>
          <cell r="L581" t="str">
            <v xml:space="preserve">BALISAHI                           </v>
          </cell>
          <cell r="M581" t="str">
            <v>615000010231494362</v>
          </cell>
          <cell r="N581" t="str">
            <v>36112011323</v>
          </cell>
          <cell r="O581" t="str">
            <v>2363M</v>
          </cell>
          <cell r="P581" t="str">
            <v>NULL</v>
          </cell>
          <cell r="Q581" t="str">
            <v>LARGE INDUSTRY</v>
          </cell>
          <cell r="R581" t="str">
            <v>HT</v>
          </cell>
          <cell r="S581" t="str">
            <v>01/10/2023</v>
          </cell>
          <cell r="T581" t="str">
            <v>01/10/2023</v>
          </cell>
          <cell r="U581" t="str">
            <v>06/10/2023</v>
          </cell>
          <cell r="V581" t="str">
            <v>09/10/2023</v>
          </cell>
          <cell r="W581" t="str">
            <v>2023/09</v>
          </cell>
          <cell r="X581" t="str">
            <v>33 KV</v>
          </cell>
          <cell r="Y581" t="str">
            <v>HT</v>
          </cell>
          <cell r="Z581">
            <v>148.80000000000001</v>
          </cell>
          <cell r="AA581">
            <v>0.67859999999999998</v>
          </cell>
          <cell r="AB581">
            <v>40.43</v>
          </cell>
          <cell r="AC581" t="str">
            <v xml:space="preserve">01/09/2023 -     </v>
          </cell>
          <cell r="AD581" t="str">
            <v>30.09.2023</v>
          </cell>
          <cell r="AE581" t="str">
            <v>30/1.0000</v>
          </cell>
          <cell r="AF581">
            <v>120</v>
          </cell>
          <cell r="AG581" t="str">
            <v>KVA</v>
          </cell>
          <cell r="AH581">
            <v>120</v>
          </cell>
          <cell r="AI581" t="str">
            <v>R</v>
          </cell>
          <cell r="AJ581">
            <v>107067.56</v>
          </cell>
          <cell r="AK581" t="str">
            <v>30/09/2023</v>
          </cell>
          <cell r="AL581" t="str">
            <v>TPN64184</v>
          </cell>
          <cell r="AM581" t="str">
            <v>TRI-VECTOR METER FOR RAILWAY TRACTION</v>
          </cell>
          <cell r="AN581" t="str">
            <v>NULL</v>
          </cell>
          <cell r="AO581">
            <v>150</v>
          </cell>
          <cell r="AP581" t="str">
            <v>TOD</v>
          </cell>
          <cell r="AQ581">
            <v>84186.94</v>
          </cell>
          <cell r="AR581">
            <v>0</v>
          </cell>
          <cell r="AS581">
            <v>0</v>
          </cell>
          <cell r="AT581">
            <v>0</v>
          </cell>
          <cell r="AU581">
            <v>0</v>
          </cell>
          <cell r="AV581">
            <v>0</v>
          </cell>
          <cell r="AW581">
            <v>29399</v>
          </cell>
          <cell r="AX581">
            <v>43318</v>
          </cell>
          <cell r="AY581">
            <v>43318</v>
          </cell>
          <cell r="AZ581">
            <v>941.28</v>
          </cell>
          <cell r="BA581">
            <v>148.80000000000001</v>
          </cell>
        </row>
        <row r="582">
          <cell r="F582">
            <v>615000000066</v>
          </cell>
          <cell r="G582" t="str">
            <v xml:space="preserve">RAJENDRA KUMAR BEHERA              </v>
          </cell>
          <cell r="H582" t="str">
            <v xml:space="preserve">BRAHMA BARADA                      </v>
          </cell>
          <cell r="I582" t="str">
            <v>01/25/2021 00:00:00</v>
          </cell>
          <cell r="J582">
            <v>1</v>
          </cell>
          <cell r="K582" t="str">
            <v xml:space="preserve">KUAKHIA                            </v>
          </cell>
          <cell r="L582" t="str">
            <v xml:space="preserve">JAJPUR                             </v>
          </cell>
          <cell r="M582" t="str">
            <v>615000010232494987</v>
          </cell>
          <cell r="N582" t="str">
            <v>36151006410</v>
          </cell>
          <cell r="O582" t="str">
            <v>0214KKBD</v>
          </cell>
          <cell r="P582" t="str">
            <v>NULL</v>
          </cell>
          <cell r="Q582" t="str">
            <v>LARGE INDUSTRY</v>
          </cell>
          <cell r="R582" t="str">
            <v>HT</v>
          </cell>
          <cell r="S582" t="str">
            <v>01/10/2023</v>
          </cell>
          <cell r="T582" t="str">
            <v>01/10/2023</v>
          </cell>
          <cell r="U582" t="str">
            <v>06/10/2023</v>
          </cell>
          <cell r="V582" t="str">
            <v>09/10/2023</v>
          </cell>
          <cell r="W582" t="str">
            <v>2023/09</v>
          </cell>
          <cell r="X582" t="str">
            <v>11 KV</v>
          </cell>
          <cell r="Y582" t="str">
            <v>HT</v>
          </cell>
          <cell r="Z582">
            <v>92.8</v>
          </cell>
          <cell r="AA582">
            <v>0.83240000000000003</v>
          </cell>
          <cell r="AB582">
            <v>20.48</v>
          </cell>
          <cell r="AC582" t="str">
            <v xml:space="preserve">01/09/2023 -     </v>
          </cell>
          <cell r="AD582" t="str">
            <v>30.09.2023</v>
          </cell>
          <cell r="AE582" t="str">
            <v>30/1.0000</v>
          </cell>
          <cell r="AF582">
            <v>116</v>
          </cell>
          <cell r="AG582" t="str">
            <v>KVA</v>
          </cell>
          <cell r="AH582">
            <v>116</v>
          </cell>
          <cell r="AI582" t="str">
            <v>R</v>
          </cell>
          <cell r="AJ582">
            <v>238008</v>
          </cell>
          <cell r="AK582" t="str">
            <v>30/09/2023</v>
          </cell>
          <cell r="AL582" t="str">
            <v>TPNODL38111384</v>
          </cell>
          <cell r="AM582" t="str">
            <v>THREE PHASE SMART HT CT METER (AMR/AMI)-11KV</v>
          </cell>
          <cell r="AN582" t="str">
            <v>SMART METER</v>
          </cell>
          <cell r="AO582">
            <v>150</v>
          </cell>
          <cell r="AP582" t="str">
            <v>TOD</v>
          </cell>
          <cell r="AQ582">
            <v>-61256.4</v>
          </cell>
          <cell r="AR582">
            <v>0</v>
          </cell>
          <cell r="AS582">
            <v>0</v>
          </cell>
          <cell r="AT582">
            <v>0</v>
          </cell>
          <cell r="AU582">
            <v>0</v>
          </cell>
          <cell r="AV582">
            <v>0</v>
          </cell>
          <cell r="AW582">
            <v>11267</v>
          </cell>
          <cell r="AX582">
            <v>13535</v>
          </cell>
          <cell r="AY582">
            <v>13535</v>
          </cell>
          <cell r="AZ582">
            <v>367.69439999999997</v>
          </cell>
          <cell r="BA582">
            <v>91.813999999999993</v>
          </cell>
        </row>
        <row r="583">
          <cell r="F583">
            <v>615000000067</v>
          </cell>
          <cell r="G583" t="str">
            <v>M/S. AJAYA AGRAWAL STONE CRUSHER</v>
          </cell>
          <cell r="H583" t="str">
            <v>KHATA NO. 34, PLOT NO. 3196, MZ-BICHHAKHANDI</v>
          </cell>
          <cell r="I583" t="str">
            <v>06/11/2023 00:00:00</v>
          </cell>
          <cell r="J583">
            <v>1</v>
          </cell>
          <cell r="K583" t="str">
            <v>BICHHAKHANDI</v>
          </cell>
          <cell r="L583" t="str">
            <v>BICHHAKHANDI</v>
          </cell>
          <cell r="M583" t="str">
            <v>615000010231494301</v>
          </cell>
          <cell r="N583" t="str">
            <v>132328561913</v>
          </cell>
          <cell r="O583" t="str">
            <v xml:space="preserve"> </v>
          </cell>
          <cell r="P583" t="str">
            <v>NULL</v>
          </cell>
          <cell r="Q583" t="str">
            <v>LARGE INDUSTRY</v>
          </cell>
          <cell r="R583" t="str">
            <v>HT</v>
          </cell>
          <cell r="S583" t="str">
            <v>01/10/2023</v>
          </cell>
          <cell r="T583" t="str">
            <v>01/10/2023</v>
          </cell>
          <cell r="U583" t="str">
            <v>06/10/2023</v>
          </cell>
          <cell r="V583" t="str">
            <v>09/10/2023</v>
          </cell>
          <cell r="W583" t="str">
            <v>2023/09</v>
          </cell>
          <cell r="X583" t="str">
            <v>33 KV</v>
          </cell>
          <cell r="Y583" t="str">
            <v>HT</v>
          </cell>
          <cell r="Z583">
            <v>444</v>
          </cell>
          <cell r="AA583">
            <v>0.73470000000000002</v>
          </cell>
          <cell r="AB583">
            <v>12.51</v>
          </cell>
          <cell r="AC583" t="str">
            <v xml:space="preserve">01/09/2023 -     </v>
          </cell>
          <cell r="AD583" t="str">
            <v>30.09.2023</v>
          </cell>
          <cell r="AE583" t="str">
            <v>30/1.0000</v>
          </cell>
          <cell r="AF583">
            <v>555</v>
          </cell>
          <cell r="AG583" t="str">
            <v>KVA</v>
          </cell>
          <cell r="AH583">
            <v>555</v>
          </cell>
          <cell r="AI583" t="str">
            <v>R</v>
          </cell>
          <cell r="AJ583">
            <v>3406812</v>
          </cell>
          <cell r="AK583" t="str">
            <v>30/09/2023</v>
          </cell>
          <cell r="AL583" t="str">
            <v>TPN64578</v>
          </cell>
          <cell r="AM583" t="str">
            <v>HT THREE PHASE 4 WIRE AMR/AMI COMPLAINT METER</v>
          </cell>
          <cell r="AN583" t="str">
            <v>POST PAID</v>
          </cell>
          <cell r="AO583">
            <v>750</v>
          </cell>
          <cell r="AP583" t="str">
            <v>TOD</v>
          </cell>
          <cell r="AQ583">
            <v>0</v>
          </cell>
          <cell r="AR583">
            <v>0</v>
          </cell>
          <cell r="AS583">
            <v>0</v>
          </cell>
          <cell r="AT583">
            <v>0</v>
          </cell>
          <cell r="AU583">
            <v>0</v>
          </cell>
          <cell r="AV583">
            <v>0</v>
          </cell>
          <cell r="AW583">
            <v>23886</v>
          </cell>
          <cell r="AX583">
            <v>32508</v>
          </cell>
          <cell r="AY583">
            <v>32508</v>
          </cell>
          <cell r="AZ583">
            <v>772.32</v>
          </cell>
          <cell r="BA583">
            <v>360.96000000000004</v>
          </cell>
        </row>
        <row r="584">
          <cell r="F584">
            <v>615000000068</v>
          </cell>
          <cell r="G584" t="str">
            <v>M/S. SRI SAI CONSTRUCTION</v>
          </cell>
          <cell r="H584" t="str">
            <v>KHATA NO 1433/1500,PLOT NO. 6805 &amp; 6802, MZ-NIHALPRASAD</v>
          </cell>
          <cell r="I584" t="str">
            <v>06/27/2023 00:00:00</v>
          </cell>
          <cell r="J584">
            <v>1</v>
          </cell>
          <cell r="K584" t="str">
            <v>NIHALPRASAD, DHENKANAL</v>
          </cell>
          <cell r="L584" t="str">
            <v>NIHALPRASAD</v>
          </cell>
          <cell r="M584" t="str">
            <v>615000010231494511</v>
          </cell>
          <cell r="N584" t="str">
            <v>132328666008</v>
          </cell>
          <cell r="O584" t="str">
            <v xml:space="preserve"> </v>
          </cell>
          <cell r="P584" t="str">
            <v>NULL</v>
          </cell>
          <cell r="Q584" t="str">
            <v>LARGE INDUSTRY</v>
          </cell>
          <cell r="R584" t="str">
            <v>HT</v>
          </cell>
          <cell r="S584" t="str">
            <v>01/10/2023</v>
          </cell>
          <cell r="T584" t="str">
            <v>01/10/2023</v>
          </cell>
          <cell r="U584" t="str">
            <v>06/10/2023</v>
          </cell>
          <cell r="V584" t="str">
            <v>09/10/2023</v>
          </cell>
          <cell r="W584" t="str">
            <v>2023/09</v>
          </cell>
          <cell r="X584" t="str">
            <v>33 KV</v>
          </cell>
          <cell r="Y584" t="str">
            <v>HT</v>
          </cell>
          <cell r="Z584">
            <v>444</v>
          </cell>
          <cell r="AA584">
            <v>0.63039999999999996</v>
          </cell>
          <cell r="AB584">
            <v>16.239999999999998</v>
          </cell>
          <cell r="AC584" t="str">
            <v xml:space="preserve">01/09/2023 -     </v>
          </cell>
          <cell r="AD584" t="str">
            <v>30.09.2023</v>
          </cell>
          <cell r="AE584" t="str">
            <v>30/1.0000</v>
          </cell>
          <cell r="AF584">
            <v>555</v>
          </cell>
          <cell r="AG584" t="str">
            <v>KVA</v>
          </cell>
          <cell r="AH584">
            <v>555</v>
          </cell>
          <cell r="AI584" t="str">
            <v>R</v>
          </cell>
          <cell r="AJ584">
            <v>3406812</v>
          </cell>
          <cell r="AK584" t="str">
            <v>30/09/2023</v>
          </cell>
          <cell r="AL584" t="str">
            <v>TPN64579</v>
          </cell>
          <cell r="AM584" t="str">
            <v>HT THREE PHASE 4 WIRE AMR/AMI COMPLAINT METER</v>
          </cell>
          <cell r="AN584" t="str">
            <v>POST PAID</v>
          </cell>
          <cell r="AO584">
            <v>750</v>
          </cell>
          <cell r="AP584" t="str">
            <v>TOD</v>
          </cell>
          <cell r="AQ584">
            <v>0</v>
          </cell>
          <cell r="AR584">
            <v>0</v>
          </cell>
          <cell r="AS584">
            <v>0</v>
          </cell>
          <cell r="AT584">
            <v>0</v>
          </cell>
          <cell r="AU584">
            <v>0</v>
          </cell>
          <cell r="AV584">
            <v>0</v>
          </cell>
          <cell r="AW584">
            <v>27302</v>
          </cell>
          <cell r="AX584">
            <v>43308</v>
          </cell>
          <cell r="AY584">
            <v>43308</v>
          </cell>
          <cell r="AZ584">
            <v>1109.1600000000001</v>
          </cell>
          <cell r="BA584">
            <v>370.44</v>
          </cell>
        </row>
        <row r="585">
          <cell r="F585">
            <v>615000000069</v>
          </cell>
          <cell r="G585" t="str">
            <v>M/S. MADHUSMITA INFRASTUCTURE PVT LTD</v>
          </cell>
          <cell r="H585" t="str">
            <v>KHATA NO-115/38&amp;53, PLOT NO-23,24&amp;25,MZ-MURARIPUR</v>
          </cell>
          <cell r="I585" t="str">
            <v>06/30/2023 00:00:00</v>
          </cell>
          <cell r="J585">
            <v>1</v>
          </cell>
          <cell r="K585" t="str">
            <v>MURARIPUR</v>
          </cell>
          <cell r="L585" t="str">
            <v>MURARIPUR</v>
          </cell>
          <cell r="M585" t="str">
            <v>615000010231494138</v>
          </cell>
          <cell r="N585" t="str">
            <v>132328667176</v>
          </cell>
          <cell r="O585" t="str">
            <v xml:space="preserve"> </v>
          </cell>
          <cell r="P585" t="str">
            <v>NULL</v>
          </cell>
          <cell r="Q585" t="str">
            <v>LARGE INDUSTRY</v>
          </cell>
          <cell r="R585" t="str">
            <v>HT</v>
          </cell>
          <cell r="S585" t="str">
            <v>01/10/2023</v>
          </cell>
          <cell r="T585" t="str">
            <v>01/10/2023</v>
          </cell>
          <cell r="U585" t="str">
            <v>06/10/2023</v>
          </cell>
          <cell r="V585" t="str">
            <v>09/10/2023</v>
          </cell>
          <cell r="W585" t="str">
            <v>2023/09</v>
          </cell>
          <cell r="X585" t="str">
            <v>11 KV</v>
          </cell>
          <cell r="Y585" t="str">
            <v>HT</v>
          </cell>
          <cell r="Z585">
            <v>221.27</v>
          </cell>
          <cell r="AA585">
            <v>0.71930000000000005</v>
          </cell>
          <cell r="AB585">
            <v>6.34</v>
          </cell>
          <cell r="AC585" t="str">
            <v xml:space="preserve">01/09/2023 -     </v>
          </cell>
          <cell r="AD585" t="str">
            <v>30.09.2023</v>
          </cell>
          <cell r="AE585" t="str">
            <v>30/1.0000</v>
          </cell>
          <cell r="AF585">
            <v>244</v>
          </cell>
          <cell r="AG585" t="str">
            <v>KVA</v>
          </cell>
          <cell r="AH585">
            <v>244</v>
          </cell>
          <cell r="AI585" t="str">
            <v>R</v>
          </cell>
          <cell r="AJ585">
            <v>1497769.6</v>
          </cell>
          <cell r="AK585" t="str">
            <v>30/09/2023</v>
          </cell>
          <cell r="AL585" t="str">
            <v>TPNODL38111616</v>
          </cell>
          <cell r="AM585" t="str">
            <v>THREE PHASE SMART HT CT METER (AMR/AMI)-11KV</v>
          </cell>
          <cell r="AN585" t="str">
            <v>SMART METER</v>
          </cell>
          <cell r="AO585">
            <v>315</v>
          </cell>
          <cell r="AP585" t="str">
            <v>TOD</v>
          </cell>
          <cell r="AQ585">
            <v>0</v>
          </cell>
          <cell r="AR585">
            <v>0</v>
          </cell>
          <cell r="AS585">
            <v>0</v>
          </cell>
          <cell r="AT585">
            <v>0</v>
          </cell>
          <cell r="AU585">
            <v>0</v>
          </cell>
          <cell r="AV585">
            <v>0</v>
          </cell>
          <cell r="AW585">
            <v>7263</v>
          </cell>
          <cell r="AX585">
            <v>10096</v>
          </cell>
          <cell r="AY585">
            <v>10096</v>
          </cell>
          <cell r="AZ585">
            <v>657.28470000000004</v>
          </cell>
          <cell r="BA585">
            <v>221.274</v>
          </cell>
        </row>
        <row r="586">
          <cell r="F586">
            <v>615000000070</v>
          </cell>
          <cell r="G586" t="str">
            <v>M/s Narayani Stone Crusher, Prop- Rabi Narayan Sahoo</v>
          </cell>
          <cell r="H586" t="str">
            <v>Shyamsundarpur, Chakradharpur</v>
          </cell>
          <cell r="I586" t="str">
            <v>07/06/2023 00:00:00</v>
          </cell>
          <cell r="J586">
            <v>1</v>
          </cell>
          <cell r="K586" t="str">
            <v>Dharmasala</v>
          </cell>
          <cell r="L586" t="str">
            <v>Jajpur</v>
          </cell>
          <cell r="M586" t="str">
            <v>615000010231494599</v>
          </cell>
          <cell r="N586" t="str">
            <v>132328669019</v>
          </cell>
          <cell r="O586" t="str">
            <v xml:space="preserve"> </v>
          </cell>
          <cell r="P586" t="str">
            <v>NULL</v>
          </cell>
          <cell r="Q586" t="str">
            <v>LARGE INDUSTRY</v>
          </cell>
          <cell r="R586" t="str">
            <v>HT</v>
          </cell>
          <cell r="S586" t="str">
            <v>01/10/2023</v>
          </cell>
          <cell r="T586" t="str">
            <v>01/10/2023</v>
          </cell>
          <cell r="U586" t="str">
            <v>06/10/2023</v>
          </cell>
          <cell r="V586" t="str">
            <v>09/10/2023</v>
          </cell>
          <cell r="W586" t="str">
            <v>2023/09</v>
          </cell>
          <cell r="X586" t="str">
            <v>33 KV</v>
          </cell>
          <cell r="Y586" t="str">
            <v>HT</v>
          </cell>
          <cell r="Z586">
            <v>444</v>
          </cell>
          <cell r="AA586">
            <v>0.99390000000000001</v>
          </cell>
          <cell r="AB586">
            <v>11.87</v>
          </cell>
          <cell r="AC586" t="str">
            <v xml:space="preserve">01/09/2023 -     </v>
          </cell>
          <cell r="AD586" t="str">
            <v>30.09.2023</v>
          </cell>
          <cell r="AE586" t="str">
            <v>30/1.0000</v>
          </cell>
          <cell r="AF586">
            <v>555</v>
          </cell>
          <cell r="AG586" t="str">
            <v>KVA</v>
          </cell>
          <cell r="AH586">
            <v>555</v>
          </cell>
          <cell r="AI586" t="str">
            <v>R</v>
          </cell>
          <cell r="AJ586">
            <v>3406812</v>
          </cell>
          <cell r="AK586" t="str">
            <v>30/09/2023</v>
          </cell>
          <cell r="AL586" t="str">
            <v>TPN64580</v>
          </cell>
          <cell r="AM586" t="str">
            <v>THREE PHASE HT CT METER-33KV</v>
          </cell>
          <cell r="AN586" t="str">
            <v>POST PAID</v>
          </cell>
          <cell r="AO586">
            <v>750</v>
          </cell>
          <cell r="AP586" t="str">
            <v>TOD</v>
          </cell>
          <cell r="AQ586">
            <v>0</v>
          </cell>
          <cell r="AR586">
            <v>0</v>
          </cell>
          <cell r="AS586">
            <v>0</v>
          </cell>
          <cell r="AT586">
            <v>0</v>
          </cell>
          <cell r="AU586">
            <v>0</v>
          </cell>
          <cell r="AV586">
            <v>0</v>
          </cell>
          <cell r="AW586">
            <v>21813</v>
          </cell>
          <cell r="AX586">
            <v>21945</v>
          </cell>
          <cell r="AY586">
            <v>21945</v>
          </cell>
          <cell r="AZ586">
            <v>725.04</v>
          </cell>
          <cell r="BA586">
            <v>256.8</v>
          </cell>
        </row>
        <row r="587">
          <cell r="F587">
            <v>615000000071</v>
          </cell>
          <cell r="G587" t="str">
            <v>Mr. R RAMESH SR PROJECT MANAGER OF EVERSENDAI CONSTR</v>
          </cell>
          <cell r="H587" t="str">
            <v>16A RAJA DESING STREET</v>
          </cell>
          <cell r="I587" t="str">
            <v>09/14/2023 00:00:00</v>
          </cell>
          <cell r="J587">
            <v>1</v>
          </cell>
          <cell r="K587" t="str">
            <v>PERIYAGARAM,GINGEE</v>
          </cell>
          <cell r="L587" t="str">
            <v>VILLUPURAM,GINGEE</v>
          </cell>
          <cell r="M587" t="str">
            <v>615000010232495725</v>
          </cell>
          <cell r="N587" t="str">
            <v>132329084240</v>
          </cell>
          <cell r="O587" t="str">
            <v xml:space="preserve"> </v>
          </cell>
          <cell r="P587" t="str">
            <v>NULL</v>
          </cell>
          <cell r="Q587" t="str">
            <v>GENERAL PURPOSE &gt;= 110 KVA</v>
          </cell>
          <cell r="R587" t="str">
            <v>HT</v>
          </cell>
          <cell r="S587" t="str">
            <v>01/10/2023</v>
          </cell>
          <cell r="T587" t="str">
            <v>01/10/2023</v>
          </cell>
          <cell r="U587" t="str">
            <v>06/10/2023</v>
          </cell>
          <cell r="V587" t="str">
            <v>09/10/2023</v>
          </cell>
          <cell r="W587" t="str">
            <v>2023/09</v>
          </cell>
          <cell r="X587" t="str">
            <v>11 KV</v>
          </cell>
          <cell r="Y587" t="str">
            <v>HT</v>
          </cell>
          <cell r="Z587">
            <v>200</v>
          </cell>
          <cell r="AA587">
            <v>0.92520000000000002</v>
          </cell>
          <cell r="AB587">
            <v>20.84</v>
          </cell>
          <cell r="AC587" t="str">
            <v xml:space="preserve">13/09/2023 -          </v>
          </cell>
          <cell r="AD587" t="str">
            <v>30.09.2023</v>
          </cell>
          <cell r="AE587" t="str">
            <v>18/0.6000</v>
          </cell>
          <cell r="AF587">
            <v>250</v>
          </cell>
          <cell r="AG587" t="str">
            <v>KVA</v>
          </cell>
          <cell r="AH587">
            <v>250</v>
          </cell>
          <cell r="AI587" t="str">
            <v>N</v>
          </cell>
          <cell r="AJ587">
            <v>731800</v>
          </cell>
          <cell r="AK587" t="str">
            <v>30/09/2023</v>
          </cell>
          <cell r="AL587" t="str">
            <v>TPNODL38111260</v>
          </cell>
          <cell r="AM587" t="str">
            <v>THREE PHASE SMART HT CT METER (AMR/AMI)-11KV</v>
          </cell>
          <cell r="AN587" t="str">
            <v>SMART METER</v>
          </cell>
          <cell r="AO587">
            <v>315</v>
          </cell>
          <cell r="AP587" t="str">
            <v>TOD</v>
          </cell>
          <cell r="AQ587">
            <v>0</v>
          </cell>
          <cell r="AR587">
            <v>0</v>
          </cell>
          <cell r="AS587">
            <v>0</v>
          </cell>
          <cell r="AT587">
            <v>0</v>
          </cell>
          <cell r="AU587">
            <v>0</v>
          </cell>
          <cell r="AV587">
            <v>0</v>
          </cell>
          <cell r="AW587">
            <v>6123</v>
          </cell>
          <cell r="AX587">
            <v>6618</v>
          </cell>
          <cell r="AY587">
            <v>6618</v>
          </cell>
          <cell r="AZ587">
            <v>15.568</v>
          </cell>
          <cell r="BA587">
            <v>77.84</v>
          </cell>
        </row>
        <row r="588">
          <cell r="F588">
            <v>613000000002</v>
          </cell>
          <cell r="G588" t="str">
            <v>M/S LAXMINARAYAN RICE MILL &amp;</v>
          </cell>
          <cell r="H588" t="str">
            <v>EXPORT PVT.LTD,</v>
          </cell>
          <cell r="I588" t="str">
            <v>10/31/2020 00:00:00</v>
          </cell>
          <cell r="J588">
            <v>1</v>
          </cell>
          <cell r="K588" t="str">
            <v xml:space="preserve"> </v>
          </cell>
          <cell r="L588" t="str">
            <v xml:space="preserve"> </v>
          </cell>
          <cell r="M588" t="str">
            <v>623000010231493945</v>
          </cell>
          <cell r="N588" t="str">
            <v>6130000002</v>
          </cell>
          <cell r="O588" t="str">
            <v>L-9</v>
          </cell>
          <cell r="P588" t="str">
            <v>462322301</v>
          </cell>
          <cell r="Q588" t="str">
            <v>LARGE INDUSTRY</v>
          </cell>
          <cell r="R588" t="str">
            <v>HT</v>
          </cell>
          <cell r="S588" t="str">
            <v>01/10/2023</v>
          </cell>
          <cell r="T588" t="str">
            <v>01/10/2023</v>
          </cell>
          <cell r="U588" t="str">
            <v>06/10/2023</v>
          </cell>
          <cell r="V588" t="str">
            <v>09/10/2023</v>
          </cell>
          <cell r="W588" t="str">
            <v>2023/09</v>
          </cell>
          <cell r="X588" t="str">
            <v>11 KV</v>
          </cell>
          <cell r="Y588" t="str">
            <v>HT</v>
          </cell>
          <cell r="Z588">
            <v>133.6</v>
          </cell>
          <cell r="AA588">
            <v>0.94820000000000004</v>
          </cell>
          <cell r="AB588">
            <v>42.75</v>
          </cell>
          <cell r="AC588" t="str">
            <v xml:space="preserve">01/09/2023 -     </v>
          </cell>
          <cell r="AD588" t="str">
            <v>30.09.2023</v>
          </cell>
          <cell r="AE588" t="str">
            <v>30/1.0000</v>
          </cell>
          <cell r="AF588">
            <v>167</v>
          </cell>
          <cell r="AG588" t="str">
            <v>KVA</v>
          </cell>
          <cell r="AH588">
            <v>167</v>
          </cell>
          <cell r="AI588" t="str">
            <v>R</v>
          </cell>
          <cell r="AJ588">
            <v>507200</v>
          </cell>
          <cell r="AK588" t="str">
            <v>30/09/2023</v>
          </cell>
          <cell r="AL588" t="str">
            <v>NES52354</v>
          </cell>
          <cell r="AM588" t="str">
            <v>SINGLE PHASE ELECTRO-MAGNETIC KWH METER-TOD</v>
          </cell>
          <cell r="AN588" t="str">
            <v>POST PAID</v>
          </cell>
          <cell r="AO588">
            <v>250</v>
          </cell>
          <cell r="AP588" t="str">
            <v>TOD</v>
          </cell>
          <cell r="AQ588">
            <v>-105939.4</v>
          </cell>
          <cell r="AR588">
            <v>0</v>
          </cell>
          <cell r="AS588">
            <v>0</v>
          </cell>
          <cell r="AT588">
            <v>0</v>
          </cell>
          <cell r="AU588">
            <v>0</v>
          </cell>
          <cell r="AV588">
            <v>0</v>
          </cell>
          <cell r="AW588">
            <v>33761</v>
          </cell>
          <cell r="AX588">
            <v>35603</v>
          </cell>
          <cell r="AY588">
            <v>35603</v>
          </cell>
          <cell r="AZ588">
            <v>820.64</v>
          </cell>
          <cell r="BA588">
            <v>115.68</v>
          </cell>
        </row>
        <row r="589">
          <cell r="F589">
            <v>613000000006</v>
          </cell>
          <cell r="G589" t="str">
            <v>BANGORE CHROMITE MINES, OMC</v>
          </cell>
          <cell r="H589" t="str">
            <v>C/o REGIONAL MANAGER,</v>
          </cell>
          <cell r="I589" t="str">
            <v>10/31/2020 00:00:00</v>
          </cell>
          <cell r="J589">
            <v>1</v>
          </cell>
          <cell r="K589" t="str">
            <v xml:space="preserve"> </v>
          </cell>
          <cell r="L589" t="str">
            <v xml:space="preserve"> </v>
          </cell>
          <cell r="M589" t="str">
            <v>623000010232495715</v>
          </cell>
          <cell r="N589" t="str">
            <v>6130000004</v>
          </cell>
          <cell r="O589" t="str">
            <v>L-4</v>
          </cell>
          <cell r="P589" t="str">
            <v>44207413003</v>
          </cell>
          <cell r="Q589" t="str">
            <v>LARGE INDUSTRY</v>
          </cell>
          <cell r="R589" t="str">
            <v>HT</v>
          </cell>
          <cell r="S589" t="str">
            <v>01/10/2023</v>
          </cell>
          <cell r="T589" t="str">
            <v>01/10/2023</v>
          </cell>
          <cell r="U589" t="str">
            <v>06/10/2023</v>
          </cell>
          <cell r="V589" t="str">
            <v>09/10/2023</v>
          </cell>
          <cell r="W589" t="str">
            <v>2023/09</v>
          </cell>
          <cell r="X589" t="str">
            <v>11 KV</v>
          </cell>
          <cell r="Y589" t="str">
            <v>HT</v>
          </cell>
          <cell r="Z589">
            <v>614.88</v>
          </cell>
          <cell r="AA589">
            <v>0.83169999999999999</v>
          </cell>
          <cell r="AB589">
            <v>44.28</v>
          </cell>
          <cell r="AC589" t="str">
            <v xml:space="preserve">01/09/2023 -     </v>
          </cell>
          <cell r="AD589" t="str">
            <v>30.09.2023</v>
          </cell>
          <cell r="AE589" t="str">
            <v>30/1.0000</v>
          </cell>
          <cell r="AF589">
            <v>500</v>
          </cell>
          <cell r="AG589" t="str">
            <v>KVA</v>
          </cell>
          <cell r="AH589">
            <v>500</v>
          </cell>
          <cell r="AI589" t="str">
            <v>R</v>
          </cell>
          <cell r="AJ589">
            <v>1637793</v>
          </cell>
          <cell r="AK589" t="str">
            <v>30/09/2023</v>
          </cell>
          <cell r="AL589" t="str">
            <v>NSC94865</v>
          </cell>
          <cell r="AM589" t="str">
            <v>THREE PHASE STATIC TRI-VECTOR METER</v>
          </cell>
          <cell r="AN589" t="str">
            <v>BI DIRECTIONAL</v>
          </cell>
          <cell r="AO589">
            <v>750</v>
          </cell>
          <cell r="AP589" t="str">
            <v>TOD</v>
          </cell>
          <cell r="AQ589">
            <v>-725285.36</v>
          </cell>
          <cell r="AR589">
            <v>0</v>
          </cell>
          <cell r="AS589">
            <v>0</v>
          </cell>
          <cell r="AT589">
            <v>0</v>
          </cell>
          <cell r="AU589">
            <v>0</v>
          </cell>
          <cell r="AV589">
            <v>0</v>
          </cell>
          <cell r="AW589">
            <v>163047</v>
          </cell>
          <cell r="AX589">
            <v>196032</v>
          </cell>
          <cell r="AY589">
            <v>196029</v>
          </cell>
          <cell r="AZ589">
            <v>1.0247999999999999</v>
          </cell>
          <cell r="BA589">
            <v>614.88</v>
          </cell>
        </row>
        <row r="590">
          <cell r="F590">
            <v>613000000012</v>
          </cell>
          <cell r="G590" t="str">
            <v>M/S SHYAM SUNDAR RICE MILL</v>
          </cell>
          <cell r="H590" t="str">
            <v>MANAGING PARTNER, SREE SUDARSAN</v>
          </cell>
          <cell r="I590" t="str">
            <v>10/31/2020 00:00:00</v>
          </cell>
          <cell r="J590">
            <v>1</v>
          </cell>
          <cell r="K590" t="str">
            <v xml:space="preserve"> </v>
          </cell>
          <cell r="L590" t="str">
            <v xml:space="preserve"> </v>
          </cell>
          <cell r="M590" t="str">
            <v>623000010231493894</v>
          </cell>
          <cell r="N590" t="str">
            <v>6130000008</v>
          </cell>
          <cell r="O590" t="str">
            <v>L-11</v>
          </cell>
          <cell r="P590" t="str">
            <v>462312202</v>
          </cell>
          <cell r="Q590" t="str">
            <v>LARGE INDUSTRY</v>
          </cell>
          <cell r="R590" t="str">
            <v>HT</v>
          </cell>
          <cell r="S590" t="str">
            <v>01/10/2023</v>
          </cell>
          <cell r="T590" t="str">
            <v>01/10/2023</v>
          </cell>
          <cell r="U590" t="str">
            <v>06/10/2023</v>
          </cell>
          <cell r="V590" t="str">
            <v>09/10/2023</v>
          </cell>
          <cell r="W590" t="str">
            <v>2023/09</v>
          </cell>
          <cell r="X590" t="str">
            <v>11 KV</v>
          </cell>
          <cell r="Y590" t="str">
            <v>HT</v>
          </cell>
          <cell r="Z590">
            <v>347.2</v>
          </cell>
          <cell r="AA590">
            <v>0.98629999999999995</v>
          </cell>
          <cell r="AB590">
            <v>44.11</v>
          </cell>
          <cell r="AC590" t="str">
            <v xml:space="preserve">01/09/2023 -     </v>
          </cell>
          <cell r="AD590" t="str">
            <v>30.09.2023</v>
          </cell>
          <cell r="AE590" t="str">
            <v>30/1.0000</v>
          </cell>
          <cell r="AF590">
            <v>434</v>
          </cell>
          <cell r="AG590" t="str">
            <v>KVA</v>
          </cell>
          <cell r="AH590">
            <v>434</v>
          </cell>
          <cell r="AI590" t="str">
            <v>R</v>
          </cell>
          <cell r="AJ590">
            <v>2040980</v>
          </cell>
          <cell r="AK590" t="str">
            <v>30/09/2023</v>
          </cell>
          <cell r="AL590" t="str">
            <v>NES50371</v>
          </cell>
          <cell r="AM590" t="str">
            <v>TRI-VECTOR METER FOR RAILWAY TRACTION</v>
          </cell>
          <cell r="AN590" t="str">
            <v>POST PAID</v>
          </cell>
          <cell r="AO590">
            <v>750</v>
          </cell>
          <cell r="AP590" t="str">
            <v>TOD</v>
          </cell>
          <cell r="AQ590">
            <v>-1209711.3</v>
          </cell>
          <cell r="AR590">
            <v>0</v>
          </cell>
          <cell r="AS590">
            <v>0</v>
          </cell>
          <cell r="AT590">
            <v>0</v>
          </cell>
          <cell r="AU590">
            <v>0</v>
          </cell>
          <cell r="AV590">
            <v>0</v>
          </cell>
          <cell r="AW590">
            <v>49092</v>
          </cell>
          <cell r="AX590">
            <v>49773</v>
          </cell>
          <cell r="AY590">
            <v>49773</v>
          </cell>
          <cell r="AZ590">
            <v>1067.52</v>
          </cell>
          <cell r="BA590">
            <v>156.72</v>
          </cell>
        </row>
        <row r="591">
          <cell r="F591">
            <v>613000000014</v>
          </cell>
          <cell r="G591" t="str">
            <v>M/S. M/S LAXMIPRIYA RICE MILL</v>
          </cell>
          <cell r="H591" t="str">
            <v>DIRECTOR- NITYANANDA MAHAPATRA</v>
          </cell>
          <cell r="I591" t="str">
            <v>10/31/2020 00:00:00</v>
          </cell>
          <cell r="J591">
            <v>1</v>
          </cell>
          <cell r="K591" t="str">
            <v xml:space="preserve"> </v>
          </cell>
          <cell r="L591" t="str">
            <v xml:space="preserve"> </v>
          </cell>
          <cell r="M591" t="str">
            <v>623000010231495162</v>
          </cell>
          <cell r="N591" t="str">
            <v>6130000010</v>
          </cell>
          <cell r="O591" t="str">
            <v>L-13</v>
          </cell>
          <cell r="P591" t="str">
            <v>462322401</v>
          </cell>
          <cell r="Q591" t="str">
            <v>LARGE INDUSTRY</v>
          </cell>
          <cell r="R591" t="str">
            <v>HT</v>
          </cell>
          <cell r="S591" t="str">
            <v>01/10/2023</v>
          </cell>
          <cell r="T591" t="str">
            <v>01/10/2023</v>
          </cell>
          <cell r="U591" t="str">
            <v>06/10/2023</v>
          </cell>
          <cell r="V591" t="str">
            <v>09/10/2023</v>
          </cell>
          <cell r="W591" t="str">
            <v>2023/09</v>
          </cell>
          <cell r="X591" t="str">
            <v>11 KV</v>
          </cell>
          <cell r="Y591" t="str">
            <v>HT</v>
          </cell>
          <cell r="Z591">
            <v>243.22</v>
          </cell>
          <cell r="AA591">
            <v>0.99639999999999995</v>
          </cell>
          <cell r="AB591">
            <v>42.1</v>
          </cell>
          <cell r="AC591" t="str">
            <v xml:space="preserve">01/09/2023 -     </v>
          </cell>
          <cell r="AD591" t="str">
            <v>30.09.2023</v>
          </cell>
          <cell r="AE591" t="str">
            <v>30/1.0000</v>
          </cell>
          <cell r="AF591">
            <v>270</v>
          </cell>
          <cell r="AG591" t="str">
            <v>KVA</v>
          </cell>
          <cell r="AH591">
            <v>270</v>
          </cell>
          <cell r="AI591" t="str">
            <v>R</v>
          </cell>
          <cell r="AJ591">
            <v>1657368.1063000001</v>
          </cell>
          <cell r="AK591" t="str">
            <v>30/09/2023</v>
          </cell>
          <cell r="AL591" t="str">
            <v>TPNODL38111773</v>
          </cell>
          <cell r="AM591" t="str">
            <v>THREE PHASE SMART HT CT METER (AMR/AMI)-11KV</v>
          </cell>
          <cell r="AN591" t="str">
            <v>SMART METER</v>
          </cell>
          <cell r="AO591">
            <v>500</v>
          </cell>
          <cell r="AP591" t="str">
            <v>TOD</v>
          </cell>
          <cell r="AQ591">
            <v>-156352.9</v>
          </cell>
          <cell r="AR591">
            <v>0</v>
          </cell>
          <cell r="AS591">
            <v>0</v>
          </cell>
          <cell r="AT591">
            <v>0</v>
          </cell>
          <cell r="AU591">
            <v>0</v>
          </cell>
          <cell r="AV591">
            <v>0</v>
          </cell>
          <cell r="AW591">
            <v>73469</v>
          </cell>
          <cell r="AX591">
            <v>73730</v>
          </cell>
          <cell r="AY591">
            <v>73730</v>
          </cell>
          <cell r="AZ591">
            <v>1461.6384</v>
          </cell>
          <cell r="BA591">
            <v>243.21600000000001</v>
          </cell>
        </row>
        <row r="592">
          <cell r="F592">
            <v>613000000017</v>
          </cell>
          <cell r="G592" t="str">
            <v>M/S PRANABALLAV RICE MILL</v>
          </cell>
          <cell r="H592" t="str">
            <v>C/O- ALEKHA CHANDRA MALLICK</v>
          </cell>
          <cell r="I592" t="str">
            <v>10/31/2020 00:00:00</v>
          </cell>
          <cell r="J592">
            <v>1</v>
          </cell>
          <cell r="K592" t="str">
            <v xml:space="preserve"> </v>
          </cell>
          <cell r="L592" t="str">
            <v xml:space="preserve"> </v>
          </cell>
          <cell r="M592" t="str">
            <v>623000010231494055</v>
          </cell>
          <cell r="N592" t="str">
            <v>6130000013</v>
          </cell>
          <cell r="O592" t="str">
            <v>L-16</v>
          </cell>
          <cell r="P592" t="str">
            <v>44207413002</v>
          </cell>
          <cell r="Q592" t="str">
            <v>LARGE INDUSTRY</v>
          </cell>
          <cell r="R592" t="str">
            <v>HT</v>
          </cell>
          <cell r="S592" t="str">
            <v>01/10/2023</v>
          </cell>
          <cell r="T592" t="str">
            <v>01/10/2023</v>
          </cell>
          <cell r="U592" t="str">
            <v>06/10/2023</v>
          </cell>
          <cell r="V592" t="str">
            <v>09/10/2023</v>
          </cell>
          <cell r="W592" t="str">
            <v>2023/09</v>
          </cell>
          <cell r="X592" t="str">
            <v>33 KV</v>
          </cell>
          <cell r="Y592" t="str">
            <v>HT</v>
          </cell>
          <cell r="Z592">
            <v>391.2</v>
          </cell>
          <cell r="AA592">
            <v>0.98719999999999997</v>
          </cell>
          <cell r="AB592">
            <v>38.51</v>
          </cell>
          <cell r="AC592" t="str">
            <v xml:space="preserve">01/09/2023 -     </v>
          </cell>
          <cell r="AD592" t="str">
            <v>30.09.2023</v>
          </cell>
          <cell r="AE592" t="str">
            <v>30/1.0000</v>
          </cell>
          <cell r="AF592">
            <v>489</v>
          </cell>
          <cell r="AG592" t="str">
            <v>KVA</v>
          </cell>
          <cell r="AH592">
            <v>489</v>
          </cell>
          <cell r="AI592" t="str">
            <v>R</v>
          </cell>
          <cell r="AJ592">
            <v>1982714</v>
          </cell>
          <cell r="AK592" t="str">
            <v>30/09/2023</v>
          </cell>
          <cell r="AL592" t="str">
            <v>TPN64766</v>
          </cell>
          <cell r="AM592" t="str">
            <v>THREE PHASE HT CT METER-33KV</v>
          </cell>
          <cell r="AN592" t="str">
            <v>POST PAID</v>
          </cell>
          <cell r="AO592">
            <v>750</v>
          </cell>
          <cell r="AP592" t="str">
            <v>TOD</v>
          </cell>
          <cell r="AQ592">
            <v>-1090262</v>
          </cell>
          <cell r="AR592">
            <v>0</v>
          </cell>
          <cell r="AS592">
            <v>0</v>
          </cell>
          <cell r="AT592">
            <v>0</v>
          </cell>
          <cell r="AU592">
            <v>0</v>
          </cell>
          <cell r="AV592">
            <v>0</v>
          </cell>
          <cell r="AW592">
            <v>65694</v>
          </cell>
          <cell r="AX592">
            <v>66540</v>
          </cell>
          <cell r="AY592">
            <v>66540</v>
          </cell>
          <cell r="AZ592">
            <v>1754.4</v>
          </cell>
          <cell r="BA592">
            <v>240</v>
          </cell>
        </row>
        <row r="593">
          <cell r="F593">
            <v>613000000018</v>
          </cell>
          <cell r="G593" t="str">
            <v>M/S MAA MADHOEI RICE MILL (P) LTD</v>
          </cell>
          <cell r="H593" t="str">
            <v>MANAGING DIRECTOR SRI PARSURAM PEDA</v>
          </cell>
          <cell r="I593" t="str">
            <v>10/31/2020 00:00:00</v>
          </cell>
          <cell r="J593">
            <v>1</v>
          </cell>
          <cell r="K593" t="str">
            <v xml:space="preserve"> </v>
          </cell>
          <cell r="L593" t="str">
            <v xml:space="preserve"> </v>
          </cell>
          <cell r="M593" t="str">
            <v>623000010231494159</v>
          </cell>
          <cell r="N593" t="str">
            <v>6130000014</v>
          </cell>
          <cell r="O593" t="str">
            <v>L-17</v>
          </cell>
          <cell r="P593" t="str">
            <v>462322101</v>
          </cell>
          <cell r="Q593" t="str">
            <v>LARGE INDUSTRY</v>
          </cell>
          <cell r="R593" t="str">
            <v>HT</v>
          </cell>
          <cell r="S593" t="str">
            <v>01/10/2023</v>
          </cell>
          <cell r="T593" t="str">
            <v>01/10/2023</v>
          </cell>
          <cell r="U593" t="str">
            <v>06/10/2023</v>
          </cell>
          <cell r="V593" t="str">
            <v>09/10/2023</v>
          </cell>
          <cell r="W593" t="str">
            <v>2023/09</v>
          </cell>
          <cell r="X593" t="str">
            <v>11 KV</v>
          </cell>
          <cell r="Y593" t="str">
            <v>HT</v>
          </cell>
          <cell r="Z593">
            <v>240</v>
          </cell>
          <cell r="AA593">
            <v>0.89739999999999998</v>
          </cell>
          <cell r="AB593">
            <v>25.04</v>
          </cell>
          <cell r="AC593" t="str">
            <v xml:space="preserve">01/09/2023 -     </v>
          </cell>
          <cell r="AD593" t="str">
            <v>30.09.2023</v>
          </cell>
          <cell r="AE593" t="str">
            <v>30/1.0000</v>
          </cell>
          <cell r="AF593">
            <v>300</v>
          </cell>
          <cell r="AG593" t="str">
            <v>KVA</v>
          </cell>
          <cell r="AH593">
            <v>300</v>
          </cell>
          <cell r="AI593" t="str">
            <v>R</v>
          </cell>
          <cell r="AJ593">
            <v>888814</v>
          </cell>
          <cell r="AK593" t="str">
            <v>30/09/2023</v>
          </cell>
          <cell r="AL593" t="str">
            <v>TPN64052</v>
          </cell>
          <cell r="AM593" t="str">
            <v>HT THREE PHASE 4 WIRE AMR/AMI COMPLAINT METER</v>
          </cell>
          <cell r="AN593" t="str">
            <v>POST PAID</v>
          </cell>
          <cell r="AO593">
            <v>500</v>
          </cell>
          <cell r="AP593" t="str">
            <v>TOD</v>
          </cell>
          <cell r="AQ593">
            <v>-183397.7</v>
          </cell>
          <cell r="AR593">
            <v>0</v>
          </cell>
          <cell r="AS593">
            <v>0</v>
          </cell>
          <cell r="AT593">
            <v>0</v>
          </cell>
          <cell r="AU593">
            <v>0</v>
          </cell>
          <cell r="AV593">
            <v>0</v>
          </cell>
          <cell r="AW593">
            <v>32054</v>
          </cell>
          <cell r="AX593">
            <v>35716</v>
          </cell>
          <cell r="AY593">
            <v>35716</v>
          </cell>
          <cell r="AZ593">
            <v>1351.04</v>
          </cell>
          <cell r="BA593">
            <v>198.07999999999998</v>
          </cell>
        </row>
        <row r="594">
          <cell r="F594">
            <v>613000000020</v>
          </cell>
          <cell r="G594" t="str">
            <v>E.E. ANANDAPUR BARRAGE DIVISION.</v>
          </cell>
          <cell r="H594" t="str">
            <v>SALAPADA,SALAPADAKEONJHAR</v>
          </cell>
          <cell r="I594" t="str">
            <v>10/31/2020 00:00:00</v>
          </cell>
          <cell r="J594">
            <v>1</v>
          </cell>
          <cell r="K594" t="str">
            <v xml:space="preserve"> </v>
          </cell>
          <cell r="L594" t="str">
            <v xml:space="preserve"> </v>
          </cell>
          <cell r="M594" t="str">
            <v>623000010231494009</v>
          </cell>
          <cell r="N594" t="str">
            <v>6130000016</v>
          </cell>
          <cell r="O594" t="str">
            <v>L-18BULK DOM</v>
          </cell>
          <cell r="P594" t="str">
            <v>462312204</v>
          </cell>
          <cell r="Q594" t="str">
            <v>BULK SUPPLY DOMESTIC</v>
          </cell>
          <cell r="R594" t="str">
            <v>HT</v>
          </cell>
          <cell r="S594" t="str">
            <v>01/10/2023</v>
          </cell>
          <cell r="T594" t="str">
            <v>01/10/2023</v>
          </cell>
          <cell r="U594" t="str">
            <v>09/10/2023</v>
          </cell>
          <cell r="V594" t="str">
            <v>09/10/2023</v>
          </cell>
          <cell r="W594" t="str">
            <v>2023/09</v>
          </cell>
          <cell r="X594" t="str">
            <v>11 KV</v>
          </cell>
          <cell r="Y594" t="str">
            <v>HT</v>
          </cell>
          <cell r="Z594">
            <v>222</v>
          </cell>
          <cell r="AA594">
            <v>0.84109999999999996</v>
          </cell>
          <cell r="AB594">
            <v>0</v>
          </cell>
          <cell r="AC594" t="str">
            <v xml:space="preserve">01/09/2023 -     </v>
          </cell>
          <cell r="AD594" t="str">
            <v>30.09.2023</v>
          </cell>
          <cell r="AE594" t="str">
            <v>30/1.0000</v>
          </cell>
          <cell r="AF594">
            <v>222</v>
          </cell>
          <cell r="AG594" t="str">
            <v>KVA</v>
          </cell>
          <cell r="AH594">
            <v>222</v>
          </cell>
          <cell r="AI594" t="str">
            <v>R</v>
          </cell>
          <cell r="AJ594">
            <v>126080</v>
          </cell>
          <cell r="AK594" t="str">
            <v>30/09/2023</v>
          </cell>
          <cell r="AL594" t="str">
            <v>TPN64053</v>
          </cell>
          <cell r="AM594" t="str">
            <v>HT THREE PHASE 4 WIRE AMR/AMI COMPLAINT METER</v>
          </cell>
          <cell r="AN594" t="str">
            <v>POST PAID</v>
          </cell>
          <cell r="AO594">
            <v>315</v>
          </cell>
          <cell r="AP594" t="str">
            <v>TOD</v>
          </cell>
          <cell r="AQ594">
            <v>15021.6</v>
          </cell>
          <cell r="AR594">
            <v>0</v>
          </cell>
          <cell r="AS594">
            <v>0</v>
          </cell>
          <cell r="AT594">
            <v>0</v>
          </cell>
          <cell r="AU594">
            <v>0</v>
          </cell>
          <cell r="AV594">
            <v>0</v>
          </cell>
          <cell r="AW594">
            <v>12799</v>
          </cell>
          <cell r="AX594">
            <v>15216</v>
          </cell>
          <cell r="AY594">
            <v>15216</v>
          </cell>
          <cell r="AZ594">
            <v>282</v>
          </cell>
          <cell r="BA594">
            <v>41.519999999999996</v>
          </cell>
        </row>
        <row r="595">
          <cell r="F595">
            <v>613000000021</v>
          </cell>
          <cell r="G595" t="str">
            <v>M/S-SARANGADHAR AGROTECH(P) LTD.</v>
          </cell>
          <cell r="H595" t="str">
            <v>BALIBAREI,SOSO SRI ASHOK KUMAR ROUT, (M.D.) KEONJHAR</v>
          </cell>
          <cell r="I595" t="str">
            <v>10/31/2020 00:00:00</v>
          </cell>
          <cell r="J595">
            <v>1</v>
          </cell>
          <cell r="K595" t="str">
            <v xml:space="preserve"> </v>
          </cell>
          <cell r="L595" t="str">
            <v xml:space="preserve"> </v>
          </cell>
          <cell r="M595" t="str">
            <v>623000010231494248</v>
          </cell>
          <cell r="N595" t="str">
            <v>6130000017</v>
          </cell>
          <cell r="O595" t="str">
            <v>L-19</v>
          </cell>
          <cell r="P595" t="str">
            <v>462322102</v>
          </cell>
          <cell r="Q595" t="str">
            <v>LARGE INDUSTRY</v>
          </cell>
          <cell r="R595" t="str">
            <v>HT</v>
          </cell>
          <cell r="S595" t="str">
            <v>01/10/2023</v>
          </cell>
          <cell r="T595" t="str">
            <v>01/10/2023</v>
          </cell>
          <cell r="U595" t="str">
            <v>06/10/2023</v>
          </cell>
          <cell r="V595" t="str">
            <v>09/10/2023</v>
          </cell>
          <cell r="W595" t="str">
            <v>2023/09</v>
          </cell>
          <cell r="X595" t="str">
            <v>11 KV</v>
          </cell>
          <cell r="Y595" t="str">
            <v>HT</v>
          </cell>
          <cell r="Z595">
            <v>284.8</v>
          </cell>
          <cell r="AA595">
            <v>0.92320000000000002</v>
          </cell>
          <cell r="AB595">
            <v>32.32</v>
          </cell>
          <cell r="AC595" t="str">
            <v xml:space="preserve">01/09/2023 -     </v>
          </cell>
          <cell r="AD595" t="str">
            <v>30.09.2023</v>
          </cell>
          <cell r="AE595" t="str">
            <v>30/1.0000</v>
          </cell>
          <cell r="AF595">
            <v>356</v>
          </cell>
          <cell r="AG595" t="str">
            <v>KVA</v>
          </cell>
          <cell r="AH595">
            <v>356</v>
          </cell>
          <cell r="AI595" t="str">
            <v>R</v>
          </cell>
          <cell r="AJ595">
            <v>1724920</v>
          </cell>
          <cell r="AK595" t="str">
            <v>30/09/2023</v>
          </cell>
          <cell r="AL595" t="str">
            <v>TPN64051</v>
          </cell>
          <cell r="AM595" t="str">
            <v>HT THREE PHASE 4 WIRE AMR/AMI COMPLAINT METER</v>
          </cell>
          <cell r="AN595" t="str">
            <v>POST PAID</v>
          </cell>
          <cell r="AO595">
            <v>500</v>
          </cell>
          <cell r="AP595" t="str">
            <v>TOD</v>
          </cell>
          <cell r="AQ595">
            <v>-1139815.3999999999</v>
          </cell>
          <cell r="AR595">
            <v>0</v>
          </cell>
          <cell r="AS595">
            <v>0</v>
          </cell>
          <cell r="AT595">
            <v>0</v>
          </cell>
          <cell r="AU595">
            <v>0</v>
          </cell>
          <cell r="AV595">
            <v>0</v>
          </cell>
          <cell r="AW595">
            <v>44257</v>
          </cell>
          <cell r="AX595">
            <v>47935</v>
          </cell>
          <cell r="AY595">
            <v>47935</v>
          </cell>
          <cell r="AZ595">
            <v>1139.8</v>
          </cell>
          <cell r="BA595">
            <v>206</v>
          </cell>
        </row>
        <row r="596">
          <cell r="F596">
            <v>613000000023</v>
          </cell>
          <cell r="G596" t="str">
            <v>M/S KEONJHAR DISTRICT</v>
          </cell>
          <cell r="H596" t="str">
            <v>CO. OPERATIVE MILK PRODUCER UNION</v>
          </cell>
          <cell r="I596" t="str">
            <v>10/31/2020 00:00:00</v>
          </cell>
          <cell r="J596">
            <v>1</v>
          </cell>
          <cell r="K596" t="str">
            <v xml:space="preserve"> </v>
          </cell>
          <cell r="L596" t="str">
            <v xml:space="preserve"> </v>
          </cell>
          <cell r="M596" t="str">
            <v>623000010232501427</v>
          </cell>
          <cell r="N596" t="str">
            <v>6130000019</v>
          </cell>
          <cell r="O596" t="str">
            <v>L-21</v>
          </cell>
          <cell r="P596" t="str">
            <v>462312204</v>
          </cell>
          <cell r="Q596" t="str">
            <v>ALLIED AGRO-INDUSTRIAL ACTIVITIES</v>
          </cell>
          <cell r="R596" t="str">
            <v>HT</v>
          </cell>
          <cell r="S596" t="str">
            <v>03/10/2023</v>
          </cell>
          <cell r="T596" t="str">
            <v>03/10/2023</v>
          </cell>
          <cell r="U596" t="str">
            <v>06/10/2023</v>
          </cell>
          <cell r="V596" t="str">
            <v>10/10/2023</v>
          </cell>
          <cell r="W596" t="str">
            <v>2023/09</v>
          </cell>
          <cell r="X596" t="str">
            <v>11 KV</v>
          </cell>
          <cell r="Y596" t="str">
            <v>HT</v>
          </cell>
          <cell r="Z596">
            <v>304</v>
          </cell>
          <cell r="AA596">
            <v>0.99629999999999996</v>
          </cell>
          <cell r="AB596">
            <v>0</v>
          </cell>
          <cell r="AC596" t="str">
            <v xml:space="preserve">01/09/2023 -     </v>
          </cell>
          <cell r="AD596" t="str">
            <v>30.09.2023</v>
          </cell>
          <cell r="AE596" t="str">
            <v>30/1.0000</v>
          </cell>
          <cell r="AF596">
            <v>304</v>
          </cell>
          <cell r="AG596" t="str">
            <v>KVA</v>
          </cell>
          <cell r="AH596">
            <v>304</v>
          </cell>
          <cell r="AI596" t="str">
            <v>R</v>
          </cell>
          <cell r="AJ596">
            <v>2329904</v>
          </cell>
          <cell r="AK596" t="str">
            <v>30/09/2023</v>
          </cell>
          <cell r="AL596" t="str">
            <v>TPNODL38111084</v>
          </cell>
          <cell r="AM596" t="str">
            <v>HT THREE PHASE 4 WIRE AMR/AMI COMPLAINT METER</v>
          </cell>
          <cell r="AN596" t="str">
            <v>SMART METER</v>
          </cell>
          <cell r="AO596">
            <v>315</v>
          </cell>
          <cell r="AP596" t="str">
            <v>TOD</v>
          </cell>
          <cell r="AQ596">
            <v>-1879192.8</v>
          </cell>
          <cell r="AR596">
            <v>0</v>
          </cell>
          <cell r="AS596">
            <v>0</v>
          </cell>
          <cell r="AT596">
            <v>0</v>
          </cell>
          <cell r="AU596">
            <v>0</v>
          </cell>
          <cell r="AV596">
            <v>0</v>
          </cell>
          <cell r="AW596">
            <v>14606</v>
          </cell>
          <cell r="AX596">
            <v>14660</v>
          </cell>
          <cell r="AY596">
            <v>14660</v>
          </cell>
          <cell r="AZ596">
            <v>25.08</v>
          </cell>
          <cell r="BA596">
            <v>100.32</v>
          </cell>
        </row>
        <row r="597">
          <cell r="F597">
            <v>613000000025</v>
          </cell>
          <cell r="G597" t="str">
            <v>THE PRINCIPAL GOVT. I.T.I ANANDAPUR</v>
          </cell>
          <cell r="H597" t="str">
            <v>SALAPADA,SALAPADAKEONJHAR</v>
          </cell>
          <cell r="I597" t="str">
            <v>10/31/2020 00:00:00</v>
          </cell>
          <cell r="J597">
            <v>1</v>
          </cell>
          <cell r="K597" t="str">
            <v xml:space="preserve"> </v>
          </cell>
          <cell r="L597" t="str">
            <v xml:space="preserve"> </v>
          </cell>
          <cell r="M597" t="str">
            <v>623000010231495197</v>
          </cell>
          <cell r="N597" t="str">
            <v>6130000021</v>
          </cell>
          <cell r="O597" t="str">
            <v>L23SPP</v>
          </cell>
          <cell r="P597" t="str">
            <v>462312204</v>
          </cell>
          <cell r="Q597" t="str">
            <v>GENERAL PURPOSE &gt;= 110 KVA</v>
          </cell>
          <cell r="R597" t="str">
            <v>HT</v>
          </cell>
          <cell r="S597" t="str">
            <v>01/10/2023</v>
          </cell>
          <cell r="T597" t="str">
            <v>01/10/2023</v>
          </cell>
          <cell r="U597" t="str">
            <v>06/10/2023</v>
          </cell>
          <cell r="V597" t="str">
            <v>09/10/2023</v>
          </cell>
          <cell r="W597" t="str">
            <v>2023/09</v>
          </cell>
          <cell r="X597" t="str">
            <v>11 KV</v>
          </cell>
          <cell r="Y597" t="str">
            <v>HT</v>
          </cell>
          <cell r="Z597">
            <v>96</v>
          </cell>
          <cell r="AA597">
            <v>0.99360000000000004</v>
          </cell>
          <cell r="AB597">
            <v>33.049999999999997</v>
          </cell>
          <cell r="AC597" t="str">
            <v xml:space="preserve">01/09/2023 -     </v>
          </cell>
          <cell r="AD597" t="str">
            <v>30.09.2023</v>
          </cell>
          <cell r="AE597" t="str">
            <v>30/1.0000</v>
          </cell>
          <cell r="AF597">
            <v>120</v>
          </cell>
          <cell r="AG597" t="str">
            <v>KVA</v>
          </cell>
          <cell r="AH597">
            <v>120</v>
          </cell>
          <cell r="AI597" t="str">
            <v>R</v>
          </cell>
          <cell r="AJ597">
            <v>292944</v>
          </cell>
          <cell r="AK597" t="str">
            <v>30/09/2023</v>
          </cell>
          <cell r="AL597" t="str">
            <v>TPNODL38111083</v>
          </cell>
          <cell r="AM597" t="str">
            <v>HT THREE PHASE 4 WIRE AMR/AMI COMPLAINT METER</v>
          </cell>
          <cell r="AN597" t="str">
            <v>BI DIRECTIONAL</v>
          </cell>
          <cell r="AO597">
            <v>250</v>
          </cell>
          <cell r="AP597" t="str">
            <v>TOD</v>
          </cell>
          <cell r="AQ597">
            <v>-203280.3</v>
          </cell>
          <cell r="AR597">
            <v>0</v>
          </cell>
          <cell r="AS597">
            <v>0</v>
          </cell>
          <cell r="AT597">
            <v>0</v>
          </cell>
          <cell r="AU597">
            <v>0</v>
          </cell>
          <cell r="AV597">
            <v>0</v>
          </cell>
          <cell r="AW597">
            <v>4833</v>
          </cell>
          <cell r="AX597">
            <v>4864</v>
          </cell>
          <cell r="AY597">
            <v>4590</v>
          </cell>
          <cell r="AZ597">
            <v>9.6449999999999996</v>
          </cell>
          <cell r="BA597">
            <v>19.29</v>
          </cell>
        </row>
        <row r="598">
          <cell r="F598">
            <v>613000000026</v>
          </cell>
          <cell r="G598" t="str">
            <v>THE EXECUTIVE ENGINEER, PH DIVISION</v>
          </cell>
          <cell r="H598" t="str">
            <v>KEONJHAR,KEONJHARKANJHARIDAM</v>
          </cell>
          <cell r="I598" t="str">
            <v>10/31/2020 00:00:00</v>
          </cell>
          <cell r="J598">
            <v>1</v>
          </cell>
          <cell r="K598" t="str">
            <v xml:space="preserve"> </v>
          </cell>
          <cell r="L598" t="str">
            <v xml:space="preserve"> </v>
          </cell>
          <cell r="M598" t="str">
            <v>623000010231493703</v>
          </cell>
          <cell r="N598" t="str">
            <v>6130000022</v>
          </cell>
          <cell r="O598" t="str">
            <v>L24PWW</v>
          </cell>
          <cell r="P598" t="str">
            <v>462332702</v>
          </cell>
          <cell r="Q598" t="str">
            <v>PUBLIC WATER WORKS &amp; SEWERAGE PUMPING</v>
          </cell>
          <cell r="R598" t="str">
            <v>HT</v>
          </cell>
          <cell r="S598" t="str">
            <v>01/10/2023</v>
          </cell>
          <cell r="T598" t="str">
            <v>01/10/2023</v>
          </cell>
          <cell r="U598" t="str">
            <v>09/10/2023</v>
          </cell>
          <cell r="V598" t="str">
            <v>09/10/2023</v>
          </cell>
          <cell r="W598" t="str">
            <v>2023/09</v>
          </cell>
          <cell r="X598" t="str">
            <v>11 KV</v>
          </cell>
          <cell r="Y598" t="str">
            <v>HT</v>
          </cell>
          <cell r="Z598">
            <v>138.72</v>
          </cell>
          <cell r="AA598">
            <v>0.87629999999999997</v>
          </cell>
          <cell r="AB598">
            <v>70.91</v>
          </cell>
          <cell r="AC598" t="str">
            <v xml:space="preserve">01/09/2023 -     </v>
          </cell>
          <cell r="AD598" t="str">
            <v>30.09.2023</v>
          </cell>
          <cell r="AE598" t="str">
            <v>30/1.0000</v>
          </cell>
          <cell r="AF598">
            <v>167</v>
          </cell>
          <cell r="AG598" t="str">
            <v>KVA</v>
          </cell>
          <cell r="AH598">
            <v>167</v>
          </cell>
          <cell r="AI598" t="str">
            <v>R</v>
          </cell>
          <cell r="AJ598">
            <v>645756</v>
          </cell>
          <cell r="AK598" t="str">
            <v>30/09/2023</v>
          </cell>
          <cell r="AL598" t="str">
            <v>NES52075</v>
          </cell>
          <cell r="AM598" t="str">
            <v>TRI-VECTOR METER FOR RAILWAY TRACTION</v>
          </cell>
          <cell r="AN598" t="str">
            <v>POST PAID</v>
          </cell>
          <cell r="AO598">
            <v>315</v>
          </cell>
          <cell r="AP598" t="str">
            <v>TOD</v>
          </cell>
          <cell r="AQ598">
            <v>65658.44</v>
          </cell>
          <cell r="AR598">
            <v>0</v>
          </cell>
          <cell r="AS598">
            <v>0</v>
          </cell>
          <cell r="AT598">
            <v>0</v>
          </cell>
          <cell r="AU598">
            <v>0</v>
          </cell>
          <cell r="AV598">
            <v>0</v>
          </cell>
          <cell r="AW598">
            <v>62064</v>
          </cell>
          <cell r="AX598">
            <v>70825</v>
          </cell>
          <cell r="AY598">
            <v>70825</v>
          </cell>
          <cell r="AZ598">
            <v>954.32</v>
          </cell>
          <cell r="BA598">
            <v>138.72</v>
          </cell>
        </row>
        <row r="599">
          <cell r="F599">
            <v>613000000027</v>
          </cell>
          <cell r="G599" t="str">
            <v>THE E.E. ANANDAPUR BARAGA DIVISION</v>
          </cell>
          <cell r="H599" t="str">
            <v>AT/PO- SALAPADA,KEONJHAR</v>
          </cell>
          <cell r="I599" t="str">
            <v>10/31/2020 00:00:00</v>
          </cell>
          <cell r="J599">
            <v>1</v>
          </cell>
          <cell r="K599" t="str">
            <v xml:space="preserve"> </v>
          </cell>
          <cell r="L599" t="str">
            <v xml:space="preserve"> </v>
          </cell>
          <cell r="M599" t="str">
            <v>623000010231494112</v>
          </cell>
          <cell r="N599" t="str">
            <v>6130000023</v>
          </cell>
          <cell r="O599" t="str">
            <v>L25GP</v>
          </cell>
          <cell r="P599" t="str">
            <v>462312201</v>
          </cell>
          <cell r="Q599" t="str">
            <v>GENERAL PURPOSE &gt;= 110 KVA</v>
          </cell>
          <cell r="R599" t="str">
            <v>HT</v>
          </cell>
          <cell r="S599" t="str">
            <v>01/10/2023</v>
          </cell>
          <cell r="T599" t="str">
            <v>01/10/2023</v>
          </cell>
          <cell r="U599" t="str">
            <v>06/10/2023</v>
          </cell>
          <cell r="V599" t="str">
            <v>09/10/2023</v>
          </cell>
          <cell r="W599" t="str">
            <v>2023/09</v>
          </cell>
          <cell r="X599" t="str">
            <v>11 KV</v>
          </cell>
          <cell r="Y599" t="str">
            <v>HT</v>
          </cell>
          <cell r="Z599">
            <v>151.19999999999999</v>
          </cell>
          <cell r="AA599">
            <v>0.41099999999999998</v>
          </cell>
          <cell r="AB599">
            <v>11.19</v>
          </cell>
          <cell r="AC599" t="str">
            <v xml:space="preserve">01/09/2023 -     </v>
          </cell>
          <cell r="AD599" t="str">
            <v>30.09.2023</v>
          </cell>
          <cell r="AE599" t="str">
            <v>30/1.0000</v>
          </cell>
          <cell r="AF599">
            <v>189</v>
          </cell>
          <cell r="AG599" t="str">
            <v>KVA</v>
          </cell>
          <cell r="AH599">
            <v>189</v>
          </cell>
          <cell r="AI599" t="str">
            <v>R</v>
          </cell>
          <cell r="AJ599">
            <v>468736</v>
          </cell>
          <cell r="AK599" t="str">
            <v>30/09/2023</v>
          </cell>
          <cell r="AL599" t="str">
            <v>TPNODL38111776</v>
          </cell>
          <cell r="AM599" t="str">
            <v>THREE PHASE SMART HT CT METER (AMR/AMI)-11KV</v>
          </cell>
          <cell r="AN599" t="str">
            <v>SMART METER</v>
          </cell>
          <cell r="AO599">
            <v>250</v>
          </cell>
          <cell r="AP599" t="str">
            <v>TOD</v>
          </cell>
          <cell r="AQ599">
            <v>-371608</v>
          </cell>
          <cell r="AR599">
            <v>0</v>
          </cell>
          <cell r="AS599">
            <v>0</v>
          </cell>
          <cell r="AT599">
            <v>0</v>
          </cell>
          <cell r="AU599">
            <v>0</v>
          </cell>
          <cell r="AV599">
            <v>0</v>
          </cell>
          <cell r="AW599">
            <v>1155</v>
          </cell>
          <cell r="AX599">
            <v>2810</v>
          </cell>
          <cell r="AY599">
            <v>2810</v>
          </cell>
          <cell r="AZ599">
            <v>103.002</v>
          </cell>
          <cell r="BA599">
            <v>34.884</v>
          </cell>
        </row>
        <row r="600">
          <cell r="F600">
            <v>613000000028</v>
          </cell>
          <cell r="G600" t="str">
            <v>M/S SAI MAA TARINI TOLLWAYS LTD.</v>
          </cell>
          <cell r="H600" t="str">
            <v>POLT NO-146 ,H.NO-65 , WARD NO-9</v>
          </cell>
          <cell r="I600" t="str">
            <v>10/31/2020 00:00:00</v>
          </cell>
          <cell r="J600">
            <v>1</v>
          </cell>
          <cell r="K600" t="str">
            <v xml:space="preserve"> </v>
          </cell>
          <cell r="L600" t="str">
            <v xml:space="preserve"> </v>
          </cell>
          <cell r="M600" t="str">
            <v>623000010231493304</v>
          </cell>
          <cell r="N600" t="str">
            <v>6130000024</v>
          </cell>
          <cell r="O600" t="str">
            <v>L26GP</v>
          </cell>
          <cell r="P600" t="str">
            <v>46207420004</v>
          </cell>
          <cell r="Q600" t="str">
            <v>GENERAL PURPOSE &gt;= 110 KVA</v>
          </cell>
          <cell r="R600" t="str">
            <v>HT</v>
          </cell>
          <cell r="S600" t="str">
            <v>01/10/2023</v>
          </cell>
          <cell r="T600" t="str">
            <v>01/10/2023</v>
          </cell>
          <cell r="U600" t="str">
            <v>06/10/2023</v>
          </cell>
          <cell r="V600" t="str">
            <v>09/10/2023</v>
          </cell>
          <cell r="W600" t="str">
            <v>2023/09</v>
          </cell>
          <cell r="X600" t="str">
            <v>33 KV</v>
          </cell>
          <cell r="Y600" t="str">
            <v>HT</v>
          </cell>
          <cell r="Z600">
            <v>98.4</v>
          </cell>
          <cell r="AA600">
            <v>0.99970000000000003</v>
          </cell>
          <cell r="AB600">
            <v>54.03</v>
          </cell>
          <cell r="AC600" t="str">
            <v xml:space="preserve">01/09/2023 -     </v>
          </cell>
          <cell r="AD600" t="str">
            <v>30.09.2023</v>
          </cell>
          <cell r="AE600" t="str">
            <v>30/1.0000</v>
          </cell>
          <cell r="AF600">
            <v>123</v>
          </cell>
          <cell r="AG600" t="str">
            <v>KVA</v>
          </cell>
          <cell r="AH600">
            <v>123</v>
          </cell>
          <cell r="AI600" t="str">
            <v>R</v>
          </cell>
          <cell r="AJ600">
            <v>305050</v>
          </cell>
          <cell r="AK600" t="str">
            <v>30/09/2023</v>
          </cell>
          <cell r="AL600" t="str">
            <v>NES50476</v>
          </cell>
          <cell r="AM600" t="str">
            <v>THREE PHASE HT CT METER-33KV</v>
          </cell>
          <cell r="AN600" t="str">
            <v>POST PAID</v>
          </cell>
          <cell r="AO600">
            <v>150</v>
          </cell>
          <cell r="AP600" t="str">
            <v>TOD</v>
          </cell>
          <cell r="AQ600">
            <v>-130297.3</v>
          </cell>
          <cell r="AR600">
            <v>0</v>
          </cell>
          <cell r="AS600">
            <v>0</v>
          </cell>
          <cell r="AT600">
            <v>0</v>
          </cell>
          <cell r="AU600">
            <v>0</v>
          </cell>
          <cell r="AV600">
            <v>0</v>
          </cell>
          <cell r="AW600">
            <v>12882</v>
          </cell>
          <cell r="AX600">
            <v>12885</v>
          </cell>
          <cell r="AY600">
            <v>12885</v>
          </cell>
          <cell r="AZ600">
            <v>150.24</v>
          </cell>
          <cell r="BA600">
            <v>33.119999999999997</v>
          </cell>
        </row>
        <row r="601">
          <cell r="F601">
            <v>613000000029</v>
          </cell>
          <cell r="G601" t="str">
            <v>THE ASST. EXECUTIVE ENG.</v>
          </cell>
          <cell r="H601" t="str">
            <v>MOTHER  CHILD HOSPITAL</v>
          </cell>
          <cell r="I601" t="str">
            <v>10/31/2020 00:00:00</v>
          </cell>
          <cell r="J601">
            <v>1</v>
          </cell>
          <cell r="K601" t="str">
            <v xml:space="preserve"> </v>
          </cell>
          <cell r="L601" t="str">
            <v xml:space="preserve"> </v>
          </cell>
          <cell r="M601" t="str">
            <v>623000010231494212</v>
          </cell>
          <cell r="N601" t="str">
            <v>6130000025</v>
          </cell>
          <cell r="O601" t="str">
            <v>L27SPP</v>
          </cell>
          <cell r="P601" t="str">
            <v>462312201</v>
          </cell>
          <cell r="Q601" t="str">
            <v>SPECIFIED PUBLIC PURPOSE</v>
          </cell>
          <cell r="R601" t="str">
            <v>HT</v>
          </cell>
          <cell r="S601" t="str">
            <v>01/10/2023</v>
          </cell>
          <cell r="T601" t="str">
            <v>01/10/2023</v>
          </cell>
          <cell r="U601" t="str">
            <v>06/10/2023</v>
          </cell>
          <cell r="V601" t="str">
            <v>09/10/2023</v>
          </cell>
          <cell r="W601" t="str">
            <v>2023/09</v>
          </cell>
          <cell r="X601" t="str">
            <v>11 KV</v>
          </cell>
          <cell r="Y601" t="str">
            <v>HT</v>
          </cell>
          <cell r="Z601">
            <v>204</v>
          </cell>
          <cell r="AA601">
            <v>0.91979999999999995</v>
          </cell>
          <cell r="AB601">
            <v>52.77</v>
          </cell>
          <cell r="AC601" t="str">
            <v xml:space="preserve">01/09/2023 -     </v>
          </cell>
          <cell r="AD601" t="str">
            <v>30.09.2023</v>
          </cell>
          <cell r="AE601" t="str">
            <v>30/1.0000</v>
          </cell>
          <cell r="AF601">
            <v>255</v>
          </cell>
          <cell r="AG601" t="str">
            <v>KVA</v>
          </cell>
          <cell r="AH601">
            <v>255</v>
          </cell>
          <cell r="AI601" t="str">
            <v>R</v>
          </cell>
          <cell r="AJ601">
            <v>632421</v>
          </cell>
          <cell r="AK601" t="str">
            <v>30/09/2023</v>
          </cell>
          <cell r="AL601" t="str">
            <v>NES83020</v>
          </cell>
          <cell r="AM601" t="str">
            <v>TRI-VECTOR METER FOR RAILWAY TRACTION</v>
          </cell>
          <cell r="AN601" t="str">
            <v>POST PAID</v>
          </cell>
          <cell r="AO601">
            <v>315</v>
          </cell>
          <cell r="AP601" t="str">
            <v>TOD</v>
          </cell>
          <cell r="AQ601">
            <v>-414286.8</v>
          </cell>
          <cell r="AR601">
            <v>0</v>
          </cell>
          <cell r="AS601">
            <v>0</v>
          </cell>
          <cell r="AT601">
            <v>0</v>
          </cell>
          <cell r="AU601">
            <v>0</v>
          </cell>
          <cell r="AV601">
            <v>0</v>
          </cell>
          <cell r="AW601">
            <v>13293</v>
          </cell>
          <cell r="AX601">
            <v>14452</v>
          </cell>
          <cell r="AY601">
            <v>14452</v>
          </cell>
          <cell r="AZ601">
            <v>606.48</v>
          </cell>
          <cell r="BA601">
            <v>38.04</v>
          </cell>
        </row>
        <row r="602">
          <cell r="F602">
            <v>613000000030</v>
          </cell>
          <cell r="G602" t="str">
            <v>MAHA MAHIMA FOODS</v>
          </cell>
          <cell r="H602" t="str">
            <v>AT- NUAPADA,BALARAMPURGHASIPURA, KEONJHAR</v>
          </cell>
          <cell r="I602" t="str">
            <v>10/31/2020 00:00:00</v>
          </cell>
          <cell r="J602">
            <v>1</v>
          </cell>
          <cell r="K602" t="str">
            <v xml:space="preserve"> </v>
          </cell>
          <cell r="L602" t="str">
            <v xml:space="preserve"> </v>
          </cell>
          <cell r="M602" t="str">
            <v>623000010231494288</v>
          </cell>
          <cell r="N602" t="str">
            <v>6130000026</v>
          </cell>
          <cell r="O602" t="str">
            <v>L-28</v>
          </cell>
          <cell r="P602" t="str">
            <v>462312202</v>
          </cell>
          <cell r="Q602" t="str">
            <v>LARGE INDUSTRY</v>
          </cell>
          <cell r="R602" t="str">
            <v>HT</v>
          </cell>
          <cell r="S602" t="str">
            <v>01/10/2023</v>
          </cell>
          <cell r="T602" t="str">
            <v>01/10/2023</v>
          </cell>
          <cell r="U602" t="str">
            <v>06/10/2023</v>
          </cell>
          <cell r="V602" t="str">
            <v>09/10/2023</v>
          </cell>
          <cell r="W602" t="str">
            <v>2023/09</v>
          </cell>
          <cell r="X602" t="str">
            <v>11 KV</v>
          </cell>
          <cell r="Y602" t="str">
            <v>HT</v>
          </cell>
          <cell r="Z602">
            <v>224</v>
          </cell>
          <cell r="AA602">
            <v>0.97360000000000002</v>
          </cell>
          <cell r="AB602">
            <v>50.34</v>
          </cell>
          <cell r="AC602" t="str">
            <v xml:space="preserve">01/09/2023 -     </v>
          </cell>
          <cell r="AD602" t="str">
            <v>30.09.2023</v>
          </cell>
          <cell r="AE602" t="str">
            <v>30/1.0000</v>
          </cell>
          <cell r="AF602">
            <v>280</v>
          </cell>
          <cell r="AG602" t="str">
            <v>KVA</v>
          </cell>
          <cell r="AH602">
            <v>280</v>
          </cell>
          <cell r="AI602" t="str">
            <v>R</v>
          </cell>
          <cell r="AJ602">
            <v>1431069</v>
          </cell>
          <cell r="AK602" t="str">
            <v>30/09/2023</v>
          </cell>
          <cell r="AL602" t="str">
            <v>NSC94473</v>
          </cell>
          <cell r="AM602" t="str">
            <v>TRI-VECTOR METER FOR RAILWAY TRACTION</v>
          </cell>
          <cell r="AN602" t="str">
            <v>POST PAID</v>
          </cell>
          <cell r="AO602">
            <v>500</v>
          </cell>
          <cell r="AP602" t="str">
            <v>TOD</v>
          </cell>
          <cell r="AQ602">
            <v>-756294.64</v>
          </cell>
          <cell r="AR602">
            <v>0</v>
          </cell>
          <cell r="AS602">
            <v>0</v>
          </cell>
          <cell r="AT602">
            <v>0</v>
          </cell>
          <cell r="AU602">
            <v>0</v>
          </cell>
          <cell r="AV602">
            <v>0</v>
          </cell>
          <cell r="AW602">
            <v>70914</v>
          </cell>
          <cell r="AX602">
            <v>72832</v>
          </cell>
          <cell r="AY602">
            <v>72832</v>
          </cell>
          <cell r="AZ602">
            <v>1417.6</v>
          </cell>
          <cell r="BA602">
            <v>200.95999999999998</v>
          </cell>
        </row>
        <row r="603">
          <cell r="F603">
            <v>613000000031</v>
          </cell>
          <cell r="G603" t="str">
            <v>M/S SIDHESWAR STONE CRUSHER</v>
          </cell>
          <cell r="H603" t="str">
            <v>PROP- BIBEKANANDA DASH</v>
          </cell>
          <cell r="I603" t="str">
            <v>10/31/2020 00:00:00</v>
          </cell>
          <cell r="J603">
            <v>1</v>
          </cell>
          <cell r="K603" t="str">
            <v xml:space="preserve"> </v>
          </cell>
          <cell r="L603" t="str">
            <v xml:space="preserve"> </v>
          </cell>
          <cell r="M603" t="str">
            <v>623000010231493801</v>
          </cell>
          <cell r="N603" t="str">
            <v>6130000027</v>
          </cell>
          <cell r="O603" t="str">
            <v>L-29</v>
          </cell>
          <cell r="P603" t="str">
            <v>462333203</v>
          </cell>
          <cell r="Q603" t="str">
            <v>LARGE INDUSTRY</v>
          </cell>
          <cell r="R603" t="str">
            <v>HT</v>
          </cell>
          <cell r="S603" t="str">
            <v>01/10/2023</v>
          </cell>
          <cell r="T603" t="str">
            <v>01/10/2023</v>
          </cell>
          <cell r="U603" t="str">
            <v>06/10/2023</v>
          </cell>
          <cell r="V603" t="str">
            <v>09/10/2023</v>
          </cell>
          <cell r="W603" t="str">
            <v>2023/09</v>
          </cell>
          <cell r="X603" t="str">
            <v>11 KV</v>
          </cell>
          <cell r="Y603" t="str">
            <v>HT</v>
          </cell>
          <cell r="Z603">
            <v>187.44</v>
          </cell>
          <cell r="AA603">
            <v>0.63560000000000005</v>
          </cell>
          <cell r="AB603">
            <v>3.87</v>
          </cell>
          <cell r="AC603" t="str">
            <v xml:space="preserve">01/09/2023 -     </v>
          </cell>
          <cell r="AD603" t="str">
            <v>30.09.2023</v>
          </cell>
          <cell r="AE603" t="str">
            <v>30/1.0000</v>
          </cell>
          <cell r="AF603">
            <v>207</v>
          </cell>
          <cell r="AG603" t="str">
            <v>KVA</v>
          </cell>
          <cell r="AH603">
            <v>207</v>
          </cell>
          <cell r="AI603" t="str">
            <v>R</v>
          </cell>
          <cell r="AJ603">
            <v>1057969</v>
          </cell>
          <cell r="AK603" t="str">
            <v>30/09/2023</v>
          </cell>
          <cell r="AL603" t="str">
            <v>NSC94524</v>
          </cell>
          <cell r="AM603" t="str">
            <v>SINGLE PHASE ELECTRO-MAGNETIC KWH METER-TOD</v>
          </cell>
          <cell r="AN603" t="str">
            <v>POST PAID</v>
          </cell>
          <cell r="AO603">
            <v>315</v>
          </cell>
          <cell r="AP603" t="str">
            <v>TOD</v>
          </cell>
          <cell r="AQ603">
            <v>-652331.24</v>
          </cell>
          <cell r="AR603">
            <v>0</v>
          </cell>
          <cell r="AS603">
            <v>0</v>
          </cell>
          <cell r="AT603">
            <v>0</v>
          </cell>
          <cell r="AU603">
            <v>0</v>
          </cell>
          <cell r="AV603">
            <v>0</v>
          </cell>
          <cell r="AW603">
            <v>3317</v>
          </cell>
          <cell r="AX603">
            <v>5218</v>
          </cell>
          <cell r="AY603">
            <v>5218</v>
          </cell>
          <cell r="AZ603">
            <v>1403.6</v>
          </cell>
          <cell r="BA603">
            <v>187.44</v>
          </cell>
        </row>
        <row r="604">
          <cell r="F604">
            <v>613000000032</v>
          </cell>
          <cell r="G604" t="str">
            <v>M/S BIRABHADRA FOOD PRODUCTS</v>
          </cell>
          <cell r="H604" t="str">
            <v>SANGAM , BINAPATIA,BIDYADHARPURKEONJHAR</v>
          </cell>
          <cell r="I604" t="str">
            <v>01/07/2021 00:00:00</v>
          </cell>
          <cell r="J604">
            <v>1</v>
          </cell>
          <cell r="K604" t="str">
            <v xml:space="preserve"> </v>
          </cell>
          <cell r="L604" t="str">
            <v xml:space="preserve"> </v>
          </cell>
          <cell r="M604" t="str">
            <v>623000010231493743</v>
          </cell>
          <cell r="N604" t="str">
            <v>6130000028</v>
          </cell>
          <cell r="O604" t="str">
            <v>L-30</v>
          </cell>
          <cell r="P604" t="str">
            <v>462322103</v>
          </cell>
          <cell r="Q604" t="str">
            <v>LARGE INDUSTRY</v>
          </cell>
          <cell r="R604" t="str">
            <v>HT</v>
          </cell>
          <cell r="S604" t="str">
            <v>01/10/2023</v>
          </cell>
          <cell r="T604" t="str">
            <v>01/10/2023</v>
          </cell>
          <cell r="U604" t="str">
            <v>06/10/2023</v>
          </cell>
          <cell r="V604" t="str">
            <v>09/10/2023</v>
          </cell>
          <cell r="W604" t="str">
            <v>2023/09</v>
          </cell>
          <cell r="X604" t="str">
            <v>11 KV</v>
          </cell>
          <cell r="Y604" t="str">
            <v>HT</v>
          </cell>
          <cell r="Z604">
            <v>314.8</v>
          </cell>
          <cell r="AA604">
            <v>0.96479999999999999</v>
          </cell>
          <cell r="AB604">
            <v>30.21</v>
          </cell>
          <cell r="AC604" t="str">
            <v xml:space="preserve">27/08/2023 -     </v>
          </cell>
          <cell r="AD604" t="str">
            <v>25.09.2023</v>
          </cell>
          <cell r="AE604" t="str">
            <v>30/1.0000</v>
          </cell>
          <cell r="AF604">
            <v>333</v>
          </cell>
          <cell r="AG604" t="str">
            <v>KVA</v>
          </cell>
          <cell r="AH604">
            <v>333</v>
          </cell>
          <cell r="AI604" t="str">
            <v>R</v>
          </cell>
          <cell r="AJ604">
            <v>1762370</v>
          </cell>
          <cell r="AK604" t="str">
            <v>25/09/2023</v>
          </cell>
          <cell r="AL604" t="str">
            <v>NSC94592</v>
          </cell>
          <cell r="AM604" t="str">
            <v>LT SINGLE PHASE AMR/AMI COMPLIANT METER-TOD</v>
          </cell>
          <cell r="AN604" t="str">
            <v>POST PAID</v>
          </cell>
          <cell r="AO604">
            <v>500</v>
          </cell>
          <cell r="AP604" t="str">
            <v>TOD</v>
          </cell>
          <cell r="AQ604">
            <v>-1072201</v>
          </cell>
          <cell r="AR604">
            <v>0</v>
          </cell>
          <cell r="AS604">
            <v>0</v>
          </cell>
          <cell r="AT604">
            <v>0</v>
          </cell>
          <cell r="AU604">
            <v>0</v>
          </cell>
          <cell r="AV604">
            <v>0</v>
          </cell>
          <cell r="AW604">
            <v>66075</v>
          </cell>
          <cell r="AX604">
            <v>68480</v>
          </cell>
          <cell r="AY604">
            <v>68480</v>
          </cell>
          <cell r="AZ604">
            <v>2113.1999999999998</v>
          </cell>
          <cell r="BA604">
            <v>314.8</v>
          </cell>
        </row>
        <row r="605">
          <cell r="F605">
            <v>613000000033</v>
          </cell>
          <cell r="G605" t="str">
            <v>M/S MAA TARINI FOODS</v>
          </cell>
          <cell r="H605" t="str">
            <v>C/O- SRI SIDHANTA AGRAWALLA</v>
          </cell>
          <cell r="I605" t="str">
            <v>02/06/2021 00:00:00</v>
          </cell>
          <cell r="J605">
            <v>1</v>
          </cell>
          <cell r="K605" t="str">
            <v xml:space="preserve"> </v>
          </cell>
          <cell r="L605" t="str">
            <v xml:space="preserve"> </v>
          </cell>
          <cell r="M605" t="str">
            <v>623000010231493592</v>
          </cell>
          <cell r="N605" t="str">
            <v>6130000029</v>
          </cell>
          <cell r="O605" t="str">
            <v>L-31</v>
          </cell>
          <cell r="P605" t="str">
            <v>462332702</v>
          </cell>
          <cell r="Q605" t="str">
            <v>LARGE INDUSTRY</v>
          </cell>
          <cell r="R605" t="str">
            <v>HT</v>
          </cell>
          <cell r="S605" t="str">
            <v>01/10/2023</v>
          </cell>
          <cell r="T605" t="str">
            <v>01/10/2023</v>
          </cell>
          <cell r="U605" t="str">
            <v>06/10/2023</v>
          </cell>
          <cell r="V605" t="str">
            <v>09/10/2023</v>
          </cell>
          <cell r="W605" t="str">
            <v>2023/09</v>
          </cell>
          <cell r="X605" t="str">
            <v>11 KV</v>
          </cell>
          <cell r="Y605" t="str">
            <v>HT</v>
          </cell>
          <cell r="Z605">
            <v>229.76</v>
          </cell>
          <cell r="AA605">
            <v>0.74890000000000001</v>
          </cell>
          <cell r="AB605">
            <v>12.98</v>
          </cell>
          <cell r="AC605" t="str">
            <v xml:space="preserve">01/09/2023 -     </v>
          </cell>
          <cell r="AD605" t="str">
            <v>30.09.2023</v>
          </cell>
          <cell r="AE605" t="str">
            <v>30/1.0000</v>
          </cell>
          <cell r="AF605">
            <v>225</v>
          </cell>
          <cell r="AG605" t="str">
            <v>KVA</v>
          </cell>
          <cell r="AH605">
            <v>225</v>
          </cell>
          <cell r="AI605" t="str">
            <v>R</v>
          </cell>
          <cell r="AJ605">
            <v>1190790</v>
          </cell>
          <cell r="AK605" t="str">
            <v>30/09/2023</v>
          </cell>
          <cell r="AL605" t="str">
            <v>NSC94995</v>
          </cell>
          <cell r="AM605" t="str">
            <v>HT THREE PHASE 3 WIRE AMR/AMI COMPLIANT METER</v>
          </cell>
          <cell r="AN605" t="str">
            <v>POST PAID</v>
          </cell>
          <cell r="AO605">
            <v>500</v>
          </cell>
          <cell r="AP605" t="str">
            <v>TOD</v>
          </cell>
          <cell r="AQ605">
            <v>-567176.74</v>
          </cell>
          <cell r="AR605">
            <v>0</v>
          </cell>
          <cell r="AS605">
            <v>0</v>
          </cell>
          <cell r="AT605">
            <v>0</v>
          </cell>
          <cell r="AU605">
            <v>0</v>
          </cell>
          <cell r="AV605">
            <v>0</v>
          </cell>
          <cell r="AW605">
            <v>16080</v>
          </cell>
          <cell r="AX605">
            <v>21470</v>
          </cell>
          <cell r="AY605">
            <v>21470</v>
          </cell>
          <cell r="AZ605">
            <v>1971.84</v>
          </cell>
          <cell r="BA605">
            <v>229.76000000000002</v>
          </cell>
        </row>
        <row r="606">
          <cell r="F606">
            <v>613000000034</v>
          </cell>
          <cell r="G606" t="str">
            <v>M/S MAA STONE CRUSHING UNIT.</v>
          </cell>
          <cell r="H606" t="str">
            <v>PROP- BINAY KUMAR CHOUDHARY</v>
          </cell>
          <cell r="I606" t="str">
            <v>04/08/2021 00:00:00</v>
          </cell>
          <cell r="J606">
            <v>1</v>
          </cell>
          <cell r="K606" t="str">
            <v>AT-SANAJAMUPOSI</v>
          </cell>
          <cell r="L606" t="str">
            <v>GHATAGAON</v>
          </cell>
          <cell r="M606" t="str">
            <v>623000010231493217</v>
          </cell>
          <cell r="N606" t="str">
            <v>132100000005</v>
          </cell>
          <cell r="O606" t="str">
            <v xml:space="preserve"> </v>
          </cell>
          <cell r="P606" t="str">
            <v>462333303</v>
          </cell>
          <cell r="Q606" t="str">
            <v>LARGE INDUSTRY</v>
          </cell>
          <cell r="R606" t="str">
            <v>HT</v>
          </cell>
          <cell r="S606" t="str">
            <v>01/10/2023</v>
          </cell>
          <cell r="T606" t="str">
            <v>01/10/2023</v>
          </cell>
          <cell r="U606" t="str">
            <v>06/10/2023</v>
          </cell>
          <cell r="V606" t="str">
            <v>09/10/2023</v>
          </cell>
          <cell r="W606" t="str">
            <v>2023/09</v>
          </cell>
          <cell r="X606" t="str">
            <v>11 KV</v>
          </cell>
          <cell r="Y606" t="str">
            <v>HT</v>
          </cell>
          <cell r="Z606">
            <v>180</v>
          </cell>
          <cell r="AA606">
            <v>0.47349999999999998</v>
          </cell>
          <cell r="AB606">
            <v>55.56</v>
          </cell>
          <cell r="AC606" t="str">
            <v xml:space="preserve">01/09/2023 -     </v>
          </cell>
          <cell r="AD606" t="str">
            <v>30.09.2023</v>
          </cell>
          <cell r="AE606" t="str">
            <v>30/1.0000</v>
          </cell>
          <cell r="AF606">
            <v>225</v>
          </cell>
          <cell r="AG606" t="str">
            <v>KVA</v>
          </cell>
          <cell r="AH606">
            <v>225</v>
          </cell>
          <cell r="AI606" t="str">
            <v>R</v>
          </cell>
          <cell r="AJ606">
            <v>1147849</v>
          </cell>
          <cell r="AK606" t="str">
            <v>30/09/2023</v>
          </cell>
          <cell r="AL606" t="str">
            <v>NSC94475</v>
          </cell>
          <cell r="AM606" t="str">
            <v>HT THREE PHASE 3 WIRE AMR/AMI COMPLIANT METER</v>
          </cell>
          <cell r="AN606" t="str">
            <v>POST PAID</v>
          </cell>
          <cell r="AO606">
            <v>250</v>
          </cell>
          <cell r="AP606" t="str">
            <v>TOD</v>
          </cell>
          <cell r="AQ606">
            <v>-1042369.9</v>
          </cell>
          <cell r="AR606">
            <v>0</v>
          </cell>
          <cell r="AS606">
            <v>0</v>
          </cell>
          <cell r="AT606">
            <v>0</v>
          </cell>
          <cell r="AU606">
            <v>0</v>
          </cell>
          <cell r="AV606">
            <v>0</v>
          </cell>
          <cell r="AW606">
            <v>591</v>
          </cell>
          <cell r="AX606">
            <v>1248</v>
          </cell>
          <cell r="AY606">
            <v>1248</v>
          </cell>
          <cell r="AZ606">
            <v>25.2</v>
          </cell>
          <cell r="BA606">
            <v>3.1199999999999997</v>
          </cell>
        </row>
        <row r="607">
          <cell r="F607">
            <v>613000000035</v>
          </cell>
          <cell r="G607" t="str">
            <v>THE EXECUTIVE ENGINEER RWS&amp;S DIVISION</v>
          </cell>
          <cell r="H607" t="str">
            <v xml:space="preserve"> </v>
          </cell>
          <cell r="I607" t="str">
            <v>06/03/2021 00:00:00</v>
          </cell>
          <cell r="J607">
            <v>1</v>
          </cell>
          <cell r="K607" t="str">
            <v>ANANDAPUR</v>
          </cell>
          <cell r="L607" t="str">
            <v xml:space="preserve"> </v>
          </cell>
          <cell r="M607" t="str">
            <v>623000010231493677</v>
          </cell>
          <cell r="N607" t="str">
            <v>132100000404</v>
          </cell>
          <cell r="O607" t="str">
            <v xml:space="preserve"> </v>
          </cell>
          <cell r="P607" t="str">
            <v>462322104</v>
          </cell>
          <cell r="Q607" t="str">
            <v>PUBLIC WATER WORKS &amp; SEWERAGE PUMPING</v>
          </cell>
          <cell r="R607" t="str">
            <v>HT</v>
          </cell>
          <cell r="S607" t="str">
            <v>01/10/2023</v>
          </cell>
          <cell r="T607" t="str">
            <v>01/10/2023</v>
          </cell>
          <cell r="U607" t="str">
            <v>09/10/2023</v>
          </cell>
          <cell r="V607" t="str">
            <v>09/10/2023</v>
          </cell>
          <cell r="W607" t="str">
            <v>2023/09</v>
          </cell>
          <cell r="X607" t="str">
            <v>11 KV</v>
          </cell>
          <cell r="Y607" t="str">
            <v>HT</v>
          </cell>
          <cell r="Z607">
            <v>196.64</v>
          </cell>
          <cell r="AA607">
            <v>0.88190000000000002</v>
          </cell>
          <cell r="AB607">
            <v>39.15</v>
          </cell>
          <cell r="AC607" t="str">
            <v xml:space="preserve">01/09/2023 -     </v>
          </cell>
          <cell r="AD607" t="str">
            <v>30.09.2023</v>
          </cell>
          <cell r="AE607" t="str">
            <v>30/1.0000</v>
          </cell>
          <cell r="AF607">
            <v>207</v>
          </cell>
          <cell r="AG607" t="str">
            <v>KVA</v>
          </cell>
          <cell r="AH607">
            <v>207</v>
          </cell>
          <cell r="AI607" t="str">
            <v>R</v>
          </cell>
          <cell r="AJ607">
            <v>846590</v>
          </cell>
          <cell r="AK607" t="str">
            <v>30/09/2023</v>
          </cell>
          <cell r="AL607" t="str">
            <v>NSC94761</v>
          </cell>
          <cell r="AM607" t="str">
            <v>HT THREE PHASE 3 WIRE AMR/AMI COMPLIANT METER</v>
          </cell>
          <cell r="AN607" t="str">
            <v>POST PAID</v>
          </cell>
          <cell r="AO607">
            <v>315</v>
          </cell>
          <cell r="AP607" t="str">
            <v>TOD</v>
          </cell>
          <cell r="AQ607">
            <v>-426631.1</v>
          </cell>
          <cell r="AR607">
            <v>0</v>
          </cell>
          <cell r="AS607">
            <v>0</v>
          </cell>
          <cell r="AT607">
            <v>0</v>
          </cell>
          <cell r="AU607">
            <v>0</v>
          </cell>
          <cell r="AV607">
            <v>0</v>
          </cell>
          <cell r="AW607">
            <v>48878</v>
          </cell>
          <cell r="AX607">
            <v>55422</v>
          </cell>
          <cell r="AY607">
            <v>55422</v>
          </cell>
          <cell r="AZ607">
            <v>1283.52</v>
          </cell>
          <cell r="BA607">
            <v>196.64</v>
          </cell>
        </row>
        <row r="608">
          <cell r="F608">
            <v>613000000036</v>
          </cell>
          <cell r="G608" t="str">
            <v>M/S.   KRUPASINDHU FOOD PRODUCTS &amp; PROCESSING CENTER</v>
          </cell>
          <cell r="H608" t="str">
            <v>1358</v>
          </cell>
          <cell r="I608" t="str">
            <v>12/04/2021 00:00:00</v>
          </cell>
          <cell r="J608">
            <v>1</v>
          </cell>
          <cell r="K608" t="str">
            <v>JHARKUNDI</v>
          </cell>
          <cell r="L608" t="str">
            <v>GHASIPURA</v>
          </cell>
          <cell r="M608" t="str">
            <v>623000010231494351</v>
          </cell>
          <cell r="N608" t="str">
            <v>132100017842</v>
          </cell>
          <cell r="O608" t="str">
            <v xml:space="preserve"> </v>
          </cell>
          <cell r="P608" t="str">
            <v>462312202</v>
          </cell>
          <cell r="Q608" t="str">
            <v>LARGE INDUSTRY</v>
          </cell>
          <cell r="R608" t="str">
            <v>HT</v>
          </cell>
          <cell r="S608" t="str">
            <v>01/10/2023</v>
          </cell>
          <cell r="T608" t="str">
            <v>01/10/2023</v>
          </cell>
          <cell r="U608" t="str">
            <v>06/10/2023</v>
          </cell>
          <cell r="V608" t="str">
            <v>09/10/2023</v>
          </cell>
          <cell r="W608" t="str">
            <v>2023/09</v>
          </cell>
          <cell r="X608" t="str">
            <v>11 KV</v>
          </cell>
          <cell r="Y608" t="str">
            <v>HT</v>
          </cell>
          <cell r="Z608">
            <v>297.60000000000002</v>
          </cell>
          <cell r="AA608">
            <v>0.98960000000000004</v>
          </cell>
          <cell r="AB608">
            <v>42.98</v>
          </cell>
          <cell r="AC608" t="str">
            <v xml:space="preserve">01/09/2023 -     </v>
          </cell>
          <cell r="AD608" t="str">
            <v>30.09.2023</v>
          </cell>
          <cell r="AE608" t="str">
            <v>30/1.0000</v>
          </cell>
          <cell r="AF608">
            <v>333</v>
          </cell>
          <cell r="AG608" t="str">
            <v>KVA</v>
          </cell>
          <cell r="AH608">
            <v>333</v>
          </cell>
          <cell r="AI608" t="str">
            <v>R</v>
          </cell>
          <cell r="AJ608">
            <v>2044087.2</v>
          </cell>
          <cell r="AK608" t="str">
            <v>30/09/2023</v>
          </cell>
          <cell r="AL608" t="str">
            <v>NSC94629</v>
          </cell>
          <cell r="AM608" t="str">
            <v>HT THREE PHASE 4 WIRE AMR/AMI COMPLAINT METER</v>
          </cell>
          <cell r="AN608" t="str">
            <v>POST PAID</v>
          </cell>
          <cell r="AO608">
            <v>500</v>
          </cell>
          <cell r="AP608" t="str">
            <v>TOD</v>
          </cell>
          <cell r="AQ608">
            <v>-1123307.7</v>
          </cell>
          <cell r="AR608">
            <v>0</v>
          </cell>
          <cell r="AS608">
            <v>0</v>
          </cell>
          <cell r="AT608">
            <v>0</v>
          </cell>
          <cell r="AU608">
            <v>0</v>
          </cell>
          <cell r="AV608">
            <v>0</v>
          </cell>
          <cell r="AW608">
            <v>91146</v>
          </cell>
          <cell r="AX608">
            <v>92103</v>
          </cell>
          <cell r="AY608">
            <v>92103</v>
          </cell>
          <cell r="AZ608">
            <v>2004</v>
          </cell>
          <cell r="BA608">
            <v>297.60000000000002</v>
          </cell>
        </row>
        <row r="609">
          <cell r="F609">
            <v>613000000037</v>
          </cell>
          <cell r="G609" t="str">
            <v>M/S ST MINERALS PVT.LTD.</v>
          </cell>
          <cell r="H609" t="str">
            <v xml:space="preserve"> </v>
          </cell>
          <cell r="I609" t="str">
            <v>01/27/2022 00:00:00</v>
          </cell>
          <cell r="J609">
            <v>1</v>
          </cell>
          <cell r="K609" t="str">
            <v>OSTAPURA</v>
          </cell>
          <cell r="L609" t="str">
            <v>GHASIPURA</v>
          </cell>
          <cell r="M609" t="str">
            <v>623000010231493707</v>
          </cell>
          <cell r="N609" t="str">
            <v>132200015483</v>
          </cell>
          <cell r="O609" t="str">
            <v>L-37</v>
          </cell>
          <cell r="P609" t="str">
            <v>46207420003</v>
          </cell>
          <cell r="Q609" t="str">
            <v>LARGE INDUSTRY</v>
          </cell>
          <cell r="R609" t="str">
            <v>HT</v>
          </cell>
          <cell r="S609" t="str">
            <v>01/10/2023</v>
          </cell>
          <cell r="T609" t="str">
            <v>01/10/2023</v>
          </cell>
          <cell r="U609" t="str">
            <v>06/10/2023</v>
          </cell>
          <cell r="V609" t="str">
            <v>09/10/2023</v>
          </cell>
          <cell r="W609" t="str">
            <v>2023/09</v>
          </cell>
          <cell r="X609" t="str">
            <v>33 KV</v>
          </cell>
          <cell r="Y609" t="str">
            <v>HT</v>
          </cell>
          <cell r="Z609">
            <v>444</v>
          </cell>
          <cell r="AA609">
            <v>0.98880000000000001</v>
          </cell>
          <cell r="AB609">
            <v>2.35</v>
          </cell>
          <cell r="AC609" t="str">
            <v xml:space="preserve">01/09/2023 -     </v>
          </cell>
          <cell r="AD609" t="str">
            <v>25.09.2023</v>
          </cell>
          <cell r="AE609" t="str">
            <v>25/1.0000</v>
          </cell>
          <cell r="AF609">
            <v>555</v>
          </cell>
          <cell r="AG609" t="str">
            <v>KVA</v>
          </cell>
          <cell r="AH609">
            <v>555</v>
          </cell>
          <cell r="AI609" t="str">
            <v>R</v>
          </cell>
          <cell r="AJ609">
            <v>3406812</v>
          </cell>
          <cell r="AK609" t="str">
            <v>25/09/2023</v>
          </cell>
          <cell r="AL609" t="str">
            <v>NSC95090</v>
          </cell>
          <cell r="AM609" t="str">
            <v>THREE PHASE HT CT METER-33KV</v>
          </cell>
          <cell r="AN609" t="str">
            <v>POST PAID</v>
          </cell>
          <cell r="AO609">
            <v>750</v>
          </cell>
          <cell r="AP609" t="str">
            <v>TOD</v>
          </cell>
          <cell r="AQ609">
            <v>-2364197.4</v>
          </cell>
          <cell r="AR609">
            <v>0</v>
          </cell>
          <cell r="AS609">
            <v>0</v>
          </cell>
          <cell r="AT609">
            <v>0</v>
          </cell>
          <cell r="AU609">
            <v>0</v>
          </cell>
          <cell r="AV609">
            <v>0</v>
          </cell>
          <cell r="AW609">
            <v>2664</v>
          </cell>
          <cell r="AX609">
            <v>2694</v>
          </cell>
          <cell r="AY609">
            <v>2694</v>
          </cell>
          <cell r="AZ609">
            <v>1050.72</v>
          </cell>
          <cell r="BA609">
            <v>191.04000000000002</v>
          </cell>
        </row>
        <row r="610">
          <cell r="F610">
            <v>613000000038</v>
          </cell>
          <cell r="G610" t="str">
            <v xml:space="preserve">M/S SANKAR MINERALS </v>
          </cell>
          <cell r="H610" t="str">
            <v xml:space="preserve">PROP- SRI SOUMYA SANKAR CHAKRA     </v>
          </cell>
          <cell r="I610" t="str">
            <v>01/25/2021 00:00:00</v>
          </cell>
          <cell r="J610">
            <v>1</v>
          </cell>
          <cell r="K610" t="str">
            <v xml:space="preserve">DHANABENI                          </v>
          </cell>
          <cell r="L610" t="str">
            <v xml:space="preserve">KEONJHAR                           </v>
          </cell>
          <cell r="M610" t="str">
            <v>623000010231493463</v>
          </cell>
          <cell r="N610" t="str">
            <v>36233009913</v>
          </cell>
          <cell r="O610" t="str">
            <v>MED32IND</v>
          </cell>
          <cell r="P610" t="str">
            <v>462333504</v>
          </cell>
          <cell r="Q610" t="str">
            <v>LARGE INDUSTRY</v>
          </cell>
          <cell r="R610" t="str">
            <v>HT</v>
          </cell>
          <cell r="S610" t="str">
            <v>01/10/2023</v>
          </cell>
          <cell r="T610" t="str">
            <v>01/10/2023</v>
          </cell>
          <cell r="U610" t="str">
            <v>06/10/2023</v>
          </cell>
          <cell r="V610" t="str">
            <v>09/10/2023</v>
          </cell>
          <cell r="W610" t="str">
            <v>2023/09</v>
          </cell>
          <cell r="X610" t="str">
            <v>11 KV</v>
          </cell>
          <cell r="Y610" t="str">
            <v>HT</v>
          </cell>
          <cell r="Z610">
            <v>128</v>
          </cell>
          <cell r="AA610">
            <v>0.1716</v>
          </cell>
          <cell r="AB610">
            <v>55.05</v>
          </cell>
          <cell r="AC610" t="str">
            <v xml:space="preserve">01/09/2023 -     </v>
          </cell>
          <cell r="AD610" t="str">
            <v>30.09.2023</v>
          </cell>
          <cell r="AE610" t="str">
            <v>30/1.0000</v>
          </cell>
          <cell r="AF610">
            <v>160</v>
          </cell>
          <cell r="AG610" t="str">
            <v>KVA</v>
          </cell>
          <cell r="AH610">
            <v>160</v>
          </cell>
          <cell r="AI610" t="str">
            <v>R</v>
          </cell>
          <cell r="AJ610">
            <v>239052</v>
          </cell>
          <cell r="AK610" t="str">
            <v>30/09/2023</v>
          </cell>
          <cell r="AL610" t="str">
            <v>TPN64237</v>
          </cell>
          <cell r="AM610" t="str">
            <v>HT THREE PHASE 4 WIRE AMR/AMI COMPLAINT METER</v>
          </cell>
          <cell r="AN610" t="str">
            <v>POST PAID</v>
          </cell>
          <cell r="AO610">
            <v>150</v>
          </cell>
          <cell r="AP610" t="str">
            <v>TOD</v>
          </cell>
          <cell r="AQ610">
            <v>-134518.20000000001</v>
          </cell>
          <cell r="AR610">
            <v>0</v>
          </cell>
          <cell r="AS610">
            <v>0</v>
          </cell>
          <cell r="AT610">
            <v>0</v>
          </cell>
          <cell r="AU610">
            <v>0</v>
          </cell>
          <cell r="AV610">
            <v>0</v>
          </cell>
          <cell r="AW610">
            <v>800</v>
          </cell>
          <cell r="AX610">
            <v>4661</v>
          </cell>
          <cell r="AY610">
            <v>4661</v>
          </cell>
          <cell r="AZ610">
            <v>971.88</v>
          </cell>
          <cell r="BA610">
            <v>11.76</v>
          </cell>
        </row>
        <row r="611">
          <cell r="F611">
            <v>613000000039</v>
          </cell>
          <cell r="G611" t="str">
            <v>The Superintendent, SDH, Ghasipura</v>
          </cell>
          <cell r="H611" t="str">
            <v>01</v>
          </cell>
          <cell r="I611" t="str">
            <v>12/31/2022 00:00:00</v>
          </cell>
          <cell r="J611">
            <v>1</v>
          </cell>
          <cell r="K611" t="str">
            <v>MEDICAL ROAD</v>
          </cell>
          <cell r="L611" t="str">
            <v>GHASIPURA</v>
          </cell>
          <cell r="M611" t="str">
            <v>623000010231493826</v>
          </cell>
          <cell r="N611" t="str">
            <v>132299959865</v>
          </cell>
          <cell r="O611" t="str">
            <v xml:space="preserve"> </v>
          </cell>
          <cell r="P611" t="str">
            <v>462312201</v>
          </cell>
          <cell r="Q611" t="str">
            <v>SPECIFIED PUBLIC PURPOSE</v>
          </cell>
          <cell r="R611" t="str">
            <v>HT</v>
          </cell>
          <cell r="S611" t="str">
            <v>01/10/2023</v>
          </cell>
          <cell r="T611" t="str">
            <v>01/10/2023</v>
          </cell>
          <cell r="U611" t="str">
            <v>06/10/2023</v>
          </cell>
          <cell r="V611" t="str">
            <v>09/10/2023</v>
          </cell>
          <cell r="W611" t="str">
            <v>2023/09</v>
          </cell>
          <cell r="X611" t="str">
            <v>11 KV</v>
          </cell>
          <cell r="Y611" t="str">
            <v>HT</v>
          </cell>
          <cell r="Z611">
            <v>136.80000000000001</v>
          </cell>
          <cell r="AA611">
            <v>0.84</v>
          </cell>
          <cell r="AB611">
            <v>49.49</v>
          </cell>
          <cell r="AC611" t="str">
            <v xml:space="preserve">01/09/2023 -     </v>
          </cell>
          <cell r="AD611" t="str">
            <v>30.09.2023</v>
          </cell>
          <cell r="AE611" t="str">
            <v>30/1.0000</v>
          </cell>
          <cell r="AF611">
            <v>171</v>
          </cell>
          <cell r="AG611" t="str">
            <v>KVA</v>
          </cell>
          <cell r="AH611">
            <v>171</v>
          </cell>
          <cell r="AI611" t="str">
            <v>R</v>
          </cell>
          <cell r="AJ611">
            <v>500876.44</v>
          </cell>
          <cell r="AK611" t="str">
            <v>30/09/2023</v>
          </cell>
          <cell r="AL611" t="str">
            <v>TPN64280</v>
          </cell>
          <cell r="AM611" t="str">
            <v>HT THREE PHASE 4 WIRE AMR/AMI COMPLAINT METER</v>
          </cell>
          <cell r="AN611" t="str">
            <v>POST PAID</v>
          </cell>
          <cell r="AO611">
            <v>250</v>
          </cell>
          <cell r="AP611" t="str">
            <v>TOD</v>
          </cell>
          <cell r="AQ611">
            <v>0</v>
          </cell>
          <cell r="AR611">
            <v>0</v>
          </cell>
          <cell r="AS611">
            <v>0</v>
          </cell>
          <cell r="AT611">
            <v>0</v>
          </cell>
          <cell r="AU611">
            <v>0</v>
          </cell>
          <cell r="AV611">
            <v>0</v>
          </cell>
          <cell r="AW611">
            <v>3843</v>
          </cell>
          <cell r="AX611">
            <v>4575</v>
          </cell>
          <cell r="AY611">
            <v>4575</v>
          </cell>
          <cell r="AZ611">
            <v>57.36</v>
          </cell>
          <cell r="BA611">
            <v>12.84</v>
          </cell>
        </row>
        <row r="612">
          <cell r="F612">
            <v>613000000040</v>
          </cell>
          <cell r="G612" t="str">
            <v>M/S.   GAYADHARA RICE MILL</v>
          </cell>
          <cell r="H612" t="str">
            <v>1123</v>
          </cell>
          <cell r="I612" t="str">
            <v>08/22/2022 00:00:00</v>
          </cell>
          <cell r="J612">
            <v>1</v>
          </cell>
          <cell r="K612" t="str">
            <v>KHATA-214</v>
          </cell>
          <cell r="L612" t="str">
            <v>MITHIGAON</v>
          </cell>
          <cell r="M612" t="str">
            <v>623000010231493867</v>
          </cell>
          <cell r="N612" t="str">
            <v>132200090058</v>
          </cell>
          <cell r="O612" t="str">
            <v xml:space="preserve"> </v>
          </cell>
          <cell r="P612" t="str">
            <v>462322303</v>
          </cell>
          <cell r="Q612" t="str">
            <v>LARGE INDUSTRY</v>
          </cell>
          <cell r="R612" t="str">
            <v>HT</v>
          </cell>
          <cell r="S612" t="str">
            <v>01/10/2023</v>
          </cell>
          <cell r="T612" t="str">
            <v>01/10/2023</v>
          </cell>
          <cell r="U612" t="str">
            <v>06/10/2023</v>
          </cell>
          <cell r="V612" t="str">
            <v>09/10/2023</v>
          </cell>
          <cell r="W612" t="str">
            <v>2023/09</v>
          </cell>
          <cell r="X612" t="str">
            <v>11 KV</v>
          </cell>
          <cell r="Y612" t="str">
            <v>HT</v>
          </cell>
          <cell r="Z612">
            <v>265.60000000000002</v>
          </cell>
          <cell r="AA612">
            <v>0.63380000000000003</v>
          </cell>
          <cell r="AB612">
            <v>15.01</v>
          </cell>
          <cell r="AC612" t="str">
            <v xml:space="preserve">01/09/2023 -     </v>
          </cell>
          <cell r="AD612" t="str">
            <v>30.09.2023</v>
          </cell>
          <cell r="AE612" t="str">
            <v>30/1.0000</v>
          </cell>
          <cell r="AF612">
            <v>332</v>
          </cell>
          <cell r="AG612" t="str">
            <v>KVA</v>
          </cell>
          <cell r="AH612">
            <v>332</v>
          </cell>
          <cell r="AI612" t="str">
            <v>R</v>
          </cell>
          <cell r="AJ612">
            <v>2039312.6768</v>
          </cell>
          <cell r="AK612" t="str">
            <v>30/09/2023</v>
          </cell>
          <cell r="AL612" t="str">
            <v>TPN64094</v>
          </cell>
          <cell r="AM612" t="str">
            <v>HT THREE PHASE 4 WIRE AMR/AMI COMPLAINT METER</v>
          </cell>
          <cell r="AN612" t="str">
            <v>POST PAID</v>
          </cell>
          <cell r="AO612">
            <v>500</v>
          </cell>
          <cell r="AP612" t="str">
            <v>TOD</v>
          </cell>
          <cell r="AQ612">
            <v>0</v>
          </cell>
          <cell r="AR612">
            <v>0</v>
          </cell>
          <cell r="AS612">
            <v>0</v>
          </cell>
          <cell r="AT612">
            <v>0</v>
          </cell>
          <cell r="AU612">
            <v>0</v>
          </cell>
          <cell r="AV612">
            <v>0</v>
          </cell>
          <cell r="AW612">
            <v>592</v>
          </cell>
          <cell r="AX612">
            <v>934</v>
          </cell>
          <cell r="AY612">
            <v>934</v>
          </cell>
          <cell r="AZ612">
            <v>548.96</v>
          </cell>
          <cell r="BA612">
            <v>8.64</v>
          </cell>
        </row>
        <row r="613">
          <cell r="F613">
            <v>613000000041</v>
          </cell>
          <cell r="G613" t="str">
            <v>M/S.   MAA TARINI CRUSHING UNIT</v>
          </cell>
          <cell r="H613" t="str">
            <v>4162</v>
          </cell>
          <cell r="I613" t="str">
            <v>06/17/2022 00:00:00</v>
          </cell>
          <cell r="J613">
            <v>1</v>
          </cell>
          <cell r="K613" t="str">
            <v>AT-NARANGAPUR</v>
          </cell>
          <cell r="L613" t="str">
            <v>AT-NARANGAPUR, PO-KESHADURAPAL</v>
          </cell>
          <cell r="M613" t="str">
            <v>623000010231493493</v>
          </cell>
          <cell r="N613" t="str">
            <v>132200074483</v>
          </cell>
          <cell r="O613" t="str">
            <v xml:space="preserve"> </v>
          </cell>
          <cell r="P613" t="str">
            <v>NULL</v>
          </cell>
          <cell r="Q613" t="str">
            <v>LARGE INDUSTRY</v>
          </cell>
          <cell r="R613" t="str">
            <v>HT</v>
          </cell>
          <cell r="S613" t="str">
            <v>01/10/2023</v>
          </cell>
          <cell r="T613" t="str">
            <v>01/10/2023</v>
          </cell>
          <cell r="U613" t="str">
            <v>06/10/2023</v>
          </cell>
          <cell r="V613" t="str">
            <v>09/10/2023</v>
          </cell>
          <cell r="W613" t="str">
            <v>2023/09</v>
          </cell>
          <cell r="X613" t="str">
            <v>11 KV</v>
          </cell>
          <cell r="Y613" t="str">
            <v>LT</v>
          </cell>
          <cell r="Z613">
            <v>104</v>
          </cell>
          <cell r="AA613">
            <v>0.60219999999999996</v>
          </cell>
          <cell r="AB613">
            <v>3.36</v>
          </cell>
          <cell r="AC613" t="str">
            <v xml:space="preserve">01/09/2023 -     </v>
          </cell>
          <cell r="AD613" t="str">
            <v>30.09.2023</v>
          </cell>
          <cell r="AE613" t="str">
            <v>30/1.0000</v>
          </cell>
          <cell r="AF613">
            <v>130</v>
          </cell>
          <cell r="AG613" t="str">
            <v>KVA</v>
          </cell>
          <cell r="AH613">
            <v>130</v>
          </cell>
          <cell r="AI613" t="str">
            <v>R</v>
          </cell>
          <cell r="AJ613">
            <v>304392</v>
          </cell>
          <cell r="AK613" t="str">
            <v>30/09/2023</v>
          </cell>
          <cell r="AL613" t="str">
            <v>TPNODL38111081</v>
          </cell>
          <cell r="AM613" t="str">
            <v>THREE PHASE SMART HT CT METER (AMR/AMI)-11KV</v>
          </cell>
          <cell r="AN613" t="str">
            <v>SMART METER</v>
          </cell>
          <cell r="AO613">
            <v>200</v>
          </cell>
          <cell r="AP613" t="str">
            <v>TOD</v>
          </cell>
          <cell r="AQ613">
            <v>0</v>
          </cell>
          <cell r="AR613">
            <v>0</v>
          </cell>
          <cell r="AS613">
            <v>0</v>
          </cell>
          <cell r="AT613">
            <v>0</v>
          </cell>
          <cell r="AU613">
            <v>0</v>
          </cell>
          <cell r="AV613">
            <v>0</v>
          </cell>
          <cell r="AW613">
            <v>1299</v>
          </cell>
          <cell r="AX613">
            <v>2157</v>
          </cell>
          <cell r="AY613">
            <v>2157</v>
          </cell>
          <cell r="AZ613">
            <v>523.19780000000003</v>
          </cell>
          <cell r="BA613">
            <v>89.215999999999994</v>
          </cell>
        </row>
        <row r="614">
          <cell r="F614">
            <v>613000000042</v>
          </cell>
          <cell r="G614" t="str">
            <v>Executive Engineer, RWSS Division</v>
          </cell>
          <cell r="H614" t="str">
            <v xml:space="preserve"> </v>
          </cell>
          <cell r="I614" t="str">
            <v>04/17/2023 00:00:00</v>
          </cell>
          <cell r="J614">
            <v>1</v>
          </cell>
          <cell r="K614" t="str">
            <v>Padampur</v>
          </cell>
          <cell r="L614" t="str">
            <v>Keonjhar</v>
          </cell>
          <cell r="M614" t="str">
            <v>623000010231493240</v>
          </cell>
          <cell r="N614" t="str">
            <v>132327945585</v>
          </cell>
          <cell r="O614" t="str">
            <v xml:space="preserve"> </v>
          </cell>
          <cell r="P614" t="str">
            <v>NULL</v>
          </cell>
          <cell r="Q614" t="str">
            <v>PUBLIC WATER WORKS &amp; SEWERAGE PUMPING</v>
          </cell>
          <cell r="R614" t="str">
            <v>HT</v>
          </cell>
          <cell r="S614" t="str">
            <v>01/10/2023</v>
          </cell>
          <cell r="T614" t="str">
            <v>01/10/2023</v>
          </cell>
          <cell r="U614" t="str">
            <v>09/10/2023</v>
          </cell>
          <cell r="V614" t="str">
            <v>09/10/2023</v>
          </cell>
          <cell r="W614" t="str">
            <v>2023/09</v>
          </cell>
          <cell r="X614" t="str">
            <v>33 KV</v>
          </cell>
          <cell r="Y614" t="str">
            <v>HT</v>
          </cell>
          <cell r="Z614">
            <v>518.4</v>
          </cell>
          <cell r="AA614">
            <v>0.71540000000000004</v>
          </cell>
          <cell r="AB614">
            <v>6.98</v>
          </cell>
          <cell r="AC614" t="str">
            <v xml:space="preserve">01/09/2023 -     </v>
          </cell>
          <cell r="AD614" t="str">
            <v>30.09.2023</v>
          </cell>
          <cell r="AE614" t="str">
            <v>30/1.0000</v>
          </cell>
          <cell r="AF614">
            <v>648</v>
          </cell>
          <cell r="AG614" t="str">
            <v>KVA</v>
          </cell>
          <cell r="AH614">
            <v>648</v>
          </cell>
          <cell r="AI614" t="str">
            <v>R</v>
          </cell>
          <cell r="AJ614">
            <v>2988576</v>
          </cell>
          <cell r="AK614" t="str">
            <v>30/09/2023</v>
          </cell>
          <cell r="AL614" t="str">
            <v>TPN64734</v>
          </cell>
          <cell r="AM614" t="str">
            <v>THREE PHASE HT CT METER-33KV</v>
          </cell>
          <cell r="AN614" t="str">
            <v>POST PAID</v>
          </cell>
          <cell r="AO614">
            <v>1000</v>
          </cell>
          <cell r="AP614" t="str">
            <v>TOD</v>
          </cell>
          <cell r="AQ614">
            <v>0</v>
          </cell>
          <cell r="AR614">
            <v>0</v>
          </cell>
          <cell r="AS614">
            <v>0</v>
          </cell>
          <cell r="AT614">
            <v>0</v>
          </cell>
          <cell r="AU614">
            <v>0</v>
          </cell>
          <cell r="AV614">
            <v>0</v>
          </cell>
          <cell r="AW614">
            <v>7173</v>
          </cell>
          <cell r="AX614">
            <v>10026</v>
          </cell>
          <cell r="AY614">
            <v>10026</v>
          </cell>
          <cell r="AZ614">
            <v>824.4</v>
          </cell>
          <cell r="BA614">
            <v>199.44</v>
          </cell>
        </row>
        <row r="615">
          <cell r="F615">
            <v>613000000043</v>
          </cell>
          <cell r="G615" t="str">
            <v>M/S.    DISTRICT SPORTS OFFICE COLLECTOTORATE KEONJHAR</v>
          </cell>
          <cell r="H615" t="str">
            <v>5365/6175</v>
          </cell>
          <cell r="I615" t="str">
            <v>04/29/2023 00:00:00</v>
          </cell>
          <cell r="J615">
            <v>1</v>
          </cell>
          <cell r="K615" t="str">
            <v xml:space="preserve">ANANDAPUR STADIUM </v>
          </cell>
          <cell r="L615" t="str">
            <v>ANANDAPUR</v>
          </cell>
          <cell r="M615" t="str">
            <v>623000010231495167</v>
          </cell>
          <cell r="N615" t="str">
            <v>132328049273</v>
          </cell>
          <cell r="O615" t="str">
            <v xml:space="preserve"> </v>
          </cell>
          <cell r="P615" t="str">
            <v>NULL</v>
          </cell>
          <cell r="Q615" t="str">
            <v>GENERAL PURPOSE &gt;= 110 KVA</v>
          </cell>
          <cell r="R615" t="str">
            <v>HT</v>
          </cell>
          <cell r="S615" t="str">
            <v>01/10/2023</v>
          </cell>
          <cell r="T615" t="str">
            <v>01/10/2023</v>
          </cell>
          <cell r="U615" t="str">
            <v>06/10/2023</v>
          </cell>
          <cell r="V615" t="str">
            <v>09/10/2023</v>
          </cell>
          <cell r="W615" t="str">
            <v>2023/09</v>
          </cell>
          <cell r="X615" t="str">
            <v>11 KV</v>
          </cell>
          <cell r="Y615" t="str">
            <v>HT</v>
          </cell>
          <cell r="Z615">
            <v>93.6</v>
          </cell>
          <cell r="AA615">
            <v>0.20799999999999999</v>
          </cell>
          <cell r="AB615">
            <v>22.49</v>
          </cell>
          <cell r="AC615" t="str">
            <v xml:space="preserve">01/09/2023 -     </v>
          </cell>
          <cell r="AD615" t="str">
            <v>30.09.2023</v>
          </cell>
          <cell r="AE615" t="str">
            <v>30/1.0000</v>
          </cell>
          <cell r="AF615">
            <v>117</v>
          </cell>
          <cell r="AG615" t="str">
            <v>KVA</v>
          </cell>
          <cell r="AH615">
            <v>117</v>
          </cell>
          <cell r="AI615" t="str">
            <v>R</v>
          </cell>
          <cell r="AJ615">
            <v>342482.4</v>
          </cell>
          <cell r="AK615" t="str">
            <v>30/09/2023</v>
          </cell>
          <cell r="AL615" t="str">
            <v>TPNODL38111774</v>
          </cell>
          <cell r="AM615" t="str">
            <v>THREE PHASE SMART HT CT METER (AMR/AMI)-11KV</v>
          </cell>
          <cell r="AN615" t="str">
            <v>SMART METER</v>
          </cell>
          <cell r="AO615">
            <v>200</v>
          </cell>
          <cell r="AP615" t="str">
            <v>TOD</v>
          </cell>
          <cell r="AQ615">
            <v>0</v>
          </cell>
          <cell r="AR615">
            <v>0</v>
          </cell>
          <cell r="AS615">
            <v>0</v>
          </cell>
          <cell r="AT615">
            <v>0</v>
          </cell>
          <cell r="AU615">
            <v>0</v>
          </cell>
          <cell r="AV615">
            <v>0</v>
          </cell>
          <cell r="AW615">
            <v>954</v>
          </cell>
          <cell r="AX615">
            <v>4586</v>
          </cell>
          <cell r="AY615">
            <v>4586</v>
          </cell>
          <cell r="AZ615">
            <v>81.446399999999997</v>
          </cell>
          <cell r="BA615">
            <v>28.32</v>
          </cell>
        </row>
        <row r="616">
          <cell r="F616">
            <v>613000000044</v>
          </cell>
          <cell r="G616" t="str">
            <v>Executive Engineer RWSS Division Anandapur</v>
          </cell>
          <cell r="H616" t="str">
            <v xml:space="preserve"> </v>
          </cell>
          <cell r="I616" t="str">
            <v>06/30/2023 00:00:00</v>
          </cell>
          <cell r="J616">
            <v>1</v>
          </cell>
          <cell r="K616" t="str">
            <v>Biragobindapur</v>
          </cell>
          <cell r="L616" t="str">
            <v>Anandapur</v>
          </cell>
          <cell r="M616" t="str">
            <v>623000010231493777</v>
          </cell>
          <cell r="N616" t="str">
            <v>132328666868</v>
          </cell>
          <cell r="O616" t="str">
            <v xml:space="preserve"> </v>
          </cell>
          <cell r="P616" t="str">
            <v>NULL</v>
          </cell>
          <cell r="Q616" t="str">
            <v>PUBLIC WATER WORKS &amp; SEWERAGE PUMPING</v>
          </cell>
          <cell r="R616" t="str">
            <v>HT</v>
          </cell>
          <cell r="S616" t="str">
            <v>01/10/2023</v>
          </cell>
          <cell r="T616" t="str">
            <v>01/10/2023</v>
          </cell>
          <cell r="U616" t="str">
            <v>09/10/2023</v>
          </cell>
          <cell r="V616" t="str">
            <v>09/10/2023</v>
          </cell>
          <cell r="W616" t="str">
            <v>2023/09</v>
          </cell>
          <cell r="X616" t="str">
            <v>33 KV</v>
          </cell>
          <cell r="Y616" t="str">
            <v>HT</v>
          </cell>
          <cell r="Z616">
            <v>654.4</v>
          </cell>
          <cell r="AA616">
            <v>0.92230000000000001</v>
          </cell>
          <cell r="AB616">
            <v>8.76</v>
          </cell>
          <cell r="AC616" t="str">
            <v xml:space="preserve">01/09/2023 -     </v>
          </cell>
          <cell r="AD616" t="str">
            <v>30.09.2023</v>
          </cell>
          <cell r="AE616" t="str">
            <v>30/1.0000</v>
          </cell>
          <cell r="AF616">
            <v>818</v>
          </cell>
          <cell r="AG616" t="str">
            <v>KVA</v>
          </cell>
          <cell r="AH616">
            <v>818</v>
          </cell>
          <cell r="AI616" t="str">
            <v>R</v>
          </cell>
          <cell r="AJ616">
            <v>3772616</v>
          </cell>
          <cell r="AK616" t="str">
            <v>30/09/2023</v>
          </cell>
          <cell r="AL616" t="str">
            <v>TPN64493</v>
          </cell>
          <cell r="AM616" t="str">
            <v>THREE PHASE HT CT METER-33KV</v>
          </cell>
          <cell r="AN616" t="str">
            <v>POST PAID</v>
          </cell>
          <cell r="AO616">
            <v>1315</v>
          </cell>
          <cell r="AP616" t="str">
            <v>TOD</v>
          </cell>
          <cell r="AQ616">
            <v>0</v>
          </cell>
          <cell r="AR616">
            <v>0</v>
          </cell>
          <cell r="AS616">
            <v>0</v>
          </cell>
          <cell r="AT616">
            <v>0</v>
          </cell>
          <cell r="AU616">
            <v>0</v>
          </cell>
          <cell r="AV616">
            <v>0</v>
          </cell>
          <cell r="AW616">
            <v>17640</v>
          </cell>
          <cell r="AX616">
            <v>19125</v>
          </cell>
          <cell r="AY616">
            <v>19125</v>
          </cell>
          <cell r="AZ616">
            <v>825.12</v>
          </cell>
          <cell r="BA616">
            <v>303.12</v>
          </cell>
        </row>
        <row r="617">
          <cell r="F617">
            <v>613000000045</v>
          </cell>
          <cell r="G617" t="str">
            <v>M/S.  SUPERINTEDING ENGINEER RWS&amp;S</v>
          </cell>
          <cell r="H617" t="str">
            <v>995/2297</v>
          </cell>
          <cell r="I617" t="str">
            <v>07/27/2023 00:00:00</v>
          </cell>
          <cell r="J617">
            <v>1</v>
          </cell>
          <cell r="K617" t="str">
            <v>EXECUTIVE ENGINEER RWS&amp;S</v>
          </cell>
          <cell r="L617" t="str">
            <v>SANGAM &amp; BIDYADHARPUR</v>
          </cell>
          <cell r="M617" t="str">
            <v>623000010231493821</v>
          </cell>
          <cell r="N617" t="str">
            <v>132328874937</v>
          </cell>
          <cell r="O617" t="str">
            <v xml:space="preserve"> </v>
          </cell>
          <cell r="P617" t="str">
            <v>NULL</v>
          </cell>
          <cell r="Q617" t="str">
            <v>PUBLIC WATER WORKS &amp; SEWERAGE PUMPING</v>
          </cell>
          <cell r="R617" t="str">
            <v>HT</v>
          </cell>
          <cell r="S617" t="str">
            <v>01/10/2023</v>
          </cell>
          <cell r="T617" t="str">
            <v>01/10/2023</v>
          </cell>
          <cell r="U617" t="str">
            <v>09/10/2023</v>
          </cell>
          <cell r="V617" t="str">
            <v>09/10/2023</v>
          </cell>
          <cell r="W617" t="str">
            <v>2023/09</v>
          </cell>
          <cell r="X617" t="str">
            <v>11 KV</v>
          </cell>
          <cell r="Y617" t="str">
            <v>HT</v>
          </cell>
          <cell r="Z617">
            <v>398.4</v>
          </cell>
          <cell r="AA617">
            <v>0.89380000000000004</v>
          </cell>
          <cell r="AB617">
            <v>11.37</v>
          </cell>
          <cell r="AC617" t="str">
            <v xml:space="preserve">01/09/2023 -     </v>
          </cell>
          <cell r="AD617" t="str">
            <v>30.09.2023</v>
          </cell>
          <cell r="AE617" t="str">
            <v>30/1.0000</v>
          </cell>
          <cell r="AF617">
            <v>498</v>
          </cell>
          <cell r="AG617" t="str">
            <v>KVA</v>
          </cell>
          <cell r="AH617">
            <v>498</v>
          </cell>
          <cell r="AI617" t="str">
            <v>R</v>
          </cell>
          <cell r="AJ617">
            <v>2296776</v>
          </cell>
          <cell r="AK617" t="str">
            <v>30/09/2023</v>
          </cell>
          <cell r="AL617" t="str">
            <v>TPNODL38111082</v>
          </cell>
          <cell r="AM617" t="str">
            <v>HT THREE PHASE 4 WIRE AMR/AMI COMPLAINT METER</v>
          </cell>
          <cell r="AN617" t="str">
            <v>POST PAID</v>
          </cell>
          <cell r="AO617">
            <v>1630</v>
          </cell>
          <cell r="AP617" t="str">
            <v>TOD</v>
          </cell>
          <cell r="AQ617">
            <v>0</v>
          </cell>
          <cell r="AR617">
            <v>0</v>
          </cell>
          <cell r="AS617">
            <v>0</v>
          </cell>
          <cell r="AT617">
            <v>0</v>
          </cell>
          <cell r="AU617">
            <v>0</v>
          </cell>
          <cell r="AV617">
            <v>0</v>
          </cell>
          <cell r="AW617">
            <v>24763</v>
          </cell>
          <cell r="AX617">
            <v>27703</v>
          </cell>
          <cell r="AY617">
            <v>27703</v>
          </cell>
          <cell r="AZ617">
            <v>729.38400000000001</v>
          </cell>
          <cell r="BA617">
            <v>338.38</v>
          </cell>
        </row>
        <row r="618">
          <cell r="F618">
            <v>622000000001</v>
          </cell>
          <cell r="G618" t="str">
            <v>SERENDA COLONY, OMC LIMITED</v>
          </cell>
          <cell r="H618" t="str">
            <v>GENERAL MANAGER,</v>
          </cell>
          <cell r="I618" t="str">
            <v>10/31/2020 00:00:00</v>
          </cell>
          <cell r="J618">
            <v>1</v>
          </cell>
          <cell r="K618" t="str">
            <v xml:space="preserve"> </v>
          </cell>
          <cell r="L618" t="str">
            <v xml:space="preserve"> </v>
          </cell>
          <cell r="M618" t="str">
            <v>622000010231493799</v>
          </cell>
          <cell r="N618" t="str">
            <v>6120000003</v>
          </cell>
          <cell r="O618" t="str">
            <v>GP-45</v>
          </cell>
          <cell r="P618" t="str">
            <v>462233202</v>
          </cell>
          <cell r="Q618" t="str">
            <v>GENERAL PURPOSE &gt;= 110 KVA</v>
          </cell>
          <cell r="R618" t="str">
            <v>HT</v>
          </cell>
          <cell r="S618" t="str">
            <v>01/10/2023</v>
          </cell>
          <cell r="T618" t="str">
            <v>01/10/2023</v>
          </cell>
          <cell r="U618" t="str">
            <v>06/10/2023</v>
          </cell>
          <cell r="V618" t="str">
            <v>09/10/2023</v>
          </cell>
          <cell r="W618" t="str">
            <v>2023/09</v>
          </cell>
          <cell r="X618" t="str">
            <v>11 KV</v>
          </cell>
          <cell r="Y618" t="str">
            <v>HT</v>
          </cell>
          <cell r="Z618">
            <v>108.6</v>
          </cell>
          <cell r="AA618">
            <v>0.98609999999999998</v>
          </cell>
          <cell r="AB618">
            <v>58.06</v>
          </cell>
          <cell r="AC618" t="str">
            <v xml:space="preserve">01/09/2023 -     </v>
          </cell>
          <cell r="AD618" t="str">
            <v>30.09.2023</v>
          </cell>
          <cell r="AE618" t="str">
            <v>30/1.0000</v>
          </cell>
          <cell r="AF618">
            <v>133</v>
          </cell>
          <cell r="AG618" t="str">
            <v>KVA</v>
          </cell>
          <cell r="AH618">
            <v>133</v>
          </cell>
          <cell r="AI618" t="str">
            <v>R</v>
          </cell>
          <cell r="AJ618">
            <v>615899.13</v>
          </cell>
          <cell r="AK618" t="str">
            <v>30/09/2023</v>
          </cell>
          <cell r="AL618" t="str">
            <v>TPNODL38111310</v>
          </cell>
          <cell r="AM618" t="str">
            <v>THREE PHASE SMART HT CT METER (AMR/AMI)-11KV</v>
          </cell>
          <cell r="AN618" t="str">
            <v>SMART METER</v>
          </cell>
          <cell r="AO618">
            <v>250</v>
          </cell>
          <cell r="AP618" t="str">
            <v>TOD</v>
          </cell>
          <cell r="AQ618">
            <v>-73013.13</v>
          </cell>
          <cell r="AR618">
            <v>0</v>
          </cell>
          <cell r="AS618">
            <v>0</v>
          </cell>
          <cell r="AT618">
            <v>0</v>
          </cell>
          <cell r="AU618">
            <v>0</v>
          </cell>
          <cell r="AV618">
            <v>0</v>
          </cell>
          <cell r="AW618">
            <v>44767</v>
          </cell>
          <cell r="AX618">
            <v>45396</v>
          </cell>
          <cell r="AY618">
            <v>45396</v>
          </cell>
          <cell r="AZ618">
            <v>420.39580000000001</v>
          </cell>
          <cell r="BA618">
            <v>108.598</v>
          </cell>
        </row>
        <row r="619">
          <cell r="F619">
            <v>622000000002</v>
          </cell>
          <cell r="G619" t="str">
            <v>DIVNL. RLY. MANAGER, SERLY. CKP.</v>
          </cell>
          <cell r="H619" t="str">
            <v>BAD JAMDA RLY. TRACTION , NALDA</v>
          </cell>
          <cell r="I619" t="str">
            <v>10/31/2020 00:00:00</v>
          </cell>
          <cell r="J619">
            <v>1</v>
          </cell>
          <cell r="K619" t="str">
            <v xml:space="preserve"> </v>
          </cell>
          <cell r="L619" t="str">
            <v xml:space="preserve"> </v>
          </cell>
          <cell r="M619" t="str">
            <v>622000010231495186</v>
          </cell>
          <cell r="N619" t="str">
            <v>6120000019</v>
          </cell>
          <cell r="O619" t="str">
            <v>TR-1</v>
          </cell>
          <cell r="P619" t="str">
            <v>NULL</v>
          </cell>
          <cell r="Q619" t="str">
            <v>RAILWAY TRACTION</v>
          </cell>
          <cell r="R619" t="str">
            <v>EHT</v>
          </cell>
          <cell r="S619" t="str">
            <v>01/10/2023</v>
          </cell>
          <cell r="T619" t="str">
            <v>01/10/2023</v>
          </cell>
          <cell r="U619" t="str">
            <v>06/10/2023</v>
          </cell>
          <cell r="V619" t="str">
            <v>09/10/2023</v>
          </cell>
          <cell r="W619" t="str">
            <v>2023/09</v>
          </cell>
          <cell r="X619" t="str">
            <v>132 KV</v>
          </cell>
          <cell r="Y619" t="str">
            <v>HT</v>
          </cell>
          <cell r="Z619">
            <v>18288</v>
          </cell>
          <cell r="AA619">
            <v>0.98380000000000001</v>
          </cell>
          <cell r="AB619">
            <v>18.62</v>
          </cell>
          <cell r="AC619" t="str">
            <v xml:space="preserve">01/09/2023 -     </v>
          </cell>
          <cell r="AD619" t="str">
            <v>30.09.2023</v>
          </cell>
          <cell r="AE619" t="str">
            <v>30/1.0000</v>
          </cell>
          <cell r="AF619">
            <v>19000</v>
          </cell>
          <cell r="AG619" t="str">
            <v>KVA</v>
          </cell>
          <cell r="AH619">
            <v>19000</v>
          </cell>
          <cell r="AI619" t="str">
            <v>R</v>
          </cell>
          <cell r="AJ619">
            <v>52261568</v>
          </cell>
          <cell r="AK619" t="str">
            <v>30/09/2023</v>
          </cell>
          <cell r="AL619" t="str">
            <v>NSC92666</v>
          </cell>
          <cell r="AM619" t="str">
            <v>LT SINGLE PHASE AMR/AMI COMPLIANT METER-TOD</v>
          </cell>
          <cell r="AN619" t="str">
            <v>POST PAID</v>
          </cell>
          <cell r="AO619">
            <v>34100</v>
          </cell>
          <cell r="AP619" t="str">
            <v>TOD</v>
          </cell>
          <cell r="AQ619">
            <v>-16397245.34</v>
          </cell>
          <cell r="AR619">
            <v>0</v>
          </cell>
          <cell r="AS619">
            <v>0</v>
          </cell>
          <cell r="AT619">
            <v>0</v>
          </cell>
          <cell r="AU619">
            <v>0</v>
          </cell>
          <cell r="AV619">
            <v>0</v>
          </cell>
          <cell r="AW619">
            <v>2412720</v>
          </cell>
          <cell r="AX619">
            <v>2452320</v>
          </cell>
          <cell r="AY619">
            <v>2452320</v>
          </cell>
          <cell r="AZ619">
            <v>76.2</v>
          </cell>
          <cell r="BA619">
            <v>18288</v>
          </cell>
        </row>
        <row r="620">
          <cell r="F620">
            <v>622000000003</v>
          </cell>
          <cell r="G620" t="str">
            <v>FERRO MANGANESE PLANT, TISCO</v>
          </cell>
          <cell r="H620" t="str">
            <v>C/o SUPERINTENDENT,</v>
          </cell>
          <cell r="I620" t="str">
            <v>10/31/2020 00:00:00</v>
          </cell>
          <cell r="J620">
            <v>1</v>
          </cell>
          <cell r="K620" t="str">
            <v xml:space="preserve"> </v>
          </cell>
          <cell r="L620" t="str">
            <v xml:space="preserve"> </v>
          </cell>
          <cell r="M620" t="str">
            <v>622000010232516040</v>
          </cell>
          <cell r="N620" t="str">
            <v>6120000067</v>
          </cell>
          <cell r="O620" t="str">
            <v>PI-1</v>
          </cell>
          <cell r="P620" t="str">
            <v>NULL</v>
          </cell>
          <cell r="Q620" t="str">
            <v>POWER INTENSIVE INDUSTRY</v>
          </cell>
          <cell r="R620" t="str">
            <v>EHT</v>
          </cell>
          <cell r="S620" t="str">
            <v>05/10/2023</v>
          </cell>
          <cell r="T620" t="str">
            <v>05/10/2023</v>
          </cell>
          <cell r="U620" t="str">
            <v>09/10/2023</v>
          </cell>
          <cell r="V620" t="str">
            <v>12/10/2023</v>
          </cell>
          <cell r="W620" t="str">
            <v>2023/09</v>
          </cell>
          <cell r="X620" t="str">
            <v>132 KV</v>
          </cell>
          <cell r="Y620" t="str">
            <v>HT</v>
          </cell>
          <cell r="Z620">
            <v>14726.6</v>
          </cell>
          <cell r="AA620">
            <v>0.995</v>
          </cell>
          <cell r="AB620">
            <v>33.5</v>
          </cell>
          <cell r="AC620" t="str">
            <v xml:space="preserve">01/09/2023 -     </v>
          </cell>
          <cell r="AD620" t="str">
            <v>30.09.2023</v>
          </cell>
          <cell r="AE620" t="str">
            <v>30/1.0000</v>
          </cell>
          <cell r="AF620">
            <v>10000</v>
          </cell>
          <cell r="AG620" t="str">
            <v>KVA</v>
          </cell>
          <cell r="AH620">
            <v>10000</v>
          </cell>
          <cell r="AI620" t="str">
            <v>R</v>
          </cell>
          <cell r="AJ620">
            <v>34177266.799999997</v>
          </cell>
          <cell r="AK620" t="str">
            <v>30/09/2023</v>
          </cell>
          <cell r="AL620" t="str">
            <v>TPN64919</v>
          </cell>
          <cell r="AM620" t="str">
            <v>THREE PHASE HT CT METER-33KV</v>
          </cell>
          <cell r="AN620" t="str">
            <v>POST PAID</v>
          </cell>
          <cell r="AO620">
            <v>25000</v>
          </cell>
          <cell r="AP620" t="str">
            <v>TOD</v>
          </cell>
          <cell r="AQ620">
            <v>0</v>
          </cell>
          <cell r="AR620">
            <v>0</v>
          </cell>
          <cell r="AS620">
            <v>0</v>
          </cell>
          <cell r="AT620">
            <v>0</v>
          </cell>
          <cell r="AU620">
            <v>0</v>
          </cell>
          <cell r="AV620">
            <v>0</v>
          </cell>
          <cell r="AW620">
            <v>12339120</v>
          </cell>
          <cell r="AX620">
            <v>12398880</v>
          </cell>
          <cell r="AY620">
            <v>12398880</v>
          </cell>
          <cell r="AZ620">
            <v>162.19999999999999</v>
          </cell>
          <cell r="BA620">
            <v>19464</v>
          </cell>
        </row>
        <row r="621">
          <cell r="F621">
            <v>622000000004</v>
          </cell>
          <cell r="G621" t="str">
            <v>BALANI IRON ORE MINES, SAIL</v>
          </cell>
          <cell r="H621" t="str">
            <v>RAW MATERIAL DIVISION</v>
          </cell>
          <cell r="I621" t="str">
            <v>10/31/2020 00:00:00</v>
          </cell>
          <cell r="J621">
            <v>1</v>
          </cell>
          <cell r="K621" t="str">
            <v xml:space="preserve"> </v>
          </cell>
          <cell r="L621" t="str">
            <v xml:space="preserve"> </v>
          </cell>
          <cell r="M621" t="str">
            <v>622000010232495744</v>
          </cell>
          <cell r="N621" t="str">
            <v>6120000020</v>
          </cell>
          <cell r="O621" t="str">
            <v>L-39</v>
          </cell>
          <cell r="P621" t="str">
            <v>NULL</v>
          </cell>
          <cell r="Q621" t="str">
            <v>LARGE INDUSTRY</v>
          </cell>
          <cell r="R621" t="str">
            <v>EHT</v>
          </cell>
          <cell r="S621" t="str">
            <v>01/10/2023</v>
          </cell>
          <cell r="T621" t="str">
            <v>01/10/2023</v>
          </cell>
          <cell r="U621" t="str">
            <v>06/10/2023</v>
          </cell>
          <cell r="V621" t="str">
            <v>09/10/2023</v>
          </cell>
          <cell r="W621" t="str">
            <v>2023/09</v>
          </cell>
          <cell r="X621" t="str">
            <v>132 KV</v>
          </cell>
          <cell r="Y621" t="str">
            <v>HT</v>
          </cell>
          <cell r="Z621">
            <v>4656</v>
          </cell>
          <cell r="AA621">
            <v>0.93389999999999995</v>
          </cell>
          <cell r="AB621">
            <v>52.6</v>
          </cell>
          <cell r="AC621" t="str">
            <v xml:space="preserve">01/09/2023 -     </v>
          </cell>
          <cell r="AD621" t="str">
            <v>30.09.2023</v>
          </cell>
          <cell r="AE621" t="str">
            <v>30/1.0000</v>
          </cell>
          <cell r="AF621">
            <v>5500</v>
          </cell>
          <cell r="AG621" t="str">
            <v>KVA</v>
          </cell>
          <cell r="AH621">
            <v>5500</v>
          </cell>
          <cell r="AI621" t="str">
            <v>R</v>
          </cell>
          <cell r="AJ621">
            <v>24490997.5</v>
          </cell>
          <cell r="AK621" t="str">
            <v>30/09/2023</v>
          </cell>
          <cell r="AL621" t="str">
            <v>TPN64918</v>
          </cell>
          <cell r="AM621" t="str">
            <v>THREE PHASE SMART HT CT METER (AMR/AMI)-33KV</v>
          </cell>
          <cell r="AN621" t="str">
            <v>POST PAID</v>
          </cell>
          <cell r="AO621">
            <v>20000</v>
          </cell>
          <cell r="AP621" t="str">
            <v>TOD</v>
          </cell>
          <cell r="AQ621">
            <v>2243195.84</v>
          </cell>
          <cell r="AR621">
            <v>0</v>
          </cell>
          <cell r="AS621">
            <v>0</v>
          </cell>
          <cell r="AT621">
            <v>950173.2</v>
          </cell>
          <cell r="AU621">
            <v>0</v>
          </cell>
          <cell r="AV621">
            <v>195912</v>
          </cell>
          <cell r="AW621">
            <v>1829760</v>
          </cell>
          <cell r="AX621">
            <v>1959120</v>
          </cell>
          <cell r="AY621">
            <v>1959120</v>
          </cell>
          <cell r="AZ621">
            <v>19.399999999999999</v>
          </cell>
          <cell r="BA621">
            <v>4656</v>
          </cell>
        </row>
        <row r="622">
          <cell r="F622">
            <v>622000000005</v>
          </cell>
          <cell r="G622" t="str">
            <v>M/S TATA SPONGE IRON LTD.</v>
          </cell>
          <cell r="H622" t="str">
            <v>AT/PO: BILEIPADA, JODA</v>
          </cell>
          <cell r="I622" t="str">
            <v>10/31/2020 00:00:00</v>
          </cell>
          <cell r="J622">
            <v>1</v>
          </cell>
          <cell r="K622" t="str">
            <v xml:space="preserve"> </v>
          </cell>
          <cell r="L622" t="str">
            <v xml:space="preserve"> </v>
          </cell>
          <cell r="M622" t="str">
            <v>622000010231495242</v>
          </cell>
          <cell r="N622" t="str">
            <v>6120000156</v>
          </cell>
          <cell r="O622" t="str">
            <v>CPP-25</v>
          </cell>
          <cell r="P622" t="str">
            <v>NULL</v>
          </cell>
          <cell r="Q622" t="str">
            <v>EMERGENCY SUPPLY TO CGP</v>
          </cell>
          <cell r="R622" t="str">
            <v>EHT</v>
          </cell>
          <cell r="S622" t="str">
            <v>01/10/2023</v>
          </cell>
          <cell r="T622" t="str">
            <v>01/10/2023</v>
          </cell>
          <cell r="U622" t="str">
            <v>06/10/2023</v>
          </cell>
          <cell r="V622" t="str">
            <v>09/10/2023</v>
          </cell>
          <cell r="W622" t="str">
            <v>2023/09</v>
          </cell>
          <cell r="X622" t="str">
            <v>220 KV</v>
          </cell>
          <cell r="Y622" t="str">
            <v>HT</v>
          </cell>
          <cell r="Z622">
            <v>6222.4</v>
          </cell>
          <cell r="AA622">
            <v>0</v>
          </cell>
          <cell r="AB622">
            <v>0</v>
          </cell>
          <cell r="AC622" t="str">
            <v xml:space="preserve">01/09/2023 -     </v>
          </cell>
          <cell r="AD622" t="str">
            <v>30.09.2023</v>
          </cell>
          <cell r="AE622" t="str">
            <v>30/1.0000</v>
          </cell>
          <cell r="AF622">
            <v>7778</v>
          </cell>
          <cell r="AG622" t="str">
            <v>KVA</v>
          </cell>
          <cell r="AH622">
            <v>7778</v>
          </cell>
          <cell r="AI622" t="str">
            <v>R</v>
          </cell>
          <cell r="AJ622">
            <v>575959.9</v>
          </cell>
          <cell r="AK622" t="str">
            <v>30/09/2023</v>
          </cell>
          <cell r="AL622" t="str">
            <v>TPN64977</v>
          </cell>
          <cell r="AM622" t="str">
            <v>THREE PHASE SMART HT CT METER (AMR/AMI)-33KV</v>
          </cell>
          <cell r="AN622" t="str">
            <v>POST PAID</v>
          </cell>
          <cell r="AO622">
            <v>20000</v>
          </cell>
          <cell r="AP622" t="str">
            <v>TOD</v>
          </cell>
          <cell r="AQ622">
            <v>-549779.9</v>
          </cell>
          <cell r="AR622">
            <v>0</v>
          </cell>
          <cell r="AS622">
            <v>0</v>
          </cell>
          <cell r="AT622">
            <v>0</v>
          </cell>
          <cell r="AU622">
            <v>0</v>
          </cell>
          <cell r="AV622">
            <v>0</v>
          </cell>
          <cell r="AW622">
            <v>0</v>
          </cell>
          <cell r="AX622">
            <v>0</v>
          </cell>
          <cell r="AY622">
            <v>0</v>
          </cell>
          <cell r="AZ622">
            <v>0.1</v>
          </cell>
          <cell r="BA622">
            <v>60</v>
          </cell>
        </row>
        <row r="623">
          <cell r="F623">
            <v>622000000006</v>
          </cell>
          <cell r="G623" t="str">
            <v>M/S ARYA IRON &amp; STEEL CO (P) LTD.</v>
          </cell>
          <cell r="H623" t="str">
            <v>PLOT NO. 509/365,MATKANBEDAKEONJHAR</v>
          </cell>
          <cell r="I623" t="str">
            <v>10/31/2020 00:00:00</v>
          </cell>
          <cell r="J623">
            <v>1</v>
          </cell>
          <cell r="K623" t="str">
            <v xml:space="preserve"> </v>
          </cell>
          <cell r="L623" t="str">
            <v xml:space="preserve"> </v>
          </cell>
          <cell r="M623" t="str">
            <v>622000010232495750</v>
          </cell>
          <cell r="N623" t="str">
            <v>6120000155</v>
          </cell>
          <cell r="O623" t="str">
            <v>L-122</v>
          </cell>
          <cell r="P623" t="str">
            <v>NULL</v>
          </cell>
          <cell r="Q623" t="str">
            <v>LARGE INDUSTRY</v>
          </cell>
          <cell r="R623" t="str">
            <v>EHT</v>
          </cell>
          <cell r="S623" t="str">
            <v>01/10/2023</v>
          </cell>
          <cell r="T623" t="str">
            <v>01/10/2023</v>
          </cell>
          <cell r="U623" t="str">
            <v>06/10/2023</v>
          </cell>
          <cell r="V623" t="str">
            <v>09/10/2023</v>
          </cell>
          <cell r="W623" t="str">
            <v>2023/09</v>
          </cell>
          <cell r="X623" t="str">
            <v>132 KV</v>
          </cell>
          <cell r="Y623" t="str">
            <v>HT</v>
          </cell>
          <cell r="Z623">
            <v>10284</v>
          </cell>
          <cell r="AA623">
            <v>0.999</v>
          </cell>
          <cell r="AB623">
            <v>70.239999999999995</v>
          </cell>
          <cell r="AC623" t="str">
            <v xml:space="preserve">01/09/2023 -     </v>
          </cell>
          <cell r="AD623" t="str">
            <v>30.09.2023</v>
          </cell>
          <cell r="AE623" t="str">
            <v>30/1.0000</v>
          </cell>
          <cell r="AF623">
            <v>12500</v>
          </cell>
          <cell r="AG623" t="str">
            <v>KVA</v>
          </cell>
          <cell r="AH623">
            <v>12500</v>
          </cell>
          <cell r="AI623" t="str">
            <v>R</v>
          </cell>
          <cell r="AJ623">
            <v>82188000.400000006</v>
          </cell>
          <cell r="AK623" t="str">
            <v>30/09/2023</v>
          </cell>
          <cell r="AL623" t="str">
            <v>TPN64905</v>
          </cell>
          <cell r="AM623" t="str">
            <v>THREE PHASE HT CT METER-33KV</v>
          </cell>
          <cell r="AN623" t="str">
            <v>POST PAID</v>
          </cell>
          <cell r="AO623">
            <v>15000</v>
          </cell>
          <cell r="AP623" t="str">
            <v>TOD</v>
          </cell>
          <cell r="AQ623">
            <v>9431340.3000000007</v>
          </cell>
          <cell r="AR623">
            <v>0</v>
          </cell>
          <cell r="AS623">
            <v>0</v>
          </cell>
          <cell r="AT623">
            <v>212866.5</v>
          </cell>
          <cell r="AU623">
            <v>0</v>
          </cell>
          <cell r="AV623">
            <v>43890</v>
          </cell>
          <cell r="AW623">
            <v>5239800</v>
          </cell>
          <cell r="AX623">
            <v>5244600</v>
          </cell>
          <cell r="AY623">
            <v>5244600</v>
          </cell>
          <cell r="AZ623">
            <v>85.7</v>
          </cell>
          <cell r="BA623">
            <v>10284</v>
          </cell>
        </row>
        <row r="624">
          <cell r="F624">
            <v>622000000007</v>
          </cell>
          <cell r="G624" t="str">
            <v>M/S JINDAL STEEL &amp; POWER LTD.</v>
          </cell>
          <cell r="H624" t="str">
            <v>DEOJHAR,JODAKEONJHAR</v>
          </cell>
          <cell r="I624" t="str">
            <v>10/31/2020 00:00:00</v>
          </cell>
          <cell r="J624">
            <v>1</v>
          </cell>
          <cell r="K624" t="str">
            <v xml:space="preserve"> </v>
          </cell>
          <cell r="L624" t="str">
            <v xml:space="preserve"> </v>
          </cell>
          <cell r="M624" t="str">
            <v>622000010232516027</v>
          </cell>
          <cell r="N624" t="str">
            <v>6120000171</v>
          </cell>
          <cell r="O624" t="str">
            <v>HI-171</v>
          </cell>
          <cell r="P624" t="str">
            <v>NULL</v>
          </cell>
          <cell r="Q624" t="str">
            <v>LARGE INDUSTRY- CGP</v>
          </cell>
          <cell r="R624" t="str">
            <v>EHT</v>
          </cell>
          <cell r="S624" t="str">
            <v>05/10/2023</v>
          </cell>
          <cell r="T624" t="str">
            <v>05/10/2023</v>
          </cell>
          <cell r="U624" t="str">
            <v>09/10/2023</v>
          </cell>
          <cell r="V624" t="str">
            <v>12/10/2023</v>
          </cell>
          <cell r="W624" t="str">
            <v>2023/09</v>
          </cell>
          <cell r="X624" t="str">
            <v>220 KV</v>
          </cell>
          <cell r="Y624" t="str">
            <v>HT</v>
          </cell>
          <cell r="Z624">
            <v>16667</v>
          </cell>
          <cell r="AA624">
            <v>1.0362</v>
          </cell>
          <cell r="AB624">
            <v>104.36</v>
          </cell>
          <cell r="AC624" t="str">
            <v xml:space="preserve">01/09/2023 -     </v>
          </cell>
          <cell r="AD624" t="str">
            <v>30.09.2023</v>
          </cell>
          <cell r="AE624" t="str">
            <v>30/1.0000</v>
          </cell>
          <cell r="AF624">
            <v>16667</v>
          </cell>
          <cell r="AG624" t="str">
            <v>KVA</v>
          </cell>
          <cell r="AH624">
            <v>16667</v>
          </cell>
          <cell r="AI624" t="str">
            <v>R</v>
          </cell>
          <cell r="AJ624">
            <v>196977272</v>
          </cell>
          <cell r="AK624" t="str">
            <v>30/09/2023</v>
          </cell>
          <cell r="AL624" t="str">
            <v>TPN64973</v>
          </cell>
          <cell r="AM624" t="str">
            <v>THREE PHASE HT CT METER-33KV</v>
          </cell>
          <cell r="AN624" t="str">
            <v>BI DIRECTIONAL</v>
          </cell>
          <cell r="AO624">
            <v>126000</v>
          </cell>
          <cell r="AP624" t="str">
            <v>TOD</v>
          </cell>
          <cell r="AQ624">
            <v>-43395425.600000001</v>
          </cell>
          <cell r="AR624">
            <v>0</v>
          </cell>
          <cell r="AS624">
            <v>0</v>
          </cell>
          <cell r="AT624">
            <v>435452.4</v>
          </cell>
          <cell r="AU624">
            <v>-240004.8</v>
          </cell>
          <cell r="AV624">
            <v>89784</v>
          </cell>
          <cell r="AW624">
            <v>34882200</v>
          </cell>
          <cell r="AX624">
            <v>35584800</v>
          </cell>
          <cell r="AY624">
            <v>35584800</v>
          </cell>
          <cell r="AZ624">
            <v>47.7</v>
          </cell>
          <cell r="BA624">
            <v>57240</v>
          </cell>
        </row>
        <row r="625">
          <cell r="F625">
            <v>622000000008</v>
          </cell>
          <cell r="G625" t="str">
            <v>BAMEBARI Mn MINES CLNY, TISCO</v>
          </cell>
          <cell r="H625" t="str">
            <v>DIVSNL MNGR, TISCO, JODA</v>
          </cell>
          <cell r="I625" t="str">
            <v>10/31/2020 00:00:00</v>
          </cell>
          <cell r="J625">
            <v>1</v>
          </cell>
          <cell r="K625" t="str">
            <v xml:space="preserve"> </v>
          </cell>
          <cell r="L625" t="str">
            <v xml:space="preserve"> </v>
          </cell>
          <cell r="M625" t="str">
            <v>622000010231494240</v>
          </cell>
          <cell r="N625" t="str">
            <v>6120000011</v>
          </cell>
          <cell r="O625" t="str">
            <v>BD-2</v>
          </cell>
          <cell r="P625" t="str">
            <v>462212202</v>
          </cell>
          <cell r="Q625" t="str">
            <v>BULK SUPPLY DOMESTIC</v>
          </cell>
          <cell r="R625" t="str">
            <v>HT</v>
          </cell>
          <cell r="S625" t="str">
            <v>01/10/2023</v>
          </cell>
          <cell r="T625" t="str">
            <v>01/10/2023</v>
          </cell>
          <cell r="U625" t="str">
            <v>09/10/2023</v>
          </cell>
          <cell r="V625" t="str">
            <v>09/10/2023</v>
          </cell>
          <cell r="W625" t="str">
            <v>2023/09</v>
          </cell>
          <cell r="X625" t="str">
            <v>11 KV</v>
          </cell>
          <cell r="Y625" t="str">
            <v>HT</v>
          </cell>
          <cell r="Z625">
            <v>160</v>
          </cell>
          <cell r="AA625">
            <v>0.93410000000000004</v>
          </cell>
          <cell r="AB625">
            <v>0</v>
          </cell>
          <cell r="AC625" t="str">
            <v xml:space="preserve">01/09/2023 -     </v>
          </cell>
          <cell r="AD625" t="str">
            <v>30.09.2023</v>
          </cell>
          <cell r="AE625" t="str">
            <v>30/1.0000</v>
          </cell>
          <cell r="AF625">
            <v>160</v>
          </cell>
          <cell r="AG625" t="str">
            <v>KVA</v>
          </cell>
          <cell r="AH625">
            <v>160</v>
          </cell>
          <cell r="AI625" t="str">
            <v>R</v>
          </cell>
          <cell r="AJ625">
            <v>237894.6</v>
          </cell>
          <cell r="AK625" t="str">
            <v>30/09/2023</v>
          </cell>
          <cell r="AL625" t="str">
            <v>NSC95105</v>
          </cell>
          <cell r="AM625" t="str">
            <v>TRI-VECTOR METER FOR RAILWAY TRACTION</v>
          </cell>
          <cell r="AN625" t="str">
            <v>POST PAID</v>
          </cell>
          <cell r="AO625">
            <v>250</v>
          </cell>
          <cell r="AP625" t="str">
            <v>TOD</v>
          </cell>
          <cell r="AQ625">
            <v>-20765.2</v>
          </cell>
          <cell r="AR625">
            <v>0</v>
          </cell>
          <cell r="AS625">
            <v>0</v>
          </cell>
          <cell r="AT625">
            <v>0</v>
          </cell>
          <cell r="AU625">
            <v>0</v>
          </cell>
          <cell r="AV625">
            <v>0</v>
          </cell>
          <cell r="AW625">
            <v>20244</v>
          </cell>
          <cell r="AX625">
            <v>21671</v>
          </cell>
          <cell r="AY625">
            <v>21671</v>
          </cell>
          <cell r="AZ625">
            <v>459.92</v>
          </cell>
          <cell r="BA625">
            <v>66.400000000000006</v>
          </cell>
        </row>
        <row r="626">
          <cell r="F626">
            <v>622000000009</v>
          </cell>
          <cell r="G626" t="str">
            <v>ORISSA MNRL DEV CORP LTD CLNY</v>
          </cell>
          <cell r="H626" t="str">
            <v>THAKURANI,</v>
          </cell>
          <cell r="I626" t="str">
            <v>10/31/2020 00:00:00</v>
          </cell>
          <cell r="J626">
            <v>1</v>
          </cell>
          <cell r="K626" t="str">
            <v xml:space="preserve"> </v>
          </cell>
          <cell r="L626" t="str">
            <v xml:space="preserve"> </v>
          </cell>
          <cell r="M626" t="str">
            <v>622000010231493227</v>
          </cell>
          <cell r="N626" t="str">
            <v>6120000016</v>
          </cell>
          <cell r="O626" t="str">
            <v>BD-3</v>
          </cell>
          <cell r="P626" t="str">
            <v>462233202</v>
          </cell>
          <cell r="Q626" t="str">
            <v>BULK SUPPLY DOMESTIC</v>
          </cell>
          <cell r="R626" t="str">
            <v>HT</v>
          </cell>
          <cell r="S626" t="str">
            <v>01/10/2023</v>
          </cell>
          <cell r="T626" t="str">
            <v>01/10/2023</v>
          </cell>
          <cell r="U626" t="str">
            <v>09/10/2023</v>
          </cell>
          <cell r="V626" t="str">
            <v>09/10/2023</v>
          </cell>
          <cell r="W626" t="str">
            <v>2023/09</v>
          </cell>
          <cell r="X626" t="str">
            <v>11 KV</v>
          </cell>
          <cell r="Y626" t="str">
            <v>HT</v>
          </cell>
          <cell r="Z626">
            <v>555.55999999999995</v>
          </cell>
          <cell r="AA626">
            <v>0.94579999999999997</v>
          </cell>
          <cell r="AB626">
            <v>0</v>
          </cell>
          <cell r="AC626" t="str">
            <v xml:space="preserve">01/09/2023 -     </v>
          </cell>
          <cell r="AD626" t="str">
            <v>30.09.2023</v>
          </cell>
          <cell r="AE626" t="str">
            <v>30/1.0000</v>
          </cell>
          <cell r="AF626">
            <v>555.55999999999995</v>
          </cell>
          <cell r="AG626" t="str">
            <v>KVA</v>
          </cell>
          <cell r="AH626">
            <v>555.55999999999995</v>
          </cell>
          <cell r="AI626" t="str">
            <v>R</v>
          </cell>
          <cell r="AJ626">
            <v>1847146.8</v>
          </cell>
          <cell r="AK626" t="str">
            <v>30/09/2023</v>
          </cell>
          <cell r="AL626" t="str">
            <v>NSC95108</v>
          </cell>
          <cell r="AM626" t="str">
            <v>HT THREE PHASE 4 WIRE AMR/AMI COMPLAINT METER</v>
          </cell>
          <cell r="AN626" t="str">
            <v>POST PAID</v>
          </cell>
          <cell r="AO626">
            <v>500</v>
          </cell>
          <cell r="AP626" t="str">
            <v>TOD</v>
          </cell>
          <cell r="AQ626">
            <v>-434578.8</v>
          </cell>
          <cell r="AR626">
            <v>0</v>
          </cell>
          <cell r="AS626">
            <v>0</v>
          </cell>
          <cell r="AT626">
            <v>0</v>
          </cell>
          <cell r="AU626">
            <v>0</v>
          </cell>
          <cell r="AV626">
            <v>0</v>
          </cell>
          <cell r="AW626">
            <v>141534</v>
          </cell>
          <cell r="AX626">
            <v>149634</v>
          </cell>
          <cell r="AY626">
            <v>149634</v>
          </cell>
          <cell r="AZ626">
            <v>2312.16</v>
          </cell>
          <cell r="BA626">
            <v>329.04</v>
          </cell>
        </row>
        <row r="627">
          <cell r="F627">
            <v>622000000010</v>
          </cell>
          <cell r="G627" t="str">
            <v>DEBABRATA BEHERA</v>
          </cell>
          <cell r="H627" t="str">
            <v>SILIJODA,</v>
          </cell>
          <cell r="I627" t="str">
            <v>10/31/2020 00:00:00</v>
          </cell>
          <cell r="J627">
            <v>1</v>
          </cell>
          <cell r="K627" t="str">
            <v xml:space="preserve"> </v>
          </cell>
          <cell r="L627" t="str">
            <v xml:space="preserve"> </v>
          </cell>
          <cell r="M627" t="str">
            <v>622000010231494165</v>
          </cell>
          <cell r="N627" t="str">
            <v>6120000009</v>
          </cell>
          <cell r="O627" t="str">
            <v>BD-9</v>
          </cell>
          <cell r="P627" t="str">
            <v>462212202</v>
          </cell>
          <cell r="Q627" t="str">
            <v>BULK SUPPLY DOMESTIC</v>
          </cell>
          <cell r="R627" t="str">
            <v>HT</v>
          </cell>
          <cell r="S627" t="str">
            <v>01/10/2023</v>
          </cell>
          <cell r="T627" t="str">
            <v>01/10/2023</v>
          </cell>
          <cell r="U627" t="str">
            <v>09/10/2023</v>
          </cell>
          <cell r="V627" t="str">
            <v>09/10/2023</v>
          </cell>
          <cell r="W627" t="str">
            <v>2023/09</v>
          </cell>
          <cell r="X627" t="str">
            <v>11 KV</v>
          </cell>
          <cell r="Y627" t="str">
            <v>HT</v>
          </cell>
          <cell r="Z627">
            <v>233.33</v>
          </cell>
          <cell r="AA627">
            <v>0.99119999999999997</v>
          </cell>
          <cell r="AB627">
            <v>0</v>
          </cell>
          <cell r="AC627" t="str">
            <v xml:space="preserve">28/08/2023 -     </v>
          </cell>
          <cell r="AD627" t="str">
            <v>30.09.2023</v>
          </cell>
          <cell r="AE627" t="str">
            <v>34/1.0000</v>
          </cell>
          <cell r="AF627">
            <v>233.33</v>
          </cell>
          <cell r="AG627" t="str">
            <v>KVA</v>
          </cell>
          <cell r="AH627">
            <v>233.33</v>
          </cell>
          <cell r="AI627" t="str">
            <v>R</v>
          </cell>
          <cell r="AJ627">
            <v>151314.92000000001</v>
          </cell>
          <cell r="AK627" t="str">
            <v>30/09/2023</v>
          </cell>
          <cell r="AL627" t="str">
            <v>TPN64019</v>
          </cell>
          <cell r="AM627" t="str">
            <v>HT THREE PHASE 4 WIRE AMR/AMI COMPLAINT METER</v>
          </cell>
          <cell r="AN627" t="str">
            <v>POST PAID</v>
          </cell>
          <cell r="AO627">
            <v>250</v>
          </cell>
          <cell r="AP627" t="str">
            <v>TOD</v>
          </cell>
          <cell r="AQ627">
            <v>-83035.12</v>
          </cell>
          <cell r="AR627">
            <v>0</v>
          </cell>
          <cell r="AS627">
            <v>0</v>
          </cell>
          <cell r="AT627">
            <v>0</v>
          </cell>
          <cell r="AU627">
            <v>0</v>
          </cell>
          <cell r="AV627">
            <v>0</v>
          </cell>
          <cell r="AW627">
            <v>54606</v>
          </cell>
          <cell r="AX627">
            <v>55089</v>
          </cell>
          <cell r="AY627">
            <v>55089</v>
          </cell>
          <cell r="AZ627">
            <v>1027.08</v>
          </cell>
          <cell r="BA627">
            <v>144.24</v>
          </cell>
        </row>
        <row r="628">
          <cell r="F628">
            <v>622000000011</v>
          </cell>
          <cell r="G628" t="str">
            <v>KALINGA IRON WORKS COLONY</v>
          </cell>
          <cell r="H628" t="str">
            <v>MATKAMBEDA,</v>
          </cell>
          <cell r="I628" t="str">
            <v>10/31/2020 00:00:00</v>
          </cell>
          <cell r="J628">
            <v>1</v>
          </cell>
          <cell r="K628" t="str">
            <v xml:space="preserve"> </v>
          </cell>
          <cell r="L628" t="str">
            <v xml:space="preserve"> </v>
          </cell>
          <cell r="M628" t="str">
            <v>622000010231493470</v>
          </cell>
          <cell r="N628" t="str">
            <v>6120000028</v>
          </cell>
          <cell r="O628" t="str">
            <v>BD-12</v>
          </cell>
          <cell r="P628" t="str">
            <v>462232104</v>
          </cell>
          <cell r="Q628" t="str">
            <v>BULK SUPPLY DOMESTIC</v>
          </cell>
          <cell r="R628" t="str">
            <v>HT</v>
          </cell>
          <cell r="S628" t="str">
            <v>01/10/2023</v>
          </cell>
          <cell r="T628" t="str">
            <v>01/10/2023</v>
          </cell>
          <cell r="U628" t="str">
            <v>09/10/2023</v>
          </cell>
          <cell r="V628" t="str">
            <v>09/10/2023</v>
          </cell>
          <cell r="W628" t="str">
            <v>2023/09</v>
          </cell>
          <cell r="X628" t="str">
            <v>11 KV</v>
          </cell>
          <cell r="Y628" t="str">
            <v>HT</v>
          </cell>
          <cell r="Z628">
            <v>500</v>
          </cell>
          <cell r="AA628">
            <v>0.98760000000000003</v>
          </cell>
          <cell r="AB628">
            <v>0</v>
          </cell>
          <cell r="AC628" t="str">
            <v xml:space="preserve">01/09/2023 -     </v>
          </cell>
          <cell r="AD628" t="str">
            <v>30.09.2023</v>
          </cell>
          <cell r="AE628" t="str">
            <v>30/1.0000</v>
          </cell>
          <cell r="AF628">
            <v>500</v>
          </cell>
          <cell r="AG628" t="str">
            <v>KVA</v>
          </cell>
          <cell r="AH628">
            <v>500</v>
          </cell>
          <cell r="AI628" t="str">
            <v>R</v>
          </cell>
          <cell r="AJ628">
            <v>2734412.4</v>
          </cell>
          <cell r="AK628" t="str">
            <v>30/09/2023</v>
          </cell>
          <cell r="AL628" t="str">
            <v>TPN64172</v>
          </cell>
          <cell r="AM628" t="str">
            <v>HT THREE PHASE 4 WIRE AMR/AMI COMPLAINT METER</v>
          </cell>
          <cell r="AN628" t="str">
            <v>POST PAID</v>
          </cell>
          <cell r="AO628">
            <v>0</v>
          </cell>
          <cell r="AP628" t="str">
            <v>TOD</v>
          </cell>
          <cell r="AQ628">
            <v>-1884882.34</v>
          </cell>
          <cell r="AR628">
            <v>0</v>
          </cell>
          <cell r="AS628">
            <v>0</v>
          </cell>
          <cell r="AT628">
            <v>0</v>
          </cell>
          <cell r="AU628">
            <v>0</v>
          </cell>
          <cell r="AV628">
            <v>0</v>
          </cell>
          <cell r="AW628">
            <v>81905</v>
          </cell>
          <cell r="AX628">
            <v>82925</v>
          </cell>
          <cell r="AY628">
            <v>82925</v>
          </cell>
          <cell r="AZ628">
            <v>1469.2</v>
          </cell>
          <cell r="BA628">
            <v>222.8</v>
          </cell>
        </row>
        <row r="629">
          <cell r="F629">
            <v>622000000013</v>
          </cell>
          <cell r="G629" t="str">
            <v>BANEIKALA COLONY, TISCO, JODA</v>
          </cell>
          <cell r="H629" t="str">
            <v>DIVSNL MANAGER,TISCO,JODA</v>
          </cell>
          <cell r="I629" t="str">
            <v>10/31/2020 00:00:00</v>
          </cell>
          <cell r="J629">
            <v>1</v>
          </cell>
          <cell r="K629" t="str">
            <v xml:space="preserve"> </v>
          </cell>
          <cell r="L629" t="str">
            <v xml:space="preserve"> </v>
          </cell>
          <cell r="M629" t="str">
            <v>622000010231493994</v>
          </cell>
          <cell r="N629" t="str">
            <v>6120000029</v>
          </cell>
          <cell r="O629" t="str">
            <v>BD-16</v>
          </cell>
          <cell r="P629" t="str">
            <v>462211103</v>
          </cell>
          <cell r="Q629" t="str">
            <v>BULK SUPPLY DOMESTIC</v>
          </cell>
          <cell r="R629" t="str">
            <v>HT</v>
          </cell>
          <cell r="S629" t="str">
            <v>01/10/2023</v>
          </cell>
          <cell r="T629" t="str">
            <v>01/10/2023</v>
          </cell>
          <cell r="U629" t="str">
            <v>09/10/2023</v>
          </cell>
          <cell r="V629" t="str">
            <v>09/10/2023</v>
          </cell>
          <cell r="W629" t="str">
            <v>2023/09</v>
          </cell>
          <cell r="X629" t="str">
            <v>11 KV</v>
          </cell>
          <cell r="Y629" t="str">
            <v>HT</v>
          </cell>
          <cell r="Z629">
            <v>452.22</v>
          </cell>
          <cell r="AA629">
            <v>0.98309999999999997</v>
          </cell>
          <cell r="AB629">
            <v>0</v>
          </cell>
          <cell r="AC629" t="str">
            <v xml:space="preserve">01/09/2023 -     </v>
          </cell>
          <cell r="AD629" t="str">
            <v>30.09.2023</v>
          </cell>
          <cell r="AE629" t="str">
            <v>30/1.0000</v>
          </cell>
          <cell r="AF629">
            <v>452.22</v>
          </cell>
          <cell r="AG629" t="str">
            <v>KVA</v>
          </cell>
          <cell r="AH629">
            <v>452.22</v>
          </cell>
          <cell r="AI629" t="str">
            <v>R</v>
          </cell>
          <cell r="AJ629">
            <v>458997.75</v>
          </cell>
          <cell r="AK629" t="str">
            <v>30/09/2023</v>
          </cell>
          <cell r="AL629" t="str">
            <v>TPN64020</v>
          </cell>
          <cell r="AM629" t="str">
            <v>HT THREE PHASE 4 WIRE AMR/AMI COMPLAINT METER</v>
          </cell>
          <cell r="AN629" t="str">
            <v>POST PAID</v>
          </cell>
          <cell r="AO629">
            <v>0</v>
          </cell>
          <cell r="AP629" t="str">
            <v>TOD</v>
          </cell>
          <cell r="AQ629">
            <v>-32160.75</v>
          </cell>
          <cell r="AR629">
            <v>0</v>
          </cell>
          <cell r="AS629">
            <v>0</v>
          </cell>
          <cell r="AT629">
            <v>0</v>
          </cell>
          <cell r="AU629">
            <v>0</v>
          </cell>
          <cell r="AV629">
            <v>0</v>
          </cell>
          <cell r="AW629">
            <v>51207</v>
          </cell>
          <cell r="AX629">
            <v>52085</v>
          </cell>
          <cell r="AY629">
            <v>52085</v>
          </cell>
          <cell r="AZ629">
            <v>755.8</v>
          </cell>
          <cell r="BA629">
            <v>141.80000000000001</v>
          </cell>
        </row>
        <row r="630">
          <cell r="F630">
            <v>622000000014</v>
          </cell>
          <cell r="G630" t="str">
            <v>SERENDA NEW COLONY, OMC LTD</v>
          </cell>
          <cell r="H630" t="str">
            <v>MANAGER (CIVIL),</v>
          </cell>
          <cell r="I630" t="str">
            <v>10/31/2020 00:00:00</v>
          </cell>
          <cell r="J630">
            <v>1</v>
          </cell>
          <cell r="K630" t="str">
            <v xml:space="preserve"> </v>
          </cell>
          <cell r="L630" t="str">
            <v xml:space="preserve"> </v>
          </cell>
          <cell r="M630" t="str">
            <v>622000010231495218</v>
          </cell>
          <cell r="N630" t="str">
            <v>6120000018</v>
          </cell>
          <cell r="O630" t="str">
            <v>BD-21</v>
          </cell>
          <cell r="P630" t="str">
            <v>462233202</v>
          </cell>
          <cell r="Q630" t="str">
            <v>BULK SUPPLY DOMESTIC</v>
          </cell>
          <cell r="R630" t="str">
            <v>HT</v>
          </cell>
          <cell r="S630" t="str">
            <v>01/10/2023</v>
          </cell>
          <cell r="T630" t="str">
            <v>01/10/2023</v>
          </cell>
          <cell r="U630" t="str">
            <v>09/10/2023</v>
          </cell>
          <cell r="V630" t="str">
            <v>09/10/2023</v>
          </cell>
          <cell r="W630" t="str">
            <v>2023/09</v>
          </cell>
          <cell r="X630" t="str">
            <v>11 KV</v>
          </cell>
          <cell r="Y630" t="str">
            <v>HT</v>
          </cell>
          <cell r="Z630">
            <v>133.33000000000001</v>
          </cell>
          <cell r="AA630">
            <v>0.99250000000000005</v>
          </cell>
          <cell r="AB630">
            <v>0</v>
          </cell>
          <cell r="AC630" t="str">
            <v xml:space="preserve">01/09/2023 -     </v>
          </cell>
          <cell r="AD630" t="str">
            <v>30.09.2023</v>
          </cell>
          <cell r="AE630" t="str">
            <v>30/1.0000</v>
          </cell>
          <cell r="AF630">
            <v>133.33000000000001</v>
          </cell>
          <cell r="AG630" t="str">
            <v>KVA</v>
          </cell>
          <cell r="AH630">
            <v>133.33000000000001</v>
          </cell>
          <cell r="AI630" t="str">
            <v>R</v>
          </cell>
          <cell r="AJ630">
            <v>446869.6</v>
          </cell>
          <cell r="AK630" t="str">
            <v>30/09/2023</v>
          </cell>
          <cell r="AL630" t="str">
            <v>NSC17166</v>
          </cell>
          <cell r="AM630" t="str">
            <v>SINGLE PHASE ELECTRO-MAGNETIC KWH METER-TOD</v>
          </cell>
          <cell r="AN630" t="str">
            <v>POST PAID</v>
          </cell>
          <cell r="AO630">
            <v>0</v>
          </cell>
          <cell r="AP630" t="str">
            <v>TOD</v>
          </cell>
          <cell r="AQ630">
            <v>-31092.799999999999</v>
          </cell>
          <cell r="AR630">
            <v>0</v>
          </cell>
          <cell r="AS630">
            <v>0</v>
          </cell>
          <cell r="AT630">
            <v>0</v>
          </cell>
          <cell r="AU630">
            <v>0</v>
          </cell>
          <cell r="AV630">
            <v>0</v>
          </cell>
          <cell r="AW630">
            <v>41136</v>
          </cell>
          <cell r="AX630">
            <v>41446</v>
          </cell>
          <cell r="AY630">
            <v>41446</v>
          </cell>
          <cell r="AZ630">
            <v>0.48599999999999999</v>
          </cell>
          <cell r="BA630">
            <v>97.2</v>
          </cell>
        </row>
        <row r="631">
          <cell r="F631">
            <v>622000000016</v>
          </cell>
          <cell r="G631" t="str">
            <v>BARBIL COLONY, OMC LTD</v>
          </cell>
          <cell r="H631" t="str">
            <v>KEONJHAR,</v>
          </cell>
          <cell r="I631" t="str">
            <v>10/31/2020 00:00:00</v>
          </cell>
          <cell r="J631">
            <v>1</v>
          </cell>
          <cell r="K631" t="str">
            <v xml:space="preserve"> </v>
          </cell>
          <cell r="L631" t="str">
            <v xml:space="preserve"> </v>
          </cell>
          <cell r="M631" t="str">
            <v>622000010231495196</v>
          </cell>
          <cell r="N631" t="str">
            <v>6120000059</v>
          </cell>
          <cell r="O631" t="str">
            <v>BD-34</v>
          </cell>
          <cell r="P631" t="str">
            <v>462232103</v>
          </cell>
          <cell r="Q631" t="str">
            <v>BULK SUPPLY DOMESTIC</v>
          </cell>
          <cell r="R631" t="str">
            <v>HT</v>
          </cell>
          <cell r="S631" t="str">
            <v>01/10/2023</v>
          </cell>
          <cell r="T631" t="str">
            <v>01/10/2023</v>
          </cell>
          <cell r="U631" t="str">
            <v>09/10/2023</v>
          </cell>
          <cell r="V631" t="str">
            <v>09/10/2023</v>
          </cell>
          <cell r="W631" t="str">
            <v>2023/09</v>
          </cell>
          <cell r="X631" t="str">
            <v>11 KV</v>
          </cell>
          <cell r="Y631" t="str">
            <v>HT</v>
          </cell>
          <cell r="Z631">
            <v>182.22</v>
          </cell>
          <cell r="AA631">
            <v>0.9698</v>
          </cell>
          <cell r="AB631">
            <v>0</v>
          </cell>
          <cell r="AC631" t="str">
            <v xml:space="preserve">01/09/2023 -     </v>
          </cell>
          <cell r="AD631" t="str">
            <v>30.09.2023</v>
          </cell>
          <cell r="AE631" t="str">
            <v>30/1.0000</v>
          </cell>
          <cell r="AF631">
            <v>182.22</v>
          </cell>
          <cell r="AG631" t="str">
            <v>KVA</v>
          </cell>
          <cell r="AH631">
            <v>182.22</v>
          </cell>
          <cell r="AI631" t="str">
            <v>R</v>
          </cell>
          <cell r="AJ631">
            <v>508466.8</v>
          </cell>
          <cell r="AK631" t="str">
            <v>30/09/2023</v>
          </cell>
          <cell r="AL631" t="str">
            <v>TPNODL38111564</v>
          </cell>
          <cell r="AM631" t="str">
            <v>THREE PHASE SMART HT CT METER (AMR/AMI)-11KV</v>
          </cell>
          <cell r="AN631" t="str">
            <v>SMART METER</v>
          </cell>
          <cell r="AO631">
            <v>0</v>
          </cell>
          <cell r="AP631" t="str">
            <v>TOD</v>
          </cell>
          <cell r="AQ631">
            <v>-135324.4</v>
          </cell>
          <cell r="AR631">
            <v>0</v>
          </cell>
          <cell r="AS631">
            <v>0</v>
          </cell>
          <cell r="AT631">
            <v>0</v>
          </cell>
          <cell r="AU631">
            <v>0</v>
          </cell>
          <cell r="AV631">
            <v>0</v>
          </cell>
          <cell r="AW631">
            <v>39525</v>
          </cell>
          <cell r="AX631">
            <v>40752</v>
          </cell>
          <cell r="AY631">
            <v>40752</v>
          </cell>
          <cell r="AZ631">
            <v>529.01160000000004</v>
          </cell>
          <cell r="BA631">
            <v>104.684</v>
          </cell>
        </row>
        <row r="632">
          <cell r="F632">
            <v>622000000017</v>
          </cell>
          <cell r="G632" t="str">
            <v>JARIBAR Mn MINES COLONY, TISCO</v>
          </cell>
          <cell r="H632" t="str">
            <v>JODA,</v>
          </cell>
          <cell r="I632" t="str">
            <v>10/31/2020 00:00:00</v>
          </cell>
          <cell r="J632">
            <v>1</v>
          </cell>
          <cell r="K632" t="str">
            <v xml:space="preserve"> </v>
          </cell>
          <cell r="L632" t="str">
            <v xml:space="preserve"> </v>
          </cell>
          <cell r="M632" t="str">
            <v>622000010231494369</v>
          </cell>
          <cell r="N632" t="str">
            <v>6120000049</v>
          </cell>
          <cell r="O632" t="str">
            <v>BD-47</v>
          </cell>
          <cell r="P632" t="str">
            <v>462212202</v>
          </cell>
          <cell r="Q632" t="str">
            <v>BULK SUPPLY DOMESTIC</v>
          </cell>
          <cell r="R632" t="str">
            <v>HT</v>
          </cell>
          <cell r="S632" t="str">
            <v>01/10/2023</v>
          </cell>
          <cell r="T632" t="str">
            <v>01/10/2023</v>
          </cell>
          <cell r="U632" t="str">
            <v>09/10/2023</v>
          </cell>
          <cell r="V632" t="str">
            <v>09/10/2023</v>
          </cell>
          <cell r="W632" t="str">
            <v>2023/09</v>
          </cell>
          <cell r="X632" t="str">
            <v>11 KV</v>
          </cell>
          <cell r="Y632" t="str">
            <v>HT</v>
          </cell>
          <cell r="Z632">
            <v>170</v>
          </cell>
          <cell r="AA632">
            <v>0.9516</v>
          </cell>
          <cell r="AB632">
            <v>0</v>
          </cell>
          <cell r="AC632" t="str">
            <v xml:space="preserve">28/08/2023 -     </v>
          </cell>
          <cell r="AD632" t="str">
            <v>28.09.2023</v>
          </cell>
          <cell r="AE632" t="str">
            <v>32/1.0000</v>
          </cell>
          <cell r="AF632">
            <v>170</v>
          </cell>
          <cell r="AG632" t="str">
            <v>KVA</v>
          </cell>
          <cell r="AH632">
            <v>170</v>
          </cell>
          <cell r="AI632" t="str">
            <v>R</v>
          </cell>
          <cell r="AJ632">
            <v>179472</v>
          </cell>
          <cell r="AK632" t="str">
            <v>28/09/2023</v>
          </cell>
          <cell r="AL632" t="str">
            <v>TPN64049</v>
          </cell>
          <cell r="AM632" t="str">
            <v>HT THREE PHASE 4 WIRE AMR/AMI COMPLAINT METER</v>
          </cell>
          <cell r="AN632" t="str">
            <v>POST PAID</v>
          </cell>
          <cell r="AO632">
            <v>500</v>
          </cell>
          <cell r="AP632" t="str">
            <v>TOD</v>
          </cell>
          <cell r="AQ632">
            <v>-95683.199999999997</v>
          </cell>
          <cell r="AR632">
            <v>0</v>
          </cell>
          <cell r="AS632">
            <v>0</v>
          </cell>
          <cell r="AT632">
            <v>0</v>
          </cell>
          <cell r="AU632">
            <v>0</v>
          </cell>
          <cell r="AV632">
            <v>0</v>
          </cell>
          <cell r="AW632">
            <v>6620</v>
          </cell>
          <cell r="AX632">
            <v>6956</v>
          </cell>
          <cell r="AY632">
            <v>6956</v>
          </cell>
          <cell r="AZ632">
            <v>164.64</v>
          </cell>
          <cell r="BA632">
            <v>22.24</v>
          </cell>
        </row>
        <row r="633">
          <cell r="F633">
            <v>622000000018</v>
          </cell>
          <cell r="G633" t="str">
            <v>KHANDBANDH COLONY, OMC LTD</v>
          </cell>
          <cell r="H633" t="str">
            <v>JODA,KEONJHAR,</v>
          </cell>
          <cell r="I633" t="str">
            <v>10/31/2020 00:00:00</v>
          </cell>
          <cell r="J633">
            <v>1</v>
          </cell>
          <cell r="K633" t="str">
            <v xml:space="preserve"> </v>
          </cell>
          <cell r="L633" t="str">
            <v xml:space="preserve"> </v>
          </cell>
          <cell r="M633" t="str">
            <v>622000010231494423</v>
          </cell>
          <cell r="N633" t="str">
            <v>6120000061</v>
          </cell>
          <cell r="O633" t="str">
            <v>BD-56</v>
          </cell>
          <cell r="P633" t="str">
            <v>462212202</v>
          </cell>
          <cell r="Q633" t="str">
            <v>BULK SUPPLY DOMESTIC</v>
          </cell>
          <cell r="R633" t="str">
            <v>HT</v>
          </cell>
          <cell r="S633" t="str">
            <v>01/10/2023</v>
          </cell>
          <cell r="T633" t="str">
            <v>01/10/2023</v>
          </cell>
          <cell r="U633" t="str">
            <v>09/10/2023</v>
          </cell>
          <cell r="V633" t="str">
            <v>09/10/2023</v>
          </cell>
          <cell r="W633" t="str">
            <v>2023/09</v>
          </cell>
          <cell r="X633" t="str">
            <v>11 KV</v>
          </cell>
          <cell r="Y633" t="str">
            <v>LT</v>
          </cell>
          <cell r="Z633">
            <v>117.78</v>
          </cell>
          <cell r="AA633">
            <v>0.98799999999999999</v>
          </cell>
          <cell r="AB633">
            <v>0</v>
          </cell>
          <cell r="AC633" t="str">
            <v xml:space="preserve">28/08/2023 -     </v>
          </cell>
          <cell r="AD633" t="str">
            <v>28.09.2023</v>
          </cell>
          <cell r="AE633" t="str">
            <v>32/1.0000</v>
          </cell>
          <cell r="AF633">
            <v>117.78</v>
          </cell>
          <cell r="AG633" t="str">
            <v>KVA</v>
          </cell>
          <cell r="AH633">
            <v>117.78</v>
          </cell>
          <cell r="AI633" t="str">
            <v>R</v>
          </cell>
          <cell r="AJ633">
            <v>408823.4</v>
          </cell>
          <cell r="AK633" t="str">
            <v>28/09/2023</v>
          </cell>
          <cell r="AL633" t="str">
            <v>TPN63002</v>
          </cell>
          <cell r="AM633" t="str">
            <v>HT THREE PHASE 4 WIRE AMR/AMI COMPLAINT METER</v>
          </cell>
          <cell r="AN633" t="str">
            <v>BI DIRECTIONAL</v>
          </cell>
          <cell r="AO633">
            <v>250</v>
          </cell>
          <cell r="AP633" t="str">
            <v>TOD</v>
          </cell>
          <cell r="AQ633">
            <v>-252702.2</v>
          </cell>
          <cell r="AR633">
            <v>0</v>
          </cell>
          <cell r="AS633">
            <v>0</v>
          </cell>
          <cell r="AT633">
            <v>0</v>
          </cell>
          <cell r="AU633">
            <v>0</v>
          </cell>
          <cell r="AV633">
            <v>0</v>
          </cell>
          <cell r="AW633">
            <v>14944</v>
          </cell>
          <cell r="AX633">
            <v>15125</v>
          </cell>
          <cell r="AY633">
            <v>16014</v>
          </cell>
          <cell r="AZ633">
            <v>27.12</v>
          </cell>
          <cell r="BA633">
            <v>55.49</v>
          </cell>
        </row>
        <row r="634">
          <cell r="F634">
            <v>622000000020</v>
          </cell>
          <cell r="G634" t="str">
            <v>GURUDA COLONY, OMC LIMITED</v>
          </cell>
          <cell r="H634" t="str">
            <v>JODA,</v>
          </cell>
          <cell r="I634" t="str">
            <v>10/31/2020 00:00:00</v>
          </cell>
          <cell r="J634">
            <v>1</v>
          </cell>
          <cell r="K634" t="str">
            <v xml:space="preserve"> </v>
          </cell>
          <cell r="L634" t="str">
            <v xml:space="preserve"> </v>
          </cell>
          <cell r="M634" t="str">
            <v>622000010231494467</v>
          </cell>
          <cell r="N634" t="str">
            <v>6120000081</v>
          </cell>
          <cell r="O634" t="str">
            <v>GP-13</v>
          </cell>
          <cell r="P634" t="str">
            <v>462212202</v>
          </cell>
          <cell r="Q634" t="str">
            <v>GENERAL PURPOSE &gt;= 110 KVA</v>
          </cell>
          <cell r="R634" t="str">
            <v>HT</v>
          </cell>
          <cell r="S634" t="str">
            <v>01/10/2023</v>
          </cell>
          <cell r="T634" t="str">
            <v>01/10/2023</v>
          </cell>
          <cell r="U634" t="str">
            <v>06/10/2023</v>
          </cell>
          <cell r="V634" t="str">
            <v>09/10/2023</v>
          </cell>
          <cell r="W634" t="str">
            <v>2023/09</v>
          </cell>
          <cell r="X634" t="str">
            <v>11 KV</v>
          </cell>
          <cell r="Y634" t="str">
            <v>HT</v>
          </cell>
          <cell r="Z634">
            <v>108.8</v>
          </cell>
          <cell r="AA634">
            <v>0.98199999999999998</v>
          </cell>
          <cell r="AB634">
            <v>51.01</v>
          </cell>
          <cell r="AC634" t="str">
            <v xml:space="preserve">01/09/2023 -     </v>
          </cell>
          <cell r="AD634" t="str">
            <v>30.09.2023</v>
          </cell>
          <cell r="AE634" t="str">
            <v>30/1.0000</v>
          </cell>
          <cell r="AF634">
            <v>136</v>
          </cell>
          <cell r="AG634" t="str">
            <v>KVA</v>
          </cell>
          <cell r="AH634">
            <v>136</v>
          </cell>
          <cell r="AI634" t="str">
            <v>R</v>
          </cell>
          <cell r="AJ634">
            <v>511728.8</v>
          </cell>
          <cell r="AK634" t="str">
            <v>30/09/2023</v>
          </cell>
          <cell r="AL634" t="str">
            <v>NES52423</v>
          </cell>
          <cell r="AM634" t="str">
            <v>TRI-VECTOR METER FOR RAILWAY TRACTION</v>
          </cell>
          <cell r="AN634" t="str">
            <v>POST PAID</v>
          </cell>
          <cell r="AO634">
            <v>250</v>
          </cell>
          <cell r="AP634" t="str">
            <v>TOD</v>
          </cell>
          <cell r="AQ634">
            <v>-104538.7</v>
          </cell>
          <cell r="AR634">
            <v>0</v>
          </cell>
          <cell r="AS634">
            <v>0</v>
          </cell>
          <cell r="AT634">
            <v>0</v>
          </cell>
          <cell r="AU634">
            <v>0</v>
          </cell>
          <cell r="AV634">
            <v>0</v>
          </cell>
          <cell r="AW634">
            <v>34407</v>
          </cell>
          <cell r="AX634">
            <v>35035</v>
          </cell>
          <cell r="AY634">
            <v>35035</v>
          </cell>
          <cell r="AZ634">
            <v>698.8</v>
          </cell>
          <cell r="BA634">
            <v>95.4</v>
          </cell>
        </row>
        <row r="635">
          <cell r="F635">
            <v>622000000023</v>
          </cell>
          <cell r="G635" t="str">
            <v>M/S HOTEL LUCKY INDIA</v>
          </cell>
          <cell r="H635" t="str">
            <v>M.D. SRI S K BEHERA,BARBIL</v>
          </cell>
          <cell r="I635" t="str">
            <v>10/31/2020 00:00:00</v>
          </cell>
          <cell r="J635">
            <v>1</v>
          </cell>
          <cell r="K635" t="str">
            <v xml:space="preserve"> </v>
          </cell>
          <cell r="L635" t="str">
            <v xml:space="preserve"> </v>
          </cell>
          <cell r="M635" t="str">
            <v>622000010231493815</v>
          </cell>
          <cell r="N635" t="str">
            <v>6120000162</v>
          </cell>
          <cell r="O635" t="str">
            <v>GP-162</v>
          </cell>
          <cell r="P635" t="str">
            <v>462232103</v>
          </cell>
          <cell r="Q635" t="str">
            <v>GENERAL PURPOSE &gt;= 110 KVA</v>
          </cell>
          <cell r="R635" t="str">
            <v>HT</v>
          </cell>
          <cell r="S635" t="str">
            <v>01/10/2023</v>
          </cell>
          <cell r="T635" t="str">
            <v>01/10/2023</v>
          </cell>
          <cell r="U635" t="str">
            <v>06/10/2023</v>
          </cell>
          <cell r="V635" t="str">
            <v>09/10/2023</v>
          </cell>
          <cell r="W635" t="str">
            <v>2023/09</v>
          </cell>
          <cell r="X635" t="str">
            <v>11 KV</v>
          </cell>
          <cell r="Y635" t="str">
            <v>HT</v>
          </cell>
          <cell r="Z635">
            <v>204.8</v>
          </cell>
          <cell r="AA635">
            <v>0.81879999999999997</v>
          </cell>
          <cell r="AB635">
            <v>38.119999999999997</v>
          </cell>
          <cell r="AC635" t="str">
            <v xml:space="preserve">01/09/2023 -     </v>
          </cell>
          <cell r="AD635" t="str">
            <v>30.09.2023</v>
          </cell>
          <cell r="AE635" t="str">
            <v>30/1.0000</v>
          </cell>
          <cell r="AF635">
            <v>256</v>
          </cell>
          <cell r="AG635" t="str">
            <v>KVA</v>
          </cell>
          <cell r="AH635">
            <v>256</v>
          </cell>
          <cell r="AI635" t="str">
            <v>R</v>
          </cell>
          <cell r="AJ635">
            <v>380518</v>
          </cell>
          <cell r="AK635" t="str">
            <v>30/09/2023</v>
          </cell>
          <cell r="AL635" t="str">
            <v>TPN64018</v>
          </cell>
          <cell r="AM635" t="str">
            <v>HT THREE PHASE 4 WIRE AMR/AMI COMPLAINT METER</v>
          </cell>
          <cell r="AN635" t="str">
            <v>POST PAID</v>
          </cell>
          <cell r="AO635">
            <v>250</v>
          </cell>
          <cell r="AP635" t="str">
            <v>TOD</v>
          </cell>
          <cell r="AQ635">
            <v>-53021.7</v>
          </cell>
          <cell r="AR635">
            <v>0</v>
          </cell>
          <cell r="AS635">
            <v>0</v>
          </cell>
          <cell r="AT635">
            <v>0</v>
          </cell>
          <cell r="AU635">
            <v>0</v>
          </cell>
          <cell r="AV635">
            <v>0</v>
          </cell>
          <cell r="AW635">
            <v>22383</v>
          </cell>
          <cell r="AX635">
            <v>27336</v>
          </cell>
          <cell r="AY635">
            <v>27336</v>
          </cell>
          <cell r="AZ635">
            <v>787.44</v>
          </cell>
          <cell r="BA635">
            <v>99.600000000000009</v>
          </cell>
        </row>
        <row r="636">
          <cell r="F636">
            <v>622000000024</v>
          </cell>
          <cell r="G636" t="str">
            <v>M/S PATNAIK PLANTATION PVT. LTD.</v>
          </cell>
          <cell r="H636" t="str">
            <v>BARBIL, KEONJHAR,</v>
          </cell>
          <cell r="I636" t="str">
            <v>10/31/2020 00:00:00</v>
          </cell>
          <cell r="J636">
            <v>1</v>
          </cell>
          <cell r="K636" t="str">
            <v xml:space="preserve"> </v>
          </cell>
          <cell r="L636" t="str">
            <v xml:space="preserve"> </v>
          </cell>
          <cell r="M636" t="str">
            <v>622000010231493328</v>
          </cell>
          <cell r="N636" t="str">
            <v>6120000165</v>
          </cell>
          <cell r="O636" t="str">
            <v>GP-165</v>
          </cell>
          <cell r="P636" t="str">
            <v>462231105</v>
          </cell>
          <cell r="Q636" t="str">
            <v>GENERAL PURPOSE &gt;= 110 KVA</v>
          </cell>
          <cell r="R636" t="str">
            <v>HT</v>
          </cell>
          <cell r="S636" t="str">
            <v>01/10/2023</v>
          </cell>
          <cell r="T636" t="str">
            <v>01/10/2023</v>
          </cell>
          <cell r="U636" t="str">
            <v>06/10/2023</v>
          </cell>
          <cell r="V636" t="str">
            <v>09/10/2023</v>
          </cell>
          <cell r="W636" t="str">
            <v>2023/09</v>
          </cell>
          <cell r="X636" t="str">
            <v>11 KV</v>
          </cell>
          <cell r="Y636" t="str">
            <v>HT</v>
          </cell>
          <cell r="Z636">
            <v>200</v>
          </cell>
          <cell r="AA636">
            <v>0.97370000000000001</v>
          </cell>
          <cell r="AB636">
            <v>32.54</v>
          </cell>
          <cell r="AC636" t="str">
            <v xml:space="preserve">01/09/2023 -     </v>
          </cell>
          <cell r="AD636" t="str">
            <v>30.09.2023</v>
          </cell>
          <cell r="AE636" t="str">
            <v>30/1.0000</v>
          </cell>
          <cell r="AF636">
            <v>250</v>
          </cell>
          <cell r="AG636" t="str">
            <v>KVA</v>
          </cell>
          <cell r="AH636">
            <v>250</v>
          </cell>
          <cell r="AI636" t="str">
            <v>R</v>
          </cell>
          <cell r="AJ636">
            <v>743200</v>
          </cell>
          <cell r="AK636" t="str">
            <v>30/09/2023</v>
          </cell>
          <cell r="AL636" t="str">
            <v>TPN64171</v>
          </cell>
          <cell r="AM636" t="str">
            <v>HT THREE PHASE 4 WIRE AMR/AMI COMPLAINT METER</v>
          </cell>
          <cell r="AN636" t="str">
            <v>POST PAID</v>
          </cell>
          <cell r="AO636">
            <v>750</v>
          </cell>
          <cell r="AP636" t="str">
            <v>TOD</v>
          </cell>
          <cell r="AQ636">
            <v>-528528.30000000005</v>
          </cell>
          <cell r="AR636">
            <v>0</v>
          </cell>
          <cell r="AS636">
            <v>0</v>
          </cell>
          <cell r="AT636">
            <v>0</v>
          </cell>
          <cell r="AU636">
            <v>0</v>
          </cell>
          <cell r="AV636">
            <v>0</v>
          </cell>
          <cell r="AW636">
            <v>17355</v>
          </cell>
          <cell r="AX636">
            <v>17823</v>
          </cell>
          <cell r="AY636">
            <v>17823</v>
          </cell>
          <cell r="AZ636">
            <v>497.76</v>
          </cell>
          <cell r="BA636">
            <v>76.08</v>
          </cell>
        </row>
        <row r="637">
          <cell r="F637">
            <v>622000000025</v>
          </cell>
          <cell r="G637" t="str">
            <v>EX.ENGR.KANPUR REH. C&amp;B DIVISION</v>
          </cell>
          <cell r="H637" t="str">
            <v>KANPUR IRRIGATION PROJECT</v>
          </cell>
          <cell r="I637" t="str">
            <v>10/31/2020 00:00:00</v>
          </cell>
          <cell r="J637">
            <v>1</v>
          </cell>
          <cell r="K637" t="str">
            <v xml:space="preserve"> </v>
          </cell>
          <cell r="L637" t="str">
            <v xml:space="preserve"> </v>
          </cell>
          <cell r="M637" t="str">
            <v>622000010231493865</v>
          </cell>
          <cell r="N637" t="str">
            <v>6120000167</v>
          </cell>
          <cell r="O637" t="str">
            <v>GP-167</v>
          </cell>
          <cell r="P637" t="str">
            <v>NULL</v>
          </cell>
          <cell r="Q637" t="str">
            <v>GENERAL PURPOSE &gt;= 110 KVA</v>
          </cell>
          <cell r="R637" t="str">
            <v>HT</v>
          </cell>
          <cell r="S637" t="str">
            <v>01/10/2023</v>
          </cell>
          <cell r="T637" t="str">
            <v>01/10/2023</v>
          </cell>
          <cell r="U637" t="str">
            <v>06/10/2023</v>
          </cell>
          <cell r="V637" t="str">
            <v>09/10/2023</v>
          </cell>
          <cell r="W637" t="str">
            <v>2023/09</v>
          </cell>
          <cell r="X637" t="str">
            <v>11 KV</v>
          </cell>
          <cell r="Y637" t="str">
            <v>HT</v>
          </cell>
          <cell r="Z637">
            <v>337.6</v>
          </cell>
          <cell r="AA637">
            <v>0.42049999999999998</v>
          </cell>
          <cell r="AB637">
            <v>51.84</v>
          </cell>
          <cell r="AC637" t="str">
            <v xml:space="preserve">01/09/2023 -     </v>
          </cell>
          <cell r="AD637" t="str">
            <v>30.09.2023</v>
          </cell>
          <cell r="AE637" t="str">
            <v>30/1.0000</v>
          </cell>
          <cell r="AF637">
            <v>422</v>
          </cell>
          <cell r="AG637" t="str">
            <v>KVA</v>
          </cell>
          <cell r="AH637">
            <v>422</v>
          </cell>
          <cell r="AI637" t="str">
            <v>R</v>
          </cell>
          <cell r="AJ637">
            <v>1157766</v>
          </cell>
          <cell r="AK637" t="str">
            <v>30/09/2023</v>
          </cell>
          <cell r="AL637" t="str">
            <v>TPCANES52412</v>
          </cell>
          <cell r="AM637" t="str">
            <v>TRI-VECTOR METER FOR RAILWAY TRACTION</v>
          </cell>
          <cell r="AN637" t="str">
            <v>POST PAID</v>
          </cell>
          <cell r="AO637">
            <v>500</v>
          </cell>
          <cell r="AP637" t="str">
            <v>TOD</v>
          </cell>
          <cell r="AQ637">
            <v>-818508.7</v>
          </cell>
          <cell r="AR637">
            <v>0</v>
          </cell>
          <cell r="AS637">
            <v>0</v>
          </cell>
          <cell r="AT637">
            <v>0</v>
          </cell>
          <cell r="AU637">
            <v>0</v>
          </cell>
          <cell r="AV637">
            <v>0</v>
          </cell>
          <cell r="AW637">
            <v>9763</v>
          </cell>
          <cell r="AX637">
            <v>23217</v>
          </cell>
          <cell r="AY637">
            <v>23217</v>
          </cell>
          <cell r="AZ637">
            <v>563.4</v>
          </cell>
          <cell r="BA637">
            <v>62.199999999999996</v>
          </cell>
        </row>
        <row r="638">
          <cell r="F638">
            <v>622000000026</v>
          </cell>
          <cell r="G638" t="str">
            <v>BRAHMANI RIVER PELLETS LTD.</v>
          </cell>
          <cell r="H638" t="str">
            <v>TANTO, BHADRASAHI,BARBIL</v>
          </cell>
          <cell r="I638" t="str">
            <v>10/31/2020 00:00:00</v>
          </cell>
          <cell r="J638">
            <v>1</v>
          </cell>
          <cell r="K638" t="str">
            <v xml:space="preserve"> </v>
          </cell>
          <cell r="L638" t="str">
            <v xml:space="preserve"> </v>
          </cell>
          <cell r="M638" t="str">
            <v>622000010231495241</v>
          </cell>
          <cell r="N638" t="str">
            <v>6120000174</v>
          </cell>
          <cell r="O638" t="str">
            <v>GP-174</v>
          </cell>
          <cell r="P638" t="str">
            <v>NULL</v>
          </cell>
          <cell r="Q638" t="str">
            <v>LARGE INDUSTRY</v>
          </cell>
          <cell r="R638" t="str">
            <v>EHT</v>
          </cell>
          <cell r="S638" t="str">
            <v>01/10/2023</v>
          </cell>
          <cell r="T638" t="str">
            <v>01/10/2023</v>
          </cell>
          <cell r="U638" t="str">
            <v>06/10/2023</v>
          </cell>
          <cell r="V638" t="str">
            <v>09/10/2023</v>
          </cell>
          <cell r="W638" t="str">
            <v>2023/09</v>
          </cell>
          <cell r="X638" t="str">
            <v>132 KV</v>
          </cell>
          <cell r="Y638" t="str">
            <v>HT</v>
          </cell>
          <cell r="Z638">
            <v>10416</v>
          </cell>
          <cell r="AA638">
            <v>0.99639999999999995</v>
          </cell>
          <cell r="AB638">
            <v>80.349999999999994</v>
          </cell>
          <cell r="AC638" t="str">
            <v xml:space="preserve">01/09/2023 -     </v>
          </cell>
          <cell r="AD638" t="str">
            <v>30.09.2023</v>
          </cell>
          <cell r="AE638" t="str">
            <v>30/1.0000</v>
          </cell>
          <cell r="AF638">
            <v>13000</v>
          </cell>
          <cell r="AG638" t="str">
            <v>KVA</v>
          </cell>
          <cell r="AH638">
            <v>13000</v>
          </cell>
          <cell r="AI638" t="str">
            <v>R</v>
          </cell>
          <cell r="AJ638">
            <v>70707968.799999997</v>
          </cell>
          <cell r="AK638" t="str">
            <v>30/09/2023</v>
          </cell>
          <cell r="AL638" t="str">
            <v>TPN64922</v>
          </cell>
          <cell r="AM638" t="str">
            <v>THREE PHASE HT CT METER-33KV</v>
          </cell>
          <cell r="AN638" t="str">
            <v>POST PAID</v>
          </cell>
          <cell r="AO638">
            <v>20000</v>
          </cell>
          <cell r="AP638" t="str">
            <v>TOD</v>
          </cell>
          <cell r="AQ638">
            <v>674724.8</v>
          </cell>
          <cell r="AR638">
            <v>0</v>
          </cell>
          <cell r="AS638">
            <v>0</v>
          </cell>
          <cell r="AT638">
            <v>0</v>
          </cell>
          <cell r="AU638">
            <v>-2654.4</v>
          </cell>
          <cell r="AV638">
            <v>0</v>
          </cell>
          <cell r="AW638">
            <v>6004680</v>
          </cell>
          <cell r="AX638">
            <v>6026160</v>
          </cell>
          <cell r="AY638">
            <v>6026160</v>
          </cell>
          <cell r="AZ638">
            <v>43.4</v>
          </cell>
          <cell r="BA638">
            <v>10416</v>
          </cell>
        </row>
        <row r="639">
          <cell r="F639">
            <v>622000000028</v>
          </cell>
          <cell r="G639" t="str">
            <v>KIRIBURU MINES, SAIL</v>
          </cell>
          <cell r="H639" t="str">
            <v>SUPTD, RAW MATERIAL DIV</v>
          </cell>
          <cell r="I639" t="str">
            <v>10/31/2020 00:00:00</v>
          </cell>
          <cell r="J639">
            <v>1</v>
          </cell>
          <cell r="K639" t="str">
            <v xml:space="preserve"> </v>
          </cell>
          <cell r="L639" t="str">
            <v xml:space="preserve"> </v>
          </cell>
          <cell r="M639" t="str">
            <v>622000010231493346</v>
          </cell>
          <cell r="N639" t="str">
            <v>6120000023</v>
          </cell>
          <cell r="O639" t="str">
            <v>L-4</v>
          </cell>
          <cell r="P639" t="str">
            <v>462232102</v>
          </cell>
          <cell r="Q639" t="str">
            <v>LARGE INDUSTRY</v>
          </cell>
          <cell r="R639" t="str">
            <v>HT</v>
          </cell>
          <cell r="S639" t="str">
            <v>01/10/2023</v>
          </cell>
          <cell r="T639" t="str">
            <v>01/10/2023</v>
          </cell>
          <cell r="U639" t="str">
            <v>06/10/2023</v>
          </cell>
          <cell r="V639" t="str">
            <v>09/10/2023</v>
          </cell>
          <cell r="W639" t="str">
            <v>2023/09</v>
          </cell>
          <cell r="X639" t="str">
            <v>11 KV</v>
          </cell>
          <cell r="Y639" t="str">
            <v>HT</v>
          </cell>
          <cell r="Z639">
            <v>1324.8</v>
          </cell>
          <cell r="AA639">
            <v>0.89929999999999999</v>
          </cell>
          <cell r="AB639">
            <v>73.91</v>
          </cell>
          <cell r="AC639" t="str">
            <v xml:space="preserve">01/09/2023 -     </v>
          </cell>
          <cell r="AD639" t="str">
            <v>30.09.2023</v>
          </cell>
          <cell r="AE639" t="str">
            <v>30/1.0000</v>
          </cell>
          <cell r="AF639">
            <v>1300</v>
          </cell>
          <cell r="AG639" t="str">
            <v>KVA</v>
          </cell>
          <cell r="AH639">
            <v>1300</v>
          </cell>
          <cell r="AI639" t="str">
            <v>R</v>
          </cell>
          <cell r="AJ639">
            <v>7753248.5300000003</v>
          </cell>
          <cell r="AK639" t="str">
            <v>30/09/2023</v>
          </cell>
          <cell r="AL639" t="str">
            <v>NSC94742</v>
          </cell>
          <cell r="AM639" t="str">
            <v>THREE PHASE STATIC TRI-VECTOR METER</v>
          </cell>
          <cell r="AN639" t="str">
            <v>POST PAID</v>
          </cell>
          <cell r="AO639">
            <v>1750</v>
          </cell>
          <cell r="AP639" t="str">
            <v>TOD</v>
          </cell>
          <cell r="AQ639">
            <v>834003.51</v>
          </cell>
          <cell r="AR639">
            <v>0</v>
          </cell>
          <cell r="AS639">
            <v>0</v>
          </cell>
          <cell r="AT639">
            <v>0</v>
          </cell>
          <cell r="AU639">
            <v>0</v>
          </cell>
          <cell r="AV639">
            <v>0</v>
          </cell>
          <cell r="AW639">
            <v>634000</v>
          </cell>
          <cell r="AX639">
            <v>704970</v>
          </cell>
          <cell r="AY639">
            <v>704970</v>
          </cell>
          <cell r="AZ639">
            <v>8889.6</v>
          </cell>
          <cell r="BA639">
            <v>1324.8</v>
          </cell>
        </row>
        <row r="640">
          <cell r="F640">
            <v>622000000030</v>
          </cell>
          <cell r="G640" t="str">
            <v>M/S. M/S KALINGA IRON WORKS</v>
          </cell>
          <cell r="H640" t="str">
            <v>MATKAMBEDA,</v>
          </cell>
          <cell r="I640" t="str">
            <v>10/31/2020 00:00:00</v>
          </cell>
          <cell r="J640">
            <v>1</v>
          </cell>
          <cell r="K640" t="str">
            <v xml:space="preserve"> </v>
          </cell>
          <cell r="L640" t="str">
            <v xml:space="preserve"> </v>
          </cell>
          <cell r="M640" t="str">
            <v>622000010232495851</v>
          </cell>
          <cell r="N640" t="str">
            <v>6120000012</v>
          </cell>
          <cell r="O640" t="str">
            <v>L-6</v>
          </cell>
          <cell r="P640" t="str">
            <v>462232102</v>
          </cell>
          <cell r="Q640" t="str">
            <v>LARGE INDUSTRY</v>
          </cell>
          <cell r="R640" t="str">
            <v>HT</v>
          </cell>
          <cell r="S640" t="str">
            <v>01/10/2023</v>
          </cell>
          <cell r="T640" t="str">
            <v>01/10/2023</v>
          </cell>
          <cell r="U640" t="str">
            <v>06/10/2023</v>
          </cell>
          <cell r="V640" t="str">
            <v>09/10/2023</v>
          </cell>
          <cell r="W640" t="str">
            <v>2023/09</v>
          </cell>
          <cell r="X640" t="str">
            <v>11 KV</v>
          </cell>
          <cell r="Y640" t="str">
            <v>HT</v>
          </cell>
          <cell r="Z640">
            <v>200</v>
          </cell>
          <cell r="AA640">
            <v>1</v>
          </cell>
          <cell r="AB640">
            <v>32.1</v>
          </cell>
          <cell r="AC640" t="str">
            <v xml:space="preserve">01/09/2023 -     </v>
          </cell>
          <cell r="AD640" t="str">
            <v>27.09.2023</v>
          </cell>
          <cell r="AE640" t="str">
            <v>27/1.0000</v>
          </cell>
          <cell r="AF640">
            <v>250</v>
          </cell>
          <cell r="AG640" t="str">
            <v>KVA</v>
          </cell>
          <cell r="AH640">
            <v>250</v>
          </cell>
          <cell r="AI640" t="str">
            <v>R</v>
          </cell>
          <cell r="AJ640">
            <v>3939835.3</v>
          </cell>
          <cell r="AK640" t="str">
            <v>27/09/2023</v>
          </cell>
          <cell r="AL640" t="str">
            <v>NSC94723</v>
          </cell>
          <cell r="AM640" t="str">
            <v>HT THREE PHASE 3 WIRE AMR/AMI COMPLIANT METER</v>
          </cell>
          <cell r="AN640" t="str">
            <v>POST PAID</v>
          </cell>
          <cell r="AO640">
            <v>5000</v>
          </cell>
          <cell r="AP640" t="str">
            <v>TOD</v>
          </cell>
          <cell r="AQ640">
            <v>-3233248.7</v>
          </cell>
          <cell r="AR640">
            <v>0</v>
          </cell>
          <cell r="AS640">
            <v>0</v>
          </cell>
          <cell r="AT640">
            <v>0</v>
          </cell>
          <cell r="AU640">
            <v>0</v>
          </cell>
          <cell r="AV640">
            <v>0</v>
          </cell>
          <cell r="AW640">
            <v>31785</v>
          </cell>
          <cell r="AX640">
            <v>31785</v>
          </cell>
          <cell r="AY640">
            <v>31785</v>
          </cell>
          <cell r="AZ640">
            <v>0.15279999999999999</v>
          </cell>
          <cell r="BA640">
            <v>152.79999999999998</v>
          </cell>
        </row>
        <row r="641">
          <cell r="F641">
            <v>622000000037</v>
          </cell>
          <cell r="G641" t="str">
            <v>KB IRON MINES, OMC LIMITED</v>
          </cell>
          <cell r="H641" t="str">
            <v>GENERAL MANAGER, OMC LTD</v>
          </cell>
          <cell r="I641" t="str">
            <v>10/31/2020 00:00:00</v>
          </cell>
          <cell r="J641">
            <v>1</v>
          </cell>
          <cell r="K641" t="str">
            <v xml:space="preserve"> </v>
          </cell>
          <cell r="L641" t="str">
            <v xml:space="preserve"> </v>
          </cell>
          <cell r="M641" t="str">
            <v>622000010231494308</v>
          </cell>
          <cell r="N641" t="str">
            <v>6120000034</v>
          </cell>
          <cell r="O641" t="str">
            <v>L-26</v>
          </cell>
          <cell r="P641" t="str">
            <v>462212202</v>
          </cell>
          <cell r="Q641" t="str">
            <v>LARGE INDUSTRY</v>
          </cell>
          <cell r="R641" t="str">
            <v>HT</v>
          </cell>
          <cell r="S641" t="str">
            <v>01/10/2023</v>
          </cell>
          <cell r="T641" t="str">
            <v>01/10/2023</v>
          </cell>
          <cell r="U641" t="str">
            <v>06/10/2023</v>
          </cell>
          <cell r="V641" t="str">
            <v>09/10/2023</v>
          </cell>
          <cell r="W641" t="str">
            <v>2023/09</v>
          </cell>
          <cell r="X641" t="str">
            <v>11 KV</v>
          </cell>
          <cell r="Y641" t="str">
            <v>HT</v>
          </cell>
          <cell r="Z641">
            <v>160</v>
          </cell>
          <cell r="AA641">
            <v>0.89249999999999996</v>
          </cell>
          <cell r="AB641">
            <v>51.29</v>
          </cell>
          <cell r="AC641" t="str">
            <v xml:space="preserve">28/08/2023 -     </v>
          </cell>
          <cell r="AD641" t="str">
            <v>28.09.2023</v>
          </cell>
          <cell r="AE641" t="str">
            <v>32/1.0000</v>
          </cell>
          <cell r="AF641">
            <v>200</v>
          </cell>
          <cell r="AG641" t="str">
            <v>KVA</v>
          </cell>
          <cell r="AH641">
            <v>200</v>
          </cell>
          <cell r="AI641" t="str">
            <v>R</v>
          </cell>
          <cell r="AJ641">
            <v>527665</v>
          </cell>
          <cell r="AK641" t="str">
            <v>28/09/2023</v>
          </cell>
          <cell r="AL641" t="str">
            <v>TPN64173</v>
          </cell>
          <cell r="AM641" t="str">
            <v>HT THREE PHASE 4 WIRE AMR/AMI COMPLAINT METER</v>
          </cell>
          <cell r="AN641" t="str">
            <v>POST PAID</v>
          </cell>
          <cell r="AO641">
            <v>315</v>
          </cell>
          <cell r="AP641" t="str">
            <v>TOD</v>
          </cell>
          <cell r="AQ641">
            <v>35486.5</v>
          </cell>
          <cell r="AR641">
            <v>0</v>
          </cell>
          <cell r="AS641">
            <v>0</v>
          </cell>
          <cell r="AT641">
            <v>0</v>
          </cell>
          <cell r="AU641">
            <v>0</v>
          </cell>
          <cell r="AV641">
            <v>0</v>
          </cell>
          <cell r="AW641">
            <v>43316</v>
          </cell>
          <cell r="AX641">
            <v>48530</v>
          </cell>
          <cell r="AY641">
            <v>48530</v>
          </cell>
          <cell r="AZ641">
            <v>846.56</v>
          </cell>
          <cell r="BA641">
            <v>123.2</v>
          </cell>
        </row>
        <row r="642">
          <cell r="F642">
            <v>622000000038</v>
          </cell>
          <cell r="G642" t="str">
            <v>M/S PANCHAWATI STEELS LLP</v>
          </cell>
          <cell r="H642" t="str">
            <v xml:space="preserve">At/Po- Matkambeda, Barbil, </v>
          </cell>
          <cell r="I642" t="str">
            <v>10/31/2020 00:00:00</v>
          </cell>
          <cell r="J642">
            <v>1</v>
          </cell>
          <cell r="K642" t="str">
            <v xml:space="preserve"> </v>
          </cell>
          <cell r="L642" t="str">
            <v>Keonjhar, Odisha-758036</v>
          </cell>
          <cell r="M642" t="str">
            <v>622000010231493650</v>
          </cell>
          <cell r="N642" t="str">
            <v>6120000048</v>
          </cell>
          <cell r="O642" t="str">
            <v>L-30</v>
          </cell>
          <cell r="P642" t="str">
            <v>46207421001</v>
          </cell>
          <cell r="Q642" t="str">
            <v>LARGE INDUSTRY</v>
          </cell>
          <cell r="R642" t="str">
            <v>HT</v>
          </cell>
          <cell r="S642" t="str">
            <v>01/10/2023</v>
          </cell>
          <cell r="T642" t="str">
            <v>01/10/2023</v>
          </cell>
          <cell r="U642" t="str">
            <v>06/10/2023</v>
          </cell>
          <cell r="V642" t="str">
            <v>09/10/2023</v>
          </cell>
          <cell r="W642" t="str">
            <v>2023/09</v>
          </cell>
          <cell r="X642" t="str">
            <v>33 KV</v>
          </cell>
          <cell r="Y642" t="str">
            <v>HT</v>
          </cell>
          <cell r="Z642">
            <v>1518</v>
          </cell>
          <cell r="AA642">
            <v>0.98519999999999996</v>
          </cell>
          <cell r="AB642">
            <v>79.84</v>
          </cell>
          <cell r="AC642" t="str">
            <v xml:space="preserve">01/09/2023 -     </v>
          </cell>
          <cell r="AD642" t="str">
            <v>30.09.2023</v>
          </cell>
          <cell r="AE642" t="str">
            <v>30/1.0000</v>
          </cell>
          <cell r="AF642">
            <v>1800</v>
          </cell>
          <cell r="AG642" t="str">
            <v>KVA</v>
          </cell>
          <cell r="AH642">
            <v>1800</v>
          </cell>
          <cell r="AI642" t="str">
            <v>R</v>
          </cell>
          <cell r="AJ642">
            <v>11049120.102600001</v>
          </cell>
          <cell r="AK642" t="str">
            <v>30/09/2023</v>
          </cell>
          <cell r="AL642" t="str">
            <v>NSC94602</v>
          </cell>
          <cell r="AM642" t="str">
            <v>THREE PHASE HT CT METER-33KV</v>
          </cell>
          <cell r="AN642" t="str">
            <v>POST PAID</v>
          </cell>
          <cell r="AO642">
            <v>2000</v>
          </cell>
          <cell r="AP642" t="str">
            <v>TOD</v>
          </cell>
          <cell r="AQ642">
            <v>-944566</v>
          </cell>
          <cell r="AR642">
            <v>0</v>
          </cell>
          <cell r="AS642">
            <v>0</v>
          </cell>
          <cell r="AT642">
            <v>0</v>
          </cell>
          <cell r="AU642">
            <v>0</v>
          </cell>
          <cell r="AV642">
            <v>0</v>
          </cell>
          <cell r="AW642">
            <v>859725</v>
          </cell>
          <cell r="AX642">
            <v>872565</v>
          </cell>
          <cell r="AY642">
            <v>872565</v>
          </cell>
          <cell r="AZ642">
            <v>10504.8</v>
          </cell>
          <cell r="BA642">
            <v>1518</v>
          </cell>
        </row>
        <row r="643">
          <cell r="F643">
            <v>622000000043</v>
          </cell>
          <cell r="G643" t="str">
            <v>M/S BANSPANI IRON LTD.</v>
          </cell>
          <cell r="H643" t="str">
            <v>BONEIKALA(JODA),</v>
          </cell>
          <cell r="I643" t="str">
            <v>10/31/2020 00:00:00</v>
          </cell>
          <cell r="J643">
            <v>1</v>
          </cell>
          <cell r="K643" t="str">
            <v xml:space="preserve"> </v>
          </cell>
          <cell r="L643" t="str">
            <v xml:space="preserve"> </v>
          </cell>
          <cell r="M643" t="str">
            <v>622000010231494102</v>
          </cell>
          <cell r="N643" t="str">
            <v>6120000035</v>
          </cell>
          <cell r="O643" t="str">
            <v>L-38</v>
          </cell>
          <cell r="P643" t="str">
            <v>462211103</v>
          </cell>
          <cell r="Q643" t="str">
            <v>LARGE INDUSTRY</v>
          </cell>
          <cell r="R643" t="str">
            <v>HT</v>
          </cell>
          <cell r="S643" t="str">
            <v>01/10/2023</v>
          </cell>
          <cell r="T643" t="str">
            <v>01/10/2023</v>
          </cell>
          <cell r="U643" t="str">
            <v>06/10/2023</v>
          </cell>
          <cell r="V643" t="str">
            <v>09/10/2023</v>
          </cell>
          <cell r="W643" t="str">
            <v>2023/09</v>
          </cell>
          <cell r="X643" t="str">
            <v>11 KV</v>
          </cell>
          <cell r="Y643" t="str">
            <v>HT</v>
          </cell>
          <cell r="Z643">
            <v>428.8</v>
          </cell>
          <cell r="AA643">
            <v>0.99919999999999998</v>
          </cell>
          <cell r="AB643">
            <v>40.22</v>
          </cell>
          <cell r="AC643" t="str">
            <v xml:space="preserve">01/09/2023 -     </v>
          </cell>
          <cell r="AD643" t="str">
            <v>30.09.2023</v>
          </cell>
          <cell r="AE643" t="str">
            <v>30/1.0000</v>
          </cell>
          <cell r="AF643">
            <v>536</v>
          </cell>
          <cell r="AG643" t="str">
            <v>KVA</v>
          </cell>
          <cell r="AH643">
            <v>536</v>
          </cell>
          <cell r="AI643" t="str">
            <v>R</v>
          </cell>
          <cell r="AJ643">
            <v>1470527</v>
          </cell>
          <cell r="AK643" t="str">
            <v>30/09/2023</v>
          </cell>
          <cell r="AL643" t="str">
            <v>TPN64048</v>
          </cell>
          <cell r="AM643" t="str">
            <v>HT THREE PHASE 4 WIRE AMR/AMI COMPLAINT METER</v>
          </cell>
          <cell r="AN643" t="str">
            <v>POST PAID</v>
          </cell>
          <cell r="AO643">
            <v>813</v>
          </cell>
          <cell r="AP643" t="str">
            <v>TOD</v>
          </cell>
          <cell r="AQ643">
            <v>-1068739.8</v>
          </cell>
          <cell r="AR643">
            <v>0</v>
          </cell>
          <cell r="AS643">
            <v>0</v>
          </cell>
          <cell r="AT643">
            <v>0</v>
          </cell>
          <cell r="AU643">
            <v>0</v>
          </cell>
          <cell r="AV643">
            <v>0</v>
          </cell>
          <cell r="AW643">
            <v>16041</v>
          </cell>
          <cell r="AX643">
            <v>16053</v>
          </cell>
          <cell r="AY643">
            <v>16053</v>
          </cell>
          <cell r="AZ643">
            <v>425.52</v>
          </cell>
          <cell r="BA643">
            <v>55.44</v>
          </cell>
        </row>
        <row r="644">
          <cell r="F644">
            <v>622000000048</v>
          </cell>
          <cell r="G644" t="str">
            <v xml:space="preserve">Nandighose Sponge &amp; Power Pvt. Ltd </v>
          </cell>
          <cell r="H644" t="str">
            <v>AT-Rugudihi</v>
          </cell>
          <cell r="I644" t="str">
            <v>10/31/2020 00:00:00</v>
          </cell>
          <cell r="J644">
            <v>1</v>
          </cell>
          <cell r="K644" t="str">
            <v>PO- Guali</v>
          </cell>
          <cell r="L644" t="str">
            <v>Pin - 758035</v>
          </cell>
          <cell r="M644" t="str">
            <v>622000010231493907</v>
          </cell>
          <cell r="N644" t="str">
            <v>6120000047</v>
          </cell>
          <cell r="O644" t="str">
            <v>L46</v>
          </cell>
          <cell r="P644" t="str">
            <v>462233301</v>
          </cell>
          <cell r="Q644" t="str">
            <v>LARGE INDUSTRY</v>
          </cell>
          <cell r="R644" t="str">
            <v>HT</v>
          </cell>
          <cell r="S644" t="str">
            <v>01/10/2023</v>
          </cell>
          <cell r="T644" t="str">
            <v>01/10/2023</v>
          </cell>
          <cell r="U644" t="str">
            <v>06/10/2023</v>
          </cell>
          <cell r="V644" t="str">
            <v>09/10/2023</v>
          </cell>
          <cell r="W644" t="str">
            <v>2023/09</v>
          </cell>
          <cell r="X644" t="str">
            <v>11 KV</v>
          </cell>
          <cell r="Y644" t="str">
            <v>HT</v>
          </cell>
          <cell r="Z644">
            <v>691.2</v>
          </cell>
          <cell r="AA644">
            <v>0.95369999999999999</v>
          </cell>
          <cell r="AB644">
            <v>58.84</v>
          </cell>
          <cell r="AC644" t="str">
            <v xml:space="preserve">01/09/2023 -     </v>
          </cell>
          <cell r="AD644" t="str">
            <v>30.09.2023</v>
          </cell>
          <cell r="AE644" t="str">
            <v>30/1.0000</v>
          </cell>
          <cell r="AF644">
            <v>834</v>
          </cell>
          <cell r="AG644" t="str">
            <v>KVA</v>
          </cell>
          <cell r="AH644">
            <v>834</v>
          </cell>
          <cell r="AI644" t="str">
            <v>R</v>
          </cell>
          <cell r="AJ644">
            <v>2663001</v>
          </cell>
          <cell r="AK644" t="str">
            <v>30/09/2023</v>
          </cell>
          <cell r="AL644" t="str">
            <v>NSC95125</v>
          </cell>
          <cell r="AM644" t="str">
            <v>SINGLE PHASE ELECTRO-MAGNETIC KWH METER-TOD</v>
          </cell>
          <cell r="AN644" t="str">
            <v>POST PAID</v>
          </cell>
          <cell r="AO644">
            <v>1000</v>
          </cell>
          <cell r="AP644" t="str">
            <v>TOD</v>
          </cell>
          <cell r="AQ644">
            <v>-169265.1</v>
          </cell>
          <cell r="AR644">
            <v>0</v>
          </cell>
          <cell r="AS644">
            <v>0</v>
          </cell>
          <cell r="AT644">
            <v>0</v>
          </cell>
          <cell r="AU644">
            <v>0</v>
          </cell>
          <cell r="AV644">
            <v>0</v>
          </cell>
          <cell r="AW644">
            <v>279285</v>
          </cell>
          <cell r="AX644">
            <v>292830</v>
          </cell>
          <cell r="AY644">
            <v>292830</v>
          </cell>
          <cell r="AZ644">
            <v>4123.6000000000004</v>
          </cell>
          <cell r="BA644">
            <v>691.2</v>
          </cell>
        </row>
        <row r="645">
          <cell r="F645">
            <v>622000000057</v>
          </cell>
          <cell r="G645" t="str">
            <v>M/S SARDA MINES (PVT) LTD.</v>
          </cell>
          <cell r="H645" t="str">
            <v>THAKURANI IRON ORE MINES</v>
          </cell>
          <cell r="I645" t="str">
            <v>10/31/2020 00:00:00</v>
          </cell>
          <cell r="J645">
            <v>1</v>
          </cell>
          <cell r="K645" t="str">
            <v xml:space="preserve"> </v>
          </cell>
          <cell r="L645" t="str">
            <v xml:space="preserve"> </v>
          </cell>
          <cell r="M645" t="str">
            <v>622000010231495150</v>
          </cell>
          <cell r="N645" t="str">
            <v>6120000064</v>
          </cell>
          <cell r="O645" t="str">
            <v>L-59</v>
          </cell>
          <cell r="P645" t="str">
            <v>NULL</v>
          </cell>
          <cell r="Q645" t="str">
            <v>LARGE INDUSTRY</v>
          </cell>
          <cell r="R645" t="str">
            <v>HT</v>
          </cell>
          <cell r="S645" t="str">
            <v>01/10/2023</v>
          </cell>
          <cell r="T645" t="str">
            <v>01/10/2023</v>
          </cell>
          <cell r="U645" t="str">
            <v>06/10/2023</v>
          </cell>
          <cell r="V645" t="str">
            <v>09/10/2023</v>
          </cell>
          <cell r="W645" t="str">
            <v>2023/09</v>
          </cell>
          <cell r="X645" t="str">
            <v>33 KV</v>
          </cell>
          <cell r="Y645" t="str">
            <v>LT</v>
          </cell>
          <cell r="Z645">
            <v>1600</v>
          </cell>
          <cell r="AA645">
            <v>1</v>
          </cell>
          <cell r="AB645">
            <v>62.82</v>
          </cell>
          <cell r="AC645" t="str">
            <v xml:space="preserve">01/09/2023 -     </v>
          </cell>
          <cell r="AD645" t="str">
            <v>30.09.2023</v>
          </cell>
          <cell r="AE645" t="str">
            <v>30/1.0000</v>
          </cell>
          <cell r="AF645">
            <v>2000</v>
          </cell>
          <cell r="AG645" t="str">
            <v>KVA</v>
          </cell>
          <cell r="AH645">
            <v>2000</v>
          </cell>
          <cell r="AI645" t="str">
            <v>R</v>
          </cell>
          <cell r="AJ645">
            <v>10053440</v>
          </cell>
          <cell r="AK645" t="str">
            <v>30/09/2023</v>
          </cell>
          <cell r="AL645" t="str">
            <v>TPN64769</v>
          </cell>
          <cell r="AM645" t="str">
            <v>THREE PHASE HT CT METER-33KV</v>
          </cell>
          <cell r="AN645" t="str">
            <v>POST PAID</v>
          </cell>
          <cell r="AO645">
            <v>15000</v>
          </cell>
          <cell r="AP645" t="str">
            <v>TOD</v>
          </cell>
          <cell r="AQ645">
            <v>-4403456.8600000003</v>
          </cell>
          <cell r="AR645">
            <v>0</v>
          </cell>
          <cell r="AS645">
            <v>0</v>
          </cell>
          <cell r="AT645">
            <v>123421.2</v>
          </cell>
          <cell r="AU645">
            <v>0</v>
          </cell>
          <cell r="AV645">
            <v>25188</v>
          </cell>
          <cell r="AW645">
            <v>251880</v>
          </cell>
          <cell r="AX645">
            <v>251880</v>
          </cell>
          <cell r="AY645">
            <v>306630</v>
          </cell>
          <cell r="AZ645">
            <v>2.2800000000000001E-2</v>
          </cell>
          <cell r="BA645">
            <v>622.20000000000005</v>
          </cell>
        </row>
        <row r="646">
          <cell r="F646">
            <v>622000000077</v>
          </cell>
          <cell r="G646" t="str">
            <v>SUMRIT METALIKS (P)LTD</v>
          </cell>
          <cell r="H646" t="str">
            <v>DIRECTOR :RITESH JAGANI</v>
          </cell>
          <cell r="I646" t="str">
            <v>10/31/2020 00:00:00</v>
          </cell>
          <cell r="J646">
            <v>1</v>
          </cell>
          <cell r="K646" t="str">
            <v xml:space="preserve"> </v>
          </cell>
          <cell r="L646" t="str">
            <v xml:space="preserve"> </v>
          </cell>
          <cell r="M646" t="str">
            <v>622000010231494011</v>
          </cell>
          <cell r="N646" t="str">
            <v>6120000082</v>
          </cell>
          <cell r="O646" t="str">
            <v>L-82</v>
          </cell>
          <cell r="P646" t="str">
            <v>462233202</v>
          </cell>
          <cell r="Q646" t="str">
            <v>LARGE INDUSTRY</v>
          </cell>
          <cell r="R646" t="str">
            <v>HT</v>
          </cell>
          <cell r="S646" t="str">
            <v>01/10/2023</v>
          </cell>
          <cell r="T646" t="str">
            <v>01/10/2023</v>
          </cell>
          <cell r="U646" t="str">
            <v>06/10/2023</v>
          </cell>
          <cell r="V646" t="str">
            <v>09/10/2023</v>
          </cell>
          <cell r="W646" t="str">
            <v>2023/09</v>
          </cell>
          <cell r="X646" t="str">
            <v>11 KV</v>
          </cell>
          <cell r="Y646" t="str">
            <v>HT</v>
          </cell>
          <cell r="Z646">
            <v>392</v>
          </cell>
          <cell r="AA646">
            <v>0.94189999999999996</v>
          </cell>
          <cell r="AB646">
            <v>55.81</v>
          </cell>
          <cell r="AC646" t="str">
            <v xml:space="preserve">26/08/2023 -     </v>
          </cell>
          <cell r="AD646" t="str">
            <v>27.09.2023</v>
          </cell>
          <cell r="AE646" t="str">
            <v>33/1.0000</v>
          </cell>
          <cell r="AF646">
            <v>490</v>
          </cell>
          <cell r="AG646" t="str">
            <v>KVA</v>
          </cell>
          <cell r="AH646">
            <v>490</v>
          </cell>
          <cell r="AI646" t="str">
            <v>R</v>
          </cell>
          <cell r="AJ646">
            <v>1894518.4</v>
          </cell>
          <cell r="AK646" t="str">
            <v>27/09/2023</v>
          </cell>
          <cell r="AL646" t="str">
            <v>NSC94992</v>
          </cell>
          <cell r="AM646" t="str">
            <v>THREE PHASE ELECTRO-MAGNETIC KWH METER-TOD</v>
          </cell>
          <cell r="AN646" t="str">
            <v>POST PAID</v>
          </cell>
          <cell r="AO646">
            <v>500</v>
          </cell>
          <cell r="AP646" t="str">
            <v>TOD</v>
          </cell>
          <cell r="AQ646">
            <v>-1420292.4</v>
          </cell>
          <cell r="AR646">
            <v>0</v>
          </cell>
          <cell r="AS646">
            <v>0</v>
          </cell>
          <cell r="AT646">
            <v>0</v>
          </cell>
          <cell r="AU646">
            <v>0</v>
          </cell>
          <cell r="AV646">
            <v>0</v>
          </cell>
          <cell r="AW646">
            <v>155682</v>
          </cell>
          <cell r="AX646">
            <v>165270</v>
          </cell>
          <cell r="AY646">
            <v>165270</v>
          </cell>
          <cell r="AZ646">
            <v>2517.84</v>
          </cell>
          <cell r="BA646">
            <v>373.91999999999996</v>
          </cell>
        </row>
        <row r="647">
          <cell r="F647">
            <v>622000000080</v>
          </cell>
          <cell r="G647" t="str">
            <v>M/S SHRI JAGANNATH STEELS &amp; PWR LTD</v>
          </cell>
          <cell r="H647" t="str">
            <v xml:space="preserve"> </v>
          </cell>
          <cell r="I647" t="str">
            <v>10/31/2020 00:00:00</v>
          </cell>
          <cell r="J647">
            <v>1</v>
          </cell>
          <cell r="K647" t="str">
            <v xml:space="preserve"> </v>
          </cell>
          <cell r="L647" t="str">
            <v xml:space="preserve"> </v>
          </cell>
          <cell r="M647" t="str">
            <v>622000010231495154</v>
          </cell>
          <cell r="N647" t="str">
            <v>6120000053</v>
          </cell>
          <cell r="O647" t="str">
            <v>L-85</v>
          </cell>
          <cell r="P647" t="str">
            <v>NULL</v>
          </cell>
          <cell r="Q647" t="str">
            <v>LARGE INDUSTRY</v>
          </cell>
          <cell r="R647" t="str">
            <v>EHT</v>
          </cell>
          <cell r="S647" t="str">
            <v>01/10/2023</v>
          </cell>
          <cell r="T647" t="str">
            <v>01/10/2023</v>
          </cell>
          <cell r="U647" t="str">
            <v>06/10/2023</v>
          </cell>
          <cell r="V647" t="str">
            <v>09/10/2023</v>
          </cell>
          <cell r="W647" t="str">
            <v>2023/09</v>
          </cell>
          <cell r="X647" t="str">
            <v>132 KV</v>
          </cell>
          <cell r="Y647" t="str">
            <v>HT</v>
          </cell>
          <cell r="Z647">
            <v>4848</v>
          </cell>
          <cell r="AA647">
            <v>0.90429999999999999</v>
          </cell>
          <cell r="AB647">
            <v>0.4</v>
          </cell>
          <cell r="AC647" t="str">
            <v xml:space="preserve">01/09/2023 -     </v>
          </cell>
          <cell r="AD647" t="str">
            <v>30.09.2023</v>
          </cell>
          <cell r="AE647" t="str">
            <v>30/1.0000</v>
          </cell>
          <cell r="AF647">
            <v>2500</v>
          </cell>
          <cell r="AG647" t="str">
            <v>KVA</v>
          </cell>
          <cell r="AH647">
            <v>2500</v>
          </cell>
          <cell r="AI647" t="str">
            <v>R</v>
          </cell>
          <cell r="AJ647">
            <v>34191467</v>
          </cell>
          <cell r="AK647" t="str">
            <v>30/09/2023</v>
          </cell>
          <cell r="AL647" t="str">
            <v>TPN64975</v>
          </cell>
          <cell r="AM647" t="str">
            <v>THREE PHASE HT CT METER-33KV</v>
          </cell>
          <cell r="AN647" t="str">
            <v>POST PAID</v>
          </cell>
          <cell r="AO647">
            <v>37500</v>
          </cell>
          <cell r="AP647" t="str">
            <v>TOD</v>
          </cell>
          <cell r="AQ647">
            <v>-29325642.600000001</v>
          </cell>
          <cell r="AR647">
            <v>0</v>
          </cell>
          <cell r="AS647">
            <v>0</v>
          </cell>
          <cell r="AT647">
            <v>0</v>
          </cell>
          <cell r="AU647">
            <v>0</v>
          </cell>
          <cell r="AV647">
            <v>0</v>
          </cell>
          <cell r="AW647">
            <v>12480</v>
          </cell>
          <cell r="AX647">
            <v>13800</v>
          </cell>
          <cell r="AY647">
            <v>13800</v>
          </cell>
          <cell r="AZ647">
            <v>20.2</v>
          </cell>
          <cell r="BA647">
            <v>4848</v>
          </cell>
        </row>
        <row r="648">
          <cell r="F648">
            <v>622000000084</v>
          </cell>
          <cell r="G648" t="str">
            <v>KJS AHLUWALIA( Steel &amp; Power Division)</v>
          </cell>
          <cell r="H648" t="str">
            <v>BARPADA, BARBIL,JODA</v>
          </cell>
          <cell r="I648" t="str">
            <v>10/31/2020 00:00:00</v>
          </cell>
          <cell r="J648">
            <v>1</v>
          </cell>
          <cell r="K648" t="str">
            <v xml:space="preserve"> </v>
          </cell>
          <cell r="L648" t="str">
            <v xml:space="preserve"> </v>
          </cell>
          <cell r="M648" t="str">
            <v>622000010231494110</v>
          </cell>
          <cell r="N648" t="str">
            <v>6120000084</v>
          </cell>
          <cell r="O648" t="str">
            <v>L-89</v>
          </cell>
          <cell r="P648" t="str">
            <v>46287423001</v>
          </cell>
          <cell r="Q648" t="str">
            <v>EMERGENCY SUPPLY TO CGP</v>
          </cell>
          <cell r="R648" t="str">
            <v>HT</v>
          </cell>
          <cell r="S648" t="str">
            <v>01/10/2023</v>
          </cell>
          <cell r="T648" t="str">
            <v>01/10/2023</v>
          </cell>
          <cell r="U648" t="str">
            <v>06/10/2023</v>
          </cell>
          <cell r="V648" t="str">
            <v>09/10/2023</v>
          </cell>
          <cell r="W648" t="str">
            <v>2023/09</v>
          </cell>
          <cell r="X648" t="str">
            <v>33 KV</v>
          </cell>
          <cell r="Y648" t="str">
            <v>HT</v>
          </cell>
          <cell r="Z648">
            <v>2841.6</v>
          </cell>
          <cell r="AA648">
            <v>0.81969999999999998</v>
          </cell>
          <cell r="AB648">
            <v>0.83</v>
          </cell>
          <cell r="AC648" t="str">
            <v xml:space="preserve">01/09/2023 -     </v>
          </cell>
          <cell r="AD648" t="str">
            <v>30.09.2023</v>
          </cell>
          <cell r="AE648" t="str">
            <v>30/1.0000</v>
          </cell>
          <cell r="AF648">
            <v>1600</v>
          </cell>
          <cell r="AG648" t="str">
            <v>KVA</v>
          </cell>
          <cell r="AH648">
            <v>1600</v>
          </cell>
          <cell r="AI648" t="str">
            <v>R</v>
          </cell>
          <cell r="AJ648">
            <v>7524352.2599999998</v>
          </cell>
          <cell r="AK648" t="str">
            <v>30/09/2023</v>
          </cell>
          <cell r="AL648" t="str">
            <v>TPN64692</v>
          </cell>
          <cell r="AM648" t="str">
            <v>THREE PHASE HT CT METER-33KV</v>
          </cell>
          <cell r="AN648" t="str">
            <v>POST PAID</v>
          </cell>
          <cell r="AO648">
            <v>2500</v>
          </cell>
          <cell r="AP648" t="str">
            <v>TOD</v>
          </cell>
          <cell r="AQ648">
            <v>-6019123.8600000003</v>
          </cell>
          <cell r="AR648">
            <v>0</v>
          </cell>
          <cell r="AS648">
            <v>0</v>
          </cell>
          <cell r="AT648">
            <v>0</v>
          </cell>
          <cell r="AU648">
            <v>0</v>
          </cell>
          <cell r="AV648">
            <v>0</v>
          </cell>
          <cell r="AW648">
            <v>13920</v>
          </cell>
          <cell r="AX648">
            <v>16980</v>
          </cell>
          <cell r="AY648">
            <v>16980</v>
          </cell>
          <cell r="AZ648">
            <v>9115.2000000000007</v>
          </cell>
          <cell r="BA648">
            <v>2841.6</v>
          </cell>
        </row>
        <row r="649">
          <cell r="F649">
            <v>622000000090</v>
          </cell>
          <cell r="G649" t="str">
            <v>CRAKERS INDIA(ALLOYS)PVT.LTD.</v>
          </cell>
          <cell r="H649" t="str">
            <v>DIR:-SRINIBASH SAHOO,DEOJHAR, JODA</v>
          </cell>
          <cell r="I649" t="str">
            <v>10/31/2020 00:00:00</v>
          </cell>
          <cell r="J649">
            <v>1</v>
          </cell>
          <cell r="K649" t="str">
            <v xml:space="preserve"> </v>
          </cell>
          <cell r="L649" t="str">
            <v xml:space="preserve"> </v>
          </cell>
          <cell r="M649" t="str">
            <v>622000010231494337</v>
          </cell>
          <cell r="N649" t="str">
            <v>6120000093</v>
          </cell>
          <cell r="O649" t="str">
            <v>L-95</v>
          </cell>
          <cell r="P649" t="str">
            <v>46287423005</v>
          </cell>
          <cell r="Q649" t="str">
            <v>LARGE INDUSTRY</v>
          </cell>
          <cell r="R649" t="str">
            <v>HT</v>
          </cell>
          <cell r="S649" t="str">
            <v>01/10/2023</v>
          </cell>
          <cell r="T649" t="str">
            <v>01/10/2023</v>
          </cell>
          <cell r="U649" t="str">
            <v>06/10/2023</v>
          </cell>
          <cell r="V649" t="str">
            <v>09/10/2023</v>
          </cell>
          <cell r="W649" t="str">
            <v>2023/09</v>
          </cell>
          <cell r="X649" t="str">
            <v>33 KV</v>
          </cell>
          <cell r="Y649" t="str">
            <v>HT</v>
          </cell>
          <cell r="Z649">
            <v>718.2</v>
          </cell>
          <cell r="AA649">
            <v>0.99380000000000002</v>
          </cell>
          <cell r="AB649">
            <v>77.45</v>
          </cell>
          <cell r="AC649" t="str">
            <v xml:space="preserve">01/09/2023 -     </v>
          </cell>
          <cell r="AD649" t="str">
            <v>30.09.2023</v>
          </cell>
          <cell r="AE649" t="str">
            <v>30/1.0000</v>
          </cell>
          <cell r="AF649">
            <v>850</v>
          </cell>
          <cell r="AG649" t="str">
            <v>KVA</v>
          </cell>
          <cell r="AH649">
            <v>850</v>
          </cell>
          <cell r="AI649" t="str">
            <v>R</v>
          </cell>
          <cell r="AJ649">
            <v>4758037</v>
          </cell>
          <cell r="AK649" t="str">
            <v>30/09/2023</v>
          </cell>
          <cell r="AL649" t="str">
            <v>NES82991</v>
          </cell>
          <cell r="AM649" t="str">
            <v>THREE PHASE HT CT METER-33KV</v>
          </cell>
          <cell r="AN649" t="str">
            <v>POST PAID</v>
          </cell>
          <cell r="AO649">
            <v>1000</v>
          </cell>
          <cell r="AP649" t="str">
            <v>TOD</v>
          </cell>
          <cell r="AQ649">
            <v>302306.58</v>
          </cell>
          <cell r="AR649">
            <v>0</v>
          </cell>
          <cell r="AS649">
            <v>0</v>
          </cell>
          <cell r="AT649">
            <v>0</v>
          </cell>
          <cell r="AU649">
            <v>0</v>
          </cell>
          <cell r="AV649">
            <v>0</v>
          </cell>
          <cell r="AW649">
            <v>398032</v>
          </cell>
          <cell r="AX649">
            <v>400493</v>
          </cell>
          <cell r="AY649">
            <v>400493</v>
          </cell>
          <cell r="AZ649">
            <v>5233.8</v>
          </cell>
          <cell r="BA649">
            <v>718.2</v>
          </cell>
        </row>
        <row r="650">
          <cell r="F650">
            <v>622000000105</v>
          </cell>
          <cell r="G650" t="str">
            <v>M/S.FLEXI MULTIPRODUCTS &amp;</v>
          </cell>
          <cell r="H650" t="str">
            <v>SERVICES(P) LTD.,BASUDEVPUR, REMULI</v>
          </cell>
          <cell r="I650" t="str">
            <v>10/31/2020 00:00:00</v>
          </cell>
          <cell r="J650">
            <v>1</v>
          </cell>
          <cell r="K650" t="str">
            <v xml:space="preserve"> </v>
          </cell>
          <cell r="L650" t="str">
            <v xml:space="preserve"> </v>
          </cell>
          <cell r="M650" t="str">
            <v>622000010231493446</v>
          </cell>
          <cell r="N650" t="str">
            <v>6120000108</v>
          </cell>
          <cell r="O650" t="str">
            <v>L-110</v>
          </cell>
          <cell r="P650" t="str">
            <v>462221504</v>
          </cell>
          <cell r="Q650" t="str">
            <v>LARGE INDUSTRY</v>
          </cell>
          <cell r="R650" t="str">
            <v>HT</v>
          </cell>
          <cell r="S650" t="str">
            <v>01/10/2023</v>
          </cell>
          <cell r="T650" t="str">
            <v>01/10/2023</v>
          </cell>
          <cell r="U650" t="str">
            <v>06/10/2023</v>
          </cell>
          <cell r="V650" t="str">
            <v>09/10/2023</v>
          </cell>
          <cell r="W650" t="str">
            <v>2023/09</v>
          </cell>
          <cell r="X650" t="str">
            <v>11 KV</v>
          </cell>
          <cell r="Y650" t="str">
            <v>HT</v>
          </cell>
          <cell r="Z650">
            <v>174.4</v>
          </cell>
          <cell r="AA650">
            <v>1.0012000000000001</v>
          </cell>
          <cell r="AB650">
            <v>15.97</v>
          </cell>
          <cell r="AC650" t="str">
            <v xml:space="preserve">01/09/2023 -     </v>
          </cell>
          <cell r="AD650" t="str">
            <v>30.09.2023</v>
          </cell>
          <cell r="AE650" t="str">
            <v>30/1.0000</v>
          </cell>
          <cell r="AF650">
            <v>218</v>
          </cell>
          <cell r="AG650" t="str">
            <v>KVA</v>
          </cell>
          <cell r="AH650">
            <v>218</v>
          </cell>
          <cell r="AI650" t="str">
            <v>R</v>
          </cell>
          <cell r="AJ650">
            <v>598094</v>
          </cell>
          <cell r="AK650" t="str">
            <v>30/09/2023</v>
          </cell>
          <cell r="AL650" t="str">
            <v>TPN64006</v>
          </cell>
          <cell r="AM650" t="str">
            <v>HT THREE PHASE 4 WIRE AMR/AMI COMPLAINT METER</v>
          </cell>
          <cell r="AN650" t="str">
            <v>POST PAID</v>
          </cell>
          <cell r="AO650">
            <v>250</v>
          </cell>
          <cell r="AP650" t="str">
            <v>TOD</v>
          </cell>
          <cell r="AQ650">
            <v>-448088.4</v>
          </cell>
          <cell r="AR650">
            <v>0</v>
          </cell>
          <cell r="AS650">
            <v>0</v>
          </cell>
          <cell r="AT650">
            <v>0</v>
          </cell>
          <cell r="AU650">
            <v>0</v>
          </cell>
          <cell r="AV650">
            <v>0</v>
          </cell>
          <cell r="AW650">
            <v>815</v>
          </cell>
          <cell r="AX650">
            <v>814</v>
          </cell>
          <cell r="AY650">
            <v>814</v>
          </cell>
          <cell r="AZ650">
            <v>650.16</v>
          </cell>
          <cell r="BA650">
            <v>7.08</v>
          </cell>
        </row>
        <row r="651">
          <cell r="F651">
            <v>622000000111</v>
          </cell>
          <cell r="G651" t="str">
            <v>M/S MGM MINERALS LTD</v>
          </cell>
          <cell r="H651" t="str">
            <v>C/o- Pankaj Lochan Mohanty</v>
          </cell>
          <cell r="I651" t="str">
            <v>10/31/2020 00:00:00</v>
          </cell>
          <cell r="J651">
            <v>1</v>
          </cell>
          <cell r="K651" t="str">
            <v>Purunapani</v>
          </cell>
          <cell r="L651" t="str">
            <v xml:space="preserve"> </v>
          </cell>
          <cell r="M651" t="str">
            <v>622000010231494399</v>
          </cell>
          <cell r="N651" t="str">
            <v>6120000115</v>
          </cell>
          <cell r="O651" t="str">
            <v>L-118</v>
          </cell>
          <cell r="P651" t="str">
            <v>NULL</v>
          </cell>
          <cell r="Q651" t="str">
            <v>EMERGENCY SUPPLY TO CGP</v>
          </cell>
          <cell r="R651" t="str">
            <v>HT</v>
          </cell>
          <cell r="S651" t="str">
            <v>01/10/2023</v>
          </cell>
          <cell r="T651" t="str">
            <v>01/10/2023</v>
          </cell>
          <cell r="U651" t="str">
            <v>06/10/2023</v>
          </cell>
          <cell r="V651" t="str">
            <v>09/10/2023</v>
          </cell>
          <cell r="W651" t="str">
            <v>2023/09</v>
          </cell>
          <cell r="X651" t="str">
            <v>33 KV</v>
          </cell>
          <cell r="Y651" t="str">
            <v>HT</v>
          </cell>
          <cell r="Z651">
            <v>1200</v>
          </cell>
          <cell r="AA651">
            <v>0</v>
          </cell>
          <cell r="AB651">
            <v>0</v>
          </cell>
          <cell r="AC651" t="str">
            <v xml:space="preserve">01/09/2023 -     </v>
          </cell>
          <cell r="AD651" t="str">
            <v>30.09.2023</v>
          </cell>
          <cell r="AE651" t="str">
            <v>30/1.0000</v>
          </cell>
          <cell r="AF651">
            <v>1500</v>
          </cell>
          <cell r="AG651" t="str">
            <v>KVA</v>
          </cell>
          <cell r="AH651">
            <v>1500</v>
          </cell>
          <cell r="AI651" t="str">
            <v>R</v>
          </cell>
          <cell r="AJ651">
            <v>3806599</v>
          </cell>
          <cell r="AK651" t="str">
            <v>30/09/2023</v>
          </cell>
          <cell r="AL651" t="str">
            <v>NSC95100</v>
          </cell>
          <cell r="AM651" t="str">
            <v>THREE PHASE HT CT METER-33KV</v>
          </cell>
          <cell r="AN651" t="str">
            <v>POST PAID</v>
          </cell>
          <cell r="AO651">
            <v>15000</v>
          </cell>
          <cell r="AP651" t="str">
            <v>TOD</v>
          </cell>
          <cell r="AQ651">
            <v>-3324403</v>
          </cell>
          <cell r="AR651">
            <v>0</v>
          </cell>
          <cell r="AS651">
            <v>0</v>
          </cell>
          <cell r="AT651">
            <v>0</v>
          </cell>
          <cell r="AU651">
            <v>0</v>
          </cell>
          <cell r="AV651">
            <v>0</v>
          </cell>
          <cell r="AW651">
            <v>0</v>
          </cell>
          <cell r="AX651">
            <v>0</v>
          </cell>
          <cell r="AY651">
            <v>0</v>
          </cell>
          <cell r="AZ651">
            <v>10425.6</v>
          </cell>
          <cell r="BA651">
            <v>9.6</v>
          </cell>
        </row>
        <row r="652">
          <cell r="F652">
            <v>622000000120</v>
          </cell>
          <cell r="G652" t="str">
            <v>M/S SAGAR MINERALS</v>
          </cell>
          <cell r="H652" t="str">
            <v>PROP-MR.MUNA BEHERA,SAHIDNAGAR, JODA</v>
          </cell>
          <cell r="I652" t="str">
            <v>10/31/2020 00:00:00</v>
          </cell>
          <cell r="J652">
            <v>1</v>
          </cell>
          <cell r="K652" t="str">
            <v xml:space="preserve"> </v>
          </cell>
          <cell r="L652" t="str">
            <v xml:space="preserve"> </v>
          </cell>
          <cell r="M652" t="str">
            <v>622000010231494524</v>
          </cell>
          <cell r="N652" t="str">
            <v>6120000131</v>
          </cell>
          <cell r="O652" t="str">
            <v>L-132</v>
          </cell>
          <cell r="P652" t="str">
            <v>462212202</v>
          </cell>
          <cell r="Q652" t="str">
            <v>LARGE INDUSTRY</v>
          </cell>
          <cell r="R652" t="str">
            <v>HT</v>
          </cell>
          <cell r="S652" t="str">
            <v>01/10/2023</v>
          </cell>
          <cell r="T652" t="str">
            <v>01/10/2023</v>
          </cell>
          <cell r="U652" t="str">
            <v>06/10/2023</v>
          </cell>
          <cell r="V652" t="str">
            <v>09/10/2023</v>
          </cell>
          <cell r="W652" t="str">
            <v>2023/09</v>
          </cell>
          <cell r="X652" t="str">
            <v>11 KV</v>
          </cell>
          <cell r="Y652" t="str">
            <v>HT</v>
          </cell>
          <cell r="Z652">
            <v>147.19999999999999</v>
          </cell>
          <cell r="AA652">
            <v>0.66979999999999995</v>
          </cell>
          <cell r="AB652">
            <v>23.67</v>
          </cell>
          <cell r="AC652" t="str">
            <v xml:space="preserve">01/09/2023 -     </v>
          </cell>
          <cell r="AD652" t="str">
            <v>30.09.2023</v>
          </cell>
          <cell r="AE652" t="str">
            <v>30/1.0000</v>
          </cell>
          <cell r="AF652">
            <v>184</v>
          </cell>
          <cell r="AG652" t="str">
            <v>KVA</v>
          </cell>
          <cell r="AH652">
            <v>184</v>
          </cell>
          <cell r="AI652" t="str">
            <v>R</v>
          </cell>
          <cell r="AJ652">
            <v>504808</v>
          </cell>
          <cell r="AK652" t="str">
            <v>30/09/2023</v>
          </cell>
          <cell r="AL652" t="str">
            <v>NES52427</v>
          </cell>
          <cell r="AM652" t="str">
            <v>THREE PHASE STATIC TRI-VECTOR METER-TOD</v>
          </cell>
          <cell r="AN652" t="str">
            <v>POST PAID</v>
          </cell>
          <cell r="AO652">
            <v>250</v>
          </cell>
          <cell r="AP652" t="str">
            <v>TOD</v>
          </cell>
          <cell r="AQ652">
            <v>-323036.74</v>
          </cell>
          <cell r="AR652">
            <v>0</v>
          </cell>
          <cell r="AS652">
            <v>0</v>
          </cell>
          <cell r="AT652">
            <v>0</v>
          </cell>
          <cell r="AU652">
            <v>0</v>
          </cell>
          <cell r="AV652">
            <v>0</v>
          </cell>
          <cell r="AW652">
            <v>12479</v>
          </cell>
          <cell r="AX652">
            <v>18629</v>
          </cell>
          <cell r="AY652">
            <v>18629</v>
          </cell>
          <cell r="AZ652">
            <v>1003.08</v>
          </cell>
          <cell r="BA652">
            <v>109.32000000000001</v>
          </cell>
        </row>
        <row r="653">
          <cell r="F653">
            <v>622000000129</v>
          </cell>
          <cell r="G653" t="str">
            <v>M/S OMC LIMITED, BARBIL</v>
          </cell>
          <cell r="H653" t="str">
            <v>GUALI, BARBIL,KEONJHAR</v>
          </cell>
          <cell r="I653" t="str">
            <v>10/31/2020 00:00:00</v>
          </cell>
          <cell r="J653">
            <v>1</v>
          </cell>
          <cell r="K653" t="str">
            <v xml:space="preserve"> </v>
          </cell>
          <cell r="L653" t="str">
            <v xml:space="preserve"> </v>
          </cell>
          <cell r="M653" t="str">
            <v>622000010231494210</v>
          </cell>
          <cell r="N653" t="str">
            <v>6120000140</v>
          </cell>
          <cell r="O653" t="str">
            <v>L-142</v>
          </cell>
          <cell r="P653" t="str">
            <v>46287423001</v>
          </cell>
          <cell r="Q653" t="str">
            <v>LARGE INDUSTRY</v>
          </cell>
          <cell r="R653" t="str">
            <v>HT</v>
          </cell>
          <cell r="S653" t="str">
            <v>01/10/2023</v>
          </cell>
          <cell r="T653" t="str">
            <v>01/10/2023</v>
          </cell>
          <cell r="U653" t="str">
            <v>06/10/2023</v>
          </cell>
          <cell r="V653" t="str">
            <v>09/10/2023</v>
          </cell>
          <cell r="W653" t="str">
            <v>2023/09</v>
          </cell>
          <cell r="X653" t="str">
            <v>33 KV</v>
          </cell>
          <cell r="Y653" t="str">
            <v>HT</v>
          </cell>
          <cell r="Z653">
            <v>954.6</v>
          </cell>
          <cell r="AA653">
            <v>0.94310000000000005</v>
          </cell>
          <cell r="AB653">
            <v>54.07</v>
          </cell>
          <cell r="AC653" t="str">
            <v xml:space="preserve">01/09/2023 -     </v>
          </cell>
          <cell r="AD653" t="str">
            <v>30.09.2023</v>
          </cell>
          <cell r="AE653" t="str">
            <v>30/1.0000</v>
          </cell>
          <cell r="AF653">
            <v>1000</v>
          </cell>
          <cell r="AG653" t="str">
            <v>KVA</v>
          </cell>
          <cell r="AH653">
            <v>1000</v>
          </cell>
          <cell r="AI653" t="str">
            <v>R</v>
          </cell>
          <cell r="AJ653">
            <v>6138400</v>
          </cell>
          <cell r="AK653" t="str">
            <v>30/09/2023</v>
          </cell>
          <cell r="AL653" t="str">
            <v>NSC95010</v>
          </cell>
          <cell r="AM653" t="str">
            <v>THREE PHASE HT CT METER-33KV</v>
          </cell>
          <cell r="AN653" t="str">
            <v>POST PAID</v>
          </cell>
          <cell r="AO653">
            <v>1250</v>
          </cell>
          <cell r="AP653" t="str">
            <v>TOD</v>
          </cell>
          <cell r="AQ653">
            <v>-7322178.2999999998</v>
          </cell>
          <cell r="AR653">
            <v>0</v>
          </cell>
          <cell r="AS653">
            <v>0</v>
          </cell>
          <cell r="AT653">
            <v>0</v>
          </cell>
          <cell r="AU653">
            <v>0</v>
          </cell>
          <cell r="AV653">
            <v>0</v>
          </cell>
          <cell r="AW653">
            <v>350490</v>
          </cell>
          <cell r="AX653">
            <v>371617</v>
          </cell>
          <cell r="AY653">
            <v>371617</v>
          </cell>
          <cell r="AZ653">
            <v>6368.4</v>
          </cell>
          <cell r="BA653">
            <v>954.59999999999991</v>
          </cell>
        </row>
        <row r="654">
          <cell r="F654">
            <v>622000000140</v>
          </cell>
          <cell r="G654" t="str">
            <v>M/S OMC LIMITED, BARBIL</v>
          </cell>
          <cell r="H654" t="str">
            <v>LESSEE GUALI IRON ORE MINES</v>
          </cell>
          <cell r="I654" t="str">
            <v>10/31/2020 00:00:00</v>
          </cell>
          <cell r="J654">
            <v>1</v>
          </cell>
          <cell r="K654" t="str">
            <v xml:space="preserve"> </v>
          </cell>
          <cell r="L654" t="str">
            <v xml:space="preserve"> </v>
          </cell>
          <cell r="M654" t="str">
            <v>622000010231494293</v>
          </cell>
          <cell r="N654" t="str">
            <v>6120000159</v>
          </cell>
          <cell r="O654" t="str">
            <v>L-159</v>
          </cell>
          <cell r="P654" t="str">
            <v>46287423001</v>
          </cell>
          <cell r="Q654" t="str">
            <v>LARGE INDUSTRY</v>
          </cell>
          <cell r="R654" t="str">
            <v>HT</v>
          </cell>
          <cell r="S654" t="str">
            <v>01/10/2023</v>
          </cell>
          <cell r="T654" t="str">
            <v>01/10/2023</v>
          </cell>
          <cell r="U654" t="str">
            <v>06/10/2023</v>
          </cell>
          <cell r="V654" t="str">
            <v>09/10/2023</v>
          </cell>
          <cell r="W654" t="str">
            <v>2023/09</v>
          </cell>
          <cell r="X654" t="str">
            <v>33 KV</v>
          </cell>
          <cell r="Y654" t="str">
            <v>HT</v>
          </cell>
          <cell r="Z654">
            <v>400</v>
          </cell>
          <cell r="AA654">
            <v>0.97430000000000005</v>
          </cell>
          <cell r="AB654">
            <v>50.32</v>
          </cell>
          <cell r="AC654" t="str">
            <v xml:space="preserve">01/09/2023 -     </v>
          </cell>
          <cell r="AD654" t="str">
            <v>30.09.2023</v>
          </cell>
          <cell r="AE654" t="str">
            <v>30/1.0000</v>
          </cell>
          <cell r="AF654">
            <v>500</v>
          </cell>
          <cell r="AG654" t="str">
            <v>KVA</v>
          </cell>
          <cell r="AH654">
            <v>500</v>
          </cell>
          <cell r="AI654" t="str">
            <v>R</v>
          </cell>
          <cell r="AJ654">
            <v>3069200</v>
          </cell>
          <cell r="AK654" t="str">
            <v>30/09/2023</v>
          </cell>
          <cell r="AL654" t="str">
            <v>TPN64105</v>
          </cell>
          <cell r="AM654" t="str">
            <v>THREE PHASE HT CT METER-33KV</v>
          </cell>
          <cell r="AN654" t="str">
            <v>POST PAID</v>
          </cell>
          <cell r="AO654">
            <v>750</v>
          </cell>
          <cell r="AP654" t="str">
            <v>TOD</v>
          </cell>
          <cell r="AQ654">
            <v>-3820981.7</v>
          </cell>
          <cell r="AR654">
            <v>0</v>
          </cell>
          <cell r="AS654">
            <v>0</v>
          </cell>
          <cell r="AT654">
            <v>0</v>
          </cell>
          <cell r="AU654">
            <v>0</v>
          </cell>
          <cell r="AV654">
            <v>0</v>
          </cell>
          <cell r="AW654">
            <v>42061</v>
          </cell>
          <cell r="AX654">
            <v>43168</v>
          </cell>
          <cell r="AY654">
            <v>43168</v>
          </cell>
          <cell r="AZ654">
            <v>753.84</v>
          </cell>
          <cell r="BA654">
            <v>119.16</v>
          </cell>
        </row>
        <row r="655">
          <cell r="F655">
            <v>622000000144</v>
          </cell>
          <cell r="G655" t="str">
            <v>M/S UCHABALI IRON &amp; MN.MINES</v>
          </cell>
          <cell r="H655" t="str">
            <v>UCHABALI,DEOJHAR, BALDA</v>
          </cell>
          <cell r="I655" t="str">
            <v>10/31/2020 00:00:00</v>
          </cell>
          <cell r="J655">
            <v>1</v>
          </cell>
          <cell r="K655" t="str">
            <v xml:space="preserve"> </v>
          </cell>
          <cell r="L655" t="str">
            <v xml:space="preserve"> </v>
          </cell>
          <cell r="M655" t="str">
            <v>622000010231494576</v>
          </cell>
          <cell r="N655" t="str">
            <v>6120000170</v>
          </cell>
          <cell r="O655" t="str">
            <v>L-170</v>
          </cell>
          <cell r="P655" t="str">
            <v>462212202</v>
          </cell>
          <cell r="Q655" t="str">
            <v>LARGE INDUSTRY</v>
          </cell>
          <cell r="R655" t="str">
            <v>HT</v>
          </cell>
          <cell r="S655" t="str">
            <v>01/10/2023</v>
          </cell>
          <cell r="T655" t="str">
            <v>01/10/2023</v>
          </cell>
          <cell r="U655" t="str">
            <v>06/10/2023</v>
          </cell>
          <cell r="V655" t="str">
            <v>09/10/2023</v>
          </cell>
          <cell r="W655" t="str">
            <v>2023/09</v>
          </cell>
          <cell r="X655" t="str">
            <v>11 KV</v>
          </cell>
          <cell r="Y655" t="str">
            <v>HT</v>
          </cell>
          <cell r="Z655">
            <v>640</v>
          </cell>
          <cell r="AA655">
            <v>0.92879999999999996</v>
          </cell>
          <cell r="AB655">
            <v>17.82</v>
          </cell>
          <cell r="AC655" t="str">
            <v xml:space="preserve">28/08/2023 -     </v>
          </cell>
          <cell r="AD655" t="str">
            <v>29.09.2023</v>
          </cell>
          <cell r="AE655" t="str">
            <v>33/1.0000</v>
          </cell>
          <cell r="AF655">
            <v>800</v>
          </cell>
          <cell r="AG655" t="str">
            <v>KVA</v>
          </cell>
          <cell r="AH655">
            <v>800</v>
          </cell>
          <cell r="AI655" t="str">
            <v>R</v>
          </cell>
          <cell r="AJ655">
            <v>10175088</v>
          </cell>
          <cell r="AK655" t="str">
            <v>29/09/2023</v>
          </cell>
          <cell r="AL655" t="str">
            <v>TPN64046</v>
          </cell>
          <cell r="AM655" t="str">
            <v>HT THREE PHASE 4 WIRE AMR/AMI COMPLAINT METER</v>
          </cell>
          <cell r="AN655" t="str">
            <v>POST PAID</v>
          </cell>
          <cell r="AO655">
            <v>2750</v>
          </cell>
          <cell r="AP655" t="str">
            <v>TOD</v>
          </cell>
          <cell r="AQ655">
            <v>-8837305</v>
          </cell>
          <cell r="AR655">
            <v>0</v>
          </cell>
          <cell r="AS655">
            <v>0</v>
          </cell>
          <cell r="AT655">
            <v>0</v>
          </cell>
          <cell r="AU655">
            <v>0</v>
          </cell>
          <cell r="AV655">
            <v>0</v>
          </cell>
          <cell r="AW655">
            <v>24540</v>
          </cell>
          <cell r="AX655">
            <v>26420</v>
          </cell>
          <cell r="AY655">
            <v>26420</v>
          </cell>
          <cell r="AZ655">
            <v>2112</v>
          </cell>
          <cell r="BA655">
            <v>187.20000000000002</v>
          </cell>
        </row>
        <row r="656">
          <cell r="F656">
            <v>622000000145</v>
          </cell>
          <cell r="G656" t="str">
            <v>EXECUTIVE ENGINEER, PHD,</v>
          </cell>
          <cell r="H656" t="str">
            <v>KEONJHAR,</v>
          </cell>
          <cell r="I656" t="str">
            <v>10/31/2020 00:00:00</v>
          </cell>
          <cell r="J656">
            <v>1</v>
          </cell>
          <cell r="K656" t="str">
            <v xml:space="preserve"> </v>
          </cell>
          <cell r="L656" t="str">
            <v xml:space="preserve"> </v>
          </cell>
          <cell r="M656" t="str">
            <v>622000010231493550</v>
          </cell>
          <cell r="N656" t="str">
            <v>6120000045</v>
          </cell>
          <cell r="O656" t="str">
            <v>PHD-10</v>
          </cell>
          <cell r="P656" t="str">
            <v>462232103</v>
          </cell>
          <cell r="Q656" t="str">
            <v>PUBLIC WATER WORKS &amp; SEWERAGE PUMPING</v>
          </cell>
          <cell r="R656" t="str">
            <v>HT</v>
          </cell>
          <cell r="S656" t="str">
            <v>01/10/2023</v>
          </cell>
          <cell r="T656" t="str">
            <v>01/10/2023</v>
          </cell>
          <cell r="U656" t="str">
            <v>09/10/2023</v>
          </cell>
          <cell r="V656" t="str">
            <v>09/10/2023</v>
          </cell>
          <cell r="W656" t="str">
            <v>2023/09</v>
          </cell>
          <cell r="X656" t="str">
            <v>11 KV</v>
          </cell>
          <cell r="Y656" t="str">
            <v>HT</v>
          </cell>
          <cell r="Z656">
            <v>280.32</v>
          </cell>
          <cell r="AA656">
            <v>0.87109999999999999</v>
          </cell>
          <cell r="AB656">
            <v>69.59</v>
          </cell>
          <cell r="AC656" t="str">
            <v xml:space="preserve">01/09/2023 -     </v>
          </cell>
          <cell r="AD656" t="str">
            <v>30.09.2023</v>
          </cell>
          <cell r="AE656" t="str">
            <v>30/1.0000</v>
          </cell>
          <cell r="AF656">
            <v>145</v>
          </cell>
          <cell r="AG656" t="str">
            <v>KVA</v>
          </cell>
          <cell r="AH656">
            <v>145</v>
          </cell>
          <cell r="AI656" t="str">
            <v>R</v>
          </cell>
          <cell r="AJ656">
            <v>678714</v>
          </cell>
          <cell r="AK656" t="str">
            <v>30/09/2023</v>
          </cell>
          <cell r="AL656" t="str">
            <v>TPN64174</v>
          </cell>
          <cell r="AM656" t="str">
            <v>HT THREE PHASE 4 WIRE AMR/AMI COMPLAINT METER</v>
          </cell>
          <cell r="AN656" t="str">
            <v>POST PAID</v>
          </cell>
          <cell r="AO656">
            <v>0</v>
          </cell>
          <cell r="AP656" t="str">
            <v>TOD</v>
          </cell>
          <cell r="AQ656">
            <v>1026051.94</v>
          </cell>
          <cell r="AR656">
            <v>0</v>
          </cell>
          <cell r="AS656">
            <v>0</v>
          </cell>
          <cell r="AT656">
            <v>0</v>
          </cell>
          <cell r="AU656">
            <v>0</v>
          </cell>
          <cell r="AV656">
            <v>0</v>
          </cell>
          <cell r="AW656">
            <v>122370</v>
          </cell>
          <cell r="AX656">
            <v>140462</v>
          </cell>
          <cell r="AY656">
            <v>140462</v>
          </cell>
          <cell r="AZ656">
            <v>1932.64</v>
          </cell>
          <cell r="BA656">
            <v>280.32</v>
          </cell>
        </row>
        <row r="657">
          <cell r="F657">
            <v>622000000146</v>
          </cell>
          <cell r="G657" t="str">
            <v>BHOLABEDA PUMP HOUSE</v>
          </cell>
          <cell r="H657" t="str">
            <v>EXECUTIVE ENGINEER, PHD</v>
          </cell>
          <cell r="I657" t="str">
            <v>10/31/2020 00:00:00</v>
          </cell>
          <cell r="J657">
            <v>1</v>
          </cell>
          <cell r="K657" t="str">
            <v xml:space="preserve"> </v>
          </cell>
          <cell r="L657" t="str">
            <v xml:space="preserve"> </v>
          </cell>
          <cell r="M657" t="str">
            <v>622000010231494271</v>
          </cell>
          <cell r="N657" t="str">
            <v>6120000040</v>
          </cell>
          <cell r="O657" t="str">
            <v>PHD-42</v>
          </cell>
          <cell r="P657" t="str">
            <v>462211101</v>
          </cell>
          <cell r="Q657" t="str">
            <v>PUBLIC WATER WORKS &amp; SEWERAGE PUMPING</v>
          </cell>
          <cell r="R657" t="str">
            <v>HT</v>
          </cell>
          <cell r="S657" t="str">
            <v>01/10/2023</v>
          </cell>
          <cell r="T657" t="str">
            <v>01/10/2023</v>
          </cell>
          <cell r="U657" t="str">
            <v>09/10/2023</v>
          </cell>
          <cell r="V657" t="str">
            <v>09/10/2023</v>
          </cell>
          <cell r="W657" t="str">
            <v>2023/09</v>
          </cell>
          <cell r="X657" t="str">
            <v>11 KV</v>
          </cell>
          <cell r="Y657" t="str">
            <v>HT</v>
          </cell>
          <cell r="Z657">
            <v>272.8</v>
          </cell>
          <cell r="AA657">
            <v>0.87609999999999999</v>
          </cell>
          <cell r="AB657">
            <v>29.43</v>
          </cell>
          <cell r="AC657" t="str">
            <v xml:space="preserve">01/09/2023 -     </v>
          </cell>
          <cell r="AD657" t="str">
            <v>30.09.2023</v>
          </cell>
          <cell r="AE657" t="str">
            <v>30/1.0000</v>
          </cell>
          <cell r="AF657">
            <v>341</v>
          </cell>
          <cell r="AG657" t="str">
            <v>KVA</v>
          </cell>
          <cell r="AH657">
            <v>341</v>
          </cell>
          <cell r="AI657" t="str">
            <v>R</v>
          </cell>
          <cell r="AJ657">
            <v>177689</v>
          </cell>
          <cell r="AK657" t="str">
            <v>30/09/2023</v>
          </cell>
          <cell r="AL657" t="str">
            <v>TPN64103</v>
          </cell>
          <cell r="AM657" t="str">
            <v>HT THREE PHASE 4 WIRE AMR/AMI COMPLAINT METER</v>
          </cell>
          <cell r="AN657" t="str">
            <v>POST PAID</v>
          </cell>
          <cell r="AO657">
            <v>0</v>
          </cell>
          <cell r="AP657" t="str">
            <v>TOD</v>
          </cell>
          <cell r="AQ657">
            <v>137732.70000000001</v>
          </cell>
          <cell r="AR657">
            <v>0</v>
          </cell>
          <cell r="AS657">
            <v>0</v>
          </cell>
          <cell r="AT657">
            <v>0</v>
          </cell>
          <cell r="AU657">
            <v>0</v>
          </cell>
          <cell r="AV657">
            <v>0</v>
          </cell>
          <cell r="AW657">
            <v>22985</v>
          </cell>
          <cell r="AX657">
            <v>26235</v>
          </cell>
          <cell r="AY657">
            <v>26235</v>
          </cell>
          <cell r="AZ657">
            <v>834.8</v>
          </cell>
          <cell r="BA657">
            <v>123.8</v>
          </cell>
        </row>
        <row r="658">
          <cell r="F658">
            <v>622000000147</v>
          </cell>
          <cell r="G658" t="str">
            <v>GURUBEDA PUMP HOUSE</v>
          </cell>
          <cell r="H658" t="str">
            <v>EXECUTIVE ENGINEER, PHD</v>
          </cell>
          <cell r="I658" t="str">
            <v>10/31/2020 00:00:00</v>
          </cell>
          <cell r="J658">
            <v>1</v>
          </cell>
          <cell r="K658" t="str">
            <v xml:space="preserve"> </v>
          </cell>
          <cell r="L658" t="str">
            <v xml:space="preserve"> </v>
          </cell>
          <cell r="M658" t="str">
            <v>622000010231494191</v>
          </cell>
          <cell r="N658" t="str">
            <v>6120000039</v>
          </cell>
          <cell r="O658" t="str">
            <v>PHD-43</v>
          </cell>
          <cell r="P658" t="str">
            <v>462211101</v>
          </cell>
          <cell r="Q658" t="str">
            <v>PUBLIC WATER WORKS &amp; SEWERAGE PUMPING</v>
          </cell>
          <cell r="R658" t="str">
            <v>HT</v>
          </cell>
          <cell r="S658" t="str">
            <v>01/10/2023</v>
          </cell>
          <cell r="T658" t="str">
            <v>01/10/2023</v>
          </cell>
          <cell r="U658" t="str">
            <v>09/10/2023</v>
          </cell>
          <cell r="V658" t="str">
            <v>09/10/2023</v>
          </cell>
          <cell r="W658" t="str">
            <v>2023/09</v>
          </cell>
          <cell r="X658" t="str">
            <v>11 KV</v>
          </cell>
          <cell r="Y658" t="str">
            <v>HT</v>
          </cell>
          <cell r="Z658">
            <v>312.8</v>
          </cell>
          <cell r="AA658">
            <v>0.88990000000000002</v>
          </cell>
          <cell r="AB658">
            <v>77.989999999999995</v>
          </cell>
          <cell r="AC658" t="str">
            <v xml:space="preserve">28/08/2023 -     </v>
          </cell>
          <cell r="AD658" t="str">
            <v>28.09.2023</v>
          </cell>
          <cell r="AE658" t="str">
            <v>32/1.0000</v>
          </cell>
          <cell r="AF658">
            <v>391</v>
          </cell>
          <cell r="AG658" t="str">
            <v>KVA</v>
          </cell>
          <cell r="AH658">
            <v>391</v>
          </cell>
          <cell r="AI658" t="str">
            <v>R</v>
          </cell>
          <cell r="AJ658">
            <v>616878</v>
          </cell>
          <cell r="AK658" t="str">
            <v>28/09/2023</v>
          </cell>
          <cell r="AL658" t="str">
            <v>TPN64102</v>
          </cell>
          <cell r="AM658" t="str">
            <v>HT THREE PHASE 4 WIRE AMR/AMI COMPLAINT METER</v>
          </cell>
          <cell r="AN658" t="str">
            <v>POST PAID</v>
          </cell>
          <cell r="AO658">
            <v>500</v>
          </cell>
          <cell r="AP658" t="str">
            <v>TOD</v>
          </cell>
          <cell r="AQ658">
            <v>348249.4</v>
          </cell>
          <cell r="AR658">
            <v>0</v>
          </cell>
          <cell r="AS658">
            <v>0</v>
          </cell>
          <cell r="AT658">
            <v>0</v>
          </cell>
          <cell r="AU658">
            <v>0</v>
          </cell>
          <cell r="AV658">
            <v>0</v>
          </cell>
          <cell r="AW658">
            <v>70996</v>
          </cell>
          <cell r="AX658">
            <v>79779</v>
          </cell>
          <cell r="AY658">
            <v>79779</v>
          </cell>
          <cell r="AZ658">
            <v>1478.16</v>
          </cell>
          <cell r="BA658">
            <v>133.19999999999999</v>
          </cell>
        </row>
        <row r="659">
          <cell r="F659">
            <v>622000000148</v>
          </cell>
          <cell r="G659" t="str">
            <v>M/S ESSEL MINING &amp; INDUSTRIES LTD.</v>
          </cell>
          <cell r="H659" t="str">
            <v>BARBIL,</v>
          </cell>
          <cell r="I659" t="str">
            <v>10/31/2020 00:00:00</v>
          </cell>
          <cell r="J659">
            <v>1</v>
          </cell>
          <cell r="K659" t="str">
            <v xml:space="preserve"> </v>
          </cell>
          <cell r="L659" t="str">
            <v xml:space="preserve"> </v>
          </cell>
          <cell r="M659" t="str">
            <v>622000010232495760</v>
          </cell>
          <cell r="N659" t="str">
            <v>6120000176</v>
          </cell>
          <cell r="O659" t="str">
            <v>GP-176</v>
          </cell>
          <cell r="P659" t="str">
            <v>462233201</v>
          </cell>
          <cell r="Q659" t="str">
            <v>GENERAL PURPOSE &gt;= 110 KVA</v>
          </cell>
          <cell r="R659" t="str">
            <v>HT</v>
          </cell>
          <cell r="S659" t="str">
            <v>01/10/2023</v>
          </cell>
          <cell r="T659" t="str">
            <v>01/10/2023</v>
          </cell>
          <cell r="U659" t="str">
            <v>06/10/2023</v>
          </cell>
          <cell r="V659" t="str">
            <v>09/10/2023</v>
          </cell>
          <cell r="W659" t="str">
            <v>2023/09</v>
          </cell>
          <cell r="X659" t="str">
            <v>11 KV</v>
          </cell>
          <cell r="Y659" t="str">
            <v>HT</v>
          </cell>
          <cell r="Z659">
            <v>280</v>
          </cell>
          <cell r="AA659">
            <v>0.98329999999999995</v>
          </cell>
          <cell r="AB659">
            <v>44.93</v>
          </cell>
          <cell r="AC659" t="str">
            <v xml:space="preserve">01/09/2023 -     </v>
          </cell>
          <cell r="AD659" t="str">
            <v>30.09.2023</v>
          </cell>
          <cell r="AE659" t="str">
            <v>30/1.0000</v>
          </cell>
          <cell r="AF659">
            <v>350</v>
          </cell>
          <cell r="AG659" t="str">
            <v>KVA</v>
          </cell>
          <cell r="AH659">
            <v>350</v>
          </cell>
          <cell r="AI659" t="str">
            <v>R</v>
          </cell>
          <cell r="AJ659">
            <v>813596.3</v>
          </cell>
          <cell r="AK659" t="str">
            <v>30/09/2023</v>
          </cell>
          <cell r="AL659" t="str">
            <v>TPN64694</v>
          </cell>
          <cell r="AM659" t="str">
            <v>HT THREE PHASE 4 WIRE AMR/AMI COMPLAINT METER</v>
          </cell>
          <cell r="AN659" t="str">
            <v>BI DIRECTIONAL</v>
          </cell>
          <cell r="AO659">
            <v>500</v>
          </cell>
          <cell r="AP659" t="str">
            <v>TOD</v>
          </cell>
          <cell r="AQ659">
            <v>-74579.7</v>
          </cell>
          <cell r="AR659">
            <v>0</v>
          </cell>
          <cell r="AS659">
            <v>0</v>
          </cell>
          <cell r="AT659">
            <v>0</v>
          </cell>
          <cell r="AU659">
            <v>0</v>
          </cell>
          <cell r="AV659">
            <v>0</v>
          </cell>
          <cell r="AW659">
            <v>34957</v>
          </cell>
          <cell r="AX659">
            <v>35548</v>
          </cell>
          <cell r="AY659">
            <v>35521</v>
          </cell>
          <cell r="AZ659">
            <v>0.21959999999999999</v>
          </cell>
          <cell r="BA659">
            <v>109.8</v>
          </cell>
        </row>
        <row r="660">
          <cell r="F660">
            <v>622000000149</v>
          </cell>
          <cell r="G660" t="str">
            <v>M/S GANGAUR HOTEL &amp; RESORTS</v>
          </cell>
          <cell r="H660" t="str">
            <v>A UNIT OF SNOW WHITE AGENCIES P.LTD</v>
          </cell>
          <cell r="I660" t="str">
            <v>10/31/2020 00:00:00</v>
          </cell>
          <cell r="J660">
            <v>1</v>
          </cell>
          <cell r="K660" t="str">
            <v xml:space="preserve"> </v>
          </cell>
          <cell r="L660" t="str">
            <v xml:space="preserve"> </v>
          </cell>
          <cell r="M660" t="str">
            <v>622000010231494361</v>
          </cell>
          <cell r="N660" t="str">
            <v>6120000177</v>
          </cell>
          <cell r="O660" t="str">
            <v>GP-177</v>
          </cell>
          <cell r="P660" t="str">
            <v>462233202</v>
          </cell>
          <cell r="Q660" t="str">
            <v>GENERAL PURPOSE &gt;= 110 KVA</v>
          </cell>
          <cell r="R660" t="str">
            <v>HT</v>
          </cell>
          <cell r="S660" t="str">
            <v>01/10/2023</v>
          </cell>
          <cell r="T660" t="str">
            <v>01/10/2023</v>
          </cell>
          <cell r="U660" t="str">
            <v>06/10/2023</v>
          </cell>
          <cell r="V660" t="str">
            <v>09/10/2023</v>
          </cell>
          <cell r="W660" t="str">
            <v>2023/09</v>
          </cell>
          <cell r="X660" t="str">
            <v>11 KV</v>
          </cell>
          <cell r="Y660" t="str">
            <v>HT</v>
          </cell>
          <cell r="Z660">
            <v>214.4</v>
          </cell>
          <cell r="AA660">
            <v>0.93310000000000004</v>
          </cell>
          <cell r="AB660">
            <v>41.57</v>
          </cell>
          <cell r="AC660" t="str">
            <v xml:space="preserve">01/09/2023 -     </v>
          </cell>
          <cell r="AD660" t="str">
            <v>30.09.2023</v>
          </cell>
          <cell r="AE660" t="str">
            <v>30/1.0000</v>
          </cell>
          <cell r="AF660">
            <v>268</v>
          </cell>
          <cell r="AG660" t="str">
            <v>KVA</v>
          </cell>
          <cell r="AH660">
            <v>268</v>
          </cell>
          <cell r="AI660" t="str">
            <v>R</v>
          </cell>
          <cell r="AJ660">
            <v>535771</v>
          </cell>
          <cell r="AK660" t="str">
            <v>30/09/2023</v>
          </cell>
          <cell r="AL660" t="str">
            <v>NES50122</v>
          </cell>
          <cell r="AM660" t="str">
            <v>HT THREE PHASE 4 WIRE AMR/AMI COMPLAINT METER</v>
          </cell>
          <cell r="AN660" t="str">
            <v>POST PAID</v>
          </cell>
          <cell r="AO660">
            <v>500</v>
          </cell>
          <cell r="AP660" t="str">
            <v>TOD</v>
          </cell>
          <cell r="AQ660">
            <v>-172182.39999999999</v>
          </cell>
          <cell r="AR660">
            <v>0</v>
          </cell>
          <cell r="AS660">
            <v>0</v>
          </cell>
          <cell r="AT660">
            <v>0</v>
          </cell>
          <cell r="AU660">
            <v>0</v>
          </cell>
          <cell r="AV660">
            <v>0</v>
          </cell>
          <cell r="AW660">
            <v>31196</v>
          </cell>
          <cell r="AX660">
            <v>33430</v>
          </cell>
          <cell r="AY660">
            <v>33430</v>
          </cell>
          <cell r="AZ660">
            <v>887.36</v>
          </cell>
          <cell r="BA660">
            <v>111.68</v>
          </cell>
        </row>
        <row r="661">
          <cell r="F661">
            <v>622000000155</v>
          </cell>
          <cell r="G661" t="str">
            <v>M/S SERAJUDDIN &amp; CO.</v>
          </cell>
          <cell r="H661" t="str">
            <v>BALDA,</v>
          </cell>
          <cell r="I661" t="str">
            <v>10/31/2020 00:00:00</v>
          </cell>
          <cell r="J661">
            <v>1</v>
          </cell>
          <cell r="K661" t="str">
            <v xml:space="preserve"> </v>
          </cell>
          <cell r="L661" t="str">
            <v xml:space="preserve"> </v>
          </cell>
          <cell r="M661" t="str">
            <v>622000010231494618</v>
          </cell>
          <cell r="N661" t="str">
            <v>6220000006</v>
          </cell>
          <cell r="O661" t="str">
            <v>L-174</v>
          </cell>
          <cell r="P661" t="str">
            <v>462212202</v>
          </cell>
          <cell r="Q661" t="str">
            <v>LARGE INDUSTRY</v>
          </cell>
          <cell r="R661" t="str">
            <v>HT</v>
          </cell>
          <cell r="S661" t="str">
            <v>01/10/2023</v>
          </cell>
          <cell r="T661" t="str">
            <v>01/10/2023</v>
          </cell>
          <cell r="U661" t="str">
            <v>06/10/2023</v>
          </cell>
          <cell r="V661" t="str">
            <v>09/10/2023</v>
          </cell>
          <cell r="W661" t="str">
            <v>2023/09</v>
          </cell>
          <cell r="X661" t="str">
            <v>11 KV</v>
          </cell>
          <cell r="Y661" t="str">
            <v>HT</v>
          </cell>
          <cell r="Z661">
            <v>96</v>
          </cell>
          <cell r="AA661">
            <v>0</v>
          </cell>
          <cell r="AB661">
            <v>0</v>
          </cell>
          <cell r="AC661" t="str">
            <v xml:space="preserve">01/09/2023 -     </v>
          </cell>
          <cell r="AD661" t="str">
            <v>30.09.2023</v>
          </cell>
          <cell r="AE661" t="str">
            <v>30/1.0000</v>
          </cell>
          <cell r="AF661">
            <v>120</v>
          </cell>
          <cell r="AG661" t="str">
            <v>KVA</v>
          </cell>
          <cell r="AH661">
            <v>120</v>
          </cell>
          <cell r="AI661" t="str">
            <v>R</v>
          </cell>
          <cell r="AJ661">
            <v>495240.45</v>
          </cell>
          <cell r="AK661" t="str">
            <v>30/09/2023</v>
          </cell>
          <cell r="AL661" t="str">
            <v>TPCANSC16277</v>
          </cell>
          <cell r="AM661" t="str">
            <v>SINGLE PHASE ELECTRO-MAGNETIC KWH METER-TOD</v>
          </cell>
          <cell r="AN661" t="str">
            <v>POST PAID</v>
          </cell>
          <cell r="AO661">
            <v>150</v>
          </cell>
          <cell r="AP661" t="str">
            <v>TOD</v>
          </cell>
          <cell r="AQ661">
            <v>-233645.25</v>
          </cell>
          <cell r="AR661">
            <v>0</v>
          </cell>
          <cell r="AS661">
            <v>0</v>
          </cell>
          <cell r="AT661">
            <v>0</v>
          </cell>
          <cell r="AU661">
            <v>0</v>
          </cell>
          <cell r="AV661">
            <v>0</v>
          </cell>
          <cell r="AW661">
            <v>0</v>
          </cell>
          <cell r="AX661">
            <v>0</v>
          </cell>
          <cell r="AY661">
            <v>0</v>
          </cell>
          <cell r="AZ661">
            <v>0</v>
          </cell>
          <cell r="BA661">
            <v>0</v>
          </cell>
        </row>
        <row r="662">
          <cell r="F662">
            <v>622000000156</v>
          </cell>
          <cell r="G662" t="str">
            <v>M/S- MAA MANGALA INDUSTRIES (P) LTD</v>
          </cell>
          <cell r="H662" t="str">
            <v>BHUSUGAON,BHADRASAHITANTO, KEONJHAR</v>
          </cell>
          <cell r="I662" t="str">
            <v>10/31/2020 00:00:00</v>
          </cell>
          <cell r="J662">
            <v>1</v>
          </cell>
          <cell r="K662" t="str">
            <v xml:space="preserve"> </v>
          </cell>
          <cell r="L662" t="str">
            <v xml:space="preserve"> </v>
          </cell>
          <cell r="M662" t="str">
            <v>622000010231494424</v>
          </cell>
          <cell r="N662" t="str">
            <v>6220000007</v>
          </cell>
          <cell r="O662" t="str">
            <v>L-175</v>
          </cell>
          <cell r="P662" t="str">
            <v>462233201</v>
          </cell>
          <cell r="Q662" t="str">
            <v>LARGE INDUSTRY</v>
          </cell>
          <cell r="R662" t="str">
            <v>HT</v>
          </cell>
          <cell r="S662" t="str">
            <v>01/10/2023</v>
          </cell>
          <cell r="T662" t="str">
            <v>01/10/2023</v>
          </cell>
          <cell r="U662" t="str">
            <v>06/10/2023</v>
          </cell>
          <cell r="V662" t="str">
            <v>09/10/2023</v>
          </cell>
          <cell r="W662" t="str">
            <v>2023/09</v>
          </cell>
          <cell r="X662" t="str">
            <v>11 KV</v>
          </cell>
          <cell r="Y662" t="str">
            <v>HT</v>
          </cell>
          <cell r="Z662">
            <v>220</v>
          </cell>
          <cell r="AA662">
            <v>0.66949999999999998</v>
          </cell>
          <cell r="AB662">
            <v>28.48</v>
          </cell>
          <cell r="AC662" t="str">
            <v xml:space="preserve">29/08/2023 -     </v>
          </cell>
          <cell r="AD662" t="str">
            <v>27.09.2023</v>
          </cell>
          <cell r="AE662" t="str">
            <v>30/1.0000</v>
          </cell>
          <cell r="AF662">
            <v>275</v>
          </cell>
          <cell r="AG662" t="str">
            <v>KVA</v>
          </cell>
          <cell r="AH662">
            <v>275</v>
          </cell>
          <cell r="AI662" t="str">
            <v>R</v>
          </cell>
          <cell r="AJ662">
            <v>1221352</v>
          </cell>
          <cell r="AK662" t="str">
            <v>27/09/2023</v>
          </cell>
          <cell r="AL662" t="str">
            <v>NSC94730</v>
          </cell>
          <cell r="AM662" t="str">
            <v>TRI-VECTOR METER FOR RAILWAY TRACTION</v>
          </cell>
          <cell r="AN662" t="str">
            <v>POST PAID</v>
          </cell>
          <cell r="AO662">
            <v>500</v>
          </cell>
          <cell r="AP662" t="str">
            <v>TOD</v>
          </cell>
          <cell r="AQ662">
            <v>-826435.1</v>
          </cell>
          <cell r="AR662">
            <v>0</v>
          </cell>
          <cell r="AS662">
            <v>0</v>
          </cell>
          <cell r="AT662">
            <v>0</v>
          </cell>
          <cell r="AU662">
            <v>0</v>
          </cell>
          <cell r="AV662">
            <v>0</v>
          </cell>
          <cell r="AW662">
            <v>27405</v>
          </cell>
          <cell r="AX662">
            <v>40930</v>
          </cell>
          <cell r="AY662">
            <v>40930</v>
          </cell>
          <cell r="AZ662">
            <v>1551.8</v>
          </cell>
          <cell r="BA662">
            <v>199.6</v>
          </cell>
        </row>
        <row r="663">
          <cell r="F663">
            <v>622000000158</v>
          </cell>
          <cell r="G663" t="str">
            <v>JAY KAY ESTATES</v>
          </cell>
          <cell r="H663" t="str">
            <v>BARBIL,JODA</v>
          </cell>
          <cell r="I663" t="str">
            <v>10/31/2020 00:00:00</v>
          </cell>
          <cell r="J663">
            <v>1</v>
          </cell>
          <cell r="K663" t="str">
            <v xml:space="preserve"> </v>
          </cell>
          <cell r="L663" t="str">
            <v xml:space="preserve"> </v>
          </cell>
          <cell r="M663" t="str">
            <v>622000010231493449</v>
          </cell>
          <cell r="N663" t="str">
            <v>6220000009</v>
          </cell>
          <cell r="O663" t="str">
            <v>BD-59</v>
          </cell>
          <cell r="P663" t="str">
            <v>462231101</v>
          </cell>
          <cell r="Q663" t="str">
            <v>BULK SUPPLY DOMESTIC</v>
          </cell>
          <cell r="R663" t="str">
            <v>HT</v>
          </cell>
          <cell r="S663" t="str">
            <v>01/10/2023</v>
          </cell>
          <cell r="T663" t="str">
            <v>01/10/2023</v>
          </cell>
          <cell r="U663" t="str">
            <v>09/10/2023</v>
          </cell>
          <cell r="V663" t="str">
            <v>09/10/2023</v>
          </cell>
          <cell r="W663" t="str">
            <v>2023/09</v>
          </cell>
          <cell r="X663" t="str">
            <v>11 KV</v>
          </cell>
          <cell r="Y663" t="str">
            <v>HT</v>
          </cell>
          <cell r="Z663">
            <v>123</v>
          </cell>
          <cell r="AA663">
            <v>0.98399999999999999</v>
          </cell>
          <cell r="AB663">
            <v>0</v>
          </cell>
          <cell r="AC663" t="str">
            <v xml:space="preserve">01/09/2023 -     </v>
          </cell>
          <cell r="AD663" t="str">
            <v>30.09.2023</v>
          </cell>
          <cell r="AE663" t="str">
            <v>30/1.0000</v>
          </cell>
          <cell r="AF663">
            <v>123</v>
          </cell>
          <cell r="AG663" t="str">
            <v>KVA</v>
          </cell>
          <cell r="AH663">
            <v>123</v>
          </cell>
          <cell r="AI663" t="str">
            <v>R</v>
          </cell>
          <cell r="AJ663">
            <v>113465.33</v>
          </cell>
          <cell r="AK663" t="str">
            <v>30/09/2023</v>
          </cell>
          <cell r="AL663" t="str">
            <v>TPN64175</v>
          </cell>
          <cell r="AM663" t="str">
            <v>HT THREE PHASE 4 WIRE AMR/AMI COMPLAINT METER</v>
          </cell>
          <cell r="AN663" t="str">
            <v>POST PAID</v>
          </cell>
          <cell r="AO663">
            <v>100</v>
          </cell>
          <cell r="AP663" t="str">
            <v>TOD</v>
          </cell>
          <cell r="AQ663">
            <v>14050.47</v>
          </cell>
          <cell r="AR663">
            <v>0</v>
          </cell>
          <cell r="AS663">
            <v>0</v>
          </cell>
          <cell r="AT663">
            <v>0</v>
          </cell>
          <cell r="AU663">
            <v>0</v>
          </cell>
          <cell r="AV663">
            <v>0</v>
          </cell>
          <cell r="AW663">
            <v>11594</v>
          </cell>
          <cell r="AX663">
            <v>11782</v>
          </cell>
          <cell r="AY663">
            <v>11782</v>
          </cell>
          <cell r="AZ663">
            <v>301.2</v>
          </cell>
          <cell r="BA663">
            <v>32.24</v>
          </cell>
        </row>
        <row r="664">
          <cell r="F664">
            <v>622000000159</v>
          </cell>
          <cell r="G664" t="str">
            <v>Mr. DIVISIONAL RAILWAY</v>
          </cell>
          <cell r="H664" t="str">
            <v>MANAGER (TRD) SOUTH EASTERN RAILWAY CHAKRADHARPUR , SINGHBHUM(NEST)</v>
          </cell>
          <cell r="I664" t="str">
            <v>10/31/2020 00:00:00</v>
          </cell>
          <cell r="J664">
            <v>1</v>
          </cell>
          <cell r="K664" t="str">
            <v xml:space="preserve"> </v>
          </cell>
          <cell r="L664" t="str">
            <v xml:space="preserve"> </v>
          </cell>
          <cell r="M664" t="str">
            <v>622000010231495253</v>
          </cell>
          <cell r="N664" t="str">
            <v>6220000010</v>
          </cell>
          <cell r="O664" t="str">
            <v>TR-2</v>
          </cell>
          <cell r="P664" t="str">
            <v>NULL</v>
          </cell>
          <cell r="Q664" t="str">
            <v>RAILWAY TRACTION</v>
          </cell>
          <cell r="R664" t="str">
            <v>EHT</v>
          </cell>
          <cell r="S664" t="str">
            <v>01/10/2023</v>
          </cell>
          <cell r="T664" t="str">
            <v>01/10/2023</v>
          </cell>
          <cell r="U664" t="str">
            <v>06/10/2023</v>
          </cell>
          <cell r="V664" t="str">
            <v>09/10/2023</v>
          </cell>
          <cell r="W664" t="str">
            <v>2023/09</v>
          </cell>
          <cell r="X664" t="str">
            <v>132 KV</v>
          </cell>
          <cell r="Y664" t="str">
            <v>HT</v>
          </cell>
          <cell r="Z664">
            <v>19488</v>
          </cell>
          <cell r="AA664">
            <v>0.98199999999999998</v>
          </cell>
          <cell r="AB664">
            <v>36.68</v>
          </cell>
          <cell r="AC664" t="str">
            <v xml:space="preserve">01/09/2023 -     </v>
          </cell>
          <cell r="AD664" t="str">
            <v>30.09.2023</v>
          </cell>
          <cell r="AE664" t="str">
            <v>30/1.0000</v>
          </cell>
          <cell r="AF664">
            <v>22500</v>
          </cell>
          <cell r="AG664" t="str">
            <v>KVA</v>
          </cell>
          <cell r="AH664">
            <v>22500</v>
          </cell>
          <cell r="AI664" t="str">
            <v>R</v>
          </cell>
          <cell r="AJ664">
            <v>84168000</v>
          </cell>
          <cell r="AK664" t="str">
            <v>30/09/2023</v>
          </cell>
          <cell r="AL664" t="str">
            <v>NSC92455</v>
          </cell>
          <cell r="AM664" t="str">
            <v>LT SINGLE PHASE AMR/AMI COMPLIANT METER-TOD</v>
          </cell>
          <cell r="AN664" t="str">
            <v>POST PAID</v>
          </cell>
          <cell r="AO664">
            <v>25000</v>
          </cell>
          <cell r="AP664" t="str">
            <v>TOD</v>
          </cell>
          <cell r="AQ664">
            <v>5003408</v>
          </cell>
          <cell r="AR664">
            <v>0</v>
          </cell>
          <cell r="AS664">
            <v>0</v>
          </cell>
          <cell r="AT664">
            <v>0</v>
          </cell>
          <cell r="AU664">
            <v>0</v>
          </cell>
          <cell r="AV664">
            <v>0</v>
          </cell>
          <cell r="AW664">
            <v>5054400</v>
          </cell>
          <cell r="AX664">
            <v>5147040</v>
          </cell>
          <cell r="AY664">
            <v>5147040</v>
          </cell>
          <cell r="AZ664">
            <v>81.2</v>
          </cell>
          <cell r="BA664">
            <v>19488</v>
          </cell>
        </row>
        <row r="665">
          <cell r="F665">
            <v>622000000160</v>
          </cell>
          <cell r="G665" t="str">
            <v>PRINCIPAL GOVT. INDUSTRIAL</v>
          </cell>
          <cell r="H665" t="str">
            <v>TRAINING INSTITUTE (ITI)</v>
          </cell>
          <cell r="I665" t="str">
            <v>10/31/2020 00:00:00</v>
          </cell>
          <cell r="J665">
            <v>1</v>
          </cell>
          <cell r="K665" t="str">
            <v xml:space="preserve"> </v>
          </cell>
          <cell r="L665" t="str">
            <v xml:space="preserve"> </v>
          </cell>
          <cell r="M665" t="str">
            <v>622000010231493928</v>
          </cell>
          <cell r="N665" t="str">
            <v>6220000011</v>
          </cell>
          <cell r="O665" t="str">
            <v>SPP-1</v>
          </cell>
          <cell r="P665" t="str">
            <v>462232103</v>
          </cell>
          <cell r="Q665" t="str">
            <v>SPECIFIED PUBLIC PURPOSE</v>
          </cell>
          <cell r="R665" t="str">
            <v>HT</v>
          </cell>
          <cell r="S665" t="str">
            <v>01/10/2023</v>
          </cell>
          <cell r="T665" t="str">
            <v>01/10/2023</v>
          </cell>
          <cell r="U665" t="str">
            <v>06/10/2023</v>
          </cell>
          <cell r="V665" t="str">
            <v>09/10/2023</v>
          </cell>
          <cell r="W665" t="str">
            <v>2023/09</v>
          </cell>
          <cell r="X665" t="str">
            <v>11 KV</v>
          </cell>
          <cell r="Y665" t="str">
            <v>HT</v>
          </cell>
          <cell r="Z665">
            <v>163.19999999999999</v>
          </cell>
          <cell r="AA665">
            <v>0.96860000000000002</v>
          </cell>
          <cell r="AB665">
            <v>25.96</v>
          </cell>
          <cell r="AC665" t="str">
            <v xml:space="preserve">01/09/2023 -     </v>
          </cell>
          <cell r="AD665" t="str">
            <v>30.09.2023</v>
          </cell>
          <cell r="AE665" t="str">
            <v>30/1.0000</v>
          </cell>
          <cell r="AF665">
            <v>204</v>
          </cell>
          <cell r="AG665" t="str">
            <v>KVA</v>
          </cell>
          <cell r="AH665">
            <v>204</v>
          </cell>
          <cell r="AI665" t="str">
            <v>R</v>
          </cell>
          <cell r="AJ665">
            <v>393816</v>
          </cell>
          <cell r="AK665" t="str">
            <v>30/09/2023</v>
          </cell>
          <cell r="AL665" t="str">
            <v>NSC94544</v>
          </cell>
          <cell r="AM665" t="str">
            <v>SINGLE PHASE ELECTRO-MAGNETIC KWH METER-TOD</v>
          </cell>
          <cell r="AN665" t="str">
            <v>POST PAID</v>
          </cell>
          <cell r="AO665">
            <v>250</v>
          </cell>
          <cell r="AP665" t="str">
            <v>TOD</v>
          </cell>
          <cell r="AQ665">
            <v>-258782.1</v>
          </cell>
          <cell r="AR665">
            <v>0</v>
          </cell>
          <cell r="AS665">
            <v>0</v>
          </cell>
          <cell r="AT665">
            <v>0</v>
          </cell>
          <cell r="AU665">
            <v>0</v>
          </cell>
          <cell r="AV665">
            <v>0</v>
          </cell>
          <cell r="AW665">
            <v>6236</v>
          </cell>
          <cell r="AX665">
            <v>6438</v>
          </cell>
          <cell r="AY665">
            <v>6438</v>
          </cell>
          <cell r="AZ665">
            <v>357.72</v>
          </cell>
          <cell r="BA665">
            <v>34.44</v>
          </cell>
        </row>
        <row r="666">
          <cell r="F666">
            <v>622000000161</v>
          </cell>
          <cell r="G666" t="str">
            <v>M/S BRAHMANI RIVER PELLETS LTD.</v>
          </cell>
          <cell r="H666" t="str">
            <v>TANTO,BARBILKEONJHAR</v>
          </cell>
          <cell r="I666" t="str">
            <v>10/31/2020 00:00:00</v>
          </cell>
          <cell r="J666">
            <v>1</v>
          </cell>
          <cell r="K666" t="str">
            <v xml:space="preserve"> </v>
          </cell>
          <cell r="L666" t="str">
            <v xml:space="preserve"> </v>
          </cell>
          <cell r="M666" t="str">
            <v>622000010231494452</v>
          </cell>
          <cell r="N666" t="str">
            <v>6220000012</v>
          </cell>
          <cell r="O666" t="str">
            <v>L-176</v>
          </cell>
          <cell r="P666" t="str">
            <v>46287423005</v>
          </cell>
          <cell r="Q666" t="str">
            <v>LARGE INDUSTRY</v>
          </cell>
          <cell r="R666" t="str">
            <v>HT</v>
          </cell>
          <cell r="S666" t="str">
            <v>01/10/2023</v>
          </cell>
          <cell r="T666" t="str">
            <v>01/10/2023</v>
          </cell>
          <cell r="U666" t="str">
            <v>06/10/2023</v>
          </cell>
          <cell r="V666" t="str">
            <v>09/10/2023</v>
          </cell>
          <cell r="W666" t="str">
            <v>2023/09</v>
          </cell>
          <cell r="X666" t="str">
            <v>33 KV</v>
          </cell>
          <cell r="Y666" t="str">
            <v>HT</v>
          </cell>
          <cell r="Z666">
            <v>871.8</v>
          </cell>
          <cell r="AA666">
            <v>0.9032</v>
          </cell>
          <cell r="AB666">
            <v>34.020000000000003</v>
          </cell>
          <cell r="AC666" t="str">
            <v xml:space="preserve">01/09/2023 -     </v>
          </cell>
          <cell r="AD666" t="str">
            <v>30.09.2023</v>
          </cell>
          <cell r="AE666" t="str">
            <v>30/1.0000</v>
          </cell>
          <cell r="AF666">
            <v>889</v>
          </cell>
          <cell r="AG666" t="str">
            <v>KVA</v>
          </cell>
          <cell r="AH666">
            <v>889</v>
          </cell>
          <cell r="AI666" t="str">
            <v>R</v>
          </cell>
          <cell r="AJ666">
            <v>4180718</v>
          </cell>
          <cell r="AK666" t="str">
            <v>30/09/2023</v>
          </cell>
          <cell r="AL666" t="str">
            <v>TPN64770</v>
          </cell>
          <cell r="AM666" t="str">
            <v>THREE PHASE HT CT METER-33KV</v>
          </cell>
          <cell r="AN666" t="str">
            <v>POST PAID</v>
          </cell>
          <cell r="AO666">
            <v>1600</v>
          </cell>
          <cell r="AP666" t="str">
            <v>TOD</v>
          </cell>
          <cell r="AQ666">
            <v>-833335</v>
          </cell>
          <cell r="AR666">
            <v>0</v>
          </cell>
          <cell r="AS666">
            <v>0</v>
          </cell>
          <cell r="AT666">
            <v>0</v>
          </cell>
          <cell r="AU666">
            <v>0</v>
          </cell>
          <cell r="AV666">
            <v>0</v>
          </cell>
          <cell r="AW666">
            <v>192900</v>
          </cell>
          <cell r="AX666">
            <v>213555</v>
          </cell>
          <cell r="AY666">
            <v>213555</v>
          </cell>
          <cell r="AZ666">
            <v>5989.2</v>
          </cell>
          <cell r="BA666">
            <v>871.80000000000007</v>
          </cell>
        </row>
        <row r="667">
          <cell r="F667">
            <v>622000000162</v>
          </cell>
          <cell r="G667" t="str">
            <v>M/S SHREE JAGANNATH METALS</v>
          </cell>
          <cell r="H667" t="str">
            <v>PROP- SRI PRADIP KU. DAS</v>
          </cell>
          <cell r="I667" t="str">
            <v>10/31/2020 00:00:00</v>
          </cell>
          <cell r="J667">
            <v>1</v>
          </cell>
          <cell r="K667" t="str">
            <v xml:space="preserve"> </v>
          </cell>
          <cell r="L667" t="str">
            <v xml:space="preserve"> </v>
          </cell>
          <cell r="M667" t="str">
            <v>622000010231493547</v>
          </cell>
          <cell r="N667" t="str">
            <v>6220000013</v>
          </cell>
          <cell r="O667" t="str">
            <v>L-177</v>
          </cell>
          <cell r="P667" t="str">
            <v>462231106</v>
          </cell>
          <cell r="Q667" t="str">
            <v>LARGE INDUSTRY</v>
          </cell>
          <cell r="R667" t="str">
            <v>HT</v>
          </cell>
          <cell r="S667" t="str">
            <v>01/10/2023</v>
          </cell>
          <cell r="T667" t="str">
            <v>01/10/2023</v>
          </cell>
          <cell r="U667" t="str">
            <v>06/10/2023</v>
          </cell>
          <cell r="V667" t="str">
            <v>09/10/2023</v>
          </cell>
          <cell r="W667" t="str">
            <v>2023/09</v>
          </cell>
          <cell r="X667" t="str">
            <v>11 KV</v>
          </cell>
          <cell r="Y667" t="str">
            <v>HT</v>
          </cell>
          <cell r="Z667">
            <v>132.4</v>
          </cell>
          <cell r="AA667">
            <v>0.35410000000000003</v>
          </cell>
          <cell r="AB667">
            <v>7.24</v>
          </cell>
          <cell r="AC667" t="str">
            <v xml:space="preserve">01/09/2023 -     </v>
          </cell>
          <cell r="AD667" t="str">
            <v>30.09.2023</v>
          </cell>
          <cell r="AE667" t="str">
            <v>30/1.0000</v>
          </cell>
          <cell r="AF667">
            <v>142</v>
          </cell>
          <cell r="AG667" t="str">
            <v>KVA</v>
          </cell>
          <cell r="AH667">
            <v>142</v>
          </cell>
          <cell r="AI667" t="str">
            <v>R</v>
          </cell>
          <cell r="AJ667">
            <v>944830</v>
          </cell>
          <cell r="AK667" t="str">
            <v>30/09/2023</v>
          </cell>
          <cell r="AL667" t="str">
            <v>TPN64180</v>
          </cell>
          <cell r="AM667" t="str">
            <v>HT THREE PHASE 4 WIRE AMR/AMI COMPLAINT METER</v>
          </cell>
          <cell r="AN667" t="str">
            <v>POST PAID</v>
          </cell>
          <cell r="AO667">
            <v>150</v>
          </cell>
          <cell r="AP667" t="str">
            <v>TOD</v>
          </cell>
          <cell r="AQ667">
            <v>-794783.9</v>
          </cell>
          <cell r="AR667">
            <v>0</v>
          </cell>
          <cell r="AS667">
            <v>0</v>
          </cell>
          <cell r="AT667">
            <v>0</v>
          </cell>
          <cell r="AU667">
            <v>0</v>
          </cell>
          <cell r="AV667">
            <v>0</v>
          </cell>
          <cell r="AW667">
            <v>2443</v>
          </cell>
          <cell r="AX667">
            <v>6899</v>
          </cell>
          <cell r="AY667">
            <v>6899</v>
          </cell>
          <cell r="AZ667">
            <v>795.92</v>
          </cell>
          <cell r="BA667">
            <v>132.4</v>
          </cell>
        </row>
        <row r="668">
          <cell r="F668">
            <v>622000000168</v>
          </cell>
          <cell r="G668" t="str">
            <v>TRIVENI EARTH MOVERS P. LTD.</v>
          </cell>
          <cell r="H668" t="str">
            <v>UCHABALI,BAMEBARIKEONJHAR</v>
          </cell>
          <cell r="I668" t="str">
            <v>10/31/2020 00:00:00</v>
          </cell>
          <cell r="J668">
            <v>1</v>
          </cell>
          <cell r="K668" t="str">
            <v xml:space="preserve"> </v>
          </cell>
          <cell r="L668" t="str">
            <v xml:space="preserve"> </v>
          </cell>
          <cell r="M668" t="str">
            <v>622000010231494654</v>
          </cell>
          <cell r="N668" t="str">
            <v>6220000019</v>
          </cell>
          <cell r="O668" t="str">
            <v>GP-181</v>
          </cell>
          <cell r="P668" t="str">
            <v>462212202</v>
          </cell>
          <cell r="Q668" t="str">
            <v>GENERAL PURPOSE &gt;= 110 KVA</v>
          </cell>
          <cell r="R668" t="str">
            <v>HT</v>
          </cell>
          <cell r="S668" t="str">
            <v>01/10/2023</v>
          </cell>
          <cell r="T668" t="str">
            <v>01/10/2023</v>
          </cell>
          <cell r="U668" t="str">
            <v>06/10/2023</v>
          </cell>
          <cell r="V668" t="str">
            <v>09/10/2023</v>
          </cell>
          <cell r="W668" t="str">
            <v>2023/09</v>
          </cell>
          <cell r="X668" t="str">
            <v>11 KV</v>
          </cell>
          <cell r="Y668" t="str">
            <v>HT</v>
          </cell>
          <cell r="Z668">
            <v>196</v>
          </cell>
          <cell r="AA668">
            <v>0.90500000000000003</v>
          </cell>
          <cell r="AB668">
            <v>29.99</v>
          </cell>
          <cell r="AC668" t="str">
            <v xml:space="preserve">01/09/2023 -     </v>
          </cell>
          <cell r="AD668" t="str">
            <v>30.09.2023</v>
          </cell>
          <cell r="AE668" t="str">
            <v>30/1.0000</v>
          </cell>
          <cell r="AF668">
            <v>245</v>
          </cell>
          <cell r="AG668" t="str">
            <v>KVA</v>
          </cell>
          <cell r="AH668">
            <v>245</v>
          </cell>
          <cell r="AI668" t="str">
            <v>R</v>
          </cell>
          <cell r="AJ668">
            <v>637733</v>
          </cell>
          <cell r="AK668" t="str">
            <v>30/09/2023</v>
          </cell>
          <cell r="AL668" t="str">
            <v>NES51049</v>
          </cell>
          <cell r="AM668" t="str">
            <v>SINGLE PHASE ELECTRO-MAGNETIC KWH METER-TOD</v>
          </cell>
          <cell r="AN668" t="str">
            <v>POST PAID</v>
          </cell>
          <cell r="AO668">
            <v>315</v>
          </cell>
          <cell r="AP668" t="str">
            <v>TOD</v>
          </cell>
          <cell r="AQ668">
            <v>6657</v>
          </cell>
          <cell r="AR668">
            <v>0</v>
          </cell>
          <cell r="AS668">
            <v>0</v>
          </cell>
          <cell r="AT668">
            <v>0</v>
          </cell>
          <cell r="AU668">
            <v>0</v>
          </cell>
          <cell r="AV668">
            <v>0</v>
          </cell>
          <cell r="AW668">
            <v>0</v>
          </cell>
          <cell r="AX668">
            <v>0</v>
          </cell>
          <cell r="AY668">
            <v>17966</v>
          </cell>
          <cell r="AZ668">
            <v>0</v>
          </cell>
          <cell r="BA668">
            <v>0</v>
          </cell>
        </row>
        <row r="669">
          <cell r="F669">
            <v>622000000169</v>
          </cell>
          <cell r="G669" t="str">
            <v>M/S SHANTI DEVI STONE CRUSHER</v>
          </cell>
          <cell r="H669" t="str">
            <v>PROP- SRI PRAMOD SAHU</v>
          </cell>
          <cell r="I669" t="str">
            <v>10/31/2020 00:00:00</v>
          </cell>
          <cell r="J669">
            <v>1</v>
          </cell>
          <cell r="K669" t="str">
            <v xml:space="preserve"> </v>
          </cell>
          <cell r="L669" t="str">
            <v xml:space="preserve"> </v>
          </cell>
          <cell r="M669" t="str">
            <v>622000010231493087</v>
          </cell>
          <cell r="N669" t="str">
            <v>6220000020</v>
          </cell>
          <cell r="O669" t="str">
            <v xml:space="preserve"> </v>
          </cell>
          <cell r="P669" t="str">
            <v>462223301</v>
          </cell>
          <cell r="Q669" t="str">
            <v>LARGE INDUSTRY</v>
          </cell>
          <cell r="R669" t="str">
            <v>HT</v>
          </cell>
          <cell r="S669" t="str">
            <v>01/10/2023</v>
          </cell>
          <cell r="T669" t="str">
            <v>01/10/2023</v>
          </cell>
          <cell r="U669" t="str">
            <v>06/10/2023</v>
          </cell>
          <cell r="V669" t="str">
            <v>09/10/2023</v>
          </cell>
          <cell r="W669" t="str">
            <v>2023/09</v>
          </cell>
          <cell r="X669" t="str">
            <v>11 KV</v>
          </cell>
          <cell r="Y669" t="str">
            <v>HT</v>
          </cell>
          <cell r="Z669">
            <v>340.56</v>
          </cell>
          <cell r="AA669">
            <v>0.68440000000000001</v>
          </cell>
          <cell r="AB669">
            <v>18.38</v>
          </cell>
          <cell r="AC669" t="str">
            <v xml:space="preserve">01/09/2023 -     </v>
          </cell>
          <cell r="AD669" t="str">
            <v>30.09.2023</v>
          </cell>
          <cell r="AE669" t="str">
            <v>30/1.0000</v>
          </cell>
          <cell r="AF669">
            <v>400</v>
          </cell>
          <cell r="AG669" t="str">
            <v>KVA</v>
          </cell>
          <cell r="AH669">
            <v>400</v>
          </cell>
          <cell r="AI669" t="str">
            <v>R</v>
          </cell>
          <cell r="AJ669">
            <v>2455360</v>
          </cell>
          <cell r="AK669" t="str">
            <v>30/09/2023</v>
          </cell>
          <cell r="AL669" t="str">
            <v>TPN64055</v>
          </cell>
          <cell r="AM669" t="str">
            <v>HT THREE PHASE 4 WIRE AMR/AMI COMPLAINT METER</v>
          </cell>
          <cell r="AN669" t="str">
            <v>POST PAID</v>
          </cell>
          <cell r="AO669">
            <v>500</v>
          </cell>
          <cell r="AP669" t="str">
            <v>TOD</v>
          </cell>
          <cell r="AQ669">
            <v>-407153.9</v>
          </cell>
          <cell r="AR669">
            <v>0</v>
          </cell>
          <cell r="AS669">
            <v>0</v>
          </cell>
          <cell r="AT669">
            <v>0</v>
          </cell>
          <cell r="AU669">
            <v>0</v>
          </cell>
          <cell r="AV669">
            <v>0</v>
          </cell>
          <cell r="AW669">
            <v>30843</v>
          </cell>
          <cell r="AX669">
            <v>45060</v>
          </cell>
          <cell r="AY669">
            <v>45060</v>
          </cell>
          <cell r="AZ669">
            <v>2395.6799999999998</v>
          </cell>
          <cell r="BA669">
            <v>340.56</v>
          </cell>
        </row>
        <row r="670">
          <cell r="F670">
            <v>622000000170</v>
          </cell>
          <cell r="G670" t="str">
            <v>M/S. ARCELOR MITTAL NIPPON STEEL IND</v>
          </cell>
          <cell r="H670" t="str">
            <v>AT-BASANTPUR</v>
          </cell>
          <cell r="I670" t="str">
            <v>10/31/2020 00:00:00</v>
          </cell>
          <cell r="J670">
            <v>1</v>
          </cell>
          <cell r="K670" t="str">
            <v>DABUNA</v>
          </cell>
          <cell r="L670" t="str">
            <v>JODA</v>
          </cell>
          <cell r="M670" t="str">
            <v>622000010231495164</v>
          </cell>
          <cell r="N670" t="str">
            <v>6220000021</v>
          </cell>
          <cell r="O670" t="str">
            <v>L-180</v>
          </cell>
          <cell r="P670" t="str">
            <v>NULL</v>
          </cell>
          <cell r="Q670" t="str">
            <v>LARGE INDUSTRY</v>
          </cell>
          <cell r="R670" t="str">
            <v>EHT</v>
          </cell>
          <cell r="S670" t="str">
            <v>01/10/2023</v>
          </cell>
          <cell r="T670" t="str">
            <v>01/10/2023</v>
          </cell>
          <cell r="U670" t="str">
            <v>06/10/2023</v>
          </cell>
          <cell r="V670" t="str">
            <v>09/10/2023</v>
          </cell>
          <cell r="W670" t="str">
            <v>2023/09</v>
          </cell>
          <cell r="X670" t="str">
            <v>132 KV</v>
          </cell>
          <cell r="Y670" t="str">
            <v>HT</v>
          </cell>
          <cell r="Z670">
            <v>22920</v>
          </cell>
          <cell r="AA670">
            <v>0.997</v>
          </cell>
          <cell r="AB670">
            <v>54.55</v>
          </cell>
          <cell r="AC670" t="str">
            <v xml:space="preserve">01/09/2023 -     </v>
          </cell>
          <cell r="AD670" t="str">
            <v>30.09.2023</v>
          </cell>
          <cell r="AE670" t="str">
            <v>30/1.0000</v>
          </cell>
          <cell r="AF670">
            <v>27000</v>
          </cell>
          <cell r="AG670" t="str">
            <v>KVA</v>
          </cell>
          <cell r="AH670">
            <v>27000</v>
          </cell>
          <cell r="AI670" t="str">
            <v>R</v>
          </cell>
          <cell r="AJ670">
            <v>164376000</v>
          </cell>
          <cell r="AK670" t="str">
            <v>30/09/2023</v>
          </cell>
          <cell r="AL670" t="str">
            <v>TPN64902</v>
          </cell>
          <cell r="AM670" t="str">
            <v>THREE PHASE HT CT METER-33KV</v>
          </cell>
          <cell r="AN670" t="str">
            <v>POST PAID</v>
          </cell>
          <cell r="AO670">
            <v>80000</v>
          </cell>
          <cell r="AP670" t="str">
            <v>TOD</v>
          </cell>
          <cell r="AQ670">
            <v>56446717.060000002</v>
          </cell>
          <cell r="AR670">
            <v>0</v>
          </cell>
          <cell r="AS670">
            <v>0</v>
          </cell>
          <cell r="AT670">
            <v>0</v>
          </cell>
          <cell r="AU670">
            <v>0</v>
          </cell>
          <cell r="AV670">
            <v>0</v>
          </cell>
          <cell r="AW670">
            <v>8975040</v>
          </cell>
          <cell r="AX670">
            <v>9002040</v>
          </cell>
          <cell r="AY670">
            <v>9002040</v>
          </cell>
          <cell r="AZ670">
            <v>95.5</v>
          </cell>
          <cell r="BA670">
            <v>22920</v>
          </cell>
        </row>
        <row r="671">
          <cell r="F671">
            <v>622000000171</v>
          </cell>
          <cell r="G671" t="str">
            <v>M/S - SERAJUDDIN &amp; CO.</v>
          </cell>
          <cell r="H671" t="str">
            <v>BALDA,BAMEBARIKEONJHAR</v>
          </cell>
          <cell r="I671" t="str">
            <v>10/31/2020 00:00:00</v>
          </cell>
          <cell r="J671">
            <v>1</v>
          </cell>
          <cell r="K671" t="str">
            <v xml:space="preserve"> </v>
          </cell>
          <cell r="L671" t="str">
            <v xml:space="preserve"> </v>
          </cell>
          <cell r="M671" t="str">
            <v>622000010231494683</v>
          </cell>
          <cell r="N671" t="str">
            <v>6220000022</v>
          </cell>
          <cell r="O671" t="str">
            <v>L-181</v>
          </cell>
          <cell r="P671" t="str">
            <v>462212202</v>
          </cell>
          <cell r="Q671" t="str">
            <v>LARGE INDUSTRY</v>
          </cell>
          <cell r="R671" t="str">
            <v>HT</v>
          </cell>
          <cell r="S671" t="str">
            <v>01/10/2023</v>
          </cell>
          <cell r="T671" t="str">
            <v>01/10/2023</v>
          </cell>
          <cell r="U671" t="str">
            <v>06/10/2023</v>
          </cell>
          <cell r="V671" t="str">
            <v>09/10/2023</v>
          </cell>
          <cell r="W671" t="str">
            <v>2023/09</v>
          </cell>
          <cell r="X671" t="str">
            <v>11 KV</v>
          </cell>
          <cell r="Y671" t="str">
            <v>HT</v>
          </cell>
          <cell r="Z671">
            <v>1200</v>
          </cell>
          <cell r="AA671">
            <v>0.94869999999999999</v>
          </cell>
          <cell r="AB671">
            <v>43.79</v>
          </cell>
          <cell r="AC671" t="str">
            <v xml:space="preserve">01/09/2023 -     </v>
          </cell>
          <cell r="AD671" t="str">
            <v>30.09.2023</v>
          </cell>
          <cell r="AE671" t="str">
            <v>30/1.0000</v>
          </cell>
          <cell r="AF671">
            <v>1500</v>
          </cell>
          <cell r="AG671" t="str">
            <v>KVA</v>
          </cell>
          <cell r="AH671">
            <v>1500</v>
          </cell>
          <cell r="AI671" t="str">
            <v>R</v>
          </cell>
          <cell r="AJ671">
            <v>7267920</v>
          </cell>
          <cell r="AK671" t="str">
            <v>30/09/2023</v>
          </cell>
          <cell r="AL671" t="str">
            <v>TPN64047</v>
          </cell>
          <cell r="AM671" t="str">
            <v>HT THREE PHASE 4 WIRE AMR/AMI COMPLAINT METER</v>
          </cell>
          <cell r="AN671" t="str">
            <v>POST PAID</v>
          </cell>
          <cell r="AO671">
            <v>2000</v>
          </cell>
          <cell r="AP671" t="str">
            <v>TOD</v>
          </cell>
          <cell r="AQ671">
            <v>-6570423.9000000004</v>
          </cell>
          <cell r="AR671">
            <v>0</v>
          </cell>
          <cell r="AS671">
            <v>0</v>
          </cell>
          <cell r="AT671">
            <v>0</v>
          </cell>
          <cell r="AU671">
            <v>0</v>
          </cell>
          <cell r="AV671">
            <v>0</v>
          </cell>
          <cell r="AW671">
            <v>23690</v>
          </cell>
          <cell r="AX671">
            <v>24970</v>
          </cell>
          <cell r="AY671">
            <v>24970</v>
          </cell>
          <cell r="AZ671">
            <v>595.20000000000005</v>
          </cell>
          <cell r="BA671">
            <v>79.2</v>
          </cell>
        </row>
        <row r="672">
          <cell r="F672">
            <v>622000000172</v>
          </cell>
          <cell r="G672" t="str">
            <v>TATA STEEL LTD.</v>
          </cell>
          <cell r="H672" t="str">
            <v>KATAMATI IRON MINES,DEOJHARJODA</v>
          </cell>
          <cell r="I672" t="str">
            <v>10/31/2020 00:00:00</v>
          </cell>
          <cell r="J672">
            <v>1</v>
          </cell>
          <cell r="K672" t="str">
            <v xml:space="preserve"> </v>
          </cell>
          <cell r="L672" t="str">
            <v xml:space="preserve"> </v>
          </cell>
          <cell r="M672" t="str">
            <v>622000010231494503</v>
          </cell>
          <cell r="N672" t="str">
            <v>6220000023</v>
          </cell>
          <cell r="O672" t="str">
            <v>L-182</v>
          </cell>
          <cell r="P672" t="str">
            <v>46287423005</v>
          </cell>
          <cell r="Q672" t="str">
            <v>LARGE INDUSTRY</v>
          </cell>
          <cell r="R672" t="str">
            <v>HT</v>
          </cell>
          <cell r="S672" t="str">
            <v>01/10/2023</v>
          </cell>
          <cell r="T672" t="str">
            <v>01/10/2023</v>
          </cell>
          <cell r="U672" t="str">
            <v>06/10/2023</v>
          </cell>
          <cell r="V672" t="str">
            <v>09/10/2023</v>
          </cell>
          <cell r="W672" t="str">
            <v>2023/09</v>
          </cell>
          <cell r="X672" t="str">
            <v>33 KV</v>
          </cell>
          <cell r="Y672" t="str">
            <v>HT</v>
          </cell>
          <cell r="Z672">
            <v>1777.6</v>
          </cell>
          <cell r="AA672">
            <v>0.74099999999999999</v>
          </cell>
          <cell r="AB672">
            <v>37.630000000000003</v>
          </cell>
          <cell r="AC672" t="str">
            <v xml:space="preserve">01/09/2023 -     </v>
          </cell>
          <cell r="AD672" t="str">
            <v>30.09.2023</v>
          </cell>
          <cell r="AE672" t="str">
            <v>30/1.0000</v>
          </cell>
          <cell r="AF672">
            <v>2222</v>
          </cell>
          <cell r="AG672" t="str">
            <v>KVA</v>
          </cell>
          <cell r="AH672">
            <v>2222</v>
          </cell>
          <cell r="AI672" t="str">
            <v>R</v>
          </cell>
          <cell r="AJ672">
            <v>11356553</v>
          </cell>
          <cell r="AK672" t="str">
            <v>30/09/2023</v>
          </cell>
          <cell r="AL672" t="str">
            <v>NSC94738</v>
          </cell>
          <cell r="AM672" t="str">
            <v>THREE PHASE HT CT METER-33KV</v>
          </cell>
          <cell r="AN672" t="str">
            <v>POST PAID</v>
          </cell>
          <cell r="AO672">
            <v>2500</v>
          </cell>
          <cell r="AP672" t="str">
            <v>TOD</v>
          </cell>
          <cell r="AQ672">
            <v>-7453329.9000000004</v>
          </cell>
          <cell r="AR672">
            <v>0</v>
          </cell>
          <cell r="AS672">
            <v>0</v>
          </cell>
          <cell r="AT672">
            <v>0</v>
          </cell>
          <cell r="AU672">
            <v>0</v>
          </cell>
          <cell r="AV672">
            <v>0</v>
          </cell>
          <cell r="AW672">
            <v>335340</v>
          </cell>
          <cell r="AX672">
            <v>452520</v>
          </cell>
          <cell r="AY672">
            <v>452520</v>
          </cell>
          <cell r="AZ672">
            <v>7672.8</v>
          </cell>
          <cell r="BA672">
            <v>1670.3999999999999</v>
          </cell>
        </row>
        <row r="673">
          <cell r="F673">
            <v>622000000174</v>
          </cell>
          <cell r="G673" t="str">
            <v>M/S SSAB ENERGY &amp; MINERALS LIMITED</v>
          </cell>
          <cell r="H673" t="str">
            <v>BARBIL, STATION ROAD,WARD NO-8KEONJHAR</v>
          </cell>
          <cell r="I673" t="str">
            <v>10/31/2020 00:00:00</v>
          </cell>
          <cell r="J673">
            <v>1</v>
          </cell>
          <cell r="K673" t="str">
            <v xml:space="preserve"> </v>
          </cell>
          <cell r="L673" t="str">
            <v xml:space="preserve"> </v>
          </cell>
          <cell r="M673" t="str">
            <v>622000010231494039</v>
          </cell>
          <cell r="N673" t="str">
            <v>6220000025</v>
          </cell>
          <cell r="O673" t="str">
            <v>L-184</v>
          </cell>
          <cell r="P673" t="str">
            <v>462232102</v>
          </cell>
          <cell r="Q673" t="str">
            <v>LARGE INDUSTRY</v>
          </cell>
          <cell r="R673" t="str">
            <v>HT</v>
          </cell>
          <cell r="S673" t="str">
            <v>01/10/2023</v>
          </cell>
          <cell r="T673" t="str">
            <v>01/10/2023</v>
          </cell>
          <cell r="U673" t="str">
            <v>06/10/2023</v>
          </cell>
          <cell r="V673" t="str">
            <v>09/10/2023</v>
          </cell>
          <cell r="W673" t="str">
            <v>2023/09</v>
          </cell>
          <cell r="X673" t="str">
            <v>11 KV</v>
          </cell>
          <cell r="Y673" t="str">
            <v>HT</v>
          </cell>
          <cell r="Z673">
            <v>392</v>
          </cell>
          <cell r="AA673">
            <v>0.84609999999999996</v>
          </cell>
          <cell r="AB673">
            <v>20.02</v>
          </cell>
          <cell r="AC673" t="str">
            <v xml:space="preserve">01/09/2023 -     </v>
          </cell>
          <cell r="AD673" t="str">
            <v>30.09.2023</v>
          </cell>
          <cell r="AE673" t="str">
            <v>30/1.0000</v>
          </cell>
          <cell r="AF673">
            <v>490</v>
          </cell>
          <cell r="AG673" t="str">
            <v>KVA</v>
          </cell>
          <cell r="AH673">
            <v>490</v>
          </cell>
          <cell r="AI673" t="str">
            <v>R</v>
          </cell>
          <cell r="AJ673">
            <v>2593276</v>
          </cell>
          <cell r="AK673" t="str">
            <v>30/09/2023</v>
          </cell>
          <cell r="AL673" t="str">
            <v>NSC94469</v>
          </cell>
          <cell r="AM673" t="str">
            <v>HT THREE PHASE 3 WIRE AMR/AMI COMPLIANT METER</v>
          </cell>
          <cell r="AN673" t="str">
            <v>POST PAID</v>
          </cell>
          <cell r="AO673">
            <v>750</v>
          </cell>
          <cell r="AP673" t="str">
            <v>TOD</v>
          </cell>
          <cell r="AQ673">
            <v>-1837973.7</v>
          </cell>
          <cell r="AR673">
            <v>0</v>
          </cell>
          <cell r="AS673">
            <v>0</v>
          </cell>
          <cell r="AT673">
            <v>0</v>
          </cell>
          <cell r="AU673">
            <v>0</v>
          </cell>
          <cell r="AV673">
            <v>0</v>
          </cell>
          <cell r="AW673">
            <v>24885</v>
          </cell>
          <cell r="AX673">
            <v>29410</v>
          </cell>
          <cell r="AY673">
            <v>29410</v>
          </cell>
          <cell r="AZ673">
            <v>1749.6</v>
          </cell>
          <cell r="BA673">
            <v>204</v>
          </cell>
        </row>
        <row r="674">
          <cell r="F674">
            <v>622000000175</v>
          </cell>
          <cell r="G674" t="str">
            <v>M/S ESSEL MINING &amp; INDUSTRIES LIMIT</v>
          </cell>
          <cell r="H674" t="str">
            <v>BASANTPUR,DABUNAKEONJHAR</v>
          </cell>
          <cell r="I674" t="str">
            <v>10/31/2020 00:00:00</v>
          </cell>
          <cell r="J674">
            <v>1</v>
          </cell>
          <cell r="K674" t="str">
            <v xml:space="preserve"> </v>
          </cell>
          <cell r="L674" t="str">
            <v xml:space="preserve"> </v>
          </cell>
          <cell r="M674" t="str">
            <v>622000010231495205</v>
          </cell>
          <cell r="N674" t="str">
            <v>6220000026</v>
          </cell>
          <cell r="O674" t="str">
            <v xml:space="preserve"> </v>
          </cell>
          <cell r="P674" t="str">
            <v>46287423004</v>
          </cell>
          <cell r="Q674" t="str">
            <v>LARGE INDUSTRY</v>
          </cell>
          <cell r="R674" t="str">
            <v>HT</v>
          </cell>
          <cell r="S674" t="str">
            <v>01/10/2023</v>
          </cell>
          <cell r="T674" t="str">
            <v>01/10/2023</v>
          </cell>
          <cell r="U674" t="str">
            <v>06/10/2023</v>
          </cell>
          <cell r="V674" t="str">
            <v>09/10/2023</v>
          </cell>
          <cell r="W674" t="str">
            <v>2023/09</v>
          </cell>
          <cell r="X674" t="str">
            <v>33 KV</v>
          </cell>
          <cell r="Y674" t="str">
            <v>HT</v>
          </cell>
          <cell r="Z674">
            <v>9600</v>
          </cell>
          <cell r="AA674">
            <v>0.97840000000000005</v>
          </cell>
          <cell r="AB674">
            <v>66.91</v>
          </cell>
          <cell r="AC674" t="str">
            <v xml:space="preserve">01/09/2023 -     </v>
          </cell>
          <cell r="AD674" t="str">
            <v>30.09.2023</v>
          </cell>
          <cell r="AE674" t="str">
            <v>30/1.0000</v>
          </cell>
          <cell r="AF674">
            <v>12000</v>
          </cell>
          <cell r="AG674" t="str">
            <v>KVA</v>
          </cell>
          <cell r="AH674">
            <v>12000</v>
          </cell>
          <cell r="AI674" t="str">
            <v>R</v>
          </cell>
          <cell r="AJ674">
            <v>73660800</v>
          </cell>
          <cell r="AK674" t="str">
            <v>30/09/2023</v>
          </cell>
          <cell r="AL674" t="str">
            <v>NSC94547</v>
          </cell>
          <cell r="AM674" t="str">
            <v>HT THREE PHASE 4 WIRE AMR/AMI COMPLAINT METER</v>
          </cell>
          <cell r="AN674" t="str">
            <v>POST PAID</v>
          </cell>
          <cell r="AO674">
            <v>0</v>
          </cell>
          <cell r="AP674" t="str">
            <v>TOD</v>
          </cell>
          <cell r="AQ674">
            <v>-67329004.060000002</v>
          </cell>
          <cell r="AR674">
            <v>0</v>
          </cell>
          <cell r="AS674">
            <v>0</v>
          </cell>
          <cell r="AT674">
            <v>0</v>
          </cell>
          <cell r="AU674">
            <v>0</v>
          </cell>
          <cell r="AV674">
            <v>0</v>
          </cell>
          <cell r="AW674">
            <v>3846360</v>
          </cell>
          <cell r="AX674">
            <v>3931200</v>
          </cell>
          <cell r="AY674">
            <v>3931200</v>
          </cell>
          <cell r="AZ674">
            <v>0.34</v>
          </cell>
          <cell r="BA674">
            <v>8160.0000000000009</v>
          </cell>
        </row>
        <row r="675">
          <cell r="F675">
            <v>622000000176</v>
          </cell>
          <cell r="G675" t="str">
            <v>M/S BRAHMANI RIVER PELLETS LTD.</v>
          </cell>
          <cell r="H675" t="str">
            <v>TANTO, BHADRASAHI,BARBILKEONJHAR</v>
          </cell>
          <cell r="I675" t="str">
            <v>10/31/2020 00:00:00</v>
          </cell>
          <cell r="J675">
            <v>1</v>
          </cell>
          <cell r="K675" t="str">
            <v xml:space="preserve"> </v>
          </cell>
          <cell r="L675" t="str">
            <v xml:space="preserve"> </v>
          </cell>
          <cell r="M675" t="str">
            <v>622000010231494475</v>
          </cell>
          <cell r="N675" t="str">
            <v>6220000027</v>
          </cell>
          <cell r="O675" t="str">
            <v>GP-182</v>
          </cell>
          <cell r="P675" t="str">
            <v>462233201</v>
          </cell>
          <cell r="Q675" t="str">
            <v>GENERAL PURPOSE &gt;= 110 KVA</v>
          </cell>
          <cell r="R675" t="str">
            <v>HT</v>
          </cell>
          <cell r="S675" t="str">
            <v>01/10/2023</v>
          </cell>
          <cell r="T675" t="str">
            <v>01/10/2023</v>
          </cell>
          <cell r="U675" t="str">
            <v>06/10/2023</v>
          </cell>
          <cell r="V675" t="str">
            <v>09/10/2023</v>
          </cell>
          <cell r="W675" t="str">
            <v>2023/09</v>
          </cell>
          <cell r="X675" t="str">
            <v>11 KV</v>
          </cell>
          <cell r="Y675" t="str">
            <v>HT</v>
          </cell>
          <cell r="Z675">
            <v>468</v>
          </cell>
          <cell r="AA675">
            <v>0.86419999999999997</v>
          </cell>
          <cell r="AB675">
            <v>47.43</v>
          </cell>
          <cell r="AC675" t="str">
            <v xml:space="preserve">01/09/2023 -     </v>
          </cell>
          <cell r="AD675" t="str">
            <v>30.09.2023</v>
          </cell>
          <cell r="AE675" t="str">
            <v>30/1.0000</v>
          </cell>
          <cell r="AF675">
            <v>585</v>
          </cell>
          <cell r="AG675" t="str">
            <v>KVA</v>
          </cell>
          <cell r="AH675">
            <v>585</v>
          </cell>
          <cell r="AI675" t="str">
            <v>R</v>
          </cell>
          <cell r="AJ675">
            <v>1878659</v>
          </cell>
          <cell r="AK675" t="str">
            <v>30/09/2023</v>
          </cell>
          <cell r="AL675" t="str">
            <v>NES51008</v>
          </cell>
          <cell r="AM675" t="str">
            <v>SINGLE PHASE ELECTRO-MAGNETIC KWH METER-TOD</v>
          </cell>
          <cell r="AN675" t="str">
            <v>POST PAID</v>
          </cell>
          <cell r="AO675">
            <v>1000</v>
          </cell>
          <cell r="AP675" t="str">
            <v>TOD</v>
          </cell>
          <cell r="AQ675">
            <v>450555.3</v>
          </cell>
          <cell r="AR675">
            <v>0</v>
          </cell>
          <cell r="AS675">
            <v>0</v>
          </cell>
          <cell r="AT675">
            <v>0</v>
          </cell>
          <cell r="AU675">
            <v>0</v>
          </cell>
          <cell r="AV675">
            <v>0</v>
          </cell>
          <cell r="AW675">
            <v>110260</v>
          </cell>
          <cell r="AX675">
            <v>127575</v>
          </cell>
          <cell r="AY675">
            <v>127575</v>
          </cell>
          <cell r="AZ675">
            <v>2621.6</v>
          </cell>
          <cell r="BA675">
            <v>373.59999999999997</v>
          </cell>
        </row>
        <row r="676">
          <cell r="F676">
            <v>622000000177</v>
          </cell>
          <cell r="G676" t="str">
            <v>SENIOR DIVISIONAL ELECTRICAL</v>
          </cell>
          <cell r="H676" t="str">
            <v>ENGINEER (G) EAST COAST RAILWAY</v>
          </cell>
          <cell r="I676" t="str">
            <v>10/31/2020 00:00:00</v>
          </cell>
          <cell r="J676">
            <v>1</v>
          </cell>
          <cell r="K676" t="str">
            <v xml:space="preserve"> </v>
          </cell>
          <cell r="L676" t="str">
            <v xml:space="preserve"> </v>
          </cell>
          <cell r="M676" t="str">
            <v>622000010231494708</v>
          </cell>
          <cell r="N676" t="str">
            <v>6220000028</v>
          </cell>
          <cell r="O676" t="str">
            <v>GP-183</v>
          </cell>
          <cell r="P676" t="str">
            <v>462212201</v>
          </cell>
          <cell r="Q676" t="str">
            <v>GENERAL PURPOSE &gt;= 110 KVA</v>
          </cell>
          <cell r="R676" t="str">
            <v>HT</v>
          </cell>
          <cell r="S676" t="str">
            <v>01/10/2023</v>
          </cell>
          <cell r="T676" t="str">
            <v>01/10/2023</v>
          </cell>
          <cell r="U676" t="str">
            <v>06/10/2023</v>
          </cell>
          <cell r="V676" t="str">
            <v>09/10/2023</v>
          </cell>
          <cell r="W676" t="str">
            <v>2023/09</v>
          </cell>
          <cell r="X676" t="str">
            <v>11 KV</v>
          </cell>
          <cell r="Y676" t="str">
            <v>HT</v>
          </cell>
          <cell r="Z676">
            <v>107.2</v>
          </cell>
          <cell r="AA676">
            <v>0.9929</v>
          </cell>
          <cell r="AB676">
            <v>35.479999999999997</v>
          </cell>
          <cell r="AC676" t="str">
            <v xml:space="preserve">01/09/2023 -     </v>
          </cell>
          <cell r="AD676" t="str">
            <v>30.09.2023</v>
          </cell>
          <cell r="AE676" t="str">
            <v>30/1.0000</v>
          </cell>
          <cell r="AF676">
            <v>134</v>
          </cell>
          <cell r="AG676" t="str">
            <v>KVA</v>
          </cell>
          <cell r="AH676">
            <v>134</v>
          </cell>
          <cell r="AI676" t="str">
            <v>R</v>
          </cell>
          <cell r="AJ676">
            <v>336841</v>
          </cell>
          <cell r="AK676" t="str">
            <v>30/09/2023</v>
          </cell>
          <cell r="AL676" t="str">
            <v>NES51009</v>
          </cell>
          <cell r="AM676" t="str">
            <v>SINGLE PHASE ELECTRO-MAGNETIC KWH METER-TOD</v>
          </cell>
          <cell r="AN676" t="str">
            <v>POST PAID</v>
          </cell>
          <cell r="AO676">
            <v>200</v>
          </cell>
          <cell r="AP676" t="str">
            <v>TOD</v>
          </cell>
          <cell r="AQ676">
            <v>-188763.5</v>
          </cell>
          <cell r="AR676">
            <v>0</v>
          </cell>
          <cell r="AS676">
            <v>0</v>
          </cell>
          <cell r="AT676">
            <v>0</v>
          </cell>
          <cell r="AU676">
            <v>0</v>
          </cell>
          <cell r="AV676">
            <v>0</v>
          </cell>
          <cell r="AW676">
            <v>6595</v>
          </cell>
          <cell r="AX676">
            <v>6642</v>
          </cell>
          <cell r="AY676">
            <v>6642</v>
          </cell>
          <cell r="AZ676">
            <v>250.48</v>
          </cell>
          <cell r="BA676">
            <v>26</v>
          </cell>
        </row>
        <row r="677">
          <cell r="F677">
            <v>622000000178</v>
          </cell>
          <cell r="G677" t="str">
            <v>M/S RUNGTA MINES LTD</v>
          </cell>
          <cell r="H677" t="str">
            <v>MAIN ROAD , BARBIL,KEONJHAR ODISHA</v>
          </cell>
          <cell r="I677" t="str">
            <v>10/31/2020 00:00:00</v>
          </cell>
          <cell r="J677">
            <v>1</v>
          </cell>
          <cell r="K677" t="str">
            <v xml:space="preserve"> </v>
          </cell>
          <cell r="L677" t="str">
            <v xml:space="preserve"> </v>
          </cell>
          <cell r="M677" t="str">
            <v>622000010231493643</v>
          </cell>
          <cell r="N677" t="str">
            <v>6220000029</v>
          </cell>
          <cell r="O677" t="str">
            <v>BD-64</v>
          </cell>
          <cell r="P677" t="str">
            <v>462231101</v>
          </cell>
          <cell r="Q677" t="str">
            <v>BULK SUPPLY DOMESTIC</v>
          </cell>
          <cell r="R677" t="str">
            <v>HT</v>
          </cell>
          <cell r="S677" t="str">
            <v>01/10/2023</v>
          </cell>
          <cell r="T677" t="str">
            <v>01/10/2023</v>
          </cell>
          <cell r="U677" t="str">
            <v>09/10/2023</v>
          </cell>
          <cell r="V677" t="str">
            <v>09/10/2023</v>
          </cell>
          <cell r="W677" t="str">
            <v>2023/09</v>
          </cell>
          <cell r="X677" t="str">
            <v>11 KV</v>
          </cell>
          <cell r="Y677" t="str">
            <v>HT</v>
          </cell>
          <cell r="Z677">
            <v>500</v>
          </cell>
          <cell r="AA677">
            <v>0.95050000000000001</v>
          </cell>
          <cell r="AB677">
            <v>0</v>
          </cell>
          <cell r="AC677" t="str">
            <v xml:space="preserve">01/09/2023 -     </v>
          </cell>
          <cell r="AD677" t="str">
            <v>30.09.2023</v>
          </cell>
          <cell r="AE677" t="str">
            <v>30/1.0000</v>
          </cell>
          <cell r="AF677">
            <v>500</v>
          </cell>
          <cell r="AG677" t="str">
            <v>KVA</v>
          </cell>
          <cell r="AH677">
            <v>500</v>
          </cell>
          <cell r="AI677" t="str">
            <v>R</v>
          </cell>
          <cell r="AJ677">
            <v>496799.57</v>
          </cell>
          <cell r="AK677" t="str">
            <v>30/09/2023</v>
          </cell>
          <cell r="AL677" t="str">
            <v>TPNODL38111309</v>
          </cell>
          <cell r="AM677" t="str">
            <v>THREE PHASE SMART HT CT METER (AMR/AMI)-11KV</v>
          </cell>
          <cell r="AN677" t="str">
            <v>SMART METER</v>
          </cell>
          <cell r="AO677">
            <v>1000</v>
          </cell>
          <cell r="AP677" t="str">
            <v>TOD</v>
          </cell>
          <cell r="AQ677">
            <v>59596.83</v>
          </cell>
          <cell r="AR677">
            <v>0</v>
          </cell>
          <cell r="AS677">
            <v>0</v>
          </cell>
          <cell r="AT677">
            <v>0</v>
          </cell>
          <cell r="AU677">
            <v>0</v>
          </cell>
          <cell r="AV677">
            <v>0</v>
          </cell>
          <cell r="AW677">
            <v>59100</v>
          </cell>
          <cell r="AX677">
            <v>62175</v>
          </cell>
          <cell r="AY677">
            <v>62175</v>
          </cell>
          <cell r="AZ677">
            <v>986.56799999999998</v>
          </cell>
          <cell r="BA677">
            <v>205.33999999999997</v>
          </cell>
        </row>
        <row r="678">
          <cell r="F678">
            <v>622000000179</v>
          </cell>
          <cell r="G678" t="str">
            <v>M/S LELES RICE MILL</v>
          </cell>
          <cell r="H678" t="str">
            <v>BANKIA,CHAMPUAKEONJHAR</v>
          </cell>
          <cell r="I678" t="str">
            <v>10/31/2020 00:00:00</v>
          </cell>
          <cell r="J678">
            <v>1</v>
          </cell>
          <cell r="K678" t="str">
            <v xml:space="preserve"> </v>
          </cell>
          <cell r="L678" t="str">
            <v xml:space="preserve"> </v>
          </cell>
          <cell r="M678" t="str">
            <v>622000010231493988</v>
          </cell>
          <cell r="N678" t="str">
            <v>6220000030</v>
          </cell>
          <cell r="O678" t="str">
            <v>L-186</v>
          </cell>
          <cell r="P678" t="str">
            <v>462221502</v>
          </cell>
          <cell r="Q678" t="str">
            <v>LARGE INDUSTRY</v>
          </cell>
          <cell r="R678" t="str">
            <v>HT</v>
          </cell>
          <cell r="S678" t="str">
            <v>01/10/2023</v>
          </cell>
          <cell r="T678" t="str">
            <v>01/10/2023</v>
          </cell>
          <cell r="U678" t="str">
            <v>06/10/2023</v>
          </cell>
          <cell r="V678" t="str">
            <v>09/10/2023</v>
          </cell>
          <cell r="W678" t="str">
            <v>2023/09</v>
          </cell>
          <cell r="X678" t="str">
            <v>11 KV</v>
          </cell>
          <cell r="Y678" t="str">
            <v>HT</v>
          </cell>
          <cell r="Z678">
            <v>222.4</v>
          </cell>
          <cell r="AA678">
            <v>0.98309999999999997</v>
          </cell>
          <cell r="AB678">
            <v>12.81</v>
          </cell>
          <cell r="AC678" t="str">
            <v xml:space="preserve">01/09/2023 -     </v>
          </cell>
          <cell r="AD678" t="str">
            <v>30.09.2023</v>
          </cell>
          <cell r="AE678" t="str">
            <v>30/1.0000</v>
          </cell>
          <cell r="AF678">
            <v>278</v>
          </cell>
          <cell r="AG678" t="str">
            <v>KVA</v>
          </cell>
          <cell r="AH678">
            <v>278</v>
          </cell>
          <cell r="AI678" t="str">
            <v>R</v>
          </cell>
          <cell r="AJ678">
            <v>1420847</v>
          </cell>
          <cell r="AK678" t="str">
            <v>30/09/2023</v>
          </cell>
          <cell r="AL678" t="str">
            <v>NSC94445</v>
          </cell>
          <cell r="AM678" t="str">
            <v>SINGLE PHASE ELECTRO-MAGNETIC KWH METER-TOD</v>
          </cell>
          <cell r="AN678" t="str">
            <v>POST PAID</v>
          </cell>
          <cell r="AO678">
            <v>350</v>
          </cell>
          <cell r="AP678" t="str">
            <v>TOD</v>
          </cell>
          <cell r="AQ678">
            <v>-649459.5</v>
          </cell>
          <cell r="AR678">
            <v>0</v>
          </cell>
          <cell r="AS678">
            <v>0</v>
          </cell>
          <cell r="AT678">
            <v>0</v>
          </cell>
          <cell r="AU678">
            <v>0</v>
          </cell>
          <cell r="AV678">
            <v>0</v>
          </cell>
          <cell r="AW678">
            <v>13666</v>
          </cell>
          <cell r="AX678">
            <v>13900</v>
          </cell>
          <cell r="AY678">
            <v>13900</v>
          </cell>
          <cell r="AZ678">
            <v>1564.48</v>
          </cell>
          <cell r="BA678">
            <v>150.72</v>
          </cell>
        </row>
        <row r="679">
          <cell r="F679">
            <v>622000000180</v>
          </cell>
          <cell r="G679" t="str">
            <v>M/S ODISHA MERCHANDISE PVT LTD.</v>
          </cell>
          <cell r="H679" t="str">
            <v>MAHESWARPUR,CHAMPUAKEONJHAR</v>
          </cell>
          <cell r="I679" t="str">
            <v>10/31/2020 00:00:00</v>
          </cell>
          <cell r="J679">
            <v>1</v>
          </cell>
          <cell r="K679" t="str">
            <v xml:space="preserve"> </v>
          </cell>
          <cell r="L679" t="str">
            <v xml:space="preserve"> </v>
          </cell>
          <cell r="M679" t="str">
            <v>622000010231494105</v>
          </cell>
          <cell r="N679" t="str">
            <v>6220000031</v>
          </cell>
          <cell r="O679" t="str">
            <v>AALI-01</v>
          </cell>
          <cell r="P679" t="str">
            <v>NULL</v>
          </cell>
          <cell r="Q679" t="str">
            <v>ALLIED AGRO-INDUSTRIAL ACTIVITIES</v>
          </cell>
          <cell r="R679" t="str">
            <v>HT</v>
          </cell>
          <cell r="S679" t="str">
            <v>01/10/2023</v>
          </cell>
          <cell r="T679" t="str">
            <v>01/10/2023</v>
          </cell>
          <cell r="U679" t="str">
            <v>06/10/2023</v>
          </cell>
          <cell r="V679" t="str">
            <v>09/10/2023</v>
          </cell>
          <cell r="W679" t="str">
            <v>2023/09</v>
          </cell>
          <cell r="X679" t="str">
            <v>33 KV</v>
          </cell>
          <cell r="Y679" t="str">
            <v>HT</v>
          </cell>
          <cell r="Z679">
            <v>278</v>
          </cell>
          <cell r="AA679">
            <v>0.54110000000000003</v>
          </cell>
          <cell r="AB679">
            <v>0</v>
          </cell>
          <cell r="AC679" t="str">
            <v xml:space="preserve">29/08/2023 -     </v>
          </cell>
          <cell r="AD679" t="str">
            <v>27.09.2023</v>
          </cell>
          <cell r="AE679" t="str">
            <v>30/1.0000</v>
          </cell>
          <cell r="AF679">
            <v>278</v>
          </cell>
          <cell r="AG679" t="str">
            <v>KVA</v>
          </cell>
          <cell r="AH679">
            <v>278</v>
          </cell>
          <cell r="AI679" t="str">
            <v>R</v>
          </cell>
          <cell r="AJ679">
            <v>678654</v>
          </cell>
          <cell r="AK679" t="str">
            <v>27/09/2023</v>
          </cell>
          <cell r="AL679" t="str">
            <v>TPN64747</v>
          </cell>
          <cell r="AM679" t="str">
            <v>THREE PHASE HT CT METER-33KV</v>
          </cell>
          <cell r="AN679" t="str">
            <v>POST PAID</v>
          </cell>
          <cell r="AO679">
            <v>315</v>
          </cell>
          <cell r="AP679" t="str">
            <v>TOD</v>
          </cell>
          <cell r="AQ679">
            <v>0</v>
          </cell>
          <cell r="AR679">
            <v>0</v>
          </cell>
          <cell r="AS679">
            <v>0</v>
          </cell>
          <cell r="AT679">
            <v>0</v>
          </cell>
          <cell r="AU679">
            <v>0</v>
          </cell>
          <cell r="AV679">
            <v>0</v>
          </cell>
          <cell r="AW679">
            <v>966</v>
          </cell>
          <cell r="AX679">
            <v>1785</v>
          </cell>
          <cell r="AY679">
            <v>1785</v>
          </cell>
          <cell r="AZ679">
            <v>349.44</v>
          </cell>
          <cell r="BA679">
            <v>4.5599999999999996</v>
          </cell>
        </row>
        <row r="680">
          <cell r="F680">
            <v>622000000181</v>
          </cell>
          <cell r="G680" t="str">
            <v>M/S TATA STEEL LTD.</v>
          </cell>
          <cell r="H680" t="str">
            <v>JODA EAST IRON MINES RAW MATERIAL PROJECTS, JODA KEONJHAR</v>
          </cell>
          <cell r="I680" t="str">
            <v>10/31/2020 00:00:00</v>
          </cell>
          <cell r="J680">
            <v>1</v>
          </cell>
          <cell r="K680" t="str">
            <v xml:space="preserve"> </v>
          </cell>
          <cell r="L680" t="str">
            <v xml:space="preserve"> </v>
          </cell>
          <cell r="M680" t="str">
            <v>622000010232495320</v>
          </cell>
          <cell r="N680" t="str">
            <v>6220000032</v>
          </cell>
          <cell r="O680" t="str">
            <v>L-187</v>
          </cell>
          <cell r="P680" t="str">
            <v>NULL</v>
          </cell>
          <cell r="Q680" t="str">
            <v>LARGE INDUSTRY</v>
          </cell>
          <cell r="R680" t="str">
            <v>EHT</v>
          </cell>
          <cell r="S680" t="str">
            <v>01/10/2023</v>
          </cell>
          <cell r="T680" t="str">
            <v>01/10/2023</v>
          </cell>
          <cell r="U680" t="str">
            <v>06/10/2023</v>
          </cell>
          <cell r="V680" t="str">
            <v>09/10/2023</v>
          </cell>
          <cell r="W680" t="str">
            <v>2023/09</v>
          </cell>
          <cell r="X680" t="str">
            <v>220 KV</v>
          </cell>
          <cell r="Y680" t="str">
            <v>HT</v>
          </cell>
          <cell r="Z680">
            <v>9840</v>
          </cell>
          <cell r="AA680">
            <v>0.96599999999999997</v>
          </cell>
          <cell r="AB680">
            <v>65.62</v>
          </cell>
          <cell r="AC680" t="str">
            <v xml:space="preserve">01/09/2023 -     </v>
          </cell>
          <cell r="AD680" t="str">
            <v>30.09.2023</v>
          </cell>
          <cell r="AE680" t="str">
            <v>30/1.0000</v>
          </cell>
          <cell r="AF680">
            <v>10000</v>
          </cell>
          <cell r="AG680" t="str">
            <v>KVA</v>
          </cell>
          <cell r="AH680">
            <v>10000</v>
          </cell>
          <cell r="AI680" t="str">
            <v>R</v>
          </cell>
          <cell r="AJ680">
            <v>53334320.659999996</v>
          </cell>
          <cell r="AK680" t="str">
            <v>30/09/2023</v>
          </cell>
          <cell r="AL680" t="str">
            <v>TPN64903</v>
          </cell>
          <cell r="AM680" t="str">
            <v>THREE PHASE HT CT METER-33KV</v>
          </cell>
          <cell r="AN680" t="str">
            <v>POST PAID</v>
          </cell>
          <cell r="AO680">
            <v>63000</v>
          </cell>
          <cell r="AP680" t="str">
            <v>TOD</v>
          </cell>
          <cell r="AQ680">
            <v>-38726654.259999998</v>
          </cell>
          <cell r="AR680">
            <v>0</v>
          </cell>
          <cell r="AS680">
            <v>0</v>
          </cell>
          <cell r="AT680">
            <v>1650164</v>
          </cell>
          <cell r="AU680">
            <v>0</v>
          </cell>
          <cell r="AV680">
            <v>340240</v>
          </cell>
          <cell r="AW680">
            <v>4819500</v>
          </cell>
          <cell r="AX680">
            <v>4989000</v>
          </cell>
          <cell r="AY680">
            <v>4989000</v>
          </cell>
          <cell r="AZ680">
            <v>16.399999999999999</v>
          </cell>
          <cell r="BA680">
            <v>9840</v>
          </cell>
        </row>
        <row r="681">
          <cell r="F681">
            <v>622000000182</v>
          </cell>
          <cell r="G681" t="str">
            <v>M/S RUNGTA MINES LTD.</v>
          </cell>
          <cell r="H681" t="str">
            <v>KARAKHENDRA,BARBILKEONJHAR</v>
          </cell>
          <cell r="I681" t="str">
            <v>10/31/2020 00:00:00</v>
          </cell>
          <cell r="J681">
            <v>1</v>
          </cell>
          <cell r="K681" t="str">
            <v xml:space="preserve"> </v>
          </cell>
          <cell r="L681" t="str">
            <v xml:space="preserve"> </v>
          </cell>
          <cell r="M681" t="str">
            <v>622000010231494554</v>
          </cell>
          <cell r="N681" t="str">
            <v>6220000033</v>
          </cell>
          <cell r="O681" t="str">
            <v>GP-184</v>
          </cell>
          <cell r="P681" t="str">
            <v>NULL</v>
          </cell>
          <cell r="Q681" t="str">
            <v>LARGE INDUSTRY</v>
          </cell>
          <cell r="R681" t="str">
            <v>HT</v>
          </cell>
          <cell r="S681" t="str">
            <v>01/10/2023</v>
          </cell>
          <cell r="T681" t="str">
            <v>01/10/2023</v>
          </cell>
          <cell r="U681" t="str">
            <v>06/10/2023</v>
          </cell>
          <cell r="V681" t="str">
            <v>09/10/2023</v>
          </cell>
          <cell r="W681" t="str">
            <v>2023/09</v>
          </cell>
          <cell r="X681" t="str">
            <v>11 KV</v>
          </cell>
          <cell r="Y681" t="str">
            <v>HT</v>
          </cell>
          <cell r="Z681">
            <v>240</v>
          </cell>
          <cell r="AA681">
            <v>0</v>
          </cell>
          <cell r="AB681">
            <v>0</v>
          </cell>
          <cell r="AC681" t="str">
            <v xml:space="preserve">01/09/2023 -     </v>
          </cell>
          <cell r="AD681" t="str">
            <v>30.09.2023</v>
          </cell>
          <cell r="AE681" t="str">
            <v>30/1.0000</v>
          </cell>
          <cell r="AF681">
            <v>300</v>
          </cell>
          <cell r="AG681" t="str">
            <v>KVA</v>
          </cell>
          <cell r="AH681">
            <v>300</v>
          </cell>
          <cell r="AI681" t="str">
            <v>D</v>
          </cell>
          <cell r="AJ681">
            <v>1533288</v>
          </cell>
          <cell r="AK681" t="str">
            <v>30/09/2023</v>
          </cell>
          <cell r="AL681" t="str">
            <v>TPCANSC94494</v>
          </cell>
          <cell r="AM681" t="str">
            <v>SINGLE PHASE ELECTRO-MAGNETIC KWH METER-TOD</v>
          </cell>
          <cell r="AN681" t="str">
            <v>POST PAID</v>
          </cell>
          <cell r="AO681">
            <v>500</v>
          </cell>
          <cell r="AP681" t="str">
            <v>TOD</v>
          </cell>
          <cell r="AQ681">
            <v>-1273733.5</v>
          </cell>
          <cell r="AR681">
            <v>0</v>
          </cell>
          <cell r="AS681">
            <v>0</v>
          </cell>
          <cell r="AT681">
            <v>0</v>
          </cell>
          <cell r="AU681">
            <v>0</v>
          </cell>
          <cell r="AV681">
            <v>0</v>
          </cell>
          <cell r="AW681">
            <v>0</v>
          </cell>
          <cell r="AX681">
            <v>0</v>
          </cell>
          <cell r="AY681">
            <v>0</v>
          </cell>
          <cell r="AZ681">
            <v>0</v>
          </cell>
          <cell r="BA681">
            <v>0</v>
          </cell>
        </row>
        <row r="682">
          <cell r="F682">
            <v>622000000183</v>
          </cell>
          <cell r="G682" t="str">
            <v>M/S PATNAIK MINERALS PVT LTD.</v>
          </cell>
          <cell r="H682" t="str">
            <v>AT- PALASA (KHA),JARIBAHALKEONJHAR</v>
          </cell>
          <cell r="I682" t="str">
            <v>10/31/2020 00:00:00</v>
          </cell>
          <cell r="J682">
            <v>1</v>
          </cell>
          <cell r="K682" t="str">
            <v xml:space="preserve"> </v>
          </cell>
          <cell r="L682" t="str">
            <v xml:space="preserve"> </v>
          </cell>
          <cell r="M682" t="str">
            <v>622000010231494732</v>
          </cell>
          <cell r="N682" t="str">
            <v>6220000034</v>
          </cell>
          <cell r="O682" t="str">
            <v>L-188</v>
          </cell>
          <cell r="P682" t="str">
            <v>NULL</v>
          </cell>
          <cell r="Q682" t="str">
            <v>LARGE INDUSTRY</v>
          </cell>
          <cell r="R682" t="str">
            <v>HT</v>
          </cell>
          <cell r="S682" t="str">
            <v>01/10/2023</v>
          </cell>
          <cell r="T682" t="str">
            <v>01/10/2023</v>
          </cell>
          <cell r="U682" t="str">
            <v>06/10/2023</v>
          </cell>
          <cell r="V682" t="str">
            <v>09/10/2023</v>
          </cell>
          <cell r="W682" t="str">
            <v>2023/09</v>
          </cell>
          <cell r="X682" t="str">
            <v>11 KV</v>
          </cell>
          <cell r="Y682" t="str">
            <v>HT</v>
          </cell>
          <cell r="Z682">
            <v>240</v>
          </cell>
          <cell r="AA682">
            <v>0</v>
          </cell>
          <cell r="AB682">
            <v>0</v>
          </cell>
          <cell r="AC682" t="str">
            <v xml:space="preserve">01/09/2023 -     </v>
          </cell>
          <cell r="AD682" t="str">
            <v>30.09.2023</v>
          </cell>
          <cell r="AE682" t="str">
            <v>30/1.0000</v>
          </cell>
          <cell r="AF682">
            <v>300</v>
          </cell>
          <cell r="AG682" t="str">
            <v>KVA</v>
          </cell>
          <cell r="AH682">
            <v>300</v>
          </cell>
          <cell r="AI682" t="str">
            <v>D</v>
          </cell>
          <cell r="AJ682">
            <v>1533288</v>
          </cell>
          <cell r="AK682" t="str">
            <v>30/09/2023</v>
          </cell>
          <cell r="AL682" t="str">
            <v>NSC95176</v>
          </cell>
          <cell r="AM682" t="str">
            <v>SINGLE PHASE ELECTRO-MAGNETIC KWH METER-TOD</v>
          </cell>
          <cell r="AN682" t="str">
            <v>POST PAID</v>
          </cell>
          <cell r="AO682">
            <v>500</v>
          </cell>
          <cell r="AP682" t="str">
            <v>TOD</v>
          </cell>
          <cell r="AQ682">
            <v>0</v>
          </cell>
          <cell r="AR682">
            <v>0</v>
          </cell>
          <cell r="AS682">
            <v>0</v>
          </cell>
          <cell r="AT682">
            <v>0</v>
          </cell>
          <cell r="AU682">
            <v>0</v>
          </cell>
          <cell r="AV682">
            <v>0</v>
          </cell>
          <cell r="AW682">
            <v>0</v>
          </cell>
          <cell r="AX682">
            <v>0</v>
          </cell>
          <cell r="AY682">
            <v>0</v>
          </cell>
          <cell r="AZ682">
            <v>0</v>
          </cell>
          <cell r="BA682">
            <v>0</v>
          </cell>
        </row>
        <row r="683">
          <cell r="F683">
            <v>622000000184</v>
          </cell>
          <cell r="G683" t="str">
            <v>EXECUTIVE ENGINEER, RWS&amp;S KEONJHAR</v>
          </cell>
          <cell r="H683" t="str">
            <v>KODAGADIA &amp; MIRISINGHA</v>
          </cell>
          <cell r="I683" t="str">
            <v>10/31/2020 00:00:00</v>
          </cell>
          <cell r="J683">
            <v>1</v>
          </cell>
          <cell r="K683" t="str">
            <v xml:space="preserve"> </v>
          </cell>
          <cell r="L683" t="str">
            <v xml:space="preserve"> </v>
          </cell>
          <cell r="M683" t="str">
            <v>622000010231494204</v>
          </cell>
          <cell r="N683" t="str">
            <v>6220000035</v>
          </cell>
          <cell r="O683" t="str">
            <v>RWSS-1</v>
          </cell>
          <cell r="P683" t="str">
            <v>46207425005</v>
          </cell>
          <cell r="Q683" t="str">
            <v>PUBLIC WATER WORKS &amp; SEWERAGE PUMPING</v>
          </cell>
          <cell r="R683" t="str">
            <v>HT</v>
          </cell>
          <cell r="S683" t="str">
            <v>01/10/2023</v>
          </cell>
          <cell r="T683" t="str">
            <v>01/10/2023</v>
          </cell>
          <cell r="U683" t="str">
            <v>09/10/2023</v>
          </cell>
          <cell r="V683" t="str">
            <v>09/10/2023</v>
          </cell>
          <cell r="W683" t="str">
            <v>2023/09</v>
          </cell>
          <cell r="X683" t="str">
            <v>33 KV</v>
          </cell>
          <cell r="Y683" t="str">
            <v>HT</v>
          </cell>
          <cell r="Z683">
            <v>920</v>
          </cell>
          <cell r="AA683">
            <v>0.78820000000000001</v>
          </cell>
          <cell r="AB683">
            <v>32.82</v>
          </cell>
          <cell r="AC683" t="str">
            <v xml:space="preserve">01/09/2023 -     </v>
          </cell>
          <cell r="AD683" t="str">
            <v>30.09.2023</v>
          </cell>
          <cell r="AE683" t="str">
            <v>30/1.0000</v>
          </cell>
          <cell r="AF683">
            <v>1150</v>
          </cell>
          <cell r="AG683" t="str">
            <v>KVA</v>
          </cell>
          <cell r="AH683">
            <v>1150</v>
          </cell>
          <cell r="AI683" t="str">
            <v>R</v>
          </cell>
          <cell r="AJ683">
            <v>4446820</v>
          </cell>
          <cell r="AK683" t="str">
            <v>30/09/2023</v>
          </cell>
          <cell r="AL683" t="str">
            <v>NSC95081</v>
          </cell>
          <cell r="AM683" t="str">
            <v>THREE PHASE HT CT METER-33KV</v>
          </cell>
          <cell r="AN683" t="str">
            <v>POST PAID</v>
          </cell>
          <cell r="AO683">
            <v>1600</v>
          </cell>
          <cell r="AP683" t="str">
            <v>TOD</v>
          </cell>
          <cell r="AQ683">
            <v>-2932837.2</v>
          </cell>
          <cell r="AR683">
            <v>0</v>
          </cell>
          <cell r="AS683">
            <v>0</v>
          </cell>
          <cell r="AT683">
            <v>0</v>
          </cell>
          <cell r="AU683">
            <v>0</v>
          </cell>
          <cell r="AV683">
            <v>0</v>
          </cell>
          <cell r="AW683">
            <v>79137</v>
          </cell>
          <cell r="AX683">
            <v>100395</v>
          </cell>
          <cell r="AY683">
            <v>100395</v>
          </cell>
          <cell r="AZ683">
            <v>2959.2</v>
          </cell>
          <cell r="BA683">
            <v>424.79999999999995</v>
          </cell>
        </row>
        <row r="684">
          <cell r="F684">
            <v>622000000185</v>
          </cell>
          <cell r="G684" t="str">
            <v>EXECUTIVE ENGINEER, PH DIVISION</v>
          </cell>
          <cell r="H684" t="str">
            <v>SANTABAHAL,BARBILKEONJHAR</v>
          </cell>
          <cell r="I684" t="str">
            <v>10/31/2020 00:00:00</v>
          </cell>
          <cell r="J684">
            <v>1</v>
          </cell>
          <cell r="K684" t="str">
            <v xml:space="preserve"> </v>
          </cell>
          <cell r="L684" t="str">
            <v xml:space="preserve"> </v>
          </cell>
          <cell r="M684" t="str">
            <v>622000010231494126</v>
          </cell>
          <cell r="N684" t="str">
            <v>6220000036</v>
          </cell>
          <cell r="O684" t="str">
            <v>PHD-01</v>
          </cell>
          <cell r="P684" t="str">
            <v>462232103</v>
          </cell>
          <cell r="Q684" t="str">
            <v>PUBLIC WATER WORKS &amp; SEWERAGE PUMPING</v>
          </cell>
          <cell r="R684" t="str">
            <v>HT</v>
          </cell>
          <cell r="S684" t="str">
            <v>01/10/2023</v>
          </cell>
          <cell r="T684" t="str">
            <v>01/10/2023</v>
          </cell>
          <cell r="U684" t="str">
            <v>09/10/2023</v>
          </cell>
          <cell r="V684" t="str">
            <v>09/10/2023</v>
          </cell>
          <cell r="W684" t="str">
            <v>2023/09</v>
          </cell>
          <cell r="X684" t="str">
            <v>11 KV</v>
          </cell>
          <cell r="Y684" t="str">
            <v>HT</v>
          </cell>
          <cell r="Z684">
            <v>113.6</v>
          </cell>
          <cell r="AA684">
            <v>0.88129999999999997</v>
          </cell>
          <cell r="AB684">
            <v>52.94</v>
          </cell>
          <cell r="AC684" t="str">
            <v xml:space="preserve">01/09/2023 -     </v>
          </cell>
          <cell r="AD684" t="str">
            <v>30.09.2023</v>
          </cell>
          <cell r="AE684" t="str">
            <v>30/1.0000</v>
          </cell>
          <cell r="AF684">
            <v>142</v>
          </cell>
          <cell r="AG684" t="str">
            <v>KVA</v>
          </cell>
          <cell r="AH684">
            <v>142</v>
          </cell>
          <cell r="AI684" t="str">
            <v>R</v>
          </cell>
          <cell r="AJ684">
            <v>539884</v>
          </cell>
          <cell r="AK684" t="str">
            <v>30/09/2023</v>
          </cell>
          <cell r="AL684" t="str">
            <v>NSC94489</v>
          </cell>
          <cell r="AM684" t="str">
            <v>SINGLE PHASE ELECTRO-MAGNETIC KWH METER-TOD</v>
          </cell>
          <cell r="AN684" t="str">
            <v>POST PAID</v>
          </cell>
          <cell r="AO684">
            <v>250</v>
          </cell>
          <cell r="AP684" t="str">
            <v>TOD</v>
          </cell>
          <cell r="AQ684">
            <v>-253214.1</v>
          </cell>
          <cell r="AR684">
            <v>0</v>
          </cell>
          <cell r="AS684">
            <v>0</v>
          </cell>
          <cell r="AT684">
            <v>0</v>
          </cell>
          <cell r="AU684">
            <v>0</v>
          </cell>
          <cell r="AV684">
            <v>0</v>
          </cell>
          <cell r="AW684">
            <v>30398</v>
          </cell>
          <cell r="AX684">
            <v>34489</v>
          </cell>
          <cell r="AY684">
            <v>34489</v>
          </cell>
          <cell r="AZ684">
            <v>579.52</v>
          </cell>
          <cell r="BA684">
            <v>90.48</v>
          </cell>
        </row>
        <row r="685">
          <cell r="F685">
            <v>622000000186</v>
          </cell>
          <cell r="G685" t="str">
            <v>M/S TRIVENI EARTH MOVERS PVT LTD</v>
          </cell>
          <cell r="H685" t="str">
            <v>UCHABALI,BAMEBARIKEONJHAR, ODISHA</v>
          </cell>
          <cell r="I685" t="str">
            <v>10/31/2020 00:00:00</v>
          </cell>
          <cell r="J685">
            <v>1</v>
          </cell>
          <cell r="K685" t="str">
            <v xml:space="preserve"> </v>
          </cell>
          <cell r="L685" t="str">
            <v xml:space="preserve"> </v>
          </cell>
          <cell r="M685" t="str">
            <v>622000010231494748</v>
          </cell>
          <cell r="N685" t="str">
            <v>6220000037</v>
          </cell>
          <cell r="O685" t="str">
            <v>BD-65</v>
          </cell>
          <cell r="P685" t="str">
            <v>462212202</v>
          </cell>
          <cell r="Q685" t="str">
            <v>GENERAL PURPOSE &gt;= 110 KVA</v>
          </cell>
          <cell r="R685" t="str">
            <v>HT</v>
          </cell>
          <cell r="S685" t="str">
            <v>01/10/2023</v>
          </cell>
          <cell r="T685" t="str">
            <v>01/10/2023</v>
          </cell>
          <cell r="U685" t="str">
            <v>06/10/2023</v>
          </cell>
          <cell r="V685" t="str">
            <v>09/10/2023</v>
          </cell>
          <cell r="W685" t="str">
            <v>2023/09</v>
          </cell>
          <cell r="X685" t="str">
            <v>11 KV</v>
          </cell>
          <cell r="Y685" t="str">
            <v>HT</v>
          </cell>
          <cell r="Z685">
            <v>107.2</v>
          </cell>
          <cell r="AA685">
            <v>0.93420000000000003</v>
          </cell>
          <cell r="AB685">
            <v>45.3</v>
          </cell>
          <cell r="AC685" t="str">
            <v xml:space="preserve">01/09/2023 -     </v>
          </cell>
          <cell r="AD685" t="str">
            <v>30.09.2023</v>
          </cell>
          <cell r="AE685" t="str">
            <v>30/1.0000</v>
          </cell>
          <cell r="AF685">
            <v>134</v>
          </cell>
          <cell r="AG685" t="str">
            <v>KVA</v>
          </cell>
          <cell r="AH685">
            <v>134</v>
          </cell>
          <cell r="AI685" t="str">
            <v>R</v>
          </cell>
          <cell r="AJ685">
            <v>344726.77</v>
          </cell>
          <cell r="AK685" t="str">
            <v>30/09/2023</v>
          </cell>
          <cell r="AL685" t="str">
            <v>TPSENSC94494</v>
          </cell>
          <cell r="AM685" t="str">
            <v>HT THREE PHASE 4 WIRE AMR/AMI COMPLAINT METER</v>
          </cell>
          <cell r="AN685" t="str">
            <v>POST PAID</v>
          </cell>
          <cell r="AO685">
            <v>250</v>
          </cell>
          <cell r="AP685" t="str">
            <v>TOD</v>
          </cell>
          <cell r="AQ685">
            <v>-31176.37</v>
          </cell>
          <cell r="AR685">
            <v>0</v>
          </cell>
          <cell r="AS685">
            <v>0</v>
          </cell>
          <cell r="AT685">
            <v>0</v>
          </cell>
          <cell r="AU685">
            <v>0</v>
          </cell>
          <cell r="AV685">
            <v>0</v>
          </cell>
          <cell r="AW685">
            <v>23547</v>
          </cell>
          <cell r="AX685">
            <v>25204</v>
          </cell>
          <cell r="AY685">
            <v>25204</v>
          </cell>
          <cell r="AZ685">
            <v>1605.84</v>
          </cell>
          <cell r="BA685">
            <v>77.28</v>
          </cell>
        </row>
        <row r="686">
          <cell r="F686">
            <v>622000000190</v>
          </cell>
          <cell r="G686" t="str">
            <v>M/S SHANTIDEVI STONE CRUSHER UNIT-2</v>
          </cell>
          <cell r="H686" t="str">
            <v>GUDUNIA,KEONJHAR</v>
          </cell>
          <cell r="I686" t="str">
            <v>10/31/2020 00:00:00</v>
          </cell>
          <cell r="J686">
            <v>1</v>
          </cell>
          <cell r="K686" t="str">
            <v xml:space="preserve"> </v>
          </cell>
          <cell r="L686" t="str">
            <v xml:space="preserve"> </v>
          </cell>
          <cell r="M686" t="str">
            <v>622000010231493554</v>
          </cell>
          <cell r="N686" t="str">
            <v>6220000041</v>
          </cell>
          <cell r="O686" t="str">
            <v>L-191</v>
          </cell>
          <cell r="P686" t="str">
            <v>462221505</v>
          </cell>
          <cell r="Q686" t="str">
            <v>LARGE INDUSTRY</v>
          </cell>
          <cell r="R686" t="str">
            <v>HT</v>
          </cell>
          <cell r="S686" t="str">
            <v>01/10/2023</v>
          </cell>
          <cell r="T686" t="str">
            <v>01/10/2023</v>
          </cell>
          <cell r="U686" t="str">
            <v>06/10/2023</v>
          </cell>
          <cell r="V686" t="str">
            <v>09/10/2023</v>
          </cell>
          <cell r="W686" t="str">
            <v>2023/09</v>
          </cell>
          <cell r="X686" t="str">
            <v>11 KV</v>
          </cell>
          <cell r="Y686" t="str">
            <v>HT</v>
          </cell>
          <cell r="Z686">
            <v>168</v>
          </cell>
          <cell r="AA686">
            <v>0.71140000000000003</v>
          </cell>
          <cell r="AB686">
            <v>9.01</v>
          </cell>
          <cell r="AC686" t="str">
            <v xml:space="preserve">01/09/2023 -     </v>
          </cell>
          <cell r="AD686" t="str">
            <v>30.09.2023</v>
          </cell>
          <cell r="AE686" t="str">
            <v>30/1.0000</v>
          </cell>
          <cell r="AF686">
            <v>210</v>
          </cell>
          <cell r="AG686" t="str">
            <v>KVA</v>
          </cell>
          <cell r="AH686">
            <v>210</v>
          </cell>
          <cell r="AI686" t="str">
            <v>R</v>
          </cell>
          <cell r="AJ686">
            <v>1073302</v>
          </cell>
          <cell r="AK686" t="str">
            <v>30/09/2023</v>
          </cell>
          <cell r="AL686" t="str">
            <v>NSC94871</v>
          </cell>
          <cell r="AM686" t="str">
            <v>SINGLE PHASE ELECTRO-MAGNETIC KWH METER-TOD</v>
          </cell>
          <cell r="AN686" t="str">
            <v>POST PAID</v>
          </cell>
          <cell r="AO686">
            <v>315</v>
          </cell>
          <cell r="AP686" t="str">
            <v>TOD</v>
          </cell>
          <cell r="AQ686">
            <v>-933289.8</v>
          </cell>
          <cell r="AR686">
            <v>0</v>
          </cell>
          <cell r="AS686">
            <v>0</v>
          </cell>
          <cell r="AT686">
            <v>0</v>
          </cell>
          <cell r="AU686">
            <v>0</v>
          </cell>
          <cell r="AV686">
            <v>0</v>
          </cell>
          <cell r="AW686">
            <v>7752</v>
          </cell>
          <cell r="AX686">
            <v>10896</v>
          </cell>
          <cell r="AY686">
            <v>10896</v>
          </cell>
          <cell r="AZ686">
            <v>1259.04</v>
          </cell>
          <cell r="BA686">
            <v>168.00000000000003</v>
          </cell>
        </row>
        <row r="687">
          <cell r="F687">
            <v>622000000191</v>
          </cell>
          <cell r="G687" t="str">
            <v>M/S.   SREE METALIKS LTD</v>
          </cell>
          <cell r="H687" t="str">
            <v>LOIDAPADA,BARBILKEONJHAR</v>
          </cell>
          <cell r="I687" t="str">
            <v>12/04/2020 00:00:00</v>
          </cell>
          <cell r="J687">
            <v>1</v>
          </cell>
          <cell r="K687" t="str">
            <v xml:space="preserve"> </v>
          </cell>
          <cell r="L687" t="str">
            <v xml:space="preserve"> </v>
          </cell>
          <cell r="M687" t="str">
            <v>622000010232495687</v>
          </cell>
          <cell r="N687" t="str">
            <v>6220000042</v>
          </cell>
          <cell r="O687" t="str">
            <v>L-192</v>
          </cell>
          <cell r="P687" t="str">
            <v>46287423001</v>
          </cell>
          <cell r="Q687" t="str">
            <v>LARGE INDUSTRY</v>
          </cell>
          <cell r="R687" t="str">
            <v>HT</v>
          </cell>
          <cell r="S687" t="str">
            <v>01/10/2023</v>
          </cell>
          <cell r="T687" t="str">
            <v>01/10/2023</v>
          </cell>
          <cell r="U687" t="str">
            <v>06/10/2023</v>
          </cell>
          <cell r="V687" t="str">
            <v>09/10/2023</v>
          </cell>
          <cell r="W687" t="str">
            <v>2023/09</v>
          </cell>
          <cell r="X687" t="str">
            <v>33 KV</v>
          </cell>
          <cell r="Y687" t="str">
            <v>HT</v>
          </cell>
          <cell r="Z687">
            <v>11040</v>
          </cell>
          <cell r="AA687">
            <v>0.99009999999999998</v>
          </cell>
          <cell r="AB687">
            <v>47.05</v>
          </cell>
          <cell r="AC687" t="str">
            <v xml:space="preserve">01/09/2023 -     </v>
          </cell>
          <cell r="AD687" t="str">
            <v>30.09.2023</v>
          </cell>
          <cell r="AE687" t="str">
            <v>30/1.0000</v>
          </cell>
          <cell r="AF687">
            <v>12000</v>
          </cell>
          <cell r="AG687" t="str">
            <v>KVA</v>
          </cell>
          <cell r="AH687">
            <v>12000</v>
          </cell>
          <cell r="AI687" t="str">
            <v>R</v>
          </cell>
          <cell r="AJ687">
            <v>73660800.120399997</v>
          </cell>
          <cell r="AK687" t="str">
            <v>30/09/2023</v>
          </cell>
          <cell r="AL687" t="str">
            <v>NSC94456</v>
          </cell>
          <cell r="AM687" t="str">
            <v>THREE PHASE HT CT METER-33KV</v>
          </cell>
          <cell r="AN687" t="str">
            <v>POST PAID</v>
          </cell>
          <cell r="AO687">
            <v>15000</v>
          </cell>
          <cell r="AP687" t="str">
            <v>TOD</v>
          </cell>
          <cell r="AQ687">
            <v>-12265260.5</v>
          </cell>
          <cell r="AR687">
            <v>0</v>
          </cell>
          <cell r="AS687">
            <v>0</v>
          </cell>
          <cell r="AT687">
            <v>464154.46</v>
          </cell>
          <cell r="AU687">
            <v>0</v>
          </cell>
          <cell r="AV687">
            <v>94725.4</v>
          </cell>
          <cell r="AW687">
            <v>3796560</v>
          </cell>
          <cell r="AX687">
            <v>3834360</v>
          </cell>
          <cell r="AY687">
            <v>3834360</v>
          </cell>
          <cell r="AZ687">
            <v>0.87360000000000004</v>
          </cell>
          <cell r="BA687">
            <v>20966.400000000001</v>
          </cell>
        </row>
        <row r="688">
          <cell r="F688">
            <v>622000000192</v>
          </cell>
          <cell r="G688" t="str">
            <v>EXEUTIVE ENGINEER RWS&amp;S KEONJHAR</v>
          </cell>
          <cell r="H688" t="str">
            <v>BELDA,KEONJHAR</v>
          </cell>
          <cell r="I688" t="str">
            <v>01/07/2021 00:00:00</v>
          </cell>
          <cell r="J688">
            <v>1</v>
          </cell>
          <cell r="K688" t="str">
            <v xml:space="preserve"> </v>
          </cell>
          <cell r="L688" t="str">
            <v xml:space="preserve"> </v>
          </cell>
          <cell r="M688" t="str">
            <v>622000010231493978</v>
          </cell>
          <cell r="N688" t="str">
            <v>6220000043</v>
          </cell>
          <cell r="O688" t="str">
            <v>RWSS-2</v>
          </cell>
          <cell r="P688" t="str">
            <v>462212201</v>
          </cell>
          <cell r="Q688" t="str">
            <v>PUBLIC WATER WORKS &amp; SEWERAGE PUMPING</v>
          </cell>
          <cell r="R688" t="str">
            <v>HT</v>
          </cell>
          <cell r="S688" t="str">
            <v>01/10/2023</v>
          </cell>
          <cell r="T688" t="str">
            <v>01/10/2023</v>
          </cell>
          <cell r="U688" t="str">
            <v>09/10/2023</v>
          </cell>
          <cell r="V688" t="str">
            <v>09/10/2023</v>
          </cell>
          <cell r="W688" t="str">
            <v>2023/09</v>
          </cell>
          <cell r="X688" t="str">
            <v>11 KV</v>
          </cell>
          <cell r="Y688" t="str">
            <v>HT</v>
          </cell>
          <cell r="Z688">
            <v>405.84</v>
          </cell>
          <cell r="AA688">
            <v>0.9466</v>
          </cell>
          <cell r="AB688">
            <v>23.4</v>
          </cell>
          <cell r="AC688" t="str">
            <v xml:space="preserve">01/09/2023 -     </v>
          </cell>
          <cell r="AD688" t="str">
            <v>30.09.2023</v>
          </cell>
          <cell r="AE688" t="str">
            <v>30/1.0000</v>
          </cell>
          <cell r="AF688">
            <v>478</v>
          </cell>
          <cell r="AG688" t="str">
            <v>KVA</v>
          </cell>
          <cell r="AH688">
            <v>478</v>
          </cell>
          <cell r="AI688" t="str">
            <v>R</v>
          </cell>
          <cell r="AJ688">
            <v>1848331</v>
          </cell>
          <cell r="AK688" t="str">
            <v>30/09/2023</v>
          </cell>
          <cell r="AL688" t="str">
            <v>NSC94548</v>
          </cell>
          <cell r="AM688" t="str">
            <v>LT SINGLE PHASE AMR/AMI COMPLIANT METER-TOD</v>
          </cell>
          <cell r="AN688" t="str">
            <v>POST PAID</v>
          </cell>
          <cell r="AO688">
            <v>1600</v>
          </cell>
          <cell r="AP688" t="str">
            <v>TOD</v>
          </cell>
          <cell r="AQ688">
            <v>-1062171.96</v>
          </cell>
          <cell r="AR688">
            <v>0</v>
          </cell>
          <cell r="AS688">
            <v>0</v>
          </cell>
          <cell r="AT688">
            <v>0</v>
          </cell>
          <cell r="AU688">
            <v>0</v>
          </cell>
          <cell r="AV688">
            <v>0</v>
          </cell>
          <cell r="AW688">
            <v>64719</v>
          </cell>
          <cell r="AX688">
            <v>68364</v>
          </cell>
          <cell r="AY688">
            <v>68364</v>
          </cell>
          <cell r="AZ688">
            <v>2915.28</v>
          </cell>
          <cell r="BA688">
            <v>405.84</v>
          </cell>
        </row>
        <row r="689">
          <cell r="F689">
            <v>622000000193</v>
          </cell>
          <cell r="G689" t="str">
            <v>M/S JSW STEEL LTD.</v>
          </cell>
          <cell r="H689" t="str">
            <v>JAJANG,JURUDIKEONJHAR, ODISHA</v>
          </cell>
          <cell r="I689" t="str">
            <v>02/06/2021 00:00:00</v>
          </cell>
          <cell r="J689">
            <v>1</v>
          </cell>
          <cell r="K689" t="str">
            <v xml:space="preserve"> </v>
          </cell>
          <cell r="L689" t="str">
            <v xml:space="preserve"> </v>
          </cell>
          <cell r="M689" t="str">
            <v>622000010231493831</v>
          </cell>
          <cell r="N689" t="str">
            <v>6220000044</v>
          </cell>
          <cell r="O689" t="str">
            <v>GP-185</v>
          </cell>
          <cell r="P689" t="str">
            <v>462212201</v>
          </cell>
          <cell r="Q689" t="str">
            <v>GENERAL PURPOSE &gt;= 110 KVA</v>
          </cell>
          <cell r="R689" t="str">
            <v>HT</v>
          </cell>
          <cell r="S689" t="str">
            <v>01/10/2023</v>
          </cell>
          <cell r="T689" t="str">
            <v>01/10/2023</v>
          </cell>
          <cell r="U689" t="str">
            <v>06/10/2023</v>
          </cell>
          <cell r="V689" t="str">
            <v>09/10/2023</v>
          </cell>
          <cell r="W689" t="str">
            <v>2023/09</v>
          </cell>
          <cell r="X689" t="str">
            <v>11 KV</v>
          </cell>
          <cell r="Y689" t="str">
            <v>HT</v>
          </cell>
          <cell r="Z689">
            <v>160</v>
          </cell>
          <cell r="AA689">
            <v>0.98070000000000002</v>
          </cell>
          <cell r="AB689">
            <v>61.76</v>
          </cell>
          <cell r="AC689" t="str">
            <v xml:space="preserve">01/09/2023 -     </v>
          </cell>
          <cell r="AD689" t="str">
            <v>30.09.2023</v>
          </cell>
          <cell r="AE689" t="str">
            <v>30/1.0000</v>
          </cell>
          <cell r="AF689">
            <v>200</v>
          </cell>
          <cell r="AG689" t="str">
            <v>KVA</v>
          </cell>
          <cell r="AH689">
            <v>200</v>
          </cell>
          <cell r="AI689" t="str">
            <v>R</v>
          </cell>
          <cell r="AJ689">
            <v>511568</v>
          </cell>
          <cell r="AK689" t="str">
            <v>30/09/2023</v>
          </cell>
          <cell r="AL689" t="str">
            <v>NSC94466</v>
          </cell>
          <cell r="AM689" t="str">
            <v>SINGLE PHASE ELECTRO-MAGNETIC KWH METER-TOD</v>
          </cell>
          <cell r="AN689" t="str">
            <v>POST PAID</v>
          </cell>
          <cell r="AO689">
            <v>250</v>
          </cell>
          <cell r="AP689" t="str">
            <v>TOD</v>
          </cell>
          <cell r="AQ689">
            <v>368651.4</v>
          </cell>
          <cell r="AR689">
            <v>0</v>
          </cell>
          <cell r="AS689">
            <v>0</v>
          </cell>
          <cell r="AT689">
            <v>0</v>
          </cell>
          <cell r="AU689">
            <v>0</v>
          </cell>
          <cell r="AV689">
            <v>0</v>
          </cell>
          <cell r="AW689">
            <v>61686</v>
          </cell>
          <cell r="AX689">
            <v>62894</v>
          </cell>
          <cell r="AY689">
            <v>62894</v>
          </cell>
          <cell r="AZ689">
            <v>1045.44</v>
          </cell>
          <cell r="BA689">
            <v>141.44</v>
          </cell>
        </row>
        <row r="690">
          <cell r="F690">
            <v>622000000194</v>
          </cell>
          <cell r="G690" t="str">
            <v>M/S JSW STEEL LTD.</v>
          </cell>
          <cell r="H690" t="str">
            <v>JAJANG IRON ORE MINES , JURUDI</v>
          </cell>
          <cell r="I690" t="str">
            <v>03/13/2021 00:00:00</v>
          </cell>
          <cell r="J690">
            <v>1</v>
          </cell>
          <cell r="K690" t="str">
            <v xml:space="preserve"> </v>
          </cell>
          <cell r="L690" t="str">
            <v xml:space="preserve"> </v>
          </cell>
          <cell r="M690" t="str">
            <v>622000010232515704</v>
          </cell>
          <cell r="N690" t="str">
            <v>6220000045</v>
          </cell>
          <cell r="O690" t="str">
            <v xml:space="preserve"> </v>
          </cell>
          <cell r="P690" t="str">
            <v>462212201</v>
          </cell>
          <cell r="Q690" t="str">
            <v>LARGE INDUSTRY</v>
          </cell>
          <cell r="R690" t="str">
            <v>HT</v>
          </cell>
          <cell r="S690" t="str">
            <v>04/10/2023</v>
          </cell>
          <cell r="T690" t="str">
            <v>04/10/2023</v>
          </cell>
          <cell r="U690" t="str">
            <v>07/10/2023</v>
          </cell>
          <cell r="V690" t="str">
            <v>11/10/2023</v>
          </cell>
          <cell r="W690" t="str">
            <v>2023/09</v>
          </cell>
          <cell r="X690" t="str">
            <v>33 KV</v>
          </cell>
          <cell r="Y690" t="str">
            <v>HT</v>
          </cell>
          <cell r="Z690">
            <v>1010.4</v>
          </cell>
          <cell r="AA690">
            <v>0.93289999999999995</v>
          </cell>
          <cell r="AB690">
            <v>42.69</v>
          </cell>
          <cell r="AC690" t="str">
            <v xml:space="preserve">01/09/2023 -     </v>
          </cell>
          <cell r="AD690" t="str">
            <v>30.09.2023</v>
          </cell>
          <cell r="AE690" t="str">
            <v>30/1.0000</v>
          </cell>
          <cell r="AF690">
            <v>1200</v>
          </cell>
          <cell r="AG690" t="str">
            <v>KVA</v>
          </cell>
          <cell r="AH690">
            <v>1200</v>
          </cell>
          <cell r="AI690" t="str">
            <v>R</v>
          </cell>
          <cell r="AJ690">
            <v>18983600</v>
          </cell>
          <cell r="AK690" t="str">
            <v>30/09/2023</v>
          </cell>
          <cell r="AL690" t="str">
            <v>NSC95025</v>
          </cell>
          <cell r="AM690" t="str">
            <v>TRI-VECTOR METER FOR RAILWAY TRACTION</v>
          </cell>
          <cell r="AN690" t="str">
            <v>POST PAID</v>
          </cell>
          <cell r="AO690">
            <v>6000</v>
          </cell>
          <cell r="AP690" t="str">
            <v>TOD</v>
          </cell>
          <cell r="AQ690">
            <v>-44777.4</v>
          </cell>
          <cell r="AR690">
            <v>0</v>
          </cell>
          <cell r="AS690">
            <v>0</v>
          </cell>
          <cell r="AT690">
            <v>0</v>
          </cell>
          <cell r="AU690">
            <v>0</v>
          </cell>
          <cell r="AV690">
            <v>0</v>
          </cell>
          <cell r="AW690">
            <v>289740</v>
          </cell>
          <cell r="AX690">
            <v>310560</v>
          </cell>
          <cell r="AY690">
            <v>310560</v>
          </cell>
          <cell r="AZ690">
            <v>0.16839999999999999</v>
          </cell>
          <cell r="BA690">
            <v>1010.4</v>
          </cell>
        </row>
        <row r="691">
          <cell r="F691">
            <v>622000000195</v>
          </cell>
          <cell r="G691" t="str">
            <v>EXECUTIVE ENGINEER , RWS&amp;S DIVISION KEONJHAR</v>
          </cell>
          <cell r="H691" t="str">
            <v>BAMEBARI</v>
          </cell>
          <cell r="I691" t="str">
            <v>04/08/2021 00:00:00</v>
          </cell>
          <cell r="J691">
            <v>1</v>
          </cell>
          <cell r="K691" t="str">
            <v>JURUDI</v>
          </cell>
          <cell r="L691" t="str">
            <v>KEONJHAR</v>
          </cell>
          <cell r="M691" t="str">
            <v>622000010231493920</v>
          </cell>
          <cell r="N691" t="str">
            <v>132100000003</v>
          </cell>
          <cell r="O691" t="str">
            <v>RWSS-3</v>
          </cell>
          <cell r="P691" t="str">
            <v>462212202</v>
          </cell>
          <cell r="Q691" t="str">
            <v>PUBLIC WATER WORKS &amp; SEWERAGE PUMPING</v>
          </cell>
          <cell r="R691" t="str">
            <v>HT</v>
          </cell>
          <cell r="S691" t="str">
            <v>01/10/2023</v>
          </cell>
          <cell r="T691" t="str">
            <v>01/10/2023</v>
          </cell>
          <cell r="U691" t="str">
            <v>09/10/2023</v>
          </cell>
          <cell r="V691" t="str">
            <v>09/10/2023</v>
          </cell>
          <cell r="W691" t="str">
            <v>2023/09</v>
          </cell>
          <cell r="X691" t="str">
            <v>11 KV</v>
          </cell>
          <cell r="Y691" t="str">
            <v>HT</v>
          </cell>
          <cell r="Z691">
            <v>216.8</v>
          </cell>
          <cell r="AA691">
            <v>0.90659999999999996</v>
          </cell>
          <cell r="AB691">
            <v>17.010000000000002</v>
          </cell>
          <cell r="AC691" t="str">
            <v xml:space="preserve">01/09/2023 -     </v>
          </cell>
          <cell r="AD691" t="str">
            <v>30.09.2023</v>
          </cell>
          <cell r="AE691" t="str">
            <v>30/1.0000</v>
          </cell>
          <cell r="AF691">
            <v>271</v>
          </cell>
          <cell r="AG691" t="str">
            <v>KVA</v>
          </cell>
          <cell r="AH691">
            <v>271</v>
          </cell>
          <cell r="AI691" t="str">
            <v>R</v>
          </cell>
          <cell r="AJ691">
            <v>1083025</v>
          </cell>
          <cell r="AK691" t="str">
            <v>30/09/2023</v>
          </cell>
          <cell r="AL691" t="str">
            <v>NSC94896</v>
          </cell>
          <cell r="AM691" t="str">
            <v>HT THREE PHASE 3 WIRE AMR/AMI COMPLIANT METER</v>
          </cell>
          <cell r="AN691" t="str">
            <v>POST PAID</v>
          </cell>
          <cell r="AO691">
            <v>250</v>
          </cell>
          <cell r="AP691" t="str">
            <v>TOD</v>
          </cell>
          <cell r="AQ691">
            <v>-865417.2</v>
          </cell>
          <cell r="AR691">
            <v>0</v>
          </cell>
          <cell r="AS691">
            <v>0</v>
          </cell>
          <cell r="AT691">
            <v>0</v>
          </cell>
          <cell r="AU691">
            <v>0</v>
          </cell>
          <cell r="AV691">
            <v>0</v>
          </cell>
          <cell r="AW691">
            <v>8582</v>
          </cell>
          <cell r="AX691">
            <v>9466</v>
          </cell>
          <cell r="AY691">
            <v>9466</v>
          </cell>
          <cell r="AZ691">
            <v>609.91999999999996</v>
          </cell>
          <cell r="BA691">
            <v>77.28</v>
          </cell>
        </row>
        <row r="692">
          <cell r="F692">
            <v>622000000196</v>
          </cell>
          <cell r="G692" t="str">
            <v>OMC LIMITED BARBIL</v>
          </cell>
          <cell r="H692" t="str">
            <v>JILLING</v>
          </cell>
          <cell r="I692" t="str">
            <v>04/08/2021 00:00:00</v>
          </cell>
          <cell r="J692">
            <v>1</v>
          </cell>
          <cell r="K692" t="str">
            <v>LANGALOTA IRON ORE MINES</v>
          </cell>
          <cell r="L692" t="str">
            <v>KEONJHAR</v>
          </cell>
          <cell r="M692" t="str">
            <v>622000010231494097</v>
          </cell>
          <cell r="N692" t="str">
            <v>132100000004</v>
          </cell>
          <cell r="O692" t="str">
            <v xml:space="preserve"> </v>
          </cell>
          <cell r="P692" t="str">
            <v>46287423004</v>
          </cell>
          <cell r="Q692" t="str">
            <v>LARGE INDUSTRY</v>
          </cell>
          <cell r="R692" t="str">
            <v>HT</v>
          </cell>
          <cell r="S692" t="str">
            <v>01/10/2023</v>
          </cell>
          <cell r="T692" t="str">
            <v>01/10/2023</v>
          </cell>
          <cell r="U692" t="str">
            <v>06/10/2023</v>
          </cell>
          <cell r="V692" t="str">
            <v>09/10/2023</v>
          </cell>
          <cell r="W692" t="str">
            <v>2023/09</v>
          </cell>
          <cell r="X692" t="str">
            <v>33 KV</v>
          </cell>
          <cell r="Y692" t="str">
            <v>HT</v>
          </cell>
          <cell r="Z692">
            <v>1760</v>
          </cell>
          <cell r="AA692">
            <v>0.93859999999999999</v>
          </cell>
          <cell r="AB692">
            <v>40.4</v>
          </cell>
          <cell r="AC692" t="str">
            <v xml:space="preserve">01/09/2023 -     </v>
          </cell>
          <cell r="AD692" t="str">
            <v>30.09.2023</v>
          </cell>
          <cell r="AE692" t="str">
            <v>30/1.0000</v>
          </cell>
          <cell r="AF692">
            <v>2200</v>
          </cell>
          <cell r="AG692" t="str">
            <v>KVA</v>
          </cell>
          <cell r="AH692">
            <v>2200</v>
          </cell>
          <cell r="AI692" t="str">
            <v>R</v>
          </cell>
          <cell r="AJ692">
            <v>13504480</v>
          </cell>
          <cell r="AK692" t="str">
            <v>30/09/2023</v>
          </cell>
          <cell r="AL692" t="str">
            <v>NSC95003</v>
          </cell>
          <cell r="AM692" t="str">
            <v>THREE PHASE HT CT METER-33KV</v>
          </cell>
          <cell r="AN692" t="str">
            <v>POST PAID</v>
          </cell>
          <cell r="AO692">
            <v>3150</v>
          </cell>
          <cell r="AP692" t="str">
            <v>TOD</v>
          </cell>
          <cell r="AQ692">
            <v>-1651459.5</v>
          </cell>
          <cell r="AR692">
            <v>0</v>
          </cell>
          <cell r="AS692">
            <v>0</v>
          </cell>
          <cell r="AT692">
            <v>0</v>
          </cell>
          <cell r="AU692">
            <v>0</v>
          </cell>
          <cell r="AV692">
            <v>0</v>
          </cell>
          <cell r="AW692">
            <v>368610</v>
          </cell>
          <cell r="AX692">
            <v>392715</v>
          </cell>
          <cell r="AY692">
            <v>392715</v>
          </cell>
          <cell r="AZ692">
            <v>8080.8</v>
          </cell>
          <cell r="BA692">
            <v>1350</v>
          </cell>
        </row>
        <row r="693">
          <cell r="F693">
            <v>622000000197</v>
          </cell>
          <cell r="G693" t="str">
            <v>THE SUPERINTENDENT SUB-DIVISIONAL HOSPITAL CHAMPUA</v>
          </cell>
          <cell r="H693" t="str">
            <v xml:space="preserve"> </v>
          </cell>
          <cell r="I693" t="str">
            <v>06/03/2021 00:00:00</v>
          </cell>
          <cell r="J693">
            <v>1</v>
          </cell>
          <cell r="K693" t="str">
            <v>CHAMPUA</v>
          </cell>
          <cell r="L693" t="str">
            <v>KEONJHAR</v>
          </cell>
          <cell r="M693" t="str">
            <v>622000010231493637</v>
          </cell>
          <cell r="N693" t="str">
            <v>132100000402</v>
          </cell>
          <cell r="O693" t="str">
            <v>SPP-2</v>
          </cell>
          <cell r="P693" t="str">
            <v>462222201</v>
          </cell>
          <cell r="Q693" t="str">
            <v>SPECIFIED PUBLIC PURPOSE</v>
          </cell>
          <cell r="R693" t="str">
            <v>HT</v>
          </cell>
          <cell r="S693" t="str">
            <v>01/10/2023</v>
          </cell>
          <cell r="T693" t="str">
            <v>01/10/2023</v>
          </cell>
          <cell r="U693" t="str">
            <v>06/10/2023</v>
          </cell>
          <cell r="V693" t="str">
            <v>09/10/2023</v>
          </cell>
          <cell r="W693" t="str">
            <v>2023/09</v>
          </cell>
          <cell r="X693" t="str">
            <v>11 KV</v>
          </cell>
          <cell r="Y693" t="str">
            <v>HT</v>
          </cell>
          <cell r="Z693">
            <v>112.8</v>
          </cell>
          <cell r="AA693">
            <v>0.91339999999999999</v>
          </cell>
          <cell r="AB693">
            <v>41.91</v>
          </cell>
          <cell r="AC693" t="str">
            <v xml:space="preserve">01/09/2023 -     </v>
          </cell>
          <cell r="AD693" t="str">
            <v>30.09.2023</v>
          </cell>
          <cell r="AE693" t="str">
            <v>30/1.0000</v>
          </cell>
          <cell r="AF693">
            <v>141</v>
          </cell>
          <cell r="AG693" t="str">
            <v>KVA</v>
          </cell>
          <cell r="AH693">
            <v>141</v>
          </cell>
          <cell r="AI693" t="str">
            <v>R</v>
          </cell>
          <cell r="AJ693">
            <v>401062</v>
          </cell>
          <cell r="AK693" t="str">
            <v>30/09/2023</v>
          </cell>
          <cell r="AL693" t="str">
            <v>NSC94464</v>
          </cell>
          <cell r="AM693" t="str">
            <v>HT THREE PHASE 3 WIRE AMR/AMI COMPLIANT METER</v>
          </cell>
          <cell r="AN693" t="str">
            <v>POST PAID</v>
          </cell>
          <cell r="AO693">
            <v>500</v>
          </cell>
          <cell r="AP693" t="str">
            <v>TOD</v>
          </cell>
          <cell r="AQ693">
            <v>-267102.7</v>
          </cell>
          <cell r="AR693">
            <v>0</v>
          </cell>
          <cell r="AS693">
            <v>0</v>
          </cell>
          <cell r="AT693">
            <v>0</v>
          </cell>
          <cell r="AU693">
            <v>0</v>
          </cell>
          <cell r="AV693">
            <v>0</v>
          </cell>
          <cell r="AW693">
            <v>5866</v>
          </cell>
          <cell r="AX693">
            <v>6422</v>
          </cell>
          <cell r="AY693">
            <v>6422</v>
          </cell>
          <cell r="AZ693">
            <v>164</v>
          </cell>
          <cell r="BA693">
            <v>21.279999999999998</v>
          </cell>
        </row>
        <row r="694">
          <cell r="F694">
            <v>622000000198</v>
          </cell>
          <cell r="G694" t="str">
            <v>M/S JSW STEEL LTD</v>
          </cell>
          <cell r="H694" t="str">
            <v>NUAGAON</v>
          </cell>
          <cell r="I694" t="str">
            <v>07/04/2021 00:00:00</v>
          </cell>
          <cell r="J694">
            <v>1</v>
          </cell>
          <cell r="K694" t="str">
            <v>NUAGAON IRON MINES</v>
          </cell>
          <cell r="L694" t="str">
            <v>KEONJHAR</v>
          </cell>
          <cell r="M694" t="str">
            <v>622000010231493610</v>
          </cell>
          <cell r="N694" t="str">
            <v>132100000425</v>
          </cell>
          <cell r="O694" t="str">
            <v>GP-187</v>
          </cell>
          <cell r="P694" t="str">
            <v>462233301</v>
          </cell>
          <cell r="Q694" t="str">
            <v>TEMP. SUPPLY GENERAL PURPOSE &gt;= 110 KVA</v>
          </cell>
          <cell r="R694" t="str">
            <v>HT</v>
          </cell>
          <cell r="S694" t="str">
            <v>01/10/2023</v>
          </cell>
          <cell r="T694" t="str">
            <v>01/10/2023</v>
          </cell>
          <cell r="U694" t="str">
            <v>06/10/2023</v>
          </cell>
          <cell r="V694" t="str">
            <v>09/10/2023</v>
          </cell>
          <cell r="W694" t="str">
            <v>2023/09</v>
          </cell>
          <cell r="X694" t="str">
            <v>11 KV</v>
          </cell>
          <cell r="Y694" t="str">
            <v>HT</v>
          </cell>
          <cell r="Z694">
            <v>560</v>
          </cell>
          <cell r="AA694">
            <v>0.9929</v>
          </cell>
          <cell r="AB694">
            <v>45.89</v>
          </cell>
          <cell r="AC694" t="str">
            <v xml:space="preserve">01/09/2023 -     </v>
          </cell>
          <cell r="AD694" t="str">
            <v>30.09.2023</v>
          </cell>
          <cell r="AE694" t="str">
            <v>30/1.0000</v>
          </cell>
          <cell r="AF694">
            <v>700</v>
          </cell>
          <cell r="AG694" t="str">
            <v>KVA</v>
          </cell>
          <cell r="AH694">
            <v>700</v>
          </cell>
          <cell r="AI694" t="str">
            <v>R</v>
          </cell>
          <cell r="AJ694">
            <v>9028022</v>
          </cell>
          <cell r="AK694" t="str">
            <v>30/09/2023</v>
          </cell>
          <cell r="AL694" t="str">
            <v>NSC94527</v>
          </cell>
          <cell r="AM694" t="str">
            <v>HT THREE PHASE 4 WIRE AMR/AMI COMPLAINT METER</v>
          </cell>
          <cell r="AN694" t="str">
            <v>POST PAID</v>
          </cell>
          <cell r="AO694">
            <v>1250</v>
          </cell>
          <cell r="AP694" t="str">
            <v>TOD</v>
          </cell>
          <cell r="AQ694">
            <v>0</v>
          </cell>
          <cell r="AR694">
            <v>0</v>
          </cell>
          <cell r="AS694">
            <v>0</v>
          </cell>
          <cell r="AT694">
            <v>0</v>
          </cell>
          <cell r="AU694">
            <v>0</v>
          </cell>
          <cell r="AV694">
            <v>0</v>
          </cell>
          <cell r="AW694">
            <v>101300</v>
          </cell>
          <cell r="AX694">
            <v>102020</v>
          </cell>
          <cell r="AY694">
            <v>102020</v>
          </cell>
          <cell r="AZ694">
            <v>2724.4</v>
          </cell>
          <cell r="BA694">
            <v>308.8</v>
          </cell>
        </row>
        <row r="695">
          <cell r="F695">
            <v>622000000199</v>
          </cell>
          <cell r="G695" t="str">
            <v>M/S JSW STEEL LTD</v>
          </cell>
          <cell r="H695" t="str">
            <v>AT-BHUSUGAON</v>
          </cell>
          <cell r="I695" t="str">
            <v>08/03/2021 00:00:00</v>
          </cell>
          <cell r="J695">
            <v>1</v>
          </cell>
          <cell r="K695" t="str">
            <v>BHADRASAHI</v>
          </cell>
          <cell r="L695" t="str">
            <v>KEONJHAR</v>
          </cell>
          <cell r="M695" t="str">
            <v>622000010231493708</v>
          </cell>
          <cell r="N695" t="str">
            <v>132100000657</v>
          </cell>
          <cell r="O695" t="str">
            <v>GP-188</v>
          </cell>
          <cell r="P695" t="str">
            <v>462233202</v>
          </cell>
          <cell r="Q695" t="str">
            <v>GENERAL PURPOSE &gt;= 110 KVA</v>
          </cell>
          <cell r="R695" t="str">
            <v>HT</v>
          </cell>
          <cell r="S695" t="str">
            <v>01/10/2023</v>
          </cell>
          <cell r="T695" t="str">
            <v>01/10/2023</v>
          </cell>
          <cell r="U695" t="str">
            <v>06/10/2023</v>
          </cell>
          <cell r="V695" t="str">
            <v>09/10/2023</v>
          </cell>
          <cell r="W695" t="str">
            <v>2023/09</v>
          </cell>
          <cell r="X695" t="str">
            <v>11 KV</v>
          </cell>
          <cell r="Y695" t="str">
            <v>HT</v>
          </cell>
          <cell r="Z695">
            <v>168.8</v>
          </cell>
          <cell r="AA695">
            <v>0.99339999999999995</v>
          </cell>
          <cell r="AB695">
            <v>33.659999999999997</v>
          </cell>
          <cell r="AC695" t="str">
            <v xml:space="preserve">01/09/2023 -     </v>
          </cell>
          <cell r="AD695" t="str">
            <v>30.09.2023</v>
          </cell>
          <cell r="AE695" t="str">
            <v>30/1.0000</v>
          </cell>
          <cell r="AF695">
            <v>211</v>
          </cell>
          <cell r="AG695" t="str">
            <v>KVA</v>
          </cell>
          <cell r="AH695">
            <v>211</v>
          </cell>
          <cell r="AI695" t="str">
            <v>R</v>
          </cell>
          <cell r="AJ695">
            <v>566990</v>
          </cell>
          <cell r="AK695" t="str">
            <v>30/09/2023</v>
          </cell>
          <cell r="AL695" t="str">
            <v>NSC94741</v>
          </cell>
          <cell r="AM695" t="str">
            <v>HT THREE PHASE 4 WIRE AMR/AMI COMPLAINT METER</v>
          </cell>
          <cell r="AN695" t="str">
            <v>POST PAID</v>
          </cell>
          <cell r="AO695">
            <v>250</v>
          </cell>
          <cell r="AP695" t="str">
            <v>TOD</v>
          </cell>
          <cell r="AQ695">
            <v>-387480.7</v>
          </cell>
          <cell r="AR695">
            <v>0</v>
          </cell>
          <cell r="AS695">
            <v>0</v>
          </cell>
          <cell r="AT695">
            <v>0</v>
          </cell>
          <cell r="AU695">
            <v>0</v>
          </cell>
          <cell r="AV695">
            <v>0</v>
          </cell>
          <cell r="AW695">
            <v>15140</v>
          </cell>
          <cell r="AX695">
            <v>15240</v>
          </cell>
          <cell r="AY695">
            <v>15240</v>
          </cell>
          <cell r="AZ695">
            <v>540.79999999999995</v>
          </cell>
          <cell r="BA695">
            <v>62.88</v>
          </cell>
        </row>
        <row r="696">
          <cell r="F696">
            <v>622000000200</v>
          </cell>
          <cell r="G696" t="str">
            <v>M/S RUNGTA MINES LTD</v>
          </cell>
          <cell r="H696" t="str">
            <v>AT-KARAKHOLA</v>
          </cell>
          <cell r="I696" t="str">
            <v>09/02/2021 00:00:00</v>
          </cell>
          <cell r="J696">
            <v>1</v>
          </cell>
          <cell r="K696" t="str">
            <v>BARBIL</v>
          </cell>
          <cell r="L696" t="str">
            <v>KEONJHAR</v>
          </cell>
          <cell r="M696" t="str">
            <v>622000010232516320</v>
          </cell>
          <cell r="N696" t="str">
            <v>132100010255</v>
          </cell>
          <cell r="O696" t="str">
            <v>L-194</v>
          </cell>
          <cell r="P696" t="str">
            <v>NULL</v>
          </cell>
          <cell r="Q696" t="str">
            <v>LARGE INDUSTRY</v>
          </cell>
          <cell r="R696" t="str">
            <v>EHT</v>
          </cell>
          <cell r="S696" t="str">
            <v>05/10/2023</v>
          </cell>
          <cell r="T696" t="str">
            <v>05/10/2023</v>
          </cell>
          <cell r="U696" t="str">
            <v>09/10/2023</v>
          </cell>
          <cell r="V696" t="str">
            <v>12/10/2023</v>
          </cell>
          <cell r="W696" t="str">
            <v>2023/09</v>
          </cell>
          <cell r="X696" t="str">
            <v>132 KV</v>
          </cell>
          <cell r="Y696" t="str">
            <v>HT</v>
          </cell>
          <cell r="Z696">
            <v>3556</v>
          </cell>
          <cell r="AA696">
            <v>0.3821</v>
          </cell>
          <cell r="AB696">
            <v>5.76</v>
          </cell>
          <cell r="AC696" t="str">
            <v xml:space="preserve">01/09/2023 -     </v>
          </cell>
          <cell r="AD696" t="str">
            <v>30.09.2023</v>
          </cell>
          <cell r="AE696" t="str">
            <v>30/1.0000</v>
          </cell>
          <cell r="AF696">
            <v>4445</v>
          </cell>
          <cell r="AG696" t="str">
            <v>KVA</v>
          </cell>
          <cell r="AH696">
            <v>4445</v>
          </cell>
          <cell r="AI696" t="str">
            <v>R</v>
          </cell>
          <cell r="AJ696">
            <v>54116232</v>
          </cell>
          <cell r="AK696" t="str">
            <v>30/09/2023</v>
          </cell>
          <cell r="AL696" t="str">
            <v>NSC95201</v>
          </cell>
          <cell r="AM696" t="str">
            <v>THREE PHASE HT CT METER-33KV</v>
          </cell>
          <cell r="AN696" t="str">
            <v>POST PAID</v>
          </cell>
          <cell r="AO696">
            <v>12500</v>
          </cell>
          <cell r="AP696" t="str">
            <v>TOD</v>
          </cell>
          <cell r="AQ696">
            <v>-49427410</v>
          </cell>
          <cell r="AR696">
            <v>0</v>
          </cell>
          <cell r="AS696">
            <v>0</v>
          </cell>
          <cell r="AT696">
            <v>0</v>
          </cell>
          <cell r="AU696">
            <v>0</v>
          </cell>
          <cell r="AV696">
            <v>0</v>
          </cell>
          <cell r="AW696">
            <v>49020</v>
          </cell>
          <cell r="AX696">
            <v>115920</v>
          </cell>
          <cell r="AY696">
            <v>115920</v>
          </cell>
          <cell r="AZ696">
            <v>2.1600000000000001E-2</v>
          </cell>
          <cell r="BA696">
            <v>2592</v>
          </cell>
        </row>
        <row r="697">
          <cell r="F697">
            <v>622000000201</v>
          </cell>
          <cell r="G697" t="str">
            <v>M/S D.R.PATNAIK</v>
          </cell>
          <cell r="H697" t="str">
            <v>AT-MURGABEDA</v>
          </cell>
          <cell r="I697" t="str">
            <v>11/03/2021 00:00:00</v>
          </cell>
          <cell r="J697">
            <v>1</v>
          </cell>
          <cell r="K697" t="str">
            <v>DEOJHAR</v>
          </cell>
          <cell r="L697" t="str">
            <v>KEONJHAR</v>
          </cell>
          <cell r="M697" t="str">
            <v>622000010231493706</v>
          </cell>
          <cell r="N697" t="str">
            <v>132100012722</v>
          </cell>
          <cell r="O697" t="str">
            <v>L-195</v>
          </cell>
          <cell r="P697" t="str">
            <v>462211102</v>
          </cell>
          <cell r="Q697" t="str">
            <v>LARGE INDUSTRY</v>
          </cell>
          <cell r="R697" t="str">
            <v>HT</v>
          </cell>
          <cell r="S697" t="str">
            <v>01/10/2023</v>
          </cell>
          <cell r="T697" t="str">
            <v>01/10/2023</v>
          </cell>
          <cell r="U697" t="str">
            <v>06/10/2023</v>
          </cell>
          <cell r="V697" t="str">
            <v>09/10/2023</v>
          </cell>
          <cell r="W697" t="str">
            <v>2023/09</v>
          </cell>
          <cell r="X697" t="str">
            <v>11 KV</v>
          </cell>
          <cell r="Y697" t="str">
            <v>HT</v>
          </cell>
          <cell r="Z697">
            <v>560</v>
          </cell>
          <cell r="AA697">
            <v>0.87729999999999997</v>
          </cell>
          <cell r="AB697">
            <v>31.51</v>
          </cell>
          <cell r="AC697" t="str">
            <v xml:space="preserve">01/09/2023 -     </v>
          </cell>
          <cell r="AD697" t="str">
            <v>30.09.2023</v>
          </cell>
          <cell r="AE697" t="str">
            <v>30/1.0000</v>
          </cell>
          <cell r="AF697">
            <v>700</v>
          </cell>
          <cell r="AG697" t="str">
            <v>KVA</v>
          </cell>
          <cell r="AH697">
            <v>700</v>
          </cell>
          <cell r="AI697" t="str">
            <v>R</v>
          </cell>
          <cell r="AJ697">
            <v>4296880</v>
          </cell>
          <cell r="AK697" t="str">
            <v>30/09/2023</v>
          </cell>
          <cell r="AL697" t="str">
            <v>TPSENSC95148</v>
          </cell>
          <cell r="AM697" t="str">
            <v>HT THREE PHASE 4 WIRE AMR/AMI COMPLAINT METER</v>
          </cell>
          <cell r="AN697" t="str">
            <v>POST PAID</v>
          </cell>
          <cell r="AO697">
            <v>1000</v>
          </cell>
          <cell r="AP697" t="str">
            <v>TOD</v>
          </cell>
          <cell r="AQ697">
            <v>-3011674.5</v>
          </cell>
          <cell r="AR697">
            <v>0</v>
          </cell>
          <cell r="AS697">
            <v>0</v>
          </cell>
          <cell r="AT697">
            <v>0</v>
          </cell>
          <cell r="AU697">
            <v>0</v>
          </cell>
          <cell r="AV697">
            <v>0</v>
          </cell>
          <cell r="AW697">
            <v>94665</v>
          </cell>
          <cell r="AX697">
            <v>107900</v>
          </cell>
          <cell r="AY697">
            <v>107900</v>
          </cell>
          <cell r="AZ697">
            <v>2905.2</v>
          </cell>
          <cell r="BA697">
            <v>475.6</v>
          </cell>
        </row>
        <row r="698">
          <cell r="F698">
            <v>622000000202</v>
          </cell>
          <cell r="G698" t="str">
            <v>M/S CHEVROX CONSTRUCTION PVT.LTD</v>
          </cell>
          <cell r="H698" t="str">
            <v>BANEIKALA, RANASAL GHATI</v>
          </cell>
          <cell r="I698" t="str">
            <v>01/01/2022 00:00:00</v>
          </cell>
          <cell r="J698">
            <v>1</v>
          </cell>
          <cell r="K698" t="str">
            <v>JODA</v>
          </cell>
          <cell r="L698" t="str">
            <v>KEONJHAR</v>
          </cell>
          <cell r="M698" t="str">
            <v>622000010231493929</v>
          </cell>
          <cell r="N698" t="str">
            <v>132200010114</v>
          </cell>
          <cell r="O698" t="str">
            <v>GP-189</v>
          </cell>
          <cell r="P698" t="str">
            <v>462211103</v>
          </cell>
          <cell r="Q698" t="str">
            <v>GENERAL PURPOSE &gt;= 110 KVA</v>
          </cell>
          <cell r="R698" t="str">
            <v>HT</v>
          </cell>
          <cell r="S698" t="str">
            <v>01/10/2023</v>
          </cell>
          <cell r="T698" t="str">
            <v>01/10/2023</v>
          </cell>
          <cell r="U698" t="str">
            <v>06/10/2023</v>
          </cell>
          <cell r="V698" t="str">
            <v>09/10/2023</v>
          </cell>
          <cell r="W698" t="str">
            <v>2023/09</v>
          </cell>
          <cell r="X698" t="str">
            <v>11 KV</v>
          </cell>
          <cell r="Y698" t="str">
            <v>HT</v>
          </cell>
          <cell r="Z698">
            <v>133.6</v>
          </cell>
          <cell r="AA698">
            <v>0.78900000000000003</v>
          </cell>
          <cell r="AB698">
            <v>21.22</v>
          </cell>
          <cell r="AC698" t="str">
            <v xml:space="preserve">01/09/2023 -     </v>
          </cell>
          <cell r="AD698" t="str">
            <v>30.09.2023</v>
          </cell>
          <cell r="AE698" t="str">
            <v>30/1.0000</v>
          </cell>
          <cell r="AF698">
            <v>167</v>
          </cell>
          <cell r="AG698" t="str">
            <v>KVA</v>
          </cell>
          <cell r="AH698">
            <v>167</v>
          </cell>
          <cell r="AI698" t="str">
            <v>R</v>
          </cell>
          <cell r="AJ698">
            <v>446641</v>
          </cell>
          <cell r="AK698" t="str">
            <v>30/09/2023</v>
          </cell>
          <cell r="AL698" t="str">
            <v>TPN64017</v>
          </cell>
          <cell r="AM698" t="str">
            <v>HT THREE PHASE 4 WIRE AMR/AMI COMPLAINT METER</v>
          </cell>
          <cell r="AN698" t="str">
            <v>POST PAID</v>
          </cell>
          <cell r="AO698">
            <v>250</v>
          </cell>
          <cell r="AP698" t="str">
            <v>TOD</v>
          </cell>
          <cell r="AQ698">
            <v>-298549.40000000002</v>
          </cell>
          <cell r="AR698">
            <v>0</v>
          </cell>
          <cell r="AS698">
            <v>0</v>
          </cell>
          <cell r="AT698">
            <v>0</v>
          </cell>
          <cell r="AU698">
            <v>0</v>
          </cell>
          <cell r="AV698">
            <v>0</v>
          </cell>
          <cell r="AW698">
            <v>13580</v>
          </cell>
          <cell r="AX698">
            <v>17210</v>
          </cell>
          <cell r="AY698">
            <v>17210</v>
          </cell>
          <cell r="AZ698">
            <v>765.44</v>
          </cell>
          <cell r="BA698">
            <v>112.64</v>
          </cell>
        </row>
        <row r="699">
          <cell r="F699">
            <v>622000000203</v>
          </cell>
          <cell r="G699" t="str">
            <v>M/S JINDAL STEEL AND POWER LTD</v>
          </cell>
          <cell r="H699" t="str">
            <v>AT-KASIA IRON &amp; DOLMITE MINES</v>
          </cell>
          <cell r="I699" t="str">
            <v>01/01/2022 00:00:00</v>
          </cell>
          <cell r="J699">
            <v>1</v>
          </cell>
          <cell r="K699" t="str">
            <v>KASIA</v>
          </cell>
          <cell r="L699" t="str">
            <v>KEONJHAR</v>
          </cell>
          <cell r="M699" t="str">
            <v>622000010231493541</v>
          </cell>
          <cell r="N699" t="str">
            <v>132200010115</v>
          </cell>
          <cell r="O699" t="str">
            <v xml:space="preserve"> </v>
          </cell>
          <cell r="P699" t="str">
            <v>462233201</v>
          </cell>
          <cell r="Q699" t="str">
            <v>LARGE INDUSTRY</v>
          </cell>
          <cell r="R699" t="str">
            <v>HT</v>
          </cell>
          <cell r="S699" t="str">
            <v>01/10/2023</v>
          </cell>
          <cell r="T699" t="str">
            <v>01/10/2023</v>
          </cell>
          <cell r="U699" t="str">
            <v>06/10/2023</v>
          </cell>
          <cell r="V699" t="str">
            <v>09/10/2023</v>
          </cell>
          <cell r="W699" t="str">
            <v>2023/09</v>
          </cell>
          <cell r="X699" t="str">
            <v>11 KV</v>
          </cell>
          <cell r="Y699" t="str">
            <v>HT</v>
          </cell>
          <cell r="Z699">
            <v>640</v>
          </cell>
          <cell r="AA699">
            <v>0.98699999999999999</v>
          </cell>
          <cell r="AB699">
            <v>53.38</v>
          </cell>
          <cell r="AC699" t="str">
            <v xml:space="preserve">01/09/2023 -     </v>
          </cell>
          <cell r="AD699" t="str">
            <v>30.09.2023</v>
          </cell>
          <cell r="AE699" t="str">
            <v>30/1.0000</v>
          </cell>
          <cell r="AF699">
            <v>800</v>
          </cell>
          <cell r="AG699" t="str">
            <v>KVA</v>
          </cell>
          <cell r="AH699">
            <v>800</v>
          </cell>
          <cell r="AI699" t="str">
            <v>R</v>
          </cell>
          <cell r="AJ699">
            <v>4910720</v>
          </cell>
          <cell r="AK699" t="str">
            <v>30/09/2023</v>
          </cell>
          <cell r="AL699" t="str">
            <v>NES52049</v>
          </cell>
          <cell r="AM699" t="str">
            <v>HT THREE PHASE 4 WIRE AMR/AMI COMPLAINT METER</v>
          </cell>
          <cell r="AN699" t="str">
            <v>POST PAID</v>
          </cell>
          <cell r="AO699">
            <v>1000</v>
          </cell>
          <cell r="AP699" t="str">
            <v>TOD</v>
          </cell>
          <cell r="AQ699">
            <v>-3728628.3</v>
          </cell>
          <cell r="AR699">
            <v>0</v>
          </cell>
          <cell r="AS699">
            <v>0</v>
          </cell>
          <cell r="AT699">
            <v>0</v>
          </cell>
          <cell r="AU699">
            <v>0</v>
          </cell>
          <cell r="AV699">
            <v>0</v>
          </cell>
          <cell r="AW699">
            <v>210155</v>
          </cell>
          <cell r="AX699">
            <v>212915</v>
          </cell>
          <cell r="AY699">
            <v>212915</v>
          </cell>
          <cell r="AZ699">
            <v>3790</v>
          </cell>
          <cell r="BA699">
            <v>554</v>
          </cell>
        </row>
        <row r="700">
          <cell r="F700">
            <v>622000000204</v>
          </cell>
          <cell r="G700" t="str">
            <v>M/S PTCL INFRASTRUCTURE LTD</v>
          </cell>
          <cell r="H700" t="str">
            <v>AT-MATKAMBEDA INDUSTRIAL AREA</v>
          </cell>
          <cell r="I700" t="str">
            <v>01/03/2022 00:00:00</v>
          </cell>
          <cell r="J700">
            <v>1</v>
          </cell>
          <cell r="K700" t="str">
            <v>BARBIL</v>
          </cell>
          <cell r="L700" t="str">
            <v>KEONJHAR</v>
          </cell>
          <cell r="M700" t="str">
            <v>622000010231495125</v>
          </cell>
          <cell r="N700" t="str">
            <v>132200010527</v>
          </cell>
          <cell r="O700" t="str">
            <v>L-196</v>
          </cell>
          <cell r="P700" t="str">
            <v>NULL</v>
          </cell>
          <cell r="Q700" t="str">
            <v>LARGE INDUSTRY</v>
          </cell>
          <cell r="R700" t="str">
            <v>EHT</v>
          </cell>
          <cell r="S700" t="str">
            <v>01/10/2023</v>
          </cell>
          <cell r="T700" t="str">
            <v>01/10/2023</v>
          </cell>
          <cell r="U700" t="str">
            <v>06/10/2023</v>
          </cell>
          <cell r="V700" t="str">
            <v>09/10/2023</v>
          </cell>
          <cell r="W700" t="str">
            <v>2023/09</v>
          </cell>
          <cell r="X700" t="str">
            <v>132 KV</v>
          </cell>
          <cell r="Y700" t="str">
            <v>HT</v>
          </cell>
          <cell r="Z700">
            <v>5200</v>
          </cell>
          <cell r="AA700">
            <v>0.99019999999999997</v>
          </cell>
          <cell r="AB700">
            <v>13.65</v>
          </cell>
          <cell r="AC700" t="str">
            <v xml:space="preserve">01/09/2023 -     </v>
          </cell>
          <cell r="AD700" t="str">
            <v>30.09.2023</v>
          </cell>
          <cell r="AE700" t="str">
            <v>30/1.0000</v>
          </cell>
          <cell r="AF700">
            <v>6500</v>
          </cell>
          <cell r="AG700" t="str">
            <v>KVA</v>
          </cell>
          <cell r="AH700">
            <v>6500</v>
          </cell>
          <cell r="AI700" t="str">
            <v>R</v>
          </cell>
          <cell r="AJ700">
            <v>39572000</v>
          </cell>
          <cell r="AK700" t="str">
            <v>30/09/2023</v>
          </cell>
          <cell r="AL700" t="str">
            <v>TPN64921</v>
          </cell>
          <cell r="AM700" t="str">
            <v>THREE PHASE HT CT METER-33KV</v>
          </cell>
          <cell r="AN700" t="str">
            <v>POST PAID</v>
          </cell>
          <cell r="AO700">
            <v>20000</v>
          </cell>
          <cell r="AP700" t="str">
            <v>TOD</v>
          </cell>
          <cell r="AQ700">
            <v>-29029744</v>
          </cell>
          <cell r="AR700">
            <v>0</v>
          </cell>
          <cell r="AS700">
            <v>0</v>
          </cell>
          <cell r="AT700">
            <v>0</v>
          </cell>
          <cell r="AU700">
            <v>0</v>
          </cell>
          <cell r="AV700">
            <v>0</v>
          </cell>
          <cell r="AW700">
            <v>242880</v>
          </cell>
          <cell r="AX700">
            <v>245280</v>
          </cell>
          <cell r="AY700">
            <v>245280</v>
          </cell>
          <cell r="AZ700">
            <v>20.8</v>
          </cell>
          <cell r="BA700">
            <v>2496</v>
          </cell>
        </row>
        <row r="701">
          <cell r="F701">
            <v>622000000205</v>
          </cell>
          <cell r="G701" t="str">
            <v>Mr. TARINI PRASAD MOHANTY</v>
          </cell>
          <cell r="H701" t="str">
            <v>PLOT NO-341</v>
          </cell>
          <cell r="I701" t="str">
            <v>03/25/2022 00:00:00</v>
          </cell>
          <cell r="J701">
            <v>1</v>
          </cell>
          <cell r="K701" t="str">
            <v>KAMARJODA</v>
          </cell>
          <cell r="L701" t="str">
            <v>JODA</v>
          </cell>
          <cell r="M701" t="str">
            <v>622000010231493762</v>
          </cell>
          <cell r="N701" t="str">
            <v>132200048759</v>
          </cell>
          <cell r="O701" t="str">
            <v xml:space="preserve"> </v>
          </cell>
          <cell r="P701" t="str">
            <v>462211101</v>
          </cell>
          <cell r="Q701" t="str">
            <v>GENERAL PURPOSE &gt;= 110 KVA</v>
          </cell>
          <cell r="R701" t="str">
            <v>HT</v>
          </cell>
          <cell r="S701" t="str">
            <v>01/10/2023</v>
          </cell>
          <cell r="T701" t="str">
            <v>01/10/2023</v>
          </cell>
          <cell r="U701" t="str">
            <v>06/10/2023</v>
          </cell>
          <cell r="V701" t="str">
            <v>09/10/2023</v>
          </cell>
          <cell r="W701" t="str">
            <v>2023/09</v>
          </cell>
          <cell r="X701" t="str">
            <v>11 KV</v>
          </cell>
          <cell r="Y701" t="str">
            <v>HT</v>
          </cell>
          <cell r="Z701">
            <v>133.6</v>
          </cell>
          <cell r="AA701">
            <v>0.67530000000000001</v>
          </cell>
          <cell r="AB701">
            <v>30.75</v>
          </cell>
          <cell r="AC701" t="str">
            <v xml:space="preserve">01/09/2023 -     </v>
          </cell>
          <cell r="AD701" t="str">
            <v>30.09.2023</v>
          </cell>
          <cell r="AE701" t="str">
            <v>30/1.0000</v>
          </cell>
          <cell r="AF701">
            <v>167</v>
          </cell>
          <cell r="AG701" t="str">
            <v>KVA</v>
          </cell>
          <cell r="AH701">
            <v>167</v>
          </cell>
          <cell r="AI701" t="str">
            <v>R</v>
          </cell>
          <cell r="AJ701">
            <v>487866.66</v>
          </cell>
          <cell r="AK701" t="str">
            <v>30/09/2023</v>
          </cell>
          <cell r="AL701" t="str">
            <v>NSC94931</v>
          </cell>
          <cell r="AM701" t="str">
            <v>HT THREE PHASE 4 WIRE AMR/AMI COMPLAINT METER</v>
          </cell>
          <cell r="AN701" t="str">
            <v>POST PAID</v>
          </cell>
          <cell r="AO701">
            <v>250</v>
          </cell>
          <cell r="AP701" t="str">
            <v>TOD</v>
          </cell>
          <cell r="AQ701">
            <v>-419077.66</v>
          </cell>
          <cell r="AR701">
            <v>0</v>
          </cell>
          <cell r="AS701">
            <v>0</v>
          </cell>
          <cell r="AT701">
            <v>0</v>
          </cell>
          <cell r="AU701">
            <v>0</v>
          </cell>
          <cell r="AV701">
            <v>0</v>
          </cell>
          <cell r="AW701">
            <v>1244</v>
          </cell>
          <cell r="AX701">
            <v>1842</v>
          </cell>
          <cell r="AY701">
            <v>1842</v>
          </cell>
          <cell r="AZ701">
            <v>55.52</v>
          </cell>
          <cell r="BA701">
            <v>8.32</v>
          </cell>
        </row>
        <row r="702">
          <cell r="F702">
            <v>622000000206</v>
          </cell>
          <cell r="G702" t="str">
            <v>M/S ALLIED CREATION</v>
          </cell>
          <cell r="H702" t="str">
            <v xml:space="preserve">RUGUDI                             </v>
          </cell>
          <cell r="I702" t="str">
            <v>01/25/2021 00:00:00</v>
          </cell>
          <cell r="J702">
            <v>1</v>
          </cell>
          <cell r="K702" t="str">
            <v xml:space="preserve">KEONJHAR                           </v>
          </cell>
          <cell r="L702" t="str">
            <v xml:space="preserve"> </v>
          </cell>
          <cell r="M702" t="str">
            <v>622033310231493437</v>
          </cell>
          <cell r="N702" t="str">
            <v>36223003093</v>
          </cell>
          <cell r="O702" t="str">
            <v>L-198</v>
          </cell>
          <cell r="P702" t="str">
            <v>462233301</v>
          </cell>
          <cell r="Q702" t="str">
            <v>LARGE INDUSTRY</v>
          </cell>
          <cell r="R702" t="str">
            <v>HT</v>
          </cell>
          <cell r="S702" t="str">
            <v>01/10/2023</v>
          </cell>
          <cell r="T702" t="str">
            <v>01/10/2023</v>
          </cell>
          <cell r="U702" t="str">
            <v>06/10/2023</v>
          </cell>
          <cell r="V702" t="str">
            <v>09/10/2023</v>
          </cell>
          <cell r="W702" t="str">
            <v>2023/09</v>
          </cell>
          <cell r="X702" t="str">
            <v>11 KV</v>
          </cell>
          <cell r="Y702" t="str">
            <v>HT</v>
          </cell>
          <cell r="Z702">
            <v>142.4</v>
          </cell>
          <cell r="AA702">
            <v>0.92290000000000005</v>
          </cell>
          <cell r="AB702">
            <v>28.69</v>
          </cell>
          <cell r="AC702" t="str">
            <v xml:space="preserve">01/09/2023 -     </v>
          </cell>
          <cell r="AD702" t="str">
            <v>30.09.2023</v>
          </cell>
          <cell r="AE702" t="str">
            <v>30/1.0000</v>
          </cell>
          <cell r="AF702">
            <v>178</v>
          </cell>
          <cell r="AG702" t="str">
            <v>KVA</v>
          </cell>
          <cell r="AH702">
            <v>178</v>
          </cell>
          <cell r="AI702" t="str">
            <v>R</v>
          </cell>
          <cell r="AJ702">
            <v>990492</v>
          </cell>
          <cell r="AK702" t="str">
            <v>30/09/2023</v>
          </cell>
          <cell r="AL702" t="str">
            <v>TPSENSC94701</v>
          </cell>
          <cell r="AM702" t="str">
            <v>HT THREE PHASE 4 WIRE AMR/AMI COMPLAINT METER</v>
          </cell>
          <cell r="AN702" t="str">
            <v>POST PAID</v>
          </cell>
          <cell r="AO702">
            <v>250</v>
          </cell>
          <cell r="AP702" t="str">
            <v>TOD</v>
          </cell>
          <cell r="AQ702">
            <v>-912670.62</v>
          </cell>
          <cell r="AR702">
            <v>0</v>
          </cell>
          <cell r="AS702">
            <v>0</v>
          </cell>
          <cell r="AT702">
            <v>0</v>
          </cell>
          <cell r="AU702">
            <v>0</v>
          </cell>
          <cell r="AV702">
            <v>0</v>
          </cell>
          <cell r="AW702">
            <v>11044</v>
          </cell>
          <cell r="AX702">
            <v>11966</v>
          </cell>
          <cell r="AY702">
            <v>11966</v>
          </cell>
          <cell r="AZ702">
            <v>439.2</v>
          </cell>
          <cell r="BA702">
            <v>57.92</v>
          </cell>
        </row>
        <row r="703">
          <cell r="F703">
            <v>622000000207</v>
          </cell>
          <cell r="G703" t="str">
            <v>PROJECT DIRECTOR NHAI ROURKELA</v>
          </cell>
          <cell r="H703" t="str">
            <v>CH 176+060KM</v>
          </cell>
          <cell r="I703" t="str">
            <v>04/26/2022 00:00:00</v>
          </cell>
          <cell r="J703">
            <v>1</v>
          </cell>
          <cell r="K703" t="str">
            <v>NH 215</v>
          </cell>
          <cell r="L703" t="str">
            <v>KANDRA TOLL PLAZA</v>
          </cell>
          <cell r="M703" t="str">
            <v>622000010231493874</v>
          </cell>
          <cell r="N703" t="str">
            <v>132200055647</v>
          </cell>
          <cell r="O703" t="str">
            <v xml:space="preserve"> </v>
          </cell>
          <cell r="P703" t="str">
            <v>462211102</v>
          </cell>
          <cell r="Q703" t="str">
            <v>GENERAL PURPOSE &gt;= 110 KVA</v>
          </cell>
          <cell r="R703" t="str">
            <v>HT</v>
          </cell>
          <cell r="S703" t="str">
            <v>01/10/2023</v>
          </cell>
          <cell r="T703" t="str">
            <v>01/10/2023</v>
          </cell>
          <cell r="U703" t="str">
            <v>06/10/2023</v>
          </cell>
          <cell r="V703" t="str">
            <v>09/10/2023</v>
          </cell>
          <cell r="W703" t="str">
            <v>2023/09</v>
          </cell>
          <cell r="X703" t="str">
            <v>11 KV</v>
          </cell>
          <cell r="Y703" t="str">
            <v>HT</v>
          </cell>
          <cell r="Z703">
            <v>110.4</v>
          </cell>
          <cell r="AA703">
            <v>0.97399999999999998</v>
          </cell>
          <cell r="AB703">
            <v>53.49</v>
          </cell>
          <cell r="AC703" t="str">
            <v xml:space="preserve">01/09/2023 -     </v>
          </cell>
          <cell r="AD703" t="str">
            <v>30.09.2023</v>
          </cell>
          <cell r="AE703" t="str">
            <v>30/1.0000</v>
          </cell>
          <cell r="AF703">
            <v>138</v>
          </cell>
          <cell r="AG703" t="str">
            <v>KVA</v>
          </cell>
          <cell r="AH703">
            <v>138</v>
          </cell>
          <cell r="AI703" t="str">
            <v>R</v>
          </cell>
          <cell r="AJ703">
            <v>403953.6</v>
          </cell>
          <cell r="AK703" t="str">
            <v>30/09/2023</v>
          </cell>
          <cell r="AL703" t="str">
            <v>TPN64016</v>
          </cell>
          <cell r="AM703" t="str">
            <v>HT THREE PHASE 4 WIRE AMR/AMI COMPLAINT METER</v>
          </cell>
          <cell r="AN703" t="str">
            <v>POST PAID</v>
          </cell>
          <cell r="AO703">
            <v>200</v>
          </cell>
          <cell r="AP703" t="str">
            <v>TOD</v>
          </cell>
          <cell r="AQ703">
            <v>0</v>
          </cell>
          <cell r="AR703">
            <v>0</v>
          </cell>
          <cell r="AS703">
            <v>0</v>
          </cell>
          <cell r="AT703">
            <v>0</v>
          </cell>
          <cell r="AU703">
            <v>0</v>
          </cell>
          <cell r="AV703">
            <v>0</v>
          </cell>
          <cell r="AW703">
            <v>11914</v>
          </cell>
          <cell r="AX703">
            <v>12231</v>
          </cell>
          <cell r="AY703">
            <v>12231</v>
          </cell>
          <cell r="AZ703">
            <v>239.36</v>
          </cell>
          <cell r="BA703">
            <v>31.759999999999998</v>
          </cell>
        </row>
        <row r="704">
          <cell r="F704">
            <v>622000000208</v>
          </cell>
          <cell r="G704" t="str">
            <v>M/S BARBRIK PROJECT LTD</v>
          </cell>
          <cell r="H704" t="str">
            <v>C/O-RAMESH CHANDRA SETHI</v>
          </cell>
          <cell r="I704" t="str">
            <v>06/02/2022 00:00:00</v>
          </cell>
          <cell r="J704">
            <v>1</v>
          </cell>
          <cell r="K704" t="str">
            <v>PROJECT AT-KANDARA, JODA</v>
          </cell>
          <cell r="L704" t="str">
            <v>KEONJHAR</v>
          </cell>
          <cell r="M704" t="str">
            <v>622000010231493649</v>
          </cell>
          <cell r="N704" t="str">
            <v>132200070632</v>
          </cell>
          <cell r="O704" t="str">
            <v>GP-190</v>
          </cell>
          <cell r="P704" t="str">
            <v>462211102</v>
          </cell>
          <cell r="Q704" t="str">
            <v>GENERAL PURPOSE &gt;= 110 KVA</v>
          </cell>
          <cell r="R704" t="str">
            <v>HT</v>
          </cell>
          <cell r="S704" t="str">
            <v>01/10/2023</v>
          </cell>
          <cell r="T704" t="str">
            <v>01/10/2023</v>
          </cell>
          <cell r="U704" t="str">
            <v>06/10/2023</v>
          </cell>
          <cell r="V704" t="str">
            <v>09/10/2023</v>
          </cell>
          <cell r="W704" t="str">
            <v>2023/09</v>
          </cell>
          <cell r="X704" t="str">
            <v>11 KV</v>
          </cell>
          <cell r="Y704" t="str">
            <v>HT</v>
          </cell>
          <cell r="Z704">
            <v>97.6</v>
          </cell>
          <cell r="AA704">
            <v>0.92879999999999996</v>
          </cell>
          <cell r="AB704">
            <v>12.97</v>
          </cell>
          <cell r="AC704" t="str">
            <v xml:space="preserve">01/09/2023 -     </v>
          </cell>
          <cell r="AD704" t="str">
            <v>30.09.2023</v>
          </cell>
          <cell r="AE704" t="str">
            <v>30/1.0000</v>
          </cell>
          <cell r="AF704">
            <v>122</v>
          </cell>
          <cell r="AG704" t="str">
            <v>KVA</v>
          </cell>
          <cell r="AH704">
            <v>122</v>
          </cell>
          <cell r="AI704" t="str">
            <v>R</v>
          </cell>
          <cell r="AJ704">
            <v>357120</v>
          </cell>
          <cell r="AK704" t="str">
            <v>30/09/2023</v>
          </cell>
          <cell r="AL704" t="str">
            <v>TPN64156</v>
          </cell>
          <cell r="AM704" t="str">
            <v>HT THREE PHASE 4 WIRE AMR/AMI COMPLAINT METER</v>
          </cell>
          <cell r="AN704" t="str">
            <v>POST PAID</v>
          </cell>
          <cell r="AO704">
            <v>250</v>
          </cell>
          <cell r="AP704" t="str">
            <v>TOD</v>
          </cell>
          <cell r="AQ704">
            <v>0</v>
          </cell>
          <cell r="AR704">
            <v>0</v>
          </cell>
          <cell r="AS704">
            <v>0</v>
          </cell>
          <cell r="AT704">
            <v>0</v>
          </cell>
          <cell r="AU704">
            <v>0</v>
          </cell>
          <cell r="AV704">
            <v>0</v>
          </cell>
          <cell r="AW704">
            <v>7550</v>
          </cell>
          <cell r="AX704">
            <v>8128</v>
          </cell>
          <cell r="AY704">
            <v>8128</v>
          </cell>
          <cell r="AZ704">
            <v>695.12</v>
          </cell>
          <cell r="BA704">
            <v>87.039999999999992</v>
          </cell>
        </row>
        <row r="705">
          <cell r="F705">
            <v>622000000209</v>
          </cell>
          <cell r="G705" t="str">
            <v>M/S JSW STEEL LIMITED</v>
          </cell>
          <cell r="H705" t="str">
            <v>AT-NUAGAON MINES</v>
          </cell>
          <cell r="I705" t="str">
            <v>06/28/2022 00:00:00</v>
          </cell>
          <cell r="J705">
            <v>1</v>
          </cell>
          <cell r="K705" t="str">
            <v>BHUSUGAON, BHADRASAHI</v>
          </cell>
          <cell r="L705" t="str">
            <v>BARBIL</v>
          </cell>
          <cell r="M705" t="str">
            <v>622000010232515700</v>
          </cell>
          <cell r="N705" t="str">
            <v>132200076878</v>
          </cell>
          <cell r="O705" t="str">
            <v xml:space="preserve"> </v>
          </cell>
          <cell r="P705" t="str">
            <v>46287423001</v>
          </cell>
          <cell r="Q705" t="str">
            <v>LARGE INDUSTRY</v>
          </cell>
          <cell r="R705" t="str">
            <v>HT</v>
          </cell>
          <cell r="S705" t="str">
            <v>04/10/2023</v>
          </cell>
          <cell r="T705" t="str">
            <v>04/10/2023</v>
          </cell>
          <cell r="U705" t="str">
            <v>07/10/2023</v>
          </cell>
          <cell r="V705" t="str">
            <v>11/10/2023</v>
          </cell>
          <cell r="W705" t="str">
            <v>2023/09</v>
          </cell>
          <cell r="X705" t="str">
            <v>33 KV</v>
          </cell>
          <cell r="Y705" t="str">
            <v>HT</v>
          </cell>
          <cell r="Z705">
            <v>800</v>
          </cell>
          <cell r="AA705">
            <v>0.78600000000000003</v>
          </cell>
          <cell r="AB705">
            <v>48.3</v>
          </cell>
          <cell r="AC705" t="str">
            <v xml:space="preserve">01/09/2023 -     </v>
          </cell>
          <cell r="AD705" t="str">
            <v>30.09.2023</v>
          </cell>
          <cell r="AE705" t="str">
            <v>30/1.0000</v>
          </cell>
          <cell r="AF705">
            <v>1000</v>
          </cell>
          <cell r="AG705" t="str">
            <v>KVA</v>
          </cell>
          <cell r="AH705">
            <v>1000</v>
          </cell>
          <cell r="AI705" t="str">
            <v>R</v>
          </cell>
          <cell r="AJ705">
            <v>68203760</v>
          </cell>
          <cell r="AK705" t="str">
            <v>30/09/2023</v>
          </cell>
          <cell r="AL705" t="str">
            <v>TPN64751</v>
          </cell>
          <cell r="AM705" t="str">
            <v>THREE PHASE HT CT METER-33KV</v>
          </cell>
          <cell r="AN705" t="str">
            <v>POST PAID</v>
          </cell>
          <cell r="AO705">
            <v>25000</v>
          </cell>
          <cell r="AP705" t="str">
            <v>TOD</v>
          </cell>
          <cell r="AQ705">
            <v>0</v>
          </cell>
          <cell r="AR705">
            <v>0</v>
          </cell>
          <cell r="AS705">
            <v>0</v>
          </cell>
          <cell r="AT705">
            <v>0</v>
          </cell>
          <cell r="AU705">
            <v>0</v>
          </cell>
          <cell r="AV705">
            <v>0</v>
          </cell>
          <cell r="AW705">
            <v>40941</v>
          </cell>
          <cell r="AX705">
            <v>52083</v>
          </cell>
          <cell r="AY705">
            <v>52083</v>
          </cell>
          <cell r="AZ705">
            <v>1859.04</v>
          </cell>
          <cell r="BA705">
            <v>149.76</v>
          </cell>
        </row>
        <row r="706">
          <cell r="F706">
            <v>622000000210</v>
          </cell>
          <cell r="G706" t="str">
            <v>M/S JSW STEEL LTD</v>
          </cell>
          <cell r="H706" t="str">
            <v xml:space="preserve"> </v>
          </cell>
          <cell r="I706" t="str">
            <v>09/26/2022 00:00:00</v>
          </cell>
          <cell r="J706">
            <v>1</v>
          </cell>
          <cell r="K706" t="str">
            <v>AT-JAJANG</v>
          </cell>
          <cell r="L706" t="str">
            <v>JURUDI</v>
          </cell>
          <cell r="M706" t="str">
            <v>622000010231494044</v>
          </cell>
          <cell r="N706" t="str">
            <v>132200096325</v>
          </cell>
          <cell r="O706" t="str">
            <v xml:space="preserve"> </v>
          </cell>
          <cell r="P706" t="str">
            <v>462212201</v>
          </cell>
          <cell r="Q706" t="str">
            <v>BULK SUPPLY DOMESTIC</v>
          </cell>
          <cell r="R706" t="str">
            <v>HT</v>
          </cell>
          <cell r="S706" t="str">
            <v>01/10/2023</v>
          </cell>
          <cell r="T706" t="str">
            <v>01/10/2023</v>
          </cell>
          <cell r="U706" t="str">
            <v>09/10/2023</v>
          </cell>
          <cell r="V706" t="str">
            <v>09/10/2023</v>
          </cell>
          <cell r="W706" t="str">
            <v>2023/09</v>
          </cell>
          <cell r="X706" t="str">
            <v>11 KV</v>
          </cell>
          <cell r="Y706" t="str">
            <v>HT</v>
          </cell>
          <cell r="Z706">
            <v>200</v>
          </cell>
          <cell r="AA706">
            <v>0.99719999999999998</v>
          </cell>
          <cell r="AB706">
            <v>0</v>
          </cell>
          <cell r="AC706" t="str">
            <v xml:space="preserve">01/09/2023 -     </v>
          </cell>
          <cell r="AD706" t="str">
            <v>30.09.2023</v>
          </cell>
          <cell r="AE706" t="str">
            <v>30/1.0000</v>
          </cell>
          <cell r="AF706">
            <v>200</v>
          </cell>
          <cell r="AG706" t="str">
            <v>KVA</v>
          </cell>
          <cell r="AH706">
            <v>200</v>
          </cell>
          <cell r="AI706" t="str">
            <v>R</v>
          </cell>
          <cell r="AJ706">
            <v>246464</v>
          </cell>
          <cell r="AK706" t="str">
            <v>30/09/2023</v>
          </cell>
          <cell r="AL706" t="str">
            <v>NCS94564</v>
          </cell>
          <cell r="AM706" t="str">
            <v>HT THREE PHASE 4 WIRE AMR/AMI COMPLAINT METER</v>
          </cell>
          <cell r="AN706" t="str">
            <v>POST PAID</v>
          </cell>
          <cell r="AO706">
            <v>250</v>
          </cell>
          <cell r="AP706" t="str">
            <v>TOD</v>
          </cell>
          <cell r="AQ706">
            <v>0</v>
          </cell>
          <cell r="AR706">
            <v>0</v>
          </cell>
          <cell r="AS706">
            <v>0</v>
          </cell>
          <cell r="AT706">
            <v>0</v>
          </cell>
          <cell r="AU706">
            <v>0</v>
          </cell>
          <cell r="AV706">
            <v>0</v>
          </cell>
          <cell r="AW706">
            <v>45150</v>
          </cell>
          <cell r="AX706">
            <v>45273</v>
          </cell>
          <cell r="AY706">
            <v>45273</v>
          </cell>
          <cell r="AZ706">
            <v>1349.28</v>
          </cell>
          <cell r="BA706">
            <v>122.88000000000001</v>
          </cell>
        </row>
        <row r="707">
          <cell r="F707">
            <v>622000000211</v>
          </cell>
          <cell r="G707" t="str">
            <v>M/s MEGALIFT IRRIGATION PROJECT</v>
          </cell>
          <cell r="H707" t="str">
            <v>At- Naradpur</v>
          </cell>
          <cell r="I707" t="str">
            <v>01/11/2023 00:00:00</v>
          </cell>
          <cell r="J707">
            <v>1</v>
          </cell>
          <cell r="K707" t="str">
            <v>Naradpur</v>
          </cell>
          <cell r="L707" t="str">
            <v>Naradpur</v>
          </cell>
          <cell r="M707" t="str">
            <v>622000010231493374</v>
          </cell>
          <cell r="N707" t="str">
            <v>132321221985</v>
          </cell>
          <cell r="O707" t="str">
            <v>NA</v>
          </cell>
          <cell r="P707" t="str">
            <v>NULL</v>
          </cell>
          <cell r="Q707" t="str">
            <v>MEGA LIFT</v>
          </cell>
          <cell r="R707" t="str">
            <v>HT</v>
          </cell>
          <cell r="S707" t="str">
            <v>01/10/2023</v>
          </cell>
          <cell r="T707" t="str">
            <v>01/10/2023</v>
          </cell>
          <cell r="U707" t="str">
            <v>06/10/2023</v>
          </cell>
          <cell r="V707" t="str">
            <v>09/10/2023</v>
          </cell>
          <cell r="W707" t="str">
            <v>2023/09</v>
          </cell>
          <cell r="X707" t="str">
            <v>33 KV</v>
          </cell>
          <cell r="Y707" t="str">
            <v>HT</v>
          </cell>
          <cell r="Z707">
            <v>5616.8</v>
          </cell>
          <cell r="AA707">
            <v>1</v>
          </cell>
          <cell r="AB707">
            <v>34.03</v>
          </cell>
          <cell r="AC707" t="str">
            <v xml:space="preserve">01/09/2023 -     </v>
          </cell>
          <cell r="AD707" t="str">
            <v>30.09.2023</v>
          </cell>
          <cell r="AE707" t="str">
            <v>30/1.0000</v>
          </cell>
          <cell r="AF707">
            <v>7021</v>
          </cell>
          <cell r="AG707" t="str">
            <v>KVA</v>
          </cell>
          <cell r="AH707">
            <v>7021</v>
          </cell>
          <cell r="AI707" t="str">
            <v>R</v>
          </cell>
          <cell r="AJ707">
            <v>11677328</v>
          </cell>
          <cell r="AK707" t="str">
            <v>30/09/2023</v>
          </cell>
          <cell r="AL707" t="str">
            <v>TPN64716</v>
          </cell>
          <cell r="AM707" t="str">
            <v>THREE PHASE HT CT METER-33KV</v>
          </cell>
          <cell r="AN707" t="str">
            <v>POST PAID</v>
          </cell>
          <cell r="AO707">
            <v>12600</v>
          </cell>
          <cell r="AP707" t="str">
            <v>TOD</v>
          </cell>
          <cell r="AQ707">
            <v>0</v>
          </cell>
          <cell r="AR707">
            <v>0</v>
          </cell>
          <cell r="AS707">
            <v>0</v>
          </cell>
          <cell r="AT707">
            <v>0</v>
          </cell>
          <cell r="AU707">
            <v>0</v>
          </cell>
          <cell r="AV707">
            <v>0</v>
          </cell>
          <cell r="AW707">
            <v>5880</v>
          </cell>
          <cell r="AX707">
            <v>5880</v>
          </cell>
          <cell r="AY707">
            <v>5880</v>
          </cell>
          <cell r="AZ707">
            <v>5707.2</v>
          </cell>
          <cell r="BA707">
            <v>24</v>
          </cell>
        </row>
        <row r="708">
          <cell r="F708">
            <v>622000000215</v>
          </cell>
          <cell r="G708" t="str">
            <v>M/S. MAA BHUBANESWARI STONE CRUSHING WORKS</v>
          </cell>
          <cell r="H708" t="str">
            <v>PLOT NO 1044, 1045, 1048, 1118</v>
          </cell>
          <cell r="I708" t="str">
            <v>01/30/2023 00:00:00</v>
          </cell>
          <cell r="J708">
            <v>1</v>
          </cell>
          <cell r="K708" t="str">
            <v>LAXMIPOSI</v>
          </cell>
          <cell r="L708" t="str">
            <v>LAXMIPOSI KARANJIA</v>
          </cell>
          <cell r="M708" t="str">
            <v>622000010231493758</v>
          </cell>
          <cell r="N708" t="str">
            <v>132321225658</v>
          </cell>
          <cell r="O708" t="str">
            <v xml:space="preserve"> </v>
          </cell>
          <cell r="P708" t="str">
            <v>NULL</v>
          </cell>
          <cell r="Q708" t="str">
            <v>LARGE INDUSTRY</v>
          </cell>
          <cell r="R708" t="str">
            <v>HT</v>
          </cell>
          <cell r="S708" t="str">
            <v>01/10/2023</v>
          </cell>
          <cell r="T708" t="str">
            <v>01/10/2023</v>
          </cell>
          <cell r="U708" t="str">
            <v>06/10/2023</v>
          </cell>
          <cell r="V708" t="str">
            <v>09/10/2023</v>
          </cell>
          <cell r="W708" t="str">
            <v>2023/09</v>
          </cell>
          <cell r="X708" t="str">
            <v>11 KV</v>
          </cell>
          <cell r="Y708" t="str">
            <v>HT</v>
          </cell>
          <cell r="Z708">
            <v>160</v>
          </cell>
          <cell r="AA708">
            <v>0.86960000000000004</v>
          </cell>
          <cell r="AB708">
            <v>3.05</v>
          </cell>
          <cell r="AC708" t="str">
            <v xml:space="preserve">01/09/2023 -     </v>
          </cell>
          <cell r="AD708" t="str">
            <v>30.09.2023</v>
          </cell>
          <cell r="AE708" t="str">
            <v>30/1.0000</v>
          </cell>
          <cell r="AF708">
            <v>200</v>
          </cell>
          <cell r="AG708" t="str">
            <v>KVA</v>
          </cell>
          <cell r="AH708">
            <v>200</v>
          </cell>
          <cell r="AI708" t="str">
            <v>R</v>
          </cell>
          <cell r="AJ708">
            <v>1227680</v>
          </cell>
          <cell r="AK708" t="str">
            <v>30/09/2023</v>
          </cell>
          <cell r="AL708" t="str">
            <v>TPN64717</v>
          </cell>
          <cell r="AM708" t="str">
            <v>HT THREE PHASE 4 WIRE AMR/AMI COMPLAINT METER</v>
          </cell>
          <cell r="AN708" t="str">
            <v>POST PAID</v>
          </cell>
          <cell r="AO708">
            <v>250</v>
          </cell>
          <cell r="AP708" t="str">
            <v>TOD</v>
          </cell>
          <cell r="AQ708">
            <v>0</v>
          </cell>
          <cell r="AR708">
            <v>0</v>
          </cell>
          <cell r="AS708">
            <v>0</v>
          </cell>
          <cell r="AT708">
            <v>0</v>
          </cell>
          <cell r="AU708">
            <v>0</v>
          </cell>
          <cell r="AV708">
            <v>0</v>
          </cell>
          <cell r="AW708">
            <v>1181</v>
          </cell>
          <cell r="AX708">
            <v>1358</v>
          </cell>
          <cell r="AY708">
            <v>1358</v>
          </cell>
          <cell r="AZ708">
            <v>442.32</v>
          </cell>
          <cell r="BA708">
            <v>61.92</v>
          </cell>
        </row>
        <row r="709">
          <cell r="F709">
            <v>622000000216</v>
          </cell>
          <cell r="G709" t="str">
            <v>M/S. SRI GANESH SPONGE IRON PRIVATE LIMITED</v>
          </cell>
          <cell r="H709" t="str">
            <v>PLOT NO 643</v>
          </cell>
          <cell r="I709" t="str">
            <v>03/23/2023 00:00:00</v>
          </cell>
          <cell r="J709">
            <v>1</v>
          </cell>
          <cell r="K709" t="str">
            <v>KATALPOSI</v>
          </cell>
          <cell r="L709" t="str">
            <v>KUTUGAON</v>
          </cell>
          <cell r="M709" t="str">
            <v>622000010231493321</v>
          </cell>
          <cell r="N709" t="str">
            <v>132327738532</v>
          </cell>
          <cell r="O709" t="str">
            <v xml:space="preserve"> </v>
          </cell>
          <cell r="P709" t="str">
            <v>NULL</v>
          </cell>
          <cell r="Q709" t="str">
            <v>LARGE INDUSTRY</v>
          </cell>
          <cell r="R709" t="str">
            <v>HT</v>
          </cell>
          <cell r="S709" t="str">
            <v>01/10/2023</v>
          </cell>
          <cell r="T709" t="str">
            <v>01/10/2023</v>
          </cell>
          <cell r="U709" t="str">
            <v>06/10/2023</v>
          </cell>
          <cell r="V709" t="str">
            <v>09/10/2023</v>
          </cell>
          <cell r="W709" t="str">
            <v>2023/09</v>
          </cell>
          <cell r="X709" t="str">
            <v>11 KV</v>
          </cell>
          <cell r="Y709" t="str">
            <v>HT</v>
          </cell>
          <cell r="Z709">
            <v>784</v>
          </cell>
          <cell r="AA709">
            <v>0.99629999999999996</v>
          </cell>
          <cell r="AB709">
            <v>61.47</v>
          </cell>
          <cell r="AC709" t="str">
            <v xml:space="preserve">28/08/2023 -     </v>
          </cell>
          <cell r="AD709" t="str">
            <v>29.09.2023</v>
          </cell>
          <cell r="AE709" t="str">
            <v>33/1.0000</v>
          </cell>
          <cell r="AF709">
            <v>980</v>
          </cell>
          <cell r="AG709" t="str">
            <v>KVA</v>
          </cell>
          <cell r="AH709">
            <v>980</v>
          </cell>
          <cell r="AI709" t="str">
            <v>R</v>
          </cell>
          <cell r="AJ709">
            <v>6015632.2375999996</v>
          </cell>
          <cell r="AK709" t="str">
            <v>29/09/2023</v>
          </cell>
          <cell r="AL709" t="str">
            <v>TPN64310</v>
          </cell>
          <cell r="AM709" t="str">
            <v>HT THREE PHASE 4 WIRE AMR/AMI COMPLAINT METER</v>
          </cell>
          <cell r="AN709" t="str">
            <v>POST PAID</v>
          </cell>
          <cell r="AO709">
            <v>2000</v>
          </cell>
          <cell r="AP709" t="str">
            <v>TOD</v>
          </cell>
          <cell r="AQ709">
            <v>0</v>
          </cell>
          <cell r="AR709">
            <v>0</v>
          </cell>
          <cell r="AS709">
            <v>0</v>
          </cell>
          <cell r="AT709">
            <v>0</v>
          </cell>
          <cell r="AU709">
            <v>0</v>
          </cell>
          <cell r="AV709">
            <v>0</v>
          </cell>
          <cell r="AW709">
            <v>274350</v>
          </cell>
          <cell r="AX709">
            <v>275350</v>
          </cell>
          <cell r="AY709">
            <v>275350</v>
          </cell>
          <cell r="AZ709">
            <v>3832</v>
          </cell>
          <cell r="BA709">
            <v>565.6</v>
          </cell>
        </row>
        <row r="710">
          <cell r="F710">
            <v>622000000217</v>
          </cell>
          <cell r="G710" t="str">
            <v>M/S NAARAAYANI MINERALS PVT. LTD</v>
          </cell>
          <cell r="H710" t="str">
            <v>AT- KHATORE BAGAN</v>
          </cell>
          <cell r="I710" t="str">
            <v>10/18/2021 00:00:00</v>
          </cell>
          <cell r="J710">
            <v>1</v>
          </cell>
          <cell r="K710" t="str">
            <v>BASTI ROAD</v>
          </cell>
          <cell r="L710" t="str">
            <v>PO-BARBIL</v>
          </cell>
          <cell r="M710" t="str">
            <v>622000010232495766</v>
          </cell>
          <cell r="N710" t="str">
            <v>132100011069</v>
          </cell>
          <cell r="O710" t="str">
            <v>BBL691COM</v>
          </cell>
          <cell r="P710" t="str">
            <v>NULL</v>
          </cell>
          <cell r="Q710" t="str">
            <v>LARGE INDUSTRY</v>
          </cell>
          <cell r="R710" t="str">
            <v>HT</v>
          </cell>
          <cell r="S710" t="str">
            <v>01/10/2023</v>
          </cell>
          <cell r="T710" t="str">
            <v>01/10/2023</v>
          </cell>
          <cell r="U710" t="str">
            <v>06/10/2023</v>
          </cell>
          <cell r="V710" t="str">
            <v>09/10/2023</v>
          </cell>
          <cell r="W710" t="str">
            <v>2023/09</v>
          </cell>
          <cell r="X710" t="str">
            <v>11 KV</v>
          </cell>
          <cell r="Y710" t="str">
            <v>HT</v>
          </cell>
          <cell r="Z710">
            <v>96</v>
          </cell>
          <cell r="AA710">
            <v>0.98360000000000003</v>
          </cell>
          <cell r="AB710">
            <v>39.869999999999997</v>
          </cell>
          <cell r="AC710" t="str">
            <v xml:space="preserve">01/09/2023 -     </v>
          </cell>
          <cell r="AD710" t="str">
            <v>30.09.2023</v>
          </cell>
          <cell r="AE710" t="str">
            <v>30/1.0000</v>
          </cell>
          <cell r="AF710">
            <v>120</v>
          </cell>
          <cell r="AG710" t="str">
            <v>KVA</v>
          </cell>
          <cell r="AH710">
            <v>120</v>
          </cell>
          <cell r="AI710" t="str">
            <v>R</v>
          </cell>
          <cell r="AJ710">
            <v>736608.26679999998</v>
          </cell>
          <cell r="AK710" t="str">
            <v>30/09/2023</v>
          </cell>
          <cell r="AL710" t="str">
            <v>TPNODL38111563</v>
          </cell>
          <cell r="AM710" t="str">
            <v>THREE PHASE SMART HT CT METER (AMR/AMI)-11KV</v>
          </cell>
          <cell r="AN710" t="str">
            <v>BI DIRECTIONAL</v>
          </cell>
          <cell r="AO710">
            <v>160</v>
          </cell>
          <cell r="AP710" t="str">
            <v>TOD</v>
          </cell>
          <cell r="AQ710">
            <v>-18125.400000000001</v>
          </cell>
          <cell r="AR710">
            <v>0</v>
          </cell>
          <cell r="AS710">
            <v>0</v>
          </cell>
          <cell r="AT710">
            <v>0</v>
          </cell>
          <cell r="AU710">
            <v>0</v>
          </cell>
          <cell r="AV710">
            <v>0</v>
          </cell>
          <cell r="AW710">
            <v>8901</v>
          </cell>
          <cell r="AX710">
            <v>9049</v>
          </cell>
          <cell r="AY710">
            <v>8842</v>
          </cell>
          <cell r="AZ710">
            <v>7.6989999999999998</v>
          </cell>
          <cell r="BA710">
            <v>30.795999999999999</v>
          </cell>
        </row>
        <row r="711">
          <cell r="F711">
            <v>622000000218</v>
          </cell>
          <cell r="G711" t="str">
            <v>M/S. KEC INTERNATIONAL LIMITED</v>
          </cell>
          <cell r="H711" t="str">
            <v xml:space="preserve">KHATA NO. 1078 1079/1636 </v>
          </cell>
          <cell r="I711" t="str">
            <v>04/27/2023 00:00:00</v>
          </cell>
          <cell r="J711">
            <v>1</v>
          </cell>
          <cell r="K711" t="str">
            <v>BANEIKALA</v>
          </cell>
          <cell r="L711" t="str">
            <v>JODA</v>
          </cell>
          <cell r="M711" t="str">
            <v>622000010231493817</v>
          </cell>
          <cell r="N711" t="str">
            <v>132328048684</v>
          </cell>
          <cell r="O711" t="str">
            <v xml:space="preserve"> </v>
          </cell>
          <cell r="P711" t="str">
            <v>NULL</v>
          </cell>
          <cell r="Q711" t="str">
            <v>LARGE INDUSTRY</v>
          </cell>
          <cell r="R711" t="str">
            <v>HT</v>
          </cell>
          <cell r="S711" t="str">
            <v>01/10/2023</v>
          </cell>
          <cell r="T711" t="str">
            <v>01/10/2023</v>
          </cell>
          <cell r="U711" t="str">
            <v>06/10/2023</v>
          </cell>
          <cell r="V711" t="str">
            <v>09/10/2023</v>
          </cell>
          <cell r="W711" t="str">
            <v>2023/09</v>
          </cell>
          <cell r="X711" t="str">
            <v>11 KV</v>
          </cell>
          <cell r="Y711" t="str">
            <v>HT</v>
          </cell>
          <cell r="Z711">
            <v>115.2</v>
          </cell>
          <cell r="AA711">
            <v>0.60560000000000003</v>
          </cell>
          <cell r="AB711">
            <v>18</v>
          </cell>
          <cell r="AC711" t="str">
            <v xml:space="preserve">01/09/2023 -     </v>
          </cell>
          <cell r="AD711" t="str">
            <v>30.09.2023</v>
          </cell>
          <cell r="AE711" t="str">
            <v>30/1.0000</v>
          </cell>
          <cell r="AF711">
            <v>144</v>
          </cell>
          <cell r="AG711" t="str">
            <v>KVA</v>
          </cell>
          <cell r="AH711">
            <v>144</v>
          </cell>
          <cell r="AI711" t="str">
            <v>R</v>
          </cell>
          <cell r="AJ711">
            <v>886657.78</v>
          </cell>
          <cell r="AK711" t="str">
            <v>30/09/2023</v>
          </cell>
          <cell r="AL711" t="str">
            <v>TPNODL38111561</v>
          </cell>
          <cell r="AM711" t="str">
            <v>THREE PHASE SMART HT CT METER (AMR/AMI)-11KV</v>
          </cell>
          <cell r="AN711" t="str">
            <v>SMART METER</v>
          </cell>
          <cell r="AO711">
            <v>200</v>
          </cell>
          <cell r="AP711" t="str">
            <v>TOD</v>
          </cell>
          <cell r="AQ711">
            <v>0</v>
          </cell>
          <cell r="AR711">
            <v>0</v>
          </cell>
          <cell r="AS711">
            <v>0</v>
          </cell>
          <cell r="AT711">
            <v>0</v>
          </cell>
          <cell r="AU711">
            <v>0</v>
          </cell>
          <cell r="AV711">
            <v>0</v>
          </cell>
          <cell r="AW711">
            <v>6113</v>
          </cell>
          <cell r="AX711">
            <v>10094</v>
          </cell>
          <cell r="AY711">
            <v>10094</v>
          </cell>
          <cell r="AZ711">
            <v>472.86840000000001</v>
          </cell>
          <cell r="BA711">
            <v>77.896000000000001</v>
          </cell>
        </row>
        <row r="712">
          <cell r="F712">
            <v>622000000219</v>
          </cell>
          <cell r="G712" t="str">
            <v>M/S RUNGTA MINES LTD.</v>
          </cell>
          <cell r="H712" t="str">
            <v xml:space="preserve">AT/PO-KARAKOLHA                    </v>
          </cell>
          <cell r="I712" t="str">
            <v>01/25/2021 00:00:00</v>
          </cell>
          <cell r="J712">
            <v>1</v>
          </cell>
          <cell r="K712" t="str">
            <v xml:space="preserve">BARBIL                             </v>
          </cell>
          <cell r="L712" t="str">
            <v xml:space="preserve"> </v>
          </cell>
          <cell r="M712" t="str">
            <v>622000010231495126</v>
          </cell>
          <cell r="N712" t="str">
            <v>36223010431</v>
          </cell>
          <cell r="O712" t="str">
            <v>BBL673COM</v>
          </cell>
          <cell r="P712" t="str">
            <v>NULL</v>
          </cell>
          <cell r="Q712" t="str">
            <v>BULK SUPPLY DOMESTIC</v>
          </cell>
          <cell r="R712" t="str">
            <v>HT</v>
          </cell>
          <cell r="S712" t="str">
            <v>01/10/2023</v>
          </cell>
          <cell r="T712" t="str">
            <v>01/10/2023</v>
          </cell>
          <cell r="U712" t="str">
            <v>09/10/2023</v>
          </cell>
          <cell r="V712" t="str">
            <v>09/10/2023</v>
          </cell>
          <cell r="W712" t="str">
            <v>2023/09</v>
          </cell>
          <cell r="X712" t="str">
            <v>11 KV</v>
          </cell>
          <cell r="Y712" t="str">
            <v>HT</v>
          </cell>
          <cell r="Z712">
            <v>333</v>
          </cell>
          <cell r="AA712">
            <v>0.97340000000000004</v>
          </cell>
          <cell r="AB712">
            <v>0</v>
          </cell>
          <cell r="AC712" t="str">
            <v xml:space="preserve">01/09/2023 -     </v>
          </cell>
          <cell r="AD712" t="str">
            <v>30.09.2023</v>
          </cell>
          <cell r="AE712" t="str">
            <v>30/1.0000</v>
          </cell>
          <cell r="AF712">
            <v>333</v>
          </cell>
          <cell r="AG712" t="str">
            <v>KVA</v>
          </cell>
          <cell r="AH712">
            <v>333</v>
          </cell>
          <cell r="AI712" t="str">
            <v>R</v>
          </cell>
          <cell r="AJ712">
            <v>248533.34</v>
          </cell>
          <cell r="AK712" t="str">
            <v>30/09/2023</v>
          </cell>
          <cell r="AL712" t="str">
            <v>TPNODL38111562</v>
          </cell>
          <cell r="AM712" t="str">
            <v>THREE PHASE SMART HT CT METER (AMR/AMI)-11KV</v>
          </cell>
          <cell r="AN712" t="str">
            <v>SMART METER</v>
          </cell>
          <cell r="AO712">
            <v>500</v>
          </cell>
          <cell r="AP712" t="str">
            <v>TOD</v>
          </cell>
          <cell r="AQ712">
            <v>-96956</v>
          </cell>
          <cell r="AR712">
            <v>0</v>
          </cell>
          <cell r="AS712">
            <v>0</v>
          </cell>
          <cell r="AT712">
            <v>0</v>
          </cell>
          <cell r="AU712">
            <v>0</v>
          </cell>
          <cell r="AV712">
            <v>0</v>
          </cell>
          <cell r="AW712">
            <v>8259</v>
          </cell>
          <cell r="AX712">
            <v>8484</v>
          </cell>
          <cell r="AY712">
            <v>8484</v>
          </cell>
          <cell r="AZ712">
            <v>3.5680000000000001</v>
          </cell>
          <cell r="BA712">
            <v>21.408000000000001</v>
          </cell>
        </row>
        <row r="713">
          <cell r="F713">
            <v>622000000220</v>
          </cell>
          <cell r="G713" t="str">
            <v>Executive Engineer, RWSS Division , Keonjhar</v>
          </cell>
          <cell r="H713" t="str">
            <v>eerwss22keonjhar@gmail.com</v>
          </cell>
          <cell r="I713" t="str">
            <v>06/23/2023 00:00:00</v>
          </cell>
          <cell r="J713">
            <v>1</v>
          </cell>
          <cell r="K713" t="str">
            <v>Kodagadia</v>
          </cell>
          <cell r="L713" t="str">
            <v>Keonjhar</v>
          </cell>
          <cell r="M713" t="str">
            <v>622000010231493709</v>
          </cell>
          <cell r="N713" t="str">
            <v>132328665519</v>
          </cell>
          <cell r="O713" t="str">
            <v xml:space="preserve"> </v>
          </cell>
          <cell r="P713" t="str">
            <v>NULL</v>
          </cell>
          <cell r="Q713" t="str">
            <v>PUBLIC WATER WORKS &amp; SEWERAGE PUMPING</v>
          </cell>
          <cell r="R713" t="str">
            <v>HT</v>
          </cell>
          <cell r="S713" t="str">
            <v>01/10/2023</v>
          </cell>
          <cell r="T713" t="str">
            <v>01/10/2023</v>
          </cell>
          <cell r="U713" t="str">
            <v>09/10/2023</v>
          </cell>
          <cell r="V713" t="str">
            <v>09/10/2023</v>
          </cell>
          <cell r="W713" t="str">
            <v>2023/09</v>
          </cell>
          <cell r="X713" t="str">
            <v>33 KV</v>
          </cell>
          <cell r="Y713" t="str">
            <v>HT</v>
          </cell>
          <cell r="Z713">
            <v>760</v>
          </cell>
          <cell r="AA713">
            <v>0.95309999999999995</v>
          </cell>
          <cell r="AB713">
            <v>18.12</v>
          </cell>
          <cell r="AC713" t="str">
            <v xml:space="preserve">01/09/2023 -     </v>
          </cell>
          <cell r="AD713" t="str">
            <v>30.09.2023</v>
          </cell>
          <cell r="AE713" t="str">
            <v>30/1.0000</v>
          </cell>
          <cell r="AF713">
            <v>950</v>
          </cell>
          <cell r="AG713" t="str">
            <v>KVA</v>
          </cell>
          <cell r="AH713">
            <v>950</v>
          </cell>
          <cell r="AI713" t="str">
            <v>R</v>
          </cell>
          <cell r="AJ713">
            <v>4381400</v>
          </cell>
          <cell r="AK713" t="str">
            <v>30/09/2023</v>
          </cell>
          <cell r="AL713" t="str">
            <v>TPN64735</v>
          </cell>
          <cell r="AM713" t="str">
            <v>THREE PHASE HT CT METER-33KV</v>
          </cell>
          <cell r="AN713" t="str">
            <v>POST PAID</v>
          </cell>
          <cell r="AO713">
            <v>1250</v>
          </cell>
          <cell r="AP713" t="str">
            <v>TOD</v>
          </cell>
          <cell r="AQ713">
            <v>0</v>
          </cell>
          <cell r="AR713">
            <v>0</v>
          </cell>
          <cell r="AS713">
            <v>0</v>
          </cell>
          <cell r="AT713">
            <v>0</v>
          </cell>
          <cell r="AU713">
            <v>0</v>
          </cell>
          <cell r="AV713">
            <v>0</v>
          </cell>
          <cell r="AW713">
            <v>38568</v>
          </cell>
          <cell r="AX713">
            <v>40464</v>
          </cell>
          <cell r="AY713">
            <v>40464</v>
          </cell>
          <cell r="AZ713">
            <v>1114.08</v>
          </cell>
          <cell r="BA713">
            <v>310.08000000000004</v>
          </cell>
        </row>
        <row r="714">
          <cell r="F714">
            <v>622000000221</v>
          </cell>
          <cell r="G714" t="str">
            <v>Executive Engineer RWSS Division, Keonjhar</v>
          </cell>
          <cell r="H714" t="str">
            <v xml:space="preserve"> </v>
          </cell>
          <cell r="I714" t="str">
            <v>06/23/2023 00:00:00</v>
          </cell>
          <cell r="J714">
            <v>1</v>
          </cell>
          <cell r="K714" t="str">
            <v>Mirgisingha</v>
          </cell>
          <cell r="L714" t="str">
            <v>Keonjhar</v>
          </cell>
          <cell r="M714" t="str">
            <v>622000010231493802</v>
          </cell>
          <cell r="N714" t="str">
            <v>132328665530</v>
          </cell>
          <cell r="O714" t="str">
            <v xml:space="preserve"> </v>
          </cell>
          <cell r="P714" t="str">
            <v>NULL</v>
          </cell>
          <cell r="Q714" t="str">
            <v>PUBLIC WATER WORKS &amp; SEWERAGE PUMPING</v>
          </cell>
          <cell r="R714" t="str">
            <v>HT</v>
          </cell>
          <cell r="S714" t="str">
            <v>01/10/2023</v>
          </cell>
          <cell r="T714" t="str">
            <v>01/10/2023</v>
          </cell>
          <cell r="U714" t="str">
            <v>09/10/2023</v>
          </cell>
          <cell r="V714" t="str">
            <v>09/10/2023</v>
          </cell>
          <cell r="W714" t="str">
            <v>2023/09</v>
          </cell>
          <cell r="X714" t="str">
            <v>33 KV</v>
          </cell>
          <cell r="Y714" t="str">
            <v>HT</v>
          </cell>
          <cell r="Z714">
            <v>344</v>
          </cell>
          <cell r="AA714">
            <v>0.99260000000000004</v>
          </cell>
          <cell r="AB714">
            <v>18.16</v>
          </cell>
          <cell r="AC714" t="str">
            <v xml:space="preserve">01/09/2023 -     </v>
          </cell>
          <cell r="AD714" t="str">
            <v>30.09.2023</v>
          </cell>
          <cell r="AE714" t="str">
            <v>30/1.0000</v>
          </cell>
          <cell r="AF714">
            <v>430</v>
          </cell>
          <cell r="AG714" t="str">
            <v>KVA</v>
          </cell>
          <cell r="AH714">
            <v>430</v>
          </cell>
          <cell r="AI714" t="str">
            <v>R</v>
          </cell>
          <cell r="AJ714">
            <v>1983160</v>
          </cell>
          <cell r="AK714" t="str">
            <v>30/09/2023</v>
          </cell>
          <cell r="AL714" t="str">
            <v>TPN64492</v>
          </cell>
          <cell r="AM714" t="str">
            <v>THREE PHASE HT CT METER-33KV</v>
          </cell>
          <cell r="AN714" t="str">
            <v>POST PAID</v>
          </cell>
          <cell r="AO714">
            <v>630</v>
          </cell>
          <cell r="AP714" t="str">
            <v>TOD</v>
          </cell>
          <cell r="AQ714">
            <v>0</v>
          </cell>
          <cell r="AR714">
            <v>0</v>
          </cell>
          <cell r="AS714">
            <v>0</v>
          </cell>
          <cell r="AT714">
            <v>0</v>
          </cell>
          <cell r="AU714">
            <v>0</v>
          </cell>
          <cell r="AV714">
            <v>0</v>
          </cell>
          <cell r="AW714">
            <v>19122</v>
          </cell>
          <cell r="AX714">
            <v>19263</v>
          </cell>
          <cell r="AY714">
            <v>19263</v>
          </cell>
          <cell r="AZ714">
            <v>646.55999999999995</v>
          </cell>
          <cell r="BA714">
            <v>147.36000000000001</v>
          </cell>
        </row>
        <row r="715">
          <cell r="F715">
            <v>622000000222</v>
          </cell>
          <cell r="G715" t="str">
            <v>M/S NARBHERAM POWER &amp; STEEL PVT.LTD</v>
          </cell>
          <cell r="H715" t="str">
            <v xml:space="preserve">AT-ROIDA-II IRON ORE MINES         </v>
          </cell>
          <cell r="I715" t="str">
            <v>01/25/2021 00:00:00</v>
          </cell>
          <cell r="J715">
            <v>1</v>
          </cell>
          <cell r="K715" t="str">
            <v xml:space="preserve">PO-BHADRASAHI                            </v>
          </cell>
          <cell r="L715" t="str">
            <v>DIST-KEONJHAR</v>
          </cell>
          <cell r="M715" t="str">
            <v>622000010231495137</v>
          </cell>
          <cell r="N715" t="str">
            <v>36133014404</v>
          </cell>
          <cell r="O715" t="str">
            <v xml:space="preserve"> </v>
          </cell>
          <cell r="P715" t="str">
            <v>NULL</v>
          </cell>
          <cell r="Q715" t="str">
            <v>LARGE INDUSTRY</v>
          </cell>
          <cell r="R715" t="str">
            <v>HT</v>
          </cell>
          <cell r="S715" t="str">
            <v>01/10/2023</v>
          </cell>
          <cell r="T715" t="str">
            <v>01/10/2023</v>
          </cell>
          <cell r="U715" t="str">
            <v>06/10/2023</v>
          </cell>
          <cell r="V715" t="str">
            <v>09/10/2023</v>
          </cell>
          <cell r="W715" t="str">
            <v>2023/09</v>
          </cell>
          <cell r="X715" t="str">
            <v>11 KV</v>
          </cell>
          <cell r="Y715" t="str">
            <v>HT</v>
          </cell>
          <cell r="Z715">
            <v>760</v>
          </cell>
          <cell r="AA715">
            <v>0.97750000000000004</v>
          </cell>
          <cell r="AB715">
            <v>38.89</v>
          </cell>
          <cell r="AC715" t="str">
            <v xml:space="preserve">01/09/2023 -     </v>
          </cell>
          <cell r="AD715" t="str">
            <v>30.09.2023</v>
          </cell>
          <cell r="AE715" t="str">
            <v>30/1.0000</v>
          </cell>
          <cell r="AF715">
            <v>950</v>
          </cell>
          <cell r="AG715" t="str">
            <v>KVA</v>
          </cell>
          <cell r="AH715">
            <v>950</v>
          </cell>
          <cell r="AI715" t="str">
            <v>R</v>
          </cell>
          <cell r="AJ715">
            <v>5831479.6299999999</v>
          </cell>
          <cell r="AK715" t="str">
            <v>30/09/2023</v>
          </cell>
          <cell r="AL715" t="str">
            <v>TPNODL38111311</v>
          </cell>
          <cell r="AM715" t="str">
            <v>THREE PHASE SMART HT CT METER (AMR/AMI)-11KV</v>
          </cell>
          <cell r="AN715" t="str">
            <v>SMART METER</v>
          </cell>
          <cell r="AO715">
            <v>1250</v>
          </cell>
          <cell r="AP715" t="str">
            <v>TOD</v>
          </cell>
          <cell r="AQ715">
            <v>-16963.03</v>
          </cell>
          <cell r="AR715">
            <v>0</v>
          </cell>
          <cell r="AS715">
            <v>0</v>
          </cell>
          <cell r="AT715">
            <v>0</v>
          </cell>
          <cell r="AU715">
            <v>0</v>
          </cell>
          <cell r="AV715">
            <v>0</v>
          </cell>
          <cell r="AW715">
            <v>78428</v>
          </cell>
          <cell r="AX715">
            <v>80231</v>
          </cell>
          <cell r="AY715">
            <v>80231</v>
          </cell>
          <cell r="AZ715">
            <v>859.66</v>
          </cell>
          <cell r="BA715">
            <v>286.5</v>
          </cell>
        </row>
        <row r="716">
          <cell r="F716">
            <v>622000000223</v>
          </cell>
          <cell r="G716" t="str">
            <v>M/S. ORISSA ENGINEERING WORKS</v>
          </cell>
          <cell r="H716" t="str">
            <v>PLOT NO 93</v>
          </cell>
          <cell r="I716" t="str">
            <v>08/14/2023 00:00:00</v>
          </cell>
          <cell r="J716">
            <v>1</v>
          </cell>
          <cell r="K716" t="str">
            <v>BARBIL</v>
          </cell>
          <cell r="L716" t="str">
            <v>INDUSTRIAL AREA (MATKEMBEDA)</v>
          </cell>
          <cell r="M716" t="str">
            <v>622000010232495771</v>
          </cell>
          <cell r="N716" t="str">
            <v>132328979030</v>
          </cell>
          <cell r="O716" t="str">
            <v xml:space="preserve"> </v>
          </cell>
          <cell r="P716" t="str">
            <v>NULL</v>
          </cell>
          <cell r="Q716" t="str">
            <v>LARGE INDUSTRY</v>
          </cell>
          <cell r="R716" t="str">
            <v>HT</v>
          </cell>
          <cell r="S716" t="str">
            <v>01/10/2023</v>
          </cell>
          <cell r="T716" t="str">
            <v>01/10/2023</v>
          </cell>
          <cell r="U716" t="str">
            <v>06/10/2023</v>
          </cell>
          <cell r="V716" t="str">
            <v>09/10/2023</v>
          </cell>
          <cell r="W716" t="str">
            <v>2023/09</v>
          </cell>
          <cell r="X716" t="str">
            <v>11 KV</v>
          </cell>
          <cell r="Y716" t="str">
            <v>HT</v>
          </cell>
          <cell r="Z716">
            <v>133.6</v>
          </cell>
          <cell r="AA716">
            <v>0.58020000000000005</v>
          </cell>
          <cell r="AB716">
            <v>19.66</v>
          </cell>
          <cell r="AC716" t="str">
            <v xml:space="preserve">01/09/2023 -     </v>
          </cell>
          <cell r="AD716" t="str">
            <v>30.09.2023</v>
          </cell>
          <cell r="AE716" t="str">
            <v>30/1.0000</v>
          </cell>
          <cell r="AF716">
            <v>167</v>
          </cell>
          <cell r="AG716" t="str">
            <v>KVA</v>
          </cell>
          <cell r="AH716">
            <v>167</v>
          </cell>
          <cell r="AI716" t="str">
            <v>R</v>
          </cell>
          <cell r="AJ716">
            <v>1023066.66</v>
          </cell>
          <cell r="AK716" t="str">
            <v>30/09/2023</v>
          </cell>
          <cell r="AL716" t="str">
            <v>TPNODL38111600</v>
          </cell>
          <cell r="AM716" t="str">
            <v>HT THREE PHASE 4 WIRE AMR/AMI COMPLAINT METER</v>
          </cell>
          <cell r="AN716" t="str">
            <v>SMART METER</v>
          </cell>
          <cell r="AO716">
            <v>250</v>
          </cell>
          <cell r="AP716" t="str">
            <v>TOD</v>
          </cell>
          <cell r="AQ716">
            <v>0</v>
          </cell>
          <cell r="AR716">
            <v>0</v>
          </cell>
          <cell r="AS716">
            <v>0</v>
          </cell>
          <cell r="AT716">
            <v>0</v>
          </cell>
          <cell r="AU716">
            <v>0</v>
          </cell>
          <cell r="AV716">
            <v>0</v>
          </cell>
          <cell r="AW716">
            <v>1309</v>
          </cell>
          <cell r="AX716">
            <v>2256</v>
          </cell>
          <cell r="AY716">
            <v>2256</v>
          </cell>
          <cell r="AZ716">
            <v>7.97</v>
          </cell>
          <cell r="BA716">
            <v>15.94</v>
          </cell>
        </row>
        <row r="717">
          <cell r="F717">
            <v>622000000224</v>
          </cell>
          <cell r="G717" t="str">
            <v>M/S.  J.B. FERRO ALLOYS</v>
          </cell>
          <cell r="H717" t="str">
            <v xml:space="preserve">BARBIL-1                           </v>
          </cell>
          <cell r="I717" t="str">
            <v>01/25/2021 00:00:00</v>
          </cell>
          <cell r="J717">
            <v>1</v>
          </cell>
          <cell r="K717" t="str">
            <v xml:space="preserve"> </v>
          </cell>
          <cell r="L717" t="str">
            <v xml:space="preserve"> </v>
          </cell>
          <cell r="M717" t="str">
            <v>622000010232515625</v>
          </cell>
          <cell r="N717" t="str">
            <v>36133000223</v>
          </cell>
          <cell r="O717" t="str">
            <v>MED-77</v>
          </cell>
          <cell r="P717" t="str">
            <v>NULL</v>
          </cell>
          <cell r="Q717" t="str">
            <v>LARGE INDUSTRY</v>
          </cell>
          <cell r="R717" t="str">
            <v>HT</v>
          </cell>
          <cell r="S717" t="str">
            <v>03/10/2023</v>
          </cell>
          <cell r="T717" t="str">
            <v>03/10/2023</v>
          </cell>
          <cell r="U717" t="str">
            <v>06/10/2023</v>
          </cell>
          <cell r="V717" t="str">
            <v>10/10/2023</v>
          </cell>
          <cell r="W717" t="str">
            <v>2023/09</v>
          </cell>
          <cell r="X717" t="str">
            <v>11 KV</v>
          </cell>
          <cell r="Y717" t="str">
            <v>HT</v>
          </cell>
          <cell r="Z717">
            <v>360</v>
          </cell>
          <cell r="AA717">
            <v>0.28549999999999998</v>
          </cell>
          <cell r="AB717">
            <v>51.3</v>
          </cell>
          <cell r="AC717" t="str">
            <v xml:space="preserve">03/09/2023 -     </v>
          </cell>
          <cell r="AD717" t="str">
            <v>30.09.2023</v>
          </cell>
          <cell r="AE717" t="str">
            <v>28/1.0000</v>
          </cell>
          <cell r="AF717">
            <v>450</v>
          </cell>
          <cell r="AG717" t="str">
            <v>KVA</v>
          </cell>
          <cell r="AH717">
            <v>450</v>
          </cell>
          <cell r="AI717" t="str">
            <v>R</v>
          </cell>
          <cell r="AJ717">
            <v>2762280.3892999999</v>
          </cell>
          <cell r="AK717" t="str">
            <v>30/09/2023</v>
          </cell>
          <cell r="AL717" t="str">
            <v>TPNODL38111329</v>
          </cell>
          <cell r="AM717" t="str">
            <v>THREE PHASE SMART HT CT METER (AMR/AMI)-11KV</v>
          </cell>
          <cell r="AN717" t="str">
            <v>SMART METER</v>
          </cell>
          <cell r="AO717">
            <v>565</v>
          </cell>
          <cell r="AP717" t="str">
            <v>TOD</v>
          </cell>
          <cell r="AQ717">
            <v>-63075.76</v>
          </cell>
          <cell r="AR717">
            <v>0</v>
          </cell>
          <cell r="AS717">
            <v>0</v>
          </cell>
          <cell r="AT717">
            <v>0</v>
          </cell>
          <cell r="AU717">
            <v>0</v>
          </cell>
          <cell r="AV717">
            <v>0</v>
          </cell>
          <cell r="AW717">
            <v>3256.44</v>
          </cell>
          <cell r="AX717">
            <v>11403</v>
          </cell>
          <cell r="AY717">
            <v>11403</v>
          </cell>
          <cell r="AZ717">
            <v>5.5129999999999999</v>
          </cell>
          <cell r="BA717">
            <v>33.078000000000003</v>
          </cell>
        </row>
        <row r="718">
          <cell r="F718">
            <v>621000000001</v>
          </cell>
          <cell r="G718" t="str">
            <v>UTKAL MNRL  (PVT) LTD, BANPAR</v>
          </cell>
          <cell r="H718" t="str">
            <v>GHUTURU,</v>
          </cell>
          <cell r="I718" t="str">
            <v>10/31/2020 00:00:00</v>
          </cell>
          <cell r="J718">
            <v>1</v>
          </cell>
          <cell r="K718" t="str">
            <v xml:space="preserve"> </v>
          </cell>
          <cell r="L718" t="str">
            <v xml:space="preserve"> </v>
          </cell>
          <cell r="M718" t="str">
            <v>621000010231493124</v>
          </cell>
          <cell r="N718" t="str">
            <v>6120000001</v>
          </cell>
          <cell r="O718" t="str">
            <v>L-29</v>
          </cell>
          <cell r="P718" t="str">
            <v>462121401</v>
          </cell>
          <cell r="Q718" t="str">
            <v>LARGE INDUSTRY</v>
          </cell>
          <cell r="R718" t="str">
            <v>HT</v>
          </cell>
          <cell r="S718" t="str">
            <v>01/10/2023</v>
          </cell>
          <cell r="T718" t="str">
            <v>01/10/2023</v>
          </cell>
          <cell r="U718" t="str">
            <v>06/10/2023</v>
          </cell>
          <cell r="V718" t="str">
            <v>09/10/2023</v>
          </cell>
          <cell r="W718" t="str">
            <v>2023/09</v>
          </cell>
          <cell r="X718" t="str">
            <v>11 KV</v>
          </cell>
          <cell r="Y718" t="str">
            <v>HT</v>
          </cell>
          <cell r="Z718">
            <v>163.44</v>
          </cell>
          <cell r="AA718">
            <v>0.87450000000000006</v>
          </cell>
          <cell r="AB718">
            <v>10.84</v>
          </cell>
          <cell r="AC718" t="str">
            <v xml:space="preserve">01/09/2023 -     </v>
          </cell>
          <cell r="AD718" t="str">
            <v>30.09.2023</v>
          </cell>
          <cell r="AE718" t="str">
            <v>30/1.0000</v>
          </cell>
          <cell r="AF718">
            <v>170</v>
          </cell>
          <cell r="AG718" t="str">
            <v>KVA</v>
          </cell>
          <cell r="AH718">
            <v>170</v>
          </cell>
          <cell r="AI718" t="str">
            <v>R</v>
          </cell>
          <cell r="AJ718">
            <v>110579.31</v>
          </cell>
          <cell r="AK718" t="str">
            <v>30/09/2023</v>
          </cell>
          <cell r="AL718" t="str">
            <v>TPN64750</v>
          </cell>
          <cell r="AM718" t="str">
            <v>HT THREE PHASE 4 WIRE AMR/AMI COMPLAINT METER</v>
          </cell>
          <cell r="AN718" t="str">
            <v>POST PAID</v>
          </cell>
          <cell r="AO718">
            <v>250</v>
          </cell>
          <cell r="AP718" t="str">
            <v>TOD</v>
          </cell>
          <cell r="AQ718">
            <v>23157.33</v>
          </cell>
          <cell r="AR718">
            <v>0</v>
          </cell>
          <cell r="AS718">
            <v>0</v>
          </cell>
          <cell r="AT718">
            <v>0</v>
          </cell>
          <cell r="AU718">
            <v>0</v>
          </cell>
          <cell r="AV718">
            <v>0</v>
          </cell>
          <cell r="AW718">
            <v>11161</v>
          </cell>
          <cell r="AX718">
            <v>12762</v>
          </cell>
          <cell r="AY718">
            <v>12762</v>
          </cell>
          <cell r="AZ718">
            <v>1124.28</v>
          </cell>
          <cell r="BA718">
            <v>163.44</v>
          </cell>
        </row>
        <row r="719">
          <cell r="F719">
            <v>621000000002</v>
          </cell>
          <cell r="G719" t="str">
            <v>GUMURA RAILWAY STATION</v>
          </cell>
          <cell r="H719" t="str">
            <v>DPTY CHF ENGNR (ELCT) CON</v>
          </cell>
          <cell r="I719" t="str">
            <v>10/31/2020 00:00:00</v>
          </cell>
          <cell r="J719">
            <v>1</v>
          </cell>
          <cell r="K719" t="str">
            <v xml:space="preserve"> </v>
          </cell>
          <cell r="L719" t="str">
            <v xml:space="preserve"> </v>
          </cell>
          <cell r="M719" t="str">
            <v>621000010231492869</v>
          </cell>
          <cell r="N719" t="str">
            <v>6120000002</v>
          </cell>
          <cell r="O719" t="str">
            <v>GP-14</v>
          </cell>
          <cell r="P719" t="str">
            <v>462112205</v>
          </cell>
          <cell r="Q719" t="str">
            <v>GENERAL PURPOSE &gt;= 110 KVA</v>
          </cell>
          <cell r="R719" t="str">
            <v>HT</v>
          </cell>
          <cell r="S719" t="str">
            <v>01/10/2023</v>
          </cell>
          <cell r="T719" t="str">
            <v>01/10/2023</v>
          </cell>
          <cell r="U719" t="str">
            <v>06/10/2023</v>
          </cell>
          <cell r="V719" t="str">
            <v>09/10/2023</v>
          </cell>
          <cell r="W719" t="str">
            <v>2023/09</v>
          </cell>
          <cell r="X719" t="str">
            <v>11 KV</v>
          </cell>
          <cell r="Y719" t="str">
            <v>HT</v>
          </cell>
          <cell r="Z719">
            <v>102.48</v>
          </cell>
          <cell r="AA719">
            <v>0.99990000000000001</v>
          </cell>
          <cell r="AB719">
            <v>61.36</v>
          </cell>
          <cell r="AC719" t="str">
            <v xml:space="preserve">01/09/2023 -     </v>
          </cell>
          <cell r="AD719" t="str">
            <v>30.09.2023</v>
          </cell>
          <cell r="AE719" t="str">
            <v>30/1.0000</v>
          </cell>
          <cell r="AF719">
            <v>110</v>
          </cell>
          <cell r="AG719" t="str">
            <v>KVA</v>
          </cell>
          <cell r="AH719">
            <v>110</v>
          </cell>
          <cell r="AI719" t="str">
            <v>R</v>
          </cell>
          <cell r="AJ719">
            <v>439746.63</v>
          </cell>
          <cell r="AK719" t="str">
            <v>30/09/2023</v>
          </cell>
          <cell r="AL719" t="str">
            <v>TPN64010</v>
          </cell>
          <cell r="AM719" t="str">
            <v>HT THREE PHASE 4 WIRE AMR/AMI COMPLAINT METER</v>
          </cell>
          <cell r="AN719" t="str">
            <v>POST PAID</v>
          </cell>
          <cell r="AO719">
            <v>250</v>
          </cell>
          <cell r="AP719" t="str">
            <v>TOD</v>
          </cell>
          <cell r="AQ719">
            <v>51858.43</v>
          </cell>
          <cell r="AR719">
            <v>0</v>
          </cell>
          <cell r="AS719">
            <v>0</v>
          </cell>
          <cell r="AT719">
            <v>0</v>
          </cell>
          <cell r="AU719">
            <v>0</v>
          </cell>
          <cell r="AV719">
            <v>0</v>
          </cell>
          <cell r="AW719">
            <v>45271</v>
          </cell>
          <cell r="AX719">
            <v>45275</v>
          </cell>
          <cell r="AY719">
            <v>45275</v>
          </cell>
          <cell r="AZ719">
            <v>740.24</v>
          </cell>
          <cell r="BA719">
            <v>102.47999999999999</v>
          </cell>
        </row>
        <row r="720">
          <cell r="F720">
            <v>621000000004</v>
          </cell>
          <cell r="G720" t="str">
            <v>Ms.  ARDENT STEEL PRIVATE LTD</v>
          </cell>
          <cell r="H720" t="str">
            <v>PHULJHAR , BANSPAL,KEONJHAR</v>
          </cell>
          <cell r="I720" t="str">
            <v>10/31/2020 00:00:00</v>
          </cell>
          <cell r="J720">
            <v>1</v>
          </cell>
          <cell r="K720" t="str">
            <v xml:space="preserve"> </v>
          </cell>
          <cell r="L720" t="str">
            <v xml:space="preserve"> </v>
          </cell>
          <cell r="M720" t="str">
            <v>621000010231495124</v>
          </cell>
          <cell r="N720" t="str">
            <v>6120000161</v>
          </cell>
          <cell r="O720" t="str">
            <v>L-161</v>
          </cell>
          <cell r="P720" t="str">
            <v>NULL</v>
          </cell>
          <cell r="Q720" t="str">
            <v>LARGE INDUSTRY</v>
          </cell>
          <cell r="R720" t="str">
            <v>HT</v>
          </cell>
          <cell r="S720" t="str">
            <v>01/10/2023</v>
          </cell>
          <cell r="T720" t="str">
            <v>01/10/2023</v>
          </cell>
          <cell r="U720" t="str">
            <v>06/10/2023</v>
          </cell>
          <cell r="V720" t="str">
            <v>09/10/2023</v>
          </cell>
          <cell r="W720" t="str">
            <v>2023/09</v>
          </cell>
          <cell r="X720" t="str">
            <v>33 KV</v>
          </cell>
          <cell r="Y720" t="str">
            <v>HT</v>
          </cell>
          <cell r="Z720">
            <v>4400</v>
          </cell>
          <cell r="AA720">
            <v>0.97670000000000001</v>
          </cell>
          <cell r="AB720">
            <v>79</v>
          </cell>
          <cell r="AC720" t="str">
            <v xml:space="preserve">01/09/2023 -     </v>
          </cell>
          <cell r="AD720" t="str">
            <v>30.09.2023</v>
          </cell>
          <cell r="AE720" t="str">
            <v>30/1.0000</v>
          </cell>
          <cell r="AF720">
            <v>5500</v>
          </cell>
          <cell r="AG720" t="str">
            <v>KVA</v>
          </cell>
          <cell r="AH720">
            <v>5500</v>
          </cell>
          <cell r="AI720" t="str">
            <v>R</v>
          </cell>
          <cell r="AJ720">
            <v>33761200.183300003</v>
          </cell>
          <cell r="AK720" t="str">
            <v>30/09/2023</v>
          </cell>
          <cell r="AL720" t="str">
            <v>TPN64749</v>
          </cell>
          <cell r="AM720" t="str">
            <v>THREE PHASE HT CT METER-33KV</v>
          </cell>
          <cell r="AN720" t="str">
            <v>POST PAID</v>
          </cell>
          <cell r="AO720">
            <v>5500</v>
          </cell>
          <cell r="AP720" t="str">
            <v>TOD</v>
          </cell>
          <cell r="AQ720">
            <v>5466286.6399999997</v>
          </cell>
          <cell r="AR720">
            <v>0</v>
          </cell>
          <cell r="AS720">
            <v>0</v>
          </cell>
          <cell r="AT720">
            <v>0</v>
          </cell>
          <cell r="AU720">
            <v>0</v>
          </cell>
          <cell r="AV720">
            <v>0</v>
          </cell>
          <cell r="AW720">
            <v>2389380</v>
          </cell>
          <cell r="AX720">
            <v>2446260</v>
          </cell>
          <cell r="AY720">
            <v>2446260</v>
          </cell>
          <cell r="AZ720">
            <v>0.3584</v>
          </cell>
          <cell r="BA720">
            <v>4300.8</v>
          </cell>
        </row>
        <row r="721">
          <cell r="F721">
            <v>621000000005</v>
          </cell>
          <cell r="G721" t="str">
            <v>Mr.M/S ORISSA SPONGE IRON &amp; STEEL LTD</v>
          </cell>
          <cell r="H721" t="str">
            <v>P.O.PALASPANGA</v>
          </cell>
          <cell r="I721" t="str">
            <v>10/31/2020 00:00:00</v>
          </cell>
          <cell r="J721">
            <v>1</v>
          </cell>
          <cell r="K721" t="str">
            <v>DIST. KEONJHAR</v>
          </cell>
          <cell r="L721" t="str">
            <v>ODISHA - 758031</v>
          </cell>
          <cell r="M721" t="str">
            <v>621000010231493110</v>
          </cell>
          <cell r="N721" t="str">
            <v>6120000087</v>
          </cell>
          <cell r="O721" t="str">
            <v xml:space="preserve"> </v>
          </cell>
          <cell r="P721" t="str">
            <v>NULL</v>
          </cell>
          <cell r="Q721" t="str">
            <v>LARGE INDUSTRY</v>
          </cell>
          <cell r="R721" t="str">
            <v>HT</v>
          </cell>
          <cell r="S721" t="str">
            <v>01/10/2023</v>
          </cell>
          <cell r="T721" t="str">
            <v>01/10/2023</v>
          </cell>
          <cell r="U721" t="str">
            <v>06/10/2023</v>
          </cell>
          <cell r="V721" t="str">
            <v>09/10/2023</v>
          </cell>
          <cell r="W721" t="str">
            <v>2023/09</v>
          </cell>
          <cell r="X721" t="str">
            <v>33 KV</v>
          </cell>
          <cell r="Y721" t="str">
            <v>HT</v>
          </cell>
          <cell r="Z721">
            <v>3552</v>
          </cell>
          <cell r="AA721">
            <v>0.93330000000000002</v>
          </cell>
          <cell r="AB721">
            <v>15.27</v>
          </cell>
          <cell r="AC721" t="str">
            <v xml:space="preserve">01/09/2023 -     </v>
          </cell>
          <cell r="AD721" t="str">
            <v>30.09.2023</v>
          </cell>
          <cell r="AE721" t="str">
            <v>30/1.0000</v>
          </cell>
          <cell r="AF721">
            <v>4000</v>
          </cell>
          <cell r="AG721" t="str">
            <v>KVA</v>
          </cell>
          <cell r="AH721">
            <v>4000</v>
          </cell>
          <cell r="AI721" t="str">
            <v>R</v>
          </cell>
          <cell r="AJ721">
            <v>24553600.399999999</v>
          </cell>
          <cell r="AK721" t="str">
            <v>30/09/2023</v>
          </cell>
          <cell r="AL721" t="str">
            <v>NSC94990</v>
          </cell>
          <cell r="AM721" t="str">
            <v>THREE PHASE HT CT METER-33KV</v>
          </cell>
          <cell r="AN721" t="str">
            <v>NULL</v>
          </cell>
          <cell r="AO721">
            <v>12500</v>
          </cell>
          <cell r="AP721" t="str">
            <v>TOD</v>
          </cell>
          <cell r="AQ721">
            <v>-172161.4</v>
          </cell>
          <cell r="AR721">
            <v>0</v>
          </cell>
          <cell r="AS721">
            <v>0</v>
          </cell>
          <cell r="AT721">
            <v>0</v>
          </cell>
          <cell r="AU721">
            <v>0</v>
          </cell>
          <cell r="AV721">
            <v>0</v>
          </cell>
          <cell r="AW721">
            <v>364560</v>
          </cell>
          <cell r="AX721">
            <v>390600</v>
          </cell>
          <cell r="AY721">
            <v>390600</v>
          </cell>
          <cell r="AZ721">
            <v>22022.400000000001</v>
          </cell>
          <cell r="BA721">
            <v>3552</v>
          </cell>
        </row>
        <row r="722">
          <cell r="F722">
            <v>621000000006</v>
          </cell>
          <cell r="G722" t="str">
            <v>M/S M.S.P SPONGE IRON LTD.</v>
          </cell>
          <cell r="H722" t="str">
            <v>AT-HALADIAGUNA,</v>
          </cell>
          <cell r="I722" t="str">
            <v>10/31/2020 00:00:00</v>
          </cell>
          <cell r="J722">
            <v>1</v>
          </cell>
          <cell r="K722" t="str">
            <v xml:space="preserve"> </v>
          </cell>
          <cell r="L722" t="str">
            <v xml:space="preserve"> </v>
          </cell>
          <cell r="M722" t="str">
            <v>621000010231495128</v>
          </cell>
          <cell r="N722" t="str">
            <v>6120000046</v>
          </cell>
          <cell r="O722" t="str">
            <v>LARGE27</v>
          </cell>
          <cell r="P722" t="str">
            <v>NULL</v>
          </cell>
          <cell r="Q722" t="str">
            <v>LARGE INDUSTRY</v>
          </cell>
          <cell r="R722" t="str">
            <v>EHT</v>
          </cell>
          <cell r="S722" t="str">
            <v>01/10/2023</v>
          </cell>
          <cell r="T722" t="str">
            <v>01/10/2023</v>
          </cell>
          <cell r="U722" t="str">
            <v>06/10/2023</v>
          </cell>
          <cell r="V722" t="str">
            <v>09/10/2023</v>
          </cell>
          <cell r="W722" t="str">
            <v>2023/09</v>
          </cell>
          <cell r="X722" t="str">
            <v>132 KV</v>
          </cell>
          <cell r="Y722" t="str">
            <v>HT</v>
          </cell>
          <cell r="Z722">
            <v>13344</v>
          </cell>
          <cell r="AA722">
            <v>0.96689999999999998</v>
          </cell>
          <cell r="AB722">
            <v>84.08</v>
          </cell>
          <cell r="AC722" t="str">
            <v xml:space="preserve">01/09/2023 -     </v>
          </cell>
          <cell r="AD722" t="str">
            <v>30.09.2023</v>
          </cell>
          <cell r="AE722" t="str">
            <v>30/1.0000</v>
          </cell>
          <cell r="AF722">
            <v>14000</v>
          </cell>
          <cell r="AG722" t="str">
            <v>KVA</v>
          </cell>
          <cell r="AH722">
            <v>14000</v>
          </cell>
          <cell r="AI722" t="str">
            <v>R</v>
          </cell>
          <cell r="AJ722">
            <v>85232000</v>
          </cell>
          <cell r="AK722" t="str">
            <v>30/09/2023</v>
          </cell>
          <cell r="AL722" t="str">
            <v>TPN64901</v>
          </cell>
          <cell r="AM722" t="str">
            <v>THREE PHASE HT CT METER-33KV</v>
          </cell>
          <cell r="AN722" t="str">
            <v>POST PAID</v>
          </cell>
          <cell r="AO722">
            <v>11000</v>
          </cell>
          <cell r="AP722" t="str">
            <v>TOD</v>
          </cell>
          <cell r="AQ722">
            <v>-53206889</v>
          </cell>
          <cell r="AR722">
            <v>0</v>
          </cell>
          <cell r="AS722">
            <v>0</v>
          </cell>
          <cell r="AT722">
            <v>0</v>
          </cell>
          <cell r="AU722">
            <v>-39225.599999999999</v>
          </cell>
          <cell r="AV722">
            <v>0</v>
          </cell>
          <cell r="AW722">
            <v>7811100</v>
          </cell>
          <cell r="AX722">
            <v>8078400</v>
          </cell>
          <cell r="AY722">
            <v>8078400</v>
          </cell>
          <cell r="AZ722">
            <v>111.2</v>
          </cell>
          <cell r="BA722">
            <v>13344</v>
          </cell>
        </row>
        <row r="723">
          <cell r="F723">
            <v>621000000007</v>
          </cell>
          <cell r="G723" t="str">
            <v>UTKAL MINERAL IND, DHURPADA</v>
          </cell>
          <cell r="H723" t="str">
            <v>KEONJHAR,</v>
          </cell>
          <cell r="I723" t="str">
            <v>10/31/2020 00:00:00</v>
          </cell>
          <cell r="J723">
            <v>1</v>
          </cell>
          <cell r="K723" t="str">
            <v xml:space="preserve"> </v>
          </cell>
          <cell r="L723" t="str">
            <v xml:space="preserve"> </v>
          </cell>
          <cell r="M723" t="str">
            <v>621000010231492992</v>
          </cell>
          <cell r="N723" t="str">
            <v>6120000041</v>
          </cell>
          <cell r="O723" t="str">
            <v>L-28</v>
          </cell>
          <cell r="P723" t="str">
            <v>462112203</v>
          </cell>
          <cell r="Q723" t="str">
            <v>LARGE INDUSTRY</v>
          </cell>
          <cell r="R723" t="str">
            <v>HT</v>
          </cell>
          <cell r="S723" t="str">
            <v>01/10/2023</v>
          </cell>
          <cell r="T723" t="str">
            <v>01/10/2023</v>
          </cell>
          <cell r="U723" t="str">
            <v>06/10/2023</v>
          </cell>
          <cell r="V723" t="str">
            <v>09/10/2023</v>
          </cell>
          <cell r="W723" t="str">
            <v>2023/09</v>
          </cell>
          <cell r="X723" t="str">
            <v>11 KV</v>
          </cell>
          <cell r="Y723" t="str">
            <v>HT</v>
          </cell>
          <cell r="Z723">
            <v>240</v>
          </cell>
          <cell r="AA723">
            <v>0.90290000000000004</v>
          </cell>
          <cell r="AB723">
            <v>22.44</v>
          </cell>
          <cell r="AC723" t="str">
            <v xml:space="preserve">01/09/2023 -     </v>
          </cell>
          <cell r="AD723" t="str">
            <v>30.09.2023</v>
          </cell>
          <cell r="AE723" t="str">
            <v>30/1.0000</v>
          </cell>
          <cell r="AF723">
            <v>300</v>
          </cell>
          <cell r="AG723" t="str">
            <v>KVA</v>
          </cell>
          <cell r="AH723">
            <v>300</v>
          </cell>
          <cell r="AI723" t="str">
            <v>R</v>
          </cell>
          <cell r="AJ723">
            <v>445071</v>
          </cell>
          <cell r="AK723" t="str">
            <v>30/09/2023</v>
          </cell>
          <cell r="AL723" t="str">
            <v>TPN64176</v>
          </cell>
          <cell r="AM723" t="str">
            <v>HT THREE PHASE 4 WIRE AMR/AMI COMPLAINT METER</v>
          </cell>
          <cell r="AN723" t="str">
            <v>POST PAID</v>
          </cell>
          <cell r="AO723">
            <v>350</v>
          </cell>
          <cell r="AP723" t="str">
            <v>TOD</v>
          </cell>
          <cell r="AQ723">
            <v>8086.5</v>
          </cell>
          <cell r="AR723">
            <v>0</v>
          </cell>
          <cell r="AS723">
            <v>0</v>
          </cell>
          <cell r="AT723">
            <v>0</v>
          </cell>
          <cell r="AU723">
            <v>0</v>
          </cell>
          <cell r="AV723">
            <v>0</v>
          </cell>
          <cell r="AW723">
            <v>28733</v>
          </cell>
          <cell r="AX723">
            <v>31823</v>
          </cell>
          <cell r="AY723">
            <v>31823</v>
          </cell>
          <cell r="AZ723">
            <v>1369.68</v>
          </cell>
          <cell r="BA723">
            <v>196.92</v>
          </cell>
        </row>
        <row r="724">
          <cell r="F724">
            <v>621000000011</v>
          </cell>
          <cell r="G724" t="str">
            <v>M/S KASHVI INTERNATIONAL (PVT) LTD.</v>
          </cell>
          <cell r="H724" t="str">
            <v>RAMACHANDRAPUR,RAMACHANDRAPUR</v>
          </cell>
          <cell r="I724" t="str">
            <v>10/31/2020 00:00:00</v>
          </cell>
          <cell r="J724">
            <v>1</v>
          </cell>
          <cell r="K724" t="str">
            <v xml:space="preserve"> </v>
          </cell>
          <cell r="L724" t="str">
            <v xml:space="preserve"> </v>
          </cell>
          <cell r="M724" t="str">
            <v>621000010231495120</v>
          </cell>
          <cell r="N724" t="str">
            <v>6120000069</v>
          </cell>
          <cell r="O724" t="str">
            <v>L-63</v>
          </cell>
          <cell r="P724" t="str">
            <v>462121403</v>
          </cell>
          <cell r="Q724" t="str">
            <v>LARGE INDUSTRY</v>
          </cell>
          <cell r="R724" t="str">
            <v>HT</v>
          </cell>
          <cell r="S724" t="str">
            <v>01/10/2023</v>
          </cell>
          <cell r="T724" t="str">
            <v>01/10/2023</v>
          </cell>
          <cell r="U724" t="str">
            <v>06/10/2023</v>
          </cell>
          <cell r="V724" t="str">
            <v>09/10/2023</v>
          </cell>
          <cell r="W724" t="str">
            <v>2023/09</v>
          </cell>
          <cell r="X724" t="str">
            <v>11 KV</v>
          </cell>
          <cell r="Y724" t="str">
            <v>HT</v>
          </cell>
          <cell r="Z724">
            <v>600</v>
          </cell>
          <cell r="AA724">
            <v>0.97650000000000003</v>
          </cell>
          <cell r="AB724">
            <v>10.89</v>
          </cell>
          <cell r="AC724" t="str">
            <v xml:space="preserve">01/09/2023 -     </v>
          </cell>
          <cell r="AD724" t="str">
            <v>30.09.2023</v>
          </cell>
          <cell r="AE724" t="str">
            <v>30/1.0000</v>
          </cell>
          <cell r="AF724">
            <v>750</v>
          </cell>
          <cell r="AG724" t="str">
            <v>KVA</v>
          </cell>
          <cell r="AH724">
            <v>750</v>
          </cell>
          <cell r="AI724" t="str">
            <v>R</v>
          </cell>
          <cell r="AJ724">
            <v>3835220</v>
          </cell>
          <cell r="AK724" t="str">
            <v>30/09/2023</v>
          </cell>
          <cell r="AL724" t="str">
            <v>NSC17157</v>
          </cell>
          <cell r="AM724" t="str">
            <v>TRI-VECTOR METER FOR RAILWAY TRACTION</v>
          </cell>
          <cell r="AN724" t="str">
            <v>POST PAID</v>
          </cell>
          <cell r="AO724">
            <v>1250</v>
          </cell>
          <cell r="AP724" t="str">
            <v>TOD</v>
          </cell>
          <cell r="AQ724">
            <v>-2051399.04</v>
          </cell>
          <cell r="AR724">
            <v>0</v>
          </cell>
          <cell r="AS724">
            <v>0</v>
          </cell>
          <cell r="AT724">
            <v>0</v>
          </cell>
          <cell r="AU724">
            <v>0</v>
          </cell>
          <cell r="AV724">
            <v>0</v>
          </cell>
          <cell r="AW724">
            <v>16690</v>
          </cell>
          <cell r="AX724">
            <v>17090</v>
          </cell>
          <cell r="AY724">
            <v>17090</v>
          </cell>
          <cell r="AZ724">
            <v>0.218</v>
          </cell>
          <cell r="BA724">
            <v>218</v>
          </cell>
        </row>
        <row r="725">
          <cell r="F725">
            <v>621000000012</v>
          </cell>
          <cell r="G725" t="str">
            <v>NARAYAN FOOD PRODUCTS (P)LTD.</v>
          </cell>
          <cell r="H725" t="str">
            <v>SRI SHIBA KUMAR AGRAWAL</v>
          </cell>
          <cell r="I725" t="str">
            <v>10/31/2020 00:00:00</v>
          </cell>
          <cell r="J725">
            <v>1</v>
          </cell>
          <cell r="K725" t="str">
            <v>AT-HUNDULA,PO-PALASPANGA</v>
          </cell>
          <cell r="L725" t="str">
            <v>DIST-KENDUJHAR-758031</v>
          </cell>
          <cell r="M725" t="str">
            <v>621000010231493037</v>
          </cell>
          <cell r="N725" t="str">
            <v>6120000073</v>
          </cell>
          <cell r="O725" t="str">
            <v>L-67</v>
          </cell>
          <cell r="P725" t="str">
            <v>46207425007</v>
          </cell>
          <cell r="Q725" t="str">
            <v>LARGE INDUSTRY</v>
          </cell>
          <cell r="R725" t="str">
            <v>HT</v>
          </cell>
          <cell r="S725" t="str">
            <v>01/10/2023</v>
          </cell>
          <cell r="T725" t="str">
            <v>01/10/2023</v>
          </cell>
          <cell r="U725" t="str">
            <v>06/10/2023</v>
          </cell>
          <cell r="V725" t="str">
            <v>09/10/2023</v>
          </cell>
          <cell r="W725" t="str">
            <v>2023/09</v>
          </cell>
          <cell r="X725" t="str">
            <v>33 KV</v>
          </cell>
          <cell r="Y725" t="str">
            <v>HT</v>
          </cell>
          <cell r="Z725">
            <v>567.12</v>
          </cell>
          <cell r="AA725">
            <v>0.94230000000000003</v>
          </cell>
          <cell r="AB725">
            <v>39.49</v>
          </cell>
          <cell r="AC725" t="str">
            <v xml:space="preserve">01/09/2023 -     </v>
          </cell>
          <cell r="AD725" t="str">
            <v>30.09.2023</v>
          </cell>
          <cell r="AE725" t="str">
            <v>30/1.0000</v>
          </cell>
          <cell r="AF725">
            <v>570</v>
          </cell>
          <cell r="AG725" t="str">
            <v>KVA</v>
          </cell>
          <cell r="AH725">
            <v>570</v>
          </cell>
          <cell r="AI725" t="str">
            <v>R</v>
          </cell>
          <cell r="AJ725">
            <v>2913248.38</v>
          </cell>
          <cell r="AK725" t="str">
            <v>30/09/2023</v>
          </cell>
          <cell r="AL725" t="str">
            <v>NSC94461</v>
          </cell>
          <cell r="AM725" t="str">
            <v>THREE PHASE HT CT METER-33KV</v>
          </cell>
          <cell r="AN725" t="str">
            <v>POST PAID</v>
          </cell>
          <cell r="AO725">
            <v>750</v>
          </cell>
          <cell r="AP725" t="str">
            <v>TOD</v>
          </cell>
          <cell r="AQ725">
            <v>-455258.88</v>
          </cell>
          <cell r="AR725">
            <v>0</v>
          </cell>
          <cell r="AS725">
            <v>0</v>
          </cell>
          <cell r="AT725">
            <v>0</v>
          </cell>
          <cell r="AU725">
            <v>0</v>
          </cell>
          <cell r="AV725">
            <v>0</v>
          </cell>
          <cell r="AW725">
            <v>151962</v>
          </cell>
          <cell r="AX725">
            <v>161262</v>
          </cell>
          <cell r="AY725">
            <v>161262</v>
          </cell>
          <cell r="AZ725">
            <v>3911.28</v>
          </cell>
          <cell r="BA725">
            <v>567.12</v>
          </cell>
        </row>
        <row r="726">
          <cell r="F726">
            <v>621000000017</v>
          </cell>
          <cell r="G726" t="str">
            <v>M/S TOPSUN RIM IRON ORE</v>
          </cell>
          <cell r="H726" t="str">
            <v>INDUSTRIES(P) LTD,SALARPENTHA</v>
          </cell>
          <cell r="I726" t="str">
            <v>10/31/2020 00:00:00</v>
          </cell>
          <cell r="J726">
            <v>1</v>
          </cell>
          <cell r="K726" t="str">
            <v xml:space="preserve"> </v>
          </cell>
          <cell r="L726" t="str">
            <v xml:space="preserve"> </v>
          </cell>
          <cell r="M726" t="str">
            <v>621000010231493237</v>
          </cell>
          <cell r="N726" t="str">
            <v>6120000129</v>
          </cell>
          <cell r="O726" t="str">
            <v>L-131</v>
          </cell>
          <cell r="P726" t="str">
            <v>462121503</v>
          </cell>
          <cell r="Q726" t="str">
            <v>LARGE INDUSTRY</v>
          </cell>
          <cell r="R726" t="str">
            <v>HT</v>
          </cell>
          <cell r="S726" t="str">
            <v>01/10/2023</v>
          </cell>
          <cell r="T726" t="str">
            <v>01/10/2023</v>
          </cell>
          <cell r="U726" t="str">
            <v>06/10/2023</v>
          </cell>
          <cell r="V726" t="str">
            <v>09/10/2023</v>
          </cell>
          <cell r="W726" t="str">
            <v>2023/09</v>
          </cell>
          <cell r="X726" t="str">
            <v>11 KV</v>
          </cell>
          <cell r="Y726" t="str">
            <v>HT</v>
          </cell>
          <cell r="Z726">
            <v>288.8</v>
          </cell>
          <cell r="AA726">
            <v>0.97950000000000004</v>
          </cell>
          <cell r="AB726">
            <v>13.42</v>
          </cell>
          <cell r="AC726" t="str">
            <v xml:space="preserve">01/09/2023 -     </v>
          </cell>
          <cell r="AD726" t="str">
            <v>29.09.2023</v>
          </cell>
          <cell r="AE726" t="str">
            <v>29/1.0000</v>
          </cell>
          <cell r="AF726">
            <v>361</v>
          </cell>
          <cell r="AG726" t="str">
            <v>KVA</v>
          </cell>
          <cell r="AH726">
            <v>361</v>
          </cell>
          <cell r="AI726" t="str">
            <v>R</v>
          </cell>
          <cell r="AJ726">
            <v>1814646</v>
          </cell>
          <cell r="AK726" t="str">
            <v>29/09/2023</v>
          </cell>
          <cell r="AL726" t="str">
            <v>NSC94907</v>
          </cell>
          <cell r="AM726" t="str">
            <v>TRI-VECTOR METER FOR RAILWAY TRACTION</v>
          </cell>
          <cell r="AN726" t="str">
            <v>POST PAID</v>
          </cell>
          <cell r="AO726">
            <v>500</v>
          </cell>
          <cell r="AP726" t="str">
            <v>TOD</v>
          </cell>
          <cell r="AQ726">
            <v>-1590955.1</v>
          </cell>
          <cell r="AR726">
            <v>0</v>
          </cell>
          <cell r="AS726">
            <v>0</v>
          </cell>
          <cell r="AT726">
            <v>0</v>
          </cell>
          <cell r="AU726">
            <v>0</v>
          </cell>
          <cell r="AV726">
            <v>0</v>
          </cell>
          <cell r="AW726">
            <v>1866</v>
          </cell>
          <cell r="AX726">
            <v>1905</v>
          </cell>
          <cell r="AY726">
            <v>1905</v>
          </cell>
          <cell r="AZ726">
            <v>587.04</v>
          </cell>
          <cell r="BA726">
            <v>20.400000000000002</v>
          </cell>
        </row>
        <row r="727">
          <cell r="F727">
            <v>621000000021</v>
          </cell>
          <cell r="G727" t="str">
            <v>M/S BRAND STEEL &amp; POWER PVT LTD.</v>
          </cell>
          <cell r="H727" t="str">
            <v>MURUSUAN,PALASPANGAKEONJHAR</v>
          </cell>
          <cell r="I727" t="str">
            <v>10/31/2020 00:00:00</v>
          </cell>
          <cell r="J727">
            <v>1</v>
          </cell>
          <cell r="K727" t="str">
            <v xml:space="preserve"> </v>
          </cell>
          <cell r="L727" t="str">
            <v xml:space="preserve"> </v>
          </cell>
          <cell r="M727" t="str">
            <v>621000010231493120</v>
          </cell>
          <cell r="N727" t="str">
            <v>6120000151</v>
          </cell>
          <cell r="O727" t="str">
            <v>L-153</v>
          </cell>
          <cell r="P727" t="str">
            <v>46207425007</v>
          </cell>
          <cell r="Q727" t="str">
            <v>LARGE INDUSTRY</v>
          </cell>
          <cell r="R727" t="str">
            <v>HT</v>
          </cell>
          <cell r="S727" t="str">
            <v>01/10/2023</v>
          </cell>
          <cell r="T727" t="str">
            <v>01/10/2023</v>
          </cell>
          <cell r="U727" t="str">
            <v>06/10/2023</v>
          </cell>
          <cell r="V727" t="str">
            <v>09/10/2023</v>
          </cell>
          <cell r="W727" t="str">
            <v>2023/09</v>
          </cell>
          <cell r="X727" t="str">
            <v>33 KV</v>
          </cell>
          <cell r="Y727" t="str">
            <v>HT</v>
          </cell>
          <cell r="Z727">
            <v>941.04</v>
          </cell>
          <cell r="AA727">
            <v>0.99250000000000005</v>
          </cell>
          <cell r="AB727">
            <v>65.12</v>
          </cell>
          <cell r="AC727" t="str">
            <v xml:space="preserve">01/09/2023 -     </v>
          </cell>
          <cell r="AD727" t="str">
            <v>30.09.2023</v>
          </cell>
          <cell r="AE727" t="str">
            <v>30/1.0000</v>
          </cell>
          <cell r="AF727">
            <v>800</v>
          </cell>
          <cell r="AG727" t="str">
            <v>KVA</v>
          </cell>
          <cell r="AH727">
            <v>800</v>
          </cell>
          <cell r="AI727" t="str">
            <v>R</v>
          </cell>
          <cell r="AJ727">
            <v>5310840</v>
          </cell>
          <cell r="AK727" t="str">
            <v>30/09/2023</v>
          </cell>
          <cell r="AL727" t="str">
            <v>TPN64724</v>
          </cell>
          <cell r="AM727" t="str">
            <v>THREE PHASE HT CT METER-33KV</v>
          </cell>
          <cell r="AN727" t="str">
            <v>POST PAID</v>
          </cell>
          <cell r="AO727">
            <v>2500</v>
          </cell>
          <cell r="AP727" t="str">
            <v>TOD</v>
          </cell>
          <cell r="AQ727">
            <v>-839595.68</v>
          </cell>
          <cell r="AR727">
            <v>0</v>
          </cell>
          <cell r="AS727">
            <v>0</v>
          </cell>
          <cell r="AT727">
            <v>0</v>
          </cell>
          <cell r="AU727">
            <v>0</v>
          </cell>
          <cell r="AV727">
            <v>0</v>
          </cell>
          <cell r="AW727">
            <v>437922</v>
          </cell>
          <cell r="AX727">
            <v>441207</v>
          </cell>
          <cell r="AY727">
            <v>441207</v>
          </cell>
          <cell r="AZ727">
            <v>5996.88</v>
          </cell>
          <cell r="BA727">
            <v>941.04000000000008</v>
          </cell>
        </row>
        <row r="728">
          <cell r="F728">
            <v>621000000025</v>
          </cell>
          <cell r="G728" t="str">
            <v>SHREE  AGRICO &amp; RICE PVT LTD.</v>
          </cell>
          <cell r="H728" t="str">
            <v>PADMAPUR, PALASPANGA, KEONJHAR</v>
          </cell>
          <cell r="I728" t="str">
            <v>10/31/2020 00:00:00</v>
          </cell>
          <cell r="J728">
            <v>1</v>
          </cell>
          <cell r="K728" t="str">
            <v xml:space="preserve"> </v>
          </cell>
          <cell r="L728" t="str">
            <v xml:space="preserve"> </v>
          </cell>
          <cell r="M728" t="str">
            <v>621000010231493289</v>
          </cell>
          <cell r="N728" t="str">
            <v>6120000172</v>
          </cell>
          <cell r="O728" t="str">
            <v>L-172</v>
          </cell>
          <cell r="P728" t="str">
            <v>46207425007</v>
          </cell>
          <cell r="Q728" t="str">
            <v>LARGE INDUSTRY</v>
          </cell>
          <cell r="R728" t="str">
            <v>HT</v>
          </cell>
          <cell r="S728" t="str">
            <v>01/10/2023</v>
          </cell>
          <cell r="T728" t="str">
            <v>01/10/2023</v>
          </cell>
          <cell r="U728" t="str">
            <v>06/10/2023</v>
          </cell>
          <cell r="V728" t="str">
            <v>09/10/2023</v>
          </cell>
          <cell r="W728" t="str">
            <v>2023/09</v>
          </cell>
          <cell r="X728" t="str">
            <v>33 KV</v>
          </cell>
          <cell r="Y728" t="str">
            <v>HT</v>
          </cell>
          <cell r="Z728">
            <v>396</v>
          </cell>
          <cell r="AA728">
            <v>0.92810000000000004</v>
          </cell>
          <cell r="AB728">
            <v>41.77</v>
          </cell>
          <cell r="AC728" t="str">
            <v xml:space="preserve">01/09/2023 -     </v>
          </cell>
          <cell r="AD728" t="str">
            <v>30.09.2023</v>
          </cell>
          <cell r="AE728" t="str">
            <v>30/1.0000</v>
          </cell>
          <cell r="AF728">
            <v>495</v>
          </cell>
          <cell r="AG728" t="str">
            <v>KVA</v>
          </cell>
          <cell r="AH728">
            <v>495</v>
          </cell>
          <cell r="AI728" t="str">
            <v>R</v>
          </cell>
          <cell r="AJ728">
            <v>4603799.7652000003</v>
          </cell>
          <cell r="AK728" t="str">
            <v>30/09/2023</v>
          </cell>
          <cell r="AL728" t="str">
            <v>NES50203</v>
          </cell>
          <cell r="AM728" t="str">
            <v>THREE PHASE HT CT METER-33KV</v>
          </cell>
          <cell r="AN728" t="str">
            <v>POST PAID</v>
          </cell>
          <cell r="AO728">
            <v>750</v>
          </cell>
          <cell r="AP728" t="str">
            <v>TOD</v>
          </cell>
          <cell r="AQ728">
            <v>-855773.6</v>
          </cell>
          <cell r="AR728">
            <v>0</v>
          </cell>
          <cell r="AS728">
            <v>0</v>
          </cell>
          <cell r="AT728">
            <v>0</v>
          </cell>
          <cell r="AU728">
            <v>0</v>
          </cell>
          <cell r="AV728">
            <v>0</v>
          </cell>
          <cell r="AW728">
            <v>105981</v>
          </cell>
          <cell r="AX728">
            <v>114186</v>
          </cell>
          <cell r="AY728">
            <v>114186</v>
          </cell>
          <cell r="AZ728">
            <v>2700.96</v>
          </cell>
          <cell r="BA728">
            <v>379.68</v>
          </cell>
        </row>
        <row r="729">
          <cell r="F729">
            <v>621000000027</v>
          </cell>
          <cell r="G729" t="str">
            <v>PRINCIPAL KENDRIYA VIDYALAYA</v>
          </cell>
          <cell r="H729" t="str">
            <v>RANKI, KEONJHAR,KEONJHAR</v>
          </cell>
          <cell r="I729" t="str">
            <v>10/31/2020 00:00:00</v>
          </cell>
          <cell r="J729">
            <v>1</v>
          </cell>
          <cell r="K729" t="str">
            <v xml:space="preserve"> </v>
          </cell>
          <cell r="L729" t="str">
            <v xml:space="preserve"> </v>
          </cell>
          <cell r="M729" t="str">
            <v>621000010231493006</v>
          </cell>
          <cell r="N729" t="str">
            <v>6120000160</v>
          </cell>
          <cell r="O729" t="str">
            <v>SPP-160</v>
          </cell>
          <cell r="P729" t="str">
            <v>462112101</v>
          </cell>
          <cell r="Q729" t="str">
            <v>SPECIFIED PUBLIC PURPOSE</v>
          </cell>
          <cell r="R729" t="str">
            <v>HT</v>
          </cell>
          <cell r="S729" t="str">
            <v>01/10/2023</v>
          </cell>
          <cell r="T729" t="str">
            <v>01/10/2023</v>
          </cell>
          <cell r="U729" t="str">
            <v>06/10/2023</v>
          </cell>
          <cell r="V729" t="str">
            <v>09/10/2023</v>
          </cell>
          <cell r="W729" t="str">
            <v>2023/09</v>
          </cell>
          <cell r="X729" t="str">
            <v>11 KV</v>
          </cell>
          <cell r="Y729" t="str">
            <v>HT</v>
          </cell>
          <cell r="Z729">
            <v>97.6</v>
          </cell>
          <cell r="AA729">
            <v>0.93510000000000004</v>
          </cell>
          <cell r="AB729">
            <v>29.42</v>
          </cell>
          <cell r="AC729" t="str">
            <v xml:space="preserve">01/09/2023 -     </v>
          </cell>
          <cell r="AD729" t="str">
            <v>30.09.2023</v>
          </cell>
          <cell r="AE729" t="str">
            <v>30/1.0000</v>
          </cell>
          <cell r="AF729">
            <v>122</v>
          </cell>
          <cell r="AG729" t="str">
            <v>KVA</v>
          </cell>
          <cell r="AH729">
            <v>122</v>
          </cell>
          <cell r="AI729" t="str">
            <v>R</v>
          </cell>
          <cell r="AJ729">
            <v>153560</v>
          </cell>
          <cell r="AK729" t="str">
            <v>30/09/2023</v>
          </cell>
          <cell r="AL729" t="str">
            <v>TPN64178</v>
          </cell>
          <cell r="AM729" t="str">
            <v>HT THREE PHASE 4 WIRE AMR/AMI COMPLAINT METER</v>
          </cell>
          <cell r="AN729" t="str">
            <v>POST PAID</v>
          </cell>
          <cell r="AO729">
            <v>250</v>
          </cell>
          <cell r="AP729" t="str">
            <v>TOD</v>
          </cell>
          <cell r="AQ729">
            <v>-64289.7</v>
          </cell>
          <cell r="AR729">
            <v>0</v>
          </cell>
          <cell r="AS729">
            <v>0</v>
          </cell>
          <cell r="AT729">
            <v>0</v>
          </cell>
          <cell r="AU729">
            <v>0</v>
          </cell>
          <cell r="AV729">
            <v>0</v>
          </cell>
          <cell r="AW729">
            <v>4801</v>
          </cell>
          <cell r="AX729">
            <v>5134</v>
          </cell>
          <cell r="AY729">
            <v>5134</v>
          </cell>
          <cell r="AZ729">
            <v>161.28</v>
          </cell>
          <cell r="BA729">
            <v>24.24</v>
          </cell>
        </row>
        <row r="730">
          <cell r="F730">
            <v>621000000028</v>
          </cell>
          <cell r="G730" t="str">
            <v>THE DISTRICT SPORTS OFFICER, KNJ</v>
          </cell>
          <cell r="H730" t="str">
            <v>SPORTS COMPLEX, SANKARPUR</v>
          </cell>
          <cell r="I730" t="str">
            <v>10/31/2020 00:00:00</v>
          </cell>
          <cell r="J730">
            <v>1</v>
          </cell>
          <cell r="K730" t="str">
            <v xml:space="preserve"> </v>
          </cell>
          <cell r="L730" t="str">
            <v xml:space="preserve"> </v>
          </cell>
          <cell r="M730" t="str">
            <v>621000010231493197</v>
          </cell>
          <cell r="N730" t="str">
            <v>6120000169</v>
          </cell>
          <cell r="O730" t="str">
            <v xml:space="preserve"> </v>
          </cell>
          <cell r="P730" t="str">
            <v>462112205</v>
          </cell>
          <cell r="Q730" t="str">
            <v>SPECIFIED PUBLIC PURPOSE</v>
          </cell>
          <cell r="R730" t="str">
            <v>HT</v>
          </cell>
          <cell r="S730" t="str">
            <v>01/10/2023</v>
          </cell>
          <cell r="T730" t="str">
            <v>01/10/2023</v>
          </cell>
          <cell r="U730" t="str">
            <v>06/10/2023</v>
          </cell>
          <cell r="V730" t="str">
            <v>09/10/2023</v>
          </cell>
          <cell r="W730" t="str">
            <v>2023/09</v>
          </cell>
          <cell r="X730" t="str">
            <v>11 KV</v>
          </cell>
          <cell r="Y730" t="str">
            <v>HT</v>
          </cell>
          <cell r="Z730">
            <v>244</v>
          </cell>
          <cell r="AA730">
            <v>0.85319999999999996</v>
          </cell>
          <cell r="AB730">
            <v>39.44</v>
          </cell>
          <cell r="AC730" t="str">
            <v xml:space="preserve">01/09/2023 -     </v>
          </cell>
          <cell r="AD730" t="str">
            <v>30.09.2023</v>
          </cell>
          <cell r="AE730" t="str">
            <v>30/1.0000</v>
          </cell>
          <cell r="AF730">
            <v>305</v>
          </cell>
          <cell r="AG730" t="str">
            <v>KVA</v>
          </cell>
          <cell r="AH730">
            <v>305</v>
          </cell>
          <cell r="AI730" t="str">
            <v>R</v>
          </cell>
          <cell r="AJ730">
            <v>892796</v>
          </cell>
          <cell r="AK730" t="str">
            <v>30/09/2023</v>
          </cell>
          <cell r="AL730" t="str">
            <v>TPN64380</v>
          </cell>
          <cell r="AM730" t="str">
            <v>HT THREE PHASE 4 WIRE AMR/AMI COMPLAINT METER</v>
          </cell>
          <cell r="AN730" t="str">
            <v>POST PAID</v>
          </cell>
          <cell r="AO730">
            <v>500</v>
          </cell>
          <cell r="AP730" t="str">
            <v>TOD</v>
          </cell>
          <cell r="AQ730">
            <v>-136344.5</v>
          </cell>
          <cell r="AR730">
            <v>0</v>
          </cell>
          <cell r="AS730">
            <v>0</v>
          </cell>
          <cell r="AT730">
            <v>0</v>
          </cell>
          <cell r="AU730">
            <v>0</v>
          </cell>
          <cell r="AV730">
            <v>0</v>
          </cell>
          <cell r="AW730">
            <v>10992</v>
          </cell>
          <cell r="AX730">
            <v>12882</v>
          </cell>
          <cell r="AY730">
            <v>12882</v>
          </cell>
          <cell r="AZ730">
            <v>232.8</v>
          </cell>
          <cell r="BA730">
            <v>45.36</v>
          </cell>
        </row>
        <row r="731">
          <cell r="F731">
            <v>621000000029</v>
          </cell>
          <cell r="G731" t="str">
            <v>Mrs.   SR DIVL. ELECT. ENGINEER (TRD), EAST COAST RAILWAY, KHURDA ROAD</v>
          </cell>
          <cell r="H731" t="str">
            <v>EAST COAST RLY, GHUTUR</v>
          </cell>
          <cell r="I731" t="str">
            <v>10/31/2020 00:00:00</v>
          </cell>
          <cell r="J731">
            <v>1</v>
          </cell>
          <cell r="K731" t="str">
            <v xml:space="preserve"> </v>
          </cell>
          <cell r="L731" t="str">
            <v xml:space="preserve"> </v>
          </cell>
          <cell r="M731" t="str">
            <v>621000010231495183</v>
          </cell>
          <cell r="N731" t="str">
            <v>6210000001</v>
          </cell>
          <cell r="O731" t="str">
            <v>TR-01</v>
          </cell>
          <cell r="P731" t="str">
            <v>NULL</v>
          </cell>
          <cell r="Q731" t="str">
            <v>RAILWAY TRACTION</v>
          </cell>
          <cell r="R731" t="str">
            <v>EHT</v>
          </cell>
          <cell r="S731" t="str">
            <v>01/10/2023</v>
          </cell>
          <cell r="T731" t="str">
            <v>01/10/2023</v>
          </cell>
          <cell r="U731" t="str">
            <v>06/10/2023</v>
          </cell>
          <cell r="V731" t="str">
            <v>09/10/2023</v>
          </cell>
          <cell r="W731" t="str">
            <v>2023/09</v>
          </cell>
          <cell r="X731" t="str">
            <v>132 KV</v>
          </cell>
          <cell r="Y731" t="str">
            <v>HT</v>
          </cell>
          <cell r="Z731">
            <v>21984</v>
          </cell>
          <cell r="AA731">
            <v>0.99429999999999996</v>
          </cell>
          <cell r="AB731">
            <v>29.02</v>
          </cell>
          <cell r="AC731" t="str">
            <v xml:space="preserve">01/09/2023 -     </v>
          </cell>
          <cell r="AD731" t="str">
            <v>30.09.2023</v>
          </cell>
          <cell r="AE731" t="str">
            <v>30/1.0000</v>
          </cell>
          <cell r="AF731">
            <v>26000</v>
          </cell>
          <cell r="AG731" t="str">
            <v>KVA</v>
          </cell>
          <cell r="AH731">
            <v>26000</v>
          </cell>
          <cell r="AI731" t="str">
            <v>R</v>
          </cell>
          <cell r="AJ731">
            <v>97260800</v>
          </cell>
          <cell r="AK731" t="str">
            <v>30/09/2023</v>
          </cell>
          <cell r="AL731" t="str">
            <v>NSC92456</v>
          </cell>
          <cell r="AM731" t="str">
            <v>SINGLE PHASE ELECTRO-MAGNETIC KWH METER-TOD</v>
          </cell>
          <cell r="AN731" t="str">
            <v>POST PAID</v>
          </cell>
          <cell r="AO731">
            <v>43200</v>
          </cell>
          <cell r="AP731" t="str">
            <v>TOD</v>
          </cell>
          <cell r="AQ731">
            <v>-3426384.35</v>
          </cell>
          <cell r="AR731">
            <v>0</v>
          </cell>
          <cell r="AS731">
            <v>0</v>
          </cell>
          <cell r="AT731">
            <v>0</v>
          </cell>
          <cell r="AU731">
            <v>0</v>
          </cell>
          <cell r="AV731">
            <v>0</v>
          </cell>
          <cell r="AW731">
            <v>4567680</v>
          </cell>
          <cell r="AX731">
            <v>4593840</v>
          </cell>
          <cell r="AY731">
            <v>4593840</v>
          </cell>
          <cell r="AZ731">
            <v>91.6</v>
          </cell>
          <cell r="BA731">
            <v>21984</v>
          </cell>
        </row>
        <row r="732">
          <cell r="F732">
            <v>621000000034</v>
          </cell>
          <cell r="G732" t="str">
            <v>SDE ( TAX) , BSNL</v>
          </cell>
          <cell r="H732" t="str">
            <v>TELEPHONE EXCHANGE,KEONJHER</v>
          </cell>
          <cell r="I732" t="str">
            <v>10/31/2020 00:00:00</v>
          </cell>
          <cell r="J732">
            <v>1</v>
          </cell>
          <cell r="K732" t="str">
            <v xml:space="preserve"> </v>
          </cell>
          <cell r="L732" t="str">
            <v xml:space="preserve"> </v>
          </cell>
          <cell r="M732" t="str">
            <v>621000010231493106</v>
          </cell>
          <cell r="N732" t="str">
            <v>6210000006</v>
          </cell>
          <cell r="O732" t="str">
            <v>GP-178</v>
          </cell>
          <cell r="P732" t="str">
            <v>462112202</v>
          </cell>
          <cell r="Q732" t="str">
            <v>GENERAL PURPOSE &gt;= 110 KVA</v>
          </cell>
          <cell r="R732" t="str">
            <v>HT</v>
          </cell>
          <cell r="S732" t="str">
            <v>01/10/2023</v>
          </cell>
          <cell r="T732" t="str">
            <v>01/10/2023</v>
          </cell>
          <cell r="U732" t="str">
            <v>06/10/2023</v>
          </cell>
          <cell r="V732" t="str">
            <v>09/10/2023</v>
          </cell>
          <cell r="W732" t="str">
            <v>2023/09</v>
          </cell>
          <cell r="X732" t="str">
            <v>11 KV</v>
          </cell>
          <cell r="Y732" t="str">
            <v>HT</v>
          </cell>
          <cell r="Z732">
            <v>112.8</v>
          </cell>
          <cell r="AA732">
            <v>0.99850000000000005</v>
          </cell>
          <cell r="AB732">
            <v>69.23</v>
          </cell>
          <cell r="AC732" t="str">
            <v xml:space="preserve">01/09/2023 -     </v>
          </cell>
          <cell r="AD732" t="str">
            <v>30.09.2023</v>
          </cell>
          <cell r="AE732" t="str">
            <v>30/1.0000</v>
          </cell>
          <cell r="AF732">
            <v>141</v>
          </cell>
          <cell r="AG732" t="str">
            <v>KVA</v>
          </cell>
          <cell r="AH732">
            <v>141</v>
          </cell>
          <cell r="AI732" t="str">
            <v>R</v>
          </cell>
          <cell r="AJ732">
            <v>675876.34</v>
          </cell>
          <cell r="AK732" t="str">
            <v>30/09/2023</v>
          </cell>
          <cell r="AL732" t="str">
            <v>NES50442</v>
          </cell>
          <cell r="AM732" t="str">
            <v>THREE PHASE STATIC TRI-VECTOR METER-TOD</v>
          </cell>
          <cell r="AN732" t="str">
            <v>POST PAID</v>
          </cell>
          <cell r="AO732">
            <v>250</v>
          </cell>
          <cell r="AP732" t="str">
            <v>TOD</v>
          </cell>
          <cell r="AQ732">
            <v>-156448.84</v>
          </cell>
          <cell r="AR732">
            <v>0</v>
          </cell>
          <cell r="AS732">
            <v>0</v>
          </cell>
          <cell r="AT732">
            <v>0</v>
          </cell>
          <cell r="AU732">
            <v>0</v>
          </cell>
          <cell r="AV732">
            <v>0</v>
          </cell>
          <cell r="AW732">
            <v>36715</v>
          </cell>
          <cell r="AX732">
            <v>36767</v>
          </cell>
          <cell r="AY732">
            <v>36767</v>
          </cell>
          <cell r="AZ732">
            <v>907.92</v>
          </cell>
          <cell r="BA732">
            <v>73.760000000000005</v>
          </cell>
        </row>
        <row r="733">
          <cell r="F733">
            <v>621000000035</v>
          </cell>
          <cell r="G733" t="str">
            <v>THE CHIEF MANAGER , S.B.I.</v>
          </cell>
          <cell r="H733" t="str">
            <v>KEONJHAR,</v>
          </cell>
          <cell r="I733" t="str">
            <v>10/31/2020 00:00:00</v>
          </cell>
          <cell r="J733">
            <v>1</v>
          </cell>
          <cell r="K733" t="str">
            <v xml:space="preserve"> </v>
          </cell>
          <cell r="L733" t="str">
            <v xml:space="preserve"> </v>
          </cell>
          <cell r="M733" t="str">
            <v>621000010231495121</v>
          </cell>
          <cell r="N733" t="str">
            <v>6210000007</v>
          </cell>
          <cell r="O733" t="str">
            <v>GP-179</v>
          </cell>
          <cell r="P733" t="str">
            <v>462112202</v>
          </cell>
          <cell r="Q733" t="str">
            <v>GENERAL PURPOSE &gt;= 110 KVA</v>
          </cell>
          <cell r="R733" t="str">
            <v>HT</v>
          </cell>
          <cell r="S733" t="str">
            <v>01/10/2023</v>
          </cell>
          <cell r="T733" t="str">
            <v>01/10/2023</v>
          </cell>
          <cell r="U733" t="str">
            <v>06/10/2023</v>
          </cell>
          <cell r="V733" t="str">
            <v>09/10/2023</v>
          </cell>
          <cell r="W733" t="str">
            <v>2023/09</v>
          </cell>
          <cell r="X733" t="str">
            <v>11 KV</v>
          </cell>
          <cell r="Y733" t="str">
            <v>HT</v>
          </cell>
          <cell r="Z733">
            <v>154.4</v>
          </cell>
          <cell r="AA733">
            <v>0.99760000000000004</v>
          </cell>
          <cell r="AB733">
            <v>25.01</v>
          </cell>
          <cell r="AC733" t="str">
            <v xml:space="preserve">01/09/2023 -     </v>
          </cell>
          <cell r="AD733" t="str">
            <v>30.09.2023</v>
          </cell>
          <cell r="AE733" t="str">
            <v>30/1.0000</v>
          </cell>
          <cell r="AF733">
            <v>193</v>
          </cell>
          <cell r="AG733" t="str">
            <v>KVA</v>
          </cell>
          <cell r="AH733">
            <v>193</v>
          </cell>
          <cell r="AI733" t="str">
            <v>R</v>
          </cell>
          <cell r="AJ733">
            <v>387070</v>
          </cell>
          <cell r="AK733" t="str">
            <v>30/09/2023</v>
          </cell>
          <cell r="AL733" t="str">
            <v>TPNODL38111116</v>
          </cell>
          <cell r="AM733" t="str">
            <v>HT THREE PHASE 4 WIRE AMR/AMI COMPLAINT METER</v>
          </cell>
          <cell r="AN733" t="str">
            <v>SMART METER</v>
          </cell>
          <cell r="AO733">
            <v>250</v>
          </cell>
          <cell r="AP733" t="str">
            <v>TOD</v>
          </cell>
          <cell r="AQ733">
            <v>-197877.6</v>
          </cell>
          <cell r="AR733">
            <v>0</v>
          </cell>
          <cell r="AS733">
            <v>0</v>
          </cell>
          <cell r="AT733">
            <v>0</v>
          </cell>
          <cell r="AU733">
            <v>0</v>
          </cell>
          <cell r="AV733">
            <v>0</v>
          </cell>
          <cell r="AW733">
            <v>10369.469999999999</v>
          </cell>
          <cell r="AX733">
            <v>10394</v>
          </cell>
          <cell r="AY733">
            <v>10394</v>
          </cell>
          <cell r="AZ733">
            <v>0.19239999999999999</v>
          </cell>
          <cell r="BA733">
            <v>0.57719999999999994</v>
          </cell>
        </row>
        <row r="734">
          <cell r="F734">
            <v>621000000036</v>
          </cell>
          <cell r="G734" t="str">
            <v>THE PRINCIPAL GOVT. COLLEGE OF ENG.</v>
          </cell>
          <cell r="H734" t="str">
            <v>JAMUNALIA KEONJHAR,</v>
          </cell>
          <cell r="I734" t="str">
            <v>10/31/2020 00:00:00</v>
          </cell>
          <cell r="J734">
            <v>1</v>
          </cell>
          <cell r="K734" t="str">
            <v xml:space="preserve"> </v>
          </cell>
          <cell r="L734" t="str">
            <v xml:space="preserve"> </v>
          </cell>
          <cell r="M734" t="str">
            <v>621000010231493220</v>
          </cell>
          <cell r="N734" t="str">
            <v>6210000008</v>
          </cell>
          <cell r="O734" t="str">
            <v>SPP-180</v>
          </cell>
          <cell r="P734" t="str">
            <v>462112102</v>
          </cell>
          <cell r="Q734" t="str">
            <v>SPECIFIED PUBLIC PURPOSE</v>
          </cell>
          <cell r="R734" t="str">
            <v>HT</v>
          </cell>
          <cell r="S734" t="str">
            <v>01/10/2023</v>
          </cell>
          <cell r="T734" t="str">
            <v>01/10/2023</v>
          </cell>
          <cell r="U734" t="str">
            <v>06/10/2023</v>
          </cell>
          <cell r="V734" t="str">
            <v>09/10/2023</v>
          </cell>
          <cell r="W734" t="str">
            <v>2023/09</v>
          </cell>
          <cell r="X734" t="str">
            <v>11 KV</v>
          </cell>
          <cell r="Y734" t="str">
            <v>HT</v>
          </cell>
          <cell r="Z734">
            <v>195.6</v>
          </cell>
          <cell r="AA734">
            <v>0.98650000000000004</v>
          </cell>
          <cell r="AB734">
            <v>56.82</v>
          </cell>
          <cell r="AC734" t="str">
            <v xml:space="preserve">01/09/2023 -     </v>
          </cell>
          <cell r="AD734" t="str">
            <v>30.09.2023</v>
          </cell>
          <cell r="AE734" t="str">
            <v>30/1.0000</v>
          </cell>
          <cell r="AF734">
            <v>244.5</v>
          </cell>
          <cell r="AG734" t="str">
            <v>KVA</v>
          </cell>
          <cell r="AH734">
            <v>244.5</v>
          </cell>
          <cell r="AI734" t="str">
            <v>R</v>
          </cell>
          <cell r="AJ734">
            <v>568226</v>
          </cell>
          <cell r="AK734" t="str">
            <v>30/09/2023</v>
          </cell>
          <cell r="AL734" t="str">
            <v>TPN64718</v>
          </cell>
          <cell r="AM734" t="str">
            <v>HT THREE PHASE 4 WIRE AMR/AMI COMPLAINT METER</v>
          </cell>
          <cell r="AN734" t="str">
            <v>POST PAID</v>
          </cell>
          <cell r="AO734">
            <v>500</v>
          </cell>
          <cell r="AP734" t="str">
            <v>TOD</v>
          </cell>
          <cell r="AQ734">
            <v>-60797.3</v>
          </cell>
          <cell r="AR734">
            <v>0</v>
          </cell>
          <cell r="AS734">
            <v>0</v>
          </cell>
          <cell r="AT734">
            <v>0</v>
          </cell>
          <cell r="AU734">
            <v>0</v>
          </cell>
          <cell r="AV734">
            <v>0</v>
          </cell>
          <cell r="AW734">
            <v>56960</v>
          </cell>
          <cell r="AX734">
            <v>57736</v>
          </cell>
          <cell r="AY734">
            <v>57736</v>
          </cell>
          <cell r="AZ734">
            <v>1041.8399999999999</v>
          </cell>
          <cell r="BA734">
            <v>141.12</v>
          </cell>
        </row>
        <row r="735">
          <cell r="F735">
            <v>621000000037</v>
          </cell>
          <cell r="G735" t="str">
            <v>REGIONAL MANAGER. OMC LTD.</v>
          </cell>
          <cell r="H735" t="str">
            <v>GANDHAMARDAR IRON ORE MINES.</v>
          </cell>
          <cell r="I735" t="str">
            <v>10/31/2020 00:00:00</v>
          </cell>
          <cell r="J735">
            <v>1</v>
          </cell>
          <cell r="K735" t="str">
            <v xml:space="preserve"> </v>
          </cell>
          <cell r="L735" t="str">
            <v xml:space="preserve"> </v>
          </cell>
          <cell r="M735" t="str">
            <v>621000010231492855</v>
          </cell>
          <cell r="N735" t="str">
            <v>6210000009</v>
          </cell>
          <cell r="O735" t="str">
            <v>BDS-2</v>
          </cell>
          <cell r="P735" t="str">
            <v>462123601</v>
          </cell>
          <cell r="Q735" t="str">
            <v>BULK SUPPLY DOMESTIC</v>
          </cell>
          <cell r="R735" t="str">
            <v>HT</v>
          </cell>
          <cell r="S735" t="str">
            <v>01/10/2023</v>
          </cell>
          <cell r="T735" t="str">
            <v>01/10/2023</v>
          </cell>
          <cell r="U735" t="str">
            <v>09/10/2023</v>
          </cell>
          <cell r="V735" t="str">
            <v>09/10/2023</v>
          </cell>
          <cell r="W735" t="str">
            <v>2023/09</v>
          </cell>
          <cell r="X735" t="str">
            <v>11 KV</v>
          </cell>
          <cell r="Y735" t="str">
            <v>HT</v>
          </cell>
          <cell r="Z735">
            <v>167</v>
          </cell>
          <cell r="AA735">
            <v>0.98850000000000005</v>
          </cell>
          <cell r="AB735">
            <v>0</v>
          </cell>
          <cell r="AC735" t="str">
            <v xml:space="preserve">01/09/2023 -     </v>
          </cell>
          <cell r="AD735" t="str">
            <v>30.09.2023</v>
          </cell>
          <cell r="AE735" t="str">
            <v>30/1.0000</v>
          </cell>
          <cell r="AF735">
            <v>167</v>
          </cell>
          <cell r="AG735" t="str">
            <v>KVA</v>
          </cell>
          <cell r="AH735">
            <v>167</v>
          </cell>
          <cell r="AI735" t="str">
            <v>R</v>
          </cell>
          <cell r="AJ735">
            <v>288725</v>
          </cell>
          <cell r="AK735" t="str">
            <v>30/09/2023</v>
          </cell>
          <cell r="AL735" t="str">
            <v>NES52127</v>
          </cell>
          <cell r="AM735" t="str">
            <v>TRI-VECTOR METER FOR RAILWAY TRACTION</v>
          </cell>
          <cell r="AN735" t="str">
            <v>POST PAID</v>
          </cell>
          <cell r="AO735">
            <v>250</v>
          </cell>
          <cell r="AP735" t="str">
            <v>TOD</v>
          </cell>
          <cell r="AQ735">
            <v>19893</v>
          </cell>
          <cell r="AR735">
            <v>0</v>
          </cell>
          <cell r="AS735">
            <v>0</v>
          </cell>
          <cell r="AT735">
            <v>0</v>
          </cell>
          <cell r="AU735">
            <v>0</v>
          </cell>
          <cell r="AV735">
            <v>0</v>
          </cell>
          <cell r="AW735">
            <v>33032</v>
          </cell>
          <cell r="AX735">
            <v>33416</v>
          </cell>
          <cell r="AY735">
            <v>33416</v>
          </cell>
          <cell r="AZ735">
            <v>667.28</v>
          </cell>
          <cell r="BA735">
            <v>103.28</v>
          </cell>
        </row>
        <row r="736">
          <cell r="F736">
            <v>621000000038</v>
          </cell>
          <cell r="G736" t="str">
            <v>REGIONAL MANAGER, OMC LTD.</v>
          </cell>
          <cell r="H736" t="str">
            <v>GANDHAMARDAN IRIN ORE MINES</v>
          </cell>
          <cell r="I736" t="str">
            <v>10/31/2020 00:00:00</v>
          </cell>
          <cell r="J736">
            <v>1</v>
          </cell>
          <cell r="K736" t="str">
            <v xml:space="preserve"> </v>
          </cell>
          <cell r="L736" t="str">
            <v xml:space="preserve"> </v>
          </cell>
          <cell r="M736" t="str">
            <v>621000010231495170</v>
          </cell>
          <cell r="N736" t="str">
            <v>6210000010</v>
          </cell>
          <cell r="O736" t="str">
            <v>BDS-3</v>
          </cell>
          <cell r="P736" t="str">
            <v>462123602</v>
          </cell>
          <cell r="Q736" t="str">
            <v>GENERAL PURPOSE &gt;= 110 KVA</v>
          </cell>
          <cell r="R736" t="str">
            <v>HT</v>
          </cell>
          <cell r="S736" t="str">
            <v>01/10/2023</v>
          </cell>
          <cell r="T736" t="str">
            <v>01/10/2023</v>
          </cell>
          <cell r="U736" t="str">
            <v>06/10/2023</v>
          </cell>
          <cell r="V736" t="str">
            <v>09/10/2023</v>
          </cell>
          <cell r="W736" t="str">
            <v>2023/09</v>
          </cell>
          <cell r="X736" t="str">
            <v>11 KV</v>
          </cell>
          <cell r="Y736" t="str">
            <v>HT</v>
          </cell>
          <cell r="Z736">
            <v>184.64</v>
          </cell>
          <cell r="AA736">
            <v>0.97540000000000004</v>
          </cell>
          <cell r="AB736">
            <v>48.69</v>
          </cell>
          <cell r="AC736" t="str">
            <v xml:space="preserve">01/09/2023 -     </v>
          </cell>
          <cell r="AD736" t="str">
            <v>30.09.2023</v>
          </cell>
          <cell r="AE736" t="str">
            <v>30/1.0000</v>
          </cell>
          <cell r="AF736">
            <v>222</v>
          </cell>
          <cell r="AG736" t="str">
            <v>KVA</v>
          </cell>
          <cell r="AH736">
            <v>222</v>
          </cell>
          <cell r="AI736" t="str">
            <v>R</v>
          </cell>
          <cell r="AJ736">
            <v>794198.6</v>
          </cell>
          <cell r="AK736" t="str">
            <v>30/09/2023</v>
          </cell>
          <cell r="AL736" t="str">
            <v>NSC95021</v>
          </cell>
          <cell r="AM736" t="str">
            <v>THREE PHASE STATIC TRI-VECTOR METER</v>
          </cell>
          <cell r="AN736" t="str">
            <v>BI DIRECTIONAL</v>
          </cell>
          <cell r="AO736">
            <v>250</v>
          </cell>
          <cell r="AP736" t="str">
            <v>TOD</v>
          </cell>
          <cell r="AQ736">
            <v>-12588.86</v>
          </cell>
          <cell r="AR736">
            <v>0</v>
          </cell>
          <cell r="AS736">
            <v>0</v>
          </cell>
          <cell r="AT736">
            <v>0</v>
          </cell>
          <cell r="AU736">
            <v>0</v>
          </cell>
          <cell r="AV736">
            <v>0</v>
          </cell>
          <cell r="AW736">
            <v>63144</v>
          </cell>
          <cell r="AX736">
            <v>64734</v>
          </cell>
          <cell r="AY736">
            <v>64734</v>
          </cell>
          <cell r="AZ736">
            <v>0.46160000000000001</v>
          </cell>
          <cell r="BA736">
            <v>184.64000000000001</v>
          </cell>
        </row>
        <row r="737">
          <cell r="F737">
            <v>621000000040</v>
          </cell>
          <cell r="G737" t="str">
            <v>M/S ALL INDIA RADIO</v>
          </cell>
          <cell r="H737" t="str">
            <v>GHUTUR,KEONJHAR</v>
          </cell>
          <cell r="I737" t="str">
            <v>10/31/2020 00:00:00</v>
          </cell>
          <cell r="J737">
            <v>1</v>
          </cell>
          <cell r="K737" t="str">
            <v xml:space="preserve"> </v>
          </cell>
          <cell r="L737" t="str">
            <v xml:space="preserve"> </v>
          </cell>
          <cell r="M737" t="str">
            <v>621000010231493318</v>
          </cell>
          <cell r="N737" t="str">
            <v>6210000012</v>
          </cell>
          <cell r="O737" t="str">
            <v>GP182</v>
          </cell>
          <cell r="P737" t="str">
            <v>462112204</v>
          </cell>
          <cell r="Q737" t="str">
            <v>GENERAL PURPOSE &gt;= 110 KVA</v>
          </cell>
          <cell r="R737" t="str">
            <v>HT</v>
          </cell>
          <cell r="S737" t="str">
            <v>01/10/2023</v>
          </cell>
          <cell r="T737" t="str">
            <v>01/10/2023</v>
          </cell>
          <cell r="U737" t="str">
            <v>06/10/2023</v>
          </cell>
          <cell r="V737" t="str">
            <v>09/10/2023</v>
          </cell>
          <cell r="W737" t="str">
            <v>2023/09</v>
          </cell>
          <cell r="X737" t="str">
            <v>11 KV</v>
          </cell>
          <cell r="Y737" t="str">
            <v>HT</v>
          </cell>
          <cell r="Z737">
            <v>104</v>
          </cell>
          <cell r="AA737">
            <v>0.89559999999999995</v>
          </cell>
          <cell r="AB737">
            <v>55.72</v>
          </cell>
          <cell r="AC737" t="str">
            <v xml:space="preserve">01/09/2023 -     </v>
          </cell>
          <cell r="AD737" t="str">
            <v>30.09.2023</v>
          </cell>
          <cell r="AE737" t="str">
            <v>30/1.0000</v>
          </cell>
          <cell r="AF737">
            <v>130</v>
          </cell>
          <cell r="AG737" t="str">
            <v>KVA</v>
          </cell>
          <cell r="AH737">
            <v>130</v>
          </cell>
          <cell r="AI737" t="str">
            <v>R</v>
          </cell>
          <cell r="AJ737">
            <v>358967.75</v>
          </cell>
          <cell r="AK737" t="str">
            <v>30/09/2023</v>
          </cell>
          <cell r="AL737" t="str">
            <v>NES50965</v>
          </cell>
          <cell r="AM737" t="str">
            <v>TRI-VECTOR METER FOR RAILWAY TRACTION</v>
          </cell>
          <cell r="AN737" t="str">
            <v>POST PAID</v>
          </cell>
          <cell r="AO737">
            <v>200</v>
          </cell>
          <cell r="AP737" t="str">
            <v>TOD</v>
          </cell>
          <cell r="AQ737">
            <v>-167936.65</v>
          </cell>
          <cell r="AR737">
            <v>0</v>
          </cell>
          <cell r="AS737">
            <v>0</v>
          </cell>
          <cell r="AT737">
            <v>0</v>
          </cell>
          <cell r="AU737">
            <v>0</v>
          </cell>
          <cell r="AV737">
            <v>0</v>
          </cell>
          <cell r="AW737">
            <v>11787</v>
          </cell>
          <cell r="AX737">
            <v>13160</v>
          </cell>
          <cell r="AY737">
            <v>13160</v>
          </cell>
          <cell r="AZ737">
            <v>265.04000000000002</v>
          </cell>
          <cell r="BA737">
            <v>32.800000000000004</v>
          </cell>
        </row>
        <row r="738">
          <cell r="F738">
            <v>621000000041</v>
          </cell>
          <cell r="G738" t="str">
            <v>M/S KASHVI POWER &amp; STEEL P.LTD.</v>
          </cell>
          <cell r="H738" t="str">
            <v>MINING ROAD,KEONJHAR</v>
          </cell>
          <cell r="I738" t="str">
            <v>10/31/2020 00:00:00</v>
          </cell>
          <cell r="J738">
            <v>1</v>
          </cell>
          <cell r="K738" t="str">
            <v xml:space="preserve"> </v>
          </cell>
          <cell r="L738" t="str">
            <v xml:space="preserve"> </v>
          </cell>
          <cell r="M738" t="str">
            <v>621000010231493223</v>
          </cell>
          <cell r="N738" t="str">
            <v>6210000013</v>
          </cell>
          <cell r="O738" t="str">
            <v>GP183</v>
          </cell>
          <cell r="P738" t="str">
            <v>462112204</v>
          </cell>
          <cell r="Q738" t="str">
            <v>GENERAL PURPOSE &gt;= 110 KVA</v>
          </cell>
          <cell r="R738" t="str">
            <v>HT</v>
          </cell>
          <cell r="S738" t="str">
            <v>01/10/2023</v>
          </cell>
          <cell r="T738" t="str">
            <v>01/10/2023</v>
          </cell>
          <cell r="U738" t="str">
            <v>06/10/2023</v>
          </cell>
          <cell r="V738" t="str">
            <v>09/10/2023</v>
          </cell>
          <cell r="W738" t="str">
            <v>2023/09</v>
          </cell>
          <cell r="X738" t="str">
            <v>11 KV</v>
          </cell>
          <cell r="Y738" t="str">
            <v>HT</v>
          </cell>
          <cell r="Z738">
            <v>400</v>
          </cell>
          <cell r="AA738">
            <v>0.98099999999999998</v>
          </cell>
          <cell r="AB738">
            <v>42.38</v>
          </cell>
          <cell r="AC738" t="str">
            <v xml:space="preserve">01/09/2023 -     </v>
          </cell>
          <cell r="AD738" t="str">
            <v>30.09.2023</v>
          </cell>
          <cell r="AE738" t="str">
            <v>30/1.0000</v>
          </cell>
          <cell r="AF738">
            <v>500</v>
          </cell>
          <cell r="AG738" t="str">
            <v>KVA</v>
          </cell>
          <cell r="AH738">
            <v>500</v>
          </cell>
          <cell r="AI738" t="str">
            <v>R</v>
          </cell>
          <cell r="AJ738">
            <v>1220600</v>
          </cell>
          <cell r="AK738" t="str">
            <v>30/09/2023</v>
          </cell>
          <cell r="AL738" t="str">
            <v>NES50975</v>
          </cell>
          <cell r="AM738" t="str">
            <v>TRI-VECTOR METER FOR RAILWAY TRACTION</v>
          </cell>
          <cell r="AN738" t="str">
            <v>POST PAID</v>
          </cell>
          <cell r="AO738">
            <v>750</v>
          </cell>
          <cell r="AP738" t="str">
            <v>TOD</v>
          </cell>
          <cell r="AQ738">
            <v>-679182.3</v>
          </cell>
          <cell r="AR738">
            <v>0</v>
          </cell>
          <cell r="AS738">
            <v>0</v>
          </cell>
          <cell r="AT738">
            <v>0</v>
          </cell>
          <cell r="AU738">
            <v>0</v>
          </cell>
          <cell r="AV738">
            <v>0</v>
          </cell>
          <cell r="AW738">
            <v>58551</v>
          </cell>
          <cell r="AX738">
            <v>59682</v>
          </cell>
          <cell r="AY738">
            <v>59682</v>
          </cell>
          <cell r="AZ738">
            <v>2170.8000000000002</v>
          </cell>
          <cell r="BA738">
            <v>195.6</v>
          </cell>
        </row>
        <row r="739">
          <cell r="F739">
            <v>621000000042</v>
          </cell>
          <cell r="G739" t="str">
            <v>M/S B.L. RICE MILL (P) LTD.</v>
          </cell>
          <cell r="H739" t="str">
            <v>GUHALCHATUA,DIMIRIMUNDAKEONJHAR</v>
          </cell>
          <cell r="I739" t="str">
            <v>10/31/2020 00:00:00</v>
          </cell>
          <cell r="J739">
            <v>1</v>
          </cell>
          <cell r="K739" t="str">
            <v xml:space="preserve"> </v>
          </cell>
          <cell r="L739" t="str">
            <v xml:space="preserve"> </v>
          </cell>
          <cell r="M739" t="str">
            <v>621000010231493331</v>
          </cell>
          <cell r="N739" t="str">
            <v>6210000014</v>
          </cell>
          <cell r="O739" t="str">
            <v>L-184</v>
          </cell>
          <cell r="P739" t="str">
            <v>462121402</v>
          </cell>
          <cell r="Q739" t="str">
            <v>LARGE INDUSTRY</v>
          </cell>
          <cell r="R739" t="str">
            <v>HT</v>
          </cell>
          <cell r="S739" t="str">
            <v>01/10/2023</v>
          </cell>
          <cell r="T739" t="str">
            <v>01/10/2023</v>
          </cell>
          <cell r="U739" t="str">
            <v>06/10/2023</v>
          </cell>
          <cell r="V739" t="str">
            <v>09/10/2023</v>
          </cell>
          <cell r="W739" t="str">
            <v>2023/09</v>
          </cell>
          <cell r="X739" t="str">
            <v>11 KV</v>
          </cell>
          <cell r="Y739" t="str">
            <v>HT</v>
          </cell>
          <cell r="Z739">
            <v>172.92</v>
          </cell>
          <cell r="AA739">
            <v>0.58779999999999999</v>
          </cell>
          <cell r="AB739">
            <v>45.66</v>
          </cell>
          <cell r="AC739" t="str">
            <v xml:space="preserve">01/09/2023 -     </v>
          </cell>
          <cell r="AD739" t="str">
            <v>30.09.2023</v>
          </cell>
          <cell r="AE739" t="str">
            <v>30/1.0000</v>
          </cell>
          <cell r="AF739">
            <v>201</v>
          </cell>
          <cell r="AG739" t="str">
            <v>KVA</v>
          </cell>
          <cell r="AH739">
            <v>201</v>
          </cell>
          <cell r="AI739" t="str">
            <v>R</v>
          </cell>
          <cell r="AJ739">
            <v>409914</v>
          </cell>
          <cell r="AK739" t="str">
            <v>30/09/2023</v>
          </cell>
          <cell r="AL739" t="str">
            <v>NES50973</v>
          </cell>
          <cell r="AM739" t="str">
            <v>SINGLE PHASE ELECTRO-MAGNETIC KWH METER-TOD</v>
          </cell>
          <cell r="AN739" t="str">
            <v>POST PAID</v>
          </cell>
          <cell r="AO739">
            <v>250</v>
          </cell>
          <cell r="AP739" t="str">
            <v>TOD</v>
          </cell>
          <cell r="AQ739">
            <v>35261.300000000003</v>
          </cell>
          <cell r="AR739">
            <v>0</v>
          </cell>
          <cell r="AS739">
            <v>0</v>
          </cell>
          <cell r="AT739">
            <v>0</v>
          </cell>
          <cell r="AU739">
            <v>0</v>
          </cell>
          <cell r="AV739">
            <v>0</v>
          </cell>
          <cell r="AW739">
            <v>33416</v>
          </cell>
          <cell r="AX739">
            <v>56848</v>
          </cell>
          <cell r="AY739">
            <v>56848</v>
          </cell>
          <cell r="AZ739">
            <v>1152.72</v>
          </cell>
          <cell r="BA739">
            <v>172.92000000000002</v>
          </cell>
        </row>
        <row r="740">
          <cell r="F740">
            <v>621000000043</v>
          </cell>
          <cell r="G740" t="str">
            <v>JITENDRA KU. SAHOO</v>
          </cell>
          <cell r="H740" t="str">
            <v>DHABADIHA CHHACK,KEONJHAR</v>
          </cell>
          <cell r="I740" t="str">
            <v>10/31/2020 00:00:00</v>
          </cell>
          <cell r="J740">
            <v>1</v>
          </cell>
          <cell r="K740" t="str">
            <v xml:space="preserve"> </v>
          </cell>
          <cell r="L740" t="str">
            <v xml:space="preserve"> </v>
          </cell>
          <cell r="M740" t="str">
            <v>621000010231493320</v>
          </cell>
          <cell r="N740" t="str">
            <v>6210000015</v>
          </cell>
          <cell r="O740" t="str">
            <v>GP185</v>
          </cell>
          <cell r="P740" t="str">
            <v>462112201</v>
          </cell>
          <cell r="Q740" t="str">
            <v>GENERAL PURPOSE &gt;= 110 KVA</v>
          </cell>
          <cell r="R740" t="str">
            <v>HT</v>
          </cell>
          <cell r="S740" t="str">
            <v>01/10/2023</v>
          </cell>
          <cell r="T740" t="str">
            <v>01/10/2023</v>
          </cell>
          <cell r="U740" t="str">
            <v>06/10/2023</v>
          </cell>
          <cell r="V740" t="str">
            <v>09/10/2023</v>
          </cell>
          <cell r="W740" t="str">
            <v>2023/09</v>
          </cell>
          <cell r="X740" t="str">
            <v>11 KV</v>
          </cell>
          <cell r="Y740" t="str">
            <v>HT</v>
          </cell>
          <cell r="Z740">
            <v>160</v>
          </cell>
          <cell r="AA740">
            <v>0.98960000000000004</v>
          </cell>
          <cell r="AB740">
            <v>21.53</v>
          </cell>
          <cell r="AC740" t="str">
            <v xml:space="preserve">01/09/2023 -     </v>
          </cell>
          <cell r="AD740" t="str">
            <v>30.09.2023</v>
          </cell>
          <cell r="AE740" t="str">
            <v>30/1.0000</v>
          </cell>
          <cell r="AF740">
            <v>200</v>
          </cell>
          <cell r="AG740" t="str">
            <v>KVA</v>
          </cell>
          <cell r="AH740">
            <v>200</v>
          </cell>
          <cell r="AI740" t="str">
            <v>R</v>
          </cell>
          <cell r="AJ740">
            <v>488240</v>
          </cell>
          <cell r="AK740" t="str">
            <v>30/09/2023</v>
          </cell>
          <cell r="AL740" t="str">
            <v>NES52129</v>
          </cell>
          <cell r="AM740" t="str">
            <v>TRI-VECTOR METER FOR RAILWAY TRACTION</v>
          </cell>
          <cell r="AN740" t="str">
            <v>POST PAID</v>
          </cell>
          <cell r="AO740">
            <v>315</v>
          </cell>
          <cell r="AP740" t="str">
            <v>TOD</v>
          </cell>
          <cell r="AQ740">
            <v>-289356.3</v>
          </cell>
          <cell r="AR740">
            <v>0</v>
          </cell>
          <cell r="AS740">
            <v>0</v>
          </cell>
          <cell r="AT740">
            <v>0</v>
          </cell>
          <cell r="AU740">
            <v>0</v>
          </cell>
          <cell r="AV740">
            <v>0</v>
          </cell>
          <cell r="AW740">
            <v>14579</v>
          </cell>
          <cell r="AX740">
            <v>14731</v>
          </cell>
          <cell r="AY740">
            <v>14731</v>
          </cell>
          <cell r="AZ740">
            <v>758.4</v>
          </cell>
          <cell r="BA740">
            <v>95.04</v>
          </cell>
        </row>
        <row r="741">
          <cell r="F741">
            <v>621000000044</v>
          </cell>
          <cell r="G741" t="str">
            <v>DISTRICT HEADQUATER HOSPITAL</v>
          </cell>
          <cell r="H741" t="str">
            <v>KEONJHAR,</v>
          </cell>
          <cell r="I741" t="str">
            <v>10/31/2020 00:00:00</v>
          </cell>
          <cell r="J741">
            <v>1</v>
          </cell>
          <cell r="K741" t="str">
            <v xml:space="preserve"> </v>
          </cell>
          <cell r="L741" t="str">
            <v xml:space="preserve"> </v>
          </cell>
          <cell r="M741" t="str">
            <v>621000010231493451</v>
          </cell>
          <cell r="N741" t="str">
            <v>6210000016</v>
          </cell>
          <cell r="O741" t="str">
            <v>SPP186</v>
          </cell>
          <cell r="P741" t="str">
            <v>46280424001</v>
          </cell>
          <cell r="Q741" t="str">
            <v>SPECIFIED PUBLIC PURPOSE</v>
          </cell>
          <cell r="R741" t="str">
            <v>HT</v>
          </cell>
          <cell r="S741" t="str">
            <v>01/10/2023</v>
          </cell>
          <cell r="T741" t="str">
            <v>01/10/2023</v>
          </cell>
          <cell r="U741" t="str">
            <v>06/10/2023</v>
          </cell>
          <cell r="V741" t="str">
            <v>09/10/2023</v>
          </cell>
          <cell r="W741" t="str">
            <v>2023/09</v>
          </cell>
          <cell r="X741" t="str">
            <v>33 KV</v>
          </cell>
          <cell r="Y741" t="str">
            <v>HT</v>
          </cell>
          <cell r="Z741">
            <v>596</v>
          </cell>
          <cell r="AA741">
            <v>0.98350000000000004</v>
          </cell>
          <cell r="AB741">
            <v>62.25</v>
          </cell>
          <cell r="AC741" t="str">
            <v xml:space="preserve">01/09/2023 -     </v>
          </cell>
          <cell r="AD741" t="str">
            <v>30.09.2023</v>
          </cell>
          <cell r="AE741" t="str">
            <v>30/1.0000</v>
          </cell>
          <cell r="AF741">
            <v>745</v>
          </cell>
          <cell r="AG741" t="str">
            <v>KVA</v>
          </cell>
          <cell r="AH741">
            <v>745</v>
          </cell>
          <cell r="AI741" t="str">
            <v>R</v>
          </cell>
          <cell r="AJ741">
            <v>2180764</v>
          </cell>
          <cell r="AK741" t="str">
            <v>30/09/2023</v>
          </cell>
          <cell r="AL741" t="str">
            <v>TPN64494</v>
          </cell>
          <cell r="AM741" t="str">
            <v>HT THREE PHASE 4 WIRE AMR/AMI COMPLAINT METER</v>
          </cell>
          <cell r="AN741" t="str">
            <v>POST PAID</v>
          </cell>
          <cell r="AO741">
            <v>1000</v>
          </cell>
          <cell r="AP741" t="str">
            <v>TOD</v>
          </cell>
          <cell r="AQ741">
            <v>-1030665.1</v>
          </cell>
          <cell r="AR741">
            <v>0</v>
          </cell>
          <cell r="AS741">
            <v>0</v>
          </cell>
          <cell r="AT741">
            <v>0</v>
          </cell>
          <cell r="AU741">
            <v>0</v>
          </cell>
          <cell r="AV741">
            <v>0</v>
          </cell>
          <cell r="AW741">
            <v>171230</v>
          </cell>
          <cell r="AX741">
            <v>174087</v>
          </cell>
          <cell r="AY741">
            <v>174087</v>
          </cell>
          <cell r="AZ741">
            <v>1590.12</v>
          </cell>
          <cell r="BA741">
            <v>388.44</v>
          </cell>
        </row>
        <row r="742">
          <cell r="F742">
            <v>621000000045</v>
          </cell>
          <cell r="G742" t="str">
            <v>EXECUTIVE ENGINEER</v>
          </cell>
          <cell r="H742" t="str">
            <v>PH DIVISION,KEONJHAR</v>
          </cell>
          <cell r="I742" t="str">
            <v>10/31/2020 00:00:00</v>
          </cell>
          <cell r="J742">
            <v>1</v>
          </cell>
          <cell r="K742" t="str">
            <v xml:space="preserve"> </v>
          </cell>
          <cell r="L742" t="str">
            <v xml:space="preserve"> </v>
          </cell>
          <cell r="M742" t="str">
            <v>621000010231493441</v>
          </cell>
          <cell r="N742" t="str">
            <v>6210000017</v>
          </cell>
          <cell r="O742" t="str">
            <v>PWW187</v>
          </cell>
          <cell r="P742" t="str">
            <v>46280424003</v>
          </cell>
          <cell r="Q742" t="str">
            <v>PUBLIC WATER WORKS &amp; SEWERAGE PUMPING</v>
          </cell>
          <cell r="R742" t="str">
            <v>HT</v>
          </cell>
          <cell r="S742" t="str">
            <v>01/10/2023</v>
          </cell>
          <cell r="T742" t="str">
            <v>01/10/2023</v>
          </cell>
          <cell r="U742" t="str">
            <v>09/10/2023</v>
          </cell>
          <cell r="V742" t="str">
            <v>09/10/2023</v>
          </cell>
          <cell r="W742" t="str">
            <v>2023/09</v>
          </cell>
          <cell r="X742" t="str">
            <v>33 KV</v>
          </cell>
          <cell r="Y742" t="str">
            <v>HT</v>
          </cell>
          <cell r="Z742">
            <v>232</v>
          </cell>
          <cell r="AA742">
            <v>0.99339999999999995</v>
          </cell>
          <cell r="AB742">
            <v>57.42</v>
          </cell>
          <cell r="AC742" t="str">
            <v xml:space="preserve">01/09/2023 -     </v>
          </cell>
          <cell r="AD742" t="str">
            <v>30.09.2023</v>
          </cell>
          <cell r="AE742" t="str">
            <v>30/1.0000</v>
          </cell>
          <cell r="AF742">
            <v>290</v>
          </cell>
          <cell r="AG742" t="str">
            <v>KVA</v>
          </cell>
          <cell r="AH742">
            <v>290</v>
          </cell>
          <cell r="AI742" t="str">
            <v>R</v>
          </cell>
          <cell r="AJ742">
            <v>1121372</v>
          </cell>
          <cell r="AK742" t="str">
            <v>30/09/2023</v>
          </cell>
          <cell r="AL742" t="str">
            <v>NES82984</v>
          </cell>
          <cell r="AM742" t="str">
            <v>THREE PHASE HT CT METER-33KV</v>
          </cell>
          <cell r="AN742" t="str">
            <v>POST PAID</v>
          </cell>
          <cell r="AO742">
            <v>400</v>
          </cell>
          <cell r="AP742" t="str">
            <v>TOD</v>
          </cell>
          <cell r="AQ742">
            <v>-407232.9</v>
          </cell>
          <cell r="AR742">
            <v>0</v>
          </cell>
          <cell r="AS742">
            <v>0</v>
          </cell>
          <cell r="AT742">
            <v>0</v>
          </cell>
          <cell r="AU742">
            <v>0</v>
          </cell>
          <cell r="AV742">
            <v>0</v>
          </cell>
          <cell r="AW742">
            <v>68604</v>
          </cell>
          <cell r="AX742">
            <v>69057</v>
          </cell>
          <cell r="AY742">
            <v>69057</v>
          </cell>
          <cell r="AZ742">
            <v>1085.04</v>
          </cell>
          <cell r="BA742">
            <v>167.04</v>
          </cell>
        </row>
        <row r="743">
          <cell r="F743">
            <v>621000000046</v>
          </cell>
          <cell r="G743" t="str">
            <v>M/S BAITARANI RICE MILL</v>
          </cell>
          <cell r="H743" t="str">
            <v>GULIDIPOSHI,SWAMPATNAKEONJHAR</v>
          </cell>
          <cell r="I743" t="str">
            <v>10/31/2020 00:00:00</v>
          </cell>
          <cell r="J743">
            <v>1</v>
          </cell>
          <cell r="K743" t="str">
            <v xml:space="preserve"> </v>
          </cell>
          <cell r="L743" t="str">
            <v xml:space="preserve"> </v>
          </cell>
          <cell r="M743" t="str">
            <v>621000010231492971</v>
          </cell>
          <cell r="N743" t="str">
            <v>6210000018</v>
          </cell>
          <cell r="O743" t="str">
            <v>L-188</v>
          </cell>
          <cell r="P743" t="str">
            <v>462131701</v>
          </cell>
          <cell r="Q743" t="str">
            <v>LARGE INDUSTRY</v>
          </cell>
          <cell r="R743" t="str">
            <v>HT</v>
          </cell>
          <cell r="S743" t="str">
            <v>01/10/2023</v>
          </cell>
          <cell r="T743" t="str">
            <v>01/10/2023</v>
          </cell>
          <cell r="U743" t="str">
            <v>06/10/2023</v>
          </cell>
          <cell r="V743" t="str">
            <v>09/10/2023</v>
          </cell>
          <cell r="W743" t="str">
            <v>2023/09</v>
          </cell>
          <cell r="X743" t="str">
            <v>11 KV</v>
          </cell>
          <cell r="Y743" t="str">
            <v>HT</v>
          </cell>
          <cell r="Z743">
            <v>282.48</v>
          </cell>
          <cell r="AA743">
            <v>0.99170000000000003</v>
          </cell>
          <cell r="AB743">
            <v>44.16</v>
          </cell>
          <cell r="AC743" t="str">
            <v xml:space="preserve">01/09/2023 -     </v>
          </cell>
          <cell r="AD743" t="str">
            <v>30.09.2023</v>
          </cell>
          <cell r="AE743" t="str">
            <v>30/1.0000</v>
          </cell>
          <cell r="AF743">
            <v>245</v>
          </cell>
          <cell r="AG743" t="str">
            <v>KVA</v>
          </cell>
          <cell r="AH743">
            <v>245</v>
          </cell>
          <cell r="AI743" t="str">
            <v>R</v>
          </cell>
          <cell r="AJ743">
            <v>1231547</v>
          </cell>
          <cell r="AK743" t="str">
            <v>30/09/2023</v>
          </cell>
          <cell r="AL743" t="str">
            <v>TPN64007</v>
          </cell>
          <cell r="AM743" t="str">
            <v>HT THREE PHASE 4 WIRE AMR/AMI COMPLAINT METER</v>
          </cell>
          <cell r="AN743" t="str">
            <v>POST PAID</v>
          </cell>
          <cell r="AO743">
            <v>315</v>
          </cell>
          <cell r="AP743" t="str">
            <v>TOD</v>
          </cell>
          <cell r="AQ743">
            <v>-524817.26</v>
          </cell>
          <cell r="AR743">
            <v>0</v>
          </cell>
          <cell r="AS743">
            <v>0</v>
          </cell>
          <cell r="AT743">
            <v>0</v>
          </cell>
          <cell r="AU743">
            <v>0</v>
          </cell>
          <cell r="AV743">
            <v>0</v>
          </cell>
          <cell r="AW743">
            <v>89067</v>
          </cell>
          <cell r="AX743">
            <v>89807</v>
          </cell>
          <cell r="AY743">
            <v>89807</v>
          </cell>
          <cell r="AZ743">
            <v>1743.84</v>
          </cell>
          <cell r="BA743">
            <v>282.48</v>
          </cell>
        </row>
        <row r="744">
          <cell r="F744">
            <v>621000000048</v>
          </cell>
          <cell r="G744" t="str">
            <v>M/S SREE METALIKS LTD.</v>
          </cell>
          <cell r="H744" t="str">
            <v>ANRA,SUAKATI, KEONJHAR</v>
          </cell>
          <cell r="I744" t="str">
            <v>10/31/2020 00:00:00</v>
          </cell>
          <cell r="J744">
            <v>1</v>
          </cell>
          <cell r="K744" t="str">
            <v xml:space="preserve"> </v>
          </cell>
          <cell r="L744" t="str">
            <v xml:space="preserve"> </v>
          </cell>
          <cell r="M744" t="str">
            <v>621000010231492954</v>
          </cell>
          <cell r="N744" t="str">
            <v>6210000020</v>
          </cell>
          <cell r="O744" t="str">
            <v xml:space="preserve"> </v>
          </cell>
          <cell r="P744" t="str">
            <v>NULL</v>
          </cell>
          <cell r="Q744" t="str">
            <v>LARGE INDUSTRY</v>
          </cell>
          <cell r="R744" t="str">
            <v>HT</v>
          </cell>
          <cell r="S744" t="str">
            <v>01/10/2023</v>
          </cell>
          <cell r="T744" t="str">
            <v>01/10/2023</v>
          </cell>
          <cell r="U744" t="str">
            <v>06/10/2023</v>
          </cell>
          <cell r="V744" t="str">
            <v>09/10/2023</v>
          </cell>
          <cell r="W744" t="str">
            <v>2023/09</v>
          </cell>
          <cell r="X744" t="str">
            <v>33 KV</v>
          </cell>
          <cell r="Y744" t="str">
            <v>HT</v>
          </cell>
          <cell r="Z744">
            <v>7339.2</v>
          </cell>
          <cell r="AA744">
            <v>0.96640000000000004</v>
          </cell>
          <cell r="AB744">
            <v>82.34</v>
          </cell>
          <cell r="AC744" t="str">
            <v xml:space="preserve">01/09/2023 -     </v>
          </cell>
          <cell r="AD744" t="str">
            <v>30.09.2023</v>
          </cell>
          <cell r="AE744" t="str">
            <v>30/1.0000</v>
          </cell>
          <cell r="AF744">
            <v>7500</v>
          </cell>
          <cell r="AG744" t="str">
            <v>KVA</v>
          </cell>
          <cell r="AH744">
            <v>7500</v>
          </cell>
          <cell r="AI744" t="str">
            <v>R</v>
          </cell>
          <cell r="AJ744">
            <v>61384000.019599997</v>
          </cell>
          <cell r="AK744" t="str">
            <v>30/09/2023</v>
          </cell>
          <cell r="AL744" t="str">
            <v>NES83117</v>
          </cell>
          <cell r="AM744" t="str">
            <v>THREE PHASE HT CT METER-33KV</v>
          </cell>
          <cell r="AN744" t="str">
            <v>POST PAID</v>
          </cell>
          <cell r="AO744">
            <v>17300</v>
          </cell>
          <cell r="AP744" t="str">
            <v>TOD</v>
          </cell>
          <cell r="AQ744">
            <v>6677770.2000000002</v>
          </cell>
          <cell r="AR744">
            <v>0</v>
          </cell>
          <cell r="AS744">
            <v>0</v>
          </cell>
          <cell r="AT744">
            <v>0</v>
          </cell>
          <cell r="AU744">
            <v>0</v>
          </cell>
          <cell r="AV744">
            <v>0</v>
          </cell>
          <cell r="AW744">
            <v>4205040</v>
          </cell>
          <cell r="AX744">
            <v>4350960</v>
          </cell>
          <cell r="AY744">
            <v>4350960</v>
          </cell>
          <cell r="AZ744">
            <v>39619.199999999997</v>
          </cell>
          <cell r="BA744">
            <v>7339.2000000000007</v>
          </cell>
        </row>
        <row r="745">
          <cell r="F745">
            <v>621000000052</v>
          </cell>
          <cell r="G745" t="str">
            <v>SATYABHAMA MAHAPATRA</v>
          </cell>
          <cell r="H745" t="str">
            <v>MINING ROAD,KEONJHAR</v>
          </cell>
          <cell r="I745" t="str">
            <v>10/31/2020 00:00:00</v>
          </cell>
          <cell r="J745">
            <v>1</v>
          </cell>
          <cell r="K745" t="str">
            <v xml:space="preserve"> </v>
          </cell>
          <cell r="L745" t="str">
            <v xml:space="preserve"> </v>
          </cell>
          <cell r="M745" t="str">
            <v>621000010231493537</v>
          </cell>
          <cell r="N745" t="str">
            <v>6210000024</v>
          </cell>
          <cell r="O745" t="str">
            <v>GP194</v>
          </cell>
          <cell r="P745" t="str">
            <v>462112201</v>
          </cell>
          <cell r="Q745" t="str">
            <v>GENERAL PURPOSE &gt;= 110 KVA</v>
          </cell>
          <cell r="R745" t="str">
            <v>HT</v>
          </cell>
          <cell r="S745" t="str">
            <v>01/10/2023</v>
          </cell>
          <cell r="T745" t="str">
            <v>01/10/2023</v>
          </cell>
          <cell r="U745" t="str">
            <v>06/10/2023</v>
          </cell>
          <cell r="V745" t="str">
            <v>09/10/2023</v>
          </cell>
          <cell r="W745" t="str">
            <v>2023/09</v>
          </cell>
          <cell r="X745" t="str">
            <v>11 KV</v>
          </cell>
          <cell r="Y745" t="str">
            <v>HT</v>
          </cell>
          <cell r="Z745">
            <v>149.6</v>
          </cell>
          <cell r="AA745">
            <v>0.99680000000000002</v>
          </cell>
          <cell r="AB745">
            <v>31.59</v>
          </cell>
          <cell r="AC745" t="str">
            <v xml:space="preserve">01/09/2023 -     </v>
          </cell>
          <cell r="AD745" t="str">
            <v>30.09.2023</v>
          </cell>
          <cell r="AE745" t="str">
            <v>30/1.0000</v>
          </cell>
          <cell r="AF745">
            <v>187</v>
          </cell>
          <cell r="AG745" t="str">
            <v>KVA</v>
          </cell>
          <cell r="AH745">
            <v>187</v>
          </cell>
          <cell r="AI745" t="str">
            <v>R</v>
          </cell>
          <cell r="AJ745">
            <v>463775</v>
          </cell>
          <cell r="AK745" t="str">
            <v>30/09/2023</v>
          </cell>
          <cell r="AL745" t="str">
            <v>NSC94807</v>
          </cell>
          <cell r="AM745" t="str">
            <v>SINGLE PHASE ELECTRO-MAGNETIC KWH METER-TOD</v>
          </cell>
          <cell r="AN745" t="str">
            <v>POST PAID</v>
          </cell>
          <cell r="AO745">
            <v>250</v>
          </cell>
          <cell r="AP745" t="str">
            <v>TOD</v>
          </cell>
          <cell r="AQ745">
            <v>-164557.29999999999</v>
          </cell>
          <cell r="AR745">
            <v>0</v>
          </cell>
          <cell r="AS745">
            <v>0</v>
          </cell>
          <cell r="AT745">
            <v>0</v>
          </cell>
          <cell r="AU745">
            <v>0</v>
          </cell>
          <cell r="AV745">
            <v>0</v>
          </cell>
          <cell r="AW745">
            <v>23505</v>
          </cell>
          <cell r="AX745">
            <v>23580</v>
          </cell>
          <cell r="AY745">
            <v>23580</v>
          </cell>
          <cell r="AZ745">
            <v>728.88</v>
          </cell>
          <cell r="BA745">
            <v>103.68</v>
          </cell>
        </row>
        <row r="746">
          <cell r="F746">
            <v>621000000053</v>
          </cell>
          <cell r="G746" t="str">
            <v>POWER GRID CORPORATION INDIA</v>
          </cell>
          <cell r="H746" t="str">
            <v>400/220KV GRID,NARANPURKEONJHAR</v>
          </cell>
          <cell r="I746" t="str">
            <v>10/31/2020 00:00:00</v>
          </cell>
          <cell r="J746">
            <v>1</v>
          </cell>
          <cell r="K746" t="str">
            <v xml:space="preserve"> </v>
          </cell>
          <cell r="L746" t="str">
            <v xml:space="preserve"> </v>
          </cell>
          <cell r="M746" t="str">
            <v>621000010231493450</v>
          </cell>
          <cell r="N746" t="str">
            <v>6210000025</v>
          </cell>
          <cell r="O746" t="str">
            <v>GP195</v>
          </cell>
          <cell r="P746" t="str">
            <v>NULL</v>
          </cell>
          <cell r="Q746" t="str">
            <v>GENERAL PURPOSE &gt;= 110 KVA</v>
          </cell>
          <cell r="R746" t="str">
            <v>HT</v>
          </cell>
          <cell r="S746" t="str">
            <v>01/10/2023</v>
          </cell>
          <cell r="T746" t="str">
            <v>01/10/2023</v>
          </cell>
          <cell r="U746" t="str">
            <v>06/10/2023</v>
          </cell>
          <cell r="V746" t="str">
            <v>09/10/2023</v>
          </cell>
          <cell r="W746" t="str">
            <v>2023/09</v>
          </cell>
          <cell r="X746" t="str">
            <v>33 KV</v>
          </cell>
          <cell r="Y746" t="str">
            <v>HT</v>
          </cell>
          <cell r="Z746">
            <v>170.4</v>
          </cell>
          <cell r="AA746">
            <v>0.90559999999999996</v>
          </cell>
          <cell r="AB746">
            <v>58.61</v>
          </cell>
          <cell r="AC746" t="str">
            <v xml:space="preserve">01/09/2023 -     </v>
          </cell>
          <cell r="AD746" t="str">
            <v>30.09.2023</v>
          </cell>
          <cell r="AE746" t="str">
            <v>30/1.0000</v>
          </cell>
          <cell r="AF746">
            <v>213</v>
          </cell>
          <cell r="AG746" t="str">
            <v>KVA</v>
          </cell>
          <cell r="AH746">
            <v>213</v>
          </cell>
          <cell r="AI746" t="str">
            <v>R</v>
          </cell>
          <cell r="AJ746">
            <v>623494</v>
          </cell>
          <cell r="AK746" t="str">
            <v>30/09/2023</v>
          </cell>
          <cell r="AL746" t="str">
            <v>TPN64923</v>
          </cell>
          <cell r="AM746" t="str">
            <v>THREE PHASE HT CT METER-33KV</v>
          </cell>
          <cell r="AN746" t="str">
            <v>POST PAID</v>
          </cell>
          <cell r="AO746">
            <v>630</v>
          </cell>
          <cell r="AP746" t="str">
            <v>TOD</v>
          </cell>
          <cell r="AQ746">
            <v>544440.80000000005</v>
          </cell>
          <cell r="AR746">
            <v>0</v>
          </cell>
          <cell r="AS746">
            <v>0</v>
          </cell>
          <cell r="AT746">
            <v>0</v>
          </cell>
          <cell r="AU746">
            <v>0</v>
          </cell>
          <cell r="AV746">
            <v>0</v>
          </cell>
          <cell r="AW746">
            <v>28264</v>
          </cell>
          <cell r="AX746">
            <v>31208</v>
          </cell>
          <cell r="AY746">
            <v>31208</v>
          </cell>
          <cell r="AZ746">
            <v>545.19849999999997</v>
          </cell>
          <cell r="BA746">
            <v>73.950800000000001</v>
          </cell>
        </row>
        <row r="747">
          <cell r="F747">
            <v>621000000054</v>
          </cell>
          <cell r="G747" t="str">
            <v>INDUS TOWERS LTD</v>
          </cell>
          <cell r="H747" t="str">
            <v>ATTOPUR,KEONJHAR</v>
          </cell>
          <cell r="I747" t="str">
            <v>10/31/2020 00:00:00</v>
          </cell>
          <cell r="J747">
            <v>1</v>
          </cell>
          <cell r="K747" t="str">
            <v xml:space="preserve"> </v>
          </cell>
          <cell r="L747" t="str">
            <v xml:space="preserve"> </v>
          </cell>
          <cell r="M747" t="str">
            <v>621000010231493544</v>
          </cell>
          <cell r="N747" t="str">
            <v>6210000026</v>
          </cell>
          <cell r="O747" t="str">
            <v>GP196</v>
          </cell>
          <cell r="P747" t="str">
            <v>462112101</v>
          </cell>
          <cell r="Q747" t="str">
            <v>GENERAL PURPOSE &gt;= 110 KVA</v>
          </cell>
          <cell r="R747" t="str">
            <v>HT</v>
          </cell>
          <cell r="S747" t="str">
            <v>01/10/2023</v>
          </cell>
          <cell r="T747" t="str">
            <v>01/10/2023</v>
          </cell>
          <cell r="U747" t="str">
            <v>06/10/2023</v>
          </cell>
          <cell r="V747" t="str">
            <v>09/10/2023</v>
          </cell>
          <cell r="W747" t="str">
            <v>2023/09</v>
          </cell>
          <cell r="X747" t="str">
            <v>11 KV</v>
          </cell>
          <cell r="Y747" t="str">
            <v>HT</v>
          </cell>
          <cell r="Z747">
            <v>94.4</v>
          </cell>
          <cell r="AA747">
            <v>0.95269999999999999</v>
          </cell>
          <cell r="AB747">
            <v>72.78</v>
          </cell>
          <cell r="AC747" t="str">
            <v xml:space="preserve">01/09/2023 -     </v>
          </cell>
          <cell r="AD747" t="str">
            <v>30.09.2023</v>
          </cell>
          <cell r="AE747" t="str">
            <v>30/1.0000</v>
          </cell>
          <cell r="AF747">
            <v>118</v>
          </cell>
          <cell r="AG747" t="str">
            <v>KVA</v>
          </cell>
          <cell r="AH747">
            <v>118</v>
          </cell>
          <cell r="AI747" t="str">
            <v>R</v>
          </cell>
          <cell r="AJ747">
            <v>344520</v>
          </cell>
          <cell r="AK747" t="str">
            <v>30/09/2023</v>
          </cell>
          <cell r="AL747" t="str">
            <v>NSC94914</v>
          </cell>
          <cell r="AM747" t="str">
            <v>TRI-VECTOR METER FOR RAILWAY TRACTION</v>
          </cell>
          <cell r="AN747" t="str">
            <v>POST PAID</v>
          </cell>
          <cell r="AO747">
            <v>160</v>
          </cell>
          <cell r="AP747" t="str">
            <v>TOD</v>
          </cell>
          <cell r="AQ747">
            <v>30010.9</v>
          </cell>
          <cell r="AR747">
            <v>0</v>
          </cell>
          <cell r="AS747">
            <v>0</v>
          </cell>
          <cell r="AT747">
            <v>0</v>
          </cell>
          <cell r="AU747">
            <v>0</v>
          </cell>
          <cell r="AV747">
            <v>0</v>
          </cell>
          <cell r="AW747">
            <v>25521</v>
          </cell>
          <cell r="AX747">
            <v>26787</v>
          </cell>
          <cell r="AY747">
            <v>26787</v>
          </cell>
          <cell r="AZ747">
            <v>406.56</v>
          </cell>
          <cell r="BA747">
            <v>51.12</v>
          </cell>
        </row>
        <row r="748">
          <cell r="F748">
            <v>621000000055</v>
          </cell>
          <cell r="G748" t="str">
            <v>THE CHIFE DISTRICT MEDICAL OFFICER</v>
          </cell>
          <cell r="H748" t="str">
            <v>COVID HOSPITAL,RANKI , KEONJHAR</v>
          </cell>
          <cell r="I748" t="str">
            <v>10/31/2020 00:00:00</v>
          </cell>
          <cell r="J748">
            <v>1</v>
          </cell>
          <cell r="K748" t="str">
            <v xml:space="preserve"> </v>
          </cell>
          <cell r="L748" t="str">
            <v xml:space="preserve"> </v>
          </cell>
          <cell r="M748" t="str">
            <v>621000010231494899</v>
          </cell>
          <cell r="N748" t="str">
            <v>6210000027</v>
          </cell>
          <cell r="O748" t="str">
            <v>GP197</v>
          </cell>
          <cell r="P748" t="str">
            <v>462112101</v>
          </cell>
          <cell r="Q748" t="str">
            <v>TEMP. SUPPLY GENERAL PURPOSE &gt;= 110 KVA</v>
          </cell>
          <cell r="R748" t="str">
            <v>HT</v>
          </cell>
          <cell r="S748" t="str">
            <v>01/10/2023</v>
          </cell>
          <cell r="T748" t="str">
            <v>01/10/2023</v>
          </cell>
          <cell r="U748" t="str">
            <v>06/10/2023</v>
          </cell>
          <cell r="V748" t="str">
            <v>09/10/2023</v>
          </cell>
          <cell r="W748" t="str">
            <v>2023/09</v>
          </cell>
          <cell r="X748" t="str">
            <v>11 KV</v>
          </cell>
          <cell r="Y748" t="str">
            <v>HT</v>
          </cell>
          <cell r="Z748">
            <v>264</v>
          </cell>
          <cell r="AA748">
            <v>0.51359999999999995</v>
          </cell>
          <cell r="AB748">
            <v>46.56</v>
          </cell>
          <cell r="AC748" t="str">
            <v xml:space="preserve">01/09/2023 -     </v>
          </cell>
          <cell r="AD748" t="str">
            <v>30.09.2023</v>
          </cell>
          <cell r="AE748" t="str">
            <v>30/1.0000</v>
          </cell>
          <cell r="AF748">
            <v>330</v>
          </cell>
          <cell r="AG748" t="str">
            <v>KVA</v>
          </cell>
          <cell r="AH748">
            <v>330</v>
          </cell>
          <cell r="AI748" t="str">
            <v>R</v>
          </cell>
          <cell r="AJ748">
            <v>818427</v>
          </cell>
          <cell r="AK748" t="str">
            <v>30/09/2023</v>
          </cell>
          <cell r="AL748" t="str">
            <v>TPNODL38111115</v>
          </cell>
          <cell r="AM748" t="str">
            <v>HT THREE PHASE 4 WIRE AMR/AMI COMPLAINT METER</v>
          </cell>
          <cell r="AN748" t="str">
            <v>SMART METER</v>
          </cell>
          <cell r="AO748">
            <v>500</v>
          </cell>
          <cell r="AP748" t="str">
            <v>TOD</v>
          </cell>
          <cell r="AQ748">
            <v>-122643.78</v>
          </cell>
          <cell r="AR748">
            <v>0</v>
          </cell>
          <cell r="AS748">
            <v>0</v>
          </cell>
          <cell r="AT748">
            <v>0</v>
          </cell>
          <cell r="AU748">
            <v>0</v>
          </cell>
          <cell r="AV748">
            <v>0</v>
          </cell>
          <cell r="AW748">
            <v>8153</v>
          </cell>
          <cell r="AX748">
            <v>15873</v>
          </cell>
          <cell r="AY748">
            <v>15873</v>
          </cell>
          <cell r="AZ748">
            <v>99.35</v>
          </cell>
          <cell r="BA748">
            <v>47.35</v>
          </cell>
        </row>
        <row r="749">
          <cell r="F749">
            <v>621000000056</v>
          </cell>
          <cell r="G749" t="str">
            <v>M/S POWER GRID CORPORATION OF INDIA</v>
          </cell>
          <cell r="H749" t="str">
            <v>400/220KV S/S, NARANPUR</v>
          </cell>
          <cell r="I749" t="str">
            <v>01/07/2021 00:00:00</v>
          </cell>
          <cell r="J749">
            <v>1</v>
          </cell>
          <cell r="K749" t="str">
            <v xml:space="preserve"> </v>
          </cell>
          <cell r="L749" t="str">
            <v xml:space="preserve"> </v>
          </cell>
          <cell r="M749" t="str">
            <v>621000010231493039</v>
          </cell>
          <cell r="N749" t="str">
            <v>6210000028</v>
          </cell>
          <cell r="O749" t="str">
            <v>L-198</v>
          </cell>
          <cell r="P749" t="str">
            <v>46280424003</v>
          </cell>
          <cell r="Q749" t="str">
            <v>LARGE INDUSTRY</v>
          </cell>
          <cell r="R749" t="str">
            <v>HT</v>
          </cell>
          <cell r="S749" t="str">
            <v>01/10/2023</v>
          </cell>
          <cell r="T749" t="str">
            <v>01/10/2023</v>
          </cell>
          <cell r="U749" t="str">
            <v>06/10/2023</v>
          </cell>
          <cell r="V749" t="str">
            <v>09/10/2023</v>
          </cell>
          <cell r="W749" t="str">
            <v>2023/09</v>
          </cell>
          <cell r="X749" t="str">
            <v>33 KV</v>
          </cell>
          <cell r="Y749" t="str">
            <v>HT</v>
          </cell>
          <cell r="Z749">
            <v>160</v>
          </cell>
          <cell r="AA749">
            <v>1</v>
          </cell>
          <cell r="AB749">
            <v>35.92</v>
          </cell>
          <cell r="AC749" t="str">
            <v xml:space="preserve">01/09/2023 -     </v>
          </cell>
          <cell r="AD749" t="str">
            <v>30.09.2023</v>
          </cell>
          <cell r="AE749" t="str">
            <v>30/1.0000</v>
          </cell>
          <cell r="AF749">
            <v>200</v>
          </cell>
          <cell r="AG749" t="str">
            <v>KVA</v>
          </cell>
          <cell r="AH749">
            <v>200</v>
          </cell>
          <cell r="AI749" t="str">
            <v>R</v>
          </cell>
          <cell r="AJ749">
            <v>1022192</v>
          </cell>
          <cell r="AK749" t="str">
            <v>30/09/2023</v>
          </cell>
          <cell r="AL749" t="str">
            <v>NSC94438</v>
          </cell>
          <cell r="AM749" t="str">
            <v>THREE PHASE HT CT METER-33KV</v>
          </cell>
          <cell r="AN749" t="str">
            <v>POST PAID</v>
          </cell>
          <cell r="AO749">
            <v>630</v>
          </cell>
          <cell r="AP749" t="str">
            <v>TOD</v>
          </cell>
          <cell r="AQ749">
            <v>-937991.7</v>
          </cell>
          <cell r="AR749">
            <v>0</v>
          </cell>
          <cell r="AS749">
            <v>0</v>
          </cell>
          <cell r="AT749">
            <v>0</v>
          </cell>
          <cell r="AU749">
            <v>0</v>
          </cell>
          <cell r="AV749">
            <v>0</v>
          </cell>
          <cell r="AW749">
            <v>4593</v>
          </cell>
          <cell r="AX749">
            <v>4593</v>
          </cell>
          <cell r="AY749">
            <v>4593</v>
          </cell>
          <cell r="AZ749">
            <v>588.24</v>
          </cell>
          <cell r="BA749">
            <v>17.760000000000002</v>
          </cell>
        </row>
        <row r="750">
          <cell r="F750">
            <v>621000000057</v>
          </cell>
          <cell r="G750" t="str">
            <v>N/S KENDUJHAR AGRO MINERAL&amp; PROCESSING PVT LTD.</v>
          </cell>
          <cell r="H750" t="str">
            <v xml:space="preserve"> </v>
          </cell>
          <cell r="I750" t="str">
            <v>05/01/2021 00:00:00</v>
          </cell>
          <cell r="J750">
            <v>1</v>
          </cell>
          <cell r="K750" t="str">
            <v>AT-Jamunalia Po-Badaposi,Dist-keonjhar</v>
          </cell>
          <cell r="L750" t="str">
            <v xml:space="preserve"> </v>
          </cell>
          <cell r="M750" t="str">
            <v>621000010231492973</v>
          </cell>
          <cell r="N750" t="str">
            <v>132100000013</v>
          </cell>
          <cell r="O750" t="str">
            <v xml:space="preserve"> </v>
          </cell>
          <cell r="P750" t="str">
            <v>46280424003</v>
          </cell>
          <cell r="Q750" t="str">
            <v>LARGE INDUSTRY</v>
          </cell>
          <cell r="R750" t="str">
            <v>HT</v>
          </cell>
          <cell r="S750" t="str">
            <v>01/10/2023</v>
          </cell>
          <cell r="T750" t="str">
            <v>01/10/2023</v>
          </cell>
          <cell r="U750" t="str">
            <v>06/10/2023</v>
          </cell>
          <cell r="V750" t="str">
            <v>09/10/2023</v>
          </cell>
          <cell r="W750" t="str">
            <v>2023/09</v>
          </cell>
          <cell r="X750" t="str">
            <v>33 KV</v>
          </cell>
          <cell r="Y750" t="str">
            <v>HT</v>
          </cell>
          <cell r="Z750">
            <v>444</v>
          </cell>
          <cell r="AA750">
            <v>0.72370000000000001</v>
          </cell>
          <cell r="AB750">
            <v>5.94</v>
          </cell>
          <cell r="AC750" t="str">
            <v xml:space="preserve">01/09/2023 -     </v>
          </cell>
          <cell r="AD750" t="str">
            <v>30.09.2023</v>
          </cell>
          <cell r="AE750" t="str">
            <v>30/1.0000</v>
          </cell>
          <cell r="AF750">
            <v>555</v>
          </cell>
          <cell r="AG750" t="str">
            <v>KVA</v>
          </cell>
          <cell r="AH750">
            <v>555</v>
          </cell>
          <cell r="AI750" t="str">
            <v>R</v>
          </cell>
          <cell r="AJ750">
            <v>2937282</v>
          </cell>
          <cell r="AK750" t="str">
            <v>30/09/2023</v>
          </cell>
          <cell r="AL750" t="str">
            <v>NSC94454</v>
          </cell>
          <cell r="AM750" t="str">
            <v>THREE PHASE HT CT METER-33KV</v>
          </cell>
          <cell r="AN750" t="str">
            <v>POST PAID</v>
          </cell>
          <cell r="AO750">
            <v>630</v>
          </cell>
          <cell r="AP750" t="str">
            <v>TOD</v>
          </cell>
          <cell r="AQ750">
            <v>-2654289.9</v>
          </cell>
          <cell r="AR750">
            <v>0</v>
          </cell>
          <cell r="AS750">
            <v>0</v>
          </cell>
          <cell r="AT750">
            <v>0</v>
          </cell>
          <cell r="AU750">
            <v>0</v>
          </cell>
          <cell r="AV750">
            <v>0</v>
          </cell>
          <cell r="AW750">
            <v>12429</v>
          </cell>
          <cell r="AX750">
            <v>17172</v>
          </cell>
          <cell r="AY750">
            <v>17172</v>
          </cell>
          <cell r="AZ750">
            <v>2622.24</v>
          </cell>
          <cell r="BA750">
            <v>401.76</v>
          </cell>
        </row>
        <row r="751">
          <cell r="F751">
            <v>621000000058</v>
          </cell>
          <cell r="G751" t="str">
            <v>THE GENERAL MANAGER, CTTC, BBSR</v>
          </cell>
          <cell r="H751" t="str">
            <v>OSME CAMPUS</v>
          </cell>
          <cell r="I751" t="str">
            <v>08/03/2021 00:00:00</v>
          </cell>
          <cell r="J751">
            <v>1</v>
          </cell>
          <cell r="K751" t="str">
            <v>MINING ROAD</v>
          </cell>
          <cell r="L751" t="str">
            <v>KEONJHAR</v>
          </cell>
          <cell r="M751" t="str">
            <v>621000010231492888</v>
          </cell>
          <cell r="N751" t="str">
            <v>132100000658</v>
          </cell>
          <cell r="O751" t="str">
            <v>GP-200</v>
          </cell>
          <cell r="P751" t="str">
            <v>462112204</v>
          </cell>
          <cell r="Q751" t="str">
            <v>GENERAL PURPOSE &gt;= 110 KVA</v>
          </cell>
          <cell r="R751" t="str">
            <v>HT</v>
          </cell>
          <cell r="S751" t="str">
            <v>01/10/2023</v>
          </cell>
          <cell r="T751" t="str">
            <v>01/10/2023</v>
          </cell>
          <cell r="U751" t="str">
            <v>06/10/2023</v>
          </cell>
          <cell r="V751" t="str">
            <v>09/10/2023</v>
          </cell>
          <cell r="W751" t="str">
            <v>2023/09</v>
          </cell>
          <cell r="X751" t="str">
            <v>11 KV</v>
          </cell>
          <cell r="Y751" t="str">
            <v>HT</v>
          </cell>
          <cell r="Z751">
            <v>144</v>
          </cell>
          <cell r="AA751">
            <v>0.52329999999999999</v>
          </cell>
          <cell r="AB751">
            <v>37.33</v>
          </cell>
          <cell r="AC751" t="str">
            <v xml:space="preserve">01/09/2023 -     </v>
          </cell>
          <cell r="AD751" t="str">
            <v>30.09.2023</v>
          </cell>
          <cell r="AE751" t="str">
            <v>30/1.0000</v>
          </cell>
          <cell r="AF751">
            <v>180</v>
          </cell>
          <cell r="AG751" t="str">
            <v>KVA</v>
          </cell>
          <cell r="AH751">
            <v>180</v>
          </cell>
          <cell r="AI751" t="str">
            <v>R</v>
          </cell>
          <cell r="AJ751">
            <v>481406</v>
          </cell>
          <cell r="AK751" t="str">
            <v>30/09/2023</v>
          </cell>
          <cell r="AL751" t="str">
            <v>NSC94949</v>
          </cell>
          <cell r="AM751" t="str">
            <v>HT THREE PHASE 4 WIRE AMR/AMI COMPLAINT METER</v>
          </cell>
          <cell r="AN751" t="str">
            <v>POST PAID</v>
          </cell>
          <cell r="AO751">
            <v>250</v>
          </cell>
          <cell r="AP751" t="str">
            <v>TOD</v>
          </cell>
          <cell r="AQ751">
            <v>-363097.4</v>
          </cell>
          <cell r="AR751">
            <v>0</v>
          </cell>
          <cell r="AS751">
            <v>0</v>
          </cell>
          <cell r="AT751">
            <v>0</v>
          </cell>
          <cell r="AU751">
            <v>0</v>
          </cell>
          <cell r="AV751">
            <v>0</v>
          </cell>
          <cell r="AW751">
            <v>3646</v>
          </cell>
          <cell r="AX751">
            <v>6966</v>
          </cell>
          <cell r="AY751">
            <v>6966</v>
          </cell>
          <cell r="AZ751">
            <v>249.6</v>
          </cell>
          <cell r="BA751">
            <v>25.919999999999998</v>
          </cell>
        </row>
        <row r="752">
          <cell r="F752">
            <v>621000000059</v>
          </cell>
          <cell r="G752" t="str">
            <v>M/S MONTECARLO LIMITED</v>
          </cell>
          <cell r="H752" t="str">
            <v>TOOL PLAZA, CH NO-339+550</v>
          </cell>
          <cell r="I752" t="str">
            <v>11/02/2021 00:00:00</v>
          </cell>
          <cell r="J752">
            <v>1</v>
          </cell>
          <cell r="K752" t="str">
            <v>KHIRETANGIRI</v>
          </cell>
          <cell r="L752" t="str">
            <v>KEONJHAR</v>
          </cell>
          <cell r="M752" t="str">
            <v>621000010231492913</v>
          </cell>
          <cell r="N752" t="str">
            <v>132100012594</v>
          </cell>
          <cell r="O752" t="str">
            <v>GP-201</v>
          </cell>
          <cell r="P752" t="str">
            <v>462132301</v>
          </cell>
          <cell r="Q752" t="str">
            <v>GENERAL PURPOSE &gt;= 110 KVA</v>
          </cell>
          <cell r="R752" t="str">
            <v>HT</v>
          </cell>
          <cell r="S752" t="str">
            <v>01/10/2023</v>
          </cell>
          <cell r="T752" t="str">
            <v>01/10/2023</v>
          </cell>
          <cell r="U752" t="str">
            <v>06/10/2023</v>
          </cell>
          <cell r="V752" t="str">
            <v>09/10/2023</v>
          </cell>
          <cell r="W752" t="str">
            <v>2023/09</v>
          </cell>
          <cell r="X752" t="str">
            <v>11 KV</v>
          </cell>
          <cell r="Y752" t="str">
            <v>HT</v>
          </cell>
          <cell r="Z752">
            <v>111.2</v>
          </cell>
          <cell r="AA752">
            <v>0.98839999999999995</v>
          </cell>
          <cell r="AB752">
            <v>45.42</v>
          </cell>
          <cell r="AC752" t="str">
            <v xml:space="preserve">01/09/2023 -     </v>
          </cell>
          <cell r="AD752" t="str">
            <v>30.09.2023</v>
          </cell>
          <cell r="AE752" t="str">
            <v>30/1.0000</v>
          </cell>
          <cell r="AF752">
            <v>139</v>
          </cell>
          <cell r="AG752" t="str">
            <v>KVA</v>
          </cell>
          <cell r="AH752">
            <v>139</v>
          </cell>
          <cell r="AI752" t="str">
            <v>R</v>
          </cell>
          <cell r="AJ752">
            <v>371753</v>
          </cell>
          <cell r="AK752" t="str">
            <v>30/09/2023</v>
          </cell>
          <cell r="AL752" t="str">
            <v>NSC94881</v>
          </cell>
          <cell r="AM752" t="str">
            <v>HT THREE PHASE 4 WIRE AMR/AMI COMPLAINT METER</v>
          </cell>
          <cell r="AN752" t="str">
            <v>POST PAID</v>
          </cell>
          <cell r="AO752">
            <v>200</v>
          </cell>
          <cell r="AP752" t="str">
            <v>TOD</v>
          </cell>
          <cell r="AQ752">
            <v>-207413.2</v>
          </cell>
          <cell r="AR752">
            <v>0</v>
          </cell>
          <cell r="AS752">
            <v>0</v>
          </cell>
          <cell r="AT752">
            <v>0</v>
          </cell>
          <cell r="AU752">
            <v>0</v>
          </cell>
          <cell r="AV752">
            <v>0</v>
          </cell>
          <cell r="AW752">
            <v>16912</v>
          </cell>
          <cell r="AX752">
            <v>17110</v>
          </cell>
          <cell r="AY752">
            <v>17110</v>
          </cell>
          <cell r="AZ752">
            <v>382.72</v>
          </cell>
          <cell r="BA752">
            <v>52.32</v>
          </cell>
        </row>
        <row r="753">
          <cell r="F753">
            <v>621000000060</v>
          </cell>
          <cell r="G753" t="str">
            <v xml:space="preserve">PH  Associates Pvt. Ltd.   </v>
          </cell>
          <cell r="H753" t="str">
            <v xml:space="preserve">C/O Sri Hemendra Nath Sahoo        </v>
          </cell>
          <cell r="I753" t="str">
            <v>01/25/2021 00:00:00</v>
          </cell>
          <cell r="J753">
            <v>1</v>
          </cell>
          <cell r="K753" t="str">
            <v xml:space="preserve">HARIHARPUR                         </v>
          </cell>
          <cell r="L753" t="str">
            <v xml:space="preserve">MAIDANKEL                          </v>
          </cell>
          <cell r="M753" t="str">
            <v>621000010231492828</v>
          </cell>
          <cell r="N753" t="str">
            <v>36213025025</v>
          </cell>
          <cell r="O753" t="str">
            <v>TM367AAA</v>
          </cell>
          <cell r="P753" t="str">
            <v>462132303</v>
          </cell>
          <cell r="Q753" t="str">
            <v>ALLIED AGRICULTURE ACTIVITIES</v>
          </cell>
          <cell r="R753" t="str">
            <v>HT</v>
          </cell>
          <cell r="S753" t="str">
            <v>01/10/2023</v>
          </cell>
          <cell r="T753" t="str">
            <v>01/10/2023</v>
          </cell>
          <cell r="U753" t="str">
            <v>09/10/2023</v>
          </cell>
          <cell r="V753" t="str">
            <v>09/10/2023</v>
          </cell>
          <cell r="W753" t="str">
            <v>2023/09</v>
          </cell>
          <cell r="X753" t="str">
            <v>11 KV</v>
          </cell>
          <cell r="Y753" t="str">
            <v>HT</v>
          </cell>
          <cell r="Z753">
            <v>200</v>
          </cell>
          <cell r="AA753">
            <v>0.9335</v>
          </cell>
          <cell r="AB753">
            <v>20.239999999999998</v>
          </cell>
          <cell r="AC753" t="str">
            <v xml:space="preserve">01/09/2023 -     </v>
          </cell>
          <cell r="AD753" t="str">
            <v>30.09.2023</v>
          </cell>
          <cell r="AE753" t="str">
            <v>30/1.0000</v>
          </cell>
          <cell r="AF753">
            <v>200</v>
          </cell>
          <cell r="AG753" t="str">
            <v>KVA</v>
          </cell>
          <cell r="AH753">
            <v>200</v>
          </cell>
          <cell r="AI753" t="str">
            <v>R</v>
          </cell>
          <cell r="AJ753">
            <v>377696</v>
          </cell>
          <cell r="AK753" t="str">
            <v>30/09/2023</v>
          </cell>
          <cell r="AL753" t="str">
            <v>NES50260</v>
          </cell>
          <cell r="AM753" t="str">
            <v>HT THREE PHASE 4 WIRE AMR/AMI COMPLAINT METER</v>
          </cell>
          <cell r="AN753" t="str">
            <v>POST PAID</v>
          </cell>
          <cell r="AO753">
            <v>250</v>
          </cell>
          <cell r="AP753" t="str">
            <v>TOD</v>
          </cell>
          <cell r="AQ753">
            <v>-325471</v>
          </cell>
          <cell r="AR753">
            <v>0</v>
          </cell>
          <cell r="AS753">
            <v>0</v>
          </cell>
          <cell r="AT753">
            <v>0</v>
          </cell>
          <cell r="AU753">
            <v>0</v>
          </cell>
          <cell r="AV753">
            <v>0</v>
          </cell>
          <cell r="AW753">
            <v>8142</v>
          </cell>
          <cell r="AX753">
            <v>8722</v>
          </cell>
          <cell r="AY753">
            <v>8722</v>
          </cell>
          <cell r="AZ753">
            <v>494.56</v>
          </cell>
          <cell r="BA753">
            <v>59.84</v>
          </cell>
        </row>
        <row r="754">
          <cell r="F754">
            <v>621000000061</v>
          </cell>
          <cell r="G754" t="str">
            <v>M/S MONTECARLO LIMITED</v>
          </cell>
          <cell r="H754" t="str">
            <v>TOLL PLAZA, CH NO-401+860</v>
          </cell>
          <cell r="I754" t="str">
            <v>01/01/2022 00:00:00</v>
          </cell>
          <cell r="J754">
            <v>1</v>
          </cell>
          <cell r="K754" t="str">
            <v>RUGUDI</v>
          </cell>
          <cell r="L754" t="str">
            <v>KEONJHAR</v>
          </cell>
          <cell r="M754" t="str">
            <v>621000010231492760</v>
          </cell>
          <cell r="N754" t="str">
            <v>132200010116</v>
          </cell>
          <cell r="O754" t="str">
            <v>GP-202</v>
          </cell>
          <cell r="P754" t="str">
            <v>462122203</v>
          </cell>
          <cell r="Q754" t="str">
            <v>GENERAL PURPOSE &gt;= 110 KVA</v>
          </cell>
          <cell r="R754" t="str">
            <v>HT</v>
          </cell>
          <cell r="S754" t="str">
            <v>01/10/2023</v>
          </cell>
          <cell r="T754" t="str">
            <v>01/10/2023</v>
          </cell>
          <cell r="U754" t="str">
            <v>06/10/2023</v>
          </cell>
          <cell r="V754" t="str">
            <v>09/10/2023</v>
          </cell>
          <cell r="W754" t="str">
            <v>2023/09</v>
          </cell>
          <cell r="X754" t="str">
            <v>11 KV</v>
          </cell>
          <cell r="Y754" t="str">
            <v>HT</v>
          </cell>
          <cell r="Z754">
            <v>111.2</v>
          </cell>
          <cell r="AA754">
            <v>0.89970000000000006</v>
          </cell>
          <cell r="AB754">
            <v>37.450000000000003</v>
          </cell>
          <cell r="AC754" t="str">
            <v xml:space="preserve">01/09/2023 -     </v>
          </cell>
          <cell r="AD754" t="str">
            <v>30.09.2023</v>
          </cell>
          <cell r="AE754" t="str">
            <v>30/1.0000</v>
          </cell>
          <cell r="AF754">
            <v>139</v>
          </cell>
          <cell r="AG754" t="str">
            <v>KVA</v>
          </cell>
          <cell r="AH754">
            <v>139</v>
          </cell>
          <cell r="AI754" t="str">
            <v>R</v>
          </cell>
          <cell r="AJ754">
            <v>371753</v>
          </cell>
          <cell r="AK754" t="str">
            <v>30/09/2023</v>
          </cell>
          <cell r="AL754" t="str">
            <v>NSC94441</v>
          </cell>
          <cell r="AM754" t="str">
            <v>HT THREE PHASE 4 WIRE AMR/AMI COMPLAINT METER</v>
          </cell>
          <cell r="AN754" t="str">
            <v>POST PAID</v>
          </cell>
          <cell r="AO754">
            <v>200</v>
          </cell>
          <cell r="AP754" t="str">
            <v>TOD</v>
          </cell>
          <cell r="AQ754">
            <v>-274512.7</v>
          </cell>
          <cell r="AR754">
            <v>0</v>
          </cell>
          <cell r="AS754">
            <v>0</v>
          </cell>
          <cell r="AT754">
            <v>0</v>
          </cell>
          <cell r="AU754">
            <v>0</v>
          </cell>
          <cell r="AV754">
            <v>0</v>
          </cell>
          <cell r="AW754">
            <v>8074</v>
          </cell>
          <cell r="AX754">
            <v>8974</v>
          </cell>
          <cell r="AY754">
            <v>8974</v>
          </cell>
          <cell r="AZ754">
            <v>358.56</v>
          </cell>
          <cell r="BA754">
            <v>33.28</v>
          </cell>
        </row>
        <row r="755">
          <cell r="F755">
            <v>621000000062</v>
          </cell>
          <cell r="G755" t="str">
            <v>SACHIDANANDA KHILAR</v>
          </cell>
          <cell r="H755" t="str">
            <v>MANOHARPUR</v>
          </cell>
          <cell r="I755" t="str">
            <v>06/02/2022 00:00:00</v>
          </cell>
          <cell r="J755">
            <v>1</v>
          </cell>
          <cell r="K755" t="str">
            <v>MANOHARPUR</v>
          </cell>
          <cell r="L755" t="str">
            <v>KEONJHAR</v>
          </cell>
          <cell r="M755" t="str">
            <v>621000010231493534</v>
          </cell>
          <cell r="N755" t="str">
            <v>132200070641</v>
          </cell>
          <cell r="O755" t="str">
            <v>L-203</v>
          </cell>
          <cell r="P755" t="str">
            <v>462121402</v>
          </cell>
          <cell r="Q755" t="str">
            <v>LARGE INDUSTRY</v>
          </cell>
          <cell r="R755" t="str">
            <v>HT</v>
          </cell>
          <cell r="S755" t="str">
            <v>01/10/2023</v>
          </cell>
          <cell r="T755" t="str">
            <v>01/10/2023</v>
          </cell>
          <cell r="U755" t="str">
            <v>06/10/2023</v>
          </cell>
          <cell r="V755" t="str">
            <v>09/10/2023</v>
          </cell>
          <cell r="W755" t="str">
            <v>2023/09</v>
          </cell>
          <cell r="X755" t="str">
            <v>11 KV</v>
          </cell>
          <cell r="Y755" t="str">
            <v>HT</v>
          </cell>
          <cell r="Z755">
            <v>164</v>
          </cell>
          <cell r="AA755">
            <v>0.46600000000000003</v>
          </cell>
          <cell r="AB755">
            <v>3.21</v>
          </cell>
          <cell r="AC755" t="str">
            <v xml:space="preserve">01/09/2023 -     </v>
          </cell>
          <cell r="AD755" t="str">
            <v>30.09.2023</v>
          </cell>
          <cell r="AE755" t="str">
            <v>30/1.0000</v>
          </cell>
          <cell r="AF755">
            <v>205</v>
          </cell>
          <cell r="AG755" t="str">
            <v>KVA</v>
          </cell>
          <cell r="AH755">
            <v>205</v>
          </cell>
          <cell r="AI755" t="str">
            <v>R</v>
          </cell>
          <cell r="AJ755">
            <v>1258372</v>
          </cell>
          <cell r="AK755" t="str">
            <v>30/09/2023</v>
          </cell>
          <cell r="AL755" t="str">
            <v>TPN64177</v>
          </cell>
          <cell r="AM755" t="str">
            <v>HT THREE PHASE 4 WIRE AMR/AMI COMPLAINT METER</v>
          </cell>
          <cell r="AN755" t="str">
            <v>POST PAID</v>
          </cell>
          <cell r="AO755">
            <v>250</v>
          </cell>
          <cell r="AP755" t="str">
            <v>TOD</v>
          </cell>
          <cell r="AQ755">
            <v>0</v>
          </cell>
          <cell r="AR755">
            <v>0</v>
          </cell>
          <cell r="AS755">
            <v>0</v>
          </cell>
          <cell r="AT755">
            <v>0</v>
          </cell>
          <cell r="AU755">
            <v>0</v>
          </cell>
          <cell r="AV755">
            <v>0</v>
          </cell>
          <cell r="AW755">
            <v>756</v>
          </cell>
          <cell r="AX755">
            <v>1622</v>
          </cell>
          <cell r="AY755">
            <v>1622</v>
          </cell>
          <cell r="AZ755">
            <v>484.96</v>
          </cell>
          <cell r="BA755">
            <v>70.08</v>
          </cell>
        </row>
        <row r="756">
          <cell r="F756">
            <v>621000000063</v>
          </cell>
          <cell r="G756" t="str">
            <v>M/S. M/S NARAYAN RICE MILL</v>
          </cell>
          <cell r="H756" t="str">
            <v xml:space="preserve"> </v>
          </cell>
          <cell r="I756" t="str">
            <v>07/13/2022 00:00:00</v>
          </cell>
          <cell r="J756">
            <v>1</v>
          </cell>
          <cell r="K756" t="str">
            <v>Kuaposi</v>
          </cell>
          <cell r="L756" t="str">
            <v>Keonjhar</v>
          </cell>
          <cell r="M756" t="str">
            <v>621000010231492836</v>
          </cell>
          <cell r="N756" t="str">
            <v>132200081143</v>
          </cell>
          <cell r="O756" t="str">
            <v xml:space="preserve"> </v>
          </cell>
          <cell r="P756" t="str">
            <v>46207422004</v>
          </cell>
          <cell r="Q756" t="str">
            <v>LARGE INDUSTRY</v>
          </cell>
          <cell r="R756" t="str">
            <v>HT</v>
          </cell>
          <cell r="S756" t="str">
            <v>01/10/2023</v>
          </cell>
          <cell r="T756" t="str">
            <v>01/10/2023</v>
          </cell>
          <cell r="U756" t="str">
            <v>06/10/2023</v>
          </cell>
          <cell r="V756" t="str">
            <v>09/10/2023</v>
          </cell>
          <cell r="W756" t="str">
            <v>2023/09</v>
          </cell>
          <cell r="X756" t="str">
            <v>33 KV</v>
          </cell>
          <cell r="Y756" t="str">
            <v>HT</v>
          </cell>
          <cell r="Z756">
            <v>762</v>
          </cell>
          <cell r="AA756">
            <v>0.96199999999999997</v>
          </cell>
          <cell r="AB756">
            <v>38.29</v>
          </cell>
          <cell r="AC756" t="str">
            <v xml:space="preserve">01/09/2023 -     </v>
          </cell>
          <cell r="AD756" t="str">
            <v>30.09.2023</v>
          </cell>
          <cell r="AE756" t="str">
            <v>30/1.0000</v>
          </cell>
          <cell r="AF756">
            <v>800</v>
          </cell>
          <cell r="AG756" t="str">
            <v>KVA</v>
          </cell>
          <cell r="AH756">
            <v>800</v>
          </cell>
          <cell r="AI756" t="str">
            <v>R</v>
          </cell>
          <cell r="AJ756">
            <v>4910720</v>
          </cell>
          <cell r="AK756" t="str">
            <v>30/09/2023</v>
          </cell>
          <cell r="AL756" t="str">
            <v>TPN64753</v>
          </cell>
          <cell r="AM756" t="str">
            <v>THREE PHASE HT CT METER-33KV</v>
          </cell>
          <cell r="AN756" t="str">
            <v>POST PAID</v>
          </cell>
          <cell r="AO756">
            <v>1000</v>
          </cell>
          <cell r="AP756" t="str">
            <v>TOD</v>
          </cell>
          <cell r="AQ756">
            <v>0</v>
          </cell>
          <cell r="AR756">
            <v>0</v>
          </cell>
          <cell r="AS756">
            <v>0</v>
          </cell>
          <cell r="AT756">
            <v>0</v>
          </cell>
          <cell r="AU756">
            <v>0</v>
          </cell>
          <cell r="AV756">
            <v>0</v>
          </cell>
          <cell r="AW756">
            <v>202110</v>
          </cell>
          <cell r="AX756">
            <v>210075</v>
          </cell>
          <cell r="AY756">
            <v>210075</v>
          </cell>
          <cell r="AZ756">
            <v>6268.8</v>
          </cell>
          <cell r="BA756">
            <v>762</v>
          </cell>
        </row>
        <row r="757">
          <cell r="F757">
            <v>621000000066</v>
          </cell>
          <cell r="G757" t="str">
            <v>EXECUTIVE ENGINEER MEGALIFT IRRIGATION PROJECT BHUBANESWAR</v>
          </cell>
          <cell r="H757" t="str">
            <v xml:space="preserve"> </v>
          </cell>
          <cell r="I757" t="str">
            <v>10/31/2022 00:00:00</v>
          </cell>
          <cell r="J757">
            <v>1</v>
          </cell>
          <cell r="K757" t="str">
            <v>ITAPOKHARI</v>
          </cell>
          <cell r="L757" t="str">
            <v>Keonjhar</v>
          </cell>
          <cell r="M757" t="str">
            <v>621000010231492810</v>
          </cell>
          <cell r="N757" t="str">
            <v>132202300052</v>
          </cell>
          <cell r="O757" t="str">
            <v xml:space="preserve"> </v>
          </cell>
          <cell r="P757" t="str">
            <v>46280424001</v>
          </cell>
          <cell r="Q757" t="str">
            <v>MEGA LIFT</v>
          </cell>
          <cell r="R757" t="str">
            <v>HT</v>
          </cell>
          <cell r="S757" t="str">
            <v>01/10/2023</v>
          </cell>
          <cell r="T757" t="str">
            <v>01/10/2023</v>
          </cell>
          <cell r="U757" t="str">
            <v>06/10/2023</v>
          </cell>
          <cell r="V757" t="str">
            <v>09/10/2023</v>
          </cell>
          <cell r="W757" t="str">
            <v>2023/09</v>
          </cell>
          <cell r="X757" t="str">
            <v>33 KV</v>
          </cell>
          <cell r="Y757" t="str">
            <v>HT</v>
          </cell>
          <cell r="Z757">
            <v>720</v>
          </cell>
          <cell r="AA757">
            <v>0.98729999999999996</v>
          </cell>
          <cell r="AB757">
            <v>8.66</v>
          </cell>
          <cell r="AC757" t="str">
            <v xml:space="preserve">01/09/2023 -     </v>
          </cell>
          <cell r="AD757" t="str">
            <v>30.09.2023</v>
          </cell>
          <cell r="AE757" t="str">
            <v>30/1.0000</v>
          </cell>
          <cell r="AF757">
            <v>900</v>
          </cell>
          <cell r="AG757" t="str">
            <v>KVA</v>
          </cell>
          <cell r="AH757">
            <v>900</v>
          </cell>
          <cell r="AI757" t="str">
            <v>R</v>
          </cell>
          <cell r="AJ757">
            <v>1496880</v>
          </cell>
          <cell r="AK757" t="str">
            <v>30/09/2023</v>
          </cell>
          <cell r="AL757" t="str">
            <v>TPN64767</v>
          </cell>
          <cell r="AM757" t="str">
            <v>THREE PHASE HT CT METER-33KV</v>
          </cell>
          <cell r="AN757" t="str">
            <v>POST PAID</v>
          </cell>
          <cell r="AO757">
            <v>1000</v>
          </cell>
          <cell r="AP757" t="str">
            <v>TOD</v>
          </cell>
          <cell r="AQ757">
            <v>0</v>
          </cell>
          <cell r="AR757">
            <v>0</v>
          </cell>
          <cell r="AS757">
            <v>0</v>
          </cell>
          <cell r="AT757">
            <v>0</v>
          </cell>
          <cell r="AU757">
            <v>0</v>
          </cell>
          <cell r="AV757">
            <v>0</v>
          </cell>
          <cell r="AW757">
            <v>44136</v>
          </cell>
          <cell r="AX757">
            <v>44700</v>
          </cell>
          <cell r="AY757">
            <v>44700</v>
          </cell>
          <cell r="AZ757">
            <v>1577.52</v>
          </cell>
          <cell r="BA757">
            <v>716.64</v>
          </cell>
        </row>
        <row r="758">
          <cell r="F758">
            <v>621000000068</v>
          </cell>
          <cell r="G758" t="str">
            <v>THE EXECUTIVE ENGINEER, RWSS DIVISION, ANANDPUR</v>
          </cell>
          <cell r="H758" t="str">
            <v>DAMAHUDA</v>
          </cell>
          <cell r="I758" t="str">
            <v>01/25/2023 00:00:00</v>
          </cell>
          <cell r="J758">
            <v>1</v>
          </cell>
          <cell r="K758" t="str">
            <v>BANBIR</v>
          </cell>
          <cell r="L758" t="str">
            <v>TURUMUNGA</v>
          </cell>
          <cell r="M758" t="str">
            <v>621000010231492794</v>
          </cell>
          <cell r="N758" t="str">
            <v>132321225175</v>
          </cell>
          <cell r="O758" t="str">
            <v>NA</v>
          </cell>
          <cell r="P758" t="str">
            <v>NULL</v>
          </cell>
          <cell r="Q758" t="str">
            <v>PUBLIC WATER WORKS &amp; SEWERAGE PUMPING</v>
          </cell>
          <cell r="R758" t="str">
            <v>HT</v>
          </cell>
          <cell r="S758" t="str">
            <v>01/10/2023</v>
          </cell>
          <cell r="T758" t="str">
            <v>01/10/2023</v>
          </cell>
          <cell r="U758" t="str">
            <v>09/10/2023</v>
          </cell>
          <cell r="V758" t="str">
            <v>09/10/2023</v>
          </cell>
          <cell r="W758" t="str">
            <v>2023/09</v>
          </cell>
          <cell r="X758" t="str">
            <v>11 KV</v>
          </cell>
          <cell r="Y758" t="str">
            <v>HT</v>
          </cell>
          <cell r="Z758">
            <v>662.4</v>
          </cell>
          <cell r="AA758">
            <v>0.78859999999999997</v>
          </cell>
          <cell r="AB758">
            <v>7.21</v>
          </cell>
          <cell r="AC758" t="str">
            <v xml:space="preserve">01/09/2023 -     </v>
          </cell>
          <cell r="AD758" t="str">
            <v>30.09.2023</v>
          </cell>
          <cell r="AE758" t="str">
            <v>30/1.0000</v>
          </cell>
          <cell r="AF758">
            <v>828</v>
          </cell>
          <cell r="AG758" t="str">
            <v>KVA</v>
          </cell>
          <cell r="AH758">
            <v>828</v>
          </cell>
          <cell r="AI758" t="str">
            <v>R</v>
          </cell>
          <cell r="AJ758">
            <v>3818736</v>
          </cell>
          <cell r="AK758" t="str">
            <v>30/09/2023</v>
          </cell>
          <cell r="AL758" t="str">
            <v>TPN64095</v>
          </cell>
          <cell r="AM758" t="str">
            <v>HT THREE PHASE 4 WIRE AMR/AMI COMPLAINT METER</v>
          </cell>
          <cell r="AN758" t="str">
            <v>POST PAID</v>
          </cell>
          <cell r="AO758">
            <v>1000</v>
          </cell>
          <cell r="AP758" t="str">
            <v>TOD</v>
          </cell>
          <cell r="AQ758">
            <v>0</v>
          </cell>
          <cell r="AR758">
            <v>0</v>
          </cell>
          <cell r="AS758">
            <v>0</v>
          </cell>
          <cell r="AT758">
            <v>0</v>
          </cell>
          <cell r="AU758">
            <v>0</v>
          </cell>
          <cell r="AV758">
            <v>0</v>
          </cell>
          <cell r="AW758">
            <v>15490</v>
          </cell>
          <cell r="AX758">
            <v>19640</v>
          </cell>
          <cell r="AY758">
            <v>19640</v>
          </cell>
          <cell r="AZ758">
            <v>2700</v>
          </cell>
          <cell r="BA758">
            <v>378.40000000000003</v>
          </cell>
        </row>
        <row r="759">
          <cell r="F759">
            <v>621000000069</v>
          </cell>
          <cell r="G759" t="str">
            <v>EXECUTIVE OFFICER</v>
          </cell>
          <cell r="H759" t="str">
            <v>KEONJHARGARH MUNCIPALITY</v>
          </cell>
          <cell r="I759" t="str">
            <v>02/27/2023 00:00:00</v>
          </cell>
          <cell r="J759">
            <v>1</v>
          </cell>
          <cell r="K759" t="str">
            <v>KEONJHARGARH</v>
          </cell>
          <cell r="L759" t="str">
            <v>KEONJHARGARH</v>
          </cell>
          <cell r="M759" t="str">
            <v>621000010231492932</v>
          </cell>
          <cell r="N759" t="str">
            <v>132327532328</v>
          </cell>
          <cell r="O759" t="str">
            <v xml:space="preserve"> </v>
          </cell>
          <cell r="P759" t="str">
            <v>NULL</v>
          </cell>
          <cell r="Q759" t="str">
            <v>GENERAL PURPOSE &gt;= 110 KVA</v>
          </cell>
          <cell r="R759" t="str">
            <v>HT</v>
          </cell>
          <cell r="S759" t="str">
            <v>01/10/2023</v>
          </cell>
          <cell r="T759" t="str">
            <v>01/10/2023</v>
          </cell>
          <cell r="U759" t="str">
            <v>06/10/2023</v>
          </cell>
          <cell r="V759" t="str">
            <v>09/10/2023</v>
          </cell>
          <cell r="W759" t="str">
            <v>2023/09</v>
          </cell>
          <cell r="X759" t="str">
            <v>11 KV</v>
          </cell>
          <cell r="Y759" t="str">
            <v>HT</v>
          </cell>
          <cell r="Z759">
            <v>320</v>
          </cell>
          <cell r="AA759">
            <v>0.71630000000000005</v>
          </cell>
          <cell r="AB759">
            <v>7.32</v>
          </cell>
          <cell r="AC759" t="str">
            <v xml:space="preserve">01/09/2023 -     </v>
          </cell>
          <cell r="AD759" t="str">
            <v>30.09.2023</v>
          </cell>
          <cell r="AE759" t="str">
            <v>30/1.0000</v>
          </cell>
          <cell r="AF759">
            <v>400</v>
          </cell>
          <cell r="AG759" t="str">
            <v>KVA</v>
          </cell>
          <cell r="AH759">
            <v>400</v>
          </cell>
          <cell r="AI759" t="str">
            <v>R</v>
          </cell>
          <cell r="AJ759">
            <v>1463600</v>
          </cell>
          <cell r="AK759" t="str">
            <v>30/09/2023</v>
          </cell>
          <cell r="AL759" t="str">
            <v>TPN64307</v>
          </cell>
          <cell r="AM759" t="str">
            <v>HT THREE PHASE 4 WIRE AMR/AMI COMPLAINT METER</v>
          </cell>
          <cell r="AN759" t="str">
            <v>POST PAID</v>
          </cell>
          <cell r="AO759">
            <v>630</v>
          </cell>
          <cell r="AP759" t="str">
            <v>TOD</v>
          </cell>
          <cell r="AQ759">
            <v>0</v>
          </cell>
          <cell r="AR759">
            <v>0</v>
          </cell>
          <cell r="AS759">
            <v>0</v>
          </cell>
          <cell r="AT759">
            <v>0</v>
          </cell>
          <cell r="AU759">
            <v>0</v>
          </cell>
          <cell r="AV759">
            <v>0</v>
          </cell>
          <cell r="AW759">
            <v>7475</v>
          </cell>
          <cell r="AX759">
            <v>10435</v>
          </cell>
          <cell r="AY759">
            <v>10435</v>
          </cell>
          <cell r="AZ759">
            <v>1744</v>
          </cell>
          <cell r="BA759">
            <v>198</v>
          </cell>
        </row>
        <row r="760">
          <cell r="F760">
            <v>621000000070</v>
          </cell>
          <cell r="G760" t="str">
            <v>M/s Dean &amp; Principal, Dharanidhar Medical College &amp; Hospital, Keonjhar</v>
          </cell>
          <cell r="H760" t="str">
            <v>Kabitra</v>
          </cell>
          <cell r="I760" t="str">
            <v>04/27/2023 00:00:00</v>
          </cell>
          <cell r="J760">
            <v>1</v>
          </cell>
          <cell r="K760" t="str">
            <v>Keonjhar</v>
          </cell>
          <cell r="L760" t="str">
            <v>Keonjhar</v>
          </cell>
          <cell r="M760" t="str">
            <v>621000010231492965</v>
          </cell>
          <cell r="N760" t="str">
            <v>132328048820</v>
          </cell>
          <cell r="O760" t="str">
            <v xml:space="preserve"> </v>
          </cell>
          <cell r="P760" t="str">
            <v>NULL</v>
          </cell>
          <cell r="Q760" t="str">
            <v>SPECIFIED PUBLIC PURPOSE</v>
          </cell>
          <cell r="R760" t="str">
            <v>HT</v>
          </cell>
          <cell r="S760" t="str">
            <v>01/10/2023</v>
          </cell>
          <cell r="T760" t="str">
            <v>01/10/2023</v>
          </cell>
          <cell r="U760" t="str">
            <v>06/10/2023</v>
          </cell>
          <cell r="V760" t="str">
            <v>09/10/2023</v>
          </cell>
          <cell r="W760" t="str">
            <v>2023/09</v>
          </cell>
          <cell r="X760" t="str">
            <v>33 KV</v>
          </cell>
          <cell r="Y760" t="str">
            <v>HT</v>
          </cell>
          <cell r="Z760">
            <v>2800</v>
          </cell>
          <cell r="AA760">
            <v>0.97460000000000002</v>
          </cell>
          <cell r="AB760">
            <v>16.93</v>
          </cell>
          <cell r="AC760" t="str">
            <v xml:space="preserve">01/09/2023 -     </v>
          </cell>
          <cell r="AD760" t="str">
            <v>30.09.2023</v>
          </cell>
          <cell r="AE760" t="str">
            <v>30/1.0000</v>
          </cell>
          <cell r="AF760">
            <v>3500</v>
          </cell>
          <cell r="AG760" t="str">
            <v>KVA</v>
          </cell>
          <cell r="AH760">
            <v>3500</v>
          </cell>
          <cell r="AI760" t="str">
            <v>R</v>
          </cell>
          <cell r="AJ760">
            <v>10245200</v>
          </cell>
          <cell r="AK760" t="str">
            <v>30/09/2023</v>
          </cell>
          <cell r="AL760" t="str">
            <v>TPN64731</v>
          </cell>
          <cell r="AM760" t="str">
            <v>THREE PHASE HT CT METER-33KV</v>
          </cell>
          <cell r="AN760" t="str">
            <v>POST PAID</v>
          </cell>
          <cell r="AO760">
            <v>5000</v>
          </cell>
          <cell r="AP760" t="str">
            <v>TOD</v>
          </cell>
          <cell r="AQ760">
            <v>0</v>
          </cell>
          <cell r="AR760">
            <v>0</v>
          </cell>
          <cell r="AS760">
            <v>0</v>
          </cell>
          <cell r="AT760">
            <v>0</v>
          </cell>
          <cell r="AU760">
            <v>0</v>
          </cell>
          <cell r="AV760">
            <v>0</v>
          </cell>
          <cell r="AW760">
            <v>58740</v>
          </cell>
          <cell r="AX760">
            <v>60270</v>
          </cell>
          <cell r="AY760">
            <v>60270</v>
          </cell>
          <cell r="AZ760">
            <v>3252</v>
          </cell>
          <cell r="BA760">
            <v>494.40000000000003</v>
          </cell>
        </row>
        <row r="761">
          <cell r="F761">
            <v>621000000071</v>
          </cell>
          <cell r="G761" t="str">
            <v>Mr.  EE MEGALIFT IRRIGATION DIVISION</v>
          </cell>
          <cell r="H761" t="str">
            <v>739A</v>
          </cell>
          <cell r="I761" t="str">
            <v>04/28/2023 00:00:00</v>
          </cell>
          <cell r="J761">
            <v>1</v>
          </cell>
          <cell r="K761" t="str">
            <v>SILIPADA</v>
          </cell>
          <cell r="L761" t="str">
            <v>SILIPADA</v>
          </cell>
          <cell r="M761" t="str">
            <v>621000010231492892</v>
          </cell>
          <cell r="N761" t="str">
            <v>132328049184</v>
          </cell>
          <cell r="O761" t="str">
            <v xml:space="preserve"> </v>
          </cell>
          <cell r="P761" t="str">
            <v>NULL</v>
          </cell>
          <cell r="Q761" t="str">
            <v>MEGA LIFT</v>
          </cell>
          <cell r="R761" t="str">
            <v>HT</v>
          </cell>
          <cell r="S761" t="str">
            <v>01/10/2023</v>
          </cell>
          <cell r="T761" t="str">
            <v>01/10/2023</v>
          </cell>
          <cell r="U761" t="str">
            <v>06/10/2023</v>
          </cell>
          <cell r="V761" t="str">
            <v>09/10/2023</v>
          </cell>
          <cell r="W761" t="str">
            <v>2023/09</v>
          </cell>
          <cell r="X761" t="str">
            <v>33 KV</v>
          </cell>
          <cell r="Y761" t="str">
            <v>HT</v>
          </cell>
          <cell r="Z761">
            <v>3364.8</v>
          </cell>
          <cell r="AA761">
            <v>0.99739999999999995</v>
          </cell>
          <cell r="AB761">
            <v>6.46</v>
          </cell>
          <cell r="AC761" t="str">
            <v xml:space="preserve">01/09/2023 -     </v>
          </cell>
          <cell r="AD761" t="str">
            <v>30.09.2023</v>
          </cell>
          <cell r="AE761" t="str">
            <v>30/1.0000</v>
          </cell>
          <cell r="AF761">
            <v>4206</v>
          </cell>
          <cell r="AG761" t="str">
            <v>KVA</v>
          </cell>
          <cell r="AH761">
            <v>4206</v>
          </cell>
          <cell r="AI761" t="str">
            <v>R</v>
          </cell>
          <cell r="AJ761">
            <v>6995419.2000000002</v>
          </cell>
          <cell r="AK761" t="str">
            <v>30/09/2023</v>
          </cell>
          <cell r="AL761" t="str">
            <v>TPN64440</v>
          </cell>
          <cell r="AM761" t="str">
            <v>HT THREE PHASE 4 WIRE AMR/AMI COMPLAINT METER</v>
          </cell>
          <cell r="AN761" t="str">
            <v>POST PAID</v>
          </cell>
          <cell r="AO761">
            <v>10000</v>
          </cell>
          <cell r="AP761" t="str">
            <v>TOD</v>
          </cell>
          <cell r="AQ761">
            <v>0</v>
          </cell>
          <cell r="AR761">
            <v>0</v>
          </cell>
          <cell r="AS761">
            <v>0</v>
          </cell>
          <cell r="AT761">
            <v>0</v>
          </cell>
          <cell r="AU761">
            <v>0</v>
          </cell>
          <cell r="AV761">
            <v>0</v>
          </cell>
          <cell r="AW761">
            <v>23400</v>
          </cell>
          <cell r="AX761">
            <v>23460</v>
          </cell>
          <cell r="AY761">
            <v>23460</v>
          </cell>
          <cell r="AZ761">
            <v>2342.4</v>
          </cell>
          <cell r="BA761">
            <v>504.00000000000006</v>
          </cell>
        </row>
        <row r="762">
          <cell r="F762">
            <v>621000000072</v>
          </cell>
          <cell r="G762" t="str">
            <v>Regional Manager Gandhamardan OMC LTD.</v>
          </cell>
          <cell r="H762" t="str">
            <v xml:space="preserve"> </v>
          </cell>
          <cell r="I762" t="str">
            <v>06/28/2023 00:00:00</v>
          </cell>
          <cell r="J762">
            <v>1</v>
          </cell>
          <cell r="K762" t="str">
            <v>Suakati</v>
          </cell>
          <cell r="L762" t="str">
            <v>Keonjhar</v>
          </cell>
          <cell r="M762" t="str">
            <v>621000010232502228</v>
          </cell>
          <cell r="N762" t="str">
            <v>132328666576</v>
          </cell>
          <cell r="O762" t="str">
            <v xml:space="preserve"> </v>
          </cell>
          <cell r="P762" t="str">
            <v>NULL</v>
          </cell>
          <cell r="Q762" t="str">
            <v>GENERAL PURPOSE &gt;= 110 KVA</v>
          </cell>
          <cell r="R762" t="str">
            <v>HT</v>
          </cell>
          <cell r="S762" t="str">
            <v>03/10/2023</v>
          </cell>
          <cell r="T762" t="str">
            <v>03/10/2023</v>
          </cell>
          <cell r="U762" t="str">
            <v>06/10/2023</v>
          </cell>
          <cell r="V762" t="str">
            <v>10/10/2023</v>
          </cell>
          <cell r="W762" t="str">
            <v>2023/09</v>
          </cell>
          <cell r="X762" t="str">
            <v>11 KV</v>
          </cell>
          <cell r="Y762" t="str">
            <v>HT</v>
          </cell>
          <cell r="Z762">
            <v>389.6</v>
          </cell>
          <cell r="AA762">
            <v>0</v>
          </cell>
          <cell r="AB762">
            <v>0</v>
          </cell>
          <cell r="AC762" t="str">
            <v xml:space="preserve">01/09/2023 -     </v>
          </cell>
          <cell r="AD762" t="str">
            <v>30.09.2023</v>
          </cell>
          <cell r="AE762" t="str">
            <v>30/1.0000</v>
          </cell>
          <cell r="AF762">
            <v>487</v>
          </cell>
          <cell r="AG762" t="str">
            <v>KVA</v>
          </cell>
          <cell r="AH762">
            <v>487</v>
          </cell>
          <cell r="AI762" t="str">
            <v>R</v>
          </cell>
          <cell r="AJ762">
            <v>717941</v>
          </cell>
          <cell r="AK762" t="str">
            <v>30/09/2023</v>
          </cell>
          <cell r="AL762" t="str">
            <v>TPNODL38111497</v>
          </cell>
          <cell r="AM762" t="str">
            <v>THREE PHASE SMART HT CT METER (AMR/AMI)-11KV</v>
          </cell>
          <cell r="AN762" t="str">
            <v>SMART METER</v>
          </cell>
          <cell r="AO762">
            <v>752</v>
          </cell>
          <cell r="AP762" t="str">
            <v>TOD</v>
          </cell>
          <cell r="AQ762">
            <v>0</v>
          </cell>
          <cell r="AR762">
            <v>0</v>
          </cell>
          <cell r="AS762">
            <v>0</v>
          </cell>
          <cell r="AT762">
            <v>0</v>
          </cell>
          <cell r="AU762">
            <v>0</v>
          </cell>
          <cell r="AV762">
            <v>0</v>
          </cell>
          <cell r="AW762">
            <v>0</v>
          </cell>
          <cell r="AX762">
            <v>0</v>
          </cell>
          <cell r="AY762">
            <v>0</v>
          </cell>
          <cell r="AZ762">
            <v>0</v>
          </cell>
          <cell r="BA762">
            <v>0</v>
          </cell>
        </row>
        <row r="763">
          <cell r="F763">
            <v>621000000073</v>
          </cell>
          <cell r="G763" t="str">
            <v>Mr. UTTAM KUMAR RATHORE</v>
          </cell>
          <cell r="H763" t="str">
            <v>214/445</v>
          </cell>
          <cell r="I763" t="str">
            <v>09/25/2023 00:00:00</v>
          </cell>
          <cell r="J763">
            <v>1</v>
          </cell>
          <cell r="K763" t="str">
            <v>BADAHAL</v>
          </cell>
          <cell r="L763" t="str">
            <v>BADAHAL</v>
          </cell>
          <cell r="M763" t="str">
            <v>621000010232495732</v>
          </cell>
          <cell r="N763" t="str">
            <v>132329086966</v>
          </cell>
          <cell r="O763" t="str">
            <v xml:space="preserve"> </v>
          </cell>
          <cell r="P763" t="str">
            <v>NULL</v>
          </cell>
          <cell r="Q763" t="str">
            <v>GENERAL PURPOSE &gt;= 110 KVA</v>
          </cell>
          <cell r="R763" t="str">
            <v>HT</v>
          </cell>
          <cell r="S763" t="str">
            <v>01/10/2023</v>
          </cell>
          <cell r="T763" t="str">
            <v>01/10/2023</v>
          </cell>
          <cell r="U763" t="str">
            <v>06/10/2023</v>
          </cell>
          <cell r="V763" t="str">
            <v>09/10/2023</v>
          </cell>
          <cell r="W763" t="str">
            <v>2023/09</v>
          </cell>
          <cell r="X763" t="str">
            <v>11 KV</v>
          </cell>
          <cell r="Y763" t="str">
            <v>HT</v>
          </cell>
          <cell r="Z763">
            <v>120</v>
          </cell>
          <cell r="AA763">
            <v>0.70669999999999999</v>
          </cell>
          <cell r="AB763">
            <v>30.97</v>
          </cell>
          <cell r="AC763" t="str">
            <v xml:space="preserve">22/09/2023 -          </v>
          </cell>
          <cell r="AD763" t="str">
            <v>30.09.2023</v>
          </cell>
          <cell r="AE763" t="str">
            <v>9/0.3000</v>
          </cell>
          <cell r="AF763">
            <v>150</v>
          </cell>
          <cell r="AG763" t="str">
            <v>KVA</v>
          </cell>
          <cell r="AH763">
            <v>150</v>
          </cell>
          <cell r="AI763" t="str">
            <v>N</v>
          </cell>
          <cell r="AJ763">
            <v>439080</v>
          </cell>
          <cell r="AK763" t="str">
            <v>30/09/2023</v>
          </cell>
          <cell r="AL763" t="str">
            <v>TPNODL38111569</v>
          </cell>
          <cell r="AM763" t="str">
            <v>HT THREE PHASE 4 WIRE AMR/AMI COMPLAINT METER</v>
          </cell>
          <cell r="AN763" t="str">
            <v>SMART METER</v>
          </cell>
          <cell r="AO763">
            <v>200</v>
          </cell>
          <cell r="AP763" t="str">
            <v>TOD</v>
          </cell>
          <cell r="AQ763">
            <v>0</v>
          </cell>
          <cell r="AR763">
            <v>0</v>
          </cell>
          <cell r="AS763">
            <v>0</v>
          </cell>
          <cell r="AT763">
            <v>0</v>
          </cell>
          <cell r="AU763">
            <v>0</v>
          </cell>
          <cell r="AV763">
            <v>0</v>
          </cell>
          <cell r="AW763">
            <v>4270</v>
          </cell>
          <cell r="AX763">
            <v>6042</v>
          </cell>
          <cell r="AY763">
            <v>6042</v>
          </cell>
          <cell r="AZ763">
            <v>50.802</v>
          </cell>
          <cell r="BA763">
            <v>101.604</v>
          </cell>
        </row>
        <row r="764">
          <cell r="F764">
            <v>621000000074</v>
          </cell>
          <cell r="G764" t="str">
            <v>Mr. DILLIP KUMAR MAHANTA</v>
          </cell>
          <cell r="H764" t="str">
            <v>PLOT NO-197/633, KHATA NO-80/402, TIKARGUMURA</v>
          </cell>
          <cell r="I764" t="str">
            <v>09/25/2023 00:00:00</v>
          </cell>
          <cell r="J764">
            <v>1</v>
          </cell>
          <cell r="K764" t="str">
            <v>GHUTUR</v>
          </cell>
          <cell r="L764" t="str">
            <v>GHUTUR</v>
          </cell>
          <cell r="M764" t="str">
            <v>621000010232495738</v>
          </cell>
          <cell r="N764" t="str">
            <v>132329086973</v>
          </cell>
          <cell r="O764" t="str">
            <v xml:space="preserve"> </v>
          </cell>
          <cell r="P764" t="str">
            <v>NULL</v>
          </cell>
          <cell r="Q764" t="str">
            <v>GENERAL PURPOSE &gt;= 110 KVA</v>
          </cell>
          <cell r="R764" t="str">
            <v>HT</v>
          </cell>
          <cell r="S764" t="str">
            <v>01/10/2023</v>
          </cell>
          <cell r="T764" t="str">
            <v>01/10/2023</v>
          </cell>
          <cell r="U764" t="str">
            <v>06/10/2023</v>
          </cell>
          <cell r="V764" t="str">
            <v>09/10/2023</v>
          </cell>
          <cell r="W764" t="str">
            <v>2023/09</v>
          </cell>
          <cell r="X764" t="str">
            <v>11 KV</v>
          </cell>
          <cell r="Y764" t="str">
            <v>HT</v>
          </cell>
          <cell r="Z764">
            <v>112</v>
          </cell>
          <cell r="AA764">
            <v>0.28079999999999999</v>
          </cell>
          <cell r="AB764">
            <v>72.89</v>
          </cell>
          <cell r="AC764" t="str">
            <v xml:space="preserve">23/09/2023 -          </v>
          </cell>
          <cell r="AD764" t="str">
            <v>30.09.2023</v>
          </cell>
          <cell r="AE764" t="str">
            <v>8/0.2667</v>
          </cell>
          <cell r="AF764">
            <v>140</v>
          </cell>
          <cell r="AG764" t="str">
            <v>KVA</v>
          </cell>
          <cell r="AH764">
            <v>140</v>
          </cell>
          <cell r="AI764" t="str">
            <v>N</v>
          </cell>
          <cell r="AJ764">
            <v>409808</v>
          </cell>
          <cell r="AK764" t="str">
            <v>30/09/2023</v>
          </cell>
          <cell r="AL764" t="str">
            <v>TPNODL38111571</v>
          </cell>
          <cell r="AM764" t="str">
            <v>HT THREE PHASE 4 WIRE AMR/AMI COMPLAINT METER</v>
          </cell>
          <cell r="AN764" t="str">
            <v>POST PAID</v>
          </cell>
          <cell r="AO764">
            <v>250</v>
          </cell>
          <cell r="AP764" t="str">
            <v>TOD</v>
          </cell>
          <cell r="AQ764">
            <v>0</v>
          </cell>
          <cell r="AR764">
            <v>0</v>
          </cell>
          <cell r="AS764">
            <v>0</v>
          </cell>
          <cell r="AT764">
            <v>0</v>
          </cell>
          <cell r="AU764">
            <v>0</v>
          </cell>
          <cell r="AV764">
            <v>0</v>
          </cell>
          <cell r="AW764">
            <v>98</v>
          </cell>
          <cell r="AX764">
            <v>349</v>
          </cell>
          <cell r="AY764">
            <v>349</v>
          </cell>
          <cell r="AZ764">
            <v>1.4259999999999999</v>
          </cell>
          <cell r="BA764">
            <v>2.8519999999999999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Capitalization Expenses Manual"/>
      <sheetName val="Capitalization of Expenses"/>
      <sheetName val="Loan Summary - Working Cap"/>
      <sheetName val="Details of Loan - Working Cap"/>
      <sheetName val="Details of Loan - Capital Works"/>
      <sheetName val="Loan Summary - Capital Works"/>
      <sheetName val="Current Year"/>
      <sheetName val="Costs at voltage Current year"/>
      <sheetName val="CWIP"/>
      <sheetName val="Other revenue sources Manual"/>
      <sheetName val="A&amp;G Expenses Manual"/>
      <sheetName val="Special Appropriations Manual"/>
      <sheetName val="Employee Cost Manual"/>
      <sheetName val="Interest Charges Manual"/>
      <sheetName val="Manual CWIP"/>
      <sheetName val="R&amp;M Manual"/>
      <sheetName val="Manual Loss Details"/>
      <sheetName val="Discounts and Penalties Manual"/>
      <sheetName val="Revenue Current Past Manual "/>
      <sheetName val="Power Purchase Cost Manual"/>
      <sheetName val="Power Purchase Cost"/>
      <sheetName val="Allocation-Network, Supply cost"/>
      <sheetName val="Special Appropriations"/>
      <sheetName val="Cost Allocation"/>
      <sheetName val="Employee Costs"/>
      <sheetName val="Other revenue sources"/>
      <sheetName val="Revenue-Current and Past Year"/>
      <sheetName val="Bad Debt"/>
      <sheetName val="RoE"/>
      <sheetName val="Allocation LT HT EHT"/>
      <sheetName val="Loss Details"/>
      <sheetName val="Manual Consumption Data"/>
      <sheetName val="Consumption Compute - Purchase"/>
      <sheetName val="Consumption Compute-Demand"/>
      <sheetName val="Depreciation Working"/>
      <sheetName val="Depreciation Schedule"/>
      <sheetName val="A&amp;G Expenses"/>
      <sheetName val="Computation of IDC"/>
      <sheetName val="Interest Charges"/>
      <sheetName val="R&amp;M"/>
      <sheetName val="Billing for Residential"/>
      <sheetName val="Billing for Commercial "/>
      <sheetName val="Verification of inputs"/>
      <sheetName val="EHT Load Factor Billing"/>
      <sheetName val="HT Load Factor Billing"/>
      <sheetName val="Costs at diff voltage levels"/>
      <sheetName val="Discounts and Penalties"/>
      <sheetName val="Tariff Design"/>
      <sheetName val="Ensuing Year-Proposed Tarif"/>
      <sheetName val="Consumption Data "/>
      <sheetName val="Ensuing Year-Existing Tariff"/>
      <sheetName val="Existing Tariff Structure"/>
      <sheetName val="Final Consumption Status"/>
      <sheetName val="Existing Gap"/>
      <sheetName val="Tariff Comparision"/>
      <sheetName val="Network Cost Calculation"/>
      <sheetName val="Process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heet7"/>
      <sheetName val="Sheet6"/>
      <sheetName val="Sheet5"/>
      <sheetName val="COMBS2011"/>
      <sheetName val="P&amp;LCOM2011"/>
      <sheetName val="t.b"/>
      <sheetName val="trial bal."/>
      <sheetName val="BSGRU2010"/>
      <sheetName val="BS"/>
      <sheetName val="P&amp;LGRU2010"/>
      <sheetName val="P&amp;L2010"/>
      <sheetName val="P&amp;L(LACS)"/>
      <sheetName val="COMBS(LACS)"/>
      <sheetName val="P&amp;L(gp)-comb."/>
      <sheetName val="BS(gp)-com"/>
      <sheetName val="bahan lacs P&amp;L (2)"/>
      <sheetName val="bhand lacs BS (2)"/>
      <sheetName val="Bhandup lacs fixed ass (2)"/>
      <sheetName val="B-B-2007"/>
      <sheetName val="fixed"/>
      <sheetName val="B-F-2007"/>
      <sheetName val="COMBINE"/>
      <sheetName val="thane dep"/>
      <sheetName val="thane P &amp; L"/>
      <sheetName val="Thane B-S"/>
      <sheetName val="pune P &amp; L"/>
      <sheetName val="pune full  BS"/>
      <sheetName val="pune dep"/>
      <sheetName val="pune dep lacs"/>
      <sheetName val="Pune lacs BS"/>
      <sheetName val="Pune lacs P&amp;L"/>
      <sheetName val="than lacs dep"/>
      <sheetName val="thane lacs P&amp;l "/>
      <sheetName val="thane lacs BS"/>
      <sheetName val="bahan lacs P&amp;L"/>
      <sheetName val="bhand lacs BS"/>
      <sheetName val="Bhandup lacs fixed ass"/>
      <sheetName val="fixed ass full bh"/>
      <sheetName val="Sheet4"/>
      <sheetName val="Sheet2"/>
      <sheetName val="T-F-2005"/>
      <sheetName val="T-B-2005"/>
      <sheetName val="t-p-l"/>
      <sheetName val="T-P-2005"/>
      <sheetName val="14-1"/>
      <sheetName val="Notes(B)(L)"/>
      <sheetName val="Notes(b)(f)"/>
      <sheetName val="Notes(T)(L)"/>
      <sheetName val="OUTRIGHT"/>
      <sheetName val="cash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 val="CDD-2 DT"/>
      <sheetName val="TB-9-0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Cons Dep"/>
      <sheetName val="Monthly Journal"/>
      <sheetName val="Pass on Int."/>
      <sheetName val="YTD Capitalisation"/>
      <sheetName val="WBS Avlb"/>
      <sheetName val="Actual-Own FY24"/>
      <sheetName val="Capitalisation FY24"/>
      <sheetName val="Summary"/>
      <sheetName val="Monthly CapEx"/>
      <sheetName val="Cons. Project"/>
      <sheetName val="Govt. Projects"/>
      <sheetName val="WBS Report FY22"/>
      <sheetName val="FY22"/>
      <sheetName val="WBS Report FY23"/>
      <sheetName val="FY23"/>
      <sheetName val="WBS Report FY24"/>
      <sheetName val="FY24"/>
      <sheetName val="GL List"/>
      <sheetName val="Capital Adv"/>
      <sheetName val="Co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er Categories"/>
      <sheetName val="Category &amp; Voltages"/>
      <sheetName val="Consumer Analysis"/>
      <sheetName val="MD to CD"/>
      <sheetName val="MD to CD analysis"/>
      <sheetName val="Working Sheet"/>
      <sheetName val="Consumer Data &gt;100kVA"/>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showRowColHeaders="0" showZeros="0" showOutlineSymbols="0" topLeftCell="B17736" zoomScaleSheetLayoutView="6" workbookViewId="0"/>
  </sheetViews>
  <sheetFormatPr defaultRowHeight="12.75"/>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sheetPr>
  <dimension ref="A1:K43"/>
  <sheetViews>
    <sheetView view="pageBreakPreview" zoomScale="80" zoomScaleNormal="75" zoomScaleSheetLayoutView="80" workbookViewId="0">
      <selection activeCell="M16" sqref="M16"/>
    </sheetView>
  </sheetViews>
  <sheetFormatPr defaultColWidth="14.7109375" defaultRowHeight="15"/>
  <cols>
    <col min="1" max="1" width="27.5703125" style="382" customWidth="1"/>
    <col min="2" max="2" width="18.140625" style="382" customWidth="1"/>
    <col min="3" max="3" width="15.85546875" style="382" customWidth="1"/>
    <col min="4" max="4" width="16.28515625" style="382" customWidth="1"/>
    <col min="5" max="6" width="13.28515625" style="382" customWidth="1"/>
    <col min="7" max="7" width="16.28515625" style="382" customWidth="1"/>
    <col min="8" max="8" width="13.85546875" style="382" customWidth="1"/>
    <col min="9" max="9" width="11.140625" style="382" customWidth="1"/>
    <col min="10" max="11" width="11.7109375" style="382" customWidth="1"/>
    <col min="12" max="16384" width="14.7109375" style="382"/>
  </cols>
  <sheetData>
    <row r="1" spans="1:11" ht="18">
      <c r="A1" s="380" t="s">
        <v>209</v>
      </c>
      <c r="B1" s="381"/>
      <c r="C1" s="381"/>
      <c r="D1" s="381"/>
      <c r="E1" s="381"/>
      <c r="F1" s="381"/>
      <c r="I1" s="383" t="s">
        <v>210</v>
      </c>
      <c r="J1" s="384" t="s">
        <v>362</v>
      </c>
    </row>
    <row r="2" spans="1:11" ht="18">
      <c r="A2" s="381"/>
      <c r="B2" s="385"/>
      <c r="C2" s="385"/>
      <c r="D2" s="385"/>
      <c r="E2" s="381"/>
      <c r="F2" s="381"/>
    </row>
    <row r="3" spans="1:11" ht="18">
      <c r="A3" s="2500" t="s">
        <v>363</v>
      </c>
      <c r="B3" s="2500"/>
      <c r="C3" s="2500"/>
      <c r="D3" s="2500"/>
      <c r="E3" s="2500"/>
      <c r="F3" s="2500"/>
      <c r="G3" s="2500"/>
      <c r="H3" s="2500"/>
      <c r="I3" s="2500"/>
      <c r="J3" s="2500"/>
      <c r="K3" s="2500"/>
    </row>
    <row r="4" spans="1:11" ht="18">
      <c r="A4" s="380"/>
      <c r="B4" s="381"/>
      <c r="E4" s="386"/>
      <c r="F4" s="386"/>
      <c r="G4" s="387"/>
    </row>
    <row r="5" spans="1:11" ht="18">
      <c r="A5" s="388" t="s">
        <v>364</v>
      </c>
      <c r="B5" s="380"/>
      <c r="C5" s="381"/>
      <c r="D5" s="381"/>
      <c r="E5" s="381"/>
      <c r="F5" s="381"/>
    </row>
    <row r="6" spans="1:11" s="384" customFormat="1" ht="18">
      <c r="A6" s="380"/>
      <c r="B6" s="2499" t="s">
        <v>215</v>
      </c>
      <c r="C6" s="2499"/>
      <c r="D6" s="2499"/>
      <c r="E6" s="2499"/>
      <c r="F6" s="2499"/>
      <c r="G6" s="2498" t="s">
        <v>365</v>
      </c>
      <c r="H6" s="2498"/>
      <c r="I6" s="2498"/>
      <c r="J6" s="2498"/>
      <c r="K6" s="2498"/>
    </row>
    <row r="7" spans="1:11" ht="69.75" customHeight="1">
      <c r="A7" s="389"/>
      <c r="B7" s="390" t="s">
        <v>297</v>
      </c>
      <c r="C7" s="390" t="s">
        <v>298</v>
      </c>
      <c r="D7" s="390" t="s">
        <v>306</v>
      </c>
      <c r="E7" s="390" t="s">
        <v>366</v>
      </c>
      <c r="F7" s="390" t="s">
        <v>367</v>
      </c>
      <c r="G7" s="390" t="s">
        <v>297</v>
      </c>
      <c r="H7" s="390" t="s">
        <v>298</v>
      </c>
      <c r="I7" s="390" t="s">
        <v>306</v>
      </c>
      <c r="J7" s="390" t="s">
        <v>366</v>
      </c>
      <c r="K7" s="390" t="s">
        <v>367</v>
      </c>
    </row>
    <row r="8" spans="1:11" ht="18">
      <c r="A8" s="391" t="s">
        <v>368</v>
      </c>
      <c r="B8" s="392"/>
      <c r="C8" s="392"/>
      <c r="D8" s="392"/>
      <c r="E8" s="391"/>
      <c r="F8" s="391"/>
      <c r="G8" s="392"/>
      <c r="H8" s="392"/>
      <c r="I8" s="392"/>
      <c r="J8" s="391"/>
      <c r="K8" s="393"/>
    </row>
    <row r="9" spans="1:11" ht="18">
      <c r="A9" s="394">
        <v>1</v>
      </c>
      <c r="B9" s="392">
        <v>529</v>
      </c>
      <c r="C9" s="1125">
        <v>423</v>
      </c>
      <c r="D9" s="1126">
        <v>0.60899999999999999</v>
      </c>
      <c r="E9" s="1127">
        <v>13.46</v>
      </c>
      <c r="F9" s="1127">
        <v>5.85</v>
      </c>
      <c r="G9" s="392">
        <v>58</v>
      </c>
      <c r="H9" s="1125">
        <v>35</v>
      </c>
      <c r="I9" s="392">
        <v>0.32200000000000001</v>
      </c>
      <c r="J9" s="1127">
        <v>6.37</v>
      </c>
      <c r="K9" s="393">
        <v>2.81</v>
      </c>
    </row>
    <row r="10" spans="1:11" ht="18">
      <c r="A10" s="394">
        <v>2</v>
      </c>
      <c r="B10" s="392">
        <v>3067</v>
      </c>
      <c r="C10" s="1125">
        <v>4605</v>
      </c>
      <c r="D10" s="1126">
        <v>5.2779999999999996</v>
      </c>
      <c r="E10" s="1127">
        <v>103.37</v>
      </c>
      <c r="F10" s="1127">
        <v>50.94</v>
      </c>
      <c r="G10" s="392">
        <v>1856</v>
      </c>
      <c r="H10" s="1125">
        <v>2229</v>
      </c>
      <c r="I10" s="392">
        <v>2.3940000000000001</v>
      </c>
      <c r="J10" s="1127">
        <v>46.86</v>
      </c>
      <c r="K10" s="393">
        <v>21.34</v>
      </c>
    </row>
    <row r="11" spans="1:11" ht="18">
      <c r="A11" s="394">
        <v>3</v>
      </c>
      <c r="B11" s="392">
        <v>7602</v>
      </c>
      <c r="C11" s="1125">
        <v>19061</v>
      </c>
      <c r="D11" s="1126">
        <v>13.163</v>
      </c>
      <c r="E11" s="1127">
        <v>249.46</v>
      </c>
      <c r="F11" s="1127">
        <v>126.27</v>
      </c>
      <c r="G11" s="392">
        <v>6739</v>
      </c>
      <c r="H11" s="1125">
        <v>14057</v>
      </c>
      <c r="I11" s="392">
        <v>2.5750000000000002</v>
      </c>
      <c r="J11" s="1127">
        <v>62.05</v>
      </c>
      <c r="K11" s="393">
        <v>27.47</v>
      </c>
    </row>
    <row r="12" spans="1:11" ht="18">
      <c r="A12" s="394">
        <v>4</v>
      </c>
      <c r="B12" s="392">
        <v>5159</v>
      </c>
      <c r="C12" s="1125">
        <v>20123</v>
      </c>
      <c r="D12" s="1126">
        <v>13.355</v>
      </c>
      <c r="E12" s="1127">
        <v>253.6</v>
      </c>
      <c r="F12" s="1127">
        <v>133.28</v>
      </c>
      <c r="G12" s="392">
        <v>4910</v>
      </c>
      <c r="H12" s="1125">
        <v>13481</v>
      </c>
      <c r="I12" s="392">
        <v>6.0220000000000002</v>
      </c>
      <c r="J12" s="1127">
        <v>114.08</v>
      </c>
      <c r="K12" s="393">
        <v>55.68</v>
      </c>
    </row>
    <row r="13" spans="1:11" ht="18">
      <c r="A13" s="394">
        <v>5</v>
      </c>
      <c r="B13" s="392">
        <v>3897</v>
      </c>
      <c r="C13" s="1125">
        <v>17315</v>
      </c>
      <c r="D13" s="1126">
        <v>14.173</v>
      </c>
      <c r="E13" s="1127">
        <v>259</v>
      </c>
      <c r="F13" s="1127">
        <v>143.15</v>
      </c>
      <c r="G13" s="392">
        <v>6007</v>
      </c>
      <c r="H13" s="1125">
        <v>21938</v>
      </c>
      <c r="I13" s="392">
        <v>6.7480000000000002</v>
      </c>
      <c r="J13" s="1127">
        <v>133.22999999999999</v>
      </c>
      <c r="K13" s="393">
        <v>67.430000000000007</v>
      </c>
    </row>
    <row r="14" spans="1:11" ht="18">
      <c r="A14" s="394">
        <v>6</v>
      </c>
      <c r="B14" s="392">
        <v>2114</v>
      </c>
      <c r="C14" s="1125">
        <v>11765</v>
      </c>
      <c r="D14" s="1126">
        <v>10.856</v>
      </c>
      <c r="E14" s="1127">
        <v>230.26</v>
      </c>
      <c r="F14" s="1127">
        <v>129.72</v>
      </c>
      <c r="G14" s="392">
        <v>3892</v>
      </c>
      <c r="H14" s="1125">
        <v>17851</v>
      </c>
      <c r="I14" s="392">
        <v>5.7069999999999999</v>
      </c>
      <c r="J14" s="1127">
        <v>115.3</v>
      </c>
      <c r="K14" s="393">
        <v>61.38</v>
      </c>
    </row>
    <row r="15" spans="1:11" ht="18">
      <c r="A15" s="394">
        <v>7</v>
      </c>
      <c r="B15" s="392">
        <v>60</v>
      </c>
      <c r="C15" s="1125">
        <v>414</v>
      </c>
      <c r="D15" s="1126">
        <v>0.38900000000000001</v>
      </c>
      <c r="E15" s="1127">
        <v>9.61</v>
      </c>
      <c r="F15" s="1127">
        <v>6.08</v>
      </c>
      <c r="G15" s="392">
        <v>2168</v>
      </c>
      <c r="H15" s="1125">
        <v>11782</v>
      </c>
      <c r="I15" s="392">
        <v>0.29699999999999999</v>
      </c>
      <c r="J15" s="1127">
        <v>7.46</v>
      </c>
      <c r="K15" s="393">
        <v>4.59</v>
      </c>
    </row>
    <row r="16" spans="1:11" ht="18">
      <c r="A16" s="391" t="s">
        <v>369</v>
      </c>
      <c r="B16" s="392">
        <v>5759</v>
      </c>
      <c r="C16" s="1125">
        <v>58961</v>
      </c>
      <c r="D16" s="1126">
        <v>66.239000000000004</v>
      </c>
      <c r="E16" s="1127">
        <v>1367.16</v>
      </c>
      <c r="F16" s="1127">
        <v>945.71</v>
      </c>
      <c r="G16" s="392">
        <v>5845</v>
      </c>
      <c r="H16" s="1125">
        <v>67843</v>
      </c>
      <c r="I16" s="392">
        <v>35.576999999999998</v>
      </c>
      <c r="J16" s="1127">
        <v>729.67000000000019</v>
      </c>
      <c r="K16" s="393">
        <v>476.94</v>
      </c>
    </row>
    <row r="17" spans="1:11" ht="18">
      <c r="A17" s="1679" t="s">
        <v>370</v>
      </c>
      <c r="B17" s="396">
        <f>SUM(B9:B16)</f>
        <v>28187</v>
      </c>
      <c r="C17" s="585">
        <f>SUM(C9:C16)</f>
        <v>132667</v>
      </c>
      <c r="D17" s="396">
        <f t="shared" ref="D17:K17" si="0">SUM(D9:D16)</f>
        <v>124.06200000000001</v>
      </c>
      <c r="E17" s="396">
        <f t="shared" si="0"/>
        <v>2485.92</v>
      </c>
      <c r="F17" s="396">
        <f t="shared" si="0"/>
        <v>1541</v>
      </c>
      <c r="G17" s="396">
        <f t="shared" si="0"/>
        <v>31475</v>
      </c>
      <c r="H17" s="585">
        <f t="shared" si="0"/>
        <v>149216</v>
      </c>
      <c r="I17" s="396">
        <f t="shared" si="0"/>
        <v>59.641999999999996</v>
      </c>
      <c r="J17" s="396">
        <f t="shared" si="0"/>
        <v>1215.0200000000002</v>
      </c>
      <c r="K17" s="396">
        <f t="shared" si="0"/>
        <v>717.64</v>
      </c>
    </row>
    <row r="18" spans="1:11" ht="18">
      <c r="A18" s="381"/>
      <c r="B18" s="381"/>
      <c r="C18" s="381"/>
      <c r="D18" s="381"/>
      <c r="E18" s="381"/>
      <c r="F18" s="381"/>
      <c r="G18" s="381"/>
      <c r="H18" s="381"/>
      <c r="I18" s="381"/>
      <c r="J18" s="381"/>
    </row>
    <row r="19" spans="1:11" ht="18">
      <c r="A19" s="343" t="s">
        <v>371</v>
      </c>
      <c r="B19" s="340"/>
      <c r="C19" s="340"/>
      <c r="D19" s="338"/>
      <c r="E19" s="338"/>
      <c r="F19" s="338"/>
      <c r="G19" s="343" t="s">
        <v>372</v>
      </c>
      <c r="H19" s="338"/>
      <c r="I19" s="338"/>
      <c r="J19" s="338"/>
      <c r="K19" s="338"/>
    </row>
    <row r="20" spans="1:11" ht="92.25" customHeight="1">
      <c r="A20" s="365"/>
      <c r="B20" s="1675" t="s">
        <v>325</v>
      </c>
      <c r="C20" s="1675" t="s">
        <v>326</v>
      </c>
      <c r="D20" s="1675" t="s">
        <v>327</v>
      </c>
      <c r="E20" s="337"/>
      <c r="G20" s="1675" t="s">
        <v>325</v>
      </c>
      <c r="H20" s="1675" t="s">
        <v>326</v>
      </c>
      <c r="I20" s="1675" t="s">
        <v>327</v>
      </c>
      <c r="J20" s="381"/>
    </row>
    <row r="21" spans="1:11" ht="18">
      <c r="A21" s="391" t="s">
        <v>368</v>
      </c>
      <c r="B21" s="392"/>
      <c r="C21" s="392"/>
      <c r="D21" s="392"/>
      <c r="E21" s="397"/>
      <c r="F21" s="397"/>
      <c r="G21" s="392"/>
      <c r="H21" s="392"/>
      <c r="I21" s="392"/>
      <c r="J21" s="397"/>
    </row>
    <row r="22" spans="1:11" ht="18">
      <c r="A22" s="394">
        <v>1</v>
      </c>
      <c r="B22" s="392">
        <v>311</v>
      </c>
      <c r="C22" s="392">
        <v>124</v>
      </c>
      <c r="D22" s="392">
        <v>94</v>
      </c>
      <c r="E22" s="381"/>
      <c r="F22" s="381"/>
      <c r="G22" s="392">
        <v>30</v>
      </c>
      <c r="H22" s="392">
        <v>13</v>
      </c>
      <c r="I22" s="392">
        <v>15</v>
      </c>
      <c r="J22" s="381"/>
    </row>
    <row r="23" spans="1:11" ht="18">
      <c r="A23" s="394">
        <v>2</v>
      </c>
      <c r="B23" s="392">
        <v>1721</v>
      </c>
      <c r="C23" s="392">
        <v>803</v>
      </c>
      <c r="D23" s="392">
        <v>543</v>
      </c>
      <c r="E23" s="381"/>
      <c r="F23" s="381"/>
      <c r="G23" s="392">
        <v>1419</v>
      </c>
      <c r="H23" s="392">
        <v>166</v>
      </c>
      <c r="I23" s="392">
        <v>271</v>
      </c>
      <c r="J23" s="381"/>
    </row>
    <row r="24" spans="1:11" ht="18">
      <c r="A24" s="394">
        <v>3</v>
      </c>
      <c r="B24" s="392">
        <v>6378</v>
      </c>
      <c r="C24" s="392">
        <v>358</v>
      </c>
      <c r="D24" s="392">
        <v>866</v>
      </c>
      <c r="E24" s="381"/>
      <c r="F24" s="381"/>
      <c r="G24" s="392">
        <v>5262</v>
      </c>
      <c r="H24" s="392">
        <v>300</v>
      </c>
      <c r="I24" s="392">
        <v>1177</v>
      </c>
      <c r="J24" s="381"/>
    </row>
    <row r="25" spans="1:11" ht="18">
      <c r="A25" s="394">
        <v>4</v>
      </c>
      <c r="B25" s="392">
        <v>3098</v>
      </c>
      <c r="C25" s="392">
        <v>946</v>
      </c>
      <c r="D25" s="392">
        <v>1115</v>
      </c>
      <c r="E25" s="381"/>
      <c r="F25" s="381"/>
      <c r="G25" s="392">
        <v>3420</v>
      </c>
      <c r="H25" s="392">
        <v>342</v>
      </c>
      <c r="I25" s="392">
        <v>1148</v>
      </c>
      <c r="J25" s="381"/>
    </row>
    <row r="26" spans="1:11" ht="18">
      <c r="A26" s="394">
        <v>5</v>
      </c>
      <c r="B26" s="392">
        <v>3321</v>
      </c>
      <c r="C26" s="392">
        <v>234</v>
      </c>
      <c r="D26" s="392">
        <v>342</v>
      </c>
      <c r="E26" s="381"/>
      <c r="F26" s="381"/>
      <c r="G26" s="392">
        <v>4147</v>
      </c>
      <c r="H26" s="392">
        <v>618</v>
      </c>
      <c r="I26" s="392">
        <v>1242</v>
      </c>
      <c r="J26" s="381"/>
    </row>
    <row r="27" spans="1:11" ht="18">
      <c r="A27" s="394">
        <v>6</v>
      </c>
      <c r="B27" s="392">
        <v>1283</v>
      </c>
      <c r="C27" s="392">
        <v>519</v>
      </c>
      <c r="D27" s="392">
        <v>312</v>
      </c>
      <c r="E27" s="381"/>
      <c r="F27" s="381"/>
      <c r="G27" s="392">
        <v>1930</v>
      </c>
      <c r="H27" s="392">
        <v>720</v>
      </c>
      <c r="I27" s="392">
        <v>1242</v>
      </c>
      <c r="J27" s="381"/>
    </row>
    <row r="28" spans="1:11" ht="18">
      <c r="A28" s="394">
        <v>7</v>
      </c>
      <c r="B28" s="392">
        <v>49</v>
      </c>
      <c r="C28" s="392">
        <v>5</v>
      </c>
      <c r="D28" s="392">
        <v>6</v>
      </c>
      <c r="E28" s="381"/>
      <c r="F28" s="381"/>
      <c r="G28" s="392">
        <v>1608</v>
      </c>
      <c r="H28" s="392">
        <v>351</v>
      </c>
      <c r="I28" s="392">
        <v>209</v>
      </c>
      <c r="J28" s="381"/>
    </row>
    <row r="29" spans="1:11" ht="18">
      <c r="A29" s="391" t="s">
        <v>369</v>
      </c>
      <c r="B29" s="392">
        <v>4700</v>
      </c>
      <c r="C29" s="392">
        <v>492</v>
      </c>
      <c r="D29" s="392">
        <v>567</v>
      </c>
      <c r="E29" s="381"/>
      <c r="F29" s="381"/>
      <c r="G29" s="392">
        <v>4715</v>
      </c>
      <c r="H29" s="392">
        <v>620</v>
      </c>
      <c r="I29" s="392">
        <v>510</v>
      </c>
      <c r="J29" s="381"/>
    </row>
    <row r="30" spans="1:11" ht="18">
      <c r="A30" s="1679" t="s">
        <v>370</v>
      </c>
      <c r="B30" s="396">
        <f>SUM(B22:B29)</f>
        <v>20861</v>
      </c>
      <c r="C30" s="396">
        <f>SUM(C22:C29)</f>
        <v>3481</v>
      </c>
      <c r="D30" s="396">
        <f>SUM(D22:D29)</f>
        <v>3845</v>
      </c>
      <c r="E30" s="381"/>
      <c r="F30" s="381"/>
      <c r="G30" s="396">
        <f>SUM(G22:G29)</f>
        <v>22531</v>
      </c>
      <c r="H30" s="396">
        <f>SUM(H22:H29)</f>
        <v>3130</v>
      </c>
      <c r="I30" s="396">
        <f>SUM(I22:I29)</f>
        <v>5814</v>
      </c>
    </row>
    <row r="31" spans="1:11" ht="18">
      <c r="A31" s="397"/>
      <c r="B31" s="397"/>
      <c r="C31" s="381"/>
      <c r="D31" s="397"/>
      <c r="E31" s="397"/>
      <c r="F31" s="397"/>
    </row>
    <row r="32" spans="1:11" ht="18">
      <c r="A32" s="397"/>
      <c r="B32" s="397"/>
      <c r="C32" s="381"/>
      <c r="D32" s="397"/>
      <c r="E32" s="397"/>
      <c r="F32" s="397"/>
    </row>
    <row r="33" spans="1:9" ht="18">
      <c r="A33" s="381"/>
      <c r="B33" s="397"/>
      <c r="C33" s="381"/>
      <c r="D33" s="381"/>
      <c r="E33" s="397"/>
      <c r="F33" s="397"/>
    </row>
    <row r="34" spans="1:9" ht="18">
      <c r="A34" s="397"/>
      <c r="B34" s="381"/>
      <c r="C34" s="381"/>
      <c r="D34" s="381"/>
      <c r="E34" s="397"/>
      <c r="F34" s="397"/>
      <c r="G34" s="381"/>
      <c r="H34" s="381"/>
      <c r="I34" s="381"/>
    </row>
    <row r="35" spans="1:9" ht="18">
      <c r="A35" s="397"/>
      <c r="B35" s="381"/>
      <c r="C35" s="381"/>
      <c r="D35" s="381"/>
      <c r="E35" s="397"/>
      <c r="F35" s="397"/>
    </row>
    <row r="36" spans="1:9" ht="18">
      <c r="A36" s="397"/>
      <c r="B36" s="381"/>
      <c r="C36" s="381"/>
      <c r="D36" s="381"/>
      <c r="E36" s="397"/>
      <c r="F36" s="397"/>
    </row>
    <row r="37" spans="1:9" ht="18">
      <c r="A37" s="397"/>
      <c r="B37" s="381"/>
      <c r="C37" s="381"/>
      <c r="D37" s="381"/>
      <c r="E37" s="381"/>
      <c r="F37" s="381"/>
    </row>
    <row r="38" spans="1:9" ht="18">
      <c r="A38" s="397"/>
      <c r="B38" s="381"/>
      <c r="C38" s="381"/>
      <c r="D38" s="381"/>
      <c r="E38" s="381"/>
      <c r="F38" s="381"/>
    </row>
    <row r="39" spans="1:9" ht="18">
      <c r="A39" s="397"/>
      <c r="B39" s="381"/>
      <c r="C39" s="381"/>
      <c r="D39" s="381"/>
      <c r="E39" s="381"/>
      <c r="F39" s="381"/>
    </row>
    <row r="40" spans="1:9" ht="18">
      <c r="A40" s="397"/>
      <c r="B40" s="381"/>
      <c r="C40" s="381"/>
      <c r="D40" s="381"/>
      <c r="E40" s="381"/>
      <c r="F40" s="381"/>
    </row>
    <row r="41" spans="1:9" ht="18">
      <c r="A41" s="381"/>
      <c r="B41" s="381"/>
      <c r="C41" s="381"/>
      <c r="D41" s="381"/>
      <c r="E41" s="381"/>
      <c r="F41" s="381"/>
    </row>
    <row r="42" spans="1:9" ht="18">
      <c r="A42" s="381"/>
      <c r="B42" s="381"/>
      <c r="C42" s="381"/>
      <c r="D42" s="381"/>
      <c r="E42" s="381"/>
      <c r="F42" s="381"/>
    </row>
    <row r="43" spans="1:9" ht="18">
      <c r="A43" s="399"/>
      <c r="B43" s="381"/>
      <c r="C43" s="381"/>
      <c r="D43" s="381"/>
      <c r="E43" s="381"/>
      <c r="F43" s="381"/>
    </row>
  </sheetData>
  <mergeCells count="3">
    <mergeCell ref="G6:K6"/>
    <mergeCell ref="B6:F6"/>
    <mergeCell ref="A3:K3"/>
  </mergeCells>
  <printOptions horizontalCentered="1"/>
  <pageMargins left="0.27559055118110237" right="0.23622047244094491" top="0.55118110236220474" bottom="0.19685039370078741" header="0.23622047244094491" footer="0.23622047244094491"/>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sheetPr>
  <dimension ref="A1:CI147"/>
  <sheetViews>
    <sheetView view="pageBreakPreview" zoomScale="90" zoomScaleNormal="75" zoomScaleSheetLayoutView="90" workbookViewId="0">
      <pane xSplit="2" ySplit="7" topLeftCell="C14" activePane="bottomRight" state="frozen"/>
      <selection pane="bottomRight" activeCell="I17" sqref="I17"/>
      <selection pane="bottomLeft" activeCell="L19" sqref="L19"/>
      <selection pane="topRight" activeCell="L19" sqref="L19"/>
    </sheetView>
  </sheetViews>
  <sheetFormatPr defaultColWidth="14.7109375" defaultRowHeight="15"/>
  <cols>
    <col min="1" max="1" width="8.5703125" style="308" customWidth="1"/>
    <col min="2" max="2" width="34.42578125" style="308" customWidth="1"/>
    <col min="3" max="5" width="12.140625" style="308" customWidth="1"/>
    <col min="6" max="6" width="11.7109375" style="308" customWidth="1"/>
    <col min="7" max="8" width="12.140625" style="308" customWidth="1"/>
    <col min="9" max="9" width="13.85546875" style="308" customWidth="1"/>
    <col min="10" max="10" width="12.28515625" style="308" customWidth="1"/>
    <col min="11" max="16384" width="14.7109375" style="308"/>
  </cols>
  <sheetData>
    <row r="1" spans="1:87" ht="18">
      <c r="B1" s="343" t="s">
        <v>209</v>
      </c>
      <c r="I1" s="311" t="s">
        <v>210</v>
      </c>
      <c r="J1" s="330" t="s">
        <v>373</v>
      </c>
    </row>
    <row r="3" spans="1:87" ht="15" customHeight="1">
      <c r="A3" s="2492" t="s">
        <v>24</v>
      </c>
      <c r="B3" s="2492"/>
      <c r="C3" s="2492"/>
      <c r="D3" s="2492"/>
      <c r="E3" s="2492"/>
      <c r="F3" s="2492"/>
      <c r="G3" s="2492"/>
      <c r="H3" s="2492"/>
      <c r="I3" s="2492"/>
      <c r="J3" s="2492"/>
    </row>
    <row r="4" spans="1:87" ht="15.75">
      <c r="C4" s="330" t="s">
        <v>374</v>
      </c>
      <c r="D4" s="400" t="s">
        <v>375</v>
      </c>
      <c r="F4" s="382"/>
      <c r="G4" s="382"/>
      <c r="H4" s="382"/>
      <c r="I4" s="382"/>
      <c r="J4" s="382"/>
    </row>
    <row r="5" spans="1:87">
      <c r="D5" s="400"/>
      <c r="F5" s="382"/>
      <c r="G5" s="382"/>
      <c r="H5" s="382"/>
      <c r="I5" s="382"/>
      <c r="J5" s="382"/>
    </row>
    <row r="6" spans="1:87" s="346" customFormat="1" ht="57.75" customHeight="1">
      <c r="A6" s="327" t="s">
        <v>376</v>
      </c>
      <c r="B6" s="401" t="s">
        <v>377</v>
      </c>
      <c r="C6" s="401" t="s">
        <v>378</v>
      </c>
      <c r="D6" s="401" t="s">
        <v>379</v>
      </c>
      <c r="E6" s="401" t="s">
        <v>380</v>
      </c>
      <c r="F6" s="401" t="s">
        <v>381</v>
      </c>
      <c r="G6" s="401" t="s">
        <v>382</v>
      </c>
      <c r="H6" s="402" t="s">
        <v>383</v>
      </c>
      <c r="I6" s="401" t="s">
        <v>384</v>
      </c>
      <c r="J6" s="401" t="s">
        <v>385</v>
      </c>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row>
    <row r="7" spans="1:87" s="346" customFormat="1" ht="16.5" customHeight="1">
      <c r="A7" s="319"/>
      <c r="B7" s="317" t="s">
        <v>230</v>
      </c>
      <c r="C7" s="401"/>
      <c r="D7" s="401"/>
      <c r="E7" s="401"/>
      <c r="F7" s="401"/>
      <c r="G7" s="401"/>
      <c r="H7" s="402"/>
      <c r="I7" s="401"/>
      <c r="J7" s="401"/>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row>
    <row r="8" spans="1:87" s="346" customFormat="1" ht="16.5" customHeight="1">
      <c r="A8" s="320">
        <v>1</v>
      </c>
      <c r="B8" s="319" t="s">
        <v>231</v>
      </c>
      <c r="C8" s="404"/>
      <c r="D8" s="404"/>
      <c r="E8" s="404"/>
      <c r="F8" s="404"/>
      <c r="G8" s="404"/>
      <c r="H8" s="405"/>
      <c r="I8" s="401"/>
      <c r="J8" s="401"/>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row>
    <row r="9" spans="1:87" s="346" customFormat="1" ht="16.5" customHeight="1">
      <c r="A9" s="320"/>
      <c r="B9" s="320" t="s">
        <v>233</v>
      </c>
      <c r="C9" s="406">
        <v>0.51400000000000012</v>
      </c>
      <c r="D9" s="406">
        <v>0.49400000000000005</v>
      </c>
      <c r="E9" s="406">
        <v>3.7490000000000006</v>
      </c>
      <c r="F9" s="406">
        <v>0.23900000000000005</v>
      </c>
      <c r="G9" s="406">
        <v>0.93900000000000006</v>
      </c>
      <c r="H9" s="405">
        <f>SUM(C9:G9)</f>
        <v>5.9350000000000005</v>
      </c>
      <c r="I9" s="401">
        <v>1.6497000000000002</v>
      </c>
      <c r="J9" s="407">
        <f>+I9/H9*1000</f>
        <v>277.96124684077506</v>
      </c>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c r="BZ9" s="403"/>
      <c r="CA9" s="403"/>
      <c r="CB9" s="403"/>
      <c r="CC9" s="403"/>
      <c r="CD9" s="403"/>
      <c r="CE9" s="403"/>
      <c r="CF9" s="403"/>
      <c r="CG9" s="403"/>
      <c r="CH9" s="403"/>
      <c r="CI9" s="403"/>
    </row>
    <row r="10" spans="1:87" s="346" customFormat="1" ht="16.5" customHeight="1">
      <c r="A10" s="320"/>
      <c r="B10" s="320" t="s">
        <v>234</v>
      </c>
      <c r="C10" s="406">
        <v>378.64</v>
      </c>
      <c r="D10" s="406">
        <v>228.50300000000001</v>
      </c>
      <c r="E10" s="406">
        <v>308.85900000000009</v>
      </c>
      <c r="F10" s="406">
        <v>305.72000000000003</v>
      </c>
      <c r="G10" s="406">
        <v>219.702</v>
      </c>
      <c r="H10" s="405">
        <f>SUM(C10:G10)</f>
        <v>1441.4240000000002</v>
      </c>
      <c r="I10" s="401">
        <v>645.09360000000004</v>
      </c>
      <c r="J10" s="407">
        <f>+I10/H10*1000</f>
        <v>447.53910022311265</v>
      </c>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c r="BZ10" s="403"/>
      <c r="CA10" s="403"/>
      <c r="CB10" s="403"/>
      <c r="CC10" s="403"/>
      <c r="CD10" s="403"/>
      <c r="CE10" s="403"/>
      <c r="CF10" s="403"/>
      <c r="CG10" s="403"/>
      <c r="CH10" s="403"/>
      <c r="CI10" s="403"/>
    </row>
    <row r="11" spans="1:87" s="346" customFormat="1" ht="16.5" customHeight="1">
      <c r="A11" s="320"/>
      <c r="B11" s="320" t="s">
        <v>235</v>
      </c>
      <c r="C11" s="404"/>
      <c r="D11" s="404"/>
      <c r="E11" s="404"/>
      <c r="F11" s="404"/>
      <c r="G11" s="404"/>
      <c r="H11" s="404"/>
      <c r="I11" s="404"/>
      <c r="J11" s="407"/>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row>
    <row r="12" spans="1:87" s="346" customFormat="1" ht="16.5" customHeight="1">
      <c r="A12" s="320"/>
      <c r="B12" s="320" t="s">
        <v>236</v>
      </c>
      <c r="C12" s="404"/>
      <c r="D12" s="404"/>
      <c r="E12" s="404"/>
      <c r="F12" s="404"/>
      <c r="G12" s="404"/>
      <c r="H12" s="405"/>
      <c r="I12" s="401"/>
      <c r="J12" s="401"/>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c r="BN12" s="403"/>
      <c r="BO12" s="403"/>
      <c r="BP12" s="403"/>
      <c r="BQ12" s="403"/>
      <c r="BR12" s="403"/>
      <c r="BS12" s="403"/>
      <c r="BT12" s="403"/>
      <c r="BU12" s="403"/>
      <c r="BV12" s="403"/>
      <c r="BW12" s="403"/>
      <c r="BX12" s="403"/>
      <c r="BY12" s="403"/>
      <c r="BZ12" s="403"/>
      <c r="CA12" s="403"/>
      <c r="CB12" s="403"/>
      <c r="CC12" s="403"/>
      <c r="CD12" s="403"/>
      <c r="CE12" s="403"/>
      <c r="CF12" s="403"/>
      <c r="CG12" s="403"/>
      <c r="CH12" s="403"/>
      <c r="CI12" s="403"/>
    </row>
    <row r="13" spans="1:87" s="346" customFormat="1" ht="16.5" customHeight="1">
      <c r="A13" s="320"/>
      <c r="B13" s="320" t="s">
        <v>237</v>
      </c>
      <c r="C13" s="404"/>
      <c r="D13" s="404"/>
      <c r="E13" s="404"/>
      <c r="F13" s="404"/>
      <c r="G13" s="404"/>
      <c r="H13" s="405"/>
      <c r="I13" s="401"/>
      <c r="J13" s="401"/>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c r="BY13" s="403"/>
      <c r="BZ13" s="403"/>
      <c r="CA13" s="403"/>
      <c r="CB13" s="403"/>
      <c r="CC13" s="403"/>
      <c r="CD13" s="403"/>
      <c r="CE13" s="403"/>
      <c r="CF13" s="403"/>
      <c r="CG13" s="403"/>
      <c r="CH13" s="403"/>
      <c r="CI13" s="403"/>
    </row>
    <row r="14" spans="1:87" s="346" customFormat="1" ht="16.5" customHeight="1">
      <c r="A14" s="320"/>
      <c r="B14" s="320" t="s">
        <v>238</v>
      </c>
      <c r="C14" s="404"/>
      <c r="D14" s="404"/>
      <c r="E14" s="404"/>
      <c r="F14" s="404"/>
      <c r="G14" s="404"/>
      <c r="H14" s="405"/>
      <c r="I14" s="401"/>
      <c r="J14" s="401"/>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row>
    <row r="15" spans="1:87" s="346" customFormat="1" ht="16.5" customHeight="1">
      <c r="A15" s="320"/>
      <c r="B15" s="320" t="s">
        <v>386</v>
      </c>
      <c r="C15" s="404"/>
      <c r="D15" s="404"/>
      <c r="E15" s="404"/>
      <c r="F15" s="404"/>
      <c r="G15" s="404"/>
      <c r="H15" s="405"/>
      <c r="I15" s="401"/>
      <c r="J15" s="401"/>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row>
    <row r="16" spans="1:87" s="346" customFormat="1" ht="16.5" customHeight="1">
      <c r="A16" s="320"/>
      <c r="B16" s="319"/>
      <c r="C16" s="404"/>
      <c r="D16" s="404"/>
      <c r="E16" s="404"/>
      <c r="F16" s="404"/>
      <c r="G16" s="404"/>
      <c r="H16" s="405"/>
      <c r="I16" s="401"/>
      <c r="J16" s="401"/>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row>
    <row r="17" spans="1:87" s="346" customFormat="1" ht="16.5" customHeight="1">
      <c r="A17" s="320">
        <v>2</v>
      </c>
      <c r="B17" s="319" t="s">
        <v>241</v>
      </c>
      <c r="C17" s="406">
        <v>110.249</v>
      </c>
      <c r="D17" s="406">
        <v>53.47999999999999</v>
      </c>
      <c r="E17" s="406">
        <v>76.64</v>
      </c>
      <c r="F17" s="406">
        <v>73.206000000000003</v>
      </c>
      <c r="G17" s="406">
        <v>71.574000000000012</v>
      </c>
      <c r="H17" s="405">
        <f>SUM(C17:G17)</f>
        <v>385.149</v>
      </c>
      <c r="I17" s="401">
        <v>285.34050000000002</v>
      </c>
      <c r="J17" s="407">
        <f>+I17/H17*1000</f>
        <v>740.8574343955197</v>
      </c>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403"/>
      <c r="AR17" s="403"/>
      <c r="AS17" s="403"/>
      <c r="AT17" s="403"/>
      <c r="AU17" s="403"/>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F17" s="403"/>
      <c r="CG17" s="403"/>
      <c r="CH17" s="403"/>
      <c r="CI17" s="403"/>
    </row>
    <row r="18" spans="1:87" s="346" customFormat="1" ht="16.5" customHeight="1">
      <c r="A18" s="320"/>
      <c r="B18" s="320" t="s">
        <v>242</v>
      </c>
      <c r="C18" s="406"/>
      <c r="D18" s="406"/>
      <c r="E18" s="406"/>
      <c r="F18" s="406"/>
      <c r="G18" s="406"/>
      <c r="H18" s="405"/>
      <c r="I18" s="401"/>
      <c r="J18" s="401"/>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c r="CF18" s="403"/>
      <c r="CG18" s="403"/>
      <c r="CH18" s="403"/>
      <c r="CI18" s="403"/>
    </row>
    <row r="19" spans="1:87" s="346" customFormat="1" ht="16.5" customHeight="1">
      <c r="A19" s="320"/>
      <c r="B19" s="320" t="s">
        <v>243</v>
      </c>
      <c r="C19" s="406"/>
      <c r="D19" s="406"/>
      <c r="E19" s="406"/>
      <c r="F19" s="406"/>
      <c r="G19" s="406"/>
      <c r="H19" s="405"/>
      <c r="I19" s="401"/>
      <c r="J19" s="401"/>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3"/>
      <c r="AL19" s="403"/>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c r="BY19" s="403"/>
      <c r="BZ19" s="403"/>
      <c r="CA19" s="403"/>
      <c r="CB19" s="403"/>
      <c r="CC19" s="403"/>
      <c r="CD19" s="403"/>
      <c r="CE19" s="403"/>
      <c r="CF19" s="403"/>
      <c r="CG19" s="403"/>
      <c r="CH19" s="403"/>
      <c r="CI19" s="403"/>
    </row>
    <row r="20" spans="1:87" s="346" customFormat="1" ht="16.5" customHeight="1">
      <c r="A20" s="320"/>
      <c r="B20" s="320" t="s">
        <v>244</v>
      </c>
      <c r="C20" s="406"/>
      <c r="D20" s="406"/>
      <c r="E20" s="406"/>
      <c r="F20" s="406"/>
      <c r="G20" s="406"/>
      <c r="H20" s="405"/>
      <c r="I20" s="401"/>
      <c r="J20" s="401"/>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row>
    <row r="21" spans="1:87" s="346" customFormat="1" ht="16.5" customHeight="1">
      <c r="A21" s="320"/>
      <c r="B21" s="319"/>
      <c r="C21" s="406"/>
      <c r="D21" s="406"/>
      <c r="E21" s="406"/>
      <c r="F21" s="406"/>
      <c r="G21" s="406"/>
      <c r="H21" s="405"/>
      <c r="I21" s="401"/>
      <c r="J21" s="401"/>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c r="CD21" s="403"/>
      <c r="CE21" s="403"/>
      <c r="CF21" s="403"/>
      <c r="CG21" s="403"/>
      <c r="CH21" s="403"/>
      <c r="CI21" s="403"/>
    </row>
    <row r="22" spans="1:87" s="346" customFormat="1" ht="16.5" customHeight="1">
      <c r="A22" s="320">
        <v>3</v>
      </c>
      <c r="B22" s="319" t="s">
        <v>245</v>
      </c>
      <c r="C22" s="406">
        <v>46.62299999999999</v>
      </c>
      <c r="D22" s="406">
        <v>3.2370000000000001</v>
      </c>
      <c r="E22" s="406">
        <v>20.796999999999997</v>
      </c>
      <c r="F22" s="406">
        <v>10.192</v>
      </c>
      <c r="G22" s="406">
        <v>3.6739999999999995</v>
      </c>
      <c r="H22" s="405">
        <f t="shared" ref="H22:H29" si="0">SUM(C22:G22)</f>
        <v>84.522999999999996</v>
      </c>
      <c r="I22" s="401">
        <v>16.586099999999998</v>
      </c>
      <c r="J22" s="407">
        <f t="shared" ref="J22:J29" si="1">+I22/H22*1000</f>
        <v>196.2317948960638</v>
      </c>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row>
    <row r="23" spans="1:87" s="346" customFormat="1" ht="16.5" customHeight="1">
      <c r="A23" s="320">
        <f t="shared" ref="A23:A32" si="2">A22+1</f>
        <v>4</v>
      </c>
      <c r="B23" s="319" t="s">
        <v>246</v>
      </c>
      <c r="C23" s="406">
        <v>30.681000000000001</v>
      </c>
      <c r="D23" s="406">
        <v>4.2289999999999992</v>
      </c>
      <c r="E23" s="406">
        <v>2.3839999999999999</v>
      </c>
      <c r="F23" s="406">
        <v>0.43099999999999999</v>
      </c>
      <c r="G23" s="406">
        <v>0.84399999999999986</v>
      </c>
      <c r="H23" s="405">
        <f t="shared" si="0"/>
        <v>38.568999999999996</v>
      </c>
      <c r="I23" s="401">
        <v>7.7392000000000012</v>
      </c>
      <c r="J23" s="407">
        <f t="shared" si="1"/>
        <v>200.65855998340643</v>
      </c>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c r="BY23" s="403"/>
      <c r="BZ23" s="403"/>
      <c r="CA23" s="403"/>
      <c r="CB23" s="403"/>
      <c r="CC23" s="403"/>
      <c r="CD23" s="403"/>
      <c r="CE23" s="403"/>
      <c r="CF23" s="403"/>
      <c r="CG23" s="403"/>
      <c r="CH23" s="403"/>
      <c r="CI23" s="403"/>
    </row>
    <row r="24" spans="1:87" s="346" customFormat="1" ht="16.5" customHeight="1">
      <c r="A24" s="320">
        <f t="shared" si="2"/>
        <v>5</v>
      </c>
      <c r="B24" s="319" t="s">
        <v>247</v>
      </c>
      <c r="C24" s="406">
        <v>0.21900000000000008</v>
      </c>
      <c r="D24" s="406">
        <v>0.24700000000000005</v>
      </c>
      <c r="E24" s="406">
        <v>0.41100000000000003</v>
      </c>
      <c r="F24" s="406">
        <v>0.04</v>
      </c>
      <c r="G24" s="406">
        <v>5.3000000000000012E-2</v>
      </c>
      <c r="H24" s="405">
        <f t="shared" si="0"/>
        <v>0.97000000000000031</v>
      </c>
      <c r="I24" s="401">
        <v>0.53389999999999993</v>
      </c>
      <c r="J24" s="407">
        <f t="shared" si="1"/>
        <v>550.41237113402042</v>
      </c>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c r="CD24" s="403"/>
      <c r="CE24" s="403"/>
      <c r="CF24" s="403"/>
      <c r="CG24" s="403"/>
      <c r="CH24" s="403"/>
      <c r="CI24" s="403"/>
    </row>
    <row r="25" spans="1:87" s="346" customFormat="1" ht="16.5" customHeight="1">
      <c r="A25" s="320">
        <f t="shared" si="2"/>
        <v>6</v>
      </c>
      <c r="B25" s="319" t="s">
        <v>248</v>
      </c>
      <c r="C25" s="406">
        <v>5.51</v>
      </c>
      <c r="D25" s="406">
        <v>3.7940000000000005</v>
      </c>
      <c r="E25" s="406">
        <v>3.2900000000000005</v>
      </c>
      <c r="F25" s="406">
        <v>4.0759999999999996</v>
      </c>
      <c r="G25" s="406">
        <v>7.2939999999999996</v>
      </c>
      <c r="H25" s="405">
        <f t="shared" si="0"/>
        <v>23.964000000000002</v>
      </c>
      <c r="I25" s="401">
        <v>16.010699999999996</v>
      </c>
      <c r="J25" s="407">
        <f t="shared" si="1"/>
        <v>668.11467200801178</v>
      </c>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c r="BY25" s="403"/>
      <c r="BZ25" s="403"/>
      <c r="CA25" s="403"/>
      <c r="CB25" s="403"/>
      <c r="CC25" s="403"/>
      <c r="CD25" s="403"/>
      <c r="CE25" s="403"/>
      <c r="CF25" s="403"/>
      <c r="CG25" s="403"/>
      <c r="CH25" s="403"/>
      <c r="CI25" s="403"/>
    </row>
    <row r="26" spans="1:87" s="346" customFormat="1" ht="16.5" customHeight="1">
      <c r="A26" s="320">
        <f t="shared" si="2"/>
        <v>7</v>
      </c>
      <c r="B26" s="319" t="s">
        <v>249</v>
      </c>
      <c r="C26" s="406">
        <v>5.9119999999999999</v>
      </c>
      <c r="D26" s="406">
        <v>3.234</v>
      </c>
      <c r="E26" s="406">
        <v>4.4770000000000003</v>
      </c>
      <c r="F26" s="406">
        <v>3.2930000000000001</v>
      </c>
      <c r="G26" s="406">
        <v>2.835</v>
      </c>
      <c r="H26" s="405">
        <f t="shared" si="0"/>
        <v>19.751000000000001</v>
      </c>
      <c r="I26" s="401">
        <v>14.285199999999998</v>
      </c>
      <c r="J26" s="407">
        <f t="shared" si="1"/>
        <v>723.26464482810979</v>
      </c>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c r="CD26" s="403"/>
      <c r="CE26" s="403"/>
      <c r="CF26" s="403"/>
      <c r="CG26" s="403"/>
      <c r="CH26" s="403"/>
      <c r="CI26" s="403"/>
    </row>
    <row r="27" spans="1:87" s="346" customFormat="1" ht="16.5" customHeight="1">
      <c r="A27" s="320">
        <f t="shared" si="2"/>
        <v>8</v>
      </c>
      <c r="B27" s="319" t="s">
        <v>250</v>
      </c>
      <c r="C27" s="406">
        <v>14.004</v>
      </c>
      <c r="D27" s="406">
        <v>7.4129999999999994</v>
      </c>
      <c r="E27" s="406">
        <v>6.47</v>
      </c>
      <c r="F27" s="406">
        <v>6.415</v>
      </c>
      <c r="G27" s="406">
        <v>3.411</v>
      </c>
      <c r="H27" s="405">
        <f t="shared" si="0"/>
        <v>37.713000000000001</v>
      </c>
      <c r="I27" s="401">
        <v>32.738900000000001</v>
      </c>
      <c r="J27" s="407">
        <f t="shared" si="1"/>
        <v>868.10648847877394</v>
      </c>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403"/>
      <c r="CD27" s="403"/>
      <c r="CE27" s="403"/>
      <c r="CF27" s="403"/>
      <c r="CG27" s="403"/>
      <c r="CH27" s="403"/>
      <c r="CI27" s="403"/>
    </row>
    <row r="28" spans="1:87" s="346" customFormat="1" ht="16.5" customHeight="1">
      <c r="A28" s="320">
        <f t="shared" si="2"/>
        <v>9</v>
      </c>
      <c r="B28" s="319" t="s">
        <v>251</v>
      </c>
      <c r="C28" s="406">
        <v>8.7010000000000005</v>
      </c>
      <c r="D28" s="406">
        <v>3.8279999999999998</v>
      </c>
      <c r="E28" s="406">
        <v>14.798999999999999</v>
      </c>
      <c r="F28" s="406">
        <v>5.1870000000000003</v>
      </c>
      <c r="G28" s="406">
        <v>9.4139999999999997</v>
      </c>
      <c r="H28" s="405">
        <f t="shared" si="0"/>
        <v>41.929000000000002</v>
      </c>
      <c r="I28" s="401">
        <v>29.690299999999997</v>
      </c>
      <c r="J28" s="407">
        <f t="shared" si="1"/>
        <v>708.10894607550847</v>
      </c>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row>
    <row r="29" spans="1:87" s="346" customFormat="1" ht="16.5" customHeight="1">
      <c r="A29" s="320">
        <f t="shared" si="2"/>
        <v>10</v>
      </c>
      <c r="B29" s="319" t="s">
        <v>252</v>
      </c>
      <c r="C29" s="406">
        <v>16.198</v>
      </c>
      <c r="D29" s="406">
        <v>4.3839999999999995</v>
      </c>
      <c r="E29" s="406">
        <v>15.682</v>
      </c>
      <c r="F29" s="406">
        <v>8.1240000000000006</v>
      </c>
      <c r="G29" s="406">
        <v>8.3889999999999993</v>
      </c>
      <c r="H29" s="405">
        <f t="shared" si="0"/>
        <v>52.777000000000001</v>
      </c>
      <c r="I29" s="401">
        <v>43.376899999999999</v>
      </c>
      <c r="J29" s="407">
        <f t="shared" si="1"/>
        <v>821.89021732951846</v>
      </c>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row>
    <row r="30" spans="1:87" s="346" customFormat="1" ht="16.5" customHeight="1">
      <c r="A30" s="320">
        <f t="shared" si="2"/>
        <v>11</v>
      </c>
      <c r="B30" s="319" t="s">
        <v>253</v>
      </c>
      <c r="C30" s="404"/>
      <c r="D30" s="404"/>
      <c r="E30" s="404"/>
      <c r="F30" s="404"/>
      <c r="G30" s="404"/>
      <c r="H30" s="405"/>
      <c r="I30" s="401"/>
      <c r="J30" s="401"/>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row>
    <row r="31" spans="1:87" s="346" customFormat="1" ht="16.5" customHeight="1">
      <c r="A31" s="320">
        <f t="shared" si="2"/>
        <v>12</v>
      </c>
      <c r="B31" s="319" t="s">
        <v>254</v>
      </c>
      <c r="C31" s="404"/>
      <c r="D31" s="404"/>
      <c r="E31" s="404"/>
      <c r="F31" s="404"/>
      <c r="G31" s="404"/>
      <c r="H31" s="405"/>
      <c r="I31" s="401"/>
      <c r="J31" s="401"/>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row>
    <row r="32" spans="1:87" s="346" customFormat="1" ht="16.5" customHeight="1">
      <c r="A32" s="320">
        <f t="shared" si="2"/>
        <v>13</v>
      </c>
      <c r="B32" s="319" t="s">
        <v>255</v>
      </c>
      <c r="C32" s="404"/>
      <c r="D32" s="404"/>
      <c r="E32" s="404"/>
      <c r="F32" s="404"/>
      <c r="G32" s="404"/>
      <c r="H32" s="405"/>
      <c r="I32" s="401"/>
      <c r="J32" s="401"/>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c r="CD32" s="403"/>
      <c r="CE32" s="403"/>
      <c r="CF32" s="403"/>
      <c r="CG32" s="403"/>
      <c r="CH32" s="403"/>
      <c r="CI32" s="403"/>
    </row>
    <row r="33" spans="1:87" s="346" customFormat="1" ht="16.5" customHeight="1">
      <c r="A33" s="320"/>
      <c r="B33" s="328" t="s">
        <v>256</v>
      </c>
      <c r="C33" s="404">
        <f t="shared" ref="C33:G33" si="3">SUM(C9:C32)</f>
        <v>617.2510000000002</v>
      </c>
      <c r="D33" s="404">
        <f t="shared" si="3"/>
        <v>312.84299999999996</v>
      </c>
      <c r="E33" s="404">
        <f t="shared" si="3"/>
        <v>457.55800000000011</v>
      </c>
      <c r="F33" s="404">
        <f t="shared" si="3"/>
        <v>416.92300000000012</v>
      </c>
      <c r="G33" s="404">
        <f t="shared" si="3"/>
        <v>328.12899999999996</v>
      </c>
      <c r="H33" s="404">
        <f t="shared" ref="H33" si="4">SUM(H9:H32)</f>
        <v>2132.7040000000002</v>
      </c>
      <c r="I33" s="401">
        <f>SUM(I9:I32)</f>
        <v>1093.0450000000001</v>
      </c>
      <c r="J33" s="407">
        <f>+I33/H33*1000</f>
        <v>512.51603598061422</v>
      </c>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403"/>
      <c r="CA33" s="403"/>
      <c r="CB33" s="403"/>
      <c r="CC33" s="403"/>
      <c r="CD33" s="403"/>
      <c r="CE33" s="403"/>
      <c r="CF33" s="403"/>
      <c r="CG33" s="403"/>
      <c r="CH33" s="403"/>
      <c r="CI33" s="403"/>
    </row>
    <row r="34" spans="1:87" s="346" customFormat="1" ht="16.5" customHeight="1">
      <c r="A34" s="319"/>
      <c r="B34" s="317" t="s">
        <v>257</v>
      </c>
      <c r="C34" s="404"/>
      <c r="D34" s="404"/>
      <c r="E34" s="404"/>
      <c r="F34" s="404"/>
      <c r="G34" s="404"/>
      <c r="H34" s="405"/>
      <c r="I34" s="401"/>
      <c r="J34" s="401"/>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c r="BY34" s="403"/>
      <c r="BZ34" s="403"/>
      <c r="CA34" s="403"/>
      <c r="CB34" s="403"/>
      <c r="CC34" s="403"/>
      <c r="CD34" s="403"/>
      <c r="CE34" s="403"/>
      <c r="CF34" s="403"/>
      <c r="CG34" s="403"/>
      <c r="CH34" s="403"/>
      <c r="CI34" s="403"/>
    </row>
    <row r="35" spans="1:87" s="346" customFormat="1" ht="16.5" customHeight="1">
      <c r="A35" s="320">
        <v>13</v>
      </c>
      <c r="B35" s="319" t="s">
        <v>258</v>
      </c>
      <c r="C35" s="406">
        <v>2.0049999999999999</v>
      </c>
      <c r="D35" s="406">
        <v>0</v>
      </c>
      <c r="E35" s="406">
        <v>0</v>
      </c>
      <c r="F35" s="406">
        <v>8.2620000000000005</v>
      </c>
      <c r="G35" s="406">
        <v>6.9350000000000005</v>
      </c>
      <c r="H35" s="405">
        <f>SUM(C35:G35)</f>
        <v>17.201999999999998</v>
      </c>
      <c r="I35" s="1128">
        <v>8.7424999999999997</v>
      </c>
      <c r="J35" s="407">
        <f>+I35/H35*1000</f>
        <v>508.22578769910479</v>
      </c>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row>
    <row r="36" spans="1:87" s="346" customFormat="1" ht="16.5" customHeight="1">
      <c r="A36" s="320">
        <f t="shared" ref="A36:A49" si="5">A35+1</f>
        <v>14</v>
      </c>
      <c r="B36" s="319" t="s">
        <v>245</v>
      </c>
      <c r="C36" s="406">
        <v>0</v>
      </c>
      <c r="D36" s="406">
        <v>0</v>
      </c>
      <c r="E36" s="406">
        <v>0.255</v>
      </c>
      <c r="F36" s="406">
        <v>0.53900000000000003</v>
      </c>
      <c r="G36" s="406">
        <v>0.03</v>
      </c>
      <c r="H36" s="405">
        <f>SUM(C36:G36)</f>
        <v>0.82400000000000007</v>
      </c>
      <c r="I36" s="1128">
        <v>0.32230000000000003</v>
      </c>
      <c r="J36" s="407">
        <f>+I36/H36*1000</f>
        <v>391.14077669902912</v>
      </c>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c r="CD36" s="403"/>
      <c r="CE36" s="403"/>
      <c r="CF36" s="403"/>
      <c r="CG36" s="403"/>
      <c r="CH36" s="403"/>
      <c r="CI36" s="403"/>
    </row>
    <row r="37" spans="1:87" s="346" customFormat="1" ht="16.5" customHeight="1">
      <c r="A37" s="320">
        <f t="shared" si="5"/>
        <v>15</v>
      </c>
      <c r="B37" s="319" t="s">
        <v>246</v>
      </c>
      <c r="C37" s="406">
        <v>8.6</v>
      </c>
      <c r="D37" s="406">
        <v>4.3759999999999994</v>
      </c>
      <c r="E37" s="406">
        <v>4.1890000000000001</v>
      </c>
      <c r="F37" s="406">
        <v>0</v>
      </c>
      <c r="G37" s="406">
        <v>0.21800000000000003</v>
      </c>
      <c r="H37" s="405">
        <f>SUM(C37:G37)</f>
        <v>17.382999999999999</v>
      </c>
      <c r="I37" s="1128">
        <v>3.6929000000000007</v>
      </c>
      <c r="J37" s="407">
        <f>+I37/H37*1000</f>
        <v>212.44319162400052</v>
      </c>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row>
    <row r="38" spans="1:87" s="346" customFormat="1" ht="16.5" customHeight="1">
      <c r="A38" s="320">
        <f t="shared" si="5"/>
        <v>16</v>
      </c>
      <c r="B38" s="319" t="s">
        <v>247</v>
      </c>
      <c r="C38" s="406">
        <v>30.187999999999999</v>
      </c>
      <c r="D38" s="406">
        <v>0.91900000000000004</v>
      </c>
      <c r="E38" s="406">
        <v>0.20500000000000004</v>
      </c>
      <c r="F38" s="406">
        <v>0</v>
      </c>
      <c r="G38" s="406">
        <v>0.51</v>
      </c>
      <c r="H38" s="405">
        <f>SUM(C38:G38)</f>
        <v>31.821999999999999</v>
      </c>
      <c r="I38" s="1128">
        <v>15.277900000000001</v>
      </c>
      <c r="J38" s="407">
        <f>+I38/H38*1000</f>
        <v>480.10495883351143</v>
      </c>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row>
    <row r="39" spans="1:87" s="346" customFormat="1" ht="16.5" customHeight="1">
      <c r="A39" s="320">
        <f t="shared" si="5"/>
        <v>17</v>
      </c>
      <c r="B39" s="319" t="s">
        <v>251</v>
      </c>
      <c r="C39" s="406">
        <v>4.6549999999999994</v>
      </c>
      <c r="D39" s="406">
        <v>1.032</v>
      </c>
      <c r="E39" s="406">
        <v>3.4420000000000002</v>
      </c>
      <c r="F39" s="406">
        <v>0.73900000000000021</v>
      </c>
      <c r="G39" s="406">
        <v>2.2849999999999997</v>
      </c>
      <c r="H39" s="405">
        <f>SUM(C39:G39)</f>
        <v>12.153</v>
      </c>
      <c r="I39" s="1128">
        <v>10.244899999999999</v>
      </c>
      <c r="J39" s="407">
        <f>+I39/H39*1000</f>
        <v>842.99349954743673</v>
      </c>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row>
    <row r="40" spans="1:87" s="346" customFormat="1" ht="16.5" customHeight="1">
      <c r="A40" s="320">
        <f t="shared" si="5"/>
        <v>18</v>
      </c>
      <c r="B40" s="319" t="s">
        <v>260</v>
      </c>
      <c r="C40" s="406"/>
      <c r="D40" s="406"/>
      <c r="E40" s="406"/>
      <c r="F40" s="406"/>
      <c r="G40" s="406"/>
      <c r="H40" s="405"/>
      <c r="I40" s="1128"/>
      <c r="J40" s="401"/>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row>
    <row r="41" spans="1:87" s="346" customFormat="1" ht="16.5" customHeight="1">
      <c r="A41" s="320">
        <f t="shared" si="5"/>
        <v>19</v>
      </c>
      <c r="B41" s="319" t="s">
        <v>254</v>
      </c>
      <c r="C41" s="406">
        <v>16.081</v>
      </c>
      <c r="D41" s="406">
        <v>4.5960000000000001</v>
      </c>
      <c r="E41" s="406">
        <v>6.129999999999999</v>
      </c>
      <c r="F41" s="406">
        <v>16.997</v>
      </c>
      <c r="G41" s="406">
        <v>10.899000000000001</v>
      </c>
      <c r="H41" s="405">
        <f>SUM(C41:G41)</f>
        <v>54.703000000000003</v>
      </c>
      <c r="I41" s="1128">
        <v>41.775500000000008</v>
      </c>
      <c r="J41" s="407">
        <f>+I41/H41*1000</f>
        <v>763.67840886240253</v>
      </c>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row>
    <row r="42" spans="1:87" s="346" customFormat="1" ht="16.5" customHeight="1">
      <c r="A42" s="320">
        <f t="shared" si="5"/>
        <v>20</v>
      </c>
      <c r="B42" s="319" t="s">
        <v>261</v>
      </c>
      <c r="C42" s="406"/>
      <c r="D42" s="406"/>
      <c r="E42" s="406"/>
      <c r="F42" s="406"/>
      <c r="G42" s="406"/>
      <c r="H42" s="405"/>
      <c r="I42" s="1128"/>
      <c r="J42" s="401"/>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c r="BY42" s="403"/>
      <c r="BZ42" s="403"/>
      <c r="CA42" s="403"/>
      <c r="CB42" s="403"/>
      <c r="CC42" s="403"/>
      <c r="CD42" s="403"/>
      <c r="CE42" s="403"/>
      <c r="CF42" s="403"/>
      <c r="CG42" s="403"/>
      <c r="CH42" s="403"/>
      <c r="CI42" s="403"/>
    </row>
    <row r="43" spans="1:87" s="346" customFormat="1" ht="16.5" customHeight="1">
      <c r="A43" s="320">
        <f t="shared" si="5"/>
        <v>21</v>
      </c>
      <c r="B43" s="319" t="s">
        <v>262</v>
      </c>
      <c r="C43" s="406">
        <v>0.80900000000000005</v>
      </c>
      <c r="D43" s="406">
        <v>0.19600000000000001</v>
      </c>
      <c r="E43" s="406">
        <v>0.66000000000000014</v>
      </c>
      <c r="F43" s="406">
        <v>1.7070000000000001</v>
      </c>
      <c r="G43" s="406">
        <v>7.1519999999999992</v>
      </c>
      <c r="H43" s="405">
        <f>SUM(C43:G43)</f>
        <v>10.523999999999999</v>
      </c>
      <c r="I43" s="1128">
        <v>8.5350000000000019</v>
      </c>
      <c r="J43" s="407">
        <f>+I43/H43*1000</f>
        <v>811.00342075256583</v>
      </c>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03"/>
      <c r="CA43" s="403"/>
      <c r="CB43" s="403"/>
      <c r="CC43" s="403"/>
      <c r="CD43" s="403"/>
      <c r="CE43" s="403"/>
      <c r="CF43" s="403"/>
      <c r="CG43" s="403"/>
      <c r="CH43" s="403"/>
      <c r="CI43" s="403"/>
    </row>
    <row r="44" spans="1:87" s="346" customFormat="1" ht="16.5" customHeight="1">
      <c r="A44" s="320">
        <f t="shared" si="5"/>
        <v>22</v>
      </c>
      <c r="B44" s="319" t="s">
        <v>255</v>
      </c>
      <c r="C44" s="406">
        <v>117.84100000000001</v>
      </c>
      <c r="D44" s="406">
        <v>17.972000000000001</v>
      </c>
      <c r="E44" s="406">
        <v>27.026999999999997</v>
      </c>
      <c r="F44" s="406">
        <v>93.182999999999993</v>
      </c>
      <c r="G44" s="406">
        <v>214.00900000000001</v>
      </c>
      <c r="H44" s="405">
        <f>SUM(C44:G44)</f>
        <v>470.03200000000004</v>
      </c>
      <c r="I44" s="1128">
        <v>329.42529999999994</v>
      </c>
      <c r="J44" s="407">
        <f>+I44/H44*1000</f>
        <v>700.85717568165546</v>
      </c>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row>
    <row r="45" spans="1:87" s="346" customFormat="1" ht="16.5" customHeight="1">
      <c r="A45" s="320">
        <f t="shared" si="5"/>
        <v>23</v>
      </c>
      <c r="B45" s="319" t="s">
        <v>263</v>
      </c>
      <c r="C45" s="406">
        <v>0</v>
      </c>
      <c r="D45" s="406">
        <v>0</v>
      </c>
      <c r="E45" s="406">
        <v>0</v>
      </c>
      <c r="F45" s="406">
        <v>10.631999999999998</v>
      </c>
      <c r="G45" s="406">
        <v>0</v>
      </c>
      <c r="H45" s="405">
        <f>SUM(C45:G45)</f>
        <v>10.631999999999998</v>
      </c>
      <c r="I45" s="1128">
        <v>7.1062999999999992</v>
      </c>
      <c r="J45" s="407">
        <f>+I45/H45*1000</f>
        <v>668.387885628292</v>
      </c>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row>
    <row r="46" spans="1:87" s="346" customFormat="1" ht="16.5" customHeight="1">
      <c r="A46" s="320">
        <f t="shared" si="5"/>
        <v>24</v>
      </c>
      <c r="B46" s="319" t="s">
        <v>264</v>
      </c>
      <c r="C46" s="406"/>
      <c r="D46" s="406"/>
      <c r="E46" s="406"/>
      <c r="F46" s="406"/>
      <c r="G46" s="406"/>
      <c r="H46" s="405"/>
      <c r="I46" s="401"/>
      <c r="J46" s="401"/>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row>
    <row r="47" spans="1:87" s="346" customFormat="1" ht="16.5" customHeight="1">
      <c r="A47" s="320">
        <f t="shared" si="5"/>
        <v>25</v>
      </c>
      <c r="B47" s="319" t="s">
        <v>265</v>
      </c>
      <c r="C47" s="406"/>
      <c r="D47" s="406"/>
      <c r="E47" s="406"/>
      <c r="F47" s="406"/>
      <c r="G47" s="406"/>
      <c r="H47" s="405"/>
      <c r="I47" s="401"/>
      <c r="J47" s="401"/>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c r="CD47" s="403"/>
      <c r="CE47" s="403"/>
      <c r="CF47" s="403"/>
      <c r="CG47" s="403"/>
      <c r="CH47" s="403"/>
      <c r="CI47" s="403"/>
    </row>
    <row r="48" spans="1:87" s="346" customFormat="1" ht="16.5" customHeight="1">
      <c r="A48" s="320">
        <f t="shared" si="5"/>
        <v>26</v>
      </c>
      <c r="B48" s="319" t="s">
        <v>266</v>
      </c>
      <c r="C48" s="406">
        <v>0</v>
      </c>
      <c r="D48" s="406">
        <v>0</v>
      </c>
      <c r="E48" s="406">
        <v>0</v>
      </c>
      <c r="F48" s="406">
        <v>0</v>
      </c>
      <c r="G48" s="406">
        <v>0.14200000000000002</v>
      </c>
      <c r="H48" s="405">
        <f>SUM(C48:G48)</f>
        <v>0.14200000000000002</v>
      </c>
      <c r="I48" s="406">
        <v>0.11620000000000001</v>
      </c>
      <c r="J48" s="407">
        <f>+I48/H48*1000</f>
        <v>818.30985915492965</v>
      </c>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403"/>
      <c r="CD48" s="403"/>
      <c r="CE48" s="403"/>
      <c r="CF48" s="403"/>
      <c r="CG48" s="403"/>
      <c r="CH48" s="403"/>
      <c r="CI48" s="403"/>
    </row>
    <row r="49" spans="1:87" s="346" customFormat="1" ht="16.5" customHeight="1">
      <c r="A49" s="320">
        <f t="shared" si="5"/>
        <v>27</v>
      </c>
      <c r="B49" s="319" t="s">
        <v>267</v>
      </c>
      <c r="C49" s="404"/>
      <c r="D49" s="404"/>
      <c r="E49" s="404"/>
      <c r="F49" s="404"/>
      <c r="G49" s="404"/>
      <c r="H49" s="405"/>
      <c r="I49" s="401"/>
      <c r="J49" s="401"/>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c r="CD49" s="403"/>
      <c r="CE49" s="403"/>
      <c r="CF49" s="403"/>
      <c r="CG49" s="403"/>
      <c r="CH49" s="403"/>
      <c r="CI49" s="403"/>
    </row>
    <row r="50" spans="1:87" s="346" customFormat="1" ht="16.5" customHeight="1">
      <c r="A50" s="320"/>
      <c r="B50" s="328" t="s">
        <v>256</v>
      </c>
      <c r="C50" s="404">
        <f t="shared" ref="C50:G50" si="6">SUM(C35:C49)</f>
        <v>180.179</v>
      </c>
      <c r="D50" s="404">
        <f t="shared" si="6"/>
        <v>29.091000000000001</v>
      </c>
      <c r="E50" s="404">
        <f t="shared" si="6"/>
        <v>41.908000000000001</v>
      </c>
      <c r="F50" s="404">
        <f t="shared" si="6"/>
        <v>132.059</v>
      </c>
      <c r="G50" s="404">
        <f t="shared" si="6"/>
        <v>242.18</v>
      </c>
      <c r="H50" s="404">
        <f t="shared" ref="H50" si="7">SUM(H35:H49)</f>
        <v>625.41700000000003</v>
      </c>
      <c r="I50" s="401">
        <f>SUM(I35:I49)</f>
        <v>425.23879999999991</v>
      </c>
      <c r="J50" s="407">
        <f>+I50/H50*1000</f>
        <v>679.92843175033602</v>
      </c>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row>
    <row r="51" spans="1:87" s="346" customFormat="1" ht="16.5" customHeight="1">
      <c r="A51" s="319"/>
      <c r="B51" s="317" t="s">
        <v>268</v>
      </c>
      <c r="C51" s="404"/>
      <c r="D51" s="404"/>
      <c r="E51" s="404"/>
      <c r="F51" s="404"/>
      <c r="G51" s="404"/>
      <c r="H51" s="405"/>
      <c r="I51" s="401"/>
      <c r="J51" s="401"/>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403"/>
      <c r="CD51" s="403"/>
      <c r="CE51" s="403"/>
      <c r="CF51" s="403"/>
      <c r="CG51" s="403"/>
      <c r="CH51" s="403"/>
      <c r="CI51" s="403"/>
    </row>
    <row r="52" spans="1:87" s="346" customFormat="1" ht="16.5" customHeight="1">
      <c r="A52" s="320">
        <f>A49+1</f>
        <v>28</v>
      </c>
      <c r="B52" s="319" t="s">
        <v>270</v>
      </c>
      <c r="C52" s="1763">
        <v>0</v>
      </c>
      <c r="D52" s="1763">
        <v>85.942999999999998</v>
      </c>
      <c r="E52" s="1763">
        <v>0</v>
      </c>
      <c r="F52" s="1763">
        <v>0</v>
      </c>
      <c r="G52" s="1763">
        <v>0</v>
      </c>
      <c r="H52" s="405">
        <f>SUM(C52:G52)</f>
        <v>85.942999999999998</v>
      </c>
      <c r="I52" s="406">
        <v>54.2746</v>
      </c>
      <c r="J52" s="407">
        <f>+I52/H52*1000</f>
        <v>631.51856463004549</v>
      </c>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row>
    <row r="53" spans="1:87" s="346" customFormat="1" ht="16.5" customHeight="1">
      <c r="A53" s="320">
        <f t="shared" ref="A53:A59" si="8">A52+1</f>
        <v>29</v>
      </c>
      <c r="B53" s="319" t="s">
        <v>255</v>
      </c>
      <c r="C53" s="1763">
        <v>196.029</v>
      </c>
      <c r="D53" s="1763">
        <v>0</v>
      </c>
      <c r="E53" s="1763">
        <v>0</v>
      </c>
      <c r="F53" s="1763">
        <v>1220.2650000000003</v>
      </c>
      <c r="G53" s="1763">
        <v>342.12299999999999</v>
      </c>
      <c r="H53" s="405">
        <f>SUM(C53:G53)</f>
        <v>1758.4170000000004</v>
      </c>
      <c r="I53" s="406">
        <v>1079.2612000000001</v>
      </c>
      <c r="J53" s="407">
        <f>+I53/H53*1000</f>
        <v>613.76863394746522</v>
      </c>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row>
    <row r="54" spans="1:87" s="346" customFormat="1" ht="16.5" customHeight="1">
      <c r="A54" s="320">
        <f t="shared" si="8"/>
        <v>30</v>
      </c>
      <c r="B54" s="319" t="s">
        <v>265</v>
      </c>
      <c r="C54" s="1763">
        <v>124.32300000000001</v>
      </c>
      <c r="D54" s="1763">
        <v>60.983999999999995</v>
      </c>
      <c r="E54" s="1763">
        <v>0</v>
      </c>
      <c r="F54" s="1763">
        <v>118.931</v>
      </c>
      <c r="G54" s="1763">
        <v>158.93600000000001</v>
      </c>
      <c r="H54" s="405">
        <f>SUM(C54:G54)</f>
        <v>463.17399999999998</v>
      </c>
      <c r="I54" s="406">
        <v>313.61539999999997</v>
      </c>
      <c r="J54" s="407">
        <f>+I54/H54*1000</f>
        <v>677.10061445590645</v>
      </c>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row>
    <row r="55" spans="1:87" s="346" customFormat="1" ht="16.5" customHeight="1">
      <c r="A55" s="320">
        <f t="shared" si="8"/>
        <v>31</v>
      </c>
      <c r="B55" s="319" t="s">
        <v>276</v>
      </c>
      <c r="C55" s="1763">
        <v>0</v>
      </c>
      <c r="D55" s="1763">
        <v>0</v>
      </c>
      <c r="E55" s="1763">
        <v>0</v>
      </c>
      <c r="F55" s="1763">
        <v>0</v>
      </c>
      <c r="G55" s="1763">
        <v>139.803</v>
      </c>
      <c r="H55" s="405">
        <f>SUM(C55:G55)</f>
        <v>139.803</v>
      </c>
      <c r="I55" s="406">
        <v>75.65740000000001</v>
      </c>
      <c r="J55" s="407">
        <f>+I55/H55*1000</f>
        <v>541.17150561862059</v>
      </c>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row>
    <row r="56" spans="1:87" s="346" customFormat="1" ht="16.5" customHeight="1">
      <c r="A56" s="320">
        <f t="shared" si="8"/>
        <v>32</v>
      </c>
      <c r="B56" s="319" t="s">
        <v>263</v>
      </c>
      <c r="C56" s="1763">
        <v>0</v>
      </c>
      <c r="D56" s="1763">
        <v>131.65100000000001</v>
      </c>
      <c r="E56" s="1763">
        <v>0</v>
      </c>
      <c r="F56" s="1763">
        <v>42.74199999999999</v>
      </c>
      <c r="G56" s="1763">
        <v>29.052000000000003</v>
      </c>
      <c r="H56" s="405">
        <f>SUM(C56:G56)</f>
        <v>203.44499999999999</v>
      </c>
      <c r="I56" s="406">
        <v>117.9028</v>
      </c>
      <c r="J56" s="407">
        <f>+I56/H56*1000</f>
        <v>579.53156872864906</v>
      </c>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row>
    <row r="57" spans="1:87" s="346" customFormat="1" ht="16.5" customHeight="1">
      <c r="A57" s="320">
        <f t="shared" si="8"/>
        <v>33</v>
      </c>
      <c r="B57" s="319" t="s">
        <v>264</v>
      </c>
      <c r="C57" s="1763"/>
      <c r="D57" s="1763"/>
      <c r="E57" s="1763"/>
      <c r="F57" s="1763"/>
      <c r="G57" s="1763"/>
      <c r="H57" s="405"/>
      <c r="I57" s="406"/>
      <c r="J57" s="401"/>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403"/>
      <c r="CD57" s="403"/>
      <c r="CE57" s="403"/>
      <c r="CF57" s="403"/>
      <c r="CG57" s="403"/>
      <c r="CH57" s="403"/>
      <c r="CI57" s="403"/>
    </row>
    <row r="58" spans="1:87" s="346" customFormat="1" ht="16.5" customHeight="1">
      <c r="A58" s="320">
        <f t="shared" si="8"/>
        <v>34</v>
      </c>
      <c r="B58" s="319" t="s">
        <v>280</v>
      </c>
      <c r="C58" s="1763">
        <v>0</v>
      </c>
      <c r="D58" s="1763">
        <v>1.0469999999999999</v>
      </c>
      <c r="E58" s="1763">
        <v>0</v>
      </c>
      <c r="F58" s="1763">
        <v>0</v>
      </c>
      <c r="G58" s="1763">
        <v>0.10199999999999999</v>
      </c>
      <c r="H58" s="405">
        <f>SUM(C58:G58)</f>
        <v>1.149</v>
      </c>
      <c r="I58" s="406">
        <v>0.93990000000000018</v>
      </c>
      <c r="J58" s="407">
        <f>+I58/H58*1000</f>
        <v>818.01566579634482</v>
      </c>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row>
    <row r="59" spans="1:87" s="346" customFormat="1" ht="16.5" customHeight="1">
      <c r="A59" s="320">
        <f t="shared" si="8"/>
        <v>35</v>
      </c>
      <c r="B59" s="319" t="s">
        <v>267</v>
      </c>
      <c r="C59" s="1763"/>
      <c r="D59" s="1763"/>
      <c r="E59" s="1763"/>
      <c r="F59" s="1763"/>
      <c r="G59" s="1763"/>
      <c r="H59" s="405"/>
      <c r="I59" s="406"/>
      <c r="J59" s="401"/>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403"/>
      <c r="CD59" s="403"/>
      <c r="CE59" s="403"/>
      <c r="CF59" s="403"/>
      <c r="CG59" s="403"/>
      <c r="CH59" s="403"/>
      <c r="CI59" s="403"/>
    </row>
    <row r="60" spans="1:87" s="346" customFormat="1" ht="16.5" customHeight="1">
      <c r="A60" s="320"/>
      <c r="B60" s="328" t="s">
        <v>256</v>
      </c>
      <c r="C60" s="404">
        <f t="shared" ref="C60:G60" si="9">SUM(C52:C59)</f>
        <v>320.35199999999998</v>
      </c>
      <c r="D60" s="404">
        <f t="shared" si="9"/>
        <v>279.625</v>
      </c>
      <c r="E60" s="404">
        <f t="shared" si="9"/>
        <v>0</v>
      </c>
      <c r="F60" s="404">
        <f t="shared" si="9"/>
        <v>1381.9380000000003</v>
      </c>
      <c r="G60" s="404">
        <f t="shared" si="9"/>
        <v>670.01599999999996</v>
      </c>
      <c r="H60" s="404">
        <f t="shared" ref="H60" si="10">SUM(H52:H59)</f>
        <v>2651.9310000000005</v>
      </c>
      <c r="I60" s="401">
        <f t="shared" ref="I60" si="11">SUM(I52:I59)</f>
        <v>1641.6513000000002</v>
      </c>
      <c r="J60" s="407">
        <f>+I60/H60*1000</f>
        <v>619.03997502197444</v>
      </c>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row>
    <row r="61" spans="1:87" s="346" customFormat="1" ht="16.5" customHeight="1">
      <c r="A61" s="320"/>
      <c r="B61" s="328"/>
      <c r="C61" s="404"/>
      <c r="D61" s="404"/>
      <c r="E61" s="404"/>
      <c r="F61" s="404"/>
      <c r="G61" s="404"/>
      <c r="H61" s="405"/>
      <c r="I61" s="401"/>
      <c r="J61" s="401"/>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row>
    <row r="62" spans="1:87" s="346" customFormat="1" ht="16.5" customHeight="1">
      <c r="A62" s="320"/>
      <c r="B62" s="317" t="s">
        <v>282</v>
      </c>
      <c r="C62" s="404">
        <f t="shared" ref="C62:H62" si="12">+C33+C50+C60</f>
        <v>1117.7820000000002</v>
      </c>
      <c r="D62" s="404">
        <f t="shared" si="12"/>
        <v>621.55899999999997</v>
      </c>
      <c r="E62" s="404">
        <f t="shared" si="12"/>
        <v>499.46600000000012</v>
      </c>
      <c r="F62" s="404">
        <f t="shared" si="12"/>
        <v>1930.9200000000005</v>
      </c>
      <c r="G62" s="404">
        <f t="shared" si="12"/>
        <v>1240.3249999999998</v>
      </c>
      <c r="H62" s="404">
        <f t="shared" si="12"/>
        <v>5410.0520000000006</v>
      </c>
      <c r="I62" s="401">
        <f t="shared" ref="I62" si="13">+I33+I50+I60</f>
        <v>3159.9351000000001</v>
      </c>
      <c r="J62" s="407">
        <f>+I62/H62*1000</f>
        <v>584.08590157728611</v>
      </c>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row>
    <row r="63" spans="1:87" s="346" customFormat="1" ht="16.5" customHeight="1">
      <c r="A63" s="320">
        <v>36</v>
      </c>
      <c r="B63" s="319" t="s">
        <v>283</v>
      </c>
      <c r="C63" s="401"/>
      <c r="D63" s="401"/>
      <c r="E63" s="401"/>
      <c r="F63" s="401"/>
      <c r="G63" s="401"/>
      <c r="H63" s="405">
        <v>6473.3230000000003</v>
      </c>
      <c r="I63" s="401"/>
      <c r="J63" s="401"/>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c r="AN63" s="403"/>
      <c r="AO63" s="403"/>
      <c r="AP63" s="403"/>
      <c r="AQ63" s="403"/>
      <c r="AR63" s="403"/>
      <c r="AS63" s="403"/>
      <c r="AT63" s="403"/>
      <c r="AU63" s="403"/>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3"/>
      <c r="BR63" s="403"/>
      <c r="BS63" s="403"/>
      <c r="BT63" s="403"/>
      <c r="BU63" s="403"/>
      <c r="BV63" s="403"/>
      <c r="BW63" s="403"/>
      <c r="BX63" s="403"/>
      <c r="BY63" s="403"/>
      <c r="BZ63" s="403"/>
      <c r="CA63" s="403"/>
      <c r="CB63" s="403"/>
      <c r="CC63" s="403"/>
      <c r="CD63" s="403"/>
      <c r="CE63" s="403"/>
      <c r="CF63" s="403"/>
      <c r="CG63" s="403"/>
      <c r="CH63" s="403"/>
      <c r="CI63" s="403"/>
    </row>
    <row r="64" spans="1:87" s="346" customFormat="1" ht="16.5" customHeight="1">
      <c r="A64" s="320">
        <f>A63+1</f>
        <v>37</v>
      </c>
      <c r="B64" s="319" t="s">
        <v>284</v>
      </c>
      <c r="C64" s="401"/>
      <c r="D64" s="401"/>
      <c r="E64" s="401"/>
      <c r="F64" s="401"/>
      <c r="G64" s="401"/>
      <c r="H64" s="405">
        <f>+H63-H62</f>
        <v>1063.2709999999997</v>
      </c>
      <c r="I64" s="401"/>
      <c r="J64" s="401"/>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c r="BY64" s="403"/>
      <c r="BZ64" s="403"/>
      <c r="CA64" s="403"/>
      <c r="CB64" s="403"/>
      <c r="CC64" s="403"/>
      <c r="CD64" s="403"/>
      <c r="CE64" s="403"/>
      <c r="CF64" s="403"/>
      <c r="CG64" s="403"/>
      <c r="CH64" s="403"/>
      <c r="CI64" s="403"/>
    </row>
    <row r="65" spans="1:87" s="346" customFormat="1" ht="16.5" customHeight="1">
      <c r="A65" s="320">
        <f>A64+1</f>
        <v>38</v>
      </c>
      <c r="B65" s="334" t="s">
        <v>285</v>
      </c>
      <c r="C65" s="401"/>
      <c r="D65" s="401"/>
      <c r="E65" s="401"/>
      <c r="F65" s="401"/>
      <c r="G65" s="401"/>
      <c r="H65" s="164">
        <f>+H64/H63</f>
        <v>0.164254278675728</v>
      </c>
      <c r="I65" s="401"/>
      <c r="J65" s="401"/>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row>
    <row r="66" spans="1:87" s="346" customFormat="1" ht="16.5" customHeight="1">
      <c r="A66" s="320">
        <f>A65+1</f>
        <v>39</v>
      </c>
      <c r="B66" s="319" t="s">
        <v>286</v>
      </c>
      <c r="C66" s="401"/>
      <c r="D66" s="401"/>
      <c r="E66" s="401"/>
      <c r="F66" s="401"/>
      <c r="G66" s="401"/>
      <c r="H66" s="164">
        <v>1.0605557650219672</v>
      </c>
      <c r="I66" s="401"/>
      <c r="J66" s="401"/>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c r="CD66" s="403"/>
      <c r="CE66" s="403"/>
      <c r="CF66" s="403"/>
      <c r="CG66" s="403"/>
      <c r="CH66" s="403"/>
      <c r="CI66" s="403"/>
    </row>
    <row r="67" spans="1:87" s="346" customFormat="1" ht="16.5" customHeight="1">
      <c r="A67" s="320">
        <f>A66+1</f>
        <v>40</v>
      </c>
      <c r="B67" s="334" t="s">
        <v>287</v>
      </c>
      <c r="C67" s="401"/>
      <c r="D67" s="401"/>
      <c r="E67" s="401"/>
      <c r="F67" s="401"/>
      <c r="G67" s="401"/>
      <c r="H67" s="164">
        <f>1-((1-H65))*H66</f>
        <v>0.11364505715710083</v>
      </c>
      <c r="I67" s="401"/>
      <c r="J67" s="401"/>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row>
    <row r="68" spans="1:87" ht="20.100000000000001" customHeight="1"/>
    <row r="69" spans="1:87" ht="20.100000000000001" customHeight="1"/>
    <row r="70" spans="1:87" ht="20.100000000000001" customHeight="1"/>
    <row r="71" spans="1:87" ht="20.100000000000001" customHeight="1"/>
    <row r="72" spans="1:87" ht="20.100000000000001" customHeight="1"/>
    <row r="73" spans="1:87" ht="20.100000000000001" customHeight="1"/>
    <row r="74" spans="1:87" ht="20.100000000000001" customHeight="1"/>
    <row r="75" spans="1:87" ht="20.100000000000001" customHeight="1"/>
    <row r="76" spans="1:87" ht="20.100000000000001" customHeight="1"/>
    <row r="77" spans="1:87" ht="20.100000000000001" customHeight="1"/>
    <row r="78" spans="1:87" ht="20.100000000000001" customHeight="1"/>
    <row r="79" spans="1:87" ht="20.100000000000001" customHeight="1"/>
    <row r="80" spans="1:87"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sheetData>
  <mergeCells count="1">
    <mergeCell ref="A3:J3"/>
  </mergeCells>
  <printOptions horizontalCentered="1"/>
  <pageMargins left="0.23622047244094491" right="0.15748031496062992" top="0.43307086614173229" bottom="0.19685039370078741" header="0.39370078740157483" footer="0.15748031496062992"/>
  <pageSetup paperSize="9"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sheetPr>
  <dimension ref="A1:BX147"/>
  <sheetViews>
    <sheetView view="pageBreakPreview" zoomScale="90" zoomScaleNormal="75" zoomScaleSheetLayoutView="90" workbookViewId="0">
      <pane xSplit="2" ySplit="6" topLeftCell="C7" activePane="bottomRight" state="frozen"/>
      <selection pane="bottomRight" activeCell="F20" sqref="F20"/>
      <selection pane="bottomLeft"/>
      <selection pane="topRight"/>
    </sheetView>
  </sheetViews>
  <sheetFormatPr defaultColWidth="14.7109375" defaultRowHeight="15"/>
  <cols>
    <col min="1" max="1" width="8.5703125" style="308" customWidth="1"/>
    <col min="2" max="2" width="34.42578125" style="308" customWidth="1"/>
    <col min="3" max="8" width="11.85546875" style="308" customWidth="1"/>
    <col min="9" max="9" width="12.5703125" style="308" customWidth="1"/>
    <col min="10" max="10" width="12.42578125" style="308" customWidth="1"/>
    <col min="11" max="16384" width="14.7109375" style="308"/>
  </cols>
  <sheetData>
    <row r="1" spans="1:76" ht="18">
      <c r="B1" s="343" t="s">
        <v>209</v>
      </c>
      <c r="I1" s="311" t="s">
        <v>210</v>
      </c>
      <c r="J1" s="330" t="s">
        <v>373</v>
      </c>
    </row>
    <row r="3" spans="1:76" ht="15" customHeight="1">
      <c r="A3" s="2492" t="s">
        <v>24</v>
      </c>
      <c r="B3" s="2492"/>
      <c r="C3" s="2492"/>
      <c r="D3" s="2492"/>
      <c r="E3" s="2492"/>
      <c r="F3" s="2492"/>
      <c r="G3" s="2492"/>
      <c r="H3" s="2492"/>
      <c r="I3" s="2492"/>
      <c r="J3" s="2492"/>
    </row>
    <row r="4" spans="1:76" ht="15.75">
      <c r="C4" s="330" t="s">
        <v>374</v>
      </c>
      <c r="D4" s="400" t="s">
        <v>387</v>
      </c>
      <c r="F4" s="382"/>
      <c r="G4" s="382"/>
      <c r="H4" s="382"/>
      <c r="I4" s="382"/>
      <c r="J4" s="382"/>
    </row>
    <row r="5" spans="1:76">
      <c r="D5" s="400"/>
      <c r="F5" s="382"/>
      <c r="G5" s="382"/>
      <c r="H5" s="382"/>
      <c r="I5" s="382"/>
      <c r="J5" s="382"/>
    </row>
    <row r="6" spans="1:76" s="346" customFormat="1" ht="57.75" customHeight="1">
      <c r="A6" s="327" t="s">
        <v>376</v>
      </c>
      <c r="B6" s="401" t="s">
        <v>377</v>
      </c>
      <c r="C6" s="401" t="s">
        <v>378</v>
      </c>
      <c r="D6" s="401" t="s">
        <v>379</v>
      </c>
      <c r="E6" s="401" t="s">
        <v>380</v>
      </c>
      <c r="F6" s="401" t="s">
        <v>381</v>
      </c>
      <c r="G6" s="401" t="s">
        <v>382</v>
      </c>
      <c r="H6" s="402" t="s">
        <v>383</v>
      </c>
      <c r="I6" s="401" t="s">
        <v>384</v>
      </c>
      <c r="J6" s="401" t="s">
        <v>385</v>
      </c>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row>
    <row r="7" spans="1:76" s="346" customFormat="1" ht="16.5" customHeight="1">
      <c r="A7" s="319"/>
      <c r="B7" s="317" t="s">
        <v>230</v>
      </c>
      <c r="C7" s="401"/>
      <c r="D7" s="401"/>
      <c r="E7" s="401"/>
      <c r="F7" s="401"/>
      <c r="G7" s="401"/>
      <c r="H7" s="402"/>
      <c r="I7" s="401"/>
      <c r="J7" s="401"/>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row>
    <row r="8" spans="1:76" s="346" customFormat="1" ht="16.5" customHeight="1">
      <c r="A8" s="320">
        <v>1</v>
      </c>
      <c r="B8" s="319" t="s">
        <v>231</v>
      </c>
      <c r="C8" s="404"/>
      <c r="D8" s="404"/>
      <c r="E8" s="404"/>
      <c r="F8" s="404"/>
      <c r="G8" s="404"/>
      <c r="H8" s="405"/>
      <c r="I8" s="401"/>
      <c r="J8" s="401"/>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row>
    <row r="9" spans="1:76" s="346" customFormat="1" ht="16.5" customHeight="1">
      <c r="A9" s="320"/>
      <c r="B9" s="320" t="s">
        <v>233</v>
      </c>
      <c r="C9" s="406">
        <v>0.17900000000000002</v>
      </c>
      <c r="D9" s="406">
        <v>0.127</v>
      </c>
      <c r="E9" s="406">
        <v>1.25</v>
      </c>
      <c r="F9" s="406">
        <v>0.1</v>
      </c>
      <c r="G9" s="406">
        <v>0.36599999999999999</v>
      </c>
      <c r="H9" s="405">
        <f>SUM(C9:G9)</f>
        <v>2.0220000000000002</v>
      </c>
      <c r="I9" s="403">
        <v>0.5647000000000002</v>
      </c>
      <c r="J9" s="407">
        <f>+I9/H9*1000</f>
        <v>279.27794263105841</v>
      </c>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row>
    <row r="10" spans="1:76" s="346" customFormat="1" ht="16.5" customHeight="1">
      <c r="A10" s="320"/>
      <c r="B10" s="320" t="s">
        <v>234</v>
      </c>
      <c r="C10" s="406">
        <v>263.60500000000002</v>
      </c>
      <c r="D10" s="406">
        <v>154.66699999999997</v>
      </c>
      <c r="E10" s="406">
        <v>187.31299999999999</v>
      </c>
      <c r="F10" s="406">
        <v>202.23699999999999</v>
      </c>
      <c r="G10" s="406">
        <v>133.84799999999998</v>
      </c>
      <c r="H10" s="405">
        <f>SUM(C10:G10)</f>
        <v>941.67</v>
      </c>
      <c r="I10" s="403">
        <v>423.94439999999997</v>
      </c>
      <c r="J10" s="407">
        <f>+I10/H10*1000</f>
        <v>450.20484883239345</v>
      </c>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row>
    <row r="11" spans="1:76" s="346" customFormat="1" ht="16.5" customHeight="1">
      <c r="A11" s="320"/>
      <c r="B11" s="320" t="s">
        <v>235</v>
      </c>
      <c r="C11" s="404"/>
      <c r="D11" s="404"/>
      <c r="E11" s="404"/>
      <c r="F11" s="404"/>
      <c r="G11" s="404"/>
      <c r="H11" s="404"/>
      <c r="I11" s="404"/>
      <c r="J11" s="407"/>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row>
    <row r="12" spans="1:76" s="346" customFormat="1" ht="16.5" customHeight="1">
      <c r="A12" s="320"/>
      <c r="B12" s="320" t="s">
        <v>236</v>
      </c>
      <c r="C12" s="404"/>
      <c r="D12" s="404"/>
      <c r="E12" s="404"/>
      <c r="F12" s="404"/>
      <c r="G12" s="404"/>
      <c r="H12" s="405"/>
      <c r="I12" s="401"/>
      <c r="J12" s="401"/>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c r="AW12" s="403"/>
      <c r="AX12" s="403"/>
      <c r="AY12" s="403"/>
      <c r="AZ12" s="403"/>
      <c r="BA12" s="403"/>
      <c r="BB12" s="403"/>
      <c r="BC12" s="403"/>
      <c r="BD12" s="403"/>
      <c r="BE12" s="403"/>
      <c r="BF12" s="403"/>
      <c r="BG12" s="403"/>
      <c r="BH12" s="403"/>
      <c r="BI12" s="403"/>
      <c r="BJ12" s="403"/>
      <c r="BK12" s="403"/>
      <c r="BL12" s="403"/>
      <c r="BM12" s="403"/>
      <c r="BN12" s="403"/>
      <c r="BO12" s="403"/>
      <c r="BP12" s="403"/>
      <c r="BQ12" s="403"/>
      <c r="BR12" s="403"/>
      <c r="BS12" s="403"/>
      <c r="BT12" s="403"/>
      <c r="BU12" s="403"/>
      <c r="BV12" s="403"/>
      <c r="BW12" s="403"/>
      <c r="BX12" s="403"/>
    </row>
    <row r="13" spans="1:76" s="346" customFormat="1" ht="16.5" customHeight="1">
      <c r="A13" s="320"/>
      <c r="B13" s="320" t="s">
        <v>237</v>
      </c>
      <c r="C13" s="404"/>
      <c r="D13" s="404"/>
      <c r="E13" s="404"/>
      <c r="F13" s="404"/>
      <c r="G13" s="404"/>
      <c r="H13" s="405"/>
      <c r="I13" s="401"/>
      <c r="J13" s="401"/>
      <c r="K13" s="403"/>
      <c r="L13" s="403"/>
      <c r="M13" s="403"/>
      <c r="N13" s="403"/>
      <c r="O13" s="403"/>
      <c r="P13" s="403"/>
      <c r="Q13" s="403"/>
      <c r="R13" s="403"/>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row>
    <row r="14" spans="1:76" s="346" customFormat="1" ht="16.5" customHeight="1">
      <c r="A14" s="320"/>
      <c r="B14" s="320" t="s">
        <v>238</v>
      </c>
      <c r="C14" s="404"/>
      <c r="D14" s="404"/>
      <c r="E14" s="404"/>
      <c r="F14" s="404"/>
      <c r="G14" s="404"/>
      <c r="H14" s="405"/>
      <c r="I14" s="401"/>
      <c r="J14" s="401"/>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row>
    <row r="15" spans="1:76" s="346" customFormat="1" ht="16.5" customHeight="1">
      <c r="A15" s="320"/>
      <c r="B15" s="320" t="s">
        <v>386</v>
      </c>
      <c r="C15" s="404"/>
      <c r="D15" s="404"/>
      <c r="E15" s="404"/>
      <c r="F15" s="404"/>
      <c r="G15" s="404"/>
      <c r="H15" s="405"/>
      <c r="I15" s="401"/>
      <c r="J15" s="401"/>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row>
    <row r="16" spans="1:76" s="346" customFormat="1" ht="16.5" customHeight="1">
      <c r="A16" s="320"/>
      <c r="B16" s="319"/>
      <c r="C16" s="404"/>
      <c r="D16" s="404"/>
      <c r="E16" s="404"/>
      <c r="F16" s="404"/>
      <c r="G16" s="404"/>
      <c r="H16" s="405"/>
      <c r="I16" s="401"/>
      <c r="J16" s="401"/>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row>
    <row r="17" spans="1:76" s="346" customFormat="1" ht="16.5" customHeight="1">
      <c r="A17" s="320">
        <v>2</v>
      </c>
      <c r="B17" s="319" t="s">
        <v>241</v>
      </c>
      <c r="C17" s="406">
        <v>70.468999999999994</v>
      </c>
      <c r="D17" s="406">
        <v>31.551000000000002</v>
      </c>
      <c r="E17" s="406">
        <v>45.273000000000003</v>
      </c>
      <c r="F17" s="406">
        <v>44.706999999999994</v>
      </c>
      <c r="G17" s="406">
        <v>41.754000000000005</v>
      </c>
      <c r="H17" s="405">
        <f>SUM(C17:G17)</f>
        <v>233.75400000000002</v>
      </c>
      <c r="I17" s="1129">
        <v>170.89340000000001</v>
      </c>
      <c r="J17" s="407">
        <f>+I17/H17*1000</f>
        <v>731.08224885991262</v>
      </c>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403"/>
      <c r="AR17" s="403"/>
      <c r="AS17" s="403"/>
      <c r="AT17" s="403"/>
      <c r="AU17" s="403"/>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row>
    <row r="18" spans="1:76" s="346" customFormat="1" ht="16.5" customHeight="1">
      <c r="A18" s="320"/>
      <c r="B18" s="320" t="s">
        <v>242</v>
      </c>
      <c r="C18" s="406"/>
      <c r="D18" s="406"/>
      <c r="E18" s="406"/>
      <c r="F18" s="406"/>
      <c r="G18" s="406"/>
      <c r="H18" s="405"/>
      <c r="I18" s="401"/>
      <c r="J18" s="401"/>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row>
    <row r="19" spans="1:76" s="346" customFormat="1" ht="16.5" customHeight="1">
      <c r="A19" s="320"/>
      <c r="B19" s="320" t="s">
        <v>243</v>
      </c>
      <c r="C19" s="406"/>
      <c r="D19" s="406"/>
      <c r="E19" s="406"/>
      <c r="F19" s="406"/>
      <c r="G19" s="406"/>
      <c r="H19" s="405"/>
      <c r="I19" s="401"/>
      <c r="J19" s="401"/>
      <c r="K19" s="403"/>
      <c r="L19" s="403"/>
      <c r="M19" s="403"/>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3"/>
      <c r="AL19" s="403"/>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row>
    <row r="20" spans="1:76" s="346" customFormat="1" ht="16.5" customHeight="1">
      <c r="A20" s="320"/>
      <c r="B20" s="320" t="s">
        <v>244</v>
      </c>
      <c r="C20" s="406"/>
      <c r="D20" s="406"/>
      <c r="E20" s="406"/>
      <c r="F20" s="406"/>
      <c r="G20" s="406"/>
      <c r="H20" s="405"/>
      <c r="I20" s="401"/>
      <c r="J20" s="401"/>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row>
    <row r="21" spans="1:76" s="346" customFormat="1" ht="16.5" customHeight="1">
      <c r="A21" s="320"/>
      <c r="B21" s="319"/>
      <c r="C21" s="406"/>
      <c r="D21" s="406"/>
      <c r="E21" s="406"/>
      <c r="F21" s="406"/>
      <c r="G21" s="406"/>
      <c r="H21" s="405"/>
      <c r="I21" s="401"/>
      <c r="J21" s="401"/>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row>
    <row r="22" spans="1:76" s="346" customFormat="1" ht="16.5" customHeight="1">
      <c r="A22" s="320">
        <v>3</v>
      </c>
      <c r="B22" s="319" t="s">
        <v>245</v>
      </c>
      <c r="C22" s="406">
        <v>19.944999999999997</v>
      </c>
      <c r="D22" s="406">
        <v>1.9260000000000002</v>
      </c>
      <c r="E22" s="406">
        <v>2.4869999999999997</v>
      </c>
      <c r="F22" s="406">
        <v>4.0490000000000004</v>
      </c>
      <c r="G22" s="406">
        <v>2.702</v>
      </c>
      <c r="H22" s="405">
        <f t="shared" ref="H22:H29" si="0">SUM(C22:G22)</f>
        <v>31.108999999999995</v>
      </c>
      <c r="I22" s="1129">
        <v>6.2549000000000001</v>
      </c>
      <c r="J22" s="407">
        <f t="shared" ref="J22:J29" si="1">+I22/H22*1000</f>
        <v>201.06400077148095</v>
      </c>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row>
    <row r="23" spans="1:76" s="346" customFormat="1" ht="16.5" customHeight="1">
      <c r="A23" s="320">
        <f t="shared" ref="A23:A32" si="2">A22+1</f>
        <v>4</v>
      </c>
      <c r="B23" s="319" t="s">
        <v>246</v>
      </c>
      <c r="C23" s="406">
        <v>22.402999999999999</v>
      </c>
      <c r="D23" s="406">
        <v>3.14</v>
      </c>
      <c r="E23" s="406">
        <v>1.2770000000000001</v>
      </c>
      <c r="F23" s="406">
        <v>0.248</v>
      </c>
      <c r="G23" s="406">
        <v>0.65700000000000003</v>
      </c>
      <c r="H23" s="405">
        <f t="shared" si="0"/>
        <v>27.725000000000001</v>
      </c>
      <c r="I23" s="1129">
        <v>5.5891000000000002</v>
      </c>
      <c r="J23" s="407">
        <f t="shared" si="1"/>
        <v>201.59062218214606</v>
      </c>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row>
    <row r="24" spans="1:76" s="346" customFormat="1" ht="16.5" customHeight="1">
      <c r="A24" s="320">
        <f t="shared" si="2"/>
        <v>5</v>
      </c>
      <c r="B24" s="319" t="s">
        <v>247</v>
      </c>
      <c r="C24" s="406">
        <v>0.193</v>
      </c>
      <c r="D24" s="406">
        <v>0.17200000000000001</v>
      </c>
      <c r="E24" s="406">
        <v>0.27400000000000002</v>
      </c>
      <c r="F24" s="406">
        <v>0</v>
      </c>
      <c r="G24" s="406">
        <v>0.16899999999999998</v>
      </c>
      <c r="H24" s="405">
        <f t="shared" si="0"/>
        <v>0.80800000000000005</v>
      </c>
      <c r="I24" s="1129">
        <v>0.30620000000000003</v>
      </c>
      <c r="J24" s="407">
        <f t="shared" si="1"/>
        <v>378.96039603960395</v>
      </c>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row>
    <row r="25" spans="1:76" s="346" customFormat="1" ht="16.5" customHeight="1">
      <c r="A25" s="320">
        <f t="shared" si="2"/>
        <v>6</v>
      </c>
      <c r="B25" s="319" t="s">
        <v>248</v>
      </c>
      <c r="C25" s="406">
        <v>3.9180000000000001</v>
      </c>
      <c r="D25" s="406">
        <v>2.637</v>
      </c>
      <c r="E25" s="406">
        <v>1.8780000000000001</v>
      </c>
      <c r="F25" s="406">
        <v>2.6370000000000005</v>
      </c>
      <c r="G25" s="406">
        <v>3.4929999999999999</v>
      </c>
      <c r="H25" s="405">
        <f t="shared" si="0"/>
        <v>14.563000000000001</v>
      </c>
      <c r="I25" s="1129">
        <v>9.0584000000000007</v>
      </c>
      <c r="J25" s="407">
        <f t="shared" si="1"/>
        <v>622.01469477442834</v>
      </c>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row>
    <row r="26" spans="1:76" s="346" customFormat="1" ht="16.5" customHeight="1">
      <c r="A26" s="320">
        <f t="shared" si="2"/>
        <v>7</v>
      </c>
      <c r="B26" s="319" t="s">
        <v>249</v>
      </c>
      <c r="C26" s="406">
        <v>2.6320000000000001</v>
      </c>
      <c r="D26" s="406">
        <v>1.5209999999999999</v>
      </c>
      <c r="E26" s="406">
        <v>2.5289999999999999</v>
      </c>
      <c r="F26" s="406">
        <v>1.599</v>
      </c>
      <c r="G26" s="406">
        <v>1.4489999999999998</v>
      </c>
      <c r="H26" s="405">
        <f t="shared" si="0"/>
        <v>9.73</v>
      </c>
      <c r="I26" s="1129">
        <v>7.0004</v>
      </c>
      <c r="J26" s="407">
        <f t="shared" si="1"/>
        <v>719.46557040082212</v>
      </c>
      <c r="K26" s="403"/>
      <c r="L26" s="403"/>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row>
    <row r="27" spans="1:76" s="346" customFormat="1" ht="16.5" customHeight="1">
      <c r="A27" s="320">
        <f t="shared" si="2"/>
        <v>8</v>
      </c>
      <c r="B27" s="319" t="s">
        <v>250</v>
      </c>
      <c r="C27" s="406">
        <v>7.7549999999999999</v>
      </c>
      <c r="D27" s="406">
        <v>4.5359999999999996</v>
      </c>
      <c r="E27" s="406">
        <v>3.0830000000000002</v>
      </c>
      <c r="F27" s="406">
        <v>3.5590000000000002</v>
      </c>
      <c r="G27" s="406">
        <v>2.0019999999999998</v>
      </c>
      <c r="H27" s="405">
        <f t="shared" si="0"/>
        <v>20.934999999999999</v>
      </c>
      <c r="I27" s="1129">
        <v>16.674099999999999</v>
      </c>
      <c r="J27" s="407">
        <f t="shared" si="1"/>
        <v>796.47002627179359</v>
      </c>
      <c r="K27" s="403"/>
      <c r="L27" s="403"/>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row>
    <row r="28" spans="1:76" s="346" customFormat="1" ht="16.5" customHeight="1">
      <c r="A28" s="320">
        <f t="shared" si="2"/>
        <v>9</v>
      </c>
      <c r="B28" s="319" t="s">
        <v>251</v>
      </c>
      <c r="C28" s="406">
        <v>4.7240000000000002</v>
      </c>
      <c r="D28" s="406">
        <v>1.905</v>
      </c>
      <c r="E28" s="406">
        <v>7.8119999999999994</v>
      </c>
      <c r="F28" s="406">
        <v>2.6390000000000002</v>
      </c>
      <c r="G28" s="406">
        <v>4.6430000000000007</v>
      </c>
      <c r="H28" s="405">
        <f t="shared" si="0"/>
        <v>21.722999999999999</v>
      </c>
      <c r="I28" s="1129">
        <v>15.462800000000001</v>
      </c>
      <c r="J28" s="407">
        <f>+I28/H28*1000</f>
        <v>711.81696819039746</v>
      </c>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row>
    <row r="29" spans="1:76" s="346" customFormat="1" ht="16.5" customHeight="1">
      <c r="A29" s="320">
        <f t="shared" si="2"/>
        <v>10</v>
      </c>
      <c r="B29" s="319" t="s">
        <v>252</v>
      </c>
      <c r="C29" s="406">
        <v>9.2810000000000006</v>
      </c>
      <c r="D29" s="406">
        <v>2.6880000000000002</v>
      </c>
      <c r="E29" s="406">
        <v>9.1739999999999995</v>
      </c>
      <c r="F29" s="406">
        <v>4.1660000000000004</v>
      </c>
      <c r="G29" s="406">
        <v>4.4409999999999989</v>
      </c>
      <c r="H29" s="405">
        <f t="shared" si="0"/>
        <v>29.75</v>
      </c>
      <c r="I29" s="1129">
        <v>24.3324</v>
      </c>
      <c r="J29" s="407">
        <f t="shared" si="1"/>
        <v>817.8957983193277</v>
      </c>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row>
    <row r="30" spans="1:76" s="346" customFormat="1" ht="16.5" customHeight="1">
      <c r="A30" s="320">
        <f t="shared" si="2"/>
        <v>11</v>
      </c>
      <c r="B30" s="319" t="s">
        <v>253</v>
      </c>
      <c r="C30" s="404"/>
      <c r="D30" s="404"/>
      <c r="E30" s="404"/>
      <c r="F30" s="404"/>
      <c r="G30" s="404"/>
      <c r="H30" s="405"/>
      <c r="I30" s="401"/>
      <c r="J30" s="401"/>
      <c r="K30" s="403"/>
      <c r="L30" s="403"/>
      <c r="M30" s="403"/>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row>
    <row r="31" spans="1:76" s="346" customFormat="1" ht="16.5" customHeight="1">
      <c r="A31" s="320">
        <f t="shared" si="2"/>
        <v>12</v>
      </c>
      <c r="B31" s="319" t="s">
        <v>254</v>
      </c>
      <c r="C31" s="404"/>
      <c r="D31" s="404"/>
      <c r="E31" s="404"/>
      <c r="F31" s="404"/>
      <c r="G31" s="404"/>
      <c r="H31" s="405"/>
      <c r="I31" s="401"/>
      <c r="J31" s="401"/>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row>
    <row r="32" spans="1:76" s="346" customFormat="1" ht="16.5" customHeight="1">
      <c r="A32" s="320">
        <f t="shared" si="2"/>
        <v>13</v>
      </c>
      <c r="B32" s="319" t="s">
        <v>255</v>
      </c>
      <c r="C32" s="404"/>
      <c r="D32" s="404"/>
      <c r="E32" s="404"/>
      <c r="F32" s="404"/>
      <c r="G32" s="404"/>
      <c r="H32" s="405"/>
      <c r="I32" s="401"/>
      <c r="J32" s="401"/>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row>
    <row r="33" spans="1:76" s="346" customFormat="1" ht="16.5" customHeight="1">
      <c r="A33" s="320"/>
      <c r="B33" s="328" t="s">
        <v>256</v>
      </c>
      <c r="C33" s="404">
        <f t="shared" ref="C33:G33" si="3">SUM(C9:C32)</f>
        <v>405.10399999999998</v>
      </c>
      <c r="D33" s="404">
        <f t="shared" si="3"/>
        <v>204.86999999999992</v>
      </c>
      <c r="E33" s="404">
        <f t="shared" si="3"/>
        <v>262.34999999999997</v>
      </c>
      <c r="F33" s="404">
        <f t="shared" si="3"/>
        <v>265.94099999999997</v>
      </c>
      <c r="G33" s="404">
        <f t="shared" si="3"/>
        <v>195.52400000000006</v>
      </c>
      <c r="H33" s="404">
        <f t="shared" ref="H33" si="4">SUM(H9:H32)</f>
        <v>1333.7889999999998</v>
      </c>
      <c r="I33" s="401">
        <f>SUM(I9:I32)</f>
        <v>680.08080000000007</v>
      </c>
      <c r="J33" s="407">
        <f>+I33/H33*1000</f>
        <v>509.88634634113805</v>
      </c>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row>
    <row r="34" spans="1:76" s="346" customFormat="1" ht="16.5" customHeight="1">
      <c r="A34" s="319"/>
      <c r="B34" s="317" t="s">
        <v>257</v>
      </c>
      <c r="C34" s="404"/>
      <c r="D34" s="404"/>
      <c r="E34" s="404"/>
      <c r="F34" s="404"/>
      <c r="G34" s="404"/>
      <c r="H34" s="405"/>
      <c r="I34" s="401"/>
      <c r="J34" s="401"/>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row>
    <row r="35" spans="1:76" s="346" customFormat="1" ht="16.5" customHeight="1">
      <c r="A35" s="320">
        <v>13</v>
      </c>
      <c r="B35" s="319" t="s">
        <v>258</v>
      </c>
      <c r="C35" s="406">
        <v>1.173</v>
      </c>
      <c r="D35" s="406">
        <v>0</v>
      </c>
      <c r="E35" s="406">
        <v>0</v>
      </c>
      <c r="F35" s="406">
        <v>3.8760000000000003</v>
      </c>
      <c r="G35" s="406">
        <v>3.7720000000000002</v>
      </c>
      <c r="H35" s="405">
        <f>SUM(C35:G35)</f>
        <v>8.8210000000000015</v>
      </c>
      <c r="I35" s="1129">
        <v>4.5095999999999998</v>
      </c>
      <c r="J35" s="407">
        <f>+I35/H35*1000</f>
        <v>511.2345539054528</v>
      </c>
      <c r="K35" s="403"/>
      <c r="L35" s="403"/>
      <c r="M35" s="403"/>
      <c r="N35" s="403"/>
      <c r="O35" s="403"/>
      <c r="P35" s="403"/>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row>
    <row r="36" spans="1:76" s="346" customFormat="1" ht="16.5" customHeight="1">
      <c r="A36" s="320">
        <f t="shared" ref="A36:A49" si="5">A35+1</f>
        <v>14</v>
      </c>
      <c r="B36" s="319" t="s">
        <v>245</v>
      </c>
      <c r="C36" s="406">
        <v>0</v>
      </c>
      <c r="D36" s="406">
        <v>0</v>
      </c>
      <c r="E36" s="406">
        <v>0.624</v>
      </c>
      <c r="F36" s="406">
        <v>0.7649999999999999</v>
      </c>
      <c r="G36" s="406">
        <v>0.16</v>
      </c>
      <c r="H36" s="405">
        <f>SUM(C36:G36)</f>
        <v>1.5489999999999997</v>
      </c>
      <c r="I36" s="1129">
        <v>0.60670000000000002</v>
      </c>
      <c r="J36" s="407">
        <f t="shared" ref="J36:J37" si="6">+I36/H36*1000</f>
        <v>391.67204648160117</v>
      </c>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row>
    <row r="37" spans="1:76" s="346" customFormat="1" ht="16.5" customHeight="1">
      <c r="A37" s="320">
        <f t="shared" si="5"/>
        <v>15</v>
      </c>
      <c r="B37" s="319" t="s">
        <v>246</v>
      </c>
      <c r="C37" s="406">
        <v>6.4889999999999999</v>
      </c>
      <c r="D37" s="406">
        <v>2.9360000000000004</v>
      </c>
      <c r="E37" s="406">
        <v>2.262</v>
      </c>
      <c r="F37" s="406">
        <v>0</v>
      </c>
      <c r="G37" s="406">
        <v>7.1000000000000008E-2</v>
      </c>
      <c r="H37" s="405">
        <f>SUM(C37:G37)</f>
        <v>11.758000000000001</v>
      </c>
      <c r="I37" s="1129">
        <v>2.4652000000000003</v>
      </c>
      <c r="J37" s="407">
        <f t="shared" si="6"/>
        <v>209.66150705902365</v>
      </c>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row>
    <row r="38" spans="1:76" s="346" customFormat="1" ht="16.5" customHeight="1">
      <c r="A38" s="320">
        <f t="shared" si="5"/>
        <v>16</v>
      </c>
      <c r="B38" s="319" t="s">
        <v>247</v>
      </c>
      <c r="C38" s="406">
        <v>20.384</v>
      </c>
      <c r="D38" s="406">
        <v>0.64100000000000001</v>
      </c>
      <c r="E38" s="406">
        <v>0.14800000000000002</v>
      </c>
      <c r="F38" s="406">
        <v>0</v>
      </c>
      <c r="G38" s="406">
        <v>0.24000000000000002</v>
      </c>
      <c r="H38" s="405">
        <f>SUM(C38:G38)</f>
        <v>21.412999999999997</v>
      </c>
      <c r="I38" s="1129">
        <v>6.8422999999999998</v>
      </c>
      <c r="J38" s="407">
        <f>+I38/H38*1000</f>
        <v>319.53953205996362</v>
      </c>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row>
    <row r="39" spans="1:76" s="346" customFormat="1" ht="16.5" customHeight="1">
      <c r="A39" s="320">
        <f t="shared" si="5"/>
        <v>17</v>
      </c>
      <c r="B39" s="319" t="s">
        <v>251</v>
      </c>
      <c r="C39" s="406">
        <v>3.319</v>
      </c>
      <c r="D39" s="406">
        <v>0.76800000000000002</v>
      </c>
      <c r="E39" s="406">
        <v>2.17</v>
      </c>
      <c r="F39" s="406">
        <v>0.41600000000000004</v>
      </c>
      <c r="G39" s="406">
        <v>1.8519999999999999</v>
      </c>
      <c r="H39" s="405">
        <f>SUM(C39:G39)</f>
        <v>8.5250000000000004</v>
      </c>
      <c r="I39" s="1129">
        <v>7.0466999999999995</v>
      </c>
      <c r="J39" s="407">
        <f>+I39/H39*1000</f>
        <v>826.59237536656883</v>
      </c>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row>
    <row r="40" spans="1:76" s="346" customFormat="1" ht="16.5" customHeight="1">
      <c r="A40" s="320">
        <f t="shared" si="5"/>
        <v>18</v>
      </c>
      <c r="B40" s="319" t="s">
        <v>260</v>
      </c>
      <c r="C40" s="406"/>
      <c r="D40" s="406"/>
      <c r="E40" s="406"/>
      <c r="F40" s="406"/>
      <c r="G40" s="406"/>
      <c r="H40" s="405"/>
      <c r="I40" s="1128"/>
      <c r="J40" s="401"/>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row>
    <row r="41" spans="1:76" s="346" customFormat="1" ht="16.5" customHeight="1">
      <c r="A41" s="320">
        <f t="shared" si="5"/>
        <v>19</v>
      </c>
      <c r="B41" s="319" t="s">
        <v>254</v>
      </c>
      <c r="C41" s="406">
        <v>10.975000000000001</v>
      </c>
      <c r="D41" s="406">
        <v>2.6039999999999996</v>
      </c>
      <c r="E41" s="406">
        <v>3.1669999999999998</v>
      </c>
      <c r="F41" s="406">
        <v>9.9649999999999999</v>
      </c>
      <c r="G41" s="406">
        <v>5.8330000000000002</v>
      </c>
      <c r="H41" s="405">
        <f>SUM(C41:G41)</f>
        <v>32.544000000000004</v>
      </c>
      <c r="I41" s="1129">
        <v>24.661599999999996</v>
      </c>
      <c r="J41" s="407">
        <f>+I41/H41*1000</f>
        <v>757.79252704031444</v>
      </c>
      <c r="K41" s="403"/>
      <c r="L41" s="403"/>
      <c r="M41" s="403"/>
      <c r="N41" s="403"/>
      <c r="O41" s="403"/>
      <c r="P41" s="403"/>
      <c r="Q41" s="403"/>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row>
    <row r="42" spans="1:76" s="346" customFormat="1" ht="16.5" customHeight="1">
      <c r="A42" s="320">
        <f t="shared" si="5"/>
        <v>20</v>
      </c>
      <c r="B42" s="319" t="s">
        <v>261</v>
      </c>
      <c r="C42" s="406"/>
      <c r="D42" s="406"/>
      <c r="E42" s="406"/>
      <c r="F42" s="406"/>
      <c r="G42" s="406"/>
      <c r="H42" s="405"/>
      <c r="I42" s="1128"/>
      <c r="J42" s="401"/>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row>
    <row r="43" spans="1:76" s="346" customFormat="1" ht="16.5" customHeight="1">
      <c r="A43" s="320">
        <f t="shared" si="5"/>
        <v>21</v>
      </c>
      <c r="B43" s="319" t="s">
        <v>262</v>
      </c>
      <c r="C43" s="406">
        <v>0.84900000000000009</v>
      </c>
      <c r="D43" s="406">
        <v>0.22299999999999998</v>
      </c>
      <c r="E43" s="406">
        <v>0.5069999999999999</v>
      </c>
      <c r="F43" s="406">
        <v>1.1179999999999999</v>
      </c>
      <c r="G43" s="406">
        <v>4.1239999999999997</v>
      </c>
      <c r="H43" s="405">
        <f>SUM(C43:G43)</f>
        <v>6.8209999999999997</v>
      </c>
      <c r="I43" s="1129">
        <v>5.6738999999999988</v>
      </c>
      <c r="J43" s="407">
        <f>+I43/H43*1000</f>
        <v>831.82817768655605</v>
      </c>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row>
    <row r="44" spans="1:76" s="346" customFormat="1" ht="16.5" customHeight="1">
      <c r="A44" s="320">
        <f t="shared" si="5"/>
        <v>22</v>
      </c>
      <c r="B44" s="319" t="s">
        <v>255</v>
      </c>
      <c r="C44" s="406">
        <v>57.055</v>
      </c>
      <c r="D44" s="406">
        <v>12.122000000000002</v>
      </c>
      <c r="E44" s="406">
        <v>14.911</v>
      </c>
      <c r="F44" s="406">
        <v>42.128</v>
      </c>
      <c r="G44" s="406">
        <v>115.134</v>
      </c>
      <c r="H44" s="405">
        <f>SUM(C44:G44)</f>
        <v>241.35000000000002</v>
      </c>
      <c r="I44" s="1129">
        <v>170.05270000000002</v>
      </c>
      <c r="J44" s="407">
        <f>+I44/H44*1000</f>
        <v>704.58960016573451</v>
      </c>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row>
    <row r="45" spans="1:76" s="346" customFormat="1" ht="16.5" customHeight="1">
      <c r="A45" s="320">
        <f t="shared" si="5"/>
        <v>23</v>
      </c>
      <c r="B45" s="319" t="s">
        <v>263</v>
      </c>
      <c r="C45" s="406">
        <v>0</v>
      </c>
      <c r="D45" s="406">
        <v>0</v>
      </c>
      <c r="E45" s="406">
        <v>0</v>
      </c>
      <c r="F45" s="406">
        <v>0.36899999999999999</v>
      </c>
      <c r="G45" s="406">
        <v>0</v>
      </c>
      <c r="H45" s="405">
        <f>SUM(C45:G45)</f>
        <v>0.36899999999999999</v>
      </c>
      <c r="I45" s="1129">
        <v>0.36700000000000005</v>
      </c>
      <c r="J45" s="407">
        <f>+I45/H45*1000</f>
        <v>994.57994579945819</v>
      </c>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row>
    <row r="46" spans="1:76" s="346" customFormat="1" ht="16.5" customHeight="1">
      <c r="A46" s="320">
        <f t="shared" si="5"/>
        <v>24</v>
      </c>
      <c r="B46" s="319" t="s">
        <v>264</v>
      </c>
      <c r="C46" s="406"/>
      <c r="D46" s="406"/>
      <c r="E46" s="406"/>
      <c r="F46" s="406"/>
      <c r="G46" s="406"/>
      <c r="H46" s="405"/>
      <c r="I46" s="401"/>
      <c r="J46" s="401"/>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row>
    <row r="47" spans="1:76" s="346" customFormat="1" ht="16.5" customHeight="1">
      <c r="A47" s="320">
        <f t="shared" si="5"/>
        <v>25</v>
      </c>
      <c r="B47" s="319" t="s">
        <v>265</v>
      </c>
      <c r="C47" s="406"/>
      <c r="D47" s="406"/>
      <c r="E47" s="406"/>
      <c r="F47" s="406"/>
      <c r="G47" s="406"/>
      <c r="H47" s="405"/>
      <c r="I47" s="401"/>
      <c r="J47" s="401"/>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row>
    <row r="48" spans="1:76" s="346" customFormat="1" ht="16.5" customHeight="1">
      <c r="A48" s="320">
        <f t="shared" si="5"/>
        <v>26</v>
      </c>
      <c r="B48" s="319" t="s">
        <v>266</v>
      </c>
      <c r="C48" s="406">
        <v>0</v>
      </c>
      <c r="D48" s="406">
        <v>0</v>
      </c>
      <c r="E48" s="406">
        <v>0</v>
      </c>
      <c r="F48" s="406">
        <v>0</v>
      </c>
      <c r="G48" s="406">
        <v>0.36299999999999999</v>
      </c>
      <c r="H48" s="405">
        <f>SUM(C48:G48)</f>
        <v>0.36299999999999999</v>
      </c>
      <c r="I48" s="1129">
        <v>0.29560000000000003</v>
      </c>
      <c r="J48" s="407">
        <f>+I48/H48*1000</f>
        <v>814.32506887052352</v>
      </c>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row>
    <row r="49" spans="1:76" s="346" customFormat="1" ht="16.5" customHeight="1">
      <c r="A49" s="320">
        <f t="shared" si="5"/>
        <v>27</v>
      </c>
      <c r="B49" s="319" t="s">
        <v>267</v>
      </c>
      <c r="C49" s="404"/>
      <c r="D49" s="404"/>
      <c r="E49" s="404"/>
      <c r="F49" s="404"/>
      <c r="G49" s="404"/>
      <c r="H49" s="405"/>
      <c r="I49" s="401"/>
      <c r="J49" s="401"/>
      <c r="K49" s="403"/>
      <c r="L49" s="403"/>
      <c r="M49" s="403"/>
      <c r="N49" s="403"/>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row>
    <row r="50" spans="1:76" s="346" customFormat="1" ht="16.5" customHeight="1">
      <c r="A50" s="320"/>
      <c r="B50" s="328" t="s">
        <v>256</v>
      </c>
      <c r="C50" s="404">
        <f t="shared" ref="C50:G50" si="7">SUM(C35:C49)</f>
        <v>100.244</v>
      </c>
      <c r="D50" s="404">
        <f t="shared" si="7"/>
        <v>19.294</v>
      </c>
      <c r="E50" s="404">
        <f t="shared" si="7"/>
        <v>23.789000000000001</v>
      </c>
      <c r="F50" s="404">
        <f t="shared" si="7"/>
        <v>58.637</v>
      </c>
      <c r="G50" s="404">
        <f t="shared" si="7"/>
        <v>131.54900000000001</v>
      </c>
      <c r="H50" s="404">
        <f t="shared" ref="H50" si="8">SUM(H35:H49)</f>
        <v>333.51300000000003</v>
      </c>
      <c r="I50" s="401">
        <f>SUM(I35:I49)</f>
        <v>222.5213</v>
      </c>
      <c r="J50" s="407">
        <f>+I50/H50*1000</f>
        <v>667.20427689475366</v>
      </c>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row>
    <row r="51" spans="1:76" s="346" customFormat="1" ht="16.5" customHeight="1">
      <c r="A51" s="319"/>
      <c r="B51" s="317" t="s">
        <v>268</v>
      </c>
      <c r="C51" s="404"/>
      <c r="D51" s="404"/>
      <c r="E51" s="404"/>
      <c r="F51" s="404"/>
      <c r="G51" s="404"/>
      <c r="H51" s="405"/>
      <c r="I51" s="401"/>
      <c r="J51" s="401"/>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row>
    <row r="52" spans="1:76" s="346" customFormat="1" ht="16.5" customHeight="1">
      <c r="A52" s="320">
        <f>A49+1</f>
        <v>28</v>
      </c>
      <c r="B52" s="319" t="s">
        <v>270</v>
      </c>
      <c r="C52" s="1763">
        <v>0</v>
      </c>
      <c r="D52" s="1763">
        <v>42.305</v>
      </c>
      <c r="E52" s="1763">
        <v>0</v>
      </c>
      <c r="F52" s="1763">
        <v>0</v>
      </c>
      <c r="G52" s="1763">
        <v>0</v>
      </c>
      <c r="H52" s="405">
        <f>SUM(C52:G52)</f>
        <v>42.305</v>
      </c>
      <c r="I52" s="1129">
        <v>27.405199999999997</v>
      </c>
      <c r="J52" s="407">
        <f>+I52/H52*1000</f>
        <v>647.80049639522508</v>
      </c>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row>
    <row r="53" spans="1:76" s="346" customFormat="1" ht="16.5" customHeight="1">
      <c r="A53" s="320">
        <f t="shared" ref="A53:A59" si="9">A52+1</f>
        <v>29</v>
      </c>
      <c r="B53" s="319" t="s">
        <v>255</v>
      </c>
      <c r="C53" s="1763">
        <v>287.66700000000003</v>
      </c>
      <c r="D53" s="1763">
        <v>0</v>
      </c>
      <c r="E53" s="1763">
        <v>0</v>
      </c>
      <c r="F53" s="1763">
        <v>606.78400000000011</v>
      </c>
      <c r="G53" s="1763">
        <v>183.86600000000001</v>
      </c>
      <c r="H53" s="405">
        <f>SUM(C53:G53)</f>
        <v>1078.3170000000002</v>
      </c>
      <c r="I53" s="1129">
        <v>670.02110000000005</v>
      </c>
      <c r="J53" s="407">
        <f>+I53/H53*1000</f>
        <v>621.35819058773984</v>
      </c>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row>
    <row r="54" spans="1:76" s="346" customFormat="1" ht="16.5" customHeight="1">
      <c r="A54" s="320">
        <f t="shared" si="9"/>
        <v>30</v>
      </c>
      <c r="B54" s="319" t="s">
        <v>265</v>
      </c>
      <c r="C54" s="1763">
        <v>61.739000000000004</v>
      </c>
      <c r="D54" s="1763">
        <v>29.562999999999999</v>
      </c>
      <c r="E54" s="1763">
        <v>0</v>
      </c>
      <c r="F54" s="1763">
        <v>63.685000000000002</v>
      </c>
      <c r="G54" s="1763">
        <v>75.841999999999999</v>
      </c>
      <c r="H54" s="405">
        <f>SUM(C54:G54)</f>
        <v>230.82900000000001</v>
      </c>
      <c r="I54" s="1129">
        <v>153.51059999999998</v>
      </c>
      <c r="J54" s="407">
        <f>+I54/H54*1000</f>
        <v>665.04035454817188</v>
      </c>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row>
    <row r="55" spans="1:76" s="346" customFormat="1" ht="16.5" customHeight="1">
      <c r="A55" s="320">
        <f t="shared" si="9"/>
        <v>31</v>
      </c>
      <c r="B55" s="319" t="s">
        <v>276</v>
      </c>
      <c r="C55" s="1763">
        <v>0</v>
      </c>
      <c r="D55" s="1763">
        <v>0</v>
      </c>
      <c r="E55" s="1763">
        <v>0</v>
      </c>
      <c r="F55" s="1763">
        <v>104.48200000000001</v>
      </c>
      <c r="G55" s="1763">
        <v>70.635999999999996</v>
      </c>
      <c r="H55" s="405">
        <f>SUM(C55:G55)</f>
        <v>175.11799999999999</v>
      </c>
      <c r="I55" s="1129">
        <v>107.32489999999999</v>
      </c>
      <c r="J55" s="407">
        <f>+I55/H55*1000</f>
        <v>612.87189209561541</v>
      </c>
      <c r="K55" s="403"/>
      <c r="L55" s="403"/>
      <c r="M55" s="403"/>
      <c r="N55" s="403"/>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row>
    <row r="56" spans="1:76" s="346" customFormat="1" ht="16.5" customHeight="1">
      <c r="A56" s="320">
        <f t="shared" si="9"/>
        <v>32</v>
      </c>
      <c r="B56" s="319" t="s">
        <v>263</v>
      </c>
      <c r="C56" s="1763">
        <v>0</v>
      </c>
      <c r="D56" s="1763">
        <v>30.815000000000005</v>
      </c>
      <c r="E56" s="1763">
        <v>0</v>
      </c>
      <c r="F56" s="1763">
        <v>24.686999999999998</v>
      </c>
      <c r="G56" s="1763">
        <v>22.481999999999999</v>
      </c>
      <c r="H56" s="405">
        <f>SUM(C56:G56)</f>
        <v>77.984000000000009</v>
      </c>
      <c r="I56" s="1129">
        <v>51.644599999999997</v>
      </c>
      <c r="J56" s="407">
        <f>+I56/H56*1000</f>
        <v>662.24610176446436</v>
      </c>
      <c r="K56" s="403"/>
      <c r="L56" s="403"/>
      <c r="M56" s="403"/>
      <c r="N56" s="403"/>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row>
    <row r="57" spans="1:76" s="346" customFormat="1" ht="16.5" customHeight="1">
      <c r="A57" s="320">
        <f t="shared" si="9"/>
        <v>33</v>
      </c>
      <c r="B57" s="319" t="s">
        <v>264</v>
      </c>
      <c r="C57" s="1763"/>
      <c r="D57" s="1763"/>
      <c r="E57" s="1763"/>
      <c r="F57" s="1763"/>
      <c r="G57" s="1763"/>
      <c r="H57" s="405"/>
      <c r="I57" s="1129"/>
      <c r="J57" s="401"/>
      <c r="K57" s="403"/>
      <c r="L57" s="403"/>
      <c r="M57" s="403"/>
      <c r="N57" s="403"/>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row>
    <row r="58" spans="1:76" s="346" customFormat="1" ht="16.5" customHeight="1">
      <c r="A58" s="320">
        <f t="shared" si="9"/>
        <v>34</v>
      </c>
      <c r="B58" s="319" t="s">
        <v>280</v>
      </c>
      <c r="C58" s="1763">
        <v>0</v>
      </c>
      <c r="D58" s="1763">
        <v>0.34100000000000003</v>
      </c>
      <c r="E58" s="1763">
        <v>0</v>
      </c>
      <c r="F58" s="1763">
        <v>0</v>
      </c>
      <c r="G58" s="1763">
        <v>7.0000000000000001E-3</v>
      </c>
      <c r="H58" s="405">
        <f>SUM(C58:G58)</f>
        <v>0.34800000000000003</v>
      </c>
      <c r="I58" s="1129">
        <v>0.29039999999999999</v>
      </c>
      <c r="J58" s="407">
        <f>+I58/H58*1000</f>
        <v>834.48275862068954</v>
      </c>
      <c r="K58" s="403"/>
      <c r="L58" s="403"/>
      <c r="M58" s="403"/>
      <c r="N58" s="403"/>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row>
    <row r="59" spans="1:76" s="346" customFormat="1" ht="16.5" customHeight="1">
      <c r="A59" s="320">
        <f t="shared" si="9"/>
        <v>35</v>
      </c>
      <c r="B59" s="319" t="s">
        <v>267</v>
      </c>
      <c r="C59" s="1763"/>
      <c r="D59" s="1763"/>
      <c r="E59" s="1763"/>
      <c r="F59" s="1763"/>
      <c r="G59" s="1763"/>
      <c r="H59" s="405"/>
      <c r="I59" s="406"/>
      <c r="J59" s="401"/>
      <c r="K59" s="403"/>
      <c r="L59" s="403"/>
      <c r="M59" s="403"/>
      <c r="N59" s="403"/>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row>
    <row r="60" spans="1:76" s="346" customFormat="1" ht="16.5" customHeight="1">
      <c r="A60" s="320"/>
      <c r="B60" s="328" t="s">
        <v>256</v>
      </c>
      <c r="C60" s="404">
        <f t="shared" ref="C60:G60" si="10">SUM(C52:C59)</f>
        <v>349.40600000000006</v>
      </c>
      <c r="D60" s="404">
        <f t="shared" si="10"/>
        <v>103.02399999999999</v>
      </c>
      <c r="E60" s="404">
        <f t="shared" si="10"/>
        <v>0</v>
      </c>
      <c r="F60" s="404">
        <f t="shared" si="10"/>
        <v>799.63800000000003</v>
      </c>
      <c r="G60" s="404">
        <f t="shared" si="10"/>
        <v>352.83300000000003</v>
      </c>
      <c r="H60" s="404">
        <f t="shared" ref="H60:I60" si="11">SUM(H52:H59)</f>
        <v>1604.9010000000001</v>
      </c>
      <c r="I60" s="401">
        <f t="shared" si="11"/>
        <v>1010.1967999999999</v>
      </c>
      <c r="J60" s="407">
        <f>+I60/H60*1000</f>
        <v>629.4449314942168</v>
      </c>
      <c r="K60" s="403"/>
      <c r="L60" s="403"/>
      <c r="M60" s="403"/>
      <c r="N60" s="403"/>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row>
    <row r="61" spans="1:76" s="346" customFormat="1" ht="16.5" customHeight="1">
      <c r="A61" s="320"/>
      <c r="B61" s="328"/>
      <c r="C61" s="404"/>
      <c r="D61" s="404"/>
      <c r="E61" s="404"/>
      <c r="F61" s="404"/>
      <c r="G61" s="404"/>
      <c r="H61" s="405"/>
      <c r="I61" s="401"/>
      <c r="J61" s="401"/>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row>
    <row r="62" spans="1:76" s="346" customFormat="1" ht="16.5" customHeight="1">
      <c r="A62" s="320"/>
      <c r="B62" s="317" t="s">
        <v>282</v>
      </c>
      <c r="C62" s="404">
        <f t="shared" ref="C62:I62" si="12">+C33+C50+C60</f>
        <v>854.75400000000002</v>
      </c>
      <c r="D62" s="404">
        <f t="shared" si="12"/>
        <v>327.18799999999993</v>
      </c>
      <c r="E62" s="404">
        <f t="shared" si="12"/>
        <v>286.13899999999995</v>
      </c>
      <c r="F62" s="404">
        <f t="shared" si="12"/>
        <v>1124.2159999999999</v>
      </c>
      <c r="G62" s="404">
        <f t="shared" si="12"/>
        <v>679.90600000000018</v>
      </c>
      <c r="H62" s="404">
        <f t="shared" si="12"/>
        <v>3272.2029999999995</v>
      </c>
      <c r="I62" s="401">
        <f t="shared" si="12"/>
        <v>1912.7989</v>
      </c>
      <c r="J62" s="407">
        <f>+I62/H62*1000</f>
        <v>584.55997381580551</v>
      </c>
      <c r="K62" s="403"/>
      <c r="L62" s="403"/>
      <c r="M62" s="403"/>
      <c r="N62" s="403"/>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row>
    <row r="63" spans="1:76" s="346" customFormat="1" ht="16.5" customHeight="1">
      <c r="A63" s="320">
        <v>36</v>
      </c>
      <c r="B63" s="319" t="s">
        <v>283</v>
      </c>
      <c r="C63" s="401"/>
      <c r="D63" s="401"/>
      <c r="E63" s="401"/>
      <c r="F63" s="401"/>
      <c r="G63" s="401"/>
      <c r="H63" s="405">
        <v>3842.8229999999999</v>
      </c>
      <c r="I63" s="401"/>
      <c r="J63" s="401"/>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c r="AM63" s="403"/>
      <c r="AN63" s="403"/>
      <c r="AO63" s="403"/>
      <c r="AP63" s="403"/>
      <c r="AQ63" s="403"/>
      <c r="AR63" s="403"/>
      <c r="AS63" s="403"/>
      <c r="AT63" s="403"/>
      <c r="AU63" s="403"/>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3"/>
      <c r="BR63" s="403"/>
      <c r="BS63" s="403"/>
      <c r="BT63" s="403"/>
      <c r="BU63" s="403"/>
      <c r="BV63" s="403"/>
      <c r="BW63" s="403"/>
      <c r="BX63" s="403"/>
    </row>
    <row r="64" spans="1:76" s="346" customFormat="1" ht="16.5" customHeight="1">
      <c r="A64" s="320">
        <f>A63+1</f>
        <v>37</v>
      </c>
      <c r="B64" s="319" t="s">
        <v>284</v>
      </c>
      <c r="C64" s="401"/>
      <c r="D64" s="401"/>
      <c r="E64" s="401"/>
      <c r="F64" s="401"/>
      <c r="G64" s="401"/>
      <c r="H64" s="405">
        <f>+H63-H62</f>
        <v>570.62000000000035</v>
      </c>
      <c r="I64" s="401"/>
      <c r="J64" s="401"/>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row>
    <row r="65" spans="1:76" s="346" customFormat="1" ht="16.5" customHeight="1">
      <c r="A65" s="320">
        <f>A64+1</f>
        <v>38</v>
      </c>
      <c r="B65" s="334" t="s">
        <v>285</v>
      </c>
      <c r="C65" s="401"/>
      <c r="D65" s="401"/>
      <c r="E65" s="401"/>
      <c r="F65" s="401"/>
      <c r="G65" s="401"/>
      <c r="H65" s="164">
        <f>+H64/H63</f>
        <v>0.14848979513238064</v>
      </c>
      <c r="I65" s="401"/>
      <c r="J65" s="401"/>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row>
    <row r="66" spans="1:76" s="346" customFormat="1" ht="16.5" customHeight="1">
      <c r="A66" s="320">
        <f>A65+1</f>
        <v>39</v>
      </c>
      <c r="B66" s="319" t="s">
        <v>286</v>
      </c>
      <c r="C66" s="401"/>
      <c r="D66" s="401"/>
      <c r="E66" s="401"/>
      <c r="F66" s="401"/>
      <c r="G66" s="401"/>
      <c r="H66" s="164">
        <v>0.99025082699806788</v>
      </c>
      <c r="I66" s="401"/>
      <c r="J66" s="401"/>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row>
    <row r="67" spans="1:76" s="346" customFormat="1" ht="16.5" customHeight="1">
      <c r="A67" s="320">
        <f>A66+1</f>
        <v>40</v>
      </c>
      <c r="B67" s="334" t="s">
        <v>287</v>
      </c>
      <c r="C67" s="401"/>
      <c r="D67" s="401"/>
      <c r="E67" s="401"/>
      <c r="F67" s="401"/>
      <c r="G67" s="401"/>
      <c r="H67" s="164">
        <f>1-((1-H65))*H66</f>
        <v>0.15679131543254576</v>
      </c>
      <c r="I67" s="401"/>
      <c r="J67" s="401"/>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row>
    <row r="68" spans="1:76" ht="20.100000000000001" customHeight="1"/>
    <row r="69" spans="1:76" ht="20.100000000000001" customHeight="1"/>
    <row r="70" spans="1:76" ht="20.100000000000001" customHeight="1">
      <c r="I70" s="369"/>
    </row>
    <row r="71" spans="1:76" ht="20.100000000000001" customHeight="1"/>
    <row r="72" spans="1:76" ht="20.100000000000001" customHeight="1">
      <c r="H72" s="356"/>
      <c r="I72" s="369"/>
    </row>
    <row r="73" spans="1:76" ht="20.100000000000001" customHeight="1"/>
    <row r="74" spans="1:76" ht="20.100000000000001" customHeight="1"/>
    <row r="75" spans="1:76" ht="20.100000000000001" customHeight="1"/>
    <row r="76" spans="1:76" ht="20.100000000000001" customHeight="1"/>
    <row r="77" spans="1:76" ht="20.100000000000001" customHeight="1"/>
    <row r="78" spans="1:76" ht="20.100000000000001" customHeight="1"/>
    <row r="79" spans="1:76" ht="20.100000000000001" customHeight="1"/>
    <row r="80" spans="1:76"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sheetData>
  <mergeCells count="1">
    <mergeCell ref="A3:J3"/>
  </mergeCells>
  <printOptions horizontalCentered="1"/>
  <pageMargins left="0.23622047244094491" right="0.15748031496062992" top="0.43307086614173229" bottom="0.19685039370078741" header="0.39370078740157483" footer="0.15748031496062992"/>
  <pageSetup paperSize="9"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00"/>
  </sheetPr>
  <dimension ref="A1:AE75"/>
  <sheetViews>
    <sheetView showOutlineSymbols="0" view="pageBreakPreview" zoomScaleNormal="87" zoomScaleSheetLayoutView="100" workbookViewId="0">
      <pane xSplit="2" ySplit="10" topLeftCell="T52" activePane="bottomRight" state="frozen"/>
      <selection pane="bottomRight" activeCell="Z72" sqref="Z72"/>
      <selection pane="bottomLeft" activeCell="R55" sqref="R55:R62"/>
      <selection pane="topRight" activeCell="R55" sqref="R55:R62"/>
    </sheetView>
  </sheetViews>
  <sheetFormatPr defaultColWidth="14.7109375" defaultRowHeight="15"/>
  <cols>
    <col min="1" max="1" width="5" style="308" customWidth="1"/>
    <col min="2" max="2" width="38.7109375" style="308" customWidth="1"/>
    <col min="3" max="3" width="11" style="308" customWidth="1"/>
    <col min="4" max="4" width="20" style="308" customWidth="1"/>
    <col min="5" max="5" width="19.5703125" style="308" customWidth="1"/>
    <col min="6" max="6" width="13.28515625" style="308" customWidth="1"/>
    <col min="7" max="7" width="11.7109375" style="308" customWidth="1"/>
    <col min="8" max="8" width="12.85546875" style="308" customWidth="1"/>
    <col min="9" max="9" width="10.42578125" style="308" customWidth="1"/>
    <col min="10" max="10" width="10.28515625" style="308" customWidth="1"/>
    <col min="11" max="11" width="13.5703125" style="308" customWidth="1"/>
    <col min="12" max="12" width="11.85546875" style="308" customWidth="1"/>
    <col min="13" max="13" width="14" style="308" customWidth="1"/>
    <col min="14" max="14" width="12" style="308" customWidth="1"/>
    <col min="15" max="15" width="17.140625" style="308" customWidth="1"/>
    <col min="16" max="16" width="11.28515625" style="308" customWidth="1"/>
    <col min="17" max="17" width="12.28515625" style="308" customWidth="1"/>
    <col min="18" max="18" width="12.85546875" style="308" customWidth="1"/>
    <col min="19" max="19" width="17.85546875" style="308" customWidth="1"/>
    <col min="20" max="20" width="18.5703125" style="308" customWidth="1"/>
    <col min="21" max="21" width="13.7109375" style="308" customWidth="1"/>
    <col min="22" max="23" width="14.7109375" style="308" customWidth="1"/>
    <col min="24" max="24" width="16" style="308" customWidth="1"/>
    <col min="25" max="25" width="15" style="308" customWidth="1"/>
    <col min="26" max="26" width="14.7109375" style="308" customWidth="1"/>
    <col min="27" max="27" width="15" style="308" customWidth="1"/>
    <col min="28" max="28" width="11.28515625" style="308" customWidth="1"/>
    <col min="29" max="29" width="12" style="308" customWidth="1"/>
    <col min="30" max="30" width="16.28515625" style="308" customWidth="1"/>
    <col min="31" max="31" width="13.42578125" style="308" customWidth="1"/>
    <col min="32" max="16384" width="14.7109375" style="308"/>
  </cols>
  <sheetData>
    <row r="1" spans="1:31">
      <c r="A1" s="2501" t="s">
        <v>209</v>
      </c>
      <c r="B1" s="2501"/>
      <c r="O1" s="408" t="s">
        <v>210</v>
      </c>
      <c r="P1" s="308" t="s">
        <v>388</v>
      </c>
      <c r="R1" s="409"/>
    </row>
    <row r="2" spans="1:31" ht="18" customHeight="1">
      <c r="A2" s="631" t="s">
        <v>389</v>
      </c>
      <c r="B2" s="631"/>
      <c r="C2" s="631"/>
      <c r="E2" s="630" t="s">
        <v>390</v>
      </c>
      <c r="F2" s="630"/>
      <c r="G2" s="410"/>
      <c r="H2" s="410"/>
      <c r="J2" s="410"/>
      <c r="K2" s="410"/>
      <c r="L2" s="410"/>
      <c r="M2" s="410"/>
      <c r="N2" s="410"/>
      <c r="O2" s="410"/>
      <c r="P2" s="410"/>
      <c r="Q2" s="410"/>
      <c r="R2" s="411"/>
      <c r="S2" s="410"/>
      <c r="T2" s="410"/>
      <c r="U2" s="410"/>
      <c r="V2" s="410"/>
      <c r="W2" s="410"/>
      <c r="X2" s="410"/>
      <c r="Y2" s="410"/>
      <c r="Z2" s="410"/>
      <c r="AA2" s="310"/>
      <c r="AB2" s="2487" t="s">
        <v>391</v>
      </c>
      <c r="AC2" s="2487"/>
      <c r="AD2" s="2487"/>
      <c r="AE2" s="2487"/>
    </row>
    <row r="3" spans="1:31" ht="16.5" customHeight="1">
      <c r="B3" s="410"/>
      <c r="C3" s="410"/>
      <c r="D3" s="410"/>
      <c r="E3" s="410"/>
      <c r="F3" s="410"/>
      <c r="G3" s="410"/>
      <c r="H3" s="410"/>
      <c r="I3" s="410"/>
      <c r="J3" s="410"/>
      <c r="K3" s="412" t="s">
        <v>392</v>
      </c>
      <c r="L3" s="410"/>
      <c r="M3" s="410"/>
      <c r="N3" s="410"/>
      <c r="O3" s="410"/>
      <c r="P3" s="410"/>
      <c r="Q3" s="410"/>
      <c r="R3" s="411"/>
      <c r="S3" s="410"/>
      <c r="T3" s="410"/>
      <c r="U3" s="410"/>
      <c r="V3" s="410"/>
      <c r="W3" s="410"/>
      <c r="X3" s="410"/>
      <c r="Y3" s="410"/>
      <c r="Z3" s="410"/>
      <c r="AA3" s="310"/>
      <c r="AB3" s="310"/>
      <c r="AC3" s="310"/>
      <c r="AD3" s="310"/>
      <c r="AE3" s="310"/>
    </row>
    <row r="4" spans="1:31" ht="15" customHeight="1">
      <c r="A4" s="413" t="s">
        <v>393</v>
      </c>
      <c r="B4" s="414" t="s">
        <v>214</v>
      </c>
      <c r="C4" s="415" t="s">
        <v>394</v>
      </c>
      <c r="D4" s="415" t="s">
        <v>395</v>
      </c>
      <c r="E4" s="415" t="s">
        <v>395</v>
      </c>
      <c r="F4" s="415" t="s">
        <v>396</v>
      </c>
      <c r="G4" s="415" t="s">
        <v>397</v>
      </c>
      <c r="H4" s="415" t="s">
        <v>398</v>
      </c>
      <c r="I4" s="415" t="s">
        <v>399</v>
      </c>
      <c r="J4" s="415" t="s">
        <v>400</v>
      </c>
      <c r="K4" s="416" t="s">
        <v>401</v>
      </c>
      <c r="L4" s="417" t="s">
        <v>402</v>
      </c>
      <c r="M4" s="414"/>
      <c r="N4" s="414" t="s">
        <v>403</v>
      </c>
      <c r="O4" s="415" t="s">
        <v>404</v>
      </c>
      <c r="P4" s="415" t="s">
        <v>405</v>
      </c>
      <c r="Q4" s="415" t="s">
        <v>406</v>
      </c>
      <c r="R4" s="415" t="s">
        <v>406</v>
      </c>
      <c r="S4" s="415" t="s">
        <v>406</v>
      </c>
      <c r="T4" s="415" t="s">
        <v>406</v>
      </c>
      <c r="U4" s="415" t="s">
        <v>274</v>
      </c>
      <c r="V4" s="415" t="s">
        <v>407</v>
      </c>
      <c r="W4" s="415" t="s">
        <v>405</v>
      </c>
      <c r="X4" s="1694" t="s">
        <v>395</v>
      </c>
      <c r="Y4" s="413" t="s">
        <v>408</v>
      </c>
      <c r="Z4" s="414" t="s">
        <v>274</v>
      </c>
      <c r="AA4" s="415" t="s">
        <v>405</v>
      </c>
      <c r="AB4" s="415" t="s">
        <v>409</v>
      </c>
      <c r="AC4" s="415" t="s">
        <v>274</v>
      </c>
      <c r="AD4" s="415" t="s">
        <v>274</v>
      </c>
      <c r="AE4" s="418" t="s">
        <v>410</v>
      </c>
    </row>
    <row r="5" spans="1:31" ht="15" customHeight="1">
      <c r="A5" s="419" t="s">
        <v>411</v>
      </c>
      <c r="B5" s="420"/>
      <c r="C5" s="1695" t="s">
        <v>412</v>
      </c>
      <c r="D5" s="1695" t="s">
        <v>413</v>
      </c>
      <c r="E5" s="1695" t="s">
        <v>413</v>
      </c>
      <c r="F5" s="1695" t="s">
        <v>414</v>
      </c>
      <c r="G5" s="1695" t="s">
        <v>399</v>
      </c>
      <c r="H5" s="1695" t="s">
        <v>415</v>
      </c>
      <c r="I5" s="1695" t="s">
        <v>416</v>
      </c>
      <c r="J5" s="1695" t="s">
        <v>416</v>
      </c>
      <c r="K5" s="421" t="s">
        <v>417</v>
      </c>
      <c r="L5" s="422" t="s">
        <v>418</v>
      </c>
      <c r="M5" s="423" t="s">
        <v>419</v>
      </c>
      <c r="N5" s="420" t="s">
        <v>420</v>
      </c>
      <c r="O5" s="1695" t="s">
        <v>421</v>
      </c>
      <c r="P5" s="1695" t="s">
        <v>416</v>
      </c>
      <c r="Q5" s="1695" t="s">
        <v>422</v>
      </c>
      <c r="R5" s="1695" t="s">
        <v>422</v>
      </c>
      <c r="S5" s="1695" t="s">
        <v>423</v>
      </c>
      <c r="T5" s="1695" t="s">
        <v>424</v>
      </c>
      <c r="U5" s="1695" t="s">
        <v>406</v>
      </c>
      <c r="V5" s="1695"/>
      <c r="W5" s="1695" t="s">
        <v>416</v>
      </c>
      <c r="X5" s="424" t="s">
        <v>425</v>
      </c>
      <c r="Y5" s="419" t="s">
        <v>426</v>
      </c>
      <c r="Z5" s="420" t="s">
        <v>406</v>
      </c>
      <c r="AA5" s="425" t="s">
        <v>427</v>
      </c>
      <c r="AB5" s="1695" t="s">
        <v>428</v>
      </c>
      <c r="AC5" s="1695" t="s">
        <v>429</v>
      </c>
      <c r="AD5" s="1695" t="s">
        <v>430</v>
      </c>
      <c r="AE5" s="1696" t="s">
        <v>431</v>
      </c>
    </row>
    <row r="6" spans="1:31" ht="15" customHeight="1">
      <c r="A6" s="419" t="s">
        <v>432</v>
      </c>
      <c r="B6" s="420"/>
      <c r="C6" s="1695"/>
      <c r="D6" s="1695" t="s">
        <v>433</v>
      </c>
      <c r="E6" s="1695" t="s">
        <v>433</v>
      </c>
      <c r="F6" s="1695"/>
      <c r="G6" s="1695" t="s">
        <v>274</v>
      </c>
      <c r="H6" s="1695" t="s">
        <v>434</v>
      </c>
      <c r="I6" s="1695"/>
      <c r="J6" s="1695"/>
      <c r="K6" s="426" t="s">
        <v>435</v>
      </c>
      <c r="L6" s="1695"/>
      <c r="M6" s="1695"/>
      <c r="N6" s="1695" t="s">
        <v>416</v>
      </c>
      <c r="O6" s="1695" t="s">
        <v>436</v>
      </c>
      <c r="P6" s="1695"/>
      <c r="Q6" s="1695" t="s">
        <v>399</v>
      </c>
      <c r="R6" s="1695" t="s">
        <v>400</v>
      </c>
      <c r="S6" s="1695" t="s">
        <v>437</v>
      </c>
      <c r="T6" s="1695" t="s">
        <v>420</v>
      </c>
      <c r="U6" s="1695"/>
      <c r="V6" s="1695"/>
      <c r="W6" s="1695" t="s">
        <v>438</v>
      </c>
      <c r="X6" s="425" t="s">
        <v>439</v>
      </c>
      <c r="Y6" s="419" t="s">
        <v>440</v>
      </c>
      <c r="Z6" s="420" t="s">
        <v>438</v>
      </c>
      <c r="AA6" s="425" t="s">
        <v>441</v>
      </c>
      <c r="AB6" s="1695"/>
      <c r="AC6" s="1695" t="s">
        <v>442</v>
      </c>
      <c r="AD6" s="1695" t="s">
        <v>443</v>
      </c>
      <c r="AE6" s="1696" t="s">
        <v>444</v>
      </c>
    </row>
    <row r="7" spans="1:31" ht="15" customHeight="1">
      <c r="A7" s="419"/>
      <c r="B7" s="420"/>
      <c r="C7" s="1695"/>
      <c r="D7" s="1695" t="s">
        <v>274</v>
      </c>
      <c r="E7" s="1695" t="s">
        <v>445</v>
      </c>
      <c r="F7" s="1695"/>
      <c r="G7" s="1695"/>
      <c r="H7" s="1695" t="s">
        <v>446</v>
      </c>
      <c r="I7" s="1695"/>
      <c r="J7" s="1695"/>
      <c r="K7" s="1697" t="s">
        <v>447</v>
      </c>
      <c r="L7" s="1695"/>
      <c r="M7" s="1695"/>
      <c r="N7" s="1695" t="s">
        <v>448</v>
      </c>
      <c r="O7" s="1695" t="s">
        <v>416</v>
      </c>
      <c r="P7" s="1695"/>
      <c r="Q7" s="1695" t="s">
        <v>416</v>
      </c>
      <c r="R7" s="1695" t="s">
        <v>416</v>
      </c>
      <c r="S7" s="1695" t="s">
        <v>449</v>
      </c>
      <c r="T7" s="1695" t="s">
        <v>416</v>
      </c>
      <c r="U7" s="1695"/>
      <c r="V7" s="1695"/>
      <c r="W7" s="1695" t="s">
        <v>407</v>
      </c>
      <c r="X7" s="427"/>
      <c r="Y7" s="428"/>
      <c r="Z7" s="420" t="s">
        <v>407</v>
      </c>
      <c r="AA7" s="425" t="s">
        <v>450</v>
      </c>
      <c r="AB7" s="1695"/>
      <c r="AC7" s="1695"/>
      <c r="AD7" s="1695" t="s">
        <v>451</v>
      </c>
      <c r="AE7" s="1696" t="s">
        <v>452</v>
      </c>
    </row>
    <row r="8" spans="1:31" ht="15" customHeight="1">
      <c r="A8" s="419"/>
      <c r="B8" s="420"/>
      <c r="C8" s="1695"/>
      <c r="D8" s="1695"/>
      <c r="E8" s="1695" t="s">
        <v>453</v>
      </c>
      <c r="F8" s="1695"/>
      <c r="G8" s="1695"/>
      <c r="H8" s="1695" t="s">
        <v>454</v>
      </c>
      <c r="I8" s="1695"/>
      <c r="J8" s="1695"/>
      <c r="K8" s="1697" t="s">
        <v>455</v>
      </c>
      <c r="L8" s="1695"/>
      <c r="M8" s="1695"/>
      <c r="N8" s="1695" t="s">
        <v>456</v>
      </c>
      <c r="O8" s="1695" t="s">
        <v>457</v>
      </c>
      <c r="P8" s="1695"/>
      <c r="Q8" s="1698"/>
      <c r="R8" s="1698"/>
      <c r="S8" s="1698" t="s">
        <v>416</v>
      </c>
      <c r="T8" s="1698"/>
      <c r="U8" s="1695"/>
      <c r="V8" s="1695"/>
      <c r="W8" s="1695"/>
      <c r="X8" s="427"/>
      <c r="Y8" s="428"/>
      <c r="Z8" s="420"/>
      <c r="AA8" s="1695" t="s">
        <v>458</v>
      </c>
      <c r="AB8" s="1695"/>
      <c r="AC8" s="1695"/>
      <c r="AD8" s="1697" t="s">
        <v>459</v>
      </c>
      <c r="AE8" s="1696"/>
    </row>
    <row r="9" spans="1:31" ht="15" customHeight="1">
      <c r="A9" s="1699"/>
      <c r="B9" s="429"/>
      <c r="C9" s="430"/>
      <c r="D9" s="430" t="s">
        <v>460</v>
      </c>
      <c r="E9" s="430" t="s">
        <v>460</v>
      </c>
      <c r="F9" s="430"/>
      <c r="G9" s="430" t="s">
        <v>461</v>
      </c>
      <c r="H9" s="430" t="s">
        <v>462</v>
      </c>
      <c r="I9" s="430" t="s">
        <v>463</v>
      </c>
      <c r="J9" s="430" t="s">
        <v>464</v>
      </c>
      <c r="K9" s="430" t="s">
        <v>464</v>
      </c>
      <c r="L9" s="430" t="s">
        <v>465</v>
      </c>
      <c r="M9" s="430" t="s">
        <v>465</v>
      </c>
      <c r="N9" s="430" t="s">
        <v>465</v>
      </c>
      <c r="O9" s="430" t="s">
        <v>466</v>
      </c>
      <c r="P9" s="430" t="s">
        <v>467</v>
      </c>
      <c r="Q9" s="430" t="s">
        <v>468</v>
      </c>
      <c r="R9" s="430" t="s">
        <v>468</v>
      </c>
      <c r="S9" s="430" t="s">
        <v>468</v>
      </c>
      <c r="T9" s="430" t="s">
        <v>468</v>
      </c>
      <c r="U9" s="430" t="s">
        <v>468</v>
      </c>
      <c r="V9" s="430" t="s">
        <v>467</v>
      </c>
      <c r="W9" s="430" t="s">
        <v>467</v>
      </c>
      <c r="X9" s="431" t="s">
        <v>460</v>
      </c>
      <c r="Y9" s="1699" t="s">
        <v>468</v>
      </c>
      <c r="Z9" s="429" t="s">
        <v>468</v>
      </c>
      <c r="AA9" s="430" t="s">
        <v>469</v>
      </c>
      <c r="AB9" s="430" t="s">
        <v>470</v>
      </c>
      <c r="AC9" s="430" t="s">
        <v>471</v>
      </c>
      <c r="AD9" s="430" t="s">
        <v>472</v>
      </c>
      <c r="AE9" s="432"/>
    </row>
    <row r="10" spans="1:31" ht="15.75" customHeight="1">
      <c r="A10" s="317">
        <v>1</v>
      </c>
      <c r="B10" s="317">
        <v>2</v>
      </c>
      <c r="C10" s="317">
        <v>3</v>
      </c>
      <c r="D10" s="317">
        <v>4</v>
      </c>
      <c r="E10" s="317">
        <v>5</v>
      </c>
      <c r="F10" s="317">
        <v>6</v>
      </c>
      <c r="G10" s="317">
        <v>7</v>
      </c>
      <c r="H10" s="317">
        <v>8</v>
      </c>
      <c r="I10" s="317">
        <v>9</v>
      </c>
      <c r="J10" s="317">
        <v>10</v>
      </c>
      <c r="K10" s="317">
        <v>11</v>
      </c>
      <c r="L10" s="317">
        <v>12</v>
      </c>
      <c r="M10" s="317">
        <v>13</v>
      </c>
      <c r="N10" s="317">
        <v>14</v>
      </c>
      <c r="O10" s="317">
        <v>15</v>
      </c>
      <c r="P10" s="317">
        <v>16</v>
      </c>
      <c r="Q10" s="317">
        <v>17</v>
      </c>
      <c r="R10" s="317">
        <v>18</v>
      </c>
      <c r="S10" s="317">
        <v>19</v>
      </c>
      <c r="T10" s="317">
        <v>20</v>
      </c>
      <c r="U10" s="317">
        <v>21</v>
      </c>
      <c r="V10" s="317">
        <v>22</v>
      </c>
      <c r="W10" s="317">
        <v>23</v>
      </c>
      <c r="X10" s="317">
        <v>24</v>
      </c>
      <c r="Y10" s="317">
        <v>25</v>
      </c>
      <c r="Z10" s="317">
        <v>26</v>
      </c>
      <c r="AA10" s="317">
        <v>27</v>
      </c>
      <c r="AB10" s="317">
        <v>28</v>
      </c>
      <c r="AC10" s="317">
        <v>29</v>
      </c>
      <c r="AD10" s="317">
        <v>30</v>
      </c>
      <c r="AE10" s="317">
        <v>31</v>
      </c>
    </row>
    <row r="11" spans="1:31" ht="15.75" customHeight="1">
      <c r="A11" s="319"/>
      <c r="B11" s="317" t="s">
        <v>230</v>
      </c>
      <c r="C11" s="320"/>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4"/>
      <c r="AC11" s="433"/>
      <c r="AD11" s="433"/>
      <c r="AE11" s="433"/>
    </row>
    <row r="12" spans="1:31" ht="15.75" customHeight="1">
      <c r="A12" s="320">
        <v>1</v>
      </c>
      <c r="B12" s="319" t="s">
        <v>231</v>
      </c>
      <c r="C12" s="320" t="s">
        <v>232</v>
      </c>
      <c r="D12" s="435"/>
      <c r="E12" s="435"/>
      <c r="F12" s="433"/>
      <c r="G12" s="433"/>
      <c r="H12" s="433"/>
      <c r="I12" s="433"/>
      <c r="J12" s="433"/>
      <c r="K12" s="433"/>
      <c r="L12" s="433"/>
      <c r="M12" s="433"/>
      <c r="N12" s="433"/>
      <c r="O12" s="433"/>
      <c r="P12" s="433"/>
      <c r="Q12" s="433"/>
      <c r="R12" s="433"/>
      <c r="S12" s="433"/>
      <c r="T12" s="433"/>
      <c r="U12" s="433"/>
      <c r="V12" s="436"/>
      <c r="W12" s="433"/>
      <c r="X12" s="433"/>
      <c r="Y12" s="433"/>
      <c r="Z12" s="433"/>
      <c r="AA12" s="433"/>
      <c r="AB12" s="434"/>
      <c r="AC12" s="433"/>
      <c r="AD12" s="433"/>
      <c r="AE12" s="433"/>
    </row>
    <row r="13" spans="1:31" ht="15.75" customHeight="1">
      <c r="A13" s="320"/>
      <c r="B13" s="320" t="s">
        <v>233</v>
      </c>
      <c r="C13" s="319"/>
      <c r="D13" s="435">
        <f>+'[18]T-1'!Q9</f>
        <v>5.0599999999999996</v>
      </c>
      <c r="E13" s="435"/>
      <c r="F13" s="433">
        <f>+'[18]T-1'!G9</f>
        <v>42329</v>
      </c>
      <c r="G13" s="433">
        <f>+'[18]T-1'!H9</f>
        <v>7559</v>
      </c>
      <c r="H13" s="433"/>
      <c r="I13" s="433">
        <v>80</v>
      </c>
      <c r="J13" s="433"/>
      <c r="K13" s="433"/>
      <c r="L13" s="433"/>
      <c r="M13" s="433"/>
      <c r="N13" s="433"/>
      <c r="O13" s="433"/>
      <c r="P13" s="437">
        <f>+U13/D13*1000</f>
        <v>803.07984189723311</v>
      </c>
      <c r="Q13" s="433"/>
      <c r="R13" s="433"/>
      <c r="S13" s="436">
        <f>F13*I13*12/10^7</f>
        <v>4.0635839999999996</v>
      </c>
      <c r="T13" s="433"/>
      <c r="U13" s="436">
        <f t="shared" ref="U13:U18" si="0">SUM(Q13:T13)</f>
        <v>4.0635839999999996</v>
      </c>
      <c r="V13" s="436"/>
      <c r="W13" s="437">
        <f>+Z13/D13*1000</f>
        <v>803.07984189723311</v>
      </c>
      <c r="X13" s="433"/>
      <c r="Y13" s="433"/>
      <c r="Z13" s="436">
        <f t="shared" ref="Z13:Z18" si="1">+U13-Y13</f>
        <v>4.0635839999999996</v>
      </c>
      <c r="AA13" s="433"/>
      <c r="AB13" s="434"/>
      <c r="AC13" s="433"/>
      <c r="AD13" s="437">
        <f>+Z13/D13*1000</f>
        <v>803.07984189723311</v>
      </c>
      <c r="AE13" s="433"/>
    </row>
    <row r="14" spans="1:31" ht="15.75" customHeight="1">
      <c r="A14" s="320"/>
      <c r="B14" s="320" t="s">
        <v>234</v>
      </c>
      <c r="C14" s="319"/>
      <c r="D14" s="435">
        <f>+'[18]T-1'!Q10</f>
        <v>1660.7170000000001</v>
      </c>
      <c r="E14" s="435"/>
      <c r="F14" s="433">
        <f>+'[18]T-1'!G10</f>
        <v>1830722</v>
      </c>
      <c r="G14" s="433">
        <f>+'[18]T-1'!H10</f>
        <v>1892545</v>
      </c>
      <c r="H14" s="437">
        <f>G14-'[18]T-2'!D10-'[18]T-2'!D29-SUM('[18]T-2'!C11:C14)-SUM('[18]T-2'!C30:C33)</f>
        <v>463388</v>
      </c>
      <c r="I14" s="433"/>
      <c r="J14" s="433"/>
      <c r="K14" s="433"/>
      <c r="L14" s="433">
        <v>20</v>
      </c>
      <c r="M14" s="433">
        <v>20</v>
      </c>
      <c r="N14" s="433"/>
      <c r="O14" s="433"/>
      <c r="P14" s="433"/>
      <c r="Q14" s="433"/>
      <c r="R14" s="433"/>
      <c r="S14" s="436">
        <f>(((F14*L14)+(H14*M14))*12)/10^7</f>
        <v>55.058639999999997</v>
      </c>
      <c r="T14" s="433"/>
      <c r="U14" s="436">
        <f t="shared" si="0"/>
        <v>55.058639999999997</v>
      </c>
      <c r="V14" s="436">
        <v>0.1</v>
      </c>
      <c r="W14" s="436"/>
      <c r="X14" s="435">
        <f>+D14*60.5%</f>
        <v>1004.733785</v>
      </c>
      <c r="Y14" s="436">
        <f>+V14*X14/10</f>
        <v>10.047337850000002</v>
      </c>
      <c r="Z14" s="436">
        <f t="shared" si="1"/>
        <v>45.011302149999992</v>
      </c>
      <c r="AA14" s="433"/>
      <c r="AB14" s="434"/>
      <c r="AC14" s="433"/>
      <c r="AD14" s="433"/>
      <c r="AE14" s="433"/>
    </row>
    <row r="15" spans="1:31" ht="15.75" customHeight="1">
      <c r="A15" s="320"/>
      <c r="B15" s="320" t="s">
        <v>235</v>
      </c>
      <c r="C15" s="319"/>
      <c r="D15" s="435">
        <f>+'[18]T-1'!Q11</f>
        <v>721.21362579141305</v>
      </c>
      <c r="E15" s="435"/>
      <c r="F15" s="433"/>
      <c r="G15" s="433"/>
      <c r="H15" s="433"/>
      <c r="I15" s="433"/>
      <c r="J15" s="436">
        <v>3</v>
      </c>
      <c r="K15" s="433"/>
      <c r="L15" s="433"/>
      <c r="M15" s="433"/>
      <c r="N15" s="433"/>
      <c r="O15" s="433"/>
      <c r="P15" s="433"/>
      <c r="Q15" s="433"/>
      <c r="R15" s="436">
        <f>(D15*J15)/10</f>
        <v>216.36408773742392</v>
      </c>
      <c r="S15" s="433"/>
      <c r="T15" s="433"/>
      <c r="U15" s="436">
        <f t="shared" si="0"/>
        <v>216.36408773742392</v>
      </c>
      <c r="V15" s="436"/>
      <c r="W15" s="436"/>
      <c r="X15" s="436"/>
      <c r="Y15" s="436"/>
      <c r="Z15" s="436">
        <f t="shared" si="1"/>
        <v>216.36408773742392</v>
      </c>
      <c r="AA15" s="433"/>
      <c r="AB15" s="434"/>
      <c r="AC15" s="433"/>
      <c r="AD15" s="433"/>
      <c r="AE15" s="433"/>
    </row>
    <row r="16" spans="1:31" ht="15.75" customHeight="1">
      <c r="A16" s="320"/>
      <c r="B16" s="320" t="s">
        <v>236</v>
      </c>
      <c r="C16" s="319"/>
      <c r="D16" s="435">
        <f>+'[18]T-1'!Q12</f>
        <v>662.8970934191384</v>
      </c>
      <c r="E16" s="435"/>
      <c r="F16" s="433"/>
      <c r="G16" s="433"/>
      <c r="H16" s="433"/>
      <c r="I16" s="433"/>
      <c r="J16" s="436">
        <v>4.8</v>
      </c>
      <c r="K16" s="433"/>
      <c r="L16" s="433"/>
      <c r="M16" s="433"/>
      <c r="N16" s="433"/>
      <c r="O16" s="433"/>
      <c r="P16" s="433"/>
      <c r="Q16" s="433"/>
      <c r="R16" s="436">
        <f>(D16*J16)/10</f>
        <v>318.19060484118643</v>
      </c>
      <c r="S16" s="433"/>
      <c r="T16" s="433"/>
      <c r="U16" s="436">
        <f t="shared" si="0"/>
        <v>318.19060484118643</v>
      </c>
      <c r="V16" s="436"/>
      <c r="W16" s="436"/>
      <c r="X16" s="436"/>
      <c r="Y16" s="436"/>
      <c r="Z16" s="436">
        <f t="shared" si="1"/>
        <v>318.19060484118643</v>
      </c>
      <c r="AA16" s="433"/>
      <c r="AB16" s="434"/>
      <c r="AC16" s="433"/>
      <c r="AD16" s="433"/>
      <c r="AE16" s="433"/>
    </row>
    <row r="17" spans="1:31" ht="15.75" customHeight="1">
      <c r="A17" s="320"/>
      <c r="B17" s="320" t="s">
        <v>237</v>
      </c>
      <c r="C17" s="319"/>
      <c r="D17" s="435">
        <f>+'[18]T-1'!Q13</f>
        <v>202.20583468943477</v>
      </c>
      <c r="E17" s="435"/>
      <c r="F17" s="433"/>
      <c r="G17" s="433"/>
      <c r="H17" s="433"/>
      <c r="I17" s="433"/>
      <c r="J17" s="436">
        <v>5.8</v>
      </c>
      <c r="K17" s="433"/>
      <c r="L17" s="433"/>
      <c r="M17" s="433"/>
      <c r="N17" s="433"/>
      <c r="O17" s="433"/>
      <c r="P17" s="433"/>
      <c r="Q17" s="433"/>
      <c r="R17" s="436">
        <f>(D17*J17)/10</f>
        <v>117.27938411987216</v>
      </c>
      <c r="S17" s="433"/>
      <c r="T17" s="433"/>
      <c r="U17" s="436">
        <f t="shared" si="0"/>
        <v>117.27938411987216</v>
      </c>
      <c r="V17" s="436"/>
      <c r="W17" s="436"/>
      <c r="X17" s="436"/>
      <c r="Y17" s="436"/>
      <c r="Z17" s="436">
        <f t="shared" si="1"/>
        <v>117.27938411987216</v>
      </c>
      <c r="AA17" s="433"/>
      <c r="AB17" s="434"/>
      <c r="AC17" s="433"/>
      <c r="AD17" s="433"/>
      <c r="AE17" s="433"/>
    </row>
    <row r="18" spans="1:31" ht="15.75" customHeight="1">
      <c r="A18" s="320"/>
      <c r="B18" s="320" t="s">
        <v>238</v>
      </c>
      <c r="C18" s="319"/>
      <c r="D18" s="435">
        <f>+'[18]T-1'!Q14</f>
        <v>74.400446100013809</v>
      </c>
      <c r="E18" s="435"/>
      <c r="F18" s="433"/>
      <c r="G18" s="433"/>
      <c r="H18" s="433"/>
      <c r="I18" s="433"/>
      <c r="J18" s="436">
        <v>6.2</v>
      </c>
      <c r="K18" s="433"/>
      <c r="L18" s="433"/>
      <c r="M18" s="433"/>
      <c r="N18" s="433"/>
      <c r="O18" s="433"/>
      <c r="P18" s="433"/>
      <c r="Q18" s="433"/>
      <c r="R18" s="436">
        <f>(D18*J18)/10</f>
        <v>46.12827658200856</v>
      </c>
      <c r="S18" s="433"/>
      <c r="T18" s="433"/>
      <c r="U18" s="436">
        <f t="shared" si="0"/>
        <v>46.12827658200856</v>
      </c>
      <c r="V18" s="436"/>
      <c r="W18" s="436"/>
      <c r="X18" s="436"/>
      <c r="Y18" s="436"/>
      <c r="Z18" s="436">
        <f t="shared" si="1"/>
        <v>46.12827658200856</v>
      </c>
      <c r="AA18" s="433"/>
      <c r="AB18" s="434"/>
      <c r="AC18" s="433"/>
      <c r="AD18" s="433"/>
      <c r="AE18" s="433"/>
    </row>
    <row r="19" spans="1:31" s="330" customFormat="1" ht="15.75" customHeight="1">
      <c r="A19" s="327"/>
      <c r="B19" s="327"/>
      <c r="C19" s="328" t="s">
        <v>240</v>
      </c>
      <c r="D19" s="438">
        <f>+D13+D14</f>
        <v>1665.777</v>
      </c>
      <c r="E19" s="438"/>
      <c r="F19" s="439">
        <f>+F13+F14</f>
        <v>1873051</v>
      </c>
      <c r="G19" s="439">
        <f>+G13+G14</f>
        <v>1900104</v>
      </c>
      <c r="H19" s="440"/>
      <c r="I19" s="440"/>
      <c r="J19" s="441"/>
      <c r="K19" s="440"/>
      <c r="L19" s="440"/>
      <c r="M19" s="440"/>
      <c r="N19" s="440"/>
      <c r="O19" s="440"/>
      <c r="P19" s="437">
        <f>+U19/D19*1000</f>
        <v>454.49335492115154</v>
      </c>
      <c r="Q19" s="441">
        <f>SUM(Q13:Q18)</f>
        <v>0</v>
      </c>
      <c r="R19" s="441">
        <f>SUM(R13:R18)</f>
        <v>697.96235328049102</v>
      </c>
      <c r="S19" s="441">
        <f>SUM(S13:S18)</f>
        <v>59.122223999999996</v>
      </c>
      <c r="T19" s="441">
        <f>SUM(T13:T18)</f>
        <v>0</v>
      </c>
      <c r="U19" s="441">
        <f>SUM(U13:U18)</f>
        <v>757.08457728049109</v>
      </c>
      <c r="V19" s="441"/>
      <c r="W19" s="437">
        <f>+Z19/D19*1000</f>
        <v>448.46173253111971</v>
      </c>
      <c r="X19" s="440"/>
      <c r="Y19" s="441">
        <f>SUM(Y13:Y18)</f>
        <v>10.047337850000002</v>
      </c>
      <c r="Z19" s="441">
        <f>SUM(Z13:Z18)</f>
        <v>747.03723943049101</v>
      </c>
      <c r="AA19" s="440"/>
      <c r="AB19" s="220">
        <v>0.04</v>
      </c>
      <c r="AC19" s="436">
        <f>+R19*AB19</f>
        <v>27.918494131219642</v>
      </c>
      <c r="AD19" s="437">
        <f>(Z19+AC19)/D19*1000</f>
        <v>465.22177552079933</v>
      </c>
      <c r="AE19" s="440"/>
    </row>
    <row r="20" spans="1:31" ht="15.75" customHeight="1">
      <c r="A20" s="320">
        <v>2</v>
      </c>
      <c r="B20" s="319" t="s">
        <v>241</v>
      </c>
      <c r="C20" s="320" t="s">
        <v>232</v>
      </c>
      <c r="D20" s="435">
        <f>+'[18]T-1'!Q16</f>
        <v>465.07799999999997</v>
      </c>
      <c r="E20" s="435"/>
      <c r="F20" s="433">
        <f>+'[18]T-1'!G16</f>
        <v>108910</v>
      </c>
      <c r="G20" s="433">
        <f>+'[18]T-1'!H16</f>
        <v>306805</v>
      </c>
      <c r="H20" s="433">
        <f>+G20-'[18]T-3'!D10-'[18]T-3'!D25-SUM('[18]T-3'!C11:C14)-'[18]T-3'!C16-SUM('[18]T-3'!C26:C29)-'[18]T-3'!C31</f>
        <v>214879</v>
      </c>
      <c r="I20" s="433"/>
      <c r="J20" s="436"/>
      <c r="K20" s="433"/>
      <c r="L20" s="433">
        <v>30</v>
      </c>
      <c r="M20" s="433">
        <v>30</v>
      </c>
      <c r="N20" s="433"/>
      <c r="O20" s="433"/>
      <c r="P20" s="433"/>
      <c r="Q20" s="433"/>
      <c r="R20" s="433"/>
      <c r="S20" s="436">
        <f>(((F20*L20)+(H20*M20))*12)/10^7</f>
        <v>11.656404</v>
      </c>
      <c r="T20" s="433"/>
      <c r="U20" s="436">
        <f>SUM(Q20:T20)</f>
        <v>11.656404</v>
      </c>
      <c r="V20" s="436">
        <v>0.1</v>
      </c>
      <c r="W20" s="433"/>
      <c r="X20" s="435">
        <f>+D20*70%</f>
        <v>325.55459999999994</v>
      </c>
      <c r="Y20" s="436">
        <f>+V20*X20/10</f>
        <v>3.2555459999999998</v>
      </c>
      <c r="Z20" s="436">
        <f>+U20-Y20</f>
        <v>8.4008579999999995</v>
      </c>
      <c r="AA20" s="433"/>
      <c r="AB20" s="434"/>
      <c r="AC20" s="433"/>
      <c r="AD20" s="433"/>
      <c r="AE20" s="433"/>
    </row>
    <row r="21" spans="1:31" ht="15.75" customHeight="1">
      <c r="A21" s="320"/>
      <c r="B21" s="320" t="s">
        <v>242</v>
      </c>
      <c r="C21" s="320"/>
      <c r="D21" s="435">
        <f>+'[18]T-1'!Q17</f>
        <v>104.72084093534227</v>
      </c>
      <c r="E21" s="435"/>
      <c r="F21" s="433"/>
      <c r="G21" s="433"/>
      <c r="H21" s="433"/>
      <c r="I21" s="433"/>
      <c r="J21" s="436">
        <v>5.9</v>
      </c>
      <c r="K21" s="433"/>
      <c r="L21" s="433"/>
      <c r="M21" s="433"/>
      <c r="N21" s="433"/>
      <c r="O21" s="433"/>
      <c r="P21" s="433"/>
      <c r="Q21" s="433"/>
      <c r="R21" s="436">
        <f>(D21*J21)/10</f>
        <v>61.785296151851945</v>
      </c>
      <c r="S21" s="433"/>
      <c r="T21" s="433"/>
      <c r="U21" s="436">
        <f>SUM(Q21:T21)</f>
        <v>61.785296151851945</v>
      </c>
      <c r="V21" s="436"/>
      <c r="W21" s="433"/>
      <c r="X21" s="433"/>
      <c r="Y21" s="433"/>
      <c r="Z21" s="436">
        <f>+U21-Y21</f>
        <v>61.785296151851945</v>
      </c>
      <c r="AA21" s="433"/>
      <c r="AB21" s="434"/>
      <c r="AC21" s="433"/>
      <c r="AD21" s="433"/>
      <c r="AE21" s="433"/>
    </row>
    <row r="22" spans="1:31" ht="15.75" customHeight="1">
      <c r="A22" s="320"/>
      <c r="B22" s="320" t="s">
        <v>243</v>
      </c>
      <c r="C22" s="319"/>
      <c r="D22" s="435">
        <f>+'[18]T-1'!Q18</f>
        <v>87.566471315998868</v>
      </c>
      <c r="E22" s="435"/>
      <c r="F22" s="433"/>
      <c r="G22" s="433"/>
      <c r="H22" s="433"/>
      <c r="I22" s="433"/>
      <c r="J22" s="436">
        <v>7</v>
      </c>
      <c r="K22" s="433"/>
      <c r="L22" s="433"/>
      <c r="M22" s="433"/>
      <c r="N22" s="433"/>
      <c r="O22" s="433"/>
      <c r="P22" s="433"/>
      <c r="Q22" s="436"/>
      <c r="R22" s="436">
        <f>(D22*J22)/10</f>
        <v>61.296529921199202</v>
      </c>
      <c r="S22" s="436"/>
      <c r="T22" s="436"/>
      <c r="U22" s="436">
        <f>SUM(Q22:T22)</f>
        <v>61.296529921199202</v>
      </c>
      <c r="V22" s="436"/>
      <c r="W22" s="436"/>
      <c r="X22" s="436"/>
      <c r="Y22" s="436"/>
      <c r="Z22" s="436">
        <f>+U22-Y22</f>
        <v>61.296529921199202</v>
      </c>
      <c r="AA22" s="433"/>
      <c r="AB22" s="434"/>
      <c r="AC22" s="433"/>
      <c r="AD22" s="433"/>
      <c r="AE22" s="433"/>
    </row>
    <row r="23" spans="1:31" ht="15.75" customHeight="1">
      <c r="A23" s="320"/>
      <c r="B23" s="320" t="s">
        <v>244</v>
      </c>
      <c r="C23" s="320"/>
      <c r="D23" s="435">
        <f>+'[18]T-1'!Q19</f>
        <v>272.7906877486588</v>
      </c>
      <c r="E23" s="435"/>
      <c r="F23" s="433"/>
      <c r="G23" s="433"/>
      <c r="H23" s="433"/>
      <c r="I23" s="433"/>
      <c r="J23" s="436">
        <v>7.6</v>
      </c>
      <c r="K23" s="433"/>
      <c r="L23" s="433"/>
      <c r="M23" s="433"/>
      <c r="N23" s="433"/>
      <c r="O23" s="433"/>
      <c r="P23" s="433"/>
      <c r="Q23" s="433"/>
      <c r="R23" s="436">
        <f>(D23*J23)/10</f>
        <v>207.32092268898069</v>
      </c>
      <c r="S23" s="433"/>
      <c r="T23" s="433"/>
      <c r="U23" s="436">
        <f>SUM(Q23:T23)</f>
        <v>207.32092268898069</v>
      </c>
      <c r="V23" s="436"/>
      <c r="W23" s="436"/>
      <c r="X23" s="436"/>
      <c r="Y23" s="436"/>
      <c r="Z23" s="436">
        <f>+U23-Y23</f>
        <v>207.32092268898069</v>
      </c>
      <c r="AA23" s="433"/>
      <c r="AB23" s="434"/>
      <c r="AC23" s="433"/>
      <c r="AD23" s="433"/>
      <c r="AE23" s="433"/>
    </row>
    <row r="24" spans="1:31" ht="15.75" customHeight="1">
      <c r="A24" s="320"/>
      <c r="B24" s="320"/>
      <c r="C24" s="328" t="s">
        <v>240</v>
      </c>
      <c r="D24" s="438">
        <f>SUM(D21:D23)</f>
        <v>465.07799999999992</v>
      </c>
      <c r="E24" s="435"/>
      <c r="F24" s="433">
        <f>+F20</f>
        <v>108910</v>
      </c>
      <c r="G24" s="433">
        <f>+G20</f>
        <v>306805</v>
      </c>
      <c r="H24" s="433">
        <f>+H20</f>
        <v>214879</v>
      </c>
      <c r="I24" s="433"/>
      <c r="J24" s="436"/>
      <c r="K24" s="433"/>
      <c r="L24" s="433"/>
      <c r="M24" s="433"/>
      <c r="N24" s="433"/>
      <c r="O24" s="433"/>
      <c r="P24" s="437">
        <f t="shared" ref="P24:P32" si="2">+U24/D24*1000</f>
        <v>735.48770907682558</v>
      </c>
      <c r="Q24" s="433"/>
      <c r="R24" s="441">
        <f>SUM(R21:R23)</f>
        <v>330.40274876203182</v>
      </c>
      <c r="S24" s="441">
        <f>SUM(S20:S23)</f>
        <v>11.656404</v>
      </c>
      <c r="T24" s="441">
        <f>SUM(T21:T23)</f>
        <v>0</v>
      </c>
      <c r="U24" s="441">
        <f>SUM(U20:U23)</f>
        <v>342.05915276203183</v>
      </c>
      <c r="V24" s="436"/>
      <c r="W24" s="437">
        <f t="shared" ref="W24:W32" si="3">+Z24/D24*1000</f>
        <v>728.48770907682558</v>
      </c>
      <c r="X24" s="436"/>
      <c r="Y24" s="441">
        <f>SUM(Y20:Y23)</f>
        <v>3.2555459999999998</v>
      </c>
      <c r="Z24" s="441">
        <f>SUM(Z20:Z23)</f>
        <v>338.80360676203185</v>
      </c>
      <c r="AA24" s="433"/>
      <c r="AB24" s="220">
        <v>0.04</v>
      </c>
      <c r="AC24" s="436">
        <f t="shared" ref="AC24:AC31" si="4">+R24*AB24</f>
        <v>13.216109950481274</v>
      </c>
      <c r="AD24" s="437">
        <f t="shared" ref="AD24:AD31" si="5">(Z24+AC24)/D24*1000</f>
        <v>756.90468418741193</v>
      </c>
      <c r="AE24" s="433"/>
    </row>
    <row r="25" spans="1:31" ht="15.75" customHeight="1">
      <c r="A25" s="320">
        <v>3</v>
      </c>
      <c r="B25" s="319" t="s">
        <v>245</v>
      </c>
      <c r="C25" s="320" t="s">
        <v>232</v>
      </c>
      <c r="D25" s="435">
        <f>+'[18]T-1'!Q21</f>
        <v>86.043000000000006</v>
      </c>
      <c r="E25" s="435"/>
      <c r="F25" s="433">
        <f>+'[18]T-1'!G21</f>
        <v>28815</v>
      </c>
      <c r="G25" s="433">
        <f>+'[18]T-1'!H21</f>
        <v>116603</v>
      </c>
      <c r="H25" s="433">
        <f t="shared" ref="H25:H32" si="6">+G25-F25</f>
        <v>87788</v>
      </c>
      <c r="I25" s="433"/>
      <c r="J25" s="436">
        <v>1.5</v>
      </c>
      <c r="K25" s="433"/>
      <c r="L25" s="433">
        <v>20</v>
      </c>
      <c r="M25" s="433">
        <v>10</v>
      </c>
      <c r="N25" s="433"/>
      <c r="O25" s="433"/>
      <c r="P25" s="437">
        <f t="shared" si="2"/>
        <v>170.2807433492556</v>
      </c>
      <c r="Q25" s="433"/>
      <c r="R25" s="436">
        <f t="shared" ref="R25:R32" si="7">(D25*J25)/10</f>
        <v>12.906450000000001</v>
      </c>
      <c r="S25" s="436">
        <f t="shared" ref="S25:S32" si="8">(((F25*L25)+(H25*M25))*12)/10^7</f>
        <v>1.7450159999999999</v>
      </c>
      <c r="T25" s="433"/>
      <c r="U25" s="436">
        <f t="shared" ref="U25:U32" si="9">SUM(Q25:T25)</f>
        <v>14.651466000000001</v>
      </c>
      <c r="V25" s="436">
        <v>0.1</v>
      </c>
      <c r="W25" s="437">
        <f t="shared" si="3"/>
        <v>167.7807433492556</v>
      </c>
      <c r="X25" s="435">
        <f>+D25*25%</f>
        <v>21.510750000000002</v>
      </c>
      <c r="Y25" s="436">
        <f>+V25*X25/10</f>
        <v>0.21510750000000001</v>
      </c>
      <c r="Z25" s="436">
        <f t="shared" ref="Z25:Z32" si="10">+U25-Y25</f>
        <v>14.436358500000001</v>
      </c>
      <c r="AA25" s="433"/>
      <c r="AB25" s="221">
        <v>0.02</v>
      </c>
      <c r="AC25" s="436">
        <f t="shared" si="4"/>
        <v>0.25812900000000005</v>
      </c>
      <c r="AD25" s="437">
        <f t="shared" si="5"/>
        <v>170.7807433492556</v>
      </c>
      <c r="AE25" s="433"/>
    </row>
    <row r="26" spans="1:31" ht="15.75" customHeight="1">
      <c r="A26" s="320">
        <f t="shared" ref="A26:A35" si="11">A25+1</f>
        <v>4</v>
      </c>
      <c r="B26" s="319" t="s">
        <v>246</v>
      </c>
      <c r="C26" s="320" t="s">
        <v>232</v>
      </c>
      <c r="D26" s="435">
        <f>+'[18]T-1'!Q22</f>
        <v>60.427999999999997</v>
      </c>
      <c r="E26" s="435"/>
      <c r="F26" s="433">
        <f>+'[18]T-1'!G22</f>
        <v>2603</v>
      </c>
      <c r="G26" s="433">
        <f>+'[18]T-1'!H22</f>
        <v>31755</v>
      </c>
      <c r="H26" s="433">
        <f t="shared" si="6"/>
        <v>29152</v>
      </c>
      <c r="I26" s="433"/>
      <c r="J26" s="436">
        <v>1.6</v>
      </c>
      <c r="K26" s="433"/>
      <c r="L26" s="433">
        <v>20</v>
      </c>
      <c r="M26" s="433">
        <v>10</v>
      </c>
      <c r="N26" s="433"/>
      <c r="O26" s="433"/>
      <c r="P26" s="437">
        <f t="shared" si="2"/>
        <v>166.82292976765737</v>
      </c>
      <c r="Q26" s="433"/>
      <c r="R26" s="436">
        <f t="shared" si="7"/>
        <v>9.6684799999999989</v>
      </c>
      <c r="S26" s="436">
        <f t="shared" si="8"/>
        <v>0.412296</v>
      </c>
      <c r="T26" s="433"/>
      <c r="U26" s="436">
        <f t="shared" si="9"/>
        <v>10.080775999999998</v>
      </c>
      <c r="V26" s="436">
        <v>0.1</v>
      </c>
      <c r="W26" s="437">
        <f t="shared" si="3"/>
        <v>159.82292976765737</v>
      </c>
      <c r="X26" s="435">
        <f>+D26*70%</f>
        <v>42.299599999999998</v>
      </c>
      <c r="Y26" s="436">
        <f>+V26*X26/10</f>
        <v>0.42299600000000004</v>
      </c>
      <c r="Z26" s="436">
        <f t="shared" si="10"/>
        <v>9.6577799999999989</v>
      </c>
      <c r="AA26" s="433"/>
      <c r="AB26" s="221">
        <v>0.04</v>
      </c>
      <c r="AC26" s="436">
        <f t="shared" si="4"/>
        <v>0.38673919999999995</v>
      </c>
      <c r="AD26" s="437">
        <f t="shared" si="5"/>
        <v>166.22292976765735</v>
      </c>
      <c r="AE26" s="433"/>
    </row>
    <row r="27" spans="1:31" ht="15.75" customHeight="1">
      <c r="A27" s="320">
        <f t="shared" si="11"/>
        <v>5</v>
      </c>
      <c r="B27" s="319" t="s">
        <v>247</v>
      </c>
      <c r="C27" s="320" t="s">
        <v>232</v>
      </c>
      <c r="D27" s="435">
        <f>+'[18]T-1'!Q23</f>
        <v>1.734</v>
      </c>
      <c r="E27" s="435"/>
      <c r="F27" s="433">
        <f>+'[18]T-1'!G23</f>
        <v>57</v>
      </c>
      <c r="G27" s="433">
        <f>+'[18]T-1'!H23</f>
        <v>858</v>
      </c>
      <c r="H27" s="433">
        <f t="shared" si="6"/>
        <v>801</v>
      </c>
      <c r="I27" s="433"/>
      <c r="J27" s="436">
        <v>3.1</v>
      </c>
      <c r="K27" s="433"/>
      <c r="L27" s="433">
        <v>80</v>
      </c>
      <c r="M27" s="433">
        <v>50</v>
      </c>
      <c r="N27" s="433"/>
      <c r="O27" s="433"/>
      <c r="P27" s="437">
        <f t="shared" si="2"/>
        <v>340.87197231833909</v>
      </c>
      <c r="Q27" s="433"/>
      <c r="R27" s="436">
        <f t="shared" si="7"/>
        <v>0.53754000000000002</v>
      </c>
      <c r="S27" s="436">
        <f t="shared" si="8"/>
        <v>5.3532000000000003E-2</v>
      </c>
      <c r="T27" s="433"/>
      <c r="U27" s="436">
        <f t="shared" si="9"/>
        <v>0.59107200000000004</v>
      </c>
      <c r="V27" s="436"/>
      <c r="W27" s="437">
        <f t="shared" si="3"/>
        <v>337.46325259515567</v>
      </c>
      <c r="X27" s="435"/>
      <c r="Y27" s="436">
        <f>+U27*0.01</f>
        <v>5.9107200000000004E-3</v>
      </c>
      <c r="Z27" s="436">
        <f t="shared" si="10"/>
        <v>0.58516128000000001</v>
      </c>
      <c r="AA27" s="433"/>
      <c r="AB27" s="221">
        <v>0.04</v>
      </c>
      <c r="AC27" s="436">
        <f t="shared" si="4"/>
        <v>2.1501600000000003E-2</v>
      </c>
      <c r="AD27" s="437">
        <f t="shared" si="5"/>
        <v>349.8632525951557</v>
      </c>
      <c r="AE27" s="433"/>
    </row>
    <row r="28" spans="1:31" ht="15.75" customHeight="1">
      <c r="A28" s="320">
        <f t="shared" si="11"/>
        <v>6</v>
      </c>
      <c r="B28" s="319" t="s">
        <v>248</v>
      </c>
      <c r="C28" s="320" t="s">
        <v>232</v>
      </c>
      <c r="D28" s="435">
        <f>+'[18]T-1'!Q24</f>
        <v>29.614000000000001</v>
      </c>
      <c r="E28" s="435"/>
      <c r="F28" s="433">
        <f>+'[18]T-1'!G24</f>
        <v>1421</v>
      </c>
      <c r="G28" s="433">
        <f>+'[18]T-1'!H24</f>
        <v>7022</v>
      </c>
      <c r="H28" s="433">
        <f t="shared" si="6"/>
        <v>5601</v>
      </c>
      <c r="I28" s="433"/>
      <c r="J28" s="436">
        <v>6.2</v>
      </c>
      <c r="K28" s="433"/>
      <c r="L28" s="433">
        <v>20</v>
      </c>
      <c r="M28" s="433">
        <v>15</v>
      </c>
      <c r="N28" s="433"/>
      <c r="O28" s="433"/>
      <c r="P28" s="437">
        <f t="shared" si="2"/>
        <v>624.55602080097253</v>
      </c>
      <c r="Q28" s="433"/>
      <c r="R28" s="436">
        <f t="shared" si="7"/>
        <v>18.360680000000002</v>
      </c>
      <c r="S28" s="436">
        <f t="shared" si="8"/>
        <v>0.13492199999999999</v>
      </c>
      <c r="T28" s="433"/>
      <c r="U28" s="436">
        <f t="shared" si="9"/>
        <v>18.495602000000002</v>
      </c>
      <c r="V28" s="436"/>
      <c r="W28" s="437">
        <f t="shared" si="3"/>
        <v>622.37007472816924</v>
      </c>
      <c r="X28" s="436"/>
      <c r="Y28" s="436">
        <f>+U28*35%*0.01</f>
        <v>6.4734607E-2</v>
      </c>
      <c r="Z28" s="436">
        <f t="shared" si="10"/>
        <v>18.430867393000003</v>
      </c>
      <c r="AA28" s="433"/>
      <c r="AB28" s="220">
        <v>0.04</v>
      </c>
      <c r="AC28" s="436">
        <f t="shared" si="4"/>
        <v>0.73442720000000006</v>
      </c>
      <c r="AD28" s="437">
        <f t="shared" si="5"/>
        <v>647.17007472816908</v>
      </c>
      <c r="AE28" s="433"/>
    </row>
    <row r="29" spans="1:31" ht="15.75" customHeight="1">
      <c r="A29" s="320">
        <f t="shared" si="11"/>
        <v>7</v>
      </c>
      <c r="B29" s="319" t="s">
        <v>249</v>
      </c>
      <c r="C29" s="320" t="s">
        <v>232</v>
      </c>
      <c r="D29" s="435">
        <f>+'[18]T-1'!Q25</f>
        <v>22.155999999999999</v>
      </c>
      <c r="E29" s="435"/>
      <c r="F29" s="433">
        <f>+'[18]T-1'!G25</f>
        <v>4357</v>
      </c>
      <c r="G29" s="433">
        <f>+'[18]T-1'!H25</f>
        <v>40529</v>
      </c>
      <c r="H29" s="433">
        <f t="shared" si="6"/>
        <v>36172</v>
      </c>
      <c r="I29" s="433"/>
      <c r="J29" s="436">
        <v>6.2</v>
      </c>
      <c r="K29" s="433"/>
      <c r="L29" s="433">
        <v>80</v>
      </c>
      <c r="M29" s="433">
        <v>35</v>
      </c>
      <c r="N29" s="433"/>
      <c r="O29" s="433"/>
      <c r="P29" s="437">
        <f t="shared" si="2"/>
        <v>707.44791478606248</v>
      </c>
      <c r="Q29" s="433"/>
      <c r="R29" s="436">
        <f t="shared" si="7"/>
        <v>13.73672</v>
      </c>
      <c r="S29" s="436">
        <f t="shared" si="8"/>
        <v>1.9374960000000001</v>
      </c>
      <c r="T29" s="433"/>
      <c r="U29" s="436">
        <f t="shared" si="9"/>
        <v>15.674215999999999</v>
      </c>
      <c r="V29" s="436">
        <v>0.1</v>
      </c>
      <c r="W29" s="437">
        <f t="shared" si="3"/>
        <v>700.34791478606246</v>
      </c>
      <c r="X29" s="435">
        <f>+D29*71%</f>
        <v>15.730759999999998</v>
      </c>
      <c r="Y29" s="436">
        <f>+V29*X29/10</f>
        <v>0.15730759999999999</v>
      </c>
      <c r="Z29" s="436">
        <f t="shared" si="10"/>
        <v>15.5169084</v>
      </c>
      <c r="AA29" s="433"/>
      <c r="AB29" s="220">
        <v>0.05</v>
      </c>
      <c r="AC29" s="436">
        <f t="shared" si="4"/>
        <v>0.686836</v>
      </c>
      <c r="AD29" s="437">
        <f t="shared" si="5"/>
        <v>731.34791478606257</v>
      </c>
      <c r="AE29" s="433"/>
    </row>
    <row r="30" spans="1:31" ht="15.75" customHeight="1">
      <c r="A30" s="320">
        <f t="shared" si="11"/>
        <v>8</v>
      </c>
      <c r="B30" s="319" t="s">
        <v>250</v>
      </c>
      <c r="C30" s="320" t="s">
        <v>232</v>
      </c>
      <c r="D30" s="435">
        <f>+'[18]T-1'!Q26</f>
        <v>42.741999999999997</v>
      </c>
      <c r="E30" s="435"/>
      <c r="F30" s="433">
        <f>+'[18]T-1'!G26</f>
        <v>1132</v>
      </c>
      <c r="G30" s="433">
        <f>+'[18]T-1'!H26</f>
        <v>49238</v>
      </c>
      <c r="H30" s="433">
        <f t="shared" si="6"/>
        <v>48106</v>
      </c>
      <c r="I30" s="433"/>
      <c r="J30" s="436">
        <v>6.2</v>
      </c>
      <c r="K30" s="433"/>
      <c r="L30" s="433">
        <v>100</v>
      </c>
      <c r="M30" s="433">
        <v>80</v>
      </c>
      <c r="N30" s="433"/>
      <c r="O30" s="433"/>
      <c r="P30" s="437">
        <f t="shared" si="2"/>
        <v>731.22586682888038</v>
      </c>
      <c r="Q30" s="433"/>
      <c r="R30" s="436">
        <f t="shared" si="7"/>
        <v>26.500040000000002</v>
      </c>
      <c r="S30" s="436">
        <f t="shared" si="8"/>
        <v>4.754016</v>
      </c>
      <c r="T30" s="433"/>
      <c r="U30" s="436">
        <f t="shared" si="9"/>
        <v>31.254056000000002</v>
      </c>
      <c r="V30" s="436"/>
      <c r="W30" s="437">
        <f t="shared" si="3"/>
        <v>724.27922109400595</v>
      </c>
      <c r="X30" s="436"/>
      <c r="Y30" s="436">
        <f>+U30*95%*0.01</f>
        <v>0.29691353200000004</v>
      </c>
      <c r="Z30" s="436">
        <f t="shared" si="10"/>
        <v>30.957142468000001</v>
      </c>
      <c r="AA30" s="433"/>
      <c r="AB30" s="220">
        <v>0.08</v>
      </c>
      <c r="AC30" s="436">
        <f t="shared" si="4"/>
        <v>2.1200032000000002</v>
      </c>
      <c r="AD30" s="437">
        <f t="shared" si="5"/>
        <v>773.87922109400597</v>
      </c>
      <c r="AE30" s="433"/>
    </row>
    <row r="31" spans="1:31" ht="15.75" customHeight="1">
      <c r="A31" s="320">
        <f t="shared" si="11"/>
        <v>9</v>
      </c>
      <c r="B31" s="319" t="s">
        <v>251</v>
      </c>
      <c r="C31" s="320" t="s">
        <v>232</v>
      </c>
      <c r="D31" s="435">
        <f>+'[18]T-1'!Q27</f>
        <v>49.100999999999999</v>
      </c>
      <c r="E31" s="435"/>
      <c r="F31" s="433">
        <f>+'[18]T-1'!G27</f>
        <v>16052</v>
      </c>
      <c r="G31" s="433">
        <f>+'[18]T-1'!H27</f>
        <v>34048</v>
      </c>
      <c r="H31" s="433">
        <f t="shared" si="6"/>
        <v>17996</v>
      </c>
      <c r="I31" s="433"/>
      <c r="J31" s="436">
        <v>6.2</v>
      </c>
      <c r="K31" s="433"/>
      <c r="L31" s="433">
        <v>50</v>
      </c>
      <c r="M31" s="433">
        <v>50</v>
      </c>
      <c r="N31" s="433"/>
      <c r="O31" s="433"/>
      <c r="P31" s="437">
        <f t="shared" si="2"/>
        <v>661.60566994562225</v>
      </c>
      <c r="Q31" s="433"/>
      <c r="R31" s="436">
        <f t="shared" si="7"/>
        <v>30.442619999999998</v>
      </c>
      <c r="S31" s="436">
        <f t="shared" si="8"/>
        <v>2.0428799999999998</v>
      </c>
      <c r="T31" s="433"/>
      <c r="U31" s="436">
        <f t="shared" si="9"/>
        <v>32.485499999999995</v>
      </c>
      <c r="V31" s="436"/>
      <c r="W31" s="437">
        <f t="shared" si="3"/>
        <v>657.30523309097555</v>
      </c>
      <c r="X31" s="436"/>
      <c r="Y31" s="436">
        <f>+U31*65%*0.01</f>
        <v>0.21115574999999998</v>
      </c>
      <c r="Z31" s="436">
        <f t="shared" si="10"/>
        <v>32.274344249999992</v>
      </c>
      <c r="AA31" s="433"/>
      <c r="AB31" s="220">
        <v>0.04</v>
      </c>
      <c r="AC31" s="436">
        <f t="shared" si="4"/>
        <v>1.2177047999999999</v>
      </c>
      <c r="AD31" s="437">
        <f t="shared" si="5"/>
        <v>682.10523309097562</v>
      </c>
      <c r="AE31" s="433"/>
    </row>
    <row r="32" spans="1:31" ht="15.75" customHeight="1">
      <c r="A32" s="320">
        <f t="shared" si="11"/>
        <v>10</v>
      </c>
      <c r="B32" s="319" t="s">
        <v>252</v>
      </c>
      <c r="C32" s="320" t="s">
        <v>232</v>
      </c>
      <c r="D32" s="435">
        <f>+'[18]T-1'!Q28</f>
        <v>60.904000000000003</v>
      </c>
      <c r="E32" s="435"/>
      <c r="F32" s="433">
        <f>+'[18]T-1'!G28</f>
        <v>4490</v>
      </c>
      <c r="G32" s="433">
        <f>+'[18]T-1'!H28</f>
        <v>29204</v>
      </c>
      <c r="H32" s="433">
        <f t="shared" si="6"/>
        <v>24714</v>
      </c>
      <c r="I32" s="433"/>
      <c r="J32" s="436">
        <v>6.2</v>
      </c>
      <c r="K32" s="433"/>
      <c r="L32" s="433">
        <v>50</v>
      </c>
      <c r="M32" s="433">
        <v>50</v>
      </c>
      <c r="N32" s="433"/>
      <c r="O32" s="433"/>
      <c r="P32" s="437">
        <f t="shared" si="2"/>
        <v>648.77052410350711</v>
      </c>
      <c r="Q32" s="433"/>
      <c r="R32" s="436">
        <f t="shared" si="7"/>
        <v>37.760480000000001</v>
      </c>
      <c r="S32" s="436">
        <f t="shared" si="8"/>
        <v>1.75224</v>
      </c>
      <c r="T32" s="433"/>
      <c r="U32" s="436">
        <f t="shared" si="9"/>
        <v>39.512720000000002</v>
      </c>
      <c r="V32" s="436">
        <v>0.1</v>
      </c>
      <c r="W32" s="437">
        <f t="shared" si="3"/>
        <v>645.77052410350711</v>
      </c>
      <c r="X32" s="435">
        <f>+D32*30%</f>
        <v>18.2712</v>
      </c>
      <c r="Y32" s="436">
        <f>+V32*X32/10</f>
        <v>0.18271200000000001</v>
      </c>
      <c r="Z32" s="436">
        <f t="shared" si="10"/>
        <v>39.330007999999999</v>
      </c>
      <c r="AA32" s="433"/>
      <c r="AB32" s="442"/>
      <c r="AC32" s="433"/>
      <c r="AD32" s="433"/>
      <c r="AE32" s="433"/>
    </row>
    <row r="33" spans="1:31" ht="15.75" customHeight="1">
      <c r="A33" s="320">
        <f t="shared" si="11"/>
        <v>11</v>
      </c>
      <c r="B33" s="319" t="s">
        <v>253</v>
      </c>
      <c r="C33" s="320" t="s">
        <v>232</v>
      </c>
      <c r="D33" s="435"/>
      <c r="E33" s="435"/>
      <c r="F33" s="433"/>
      <c r="G33" s="433"/>
      <c r="H33" s="433"/>
      <c r="I33" s="433">
        <v>200</v>
      </c>
      <c r="J33" s="436">
        <v>6.2</v>
      </c>
      <c r="K33" s="433"/>
      <c r="L33" s="433"/>
      <c r="M33" s="433"/>
      <c r="N33" s="433">
        <v>30</v>
      </c>
      <c r="O33" s="433"/>
      <c r="P33" s="437"/>
      <c r="Q33" s="433"/>
      <c r="R33" s="433"/>
      <c r="S33" s="433"/>
      <c r="T33" s="433"/>
      <c r="U33" s="436"/>
      <c r="V33" s="436"/>
      <c r="W33" s="436"/>
      <c r="X33" s="436"/>
      <c r="Y33" s="436"/>
      <c r="Z33" s="436"/>
      <c r="AA33" s="433"/>
      <c r="AB33" s="434"/>
      <c r="AC33" s="433"/>
      <c r="AD33" s="433"/>
      <c r="AE33" s="433"/>
    </row>
    <row r="34" spans="1:31" ht="15.75" customHeight="1">
      <c r="A34" s="320">
        <f t="shared" si="11"/>
        <v>12</v>
      </c>
      <c r="B34" s="319" t="s">
        <v>254</v>
      </c>
      <c r="C34" s="320" t="s">
        <v>232</v>
      </c>
      <c r="D34" s="435"/>
      <c r="E34" s="435"/>
      <c r="F34" s="433"/>
      <c r="G34" s="433"/>
      <c r="H34" s="433"/>
      <c r="I34" s="433">
        <v>200</v>
      </c>
      <c r="J34" s="436">
        <v>6.2</v>
      </c>
      <c r="K34" s="433"/>
      <c r="L34" s="433"/>
      <c r="M34" s="433"/>
      <c r="N34" s="433">
        <v>30</v>
      </c>
      <c r="O34" s="433"/>
      <c r="P34" s="437"/>
      <c r="Q34" s="433"/>
      <c r="R34" s="433"/>
      <c r="S34" s="433"/>
      <c r="T34" s="433"/>
      <c r="U34" s="436"/>
      <c r="V34" s="436"/>
      <c r="W34" s="436"/>
      <c r="X34" s="436"/>
      <c r="Y34" s="436"/>
      <c r="Z34" s="436"/>
      <c r="AA34" s="433"/>
      <c r="AB34" s="434"/>
      <c r="AC34" s="433"/>
      <c r="AD34" s="433"/>
      <c r="AE34" s="433"/>
    </row>
    <row r="35" spans="1:31" ht="15.75" customHeight="1">
      <c r="A35" s="320">
        <f t="shared" si="11"/>
        <v>13</v>
      </c>
      <c r="B35" s="319" t="s">
        <v>255</v>
      </c>
      <c r="C35" s="320" t="s">
        <v>232</v>
      </c>
      <c r="D35" s="435"/>
      <c r="E35" s="435"/>
      <c r="F35" s="433"/>
      <c r="G35" s="433"/>
      <c r="H35" s="433"/>
      <c r="I35" s="433">
        <v>200</v>
      </c>
      <c r="J35" s="436">
        <v>6.2</v>
      </c>
      <c r="K35" s="433"/>
      <c r="L35" s="433"/>
      <c r="M35" s="433"/>
      <c r="N35" s="433">
        <v>30</v>
      </c>
      <c r="O35" s="433"/>
      <c r="P35" s="437"/>
      <c r="Q35" s="433"/>
      <c r="R35" s="433"/>
      <c r="S35" s="433"/>
      <c r="T35" s="433"/>
      <c r="U35" s="433"/>
      <c r="V35" s="436"/>
      <c r="W35" s="433"/>
      <c r="X35" s="433"/>
      <c r="Y35" s="433"/>
      <c r="Z35" s="433"/>
      <c r="AA35" s="433"/>
      <c r="AB35" s="434"/>
      <c r="AC35" s="433"/>
      <c r="AD35" s="433"/>
      <c r="AE35" s="433"/>
    </row>
    <row r="36" spans="1:31" ht="15.75" customHeight="1">
      <c r="A36" s="320"/>
      <c r="B36" s="328" t="s">
        <v>256</v>
      </c>
      <c r="C36" s="328"/>
      <c r="D36" s="438">
        <f>D19+D24+SUM(D25:D35)</f>
        <v>2483.5770000000002</v>
      </c>
      <c r="E36" s="435"/>
      <c r="F36" s="439">
        <f>F19+F24+SUM(F25:F35)</f>
        <v>2040888</v>
      </c>
      <c r="G36" s="439">
        <f>G19+G24+SUM(G25:G35)</f>
        <v>2516166</v>
      </c>
      <c r="H36" s="439">
        <f>H19+H24+SUM(H25:H35)</f>
        <v>465209</v>
      </c>
      <c r="I36" s="433"/>
      <c r="J36" s="436"/>
      <c r="K36" s="433"/>
      <c r="L36" s="433"/>
      <c r="M36" s="433"/>
      <c r="N36" s="433"/>
      <c r="O36" s="433"/>
      <c r="P36" s="439">
        <f>+U36/D36*1000</f>
        <v>508.09342252828196</v>
      </c>
      <c r="Q36" s="441">
        <f>Q19+Q24+SUM(Q25:Q35)</f>
        <v>0</v>
      </c>
      <c r="R36" s="441">
        <f>R19+R24+SUM(R25:R35)</f>
        <v>1178.2781120425227</v>
      </c>
      <c r="S36" s="441">
        <f>S19+S24+SUM(S25:S35)</f>
        <v>83.611025999999995</v>
      </c>
      <c r="T36" s="441">
        <f>T19+T24+SUM(T25:T35)</f>
        <v>0</v>
      </c>
      <c r="U36" s="441">
        <f>U19+U24+SUM(U25:U35)</f>
        <v>1261.889138042523</v>
      </c>
      <c r="V36" s="436"/>
      <c r="W36" s="439">
        <f>+Z36/D36*1000</f>
        <v>502.11022911048167</v>
      </c>
      <c r="X36" s="433"/>
      <c r="Y36" s="441">
        <f>Y19+Y24+SUM(Y25:Y35)</f>
        <v>14.859721559</v>
      </c>
      <c r="Z36" s="441">
        <f>Z19+Z24+SUM(Z25:Z35)</f>
        <v>1247.0294164835227</v>
      </c>
      <c r="AA36" s="433"/>
      <c r="AB36" s="434"/>
      <c r="AC36" s="441">
        <f>AC19+AC24+SUM(AC25:AC35)</f>
        <v>46.559945081700917</v>
      </c>
      <c r="AD36" s="439">
        <f>(Z36+AC36)/D36*1000</f>
        <v>520.85736080066113</v>
      </c>
      <c r="AE36" s="433"/>
    </row>
    <row r="37" spans="1:31" ht="15.75" customHeight="1">
      <c r="A37" s="319"/>
      <c r="B37" s="317" t="s">
        <v>257</v>
      </c>
      <c r="C37" s="320"/>
      <c r="D37" s="435"/>
      <c r="E37" s="435"/>
      <c r="F37" s="433"/>
      <c r="G37" s="433"/>
      <c r="H37" s="433"/>
      <c r="I37" s="433"/>
      <c r="J37" s="436"/>
      <c r="K37" s="433"/>
      <c r="L37" s="433"/>
      <c r="M37" s="433"/>
      <c r="N37" s="433"/>
      <c r="O37" s="433"/>
      <c r="P37" s="433"/>
      <c r="Q37" s="433"/>
      <c r="R37" s="433"/>
      <c r="S37" s="433"/>
      <c r="T37" s="433"/>
      <c r="U37" s="433"/>
      <c r="V37" s="436"/>
      <c r="W37" s="433"/>
      <c r="X37" s="433"/>
      <c r="Y37" s="433"/>
      <c r="Z37" s="433"/>
      <c r="AA37" s="433"/>
      <c r="AB37" s="222"/>
      <c r="AC37" s="433"/>
      <c r="AD37" s="433"/>
      <c r="AE37" s="433"/>
    </row>
    <row r="38" spans="1:31" ht="15.75" customHeight="1">
      <c r="A38" s="320">
        <v>13</v>
      </c>
      <c r="B38" s="319" t="s">
        <v>258</v>
      </c>
      <c r="C38" s="320" t="s">
        <v>259</v>
      </c>
      <c r="D38" s="435">
        <f>+'[18]T-1'!Q34</f>
        <v>17.225000000000001</v>
      </c>
      <c r="E38" s="435">
        <f>+D38*0.5%</f>
        <v>8.6125000000000007E-2</v>
      </c>
      <c r="F38" s="433">
        <f>+'[18]T-1'!G34</f>
        <v>26</v>
      </c>
      <c r="G38" s="433">
        <f>+'[18]T-1'!H34</f>
        <v>9826</v>
      </c>
      <c r="H38" s="433"/>
      <c r="I38" s="433">
        <v>20</v>
      </c>
      <c r="J38" s="436">
        <v>4.9000000000000004</v>
      </c>
      <c r="K38" s="433"/>
      <c r="L38" s="433"/>
      <c r="M38" s="433"/>
      <c r="N38" s="433">
        <v>250</v>
      </c>
      <c r="O38" s="433"/>
      <c r="P38" s="437">
        <f t="shared" ref="P38:P53" si="12">+U38/D38*1000</f>
        <v>496.40546879535566</v>
      </c>
      <c r="Q38" s="436">
        <f>G38*I38*80%/10^7*12</f>
        <v>0.18865919999999997</v>
      </c>
      <c r="R38" s="436">
        <f>((D38*J38)-(D38*0.25*0.2))/10</f>
        <v>8.3541250000000016</v>
      </c>
      <c r="S38" s="433"/>
      <c r="T38" s="436">
        <f t="shared" ref="T38:T52" si="13">(F38*N38*12)/10^7</f>
        <v>7.7999999999999996E-3</v>
      </c>
      <c r="U38" s="436">
        <f t="shared" ref="U38:U52" si="14">SUM(Q38:T38)</f>
        <v>8.5505842000000012</v>
      </c>
      <c r="V38" s="436">
        <v>0.1</v>
      </c>
      <c r="W38" s="437">
        <f t="shared" ref="W38:W53" si="15">+Z38/D38*1000</f>
        <v>486.80546879535564</v>
      </c>
      <c r="X38" s="435">
        <f>+D38*96%</f>
        <v>16.536000000000001</v>
      </c>
      <c r="Y38" s="436">
        <f>+V38*X38/10</f>
        <v>0.16536000000000001</v>
      </c>
      <c r="Z38" s="436">
        <f t="shared" ref="Z38:Z53" si="16">+U38-Y38</f>
        <v>8.3852242000000015</v>
      </c>
      <c r="AA38" s="433"/>
      <c r="AB38" s="222">
        <v>0.08</v>
      </c>
      <c r="AC38" s="436">
        <f t="shared" ref="AC38:AC45" si="17">+R38*AB38</f>
        <v>0.66833000000000009</v>
      </c>
      <c r="AD38" s="437">
        <f t="shared" ref="AD38:AD45" si="18">(Z38+AC38)/D38*1000</f>
        <v>525.60546879535559</v>
      </c>
      <c r="AE38" s="433"/>
    </row>
    <row r="39" spans="1:31" ht="15.75" customHeight="1">
      <c r="A39" s="320">
        <f t="shared" ref="A39:A52" si="19">A38+1</f>
        <v>14</v>
      </c>
      <c r="B39" s="319" t="s">
        <v>245</v>
      </c>
      <c r="C39" s="320" t="s">
        <v>259</v>
      </c>
      <c r="D39" s="435">
        <f>+'[18]T-1'!Q35</f>
        <v>4.681</v>
      </c>
      <c r="E39" s="435">
        <f>+D39*0%</f>
        <v>0</v>
      </c>
      <c r="F39" s="433">
        <f>+'[18]T-1'!G35</f>
        <v>9</v>
      </c>
      <c r="G39" s="433">
        <f>+'[18]T-1'!H35</f>
        <v>35524</v>
      </c>
      <c r="H39" s="433"/>
      <c r="I39" s="433">
        <v>0</v>
      </c>
      <c r="J39" s="436">
        <v>3.85</v>
      </c>
      <c r="K39" s="433"/>
      <c r="L39" s="433"/>
      <c r="M39" s="433"/>
      <c r="N39" s="433">
        <v>250</v>
      </c>
      <c r="O39" s="433"/>
      <c r="P39" s="437">
        <f t="shared" si="12"/>
        <v>382.57679982909639</v>
      </c>
      <c r="Q39" s="436">
        <f t="shared" ref="Q39:Q52" si="20">G39*I39*80%/10^7*12</f>
        <v>0</v>
      </c>
      <c r="R39" s="436">
        <f>((D39*J39)-(D39*0.15*0.2))/10</f>
        <v>1.7881420000000001</v>
      </c>
      <c r="S39" s="433"/>
      <c r="T39" s="436">
        <f t="shared" si="13"/>
        <v>2.7000000000000001E-3</v>
      </c>
      <c r="U39" s="436">
        <f t="shared" si="14"/>
        <v>1.790842</v>
      </c>
      <c r="V39" s="436">
        <v>0.1</v>
      </c>
      <c r="W39" s="437">
        <f t="shared" si="15"/>
        <v>372.57679982909639</v>
      </c>
      <c r="X39" s="435">
        <f>+D39*100%</f>
        <v>4.681</v>
      </c>
      <c r="Y39" s="436">
        <f>+V39*X39/10</f>
        <v>4.6810000000000004E-2</v>
      </c>
      <c r="Z39" s="436">
        <f t="shared" si="16"/>
        <v>1.744032</v>
      </c>
      <c r="AA39" s="433"/>
      <c r="AB39" s="443">
        <v>0.02</v>
      </c>
      <c r="AC39" s="436">
        <f t="shared" si="17"/>
        <v>3.5762840000000004E-2</v>
      </c>
      <c r="AD39" s="437">
        <f t="shared" si="18"/>
        <v>380.21679982909632</v>
      </c>
      <c r="AE39" s="433"/>
    </row>
    <row r="40" spans="1:31" ht="15.75" customHeight="1">
      <c r="A40" s="320">
        <f t="shared" si="19"/>
        <v>15</v>
      </c>
      <c r="B40" s="319" t="s">
        <v>246</v>
      </c>
      <c r="C40" s="320" t="s">
        <v>259</v>
      </c>
      <c r="D40" s="435">
        <f>+'[18]T-1'!Q36</f>
        <v>27.888000000000002</v>
      </c>
      <c r="E40" s="435">
        <f>+D40*0%</f>
        <v>0</v>
      </c>
      <c r="F40" s="433">
        <f>+'[18]T-1'!G36</f>
        <v>73</v>
      </c>
      <c r="G40" s="433">
        <f>+'[18]T-1'!H36</f>
        <v>18523</v>
      </c>
      <c r="H40" s="433"/>
      <c r="I40" s="433">
        <v>30</v>
      </c>
      <c r="J40" s="436">
        <v>1.5</v>
      </c>
      <c r="K40" s="433"/>
      <c r="L40" s="433"/>
      <c r="M40" s="433"/>
      <c r="N40" s="433">
        <v>250</v>
      </c>
      <c r="O40" s="433"/>
      <c r="P40" s="437">
        <f t="shared" si="12"/>
        <v>162.31402753872635</v>
      </c>
      <c r="Q40" s="436">
        <f t="shared" si="20"/>
        <v>0.5334624</v>
      </c>
      <c r="R40" s="436">
        <f>((D40*J40)-(D40*0.38*0.2))/10</f>
        <v>3.9712512000000002</v>
      </c>
      <c r="S40" s="433"/>
      <c r="T40" s="436">
        <f t="shared" si="13"/>
        <v>2.1899999999999999E-2</v>
      </c>
      <c r="U40" s="436">
        <f t="shared" si="14"/>
        <v>4.5266136000000001</v>
      </c>
      <c r="V40" s="436">
        <v>0.1</v>
      </c>
      <c r="W40" s="437">
        <f t="shared" si="15"/>
        <v>152.81402753872632</v>
      </c>
      <c r="X40" s="435">
        <f>+D40*95%</f>
        <v>26.493600000000001</v>
      </c>
      <c r="Y40" s="436">
        <f>+V40*X40/10</f>
        <v>0.264936</v>
      </c>
      <c r="Z40" s="436">
        <f t="shared" si="16"/>
        <v>4.2616776000000005</v>
      </c>
      <c r="AA40" s="433"/>
      <c r="AB40" s="443">
        <v>0.08</v>
      </c>
      <c r="AC40" s="436">
        <f t="shared" si="17"/>
        <v>0.31770009600000004</v>
      </c>
      <c r="AD40" s="437">
        <f t="shared" si="18"/>
        <v>164.20602753872635</v>
      </c>
      <c r="AE40" s="433"/>
    </row>
    <row r="41" spans="1:31" ht="15.75" customHeight="1">
      <c r="A41" s="320">
        <f t="shared" si="19"/>
        <v>16</v>
      </c>
      <c r="B41" s="319" t="s">
        <v>247</v>
      </c>
      <c r="C41" s="320" t="s">
        <v>259</v>
      </c>
      <c r="D41" s="435">
        <f>+'[18]T-1'!Q37</f>
        <v>43.787999999999997</v>
      </c>
      <c r="E41" s="435">
        <f>+D41*2%</f>
        <v>0.87575999999999998</v>
      </c>
      <c r="F41" s="433">
        <f>+'[18]T-1'!G37</f>
        <v>13</v>
      </c>
      <c r="G41" s="433">
        <f>+'[18]T-1'!H37</f>
        <v>8895</v>
      </c>
      <c r="H41" s="433"/>
      <c r="I41" s="433">
        <v>50</v>
      </c>
      <c r="J41" s="436">
        <v>3</v>
      </c>
      <c r="K41" s="433"/>
      <c r="L41" s="433"/>
      <c r="M41" s="433"/>
      <c r="N41" s="433">
        <v>250</v>
      </c>
      <c r="O41" s="433"/>
      <c r="P41" s="437">
        <f t="shared" si="12"/>
        <v>305.43968210468614</v>
      </c>
      <c r="Q41" s="436">
        <f t="shared" si="20"/>
        <v>0.42696000000000001</v>
      </c>
      <c r="R41" s="436">
        <f>((D41*J41)-(D41*0.22*0.2))/10</f>
        <v>12.943732799999998</v>
      </c>
      <c r="S41" s="433"/>
      <c r="T41" s="436">
        <f t="shared" si="13"/>
        <v>3.8999999999999998E-3</v>
      </c>
      <c r="U41" s="436">
        <f t="shared" si="14"/>
        <v>13.374592799999997</v>
      </c>
      <c r="V41" s="436"/>
      <c r="W41" s="437">
        <f t="shared" si="15"/>
        <v>302.38528528363929</v>
      </c>
      <c r="X41" s="433"/>
      <c r="Y41" s="436">
        <f>+U41*100%*0.01</f>
        <v>0.13374592799999996</v>
      </c>
      <c r="Z41" s="436">
        <f t="shared" si="16"/>
        <v>13.240846871999997</v>
      </c>
      <c r="AA41" s="433"/>
      <c r="AB41" s="443">
        <v>0.08</v>
      </c>
      <c r="AC41" s="436">
        <f t="shared" si="17"/>
        <v>1.0354986239999999</v>
      </c>
      <c r="AD41" s="437">
        <f t="shared" si="18"/>
        <v>326.03328528363932</v>
      </c>
      <c r="AE41" s="433"/>
    </row>
    <row r="42" spans="1:31" ht="15.75" customHeight="1">
      <c r="A42" s="320">
        <f t="shared" si="19"/>
        <v>17</v>
      </c>
      <c r="B42" s="319" t="s">
        <v>251</v>
      </c>
      <c r="C42" s="320" t="s">
        <v>259</v>
      </c>
      <c r="D42" s="435">
        <f>+'[18]T-1'!Q38</f>
        <v>17.266999999999999</v>
      </c>
      <c r="E42" s="435">
        <f>+D42*3.25%</f>
        <v>0.5611775</v>
      </c>
      <c r="F42" s="433">
        <f>+'[18]T-1'!G38</f>
        <v>46</v>
      </c>
      <c r="G42" s="433">
        <f>+'[18]T-1'!H38</f>
        <v>12679</v>
      </c>
      <c r="H42" s="433"/>
      <c r="I42" s="433">
        <v>250</v>
      </c>
      <c r="J42" s="436">
        <v>5.85</v>
      </c>
      <c r="K42" s="433">
        <v>4.75</v>
      </c>
      <c r="L42" s="433"/>
      <c r="M42" s="433"/>
      <c r="N42" s="433">
        <v>250</v>
      </c>
      <c r="O42" s="433"/>
      <c r="P42" s="437">
        <f t="shared" si="12"/>
        <v>754.25401488388263</v>
      </c>
      <c r="Q42" s="436">
        <f t="shared" si="20"/>
        <v>3.0429600000000003</v>
      </c>
      <c r="R42" s="436">
        <f>(((D42-E42)*J42)+(E42*K42)-(D42*0.21*0.2))/10</f>
        <v>9.9669440750000007</v>
      </c>
      <c r="S42" s="433"/>
      <c r="T42" s="436">
        <f t="shared" si="13"/>
        <v>1.38E-2</v>
      </c>
      <c r="U42" s="436">
        <f t="shared" si="14"/>
        <v>13.023704075000001</v>
      </c>
      <c r="V42" s="436"/>
      <c r="W42" s="437">
        <f t="shared" si="15"/>
        <v>748.21998276481145</v>
      </c>
      <c r="X42" s="433"/>
      <c r="Y42" s="436">
        <f>+U42*80%*0.01</f>
        <v>0.10418963260000003</v>
      </c>
      <c r="Z42" s="436">
        <f t="shared" si="16"/>
        <v>12.919514442400001</v>
      </c>
      <c r="AA42" s="433"/>
      <c r="AB42" s="222">
        <v>0.08</v>
      </c>
      <c r="AC42" s="436">
        <f t="shared" si="17"/>
        <v>0.79735552600000004</v>
      </c>
      <c r="AD42" s="437">
        <f t="shared" si="18"/>
        <v>794.39798276481156</v>
      </c>
      <c r="AE42" s="433"/>
    </row>
    <row r="43" spans="1:31" ht="15.75" customHeight="1">
      <c r="A43" s="320">
        <f t="shared" si="19"/>
        <v>18</v>
      </c>
      <c r="B43" s="319" t="s">
        <v>260</v>
      </c>
      <c r="C43" s="320" t="s">
        <v>259</v>
      </c>
      <c r="D43" s="435"/>
      <c r="E43" s="435"/>
      <c r="F43" s="433"/>
      <c r="G43" s="433"/>
      <c r="H43" s="433"/>
      <c r="I43" s="433">
        <v>250</v>
      </c>
      <c r="J43" s="436">
        <v>5.85</v>
      </c>
      <c r="K43" s="433">
        <v>4.75</v>
      </c>
      <c r="L43" s="433"/>
      <c r="M43" s="433"/>
      <c r="N43" s="433">
        <v>250</v>
      </c>
      <c r="O43" s="433"/>
      <c r="P43" s="437" t="e">
        <f t="shared" si="12"/>
        <v>#DIV/0!</v>
      </c>
      <c r="Q43" s="436">
        <f t="shared" si="20"/>
        <v>0</v>
      </c>
      <c r="R43" s="433"/>
      <c r="S43" s="433"/>
      <c r="T43" s="436">
        <f t="shared" si="13"/>
        <v>0</v>
      </c>
      <c r="U43" s="436">
        <f t="shared" si="14"/>
        <v>0</v>
      </c>
      <c r="V43" s="436">
        <v>0.1</v>
      </c>
      <c r="W43" s="437" t="e">
        <f t="shared" si="15"/>
        <v>#DIV/0!</v>
      </c>
      <c r="X43" s="435">
        <f>+D43*95%</f>
        <v>0</v>
      </c>
      <c r="Y43" s="436">
        <f>+V43*X43/10</f>
        <v>0</v>
      </c>
      <c r="Z43" s="436">
        <f t="shared" si="16"/>
        <v>0</v>
      </c>
      <c r="AA43" s="433"/>
      <c r="AB43" s="222">
        <v>0.08</v>
      </c>
      <c r="AC43" s="436">
        <f t="shared" si="17"/>
        <v>0</v>
      </c>
      <c r="AD43" s="437" t="e">
        <f t="shared" si="18"/>
        <v>#DIV/0!</v>
      </c>
      <c r="AE43" s="433"/>
    </row>
    <row r="44" spans="1:31" ht="15.75" customHeight="1">
      <c r="A44" s="320">
        <f t="shared" si="19"/>
        <v>19</v>
      </c>
      <c r="B44" s="319" t="s">
        <v>254</v>
      </c>
      <c r="C44" s="320"/>
      <c r="D44" s="435">
        <f>+'[18]T-1'!Q40</f>
        <v>63.767000000000003</v>
      </c>
      <c r="E44" s="435">
        <f>+D44*2.5%</f>
        <v>1.5941750000000001</v>
      </c>
      <c r="F44" s="433">
        <f>+'[18]T-1'!G40</f>
        <v>127</v>
      </c>
      <c r="G44" s="433">
        <f>+'[18]T-1'!H40</f>
        <v>33547</v>
      </c>
      <c r="H44" s="433"/>
      <c r="I44" s="433">
        <v>250</v>
      </c>
      <c r="J44" s="436">
        <v>5.85</v>
      </c>
      <c r="K44" s="433">
        <v>4.75</v>
      </c>
      <c r="L44" s="433"/>
      <c r="M44" s="433"/>
      <c r="N44" s="433">
        <v>250</v>
      </c>
      <c r="O44" s="433"/>
      <c r="P44" s="437">
        <f t="shared" si="12"/>
        <v>704.90840638574798</v>
      </c>
      <c r="Q44" s="436">
        <f t="shared" si="20"/>
        <v>8.0512800000000002</v>
      </c>
      <c r="R44" s="436">
        <f>(((D44-E44)*J44)+(E44*K44)-(D44*0.21*0.2))/10</f>
        <v>36.860514349999995</v>
      </c>
      <c r="S44" s="433"/>
      <c r="T44" s="436">
        <f t="shared" si="13"/>
        <v>3.8100000000000002E-2</v>
      </c>
      <c r="U44" s="436">
        <f t="shared" si="14"/>
        <v>44.949894349999994</v>
      </c>
      <c r="V44" s="436"/>
      <c r="W44" s="437">
        <f t="shared" si="15"/>
        <v>698.21177652508334</v>
      </c>
      <c r="X44" s="433"/>
      <c r="Y44" s="436">
        <f>+U44*95%*0.01</f>
        <v>0.42702399632499993</v>
      </c>
      <c r="Z44" s="436">
        <f t="shared" si="16"/>
        <v>44.522870353674996</v>
      </c>
      <c r="AA44" s="433"/>
      <c r="AB44" s="222">
        <v>0.08</v>
      </c>
      <c r="AC44" s="436">
        <f t="shared" si="17"/>
        <v>2.9488411479999996</v>
      </c>
      <c r="AD44" s="437">
        <f t="shared" si="18"/>
        <v>744.45577652508348</v>
      </c>
      <c r="AE44" s="433"/>
    </row>
    <row r="45" spans="1:31" ht="15.75" customHeight="1">
      <c r="A45" s="320">
        <f t="shared" si="19"/>
        <v>20</v>
      </c>
      <c r="B45" s="319" t="s">
        <v>261</v>
      </c>
      <c r="C45" s="320" t="s">
        <v>259</v>
      </c>
      <c r="D45" s="435"/>
      <c r="E45" s="435"/>
      <c r="F45" s="433"/>
      <c r="G45" s="433"/>
      <c r="H45" s="433"/>
      <c r="I45" s="433">
        <v>150</v>
      </c>
      <c r="J45" s="436">
        <v>5.85</v>
      </c>
      <c r="K45" s="433">
        <v>4.75</v>
      </c>
      <c r="L45" s="433"/>
      <c r="M45" s="433"/>
      <c r="N45" s="433">
        <v>250</v>
      </c>
      <c r="O45" s="433"/>
      <c r="P45" s="437" t="e">
        <f t="shared" si="12"/>
        <v>#DIV/0!</v>
      </c>
      <c r="Q45" s="436">
        <f t="shared" si="20"/>
        <v>0</v>
      </c>
      <c r="R45" s="433"/>
      <c r="S45" s="433"/>
      <c r="T45" s="436">
        <f t="shared" si="13"/>
        <v>0</v>
      </c>
      <c r="U45" s="436">
        <f t="shared" si="14"/>
        <v>0</v>
      </c>
      <c r="V45" s="436"/>
      <c r="W45" s="437" t="e">
        <f t="shared" si="15"/>
        <v>#DIV/0!</v>
      </c>
      <c r="X45" s="436"/>
      <c r="Y45" s="436"/>
      <c r="Z45" s="436">
        <f t="shared" si="16"/>
        <v>0</v>
      </c>
      <c r="AA45" s="433"/>
      <c r="AB45" s="222">
        <v>0.08</v>
      </c>
      <c r="AC45" s="436">
        <f t="shared" si="17"/>
        <v>0</v>
      </c>
      <c r="AD45" s="437" t="e">
        <f t="shared" si="18"/>
        <v>#DIV/0!</v>
      </c>
      <c r="AE45" s="433"/>
    </row>
    <row r="46" spans="1:31" ht="15.75" customHeight="1">
      <c r="A46" s="320">
        <f t="shared" si="19"/>
        <v>21</v>
      </c>
      <c r="B46" s="319" t="s">
        <v>262</v>
      </c>
      <c r="C46" s="320" t="s">
        <v>259</v>
      </c>
      <c r="D46" s="435">
        <f>+'[18]T-1'!Q42</f>
        <v>16.838000000000001</v>
      </c>
      <c r="E46" s="435">
        <f>+D46*1%</f>
        <v>0.16838</v>
      </c>
      <c r="F46" s="433">
        <f>+'[18]T-1'!G42</f>
        <v>20</v>
      </c>
      <c r="G46" s="433">
        <f>+'[18]T-1'!H42</f>
        <v>7046</v>
      </c>
      <c r="H46" s="433"/>
      <c r="I46" s="433">
        <v>250</v>
      </c>
      <c r="J46" s="436">
        <v>5.85</v>
      </c>
      <c r="K46" s="433">
        <v>4.75</v>
      </c>
      <c r="L46" s="433"/>
      <c r="M46" s="433"/>
      <c r="N46" s="433">
        <v>250</v>
      </c>
      <c r="O46" s="433"/>
      <c r="P46" s="437">
        <f t="shared" si="12"/>
        <v>679.68631666468707</v>
      </c>
      <c r="Q46" s="436">
        <f t="shared" si="20"/>
        <v>1.6910399999999999</v>
      </c>
      <c r="R46" s="436">
        <f>(((D46-E46)*J46)+(E46*K46)-(D46*0.25*0.2))/10</f>
        <v>9.7475182000000018</v>
      </c>
      <c r="S46" s="433"/>
      <c r="T46" s="436">
        <f t="shared" si="13"/>
        <v>6.0000000000000001E-3</v>
      </c>
      <c r="U46" s="436">
        <f t="shared" si="14"/>
        <v>11.444558200000001</v>
      </c>
      <c r="V46" s="436">
        <v>0.1</v>
      </c>
      <c r="W46" s="437">
        <f t="shared" si="15"/>
        <v>670.68631666468718</v>
      </c>
      <c r="X46" s="435">
        <f>+D46*90%</f>
        <v>15.154200000000001</v>
      </c>
      <c r="Y46" s="436">
        <f>+V46*X46/10</f>
        <v>0.15154200000000001</v>
      </c>
      <c r="Z46" s="436">
        <f t="shared" si="16"/>
        <v>11.293016200000002</v>
      </c>
      <c r="AA46" s="433"/>
      <c r="AB46" s="436"/>
      <c r="AC46" s="433"/>
      <c r="AD46" s="433"/>
      <c r="AE46" s="433"/>
    </row>
    <row r="47" spans="1:31" ht="15.75" customHeight="1">
      <c r="A47" s="320">
        <f t="shared" si="19"/>
        <v>22</v>
      </c>
      <c r="B47" s="319" t="s">
        <v>255</v>
      </c>
      <c r="C47" s="320" t="s">
        <v>259</v>
      </c>
      <c r="D47" s="435">
        <f>+'[18]T-1'!Q43</f>
        <v>507.65199999999999</v>
      </c>
      <c r="E47" s="435">
        <f>+D47*9.75%</f>
        <v>49.496070000000003</v>
      </c>
      <c r="F47" s="433">
        <f>+'[18]T-1'!G43</f>
        <v>342</v>
      </c>
      <c r="G47" s="433">
        <f>+'[18]T-1'!H43</f>
        <v>185007</v>
      </c>
      <c r="H47" s="433"/>
      <c r="I47" s="433">
        <v>250</v>
      </c>
      <c r="J47" s="436">
        <v>5.85</v>
      </c>
      <c r="K47" s="433">
        <v>4.75</v>
      </c>
      <c r="L47" s="433"/>
      <c r="M47" s="433"/>
      <c r="N47" s="433">
        <v>250</v>
      </c>
      <c r="O47" s="433"/>
      <c r="P47" s="437">
        <f t="shared" si="12"/>
        <v>656.94190567554142</v>
      </c>
      <c r="Q47" s="436">
        <f t="shared" si="20"/>
        <v>44.401679999999999</v>
      </c>
      <c r="R47" s="436">
        <f>((((D47-E47)*J47)+(E47*K47)-(D47*0.25*0.2))/10)</f>
        <v>288.99359229999999</v>
      </c>
      <c r="S47" s="433"/>
      <c r="T47" s="436">
        <f t="shared" si="13"/>
        <v>0.1026</v>
      </c>
      <c r="U47" s="436">
        <f t="shared" si="14"/>
        <v>333.49787229999998</v>
      </c>
      <c r="V47" s="436"/>
      <c r="W47" s="437">
        <f t="shared" si="15"/>
        <v>651.02942852446165</v>
      </c>
      <c r="X47" s="436"/>
      <c r="Y47" s="436">
        <f>+U47*90%*0.01</f>
        <v>3.0014808506999997</v>
      </c>
      <c r="Z47" s="436">
        <f t="shared" si="16"/>
        <v>330.49639144930001</v>
      </c>
      <c r="AA47" s="433"/>
      <c r="AB47" s="222">
        <v>0.08</v>
      </c>
      <c r="AC47" s="436">
        <f>+R47*AB47</f>
        <v>23.119487383999999</v>
      </c>
      <c r="AD47" s="437">
        <f>(Z47+AC47)/D47*1000</f>
        <v>696.57142852446179</v>
      </c>
      <c r="AE47" s="433"/>
    </row>
    <row r="48" spans="1:31" ht="15.75" customHeight="1">
      <c r="A48" s="320">
        <f t="shared" si="19"/>
        <v>23</v>
      </c>
      <c r="B48" s="319" t="s">
        <v>263</v>
      </c>
      <c r="C48" s="320" t="s">
        <v>259</v>
      </c>
      <c r="D48" s="435">
        <f>+'[18]T-1'!Q44</f>
        <v>6.9960000000000004</v>
      </c>
      <c r="E48" s="435">
        <f>+D48*9%</f>
        <v>0.62963999999999998</v>
      </c>
      <c r="F48" s="433">
        <f>+'[18]T-1'!G44</f>
        <v>1</v>
      </c>
      <c r="G48" s="433">
        <f>+'[18]T-1'!H44</f>
        <v>555</v>
      </c>
      <c r="H48" s="433"/>
      <c r="I48" s="433">
        <v>250</v>
      </c>
      <c r="J48" s="436">
        <v>5.85</v>
      </c>
      <c r="K48" s="433">
        <v>4.75</v>
      </c>
      <c r="L48" s="433"/>
      <c r="M48" s="433"/>
      <c r="N48" s="433">
        <v>250</v>
      </c>
      <c r="O48" s="433"/>
      <c r="P48" s="437">
        <f t="shared" si="12"/>
        <v>588.78233276157812</v>
      </c>
      <c r="Q48" s="436">
        <f t="shared" si="20"/>
        <v>0.13320000000000001</v>
      </c>
      <c r="R48" s="436">
        <f>(((D48-E48)*J48)+(E48*K48)-(D48*0.27*0.2))/10</f>
        <v>3.9856211999999998</v>
      </c>
      <c r="S48" s="433"/>
      <c r="T48" s="436">
        <f t="shared" si="13"/>
        <v>2.9999999999999997E-4</v>
      </c>
      <c r="U48" s="436">
        <f t="shared" si="14"/>
        <v>4.1191212000000004</v>
      </c>
      <c r="V48" s="436"/>
      <c r="W48" s="437">
        <f t="shared" si="15"/>
        <v>582.8945094339623</v>
      </c>
      <c r="X48" s="436"/>
      <c r="Y48" s="436">
        <f>+U48*0.01</f>
        <v>4.1191212000000005E-2</v>
      </c>
      <c r="Z48" s="436">
        <f t="shared" si="16"/>
        <v>4.0779299880000002</v>
      </c>
      <c r="AA48" s="433"/>
      <c r="AB48" s="222">
        <v>0.08</v>
      </c>
      <c r="AC48" s="436">
        <f>+R48*AB48</f>
        <v>0.31884969599999996</v>
      </c>
      <c r="AD48" s="437">
        <f>(Z48+AC48)/D48*1000</f>
        <v>628.47050943396221</v>
      </c>
      <c r="AE48" s="433"/>
    </row>
    <row r="49" spans="1:31" ht="15.75" customHeight="1">
      <c r="A49" s="320">
        <f t="shared" si="19"/>
        <v>24</v>
      </c>
      <c r="B49" s="319" t="s">
        <v>264</v>
      </c>
      <c r="C49" s="320" t="s">
        <v>259</v>
      </c>
      <c r="D49" s="435"/>
      <c r="E49" s="435"/>
      <c r="F49" s="433"/>
      <c r="G49" s="433"/>
      <c r="H49" s="433"/>
      <c r="I49" s="433">
        <v>250</v>
      </c>
      <c r="J49" s="436">
        <v>5.85</v>
      </c>
      <c r="K49" s="433">
        <v>4.75</v>
      </c>
      <c r="L49" s="433"/>
      <c r="M49" s="433"/>
      <c r="N49" s="433">
        <v>250</v>
      </c>
      <c r="O49" s="433"/>
      <c r="P49" s="437" t="e">
        <f t="shared" si="12"/>
        <v>#DIV/0!</v>
      </c>
      <c r="Q49" s="436">
        <f t="shared" si="20"/>
        <v>0</v>
      </c>
      <c r="R49" s="433"/>
      <c r="S49" s="433"/>
      <c r="T49" s="436">
        <f t="shared" si="13"/>
        <v>0</v>
      </c>
      <c r="U49" s="436">
        <f t="shared" si="14"/>
        <v>0</v>
      </c>
      <c r="V49" s="436"/>
      <c r="W49" s="437" t="e">
        <f t="shared" si="15"/>
        <v>#DIV/0!</v>
      </c>
      <c r="X49" s="436"/>
      <c r="Y49" s="436"/>
      <c r="Z49" s="436">
        <f t="shared" si="16"/>
        <v>0</v>
      </c>
      <c r="AA49" s="433"/>
      <c r="AB49" s="222">
        <v>0.08</v>
      </c>
      <c r="AC49" s="436">
        <f>+R49*AB49</f>
        <v>0</v>
      </c>
      <c r="AD49" s="437" t="e">
        <f>(Z49+AC49)/D49*1000</f>
        <v>#DIV/0!</v>
      </c>
      <c r="AE49" s="433"/>
    </row>
    <row r="50" spans="1:31" ht="15.75" customHeight="1">
      <c r="A50" s="320">
        <f t="shared" si="19"/>
        <v>25</v>
      </c>
      <c r="B50" s="319" t="s">
        <v>265</v>
      </c>
      <c r="C50" s="320" t="s">
        <v>259</v>
      </c>
      <c r="D50" s="435"/>
      <c r="E50" s="435"/>
      <c r="F50" s="433"/>
      <c r="G50" s="433"/>
      <c r="H50" s="433"/>
      <c r="I50" s="433">
        <v>250</v>
      </c>
      <c r="J50" s="436">
        <v>5.85</v>
      </c>
      <c r="K50" s="433">
        <v>4.75</v>
      </c>
      <c r="L50" s="443"/>
      <c r="M50" s="443"/>
      <c r="N50" s="433">
        <v>250</v>
      </c>
      <c r="O50" s="433"/>
      <c r="P50" s="437" t="e">
        <f t="shared" si="12"/>
        <v>#DIV/0!</v>
      </c>
      <c r="Q50" s="436">
        <f t="shared" si="20"/>
        <v>0</v>
      </c>
      <c r="R50" s="433"/>
      <c r="S50" s="433"/>
      <c r="T50" s="436">
        <f t="shared" si="13"/>
        <v>0</v>
      </c>
      <c r="U50" s="436">
        <f t="shared" si="14"/>
        <v>0</v>
      </c>
      <c r="V50" s="436"/>
      <c r="W50" s="437" t="e">
        <f t="shared" si="15"/>
        <v>#DIV/0!</v>
      </c>
      <c r="X50" s="436"/>
      <c r="Y50" s="436"/>
      <c r="Z50" s="436">
        <f t="shared" si="16"/>
        <v>0</v>
      </c>
      <c r="AA50" s="433"/>
      <c r="AB50" s="444"/>
      <c r="AC50" s="433"/>
      <c r="AD50" s="433"/>
      <c r="AE50" s="433"/>
    </row>
    <row r="51" spans="1:31" ht="15.75" customHeight="1">
      <c r="A51" s="320">
        <f t="shared" si="19"/>
        <v>26</v>
      </c>
      <c r="B51" s="319" t="s">
        <v>266</v>
      </c>
      <c r="C51" s="320"/>
      <c r="D51" s="435">
        <f>+'[18]T-1'!Q47</f>
        <v>0.38700000000000001</v>
      </c>
      <c r="E51" s="435">
        <f>+D51*0%</f>
        <v>0</v>
      </c>
      <c r="F51" s="433">
        <f>+'[18]T-1'!G47</f>
        <v>2</v>
      </c>
      <c r="G51" s="433">
        <f>+'[18]T-1'!H47</f>
        <v>3100</v>
      </c>
      <c r="H51" s="433"/>
      <c r="I51" s="433"/>
      <c r="J51" s="436">
        <v>7.8</v>
      </c>
      <c r="K51" s="433"/>
      <c r="L51" s="433"/>
      <c r="M51" s="433"/>
      <c r="N51" s="433">
        <v>250</v>
      </c>
      <c r="O51" s="433"/>
      <c r="P51" s="437">
        <f t="shared" si="12"/>
        <v>781.55038759689921</v>
      </c>
      <c r="Q51" s="436">
        <f t="shared" si="20"/>
        <v>0</v>
      </c>
      <c r="R51" s="436">
        <f>(((D51-E51)*J51)+(E51*K51)-(D51*0*0.2))/10</f>
        <v>0.30186000000000002</v>
      </c>
      <c r="S51" s="433"/>
      <c r="T51" s="436">
        <f t="shared" si="13"/>
        <v>5.9999999999999995E-4</v>
      </c>
      <c r="U51" s="436">
        <f t="shared" si="14"/>
        <v>0.30246000000000001</v>
      </c>
      <c r="V51" s="436"/>
      <c r="W51" s="437">
        <f t="shared" si="15"/>
        <v>781.55038759689921</v>
      </c>
      <c r="X51" s="436"/>
      <c r="Y51" s="436"/>
      <c r="Z51" s="436">
        <f t="shared" si="16"/>
        <v>0.30246000000000001</v>
      </c>
      <c r="AA51" s="433"/>
      <c r="AB51" s="222">
        <v>0.08</v>
      </c>
      <c r="AC51" s="436">
        <f>+R51*AB51</f>
        <v>2.4148800000000002E-2</v>
      </c>
      <c r="AD51" s="437">
        <f>(Z51+AC51)/D51*1000</f>
        <v>843.9503875968993</v>
      </c>
      <c r="AE51" s="433"/>
    </row>
    <row r="52" spans="1:31" ht="15.75" customHeight="1">
      <c r="A52" s="320">
        <f t="shared" si="19"/>
        <v>27</v>
      </c>
      <c r="B52" s="319" t="s">
        <v>267</v>
      </c>
      <c r="C52" s="320" t="s">
        <v>259</v>
      </c>
      <c r="D52" s="435"/>
      <c r="E52" s="435"/>
      <c r="F52" s="433"/>
      <c r="G52" s="433"/>
      <c r="H52" s="433"/>
      <c r="I52" s="433"/>
      <c r="J52" s="436">
        <v>4.9000000000000004</v>
      </c>
      <c r="K52" s="433"/>
      <c r="L52" s="433"/>
      <c r="M52" s="433"/>
      <c r="N52" s="433"/>
      <c r="O52" s="433"/>
      <c r="P52" s="437" t="e">
        <f t="shared" si="12"/>
        <v>#DIV/0!</v>
      </c>
      <c r="Q52" s="436">
        <f t="shared" si="20"/>
        <v>0</v>
      </c>
      <c r="R52" s="433"/>
      <c r="S52" s="433"/>
      <c r="T52" s="436">
        <f t="shared" si="13"/>
        <v>0</v>
      </c>
      <c r="U52" s="436">
        <f t="shared" si="14"/>
        <v>0</v>
      </c>
      <c r="V52" s="436"/>
      <c r="W52" s="437" t="e">
        <f t="shared" si="15"/>
        <v>#DIV/0!</v>
      </c>
      <c r="X52" s="436"/>
      <c r="Y52" s="436"/>
      <c r="Z52" s="436">
        <f t="shared" si="16"/>
        <v>0</v>
      </c>
      <c r="AA52" s="433"/>
      <c r="AB52" s="222">
        <v>0.08</v>
      </c>
      <c r="AC52" s="436">
        <f>+R52*AB52</f>
        <v>0</v>
      </c>
      <c r="AD52" s="437" t="e">
        <f>(Z52+AC52)/D52*1000</f>
        <v>#DIV/0!</v>
      </c>
      <c r="AE52" s="433"/>
    </row>
    <row r="53" spans="1:31" s="330" customFormat="1" ht="15.75" customHeight="1">
      <c r="A53" s="327"/>
      <c r="B53" s="328" t="s">
        <v>256</v>
      </c>
      <c r="C53" s="327"/>
      <c r="D53" s="438">
        <f>SUM(D38:D52)</f>
        <v>706.48899999999992</v>
      </c>
      <c r="E53" s="438">
        <f>SUM(E38:E52)</f>
        <v>53.411327500000006</v>
      </c>
      <c r="F53" s="439">
        <f>SUM(F38:F52)</f>
        <v>659</v>
      </c>
      <c r="G53" s="439">
        <f>SUM(G38:G52)</f>
        <v>314702</v>
      </c>
      <c r="H53" s="440"/>
      <c r="I53" s="440"/>
      <c r="J53" s="441"/>
      <c r="K53" s="440"/>
      <c r="L53" s="440"/>
      <c r="M53" s="440"/>
      <c r="N53" s="440"/>
      <c r="O53" s="440"/>
      <c r="P53" s="439">
        <f t="shared" si="12"/>
        <v>616.54214393288498</v>
      </c>
      <c r="Q53" s="441">
        <f>SUM(Q38:Q52)</f>
        <v>58.469241600000004</v>
      </c>
      <c r="R53" s="441">
        <f>SUM(R38:R52)</f>
        <v>376.91330112499998</v>
      </c>
      <c r="S53" s="441">
        <f>SUM(S38:S52)</f>
        <v>0</v>
      </c>
      <c r="T53" s="441">
        <f>SUM(T38:T52)</f>
        <v>0.19769999999999999</v>
      </c>
      <c r="U53" s="441">
        <f>SUM(U38:U52)</f>
        <v>435.58024272499995</v>
      </c>
      <c r="V53" s="441"/>
      <c r="W53" s="439">
        <f t="shared" si="15"/>
        <v>610.40435605561447</v>
      </c>
      <c r="X53" s="441"/>
      <c r="Y53" s="441">
        <f>SUM(Y38:Y52)</f>
        <v>4.3362796196250004</v>
      </c>
      <c r="Z53" s="441">
        <f t="shared" si="16"/>
        <v>431.24396310537497</v>
      </c>
      <c r="AA53" s="440"/>
      <c r="AB53" s="440"/>
      <c r="AC53" s="441">
        <f>SUM(AC38:AC52)</f>
        <v>29.265974113999999</v>
      </c>
      <c r="AD53" s="439">
        <f>(Z53+AC53)/D53*1000</f>
        <v>651.82888511976137</v>
      </c>
      <c r="AE53" s="440"/>
    </row>
    <row r="54" spans="1:31" ht="15.75" customHeight="1">
      <c r="A54" s="319"/>
      <c r="B54" s="317" t="s">
        <v>268</v>
      </c>
      <c r="C54" s="320"/>
      <c r="D54" s="435"/>
      <c r="E54" s="435"/>
      <c r="F54" s="433"/>
      <c r="G54" s="433"/>
      <c r="H54" s="433"/>
      <c r="I54" s="433"/>
      <c r="J54" s="436"/>
      <c r="K54" s="433"/>
      <c r="L54" s="433"/>
      <c r="M54" s="433"/>
      <c r="N54" s="433"/>
      <c r="O54" s="433"/>
      <c r="P54" s="433"/>
      <c r="Q54" s="433"/>
      <c r="R54" s="433"/>
      <c r="S54" s="433"/>
      <c r="T54" s="433"/>
      <c r="U54" s="436"/>
      <c r="V54" s="436"/>
      <c r="W54" s="436"/>
      <c r="X54" s="436"/>
      <c r="Y54" s="436"/>
      <c r="Z54" s="436"/>
      <c r="AA54" s="433"/>
      <c r="AB54" s="433"/>
      <c r="AC54" s="433"/>
      <c r="AD54" s="433"/>
      <c r="AE54" s="433"/>
    </row>
    <row r="55" spans="1:31" ht="15.75" customHeight="1">
      <c r="A55" s="320">
        <f>A52+1</f>
        <v>28</v>
      </c>
      <c r="B55" s="319" t="s">
        <v>270</v>
      </c>
      <c r="C55" s="320" t="s">
        <v>271</v>
      </c>
      <c r="D55" s="435">
        <f>+'[18]T-1'!Q51</f>
        <v>91.917000000000002</v>
      </c>
      <c r="E55" s="435">
        <f>+D55*1.25%</f>
        <v>1.1489625000000001</v>
      </c>
      <c r="F55" s="433">
        <f>+'[18]T-1'!G51</f>
        <v>1</v>
      </c>
      <c r="G55" s="433">
        <f>+'[18]T-1'!H51</f>
        <v>20000</v>
      </c>
      <c r="H55" s="433"/>
      <c r="I55" s="433">
        <v>250</v>
      </c>
      <c r="J55" s="436">
        <v>5.8</v>
      </c>
      <c r="K55" s="433">
        <v>4.7</v>
      </c>
      <c r="L55" s="433"/>
      <c r="M55" s="433"/>
      <c r="N55" s="433">
        <v>700</v>
      </c>
      <c r="O55" s="433"/>
      <c r="P55" s="437">
        <f t="shared" ref="P55:P63" si="21">+U55/D55*1000</f>
        <v>624.85516416984876</v>
      </c>
      <c r="Q55" s="436">
        <f>G55*I55*80%/10^7*12</f>
        <v>4.8000000000000007</v>
      </c>
      <c r="R55" s="1711">
        <f>(((D55-E55)*J55)+(E55*K55)-(D55*0.3*0.2))/10</f>
        <v>52.633972125</v>
      </c>
      <c r="S55" s="433"/>
      <c r="T55" s="436">
        <f t="shared" ref="T55:T61" si="22">(F55*N55*12)/10^7</f>
        <v>8.4000000000000003E-4</v>
      </c>
      <c r="U55" s="436">
        <f t="shared" ref="U55:U61" si="23">SUM(Q55:T55)</f>
        <v>57.434812124999993</v>
      </c>
      <c r="V55" s="436"/>
      <c r="W55" s="437">
        <f t="shared" ref="W55:W61" si="24">+Z55/D55*1000</f>
        <v>618.60661252815032</v>
      </c>
      <c r="X55" s="433"/>
      <c r="Y55" s="436">
        <f>+U55*0.01</f>
        <v>0.5743481212499999</v>
      </c>
      <c r="Z55" s="436">
        <f t="shared" ref="Z55:Z61" si="25">+U55-Y55</f>
        <v>56.860464003749996</v>
      </c>
      <c r="AA55" s="433"/>
      <c r="AB55" s="443">
        <v>0.09</v>
      </c>
      <c r="AC55" s="436">
        <f>+R55*AB55</f>
        <v>4.7370574912499999</v>
      </c>
      <c r="AD55" s="437">
        <f>(Z55+AC55)/D55*1000</f>
        <v>670.14286252815032</v>
      </c>
      <c r="AE55" s="433"/>
    </row>
    <row r="56" spans="1:31" ht="15.75" customHeight="1">
      <c r="A56" s="320">
        <f t="shared" ref="A56:A62" si="26">A55+1</f>
        <v>29</v>
      </c>
      <c r="B56" s="319" t="s">
        <v>255</v>
      </c>
      <c r="C56" s="320" t="s">
        <v>271</v>
      </c>
      <c r="D56" s="435">
        <f>+'[18]T-1'!Q52</f>
        <v>2267.5839999999998</v>
      </c>
      <c r="E56" s="435">
        <f>+D56*17.5%</f>
        <v>396.82719999999995</v>
      </c>
      <c r="F56" s="433">
        <f>+'[18]T-1'!G52</f>
        <v>26</v>
      </c>
      <c r="G56" s="433">
        <f>+'[18]T-1'!H52</f>
        <v>495667</v>
      </c>
      <c r="H56" s="433"/>
      <c r="I56" s="433">
        <v>250</v>
      </c>
      <c r="J56" s="436">
        <v>5.8</v>
      </c>
      <c r="K56" s="433">
        <v>4.7</v>
      </c>
      <c r="L56" s="433"/>
      <c r="M56" s="433"/>
      <c r="N56" s="433">
        <v>700</v>
      </c>
      <c r="O56" s="433"/>
      <c r="P56" s="437">
        <f t="shared" si="21"/>
        <v>611.81761187237169</v>
      </c>
      <c r="Q56" s="436">
        <f>G56*I56*90%/10^7*12</f>
        <v>133.83009000000001</v>
      </c>
      <c r="R56" s="1711">
        <f>((((D56-E56)*J56)+((E56-10.52)*K56)+(10.52*5)-(D56*0.37*0.2))/10)-((D56*7%*0.1))/10</f>
        <v>1253.4958976</v>
      </c>
      <c r="S56" s="436"/>
      <c r="T56" s="436">
        <f t="shared" si="22"/>
        <v>2.1839999999999998E-2</v>
      </c>
      <c r="U56" s="436">
        <f t="shared" si="23"/>
        <v>1387.3478276000001</v>
      </c>
      <c r="V56" s="436"/>
      <c r="W56" s="437">
        <f t="shared" si="24"/>
        <v>606.00534455958416</v>
      </c>
      <c r="X56" s="436"/>
      <c r="Y56" s="436">
        <f>+U56*0.95*0.01</f>
        <v>13.179804362200001</v>
      </c>
      <c r="Z56" s="436">
        <f t="shared" si="25"/>
        <v>1374.1680232378001</v>
      </c>
      <c r="AA56" s="433"/>
      <c r="AB56" s="443">
        <v>0.09</v>
      </c>
      <c r="AC56" s="436">
        <f>+R56*AB56</f>
        <v>112.814630784</v>
      </c>
      <c r="AD56" s="437">
        <f>(Z56+AC56)/D56*1000</f>
        <v>655.75637066666559</v>
      </c>
      <c r="AE56" s="433"/>
    </row>
    <row r="57" spans="1:31" ht="15.75" customHeight="1">
      <c r="A57" s="320">
        <f t="shared" si="26"/>
        <v>30</v>
      </c>
      <c r="B57" s="319" t="s">
        <v>265</v>
      </c>
      <c r="C57" s="320" t="s">
        <v>271</v>
      </c>
      <c r="D57" s="435">
        <f>+'[18]T-1'!Q53</f>
        <v>482.38</v>
      </c>
      <c r="E57" s="435">
        <f>+D57*0%</f>
        <v>0</v>
      </c>
      <c r="F57" s="433">
        <f>+'[18]T-1'!G53</f>
        <v>8</v>
      </c>
      <c r="G57" s="433">
        <f>+'[18]T-1'!H53</f>
        <v>151000</v>
      </c>
      <c r="H57" s="433"/>
      <c r="I57" s="433">
        <v>250</v>
      </c>
      <c r="J57" s="436">
        <v>5.8</v>
      </c>
      <c r="K57" s="433">
        <v>4.7</v>
      </c>
      <c r="L57" s="433"/>
      <c r="M57" s="433"/>
      <c r="N57" s="433">
        <v>700</v>
      </c>
      <c r="O57" s="433"/>
      <c r="P57" s="437">
        <f t="shared" si="21"/>
        <v>659.83689207678583</v>
      </c>
      <c r="Q57" s="436">
        <f>G57*I57*85%/10^7*12</f>
        <v>38.505000000000003</v>
      </c>
      <c r="R57" s="1711">
        <f>(((D57-E57)*J57)+(E57*K57)-(D57*0*0.2))/10</f>
        <v>279.78039999999999</v>
      </c>
      <c r="S57" s="436"/>
      <c r="T57" s="436">
        <f t="shared" si="22"/>
        <v>6.7200000000000003E-3</v>
      </c>
      <c r="U57" s="436">
        <f t="shared" si="23"/>
        <v>318.29211999999995</v>
      </c>
      <c r="V57" s="436"/>
      <c r="W57" s="437">
        <f t="shared" si="24"/>
        <v>653.23852315601789</v>
      </c>
      <c r="X57" s="436"/>
      <c r="Y57" s="436">
        <f>+U57*0.01</f>
        <v>3.1829211999999996</v>
      </c>
      <c r="Z57" s="436">
        <f t="shared" si="25"/>
        <v>315.10919879999994</v>
      </c>
      <c r="AA57" s="433"/>
      <c r="AB57" s="443"/>
      <c r="AC57" s="433"/>
      <c r="AD57" s="433"/>
      <c r="AE57" s="433"/>
    </row>
    <row r="58" spans="1:31" ht="15.75" customHeight="1">
      <c r="A58" s="320">
        <f t="shared" si="26"/>
        <v>31</v>
      </c>
      <c r="B58" s="319" t="s">
        <v>276</v>
      </c>
      <c r="C58" s="320" t="s">
        <v>271</v>
      </c>
      <c r="D58" s="435">
        <f>+'[18]T-1'!Q54</f>
        <v>378.65800000000002</v>
      </c>
      <c r="E58" s="435">
        <f>+D58*25%</f>
        <v>94.664500000000004</v>
      </c>
      <c r="F58" s="433">
        <f>+'[18]T-1'!G54</f>
        <v>1</v>
      </c>
      <c r="G58" s="433">
        <f>+'[18]T-1'!H54</f>
        <v>16667</v>
      </c>
      <c r="H58" s="433"/>
      <c r="I58" s="433">
        <v>250</v>
      </c>
      <c r="J58" s="436">
        <v>5.8</v>
      </c>
      <c r="K58" s="433">
        <v>4.7</v>
      </c>
      <c r="L58" s="445"/>
      <c r="M58" s="445"/>
      <c r="N58" s="433">
        <v>700</v>
      </c>
      <c r="O58" s="433"/>
      <c r="P58" s="437">
        <f t="shared" si="21"/>
        <v>557.60114456844974</v>
      </c>
      <c r="Q58" s="436">
        <f>G58*I58*90%/10^7*12</f>
        <v>4.5000900000000001</v>
      </c>
      <c r="R58" s="1711">
        <f>(((D58-E58)*J58)+((E58-10.282)*K58)+(10.282*5)-(D58*0.33*0.2)-(D58*10%*0.1))/10</f>
        <v>206.63920420000005</v>
      </c>
      <c r="S58" s="436"/>
      <c r="T58" s="436">
        <f t="shared" si="22"/>
        <v>8.4000000000000003E-4</v>
      </c>
      <c r="U58" s="436">
        <f t="shared" si="23"/>
        <v>211.14013420000006</v>
      </c>
      <c r="V58" s="436"/>
      <c r="W58" s="437">
        <f t="shared" si="24"/>
        <v>552.02513312276528</v>
      </c>
      <c r="X58" s="436"/>
      <c r="Y58" s="436">
        <f>+U58*0.01</f>
        <v>2.1114013420000006</v>
      </c>
      <c r="Z58" s="436">
        <f t="shared" si="25"/>
        <v>209.02873285800007</v>
      </c>
      <c r="AA58" s="433"/>
      <c r="AB58" s="443">
        <v>0.09</v>
      </c>
      <c r="AC58" s="436">
        <f>+R58*AB58</f>
        <v>18.597528378000003</v>
      </c>
      <c r="AD58" s="437">
        <f>(Z58+AC58)/D58*1000</f>
        <v>601.13944835709276</v>
      </c>
      <c r="AE58" s="433"/>
    </row>
    <row r="59" spans="1:31" ht="15.75" customHeight="1">
      <c r="A59" s="320">
        <f t="shared" si="26"/>
        <v>32</v>
      </c>
      <c r="B59" s="319" t="s">
        <v>263</v>
      </c>
      <c r="C59" s="320" t="s">
        <v>271</v>
      </c>
      <c r="D59" s="435">
        <f>+'[18]T-1'!Q55</f>
        <v>132.66300000000001</v>
      </c>
      <c r="E59" s="435">
        <f>+D59*19%</f>
        <v>25.205970000000001</v>
      </c>
      <c r="F59" s="433">
        <f>+'[18]T-1'!G55</f>
        <v>3</v>
      </c>
      <c r="G59" s="433">
        <f>+'[18]T-1'!H55</f>
        <v>35000</v>
      </c>
      <c r="H59" s="433"/>
      <c r="I59" s="433">
        <v>250</v>
      </c>
      <c r="J59" s="436">
        <v>5.8</v>
      </c>
      <c r="K59" s="433">
        <v>4.7</v>
      </c>
      <c r="L59" s="445"/>
      <c r="M59" s="445"/>
      <c r="N59" s="433">
        <v>700</v>
      </c>
      <c r="O59" s="433"/>
      <c r="P59" s="437">
        <f t="shared" si="21"/>
        <v>614.43732841862447</v>
      </c>
      <c r="Q59" s="436">
        <f t="shared" ref="Q59:Q60" si="27">G59*I59*80%/10^7*12</f>
        <v>8.3999999999999986</v>
      </c>
      <c r="R59" s="1711">
        <f>(((D59-E59)*J59)+((E59*K59)-(D59*0.35*0.2)-(D59*10%*0.1)))/10</f>
        <v>73.110579299999998</v>
      </c>
      <c r="S59" s="436"/>
      <c r="T59" s="436">
        <f t="shared" si="22"/>
        <v>2.5200000000000001E-3</v>
      </c>
      <c r="U59" s="436">
        <f t="shared" si="23"/>
        <v>81.513099299999993</v>
      </c>
      <c r="V59" s="436"/>
      <c r="W59" s="437">
        <f t="shared" si="24"/>
        <v>608.29295513443822</v>
      </c>
      <c r="X59" s="436"/>
      <c r="Y59" s="436">
        <f>+U59*0.01</f>
        <v>0.81513099299999991</v>
      </c>
      <c r="Z59" s="436">
        <f t="shared" si="25"/>
        <v>80.697968306999996</v>
      </c>
      <c r="AA59" s="433"/>
      <c r="AB59" s="443">
        <v>0.09</v>
      </c>
      <c r="AC59" s="436">
        <f>+R59*AB59</f>
        <v>6.5799521369999994</v>
      </c>
      <c r="AD59" s="437">
        <f>(Z59+AC59)/D59*1000</f>
        <v>657.89195513443826</v>
      </c>
      <c r="AE59" s="433"/>
    </row>
    <row r="60" spans="1:31" ht="15.75" customHeight="1">
      <c r="A60" s="320">
        <f t="shared" si="26"/>
        <v>33</v>
      </c>
      <c r="B60" s="319" t="s">
        <v>264</v>
      </c>
      <c r="C60" s="320" t="s">
        <v>271</v>
      </c>
      <c r="D60" s="435"/>
      <c r="E60" s="435"/>
      <c r="F60" s="433"/>
      <c r="G60" s="433"/>
      <c r="H60" s="433"/>
      <c r="I60" s="433">
        <v>250</v>
      </c>
      <c r="J60" s="436">
        <v>5.8</v>
      </c>
      <c r="K60" s="433">
        <v>4.7</v>
      </c>
      <c r="L60" s="433"/>
      <c r="M60" s="433"/>
      <c r="N60" s="433">
        <v>700</v>
      </c>
      <c r="O60" s="433"/>
      <c r="P60" s="437" t="e">
        <f t="shared" si="21"/>
        <v>#DIV/0!</v>
      </c>
      <c r="Q60" s="436">
        <f t="shared" si="27"/>
        <v>0</v>
      </c>
      <c r="R60" s="1711">
        <f>(((D60-E60)*J60)+(E60*K60)-(D60*0*0.2))/10</f>
        <v>0</v>
      </c>
      <c r="S60" s="436"/>
      <c r="T60" s="436">
        <f t="shared" si="22"/>
        <v>0</v>
      </c>
      <c r="U60" s="436">
        <f t="shared" si="23"/>
        <v>0</v>
      </c>
      <c r="V60" s="436"/>
      <c r="W60" s="437" t="e">
        <f t="shared" si="24"/>
        <v>#DIV/0!</v>
      </c>
      <c r="X60" s="436"/>
      <c r="Y60" s="436"/>
      <c r="Z60" s="436">
        <f t="shared" si="25"/>
        <v>0</v>
      </c>
      <c r="AA60" s="433"/>
      <c r="AB60" s="443">
        <v>0.09</v>
      </c>
      <c r="AC60" s="436">
        <f>+R60*AB60</f>
        <v>0</v>
      </c>
      <c r="AD60" s="437" t="e">
        <f>(Z60+AC60)/D60*1000</f>
        <v>#DIV/0!</v>
      </c>
      <c r="AE60" s="433"/>
    </row>
    <row r="61" spans="1:31" ht="15.75" customHeight="1">
      <c r="A61" s="320">
        <f t="shared" si="26"/>
        <v>34</v>
      </c>
      <c r="B61" s="319" t="s">
        <v>280</v>
      </c>
      <c r="C61" s="320" t="s">
        <v>271</v>
      </c>
      <c r="D61" s="435">
        <f>+'[18]T-1'!Q57</f>
        <v>0.41</v>
      </c>
      <c r="E61" s="435">
        <f>+D61*0%</f>
        <v>0</v>
      </c>
      <c r="F61" s="433">
        <f>+'[18]T-1'!G57</f>
        <v>2</v>
      </c>
      <c r="G61" s="433">
        <f>+'[18]T-1'!H57</f>
        <v>13333</v>
      </c>
      <c r="H61" s="433"/>
      <c r="I61" s="433"/>
      <c r="J61" s="436">
        <v>7.7</v>
      </c>
      <c r="K61" s="433"/>
      <c r="L61" s="433"/>
      <c r="M61" s="433"/>
      <c r="N61" s="433">
        <v>700</v>
      </c>
      <c r="O61" s="433"/>
      <c r="P61" s="437">
        <f t="shared" si="21"/>
        <v>774.09756097560978</v>
      </c>
      <c r="Q61" s="436"/>
      <c r="R61" s="436">
        <f>(((D61-E61)*J61)+(E61*K61)-(D61*0*0.2))/10</f>
        <v>0.31569999999999998</v>
      </c>
      <c r="S61" s="436"/>
      <c r="T61" s="436">
        <f t="shared" si="22"/>
        <v>1.6800000000000001E-3</v>
      </c>
      <c r="U61" s="436">
        <f t="shared" si="23"/>
        <v>0.31738</v>
      </c>
      <c r="V61" s="436"/>
      <c r="W61" s="437">
        <f t="shared" si="24"/>
        <v>766.35658536585368</v>
      </c>
      <c r="X61" s="436"/>
      <c r="Y61" s="436">
        <f>+U61*0.01</f>
        <v>3.1738000000000001E-3</v>
      </c>
      <c r="Z61" s="436">
        <f t="shared" si="25"/>
        <v>0.31420619999999999</v>
      </c>
      <c r="AA61" s="433"/>
      <c r="AB61" s="443">
        <v>0.09</v>
      </c>
      <c r="AC61" s="436">
        <f>+R61*AB61</f>
        <v>2.8412999999999997E-2</v>
      </c>
      <c r="AD61" s="437">
        <f>(Z61+AC61)/D61*1000</f>
        <v>835.65658536585374</v>
      </c>
      <c r="AE61" s="433"/>
    </row>
    <row r="62" spans="1:31" ht="15.75" customHeight="1">
      <c r="A62" s="320">
        <f t="shared" si="26"/>
        <v>35</v>
      </c>
      <c r="B62" s="319" t="s">
        <v>267</v>
      </c>
      <c r="C62" s="320" t="s">
        <v>271</v>
      </c>
      <c r="D62" s="435"/>
      <c r="E62" s="435"/>
      <c r="F62" s="433"/>
      <c r="G62" s="433"/>
      <c r="H62" s="433"/>
      <c r="I62" s="433"/>
      <c r="J62" s="436">
        <v>4.8499999999999996</v>
      </c>
      <c r="K62" s="433"/>
      <c r="L62" s="445"/>
      <c r="M62" s="445"/>
      <c r="N62" s="445"/>
      <c r="O62" s="433"/>
      <c r="P62" s="437" t="e">
        <f t="shared" si="21"/>
        <v>#DIV/0!</v>
      </c>
      <c r="Q62" s="436"/>
      <c r="R62" s="436"/>
      <c r="S62" s="436"/>
      <c r="T62" s="436"/>
      <c r="U62" s="436"/>
      <c r="V62" s="436"/>
      <c r="W62" s="436"/>
      <c r="X62" s="436"/>
      <c r="Y62" s="436"/>
      <c r="Z62" s="436"/>
      <c r="AA62" s="433"/>
      <c r="AB62" s="433"/>
      <c r="AC62" s="433"/>
      <c r="AD62" s="433"/>
      <c r="AE62" s="433"/>
    </row>
    <row r="63" spans="1:31" s="330" customFormat="1" ht="15.75" customHeight="1">
      <c r="A63" s="327"/>
      <c r="B63" s="328" t="s">
        <v>256</v>
      </c>
      <c r="C63" s="334"/>
      <c r="D63" s="438">
        <f>SUM(D55:D62)</f>
        <v>3353.6119999999996</v>
      </c>
      <c r="E63" s="438">
        <f>SUM(E55:E62)</f>
        <v>517.84663249999994</v>
      </c>
      <c r="F63" s="439">
        <f>SUM(F55:F62)</f>
        <v>41</v>
      </c>
      <c r="G63" s="439">
        <f>SUM(G55:G62)</f>
        <v>731667</v>
      </c>
      <c r="H63" s="440"/>
      <c r="I63" s="440"/>
      <c r="J63" s="440"/>
      <c r="K63" s="440"/>
      <c r="L63" s="440"/>
      <c r="M63" s="440"/>
      <c r="N63" s="440"/>
      <c r="O63" s="440"/>
      <c r="P63" s="439">
        <f t="shared" si="21"/>
        <v>613.08385502705755</v>
      </c>
      <c r="Q63" s="441">
        <f>SUM(Q55:Q62)</f>
        <v>190.03518000000003</v>
      </c>
      <c r="R63" s="441">
        <f>SUM(R55:R62)</f>
        <v>1865.9757532250001</v>
      </c>
      <c r="S63" s="441">
        <f>SUM(S55:S62)</f>
        <v>0</v>
      </c>
      <c r="T63" s="441">
        <f>SUM(T55:T62)</f>
        <v>3.4439999999999998E-2</v>
      </c>
      <c r="U63" s="441">
        <f>SUM(U55:U62)</f>
        <v>2056.0453732250003</v>
      </c>
      <c r="V63" s="441"/>
      <c r="W63" s="439">
        <f>+Z63/D63*1000</f>
        <v>607.15986029586907</v>
      </c>
      <c r="X63" s="441"/>
      <c r="Y63" s="441">
        <f>SUM(Y55:Y62)</f>
        <v>19.866779818449999</v>
      </c>
      <c r="Z63" s="441">
        <f>SUM(Z55:Z62)</f>
        <v>2036.1785934065499</v>
      </c>
      <c r="AA63" s="440"/>
      <c r="AB63" s="440"/>
      <c r="AC63" s="441">
        <f>SUM(AC55:AC62)</f>
        <v>142.75758179024999</v>
      </c>
      <c r="AD63" s="439">
        <f>(Z63+AC63)/D63*1000</f>
        <v>649.72816628661883</v>
      </c>
      <c r="AE63" s="440"/>
    </row>
    <row r="64" spans="1:31" ht="15.75" customHeight="1">
      <c r="A64" s="320"/>
      <c r="B64" s="328"/>
      <c r="C64" s="319"/>
      <c r="D64" s="435"/>
      <c r="E64" s="435"/>
      <c r="F64" s="433"/>
      <c r="G64" s="433"/>
      <c r="H64" s="433"/>
      <c r="I64" s="433"/>
      <c r="J64" s="433"/>
      <c r="K64" s="433"/>
      <c r="L64" s="433"/>
      <c r="M64" s="433"/>
      <c r="N64" s="433"/>
      <c r="O64" s="433"/>
      <c r="P64" s="433"/>
      <c r="Q64" s="436"/>
      <c r="R64" s="436"/>
      <c r="S64" s="436"/>
      <c r="T64" s="436"/>
      <c r="U64" s="436"/>
      <c r="V64" s="436"/>
      <c r="W64" s="441"/>
      <c r="X64" s="436"/>
      <c r="Y64" s="436"/>
      <c r="Z64" s="436"/>
      <c r="AA64" s="433"/>
      <c r="AB64" s="433"/>
      <c r="AC64" s="433"/>
      <c r="AD64" s="433"/>
      <c r="AE64" s="433"/>
    </row>
    <row r="65" spans="1:31" s="330" customFormat="1" ht="15.75" customHeight="1">
      <c r="A65" s="327"/>
      <c r="B65" s="317" t="s">
        <v>282</v>
      </c>
      <c r="C65" s="327"/>
      <c r="D65" s="438">
        <f>+D36+D53+D63</f>
        <v>6543.6779999999999</v>
      </c>
      <c r="E65" s="438">
        <f>+E36+E53+E63</f>
        <v>571.25795999999991</v>
      </c>
      <c r="F65" s="439">
        <f>+F36+F53+F63</f>
        <v>2041588</v>
      </c>
      <c r="G65" s="439">
        <f>+G36+G53+G63</f>
        <v>3562535</v>
      </c>
      <c r="H65" s="440"/>
      <c r="I65" s="433"/>
      <c r="J65" s="433"/>
      <c r="K65" s="433"/>
      <c r="L65" s="443"/>
      <c r="M65" s="443"/>
      <c r="N65" s="443"/>
      <c r="O65" s="440"/>
      <c r="P65" s="439">
        <f>+U65/D65*1000</f>
        <v>573.60933010342546</v>
      </c>
      <c r="Q65" s="441">
        <f>+Q36+Q53+Q63</f>
        <v>248.50442160000003</v>
      </c>
      <c r="R65" s="441">
        <f>+R36+R53+R63</f>
        <v>3421.1671663925226</v>
      </c>
      <c r="S65" s="441">
        <f>+S36+S53+S63</f>
        <v>83.611025999999995</v>
      </c>
      <c r="T65" s="441">
        <f>+T36+T53+T63</f>
        <v>0.23213999999999999</v>
      </c>
      <c r="U65" s="441">
        <f>+U36+U53+U63</f>
        <v>3753.5147539925233</v>
      </c>
      <c r="V65" s="436"/>
      <c r="W65" s="439">
        <f>+Z65/D65*1000</f>
        <v>567.63978499483733</v>
      </c>
      <c r="X65" s="436"/>
      <c r="Y65" s="441">
        <f>+Y36+Y53+Y63</f>
        <v>39.062780997074995</v>
      </c>
      <c r="Z65" s="441">
        <f>+Z36+Z53+Z63</f>
        <v>3714.4519729954472</v>
      </c>
      <c r="AA65" s="433"/>
      <c r="AB65" s="433"/>
      <c r="AC65" s="441">
        <f>+AC36+AC53+AC63</f>
        <v>218.58350098595091</v>
      </c>
      <c r="AD65" s="437">
        <f>(Z65+AC65)/D65*1000</f>
        <v>601.04355287368946</v>
      </c>
      <c r="AE65" s="440"/>
    </row>
    <row r="66" spans="1:31" ht="15.75">
      <c r="K66" s="440"/>
      <c r="AB66" s="336"/>
    </row>
    <row r="67" spans="1:31">
      <c r="Z67" s="369"/>
      <c r="AA67" s="369"/>
    </row>
    <row r="69" spans="1:31">
      <c r="Q69" s="369"/>
      <c r="R69" s="369"/>
      <c r="S69" s="369"/>
      <c r="X69" s="308" t="s">
        <v>271</v>
      </c>
      <c r="Y69" s="308">
        <f>'[18]T-1'!K59</f>
        <v>3314.5659999999993</v>
      </c>
      <c r="Z69" s="369">
        <f>+Z63</f>
        <v>2036.1785934065499</v>
      </c>
      <c r="AA69" s="1700">
        <f t="shared" ref="AA69:AA71" si="28">Z69/Y69*10</f>
        <v>6.1431227901527681</v>
      </c>
    </row>
    <row r="70" spans="1:31">
      <c r="D70" s="356"/>
      <c r="E70" s="356"/>
      <c r="F70" s="356"/>
      <c r="G70" s="356"/>
      <c r="X70" s="308" t="s">
        <v>259</v>
      </c>
      <c r="Y70" s="308">
        <f>'[18]T-1'!K49</f>
        <v>665.56799999999998</v>
      </c>
      <c r="Z70" s="369">
        <f>+Z53</f>
        <v>431.24396310537497</v>
      </c>
      <c r="AA70" s="1700">
        <f t="shared" si="28"/>
        <v>6.4793373946069366</v>
      </c>
    </row>
    <row r="71" spans="1:31">
      <c r="X71" s="308" t="s">
        <v>232</v>
      </c>
      <c r="Y71" s="308">
        <f>'[18]T-1'!K32</f>
        <v>2483.5770000000002</v>
      </c>
      <c r="Z71" s="369">
        <f>+Z36</f>
        <v>1247.0294164835227</v>
      </c>
      <c r="AA71" s="1700">
        <f t="shared" si="28"/>
        <v>5.0211022911048167</v>
      </c>
    </row>
    <row r="72" spans="1:31" ht="15.75">
      <c r="X72" s="330" t="s">
        <v>274</v>
      </c>
      <c r="Y72" s="330">
        <f>SUM(Y69:Y71)</f>
        <v>6463.7109999999993</v>
      </c>
      <c r="Z72" s="1689">
        <f>SUM(Z69:Z71)</f>
        <v>3714.4519729954477</v>
      </c>
      <c r="AA72" s="1690">
        <f>Z72/Y72*10</f>
        <v>5.7466244592238862</v>
      </c>
    </row>
    <row r="75" spans="1:31" ht="15.75">
      <c r="Z75" s="1701">
        <v>3191.27</v>
      </c>
    </row>
  </sheetData>
  <mergeCells count="2">
    <mergeCell ref="AB2:AE2"/>
    <mergeCell ref="A1:B1"/>
  </mergeCells>
  <printOptions horizontalCentered="1"/>
  <pageMargins left="0.15748031496062992" right="0.15748031496062992" top="0.43307086614173229" bottom="0.19685039370078741" header="0.23622047244094491" footer="0.15748031496062992"/>
  <pageSetup paperSize="9" scale="55" fitToWidth="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8000"/>
  </sheetPr>
  <dimension ref="A1:AE77"/>
  <sheetViews>
    <sheetView showOutlineSymbols="0" view="pageBreakPreview" zoomScaleNormal="87" zoomScaleSheetLayoutView="100" workbookViewId="0">
      <pane xSplit="2" ySplit="10" topLeftCell="F32" activePane="bottomRight" state="frozen"/>
      <selection pane="bottomRight" activeCell="I34" sqref="I34"/>
      <selection pane="bottomLeft" activeCell="R55" sqref="R55:R62"/>
      <selection pane="topRight" activeCell="R55" sqref="R55:R62"/>
    </sheetView>
  </sheetViews>
  <sheetFormatPr defaultColWidth="14.7109375" defaultRowHeight="15"/>
  <cols>
    <col min="1" max="1" width="5.5703125" style="382" customWidth="1"/>
    <col min="2" max="2" width="39.28515625" style="382" customWidth="1"/>
    <col min="3" max="3" width="11" style="382" customWidth="1"/>
    <col min="4" max="4" width="20" style="382" customWidth="1"/>
    <col min="5" max="5" width="20.140625" style="382" customWidth="1"/>
    <col min="6" max="6" width="14.7109375" style="382" customWidth="1"/>
    <col min="7" max="7" width="13.7109375" style="382" customWidth="1"/>
    <col min="8" max="8" width="14.7109375" style="382" customWidth="1"/>
    <col min="9" max="10" width="11.140625" style="382" customWidth="1"/>
    <col min="11" max="11" width="13.5703125" style="382" customWidth="1"/>
    <col min="12" max="12" width="11.42578125" style="382" customWidth="1"/>
    <col min="13" max="13" width="13.42578125" style="382" customWidth="1"/>
    <col min="14" max="14" width="11.28515625" style="382" customWidth="1"/>
    <col min="15" max="15" width="16.5703125" style="382" customWidth="1"/>
    <col min="16" max="16" width="10.42578125" style="382" customWidth="1"/>
    <col min="17" max="17" width="12.28515625" style="382" customWidth="1"/>
    <col min="18" max="18" width="11.85546875" style="382" customWidth="1"/>
    <col min="19" max="19" width="16.140625" style="382" customWidth="1"/>
    <col min="20" max="20" width="17.42578125" style="382" customWidth="1"/>
    <col min="21" max="21" width="11.85546875" style="382" customWidth="1"/>
    <col min="22" max="22" width="9.5703125" style="382" customWidth="1"/>
    <col min="23" max="23" width="10.5703125" style="382" customWidth="1"/>
    <col min="24" max="24" width="14.140625" style="382" customWidth="1"/>
    <col min="25" max="25" width="12.7109375" style="382" customWidth="1"/>
    <col min="26" max="26" width="11.28515625" style="382" customWidth="1"/>
    <col min="27" max="27" width="15" style="382" customWidth="1"/>
    <col min="28" max="28" width="8.5703125" style="382" customWidth="1"/>
    <col min="29" max="29" width="11.28515625" style="382" customWidth="1"/>
    <col min="30" max="30" width="16.5703125" style="382" customWidth="1"/>
    <col min="31" max="31" width="13.42578125" style="382" customWidth="1"/>
    <col min="32" max="16384" width="14.7109375" style="382"/>
  </cols>
  <sheetData>
    <row r="1" spans="1:31">
      <c r="A1" s="2502" t="s">
        <v>209</v>
      </c>
      <c r="B1" s="2502"/>
      <c r="O1" s="446" t="s">
        <v>210</v>
      </c>
      <c r="P1" s="382" t="s">
        <v>473</v>
      </c>
      <c r="R1" s="447"/>
    </row>
    <row r="2" spans="1:31" ht="21.75" customHeight="1">
      <c r="A2" s="2503" t="s">
        <v>474</v>
      </c>
      <c r="B2" s="2503"/>
      <c r="C2" s="2503"/>
      <c r="D2" s="2504" t="s">
        <v>390</v>
      </c>
      <c r="E2" s="2504"/>
      <c r="F2" s="2504"/>
      <c r="G2" s="448"/>
      <c r="H2" s="448"/>
      <c r="J2" s="448"/>
      <c r="K2" s="448"/>
      <c r="L2" s="448"/>
      <c r="M2" s="448"/>
      <c r="N2" s="448"/>
      <c r="O2" s="448"/>
      <c r="P2" s="448"/>
      <c r="Q2" s="448"/>
      <c r="R2" s="449"/>
      <c r="S2" s="448"/>
      <c r="T2" s="448"/>
      <c r="U2" s="448"/>
      <c r="V2" s="448"/>
      <c r="W2" s="448"/>
      <c r="X2" s="448"/>
      <c r="Y2" s="448"/>
      <c r="Z2" s="448"/>
      <c r="AA2" s="450"/>
      <c r="AB2" s="2505" t="s">
        <v>475</v>
      </c>
      <c r="AC2" s="2505"/>
      <c r="AD2" s="2505"/>
      <c r="AE2" s="2505"/>
    </row>
    <row r="3" spans="1:31" s="485" customFormat="1" ht="16.5" customHeight="1">
      <c r="B3" s="2359"/>
      <c r="C3" s="2359"/>
      <c r="D3" s="2359"/>
      <c r="E3" s="2359"/>
      <c r="F3" s="2359"/>
      <c r="G3" s="2359"/>
      <c r="H3" s="2359"/>
      <c r="I3" s="2359"/>
      <c r="J3" s="2359"/>
      <c r="K3" s="2359" t="s">
        <v>392</v>
      </c>
      <c r="L3" s="2359"/>
      <c r="M3" s="2359"/>
      <c r="N3" s="2359"/>
      <c r="O3" s="2359"/>
      <c r="P3" s="2359"/>
      <c r="Q3" s="2359"/>
      <c r="R3" s="2360"/>
      <c r="S3" s="2359"/>
      <c r="T3" s="2359"/>
      <c r="U3" s="2359"/>
      <c r="V3" s="2359"/>
      <c r="W3" s="2359"/>
      <c r="X3" s="2359"/>
      <c r="Y3" s="2359"/>
      <c r="Z3" s="2359"/>
      <c r="AA3" s="2361"/>
      <c r="AB3" s="2361"/>
      <c r="AC3" s="2361"/>
      <c r="AD3" s="2361"/>
      <c r="AE3" s="2361"/>
    </row>
    <row r="4" spans="1:31" ht="15" customHeight="1">
      <c r="A4" s="451" t="s">
        <v>393</v>
      </c>
      <c r="B4" s="452" t="s">
        <v>214</v>
      </c>
      <c r="C4" s="452" t="s">
        <v>394</v>
      </c>
      <c r="D4" s="452" t="s">
        <v>395</v>
      </c>
      <c r="E4" s="452" t="s">
        <v>395</v>
      </c>
      <c r="F4" s="452" t="s">
        <v>396</v>
      </c>
      <c r="G4" s="452" t="s">
        <v>397</v>
      </c>
      <c r="H4" s="452" t="s">
        <v>398</v>
      </c>
      <c r="I4" s="452" t="s">
        <v>399</v>
      </c>
      <c r="J4" s="452" t="s">
        <v>400</v>
      </c>
      <c r="K4" s="453" t="s">
        <v>401</v>
      </c>
      <c r="L4" s="454" t="s">
        <v>402</v>
      </c>
      <c r="M4" s="455"/>
      <c r="N4" s="455" t="s">
        <v>403</v>
      </c>
      <c r="O4" s="452" t="s">
        <v>404</v>
      </c>
      <c r="P4" s="452" t="s">
        <v>405</v>
      </c>
      <c r="Q4" s="452" t="s">
        <v>406</v>
      </c>
      <c r="R4" s="452" t="s">
        <v>406</v>
      </c>
      <c r="S4" s="452" t="s">
        <v>406</v>
      </c>
      <c r="T4" s="452" t="s">
        <v>406</v>
      </c>
      <c r="U4" s="452" t="s">
        <v>274</v>
      </c>
      <c r="V4" s="452" t="s">
        <v>407</v>
      </c>
      <c r="W4" s="452" t="s">
        <v>405</v>
      </c>
      <c r="X4" s="1702" t="s">
        <v>395</v>
      </c>
      <c r="Y4" s="456" t="s">
        <v>408</v>
      </c>
      <c r="Z4" s="455" t="s">
        <v>274</v>
      </c>
      <c r="AA4" s="452" t="s">
        <v>405</v>
      </c>
      <c r="AB4" s="452" t="s">
        <v>409</v>
      </c>
      <c r="AC4" s="452" t="s">
        <v>274</v>
      </c>
      <c r="AD4" s="452" t="s">
        <v>274</v>
      </c>
      <c r="AE4" s="457" t="s">
        <v>410</v>
      </c>
    </row>
    <row r="5" spans="1:31" ht="15" customHeight="1">
      <c r="A5" s="1703" t="s">
        <v>411</v>
      </c>
      <c r="B5" s="1704"/>
      <c r="C5" s="1704" t="s">
        <v>412</v>
      </c>
      <c r="D5" s="1704" t="s">
        <v>413</v>
      </c>
      <c r="E5" s="1704" t="s">
        <v>413</v>
      </c>
      <c r="F5" s="1704" t="s">
        <v>414</v>
      </c>
      <c r="G5" s="1704" t="s">
        <v>399</v>
      </c>
      <c r="H5" s="1704" t="s">
        <v>415</v>
      </c>
      <c r="I5" s="1704" t="s">
        <v>416</v>
      </c>
      <c r="J5" s="1704" t="s">
        <v>416</v>
      </c>
      <c r="K5" s="458" t="s">
        <v>417</v>
      </c>
      <c r="L5" s="459" t="s">
        <v>418</v>
      </c>
      <c r="M5" s="460" t="s">
        <v>419</v>
      </c>
      <c r="N5" s="461" t="s">
        <v>420</v>
      </c>
      <c r="O5" s="1704" t="s">
        <v>421</v>
      </c>
      <c r="P5" s="1704" t="s">
        <v>416</v>
      </c>
      <c r="Q5" s="1704" t="s">
        <v>422</v>
      </c>
      <c r="R5" s="1704" t="s">
        <v>422</v>
      </c>
      <c r="S5" s="1704" t="s">
        <v>423</v>
      </c>
      <c r="T5" s="1704" t="s">
        <v>424</v>
      </c>
      <c r="U5" s="1704" t="s">
        <v>406</v>
      </c>
      <c r="V5" s="1704"/>
      <c r="W5" s="1704" t="s">
        <v>416</v>
      </c>
      <c r="X5" s="462" t="s">
        <v>425</v>
      </c>
      <c r="Y5" s="463" t="s">
        <v>426</v>
      </c>
      <c r="Z5" s="461" t="s">
        <v>406</v>
      </c>
      <c r="AA5" s="464" t="s">
        <v>427</v>
      </c>
      <c r="AB5" s="1704" t="s">
        <v>428</v>
      </c>
      <c r="AC5" s="1704" t="s">
        <v>429</v>
      </c>
      <c r="AD5" s="1704" t="s">
        <v>430</v>
      </c>
      <c r="AE5" s="1705" t="s">
        <v>431</v>
      </c>
    </row>
    <row r="6" spans="1:31" ht="15" customHeight="1">
      <c r="A6" s="1703" t="s">
        <v>432</v>
      </c>
      <c r="B6" s="1704"/>
      <c r="C6" s="1704"/>
      <c r="D6" s="1704" t="s">
        <v>476</v>
      </c>
      <c r="E6" s="1704" t="s">
        <v>476</v>
      </c>
      <c r="F6" s="1704"/>
      <c r="G6" s="1704" t="s">
        <v>274</v>
      </c>
      <c r="H6" s="1704" t="s">
        <v>434</v>
      </c>
      <c r="I6" s="1704"/>
      <c r="J6" s="1704"/>
      <c r="K6" s="465" t="s">
        <v>435</v>
      </c>
      <c r="L6" s="1704"/>
      <c r="M6" s="1704"/>
      <c r="N6" s="1704" t="s">
        <v>416</v>
      </c>
      <c r="O6" s="1704" t="s">
        <v>436</v>
      </c>
      <c r="P6" s="1704"/>
      <c r="Q6" s="1704" t="s">
        <v>399</v>
      </c>
      <c r="R6" s="1704" t="s">
        <v>400</v>
      </c>
      <c r="S6" s="1704" t="s">
        <v>437</v>
      </c>
      <c r="T6" s="1704" t="s">
        <v>420</v>
      </c>
      <c r="U6" s="1704"/>
      <c r="V6" s="1704"/>
      <c r="W6" s="1704" t="s">
        <v>438</v>
      </c>
      <c r="X6" s="464" t="s">
        <v>439</v>
      </c>
      <c r="Y6" s="463" t="s">
        <v>440</v>
      </c>
      <c r="Z6" s="461" t="s">
        <v>438</v>
      </c>
      <c r="AA6" s="464" t="s">
        <v>441</v>
      </c>
      <c r="AB6" s="1704"/>
      <c r="AC6" s="1704" t="s">
        <v>442</v>
      </c>
      <c r="AD6" s="1704" t="s">
        <v>443</v>
      </c>
      <c r="AE6" s="1705" t="s">
        <v>444</v>
      </c>
    </row>
    <row r="7" spans="1:31" ht="15" customHeight="1">
      <c r="A7" s="1703"/>
      <c r="B7" s="1704"/>
      <c r="C7" s="1704"/>
      <c r="D7" s="1704" t="s">
        <v>274</v>
      </c>
      <c r="E7" s="1704" t="s">
        <v>445</v>
      </c>
      <c r="F7" s="1704"/>
      <c r="G7" s="1704"/>
      <c r="H7" s="1704" t="s">
        <v>446</v>
      </c>
      <c r="I7" s="1704"/>
      <c r="J7" s="1704"/>
      <c r="K7" s="1706" t="s">
        <v>447</v>
      </c>
      <c r="L7" s="1704"/>
      <c r="M7" s="1704"/>
      <c r="N7" s="1704" t="s">
        <v>448</v>
      </c>
      <c r="O7" s="1704" t="s">
        <v>416</v>
      </c>
      <c r="P7" s="1704"/>
      <c r="Q7" s="1704" t="s">
        <v>416</v>
      </c>
      <c r="R7" s="1704" t="s">
        <v>416</v>
      </c>
      <c r="S7" s="1704" t="s">
        <v>449</v>
      </c>
      <c r="T7" s="1704" t="s">
        <v>416</v>
      </c>
      <c r="U7" s="1704"/>
      <c r="V7" s="1704"/>
      <c r="W7" s="1704" t="s">
        <v>407</v>
      </c>
      <c r="X7" s="466"/>
      <c r="Y7" s="467"/>
      <c r="Z7" s="461" t="s">
        <v>407</v>
      </c>
      <c r="AA7" s="464" t="s">
        <v>450</v>
      </c>
      <c r="AB7" s="1704"/>
      <c r="AC7" s="1704"/>
      <c r="AD7" s="1704" t="s">
        <v>451</v>
      </c>
      <c r="AE7" s="1705" t="s">
        <v>452</v>
      </c>
    </row>
    <row r="8" spans="1:31" ht="15" customHeight="1">
      <c r="A8" s="1703"/>
      <c r="B8" s="1704"/>
      <c r="C8" s="1704"/>
      <c r="D8" s="1704"/>
      <c r="E8" s="1704" t="s">
        <v>453</v>
      </c>
      <c r="F8" s="1704"/>
      <c r="G8" s="1704"/>
      <c r="H8" s="1704" t="s">
        <v>454</v>
      </c>
      <c r="I8" s="1704"/>
      <c r="J8" s="1704"/>
      <c r="K8" s="1706" t="s">
        <v>455</v>
      </c>
      <c r="L8" s="1704"/>
      <c r="M8" s="1704"/>
      <c r="N8" s="1704" t="s">
        <v>456</v>
      </c>
      <c r="O8" s="1704" t="s">
        <v>457</v>
      </c>
      <c r="P8" s="1704"/>
      <c r="Q8" s="1707"/>
      <c r="R8" s="1707"/>
      <c r="S8" s="1707" t="s">
        <v>416</v>
      </c>
      <c r="T8" s="1707"/>
      <c r="U8" s="1704"/>
      <c r="V8" s="1704"/>
      <c r="W8" s="1704"/>
      <c r="X8" s="466"/>
      <c r="Y8" s="467"/>
      <c r="Z8" s="461"/>
      <c r="AA8" s="1704" t="s">
        <v>458</v>
      </c>
      <c r="AB8" s="1704"/>
      <c r="AC8" s="1704"/>
      <c r="AD8" s="1706" t="s">
        <v>459</v>
      </c>
      <c r="AE8" s="1705"/>
    </row>
    <row r="9" spans="1:31" ht="15" customHeight="1">
      <c r="A9" s="1708"/>
      <c r="B9" s="468"/>
      <c r="C9" s="468"/>
      <c r="D9" s="468" t="s">
        <v>460</v>
      </c>
      <c r="E9" s="468" t="s">
        <v>460</v>
      </c>
      <c r="F9" s="468"/>
      <c r="G9" s="468" t="s">
        <v>477</v>
      </c>
      <c r="H9" s="468" t="s">
        <v>477</v>
      </c>
      <c r="I9" s="468" t="s">
        <v>463</v>
      </c>
      <c r="J9" s="468" t="s">
        <v>467</v>
      </c>
      <c r="K9" s="468" t="s">
        <v>467</v>
      </c>
      <c r="L9" s="468" t="s">
        <v>465</v>
      </c>
      <c r="M9" s="468" t="s">
        <v>465</v>
      </c>
      <c r="N9" s="468" t="s">
        <v>465</v>
      </c>
      <c r="O9" s="468" t="s">
        <v>466</v>
      </c>
      <c r="P9" s="468" t="s">
        <v>467</v>
      </c>
      <c r="Q9" s="468" t="s">
        <v>468</v>
      </c>
      <c r="R9" s="468" t="s">
        <v>468</v>
      </c>
      <c r="S9" s="468" t="s">
        <v>468</v>
      </c>
      <c r="T9" s="468" t="s">
        <v>468</v>
      </c>
      <c r="U9" s="468" t="s">
        <v>468</v>
      </c>
      <c r="V9" s="468" t="s">
        <v>467</v>
      </c>
      <c r="W9" s="468" t="s">
        <v>467</v>
      </c>
      <c r="X9" s="469" t="s">
        <v>460</v>
      </c>
      <c r="Y9" s="1709" t="s">
        <v>468</v>
      </c>
      <c r="Z9" s="470" t="s">
        <v>468</v>
      </c>
      <c r="AA9" s="468" t="s">
        <v>469</v>
      </c>
      <c r="AB9" s="468" t="s">
        <v>470</v>
      </c>
      <c r="AC9" s="468" t="s">
        <v>471</v>
      </c>
      <c r="AD9" s="468" t="s">
        <v>472</v>
      </c>
      <c r="AE9" s="471"/>
    </row>
    <row r="10" spans="1:31" ht="15.75" customHeight="1">
      <c r="A10" s="472">
        <v>1</v>
      </c>
      <c r="B10" s="472">
        <v>2</v>
      </c>
      <c r="C10" s="472">
        <v>3</v>
      </c>
      <c r="D10" s="472">
        <v>4</v>
      </c>
      <c r="E10" s="472">
        <v>5</v>
      </c>
      <c r="F10" s="472">
        <v>6</v>
      </c>
      <c r="G10" s="472">
        <v>7</v>
      </c>
      <c r="H10" s="472">
        <v>8</v>
      </c>
      <c r="I10" s="472">
        <v>9</v>
      </c>
      <c r="J10" s="472">
        <v>10</v>
      </c>
      <c r="K10" s="472">
        <v>11</v>
      </c>
      <c r="L10" s="472">
        <v>12</v>
      </c>
      <c r="M10" s="472">
        <v>13</v>
      </c>
      <c r="N10" s="472">
        <v>14</v>
      </c>
      <c r="O10" s="472">
        <v>15</v>
      </c>
      <c r="P10" s="472">
        <v>16</v>
      </c>
      <c r="Q10" s="472">
        <v>17</v>
      </c>
      <c r="R10" s="472">
        <v>18</v>
      </c>
      <c r="S10" s="472">
        <v>19</v>
      </c>
      <c r="T10" s="472">
        <v>20</v>
      </c>
      <c r="U10" s="472">
        <v>21</v>
      </c>
      <c r="V10" s="472">
        <v>22</v>
      </c>
      <c r="W10" s="472">
        <v>23</v>
      </c>
      <c r="X10" s="472">
        <v>24</v>
      </c>
      <c r="Y10" s="472">
        <v>25</v>
      </c>
      <c r="Z10" s="472">
        <v>26</v>
      </c>
      <c r="AA10" s="472">
        <v>27</v>
      </c>
      <c r="AB10" s="472">
        <v>28</v>
      </c>
      <c r="AC10" s="472">
        <v>29</v>
      </c>
      <c r="AD10" s="472">
        <v>30</v>
      </c>
      <c r="AE10" s="472">
        <v>31</v>
      </c>
    </row>
    <row r="11" spans="1:31" ht="15.75" customHeight="1">
      <c r="A11" s="320"/>
      <c r="B11" s="317" t="s">
        <v>230</v>
      </c>
      <c r="C11" s="320"/>
      <c r="D11" s="473"/>
      <c r="E11" s="473"/>
      <c r="F11" s="473"/>
      <c r="G11" s="393"/>
      <c r="H11" s="393"/>
      <c r="I11" s="433"/>
      <c r="J11" s="433"/>
      <c r="K11" s="433"/>
      <c r="L11" s="433"/>
      <c r="M11" s="433"/>
      <c r="N11" s="433"/>
      <c r="O11" s="393"/>
      <c r="P11" s="393"/>
      <c r="Q11" s="393"/>
      <c r="R11" s="393"/>
      <c r="S11" s="393"/>
      <c r="T11" s="393"/>
      <c r="U11" s="393"/>
      <c r="V11" s="393"/>
      <c r="W11" s="393"/>
      <c r="X11" s="433"/>
      <c r="Y11" s="433"/>
      <c r="Z11" s="393"/>
      <c r="AA11" s="393"/>
      <c r="AB11" s="474"/>
      <c r="AC11" s="393"/>
      <c r="AD11" s="393"/>
      <c r="AE11" s="393"/>
    </row>
    <row r="12" spans="1:31" ht="15.75" customHeight="1">
      <c r="A12" s="320">
        <v>1</v>
      </c>
      <c r="B12" s="319" t="s">
        <v>231</v>
      </c>
      <c r="C12" s="320" t="s">
        <v>232</v>
      </c>
      <c r="D12" s="475"/>
      <c r="E12" s="475"/>
      <c r="F12" s="473"/>
      <c r="G12" s="393"/>
      <c r="H12" s="393"/>
      <c r="I12" s="433"/>
      <c r="J12" s="433"/>
      <c r="K12" s="433"/>
      <c r="L12" s="433"/>
      <c r="M12" s="433"/>
      <c r="N12" s="433"/>
      <c r="O12" s="393"/>
      <c r="P12" s="393"/>
      <c r="Q12" s="393"/>
      <c r="R12" s="393"/>
      <c r="S12" s="393"/>
      <c r="T12" s="393"/>
      <c r="U12" s="393"/>
      <c r="V12" s="476"/>
      <c r="W12" s="393"/>
      <c r="X12" s="433"/>
      <c r="Y12" s="433"/>
      <c r="Z12" s="393"/>
      <c r="AA12" s="393"/>
      <c r="AB12" s="434"/>
      <c r="AC12" s="393"/>
      <c r="AD12" s="393"/>
      <c r="AE12" s="393"/>
    </row>
    <row r="13" spans="1:31" ht="15.75" customHeight="1">
      <c r="A13" s="320"/>
      <c r="B13" s="320" t="s">
        <v>233</v>
      </c>
      <c r="C13" s="319"/>
      <c r="D13" s="475">
        <f>+'[18]T-1'!R9</f>
        <v>5.468</v>
      </c>
      <c r="E13" s="475"/>
      <c r="F13" s="473">
        <f>+'[18]T-1'!M9</f>
        <v>16877</v>
      </c>
      <c r="G13" s="473">
        <f>+'[18]T-1'!N9</f>
        <v>4402</v>
      </c>
      <c r="H13" s="393"/>
      <c r="I13" s="433">
        <v>80</v>
      </c>
      <c r="J13" s="433"/>
      <c r="K13" s="433"/>
      <c r="L13" s="433"/>
      <c r="M13" s="433"/>
      <c r="N13" s="433"/>
      <c r="O13" s="393"/>
      <c r="P13" s="477">
        <f>+U13/D13*1000</f>
        <v>296.30431602048287</v>
      </c>
      <c r="Q13" s="393"/>
      <c r="R13" s="393"/>
      <c r="S13" s="476">
        <f>F13*I13*12/10^7</f>
        <v>1.6201920000000001</v>
      </c>
      <c r="T13" s="393"/>
      <c r="U13" s="476">
        <f t="shared" ref="U13:U18" si="0">SUM(Q13:T13)</f>
        <v>1.6201920000000001</v>
      </c>
      <c r="V13" s="476"/>
      <c r="W13" s="477">
        <f>+Z13/D13*1000</f>
        <v>296.30431602048287</v>
      </c>
      <c r="X13" s="433"/>
      <c r="Y13" s="433"/>
      <c r="Z13" s="476">
        <f t="shared" ref="Z13:Z18" si="1">+U13-Y13</f>
        <v>1.6201920000000001</v>
      </c>
      <c r="AA13" s="393"/>
      <c r="AB13" s="434"/>
      <c r="AC13" s="393"/>
      <c r="AD13" s="477">
        <f>+Z13/D13*1000</f>
        <v>296.30431602048287</v>
      </c>
      <c r="AE13" s="393"/>
    </row>
    <row r="14" spans="1:31" ht="15.75" customHeight="1">
      <c r="A14" s="320"/>
      <c r="B14" s="320" t="s">
        <v>234</v>
      </c>
      <c r="C14" s="319"/>
      <c r="D14" s="475">
        <f>+'[18]T-1'!R10</f>
        <v>1710.049</v>
      </c>
      <c r="E14" s="475"/>
      <c r="F14" s="473">
        <f>+'[18]T-1'!M10</f>
        <v>1792477</v>
      </c>
      <c r="G14" s="473">
        <f>+'[18]T-1'!N10</f>
        <v>1766478</v>
      </c>
      <c r="H14" s="393">
        <v>441619</v>
      </c>
      <c r="I14" s="433"/>
      <c r="J14" s="433"/>
      <c r="K14" s="433"/>
      <c r="L14" s="433">
        <v>20</v>
      </c>
      <c r="M14" s="433">
        <v>20</v>
      </c>
      <c r="N14" s="433"/>
      <c r="O14" s="393"/>
      <c r="P14" s="393"/>
      <c r="Q14" s="393"/>
      <c r="R14" s="393"/>
      <c r="S14" s="476">
        <f>(((F14*L14)+(H14*M14))*12)/10^7</f>
        <v>53.618304000000002</v>
      </c>
      <c r="T14" s="393"/>
      <c r="U14" s="476">
        <f t="shared" si="0"/>
        <v>53.618304000000002</v>
      </c>
      <c r="V14" s="476">
        <v>0.1</v>
      </c>
      <c r="W14" s="476"/>
      <c r="X14" s="435">
        <f>+D14*60.5%</f>
        <v>1034.579645</v>
      </c>
      <c r="Y14" s="436">
        <f>+V14*X14/10</f>
        <v>10.34579645</v>
      </c>
      <c r="Z14" s="476">
        <f t="shared" si="1"/>
        <v>43.27250755</v>
      </c>
      <c r="AA14" s="393"/>
      <c r="AB14" s="434"/>
      <c r="AC14" s="393"/>
      <c r="AD14" s="473"/>
      <c r="AE14" s="393"/>
    </row>
    <row r="15" spans="1:31" ht="15.75" customHeight="1">
      <c r="A15" s="320"/>
      <c r="B15" s="320" t="s">
        <v>235</v>
      </c>
      <c r="C15" s="319"/>
      <c r="D15" s="475">
        <f>+'[18]T-1'!R11</f>
        <v>742.63745091486396</v>
      </c>
      <c r="E15" s="475"/>
      <c r="F15" s="393"/>
      <c r="G15" s="393"/>
      <c r="H15" s="393"/>
      <c r="I15" s="433"/>
      <c r="J15" s="436">
        <v>3</v>
      </c>
      <c r="K15" s="433"/>
      <c r="L15" s="433"/>
      <c r="M15" s="433"/>
      <c r="N15" s="433"/>
      <c r="O15" s="393"/>
      <c r="P15" s="393"/>
      <c r="Q15" s="393"/>
      <c r="R15" s="476">
        <f>(D15*J15)/10</f>
        <v>222.79123527445918</v>
      </c>
      <c r="S15" s="393"/>
      <c r="T15" s="393"/>
      <c r="U15" s="476">
        <f t="shared" si="0"/>
        <v>222.79123527445918</v>
      </c>
      <c r="V15" s="476"/>
      <c r="W15" s="476"/>
      <c r="X15" s="436"/>
      <c r="Y15" s="436"/>
      <c r="Z15" s="476">
        <f t="shared" si="1"/>
        <v>222.79123527445918</v>
      </c>
      <c r="AA15" s="393"/>
      <c r="AB15" s="434"/>
      <c r="AC15" s="393"/>
      <c r="AD15" s="473"/>
      <c r="AE15" s="393"/>
    </row>
    <row r="16" spans="1:31" ht="15.75" customHeight="1">
      <c r="A16" s="320"/>
      <c r="B16" s="320" t="s">
        <v>236</v>
      </c>
      <c r="C16" s="319"/>
      <c r="D16" s="475">
        <f>+'[18]T-1'!R12</f>
        <v>682.58861184916157</v>
      </c>
      <c r="E16" s="475"/>
      <c r="F16" s="393"/>
      <c r="G16" s="393"/>
      <c r="H16" s="393"/>
      <c r="I16" s="433"/>
      <c r="J16" s="436">
        <v>4.8</v>
      </c>
      <c r="K16" s="433"/>
      <c r="L16" s="433"/>
      <c r="M16" s="433"/>
      <c r="N16" s="433"/>
      <c r="O16" s="393"/>
      <c r="P16" s="393"/>
      <c r="Q16" s="393"/>
      <c r="R16" s="476">
        <f>(D16*J16)/10</f>
        <v>327.64253368759756</v>
      </c>
      <c r="S16" s="393"/>
      <c r="T16" s="393"/>
      <c r="U16" s="476">
        <f t="shared" si="0"/>
        <v>327.64253368759756</v>
      </c>
      <c r="V16" s="476"/>
      <c r="W16" s="476"/>
      <c r="X16" s="436"/>
      <c r="Y16" s="436"/>
      <c r="Z16" s="476">
        <f t="shared" si="1"/>
        <v>327.64253368759756</v>
      </c>
      <c r="AA16" s="393"/>
      <c r="AB16" s="434"/>
      <c r="AC16" s="393"/>
      <c r="AD16" s="473"/>
      <c r="AE16" s="393"/>
    </row>
    <row r="17" spans="1:31" ht="15.75" customHeight="1">
      <c r="A17" s="320"/>
      <c r="B17" s="320" t="s">
        <v>237</v>
      </c>
      <c r="C17" s="319"/>
      <c r="D17" s="475">
        <f>+'[18]T-1'!R13</f>
        <v>208.21240789660922</v>
      </c>
      <c r="E17" s="475"/>
      <c r="F17" s="393"/>
      <c r="G17" s="393"/>
      <c r="H17" s="393"/>
      <c r="I17" s="433"/>
      <c r="J17" s="436">
        <v>5.8</v>
      </c>
      <c r="K17" s="433"/>
      <c r="L17" s="433"/>
      <c r="M17" s="433"/>
      <c r="N17" s="433"/>
      <c r="O17" s="393"/>
      <c r="P17" s="393"/>
      <c r="Q17" s="393"/>
      <c r="R17" s="476">
        <f>(D17*J17)/10</f>
        <v>120.76319658003335</v>
      </c>
      <c r="S17" s="393"/>
      <c r="T17" s="393"/>
      <c r="U17" s="476">
        <f t="shared" si="0"/>
        <v>120.76319658003335</v>
      </c>
      <c r="V17" s="476"/>
      <c r="W17" s="476"/>
      <c r="X17" s="436"/>
      <c r="Y17" s="436"/>
      <c r="Z17" s="476">
        <f t="shared" si="1"/>
        <v>120.76319658003335</v>
      </c>
      <c r="AA17" s="393"/>
      <c r="AB17" s="434"/>
      <c r="AC17" s="393"/>
      <c r="AD17" s="473"/>
      <c r="AE17" s="393"/>
    </row>
    <row r="18" spans="1:31" ht="15.75" customHeight="1">
      <c r="A18" s="320"/>
      <c r="B18" s="320" t="s">
        <v>238</v>
      </c>
      <c r="C18" s="319"/>
      <c r="D18" s="475">
        <f>+'[18]T-1'!R14</f>
        <v>76.610529339365158</v>
      </c>
      <c r="E18" s="475"/>
      <c r="F18" s="393"/>
      <c r="G18" s="393"/>
      <c r="H18" s="393"/>
      <c r="I18" s="433"/>
      <c r="J18" s="436">
        <v>6.2</v>
      </c>
      <c r="K18" s="433"/>
      <c r="L18" s="433"/>
      <c r="M18" s="433"/>
      <c r="N18" s="433"/>
      <c r="O18" s="393"/>
      <c r="P18" s="393"/>
      <c r="Q18" s="393"/>
      <c r="R18" s="476">
        <f>(D18*J18)/10</f>
        <v>47.498528190406397</v>
      </c>
      <c r="S18" s="393"/>
      <c r="T18" s="393"/>
      <c r="U18" s="476">
        <f t="shared" si="0"/>
        <v>47.498528190406397</v>
      </c>
      <c r="V18" s="476"/>
      <c r="W18" s="476"/>
      <c r="X18" s="436"/>
      <c r="Y18" s="436"/>
      <c r="Z18" s="476">
        <f t="shared" si="1"/>
        <v>47.498528190406397</v>
      </c>
      <c r="AA18" s="393"/>
      <c r="AB18" s="434"/>
      <c r="AC18" s="393"/>
      <c r="AD18" s="473"/>
      <c r="AE18" s="393"/>
    </row>
    <row r="19" spans="1:31" s="384" customFormat="1" ht="15.75" customHeight="1">
      <c r="A19" s="327"/>
      <c r="B19" s="327"/>
      <c r="C19" s="328" t="s">
        <v>240</v>
      </c>
      <c r="D19" s="478">
        <f>+D13+D14</f>
        <v>1715.5170000000001</v>
      </c>
      <c r="E19" s="478"/>
      <c r="F19" s="1678">
        <f>+F13+F14</f>
        <v>1809354</v>
      </c>
      <c r="G19" s="1678">
        <f>+G13+G14</f>
        <v>1770880</v>
      </c>
      <c r="H19" s="479"/>
      <c r="I19" s="440"/>
      <c r="J19" s="441"/>
      <c r="K19" s="440"/>
      <c r="L19" s="440"/>
      <c r="M19" s="440"/>
      <c r="N19" s="440"/>
      <c r="O19" s="479"/>
      <c r="P19" s="477">
        <f>+U19/D19*1000</f>
        <v>451.1374645267266</v>
      </c>
      <c r="Q19" s="480">
        <f>SUM(Q13:Q18)</f>
        <v>0</v>
      </c>
      <c r="R19" s="480">
        <f>SUM(R13:R18)</f>
        <v>718.69549373249652</v>
      </c>
      <c r="S19" s="480">
        <f>SUM(S13:S18)</f>
        <v>55.238496000000005</v>
      </c>
      <c r="T19" s="480">
        <f>SUM(T13:T18)</f>
        <v>0</v>
      </c>
      <c r="U19" s="480">
        <f>SUM(U13:U18)</f>
        <v>773.93398973249646</v>
      </c>
      <c r="V19" s="480"/>
      <c r="W19" s="477">
        <f>+Z19/D19*1000</f>
        <v>445.10674815959067</v>
      </c>
      <c r="X19" s="440"/>
      <c r="Y19" s="441">
        <f>SUM(Y13:Y18)</f>
        <v>10.34579645</v>
      </c>
      <c r="Z19" s="480">
        <f>SUM(Z13:Z18)</f>
        <v>763.58819328249649</v>
      </c>
      <c r="AA19" s="479"/>
      <c r="AB19" s="220">
        <v>0.04</v>
      </c>
      <c r="AC19" s="476">
        <f>+R19*AB19</f>
        <v>28.747819749299861</v>
      </c>
      <c r="AD19" s="477">
        <f>(Z19+AC19)/D19*1000</f>
        <v>461.86427358737706</v>
      </c>
      <c r="AE19" s="479"/>
    </row>
    <row r="20" spans="1:31" ht="15.75" customHeight="1">
      <c r="A20" s="320">
        <v>2</v>
      </c>
      <c r="B20" s="319" t="s">
        <v>241</v>
      </c>
      <c r="C20" s="320" t="s">
        <v>232</v>
      </c>
      <c r="D20" s="475">
        <f>+'[18]T-1'!R16</f>
        <v>515.88699999999994</v>
      </c>
      <c r="E20" s="475"/>
      <c r="F20" s="473">
        <f>+'[18]T-1'!M16</f>
        <v>121147</v>
      </c>
      <c r="G20" s="473">
        <f>+'[18]T-1'!N16</f>
        <v>331940</v>
      </c>
      <c r="H20" s="393">
        <v>232357.99999999997</v>
      </c>
      <c r="I20" s="433"/>
      <c r="J20" s="436"/>
      <c r="K20" s="433"/>
      <c r="L20" s="433">
        <v>30</v>
      </c>
      <c r="M20" s="433">
        <v>30</v>
      </c>
      <c r="N20" s="433"/>
      <c r="O20" s="393"/>
      <c r="P20" s="393"/>
      <c r="Q20" s="393"/>
      <c r="R20" s="393"/>
      <c r="S20" s="476">
        <f>(((F20*L20)+(H20*M20))*12)/10^7</f>
        <v>12.726179999999999</v>
      </c>
      <c r="T20" s="393"/>
      <c r="U20" s="476">
        <f>SUM(Q20:T20)</f>
        <v>12.726179999999999</v>
      </c>
      <c r="V20" s="476">
        <v>0.1</v>
      </c>
      <c r="W20" s="393"/>
      <c r="X20" s="435">
        <f>+D20*70%</f>
        <v>361.12089999999995</v>
      </c>
      <c r="Y20" s="436">
        <f>+V20*X20/10</f>
        <v>3.6112089999999997</v>
      </c>
      <c r="Z20" s="476">
        <f>+U20-Y20</f>
        <v>9.1149710000000006</v>
      </c>
      <c r="AA20" s="393"/>
      <c r="AB20" s="434"/>
      <c r="AC20" s="393"/>
      <c r="AD20" s="473"/>
      <c r="AE20" s="393"/>
    </row>
    <row r="21" spans="1:31" ht="15.75" customHeight="1">
      <c r="A21" s="320"/>
      <c r="B21" s="320" t="s">
        <v>242</v>
      </c>
      <c r="C21" s="320"/>
      <c r="D21" s="475">
        <f>+'[18]T-1'!R17</f>
        <v>116.16141909015458</v>
      </c>
      <c r="E21" s="475"/>
      <c r="F21" s="473"/>
      <c r="G21" s="473"/>
      <c r="H21" s="393"/>
      <c r="I21" s="433"/>
      <c r="J21" s="436">
        <v>5.9</v>
      </c>
      <c r="K21" s="433"/>
      <c r="L21" s="433"/>
      <c r="M21" s="433"/>
      <c r="N21" s="433"/>
      <c r="O21" s="393"/>
      <c r="P21" s="393"/>
      <c r="Q21" s="393"/>
      <c r="R21" s="476">
        <f>(D21*J21)/10</f>
        <v>68.535237263191206</v>
      </c>
      <c r="S21" s="393"/>
      <c r="T21" s="393"/>
      <c r="U21" s="476">
        <f>SUM(Q21:T21)</f>
        <v>68.535237263191206</v>
      </c>
      <c r="V21" s="476"/>
      <c r="W21" s="393"/>
      <c r="X21" s="433"/>
      <c r="Y21" s="433"/>
      <c r="Z21" s="476">
        <f>+U21-Y21</f>
        <v>68.535237263191206</v>
      </c>
      <c r="AA21" s="393"/>
      <c r="AB21" s="434"/>
      <c r="AC21" s="393"/>
      <c r="AD21" s="473"/>
      <c r="AE21" s="393"/>
    </row>
    <row r="22" spans="1:31" ht="15.75" customHeight="1">
      <c r="A22" s="320"/>
      <c r="B22" s="320" t="s">
        <v>243</v>
      </c>
      <c r="C22" s="319"/>
      <c r="D22" s="475">
        <f>+'[18]T-1'!R18</f>
        <v>97.132963046621654</v>
      </c>
      <c r="E22" s="475"/>
      <c r="F22" s="473"/>
      <c r="G22" s="473"/>
      <c r="H22" s="393"/>
      <c r="I22" s="433"/>
      <c r="J22" s="436">
        <v>7</v>
      </c>
      <c r="K22" s="433"/>
      <c r="L22" s="433"/>
      <c r="M22" s="433"/>
      <c r="N22" s="433"/>
      <c r="O22" s="393"/>
      <c r="P22" s="393"/>
      <c r="Q22" s="476"/>
      <c r="R22" s="476">
        <f>(D22*J22)/10</f>
        <v>67.993074132635158</v>
      </c>
      <c r="S22" s="476"/>
      <c r="T22" s="476"/>
      <c r="U22" s="476">
        <f>SUM(Q22:T22)</f>
        <v>67.993074132635158</v>
      </c>
      <c r="V22" s="476"/>
      <c r="W22" s="476"/>
      <c r="X22" s="436"/>
      <c r="Y22" s="436"/>
      <c r="Z22" s="476">
        <f>+U22-Y22</f>
        <v>67.993074132635158</v>
      </c>
      <c r="AA22" s="393"/>
      <c r="AB22" s="434"/>
      <c r="AC22" s="393"/>
      <c r="AD22" s="473"/>
      <c r="AE22" s="393"/>
    </row>
    <row r="23" spans="1:31" ht="15.75" customHeight="1">
      <c r="A23" s="320"/>
      <c r="B23" s="320" t="s">
        <v>244</v>
      </c>
      <c r="C23" s="320"/>
      <c r="D23" s="475">
        <f>+'[18]T-1'!R19</f>
        <v>302.59261786322367</v>
      </c>
      <c r="E23" s="475"/>
      <c r="F23" s="473"/>
      <c r="G23" s="473"/>
      <c r="H23" s="393"/>
      <c r="I23" s="433"/>
      <c r="J23" s="436">
        <v>7.6</v>
      </c>
      <c r="K23" s="433"/>
      <c r="L23" s="433"/>
      <c r="M23" s="433"/>
      <c r="N23" s="433"/>
      <c r="O23" s="393"/>
      <c r="P23" s="393"/>
      <c r="Q23" s="393"/>
      <c r="R23" s="476">
        <f>(D23*J23)/10</f>
        <v>229.97038957604997</v>
      </c>
      <c r="S23" s="393"/>
      <c r="T23" s="393"/>
      <c r="U23" s="476">
        <f>SUM(Q23:T23)</f>
        <v>229.97038957604997</v>
      </c>
      <c r="V23" s="476"/>
      <c r="W23" s="476"/>
      <c r="X23" s="436"/>
      <c r="Y23" s="436"/>
      <c r="Z23" s="476">
        <f>+U23-Y23</f>
        <v>229.97038957604997</v>
      </c>
      <c r="AA23" s="393"/>
      <c r="AB23" s="434"/>
      <c r="AC23" s="393"/>
      <c r="AD23" s="473"/>
      <c r="AE23" s="393"/>
    </row>
    <row r="24" spans="1:31" ht="15.75" customHeight="1">
      <c r="A24" s="320"/>
      <c r="B24" s="320"/>
      <c r="C24" s="328" t="s">
        <v>240</v>
      </c>
      <c r="D24" s="478">
        <f>SUM(D21:D23)</f>
        <v>515.88699999999994</v>
      </c>
      <c r="E24" s="475"/>
      <c r="F24" s="1678">
        <f>+F20</f>
        <v>121147</v>
      </c>
      <c r="G24" s="1678">
        <f>+G20</f>
        <v>331940</v>
      </c>
      <c r="H24" s="393"/>
      <c r="I24" s="433"/>
      <c r="J24" s="436"/>
      <c r="K24" s="433"/>
      <c r="L24" s="433"/>
      <c r="M24" s="433"/>
      <c r="N24" s="433"/>
      <c r="O24" s="393"/>
      <c r="P24" s="477">
        <f t="shared" ref="P24:P32" si="2">+U24/D24*1000</f>
        <v>735.0929195189575</v>
      </c>
      <c r="Q24" s="393"/>
      <c r="R24" s="480">
        <f>SUM(R20:R23)</f>
        <v>366.49870097187636</v>
      </c>
      <c r="S24" s="480">
        <f>SUM(S20:S23)</f>
        <v>12.726179999999999</v>
      </c>
      <c r="T24" s="480">
        <f>SUM(T20:T23)</f>
        <v>0</v>
      </c>
      <c r="U24" s="480">
        <f>SUM(U20:U23)</f>
        <v>379.22488097187636</v>
      </c>
      <c r="V24" s="476"/>
      <c r="W24" s="477">
        <f t="shared" ref="W24:W32" si="3">+Z24/D24*1000</f>
        <v>728.09291951895739</v>
      </c>
      <c r="X24" s="436"/>
      <c r="Y24" s="441">
        <f>SUM(Y20:Y23)</f>
        <v>3.6112089999999997</v>
      </c>
      <c r="Z24" s="480">
        <f>SUM(Z20:Z23)</f>
        <v>375.61367197187633</v>
      </c>
      <c r="AA24" s="393"/>
      <c r="AB24" s="220">
        <v>0.04</v>
      </c>
      <c r="AC24" s="476">
        <f t="shared" ref="AC24:AC31" si="4">+R24*AB24</f>
        <v>14.659948038875054</v>
      </c>
      <c r="AD24" s="477">
        <f t="shared" ref="AD24:AD31" si="5">(Z24+AC24)/D24*1000</f>
        <v>756.50989462954362</v>
      </c>
      <c r="AE24" s="393"/>
    </row>
    <row r="25" spans="1:31" ht="15.75" customHeight="1">
      <c r="A25" s="320">
        <v>3</v>
      </c>
      <c r="B25" s="319" t="s">
        <v>245</v>
      </c>
      <c r="C25" s="320" t="s">
        <v>232</v>
      </c>
      <c r="D25" s="475">
        <f>+'[18]T-1'!R21</f>
        <v>133.52500000000001</v>
      </c>
      <c r="E25" s="475"/>
      <c r="F25" s="473">
        <f>+'[18]T-1'!M21</f>
        <v>27249</v>
      </c>
      <c r="G25" s="473">
        <f>+'[18]T-1'!N21</f>
        <v>110266</v>
      </c>
      <c r="H25" s="393">
        <f t="shared" ref="H25:H32" si="6">+G25-F25</f>
        <v>83017</v>
      </c>
      <c r="I25" s="433"/>
      <c r="J25" s="436">
        <v>1.5</v>
      </c>
      <c r="K25" s="433"/>
      <c r="L25" s="433">
        <v>20</v>
      </c>
      <c r="M25" s="433">
        <v>10</v>
      </c>
      <c r="N25" s="433"/>
      <c r="O25" s="393"/>
      <c r="P25" s="477">
        <f t="shared" si="2"/>
        <v>162.35858453473131</v>
      </c>
      <c r="Q25" s="393"/>
      <c r="R25" s="476">
        <f t="shared" ref="R25:R32" si="7">(D25*J25)/10</f>
        <v>20.028750000000002</v>
      </c>
      <c r="S25" s="476">
        <f t="shared" ref="S25:S32" si="8">(((F25*L25)+(H25*M25))*12)/10^7</f>
        <v>1.65018</v>
      </c>
      <c r="T25" s="393"/>
      <c r="U25" s="476">
        <f t="shared" ref="U25:U32" si="9">SUM(Q25:T25)</f>
        <v>21.678930000000001</v>
      </c>
      <c r="V25" s="476">
        <v>0.1</v>
      </c>
      <c r="W25" s="477">
        <f t="shared" si="3"/>
        <v>159.85858453473131</v>
      </c>
      <c r="X25" s="435">
        <f>+D25*25%</f>
        <v>33.381250000000001</v>
      </c>
      <c r="Y25" s="436">
        <f>+V25*X25/10</f>
        <v>0.33381250000000001</v>
      </c>
      <c r="Z25" s="476">
        <f t="shared" ref="Z25:Z32" si="10">+U25-Y25</f>
        <v>21.345117500000001</v>
      </c>
      <c r="AA25" s="393"/>
      <c r="AB25" s="221">
        <v>0.02</v>
      </c>
      <c r="AC25" s="476">
        <f t="shared" si="4"/>
        <v>0.40057500000000007</v>
      </c>
      <c r="AD25" s="477">
        <f t="shared" si="5"/>
        <v>162.85858453473131</v>
      </c>
      <c r="AE25" s="393"/>
    </row>
    <row r="26" spans="1:31" ht="15.75" customHeight="1">
      <c r="A26" s="320">
        <f t="shared" ref="A26:A35" si="11">A25+1</f>
        <v>4</v>
      </c>
      <c r="B26" s="319" t="s">
        <v>246</v>
      </c>
      <c r="C26" s="320" t="s">
        <v>232</v>
      </c>
      <c r="D26" s="475">
        <f>+'[18]T-1'!R22</f>
        <v>81.510000000000005</v>
      </c>
      <c r="E26" s="475"/>
      <c r="F26" s="473">
        <f>+'[18]T-1'!M22</f>
        <v>3580</v>
      </c>
      <c r="G26" s="473">
        <f>+'[18]T-1'!N22</f>
        <v>52821</v>
      </c>
      <c r="H26" s="393">
        <f t="shared" si="6"/>
        <v>49241</v>
      </c>
      <c r="I26" s="433"/>
      <c r="J26" s="436">
        <v>1.6</v>
      </c>
      <c r="K26" s="433"/>
      <c r="L26" s="433">
        <v>20</v>
      </c>
      <c r="M26" s="433">
        <v>10</v>
      </c>
      <c r="N26" s="433"/>
      <c r="O26" s="393"/>
      <c r="P26" s="477">
        <f t="shared" si="2"/>
        <v>168.30342289289661</v>
      </c>
      <c r="Q26" s="393"/>
      <c r="R26" s="476">
        <f t="shared" si="7"/>
        <v>13.041600000000003</v>
      </c>
      <c r="S26" s="476">
        <f t="shared" si="8"/>
        <v>0.67681199999999997</v>
      </c>
      <c r="T26" s="393"/>
      <c r="U26" s="476">
        <f t="shared" si="9"/>
        <v>13.718412000000002</v>
      </c>
      <c r="V26" s="476">
        <v>0.1</v>
      </c>
      <c r="W26" s="477">
        <f t="shared" si="3"/>
        <v>161.30342289289661</v>
      </c>
      <c r="X26" s="435">
        <f>+D26*70%</f>
        <v>57.057000000000002</v>
      </c>
      <c r="Y26" s="436">
        <f>+V26*X26/10</f>
        <v>0.57057000000000002</v>
      </c>
      <c r="Z26" s="476">
        <f t="shared" si="10"/>
        <v>13.147842000000002</v>
      </c>
      <c r="AA26" s="393"/>
      <c r="AB26" s="221">
        <v>0.04</v>
      </c>
      <c r="AC26" s="476">
        <f t="shared" si="4"/>
        <v>0.52166400000000013</v>
      </c>
      <c r="AD26" s="477">
        <f t="shared" si="5"/>
        <v>167.70342289289658</v>
      </c>
      <c r="AE26" s="393"/>
    </row>
    <row r="27" spans="1:31" ht="15.75" customHeight="1">
      <c r="A27" s="320">
        <f t="shared" si="11"/>
        <v>5</v>
      </c>
      <c r="B27" s="319" t="s">
        <v>247</v>
      </c>
      <c r="C27" s="320" t="s">
        <v>232</v>
      </c>
      <c r="D27" s="475">
        <f>+'[18]T-1'!R23</f>
        <v>2.0659999999999998</v>
      </c>
      <c r="E27" s="475"/>
      <c r="F27" s="473">
        <f>+'[18]T-1'!M23</f>
        <v>70</v>
      </c>
      <c r="G27" s="473">
        <f>+'[18]T-1'!N23</f>
        <v>1040</v>
      </c>
      <c r="H27" s="393">
        <f t="shared" si="6"/>
        <v>970</v>
      </c>
      <c r="I27" s="433"/>
      <c r="J27" s="436">
        <v>3.1</v>
      </c>
      <c r="K27" s="433"/>
      <c r="L27" s="433">
        <v>80</v>
      </c>
      <c r="M27" s="433">
        <v>50</v>
      </c>
      <c r="N27" s="433"/>
      <c r="O27" s="393"/>
      <c r="P27" s="477">
        <f t="shared" si="2"/>
        <v>341.42303969022265</v>
      </c>
      <c r="Q27" s="393"/>
      <c r="R27" s="476">
        <f t="shared" si="7"/>
        <v>0.64045999999999992</v>
      </c>
      <c r="S27" s="476">
        <f t="shared" si="8"/>
        <v>6.4920000000000005E-2</v>
      </c>
      <c r="T27" s="393"/>
      <c r="U27" s="476">
        <f t="shared" si="9"/>
        <v>0.7053799999999999</v>
      </c>
      <c r="V27" s="476"/>
      <c r="W27" s="477">
        <f t="shared" si="3"/>
        <v>338.00880929332038</v>
      </c>
      <c r="X27" s="435"/>
      <c r="Y27" s="436">
        <f>+U27*0.01</f>
        <v>7.053799999999999E-3</v>
      </c>
      <c r="Z27" s="476">
        <f t="shared" si="10"/>
        <v>0.6983261999999999</v>
      </c>
      <c r="AA27" s="393"/>
      <c r="AB27" s="221">
        <v>0.04</v>
      </c>
      <c r="AC27" s="476">
        <f t="shared" si="4"/>
        <v>2.5618399999999996E-2</v>
      </c>
      <c r="AD27" s="477">
        <f t="shared" si="5"/>
        <v>350.40880929332042</v>
      </c>
      <c r="AE27" s="393"/>
    </row>
    <row r="28" spans="1:31" ht="15.75" customHeight="1">
      <c r="A28" s="320">
        <f t="shared" si="11"/>
        <v>6</v>
      </c>
      <c r="B28" s="319" t="s">
        <v>248</v>
      </c>
      <c r="C28" s="320" t="s">
        <v>232</v>
      </c>
      <c r="D28" s="475">
        <f>+'[18]T-1'!R24</f>
        <v>36.634</v>
      </c>
      <c r="E28" s="475"/>
      <c r="F28" s="473">
        <f>+'[18]T-1'!M24</f>
        <v>2023</v>
      </c>
      <c r="G28" s="473">
        <f>+'[18]T-1'!N24</f>
        <v>9058</v>
      </c>
      <c r="H28" s="393">
        <f t="shared" si="6"/>
        <v>7035</v>
      </c>
      <c r="I28" s="433"/>
      <c r="J28" s="436">
        <v>6.2</v>
      </c>
      <c r="K28" s="433"/>
      <c r="L28" s="433">
        <v>20</v>
      </c>
      <c r="M28" s="433">
        <v>15</v>
      </c>
      <c r="N28" s="433"/>
      <c r="O28" s="393"/>
      <c r="P28" s="477">
        <f t="shared" si="2"/>
        <v>624.78195119288091</v>
      </c>
      <c r="Q28" s="393"/>
      <c r="R28" s="476">
        <f t="shared" si="7"/>
        <v>22.713080000000001</v>
      </c>
      <c r="S28" s="476">
        <f t="shared" si="8"/>
        <v>0.175182</v>
      </c>
      <c r="T28" s="393"/>
      <c r="U28" s="476">
        <f t="shared" si="9"/>
        <v>22.888262000000001</v>
      </c>
      <c r="V28" s="476"/>
      <c r="W28" s="477">
        <f t="shared" si="3"/>
        <v>622.78264894906363</v>
      </c>
      <c r="X28" s="436"/>
      <c r="Y28" s="436">
        <f>+U28*32%*0.01</f>
        <v>7.3242438399999998E-2</v>
      </c>
      <c r="Z28" s="476">
        <f t="shared" si="10"/>
        <v>22.8150195616</v>
      </c>
      <c r="AA28" s="393"/>
      <c r="AB28" s="220">
        <v>0.04</v>
      </c>
      <c r="AC28" s="476">
        <f t="shared" si="4"/>
        <v>0.90852320000000009</v>
      </c>
      <c r="AD28" s="477">
        <f t="shared" si="5"/>
        <v>647.5826489490637</v>
      </c>
      <c r="AE28" s="393"/>
    </row>
    <row r="29" spans="1:31" ht="15.75" customHeight="1">
      <c r="A29" s="320">
        <f t="shared" si="11"/>
        <v>7</v>
      </c>
      <c r="B29" s="319" t="s">
        <v>249</v>
      </c>
      <c r="C29" s="320" t="s">
        <v>232</v>
      </c>
      <c r="D29" s="475">
        <f>+'[18]T-1'!R25</f>
        <v>22.963999999999999</v>
      </c>
      <c r="E29" s="475"/>
      <c r="F29" s="473">
        <f>+'[18]T-1'!M25</f>
        <v>4383</v>
      </c>
      <c r="G29" s="473">
        <f>+'[18]T-1'!N25</f>
        <v>40713</v>
      </c>
      <c r="H29" s="393">
        <f t="shared" si="6"/>
        <v>36330</v>
      </c>
      <c r="I29" s="433"/>
      <c r="J29" s="436">
        <v>6.2</v>
      </c>
      <c r="K29" s="433"/>
      <c r="L29" s="433">
        <v>80</v>
      </c>
      <c r="M29" s="433">
        <v>35</v>
      </c>
      <c r="N29" s="433"/>
      <c r="O29" s="393"/>
      <c r="P29" s="477">
        <f t="shared" si="2"/>
        <v>704.76868141438786</v>
      </c>
      <c r="Q29" s="393"/>
      <c r="R29" s="476">
        <f t="shared" si="7"/>
        <v>14.237680000000001</v>
      </c>
      <c r="S29" s="476">
        <f t="shared" si="8"/>
        <v>1.946628</v>
      </c>
      <c r="T29" s="393"/>
      <c r="U29" s="476">
        <f t="shared" si="9"/>
        <v>16.184308000000001</v>
      </c>
      <c r="V29" s="476">
        <v>0.1</v>
      </c>
      <c r="W29" s="477">
        <f t="shared" si="3"/>
        <v>697.66868141438783</v>
      </c>
      <c r="X29" s="435">
        <f>+D29*71%</f>
        <v>16.30444</v>
      </c>
      <c r="Y29" s="436">
        <f>+V29*X29/10</f>
        <v>0.16304440000000001</v>
      </c>
      <c r="Z29" s="476">
        <f t="shared" si="10"/>
        <v>16.021263600000001</v>
      </c>
      <c r="AA29" s="393"/>
      <c r="AB29" s="220">
        <v>0.05</v>
      </c>
      <c r="AC29" s="476">
        <f t="shared" si="4"/>
        <v>0.71188400000000007</v>
      </c>
      <c r="AD29" s="477">
        <f t="shared" si="5"/>
        <v>728.66868141438795</v>
      </c>
      <c r="AE29" s="393"/>
    </row>
    <row r="30" spans="1:31" ht="15.75" customHeight="1">
      <c r="A30" s="320">
        <f t="shared" si="11"/>
        <v>8</v>
      </c>
      <c r="B30" s="319" t="s">
        <v>250</v>
      </c>
      <c r="C30" s="320" t="s">
        <v>232</v>
      </c>
      <c r="D30" s="475">
        <f>+'[18]T-1'!R26</f>
        <v>45.781999999999996</v>
      </c>
      <c r="E30" s="475"/>
      <c r="F30" s="473">
        <f>+'[18]T-1'!M26</f>
        <v>1155</v>
      </c>
      <c r="G30" s="473">
        <f>+'[18]T-1'!N26</f>
        <v>50851</v>
      </c>
      <c r="H30" s="393">
        <f t="shared" si="6"/>
        <v>49696</v>
      </c>
      <c r="I30" s="433"/>
      <c r="J30" s="436">
        <v>6.2</v>
      </c>
      <c r="K30" s="433"/>
      <c r="L30" s="433">
        <v>100</v>
      </c>
      <c r="M30" s="433">
        <v>80</v>
      </c>
      <c r="N30" s="433"/>
      <c r="O30" s="393"/>
      <c r="P30" s="477">
        <f t="shared" si="2"/>
        <v>727.23463369883359</v>
      </c>
      <c r="Q30" s="393"/>
      <c r="R30" s="476">
        <f t="shared" si="7"/>
        <v>28.384839999999997</v>
      </c>
      <c r="S30" s="476">
        <f t="shared" si="8"/>
        <v>4.9094160000000002</v>
      </c>
      <c r="T30" s="393"/>
      <c r="U30" s="476">
        <f t="shared" si="9"/>
        <v>33.294255999999997</v>
      </c>
      <c r="V30" s="476"/>
      <c r="W30" s="477">
        <f t="shared" si="3"/>
        <v>720.32590467869477</v>
      </c>
      <c r="X30" s="436"/>
      <c r="Y30" s="436">
        <f>+U30*95%*0.01</f>
        <v>0.31629543199999999</v>
      </c>
      <c r="Z30" s="476">
        <f t="shared" si="10"/>
        <v>32.977960568</v>
      </c>
      <c r="AA30" s="393"/>
      <c r="AB30" s="220">
        <v>0.08</v>
      </c>
      <c r="AC30" s="476">
        <f t="shared" si="4"/>
        <v>2.2707872</v>
      </c>
      <c r="AD30" s="477">
        <f t="shared" si="5"/>
        <v>769.92590467869479</v>
      </c>
      <c r="AE30" s="393"/>
    </row>
    <row r="31" spans="1:31" ht="15.75" customHeight="1">
      <c r="A31" s="320">
        <f t="shared" si="11"/>
        <v>9</v>
      </c>
      <c r="B31" s="319" t="s">
        <v>251</v>
      </c>
      <c r="C31" s="320" t="s">
        <v>232</v>
      </c>
      <c r="D31" s="475">
        <f>+'[18]T-1'!R27</f>
        <v>58.494999999999997</v>
      </c>
      <c r="E31" s="475"/>
      <c r="F31" s="473">
        <f>+'[18]T-1'!M27</f>
        <v>19643</v>
      </c>
      <c r="G31" s="473">
        <f>+'[18]T-1'!N27</f>
        <v>40628</v>
      </c>
      <c r="H31" s="393">
        <f t="shared" si="6"/>
        <v>20985</v>
      </c>
      <c r="I31" s="433"/>
      <c r="J31" s="436">
        <v>6.2</v>
      </c>
      <c r="K31" s="433"/>
      <c r="L31" s="433">
        <v>50</v>
      </c>
      <c r="M31" s="433">
        <v>50</v>
      </c>
      <c r="N31" s="433"/>
      <c r="O31" s="393"/>
      <c r="P31" s="477">
        <f t="shared" si="2"/>
        <v>661.67330541071885</v>
      </c>
      <c r="Q31" s="393"/>
      <c r="R31" s="476">
        <f t="shared" si="7"/>
        <v>36.2669</v>
      </c>
      <c r="S31" s="476">
        <f t="shared" si="8"/>
        <v>2.4376799999999998</v>
      </c>
      <c r="T31" s="393"/>
      <c r="U31" s="476">
        <f t="shared" si="9"/>
        <v>38.70458</v>
      </c>
      <c r="V31" s="476"/>
      <c r="W31" s="477">
        <f t="shared" si="3"/>
        <v>657.17392693392605</v>
      </c>
      <c r="X31" s="436"/>
      <c r="Y31" s="436">
        <f>+U31*68%*0.01</f>
        <v>0.26319114399999999</v>
      </c>
      <c r="Z31" s="476">
        <f t="shared" si="10"/>
        <v>38.441388856000003</v>
      </c>
      <c r="AA31" s="393"/>
      <c r="AB31" s="220">
        <v>0.04</v>
      </c>
      <c r="AC31" s="476">
        <f t="shared" si="4"/>
        <v>1.4506760000000001</v>
      </c>
      <c r="AD31" s="477">
        <f t="shared" si="5"/>
        <v>681.97392693392612</v>
      </c>
      <c r="AE31" s="393"/>
    </row>
    <row r="32" spans="1:31" ht="15.75" customHeight="1">
      <c r="A32" s="320">
        <f t="shared" si="11"/>
        <v>10</v>
      </c>
      <c r="B32" s="319" t="s">
        <v>252</v>
      </c>
      <c r="C32" s="320" t="s">
        <v>232</v>
      </c>
      <c r="D32" s="475">
        <f>+'[18]T-1'!R28</f>
        <v>66.402000000000001</v>
      </c>
      <c r="E32" s="475"/>
      <c r="F32" s="473">
        <f>+'[18]T-1'!M28</f>
        <v>4945</v>
      </c>
      <c r="G32" s="473">
        <f>+'[18]T-1'!N28</f>
        <v>32141</v>
      </c>
      <c r="H32" s="393">
        <f t="shared" si="6"/>
        <v>27196</v>
      </c>
      <c r="I32" s="433"/>
      <c r="J32" s="436">
        <v>6.2</v>
      </c>
      <c r="K32" s="433"/>
      <c r="L32" s="433">
        <v>50</v>
      </c>
      <c r="M32" s="433">
        <v>50</v>
      </c>
      <c r="N32" s="433"/>
      <c r="O32" s="393"/>
      <c r="P32" s="477">
        <f t="shared" si="2"/>
        <v>649.042197524171</v>
      </c>
      <c r="Q32" s="393"/>
      <c r="R32" s="476">
        <f t="shared" si="7"/>
        <v>41.169240000000002</v>
      </c>
      <c r="S32" s="476">
        <f t="shared" si="8"/>
        <v>1.9284600000000001</v>
      </c>
      <c r="T32" s="393"/>
      <c r="U32" s="476">
        <f t="shared" si="9"/>
        <v>43.097700000000003</v>
      </c>
      <c r="V32" s="476">
        <v>0.1</v>
      </c>
      <c r="W32" s="477">
        <f t="shared" si="3"/>
        <v>646.042197524171</v>
      </c>
      <c r="X32" s="435">
        <f>+D32*30%</f>
        <v>19.9206</v>
      </c>
      <c r="Y32" s="436">
        <f>+V32*X32/10</f>
        <v>0.19920600000000002</v>
      </c>
      <c r="Z32" s="476">
        <f t="shared" si="10"/>
        <v>42.898494000000007</v>
      </c>
      <c r="AA32" s="393"/>
      <c r="AB32" s="442"/>
      <c r="AC32" s="393"/>
      <c r="AD32" s="473"/>
      <c r="AE32" s="393"/>
    </row>
    <row r="33" spans="1:31" ht="15.75" customHeight="1">
      <c r="A33" s="320">
        <f t="shared" si="11"/>
        <v>11</v>
      </c>
      <c r="B33" s="319" t="s">
        <v>253</v>
      </c>
      <c r="C33" s="320" t="s">
        <v>232</v>
      </c>
      <c r="D33" s="475"/>
      <c r="E33" s="475"/>
      <c r="F33" s="473"/>
      <c r="G33" s="473"/>
      <c r="H33" s="393"/>
      <c r="I33" s="433">
        <v>200</v>
      </c>
      <c r="J33" s="436">
        <v>6.2</v>
      </c>
      <c r="K33" s="433"/>
      <c r="L33" s="433"/>
      <c r="M33" s="433"/>
      <c r="N33" s="433">
        <v>30</v>
      </c>
      <c r="O33" s="393"/>
      <c r="P33" s="477"/>
      <c r="Q33" s="393"/>
      <c r="R33" s="393"/>
      <c r="S33" s="393"/>
      <c r="T33" s="393"/>
      <c r="U33" s="476"/>
      <c r="V33" s="476"/>
      <c r="W33" s="476"/>
      <c r="X33" s="436"/>
      <c r="Y33" s="436"/>
      <c r="Z33" s="476"/>
      <c r="AA33" s="393"/>
      <c r="AB33" s="434"/>
      <c r="AC33" s="393"/>
      <c r="AD33" s="473"/>
      <c r="AE33" s="393"/>
    </row>
    <row r="34" spans="1:31" ht="15.75" customHeight="1">
      <c r="A34" s="320">
        <f t="shared" si="11"/>
        <v>12</v>
      </c>
      <c r="B34" s="319" t="s">
        <v>254</v>
      </c>
      <c r="C34" s="320" t="s">
        <v>232</v>
      </c>
      <c r="D34" s="475"/>
      <c r="E34" s="475"/>
      <c r="F34" s="473"/>
      <c r="G34" s="473"/>
      <c r="H34" s="393"/>
      <c r="I34" s="433">
        <v>200</v>
      </c>
      <c r="J34" s="436">
        <v>6.2</v>
      </c>
      <c r="K34" s="433"/>
      <c r="L34" s="433"/>
      <c r="M34" s="433"/>
      <c r="N34" s="433">
        <v>30</v>
      </c>
      <c r="O34" s="393"/>
      <c r="P34" s="477"/>
      <c r="Q34" s="393"/>
      <c r="R34" s="393"/>
      <c r="S34" s="393"/>
      <c r="T34" s="393"/>
      <c r="U34" s="476"/>
      <c r="V34" s="476"/>
      <c r="W34" s="476"/>
      <c r="X34" s="436"/>
      <c r="Y34" s="436"/>
      <c r="Z34" s="476"/>
      <c r="AA34" s="393"/>
      <c r="AB34" s="434"/>
      <c r="AC34" s="393"/>
      <c r="AD34" s="473"/>
      <c r="AE34" s="393"/>
    </row>
    <row r="35" spans="1:31" ht="15.75" customHeight="1">
      <c r="A35" s="320">
        <f t="shared" si="11"/>
        <v>13</v>
      </c>
      <c r="B35" s="319" t="s">
        <v>255</v>
      </c>
      <c r="C35" s="320" t="s">
        <v>232</v>
      </c>
      <c r="D35" s="475"/>
      <c r="E35" s="475"/>
      <c r="F35" s="393"/>
      <c r="G35" s="393"/>
      <c r="H35" s="393"/>
      <c r="I35" s="433">
        <v>200</v>
      </c>
      <c r="J35" s="436">
        <v>6.2</v>
      </c>
      <c r="K35" s="433"/>
      <c r="L35" s="433"/>
      <c r="M35" s="433"/>
      <c r="N35" s="433">
        <v>30</v>
      </c>
      <c r="O35" s="393"/>
      <c r="P35" s="477"/>
      <c r="Q35" s="393"/>
      <c r="R35" s="393"/>
      <c r="S35" s="393"/>
      <c r="T35" s="393"/>
      <c r="U35" s="393"/>
      <c r="V35" s="476"/>
      <c r="W35" s="393"/>
      <c r="X35" s="433"/>
      <c r="Y35" s="433"/>
      <c r="Z35" s="393"/>
      <c r="AA35" s="393"/>
      <c r="AB35" s="434"/>
      <c r="AC35" s="393"/>
      <c r="AD35" s="473"/>
      <c r="AE35" s="393"/>
    </row>
    <row r="36" spans="1:31" ht="15.75" customHeight="1">
      <c r="A36" s="320"/>
      <c r="B36" s="328" t="s">
        <v>256</v>
      </c>
      <c r="C36" s="328"/>
      <c r="D36" s="478">
        <f>D19+D24+SUM(D25:D35)</f>
        <v>2678.7820000000002</v>
      </c>
      <c r="E36" s="475"/>
      <c r="F36" s="481">
        <f>F19+F24+SUM(F25:F35)</f>
        <v>1993549</v>
      </c>
      <c r="G36" s="481">
        <f>G19+G24+SUM(G25:G35)</f>
        <v>2440338</v>
      </c>
      <c r="H36" s="393"/>
      <c r="I36" s="433"/>
      <c r="J36" s="436"/>
      <c r="K36" s="433"/>
      <c r="L36" s="433"/>
      <c r="M36" s="433"/>
      <c r="N36" s="433"/>
      <c r="O36" s="393"/>
      <c r="P36" s="482">
        <f>+U36/D36*1000</f>
        <v>501.50803563125811</v>
      </c>
      <c r="Q36" s="483">
        <f>Q19+Q24+SUM(Q25:Q35)</f>
        <v>0</v>
      </c>
      <c r="R36" s="483">
        <f>R19+R24+SUM(R25:R35)</f>
        <v>1261.6767447043728</v>
      </c>
      <c r="S36" s="483">
        <f>S19+S24+SUM(S25:S35)</f>
        <v>81.753953999999993</v>
      </c>
      <c r="T36" s="483">
        <f>T19+T24+SUM(T25:T35)</f>
        <v>0</v>
      </c>
      <c r="U36" s="483">
        <f>U19+U24+SUM(U25:U35)</f>
        <v>1343.4306987043728</v>
      </c>
      <c r="V36" s="476"/>
      <c r="W36" s="482">
        <f>+Z36/D36*1000</f>
        <v>495.57869118874657</v>
      </c>
      <c r="X36" s="433"/>
      <c r="Y36" s="441">
        <f>Y19+Y24+SUM(Y25:Y35)</f>
        <v>15.883421164400001</v>
      </c>
      <c r="Z36" s="483">
        <f>Z19+Z24+SUM(Z25:Z35)</f>
        <v>1327.547277539973</v>
      </c>
      <c r="AA36" s="393"/>
      <c r="AB36" s="434"/>
      <c r="AC36" s="483">
        <f>AC19+AC24+SUM(AC25:AC35)</f>
        <v>49.697495588174917</v>
      </c>
      <c r="AD36" s="482">
        <f>(Z36+AC36)/D36*1000</f>
        <v>514.13096441895902</v>
      </c>
      <c r="AE36" s="393"/>
    </row>
    <row r="37" spans="1:31" ht="15.75" customHeight="1">
      <c r="A37" s="320"/>
      <c r="B37" s="317" t="s">
        <v>257</v>
      </c>
      <c r="C37" s="320"/>
      <c r="D37" s="475"/>
      <c r="E37" s="475"/>
      <c r="F37" s="473"/>
      <c r="G37" s="473"/>
      <c r="H37" s="393"/>
      <c r="I37" s="433"/>
      <c r="J37" s="436"/>
      <c r="K37" s="433"/>
      <c r="L37" s="433"/>
      <c r="M37" s="433"/>
      <c r="N37" s="433"/>
      <c r="O37" s="393"/>
      <c r="P37" s="393"/>
      <c r="Q37" s="393"/>
      <c r="R37" s="393"/>
      <c r="S37" s="393"/>
      <c r="T37" s="393"/>
      <c r="U37" s="393"/>
      <c r="V37" s="476"/>
      <c r="W37" s="393"/>
      <c r="X37" s="433"/>
      <c r="Y37" s="433"/>
      <c r="Z37" s="393"/>
      <c r="AA37" s="393"/>
      <c r="AB37" s="222"/>
      <c r="AC37" s="393"/>
      <c r="AD37" s="473"/>
      <c r="AE37" s="393"/>
    </row>
    <row r="38" spans="1:31" ht="15.75" customHeight="1">
      <c r="A38" s="320">
        <v>13</v>
      </c>
      <c r="B38" s="319" t="s">
        <v>258</v>
      </c>
      <c r="C38" s="320" t="s">
        <v>259</v>
      </c>
      <c r="D38" s="475">
        <f>+'[18]T-1'!R34</f>
        <v>17.512</v>
      </c>
      <c r="E38" s="435">
        <f>+D38*0.5%</f>
        <v>8.7559999999999999E-2</v>
      </c>
      <c r="F38" s="473">
        <f>+'[18]T-1'!M34</f>
        <v>26</v>
      </c>
      <c r="G38" s="473">
        <f>+'[18]T-1'!N34</f>
        <v>10025</v>
      </c>
      <c r="H38" s="393"/>
      <c r="I38" s="433">
        <v>20</v>
      </c>
      <c r="J38" s="436">
        <v>4.9000000000000004</v>
      </c>
      <c r="K38" s="433"/>
      <c r="L38" s="433"/>
      <c r="M38" s="433"/>
      <c r="N38" s="433">
        <v>250</v>
      </c>
      <c r="O38" s="393"/>
      <c r="P38" s="477">
        <f t="shared" ref="P38:P53" si="12">+U38/D38*1000</f>
        <v>495.43672910004568</v>
      </c>
      <c r="Q38" s="436">
        <f>G38*I38*80%/10^7*12</f>
        <v>0.19247999999999998</v>
      </c>
      <c r="R38" s="436">
        <f>((D38*J38)-(D38*0.3*0.2))/10</f>
        <v>8.4758080000000007</v>
      </c>
      <c r="S38" s="393"/>
      <c r="T38" s="476">
        <f t="shared" ref="T38:T52" si="13">(F38*N38*12)/10^7</f>
        <v>7.7999999999999996E-3</v>
      </c>
      <c r="U38" s="476">
        <f t="shared" ref="U38:U52" si="14">SUM(Q38:T38)</f>
        <v>8.676088</v>
      </c>
      <c r="V38" s="476">
        <v>0.1</v>
      </c>
      <c r="W38" s="477">
        <f t="shared" ref="W38:W53" si="15">+Z38/D38*1000</f>
        <v>485.8367291000456</v>
      </c>
      <c r="X38" s="435">
        <f>+D38*96%</f>
        <v>16.811520000000002</v>
      </c>
      <c r="Y38" s="436">
        <f>+V38*X38/10</f>
        <v>0.16811520000000002</v>
      </c>
      <c r="Z38" s="476">
        <f t="shared" ref="Z38:Z53" si="16">+U38-Y38</f>
        <v>8.5079727999999992</v>
      </c>
      <c r="AA38" s="393"/>
      <c r="AB38" s="222">
        <v>0.08</v>
      </c>
      <c r="AC38" s="476">
        <f t="shared" ref="AC38:AC45" si="17">+R38*AB38</f>
        <v>0.67806464000000011</v>
      </c>
      <c r="AD38" s="477">
        <f t="shared" ref="AD38:AD45" si="18">(Z38+AC38)/D38*1000</f>
        <v>524.55672910004569</v>
      </c>
      <c r="AE38" s="393"/>
    </row>
    <row r="39" spans="1:31" ht="15.75" customHeight="1">
      <c r="A39" s="320">
        <f t="shared" ref="A39:A52" si="19">A38+1</f>
        <v>14</v>
      </c>
      <c r="B39" s="319" t="s">
        <v>245</v>
      </c>
      <c r="C39" s="320" t="s">
        <v>259</v>
      </c>
      <c r="D39" s="475">
        <f>+'[18]T-1'!R35</f>
        <v>6.4850000000000003</v>
      </c>
      <c r="E39" s="435">
        <f>+D39*0%</f>
        <v>0</v>
      </c>
      <c r="F39" s="473">
        <f>+'[18]T-1'!M35</f>
        <v>11</v>
      </c>
      <c r="G39" s="473">
        <f>+'[18]T-1'!N35</f>
        <v>41650</v>
      </c>
      <c r="H39" s="393"/>
      <c r="I39" s="433">
        <v>0</v>
      </c>
      <c r="J39" s="436">
        <v>3.85</v>
      </c>
      <c r="K39" s="433"/>
      <c r="L39" s="433"/>
      <c r="M39" s="433"/>
      <c r="N39" s="433">
        <v>250</v>
      </c>
      <c r="O39" s="393"/>
      <c r="P39" s="477">
        <f t="shared" si="12"/>
        <v>381.50886661526602</v>
      </c>
      <c r="Q39" s="436">
        <f t="shared" ref="Q39:Q52" si="20">G39*I39*80%/10^7*12</f>
        <v>0</v>
      </c>
      <c r="R39" s="436">
        <f>((D39*J39)-(D39*0.2*0.2))/10</f>
        <v>2.4707850000000002</v>
      </c>
      <c r="S39" s="393"/>
      <c r="T39" s="476">
        <f t="shared" si="13"/>
        <v>3.3E-3</v>
      </c>
      <c r="U39" s="476">
        <f t="shared" si="14"/>
        <v>2.4740850000000001</v>
      </c>
      <c r="V39" s="476">
        <v>0.1</v>
      </c>
      <c r="W39" s="477">
        <f t="shared" si="15"/>
        <v>371.50886661526602</v>
      </c>
      <c r="X39" s="435">
        <f>+D39*100%</f>
        <v>6.4850000000000003</v>
      </c>
      <c r="Y39" s="436">
        <f>+V39*X39/10</f>
        <v>6.4850000000000005E-2</v>
      </c>
      <c r="Z39" s="476">
        <f t="shared" si="16"/>
        <v>2.4092350000000002</v>
      </c>
      <c r="AA39" s="393"/>
      <c r="AB39" s="443">
        <v>0.02</v>
      </c>
      <c r="AC39" s="476">
        <f t="shared" si="17"/>
        <v>4.9415700000000007E-2</v>
      </c>
      <c r="AD39" s="477">
        <f t="shared" si="18"/>
        <v>379.12886661526602</v>
      </c>
      <c r="AE39" s="393"/>
    </row>
    <row r="40" spans="1:31" ht="15.75" customHeight="1">
      <c r="A40" s="320">
        <f t="shared" si="19"/>
        <v>15</v>
      </c>
      <c r="B40" s="319" t="s">
        <v>246</v>
      </c>
      <c r="C40" s="320" t="s">
        <v>259</v>
      </c>
      <c r="D40" s="475">
        <f>+'[18]T-1'!R36</f>
        <v>31.154</v>
      </c>
      <c r="E40" s="435">
        <f>+D40*0%</f>
        <v>0</v>
      </c>
      <c r="F40" s="473">
        <f>+'[18]T-1'!M36</f>
        <v>82</v>
      </c>
      <c r="G40" s="473">
        <f>+'[18]T-1'!N36</f>
        <v>20185</v>
      </c>
      <c r="H40" s="393"/>
      <c r="I40" s="433">
        <v>30</v>
      </c>
      <c r="J40" s="436">
        <v>1.5</v>
      </c>
      <c r="K40" s="433"/>
      <c r="L40" s="433"/>
      <c r="M40" s="433"/>
      <c r="N40" s="433">
        <v>250</v>
      </c>
      <c r="O40" s="393"/>
      <c r="P40" s="477">
        <f t="shared" si="12"/>
        <v>161.44944469410029</v>
      </c>
      <c r="Q40" s="436">
        <f t="shared" si="20"/>
        <v>0.58132800000000007</v>
      </c>
      <c r="R40" s="436">
        <f>((D40*J40)-(D40*0.4*0.2))/10</f>
        <v>4.4238680000000006</v>
      </c>
      <c r="S40" s="393"/>
      <c r="T40" s="476">
        <f t="shared" si="13"/>
        <v>2.46E-2</v>
      </c>
      <c r="U40" s="476">
        <f t="shared" si="14"/>
        <v>5.029796000000001</v>
      </c>
      <c r="V40" s="476">
        <v>0.1</v>
      </c>
      <c r="W40" s="477">
        <f t="shared" si="15"/>
        <v>151.94944469410029</v>
      </c>
      <c r="X40" s="435">
        <f>+D40*95%</f>
        <v>29.596299999999999</v>
      </c>
      <c r="Y40" s="436">
        <f>+V40*X40/10</f>
        <v>0.29596300000000003</v>
      </c>
      <c r="Z40" s="476">
        <f t="shared" si="16"/>
        <v>4.7338330000000006</v>
      </c>
      <c r="AA40" s="393"/>
      <c r="AB40" s="443">
        <v>0.08</v>
      </c>
      <c r="AC40" s="476">
        <f t="shared" si="17"/>
        <v>0.35390944000000008</v>
      </c>
      <c r="AD40" s="477">
        <f t="shared" si="18"/>
        <v>163.30944469410031</v>
      </c>
      <c r="AE40" s="393"/>
    </row>
    <row r="41" spans="1:31" ht="15.75" customHeight="1">
      <c r="A41" s="320">
        <f t="shared" si="19"/>
        <v>16</v>
      </c>
      <c r="B41" s="319" t="s">
        <v>247</v>
      </c>
      <c r="C41" s="320" t="s">
        <v>259</v>
      </c>
      <c r="D41" s="475">
        <f>+'[18]T-1'!R37</f>
        <v>49.17</v>
      </c>
      <c r="E41" s="435">
        <f>+D41*2%</f>
        <v>0.98340000000000005</v>
      </c>
      <c r="F41" s="473"/>
      <c r="G41" s="473"/>
      <c r="H41" s="393"/>
      <c r="I41" s="433">
        <v>50</v>
      </c>
      <c r="J41" s="436">
        <v>3</v>
      </c>
      <c r="K41" s="433"/>
      <c r="L41" s="433"/>
      <c r="M41" s="433"/>
      <c r="N41" s="433">
        <v>250</v>
      </c>
      <c r="O41" s="393"/>
      <c r="P41" s="477">
        <f t="shared" si="12"/>
        <v>295</v>
      </c>
      <c r="Q41" s="436">
        <f t="shared" si="20"/>
        <v>0</v>
      </c>
      <c r="R41" s="436">
        <f>((D41*J41)-(D41*0.25*0.2))/10</f>
        <v>14.50515</v>
      </c>
      <c r="S41" s="393"/>
      <c r="T41" s="476">
        <f t="shared" si="13"/>
        <v>0</v>
      </c>
      <c r="U41" s="476">
        <f t="shared" si="14"/>
        <v>14.50515</v>
      </c>
      <c r="V41" s="476"/>
      <c r="W41" s="477">
        <f t="shared" si="15"/>
        <v>292.19749999999999</v>
      </c>
      <c r="X41" s="433"/>
      <c r="Y41" s="436">
        <f>+U41*95%*0.01</f>
        <v>0.13779892499999999</v>
      </c>
      <c r="Z41" s="476">
        <f t="shared" si="16"/>
        <v>14.367351075</v>
      </c>
      <c r="AA41" s="393"/>
      <c r="AB41" s="443">
        <v>0.08</v>
      </c>
      <c r="AC41" s="476">
        <f t="shared" si="17"/>
        <v>1.160412</v>
      </c>
      <c r="AD41" s="477">
        <f t="shared" si="18"/>
        <v>315.79749999999996</v>
      </c>
      <c r="AE41" s="393"/>
    </row>
    <row r="42" spans="1:31" ht="15.75" customHeight="1">
      <c r="A42" s="320">
        <f t="shared" si="19"/>
        <v>17</v>
      </c>
      <c r="B42" s="319" t="s">
        <v>251</v>
      </c>
      <c r="C42" s="320" t="s">
        <v>259</v>
      </c>
      <c r="D42" s="475">
        <f>+'[18]T-1'!R38</f>
        <v>26.318999999999999</v>
      </c>
      <c r="E42" s="435">
        <f>+D42*3.25%</f>
        <v>0.85536749999999995</v>
      </c>
      <c r="F42" s="473">
        <f>+'[18]T-1'!M38</f>
        <v>60</v>
      </c>
      <c r="G42" s="473">
        <f>+'[18]T-1'!N38</f>
        <v>32807</v>
      </c>
      <c r="H42" s="393"/>
      <c r="I42" s="433">
        <v>250</v>
      </c>
      <c r="J42" s="436">
        <v>5.85</v>
      </c>
      <c r="K42" s="433">
        <v>4.75</v>
      </c>
      <c r="L42" s="433"/>
      <c r="M42" s="433"/>
      <c r="N42" s="433">
        <v>250</v>
      </c>
      <c r="O42" s="393"/>
      <c r="P42" s="477">
        <f t="shared" si="12"/>
        <v>876.67225863444662</v>
      </c>
      <c r="Q42" s="436">
        <f t="shared" si="20"/>
        <v>7.8736799999999993</v>
      </c>
      <c r="R42" s="436">
        <f>(((D42-E42)*J42)+(E42*K42)-(D42*0.23*0.2))/10</f>
        <v>15.181457175</v>
      </c>
      <c r="S42" s="393"/>
      <c r="T42" s="476">
        <f t="shared" si="13"/>
        <v>1.7999999999999999E-2</v>
      </c>
      <c r="U42" s="476">
        <f t="shared" si="14"/>
        <v>23.073137174999999</v>
      </c>
      <c r="V42" s="476"/>
      <c r="W42" s="477">
        <f t="shared" si="15"/>
        <v>869.22054443605384</v>
      </c>
      <c r="X42" s="433"/>
      <c r="Y42" s="436">
        <f>+U42*85%*0.01</f>
        <v>0.19612166598749997</v>
      </c>
      <c r="Z42" s="476">
        <f t="shared" si="16"/>
        <v>22.877015509012498</v>
      </c>
      <c r="AA42" s="393"/>
      <c r="AB42" s="222">
        <v>0.08</v>
      </c>
      <c r="AC42" s="476">
        <f t="shared" si="17"/>
        <v>1.2145165740000001</v>
      </c>
      <c r="AD42" s="477">
        <f t="shared" si="18"/>
        <v>915.3665444360538</v>
      </c>
      <c r="AE42" s="393"/>
    </row>
    <row r="43" spans="1:31" ht="15.75" customHeight="1">
      <c r="A43" s="320">
        <f t="shared" si="19"/>
        <v>18</v>
      </c>
      <c r="B43" s="319" t="s">
        <v>260</v>
      </c>
      <c r="C43" s="320" t="s">
        <v>259</v>
      </c>
      <c r="D43" s="475"/>
      <c r="E43" s="435"/>
      <c r="F43" s="473"/>
      <c r="G43" s="473"/>
      <c r="H43" s="393"/>
      <c r="I43" s="433">
        <v>250</v>
      </c>
      <c r="J43" s="436">
        <v>5.85</v>
      </c>
      <c r="K43" s="433">
        <v>4.75</v>
      </c>
      <c r="L43" s="433"/>
      <c r="M43" s="433"/>
      <c r="N43" s="433">
        <v>250</v>
      </c>
      <c r="O43" s="393"/>
      <c r="P43" s="477" t="e">
        <f t="shared" si="12"/>
        <v>#DIV/0!</v>
      </c>
      <c r="Q43" s="436">
        <f t="shared" si="20"/>
        <v>0</v>
      </c>
      <c r="R43" s="433"/>
      <c r="S43" s="393"/>
      <c r="T43" s="476">
        <f t="shared" si="13"/>
        <v>0</v>
      </c>
      <c r="U43" s="476">
        <f t="shared" si="14"/>
        <v>0</v>
      </c>
      <c r="V43" s="476">
        <v>0.1</v>
      </c>
      <c r="W43" s="477" t="e">
        <f t="shared" si="15"/>
        <v>#DIV/0!</v>
      </c>
      <c r="X43" s="435">
        <f>+D43*95%</f>
        <v>0</v>
      </c>
      <c r="Y43" s="436">
        <f>+V43*X43/10</f>
        <v>0</v>
      </c>
      <c r="Z43" s="476">
        <f t="shared" si="16"/>
        <v>0</v>
      </c>
      <c r="AA43" s="393"/>
      <c r="AB43" s="222">
        <v>0.08</v>
      </c>
      <c r="AC43" s="476">
        <f t="shared" si="17"/>
        <v>0</v>
      </c>
      <c r="AD43" s="477" t="e">
        <f t="shared" si="18"/>
        <v>#DIV/0!</v>
      </c>
      <c r="AE43" s="393"/>
    </row>
    <row r="44" spans="1:31" ht="15.75" customHeight="1">
      <c r="A44" s="320">
        <f t="shared" si="19"/>
        <v>19</v>
      </c>
      <c r="B44" s="319" t="s">
        <v>254</v>
      </c>
      <c r="C44" s="320"/>
      <c r="D44" s="475">
        <f>+'[18]T-1'!R40</f>
        <v>74.994</v>
      </c>
      <c r="E44" s="435">
        <f>+D44*2.5%</f>
        <v>1.8748500000000001</v>
      </c>
      <c r="F44" s="473">
        <f>+'[18]T-1'!M40</f>
        <v>160</v>
      </c>
      <c r="G44" s="473">
        <f>+'[18]T-1'!N40</f>
        <v>44840</v>
      </c>
      <c r="H44" s="393"/>
      <c r="I44" s="433">
        <v>250</v>
      </c>
      <c r="J44" s="436">
        <v>5.85</v>
      </c>
      <c r="K44" s="433">
        <v>4.75</v>
      </c>
      <c r="L44" s="433"/>
      <c r="M44" s="433"/>
      <c r="N44" s="433">
        <v>250</v>
      </c>
      <c r="O44" s="393"/>
      <c r="P44" s="477">
        <f t="shared" si="12"/>
        <v>721.38953116249297</v>
      </c>
      <c r="Q44" s="436">
        <f t="shared" si="20"/>
        <v>10.761600000000001</v>
      </c>
      <c r="R44" s="436">
        <f>(((D44-E44)*J44)+(E44*K44)-(D44*0.25*0.2))/10</f>
        <v>43.290286499999993</v>
      </c>
      <c r="S44" s="393"/>
      <c r="T44" s="476">
        <f t="shared" si="13"/>
        <v>4.8000000000000001E-2</v>
      </c>
      <c r="U44" s="476">
        <f t="shared" si="14"/>
        <v>54.099886499999997</v>
      </c>
      <c r="V44" s="476"/>
      <c r="W44" s="477">
        <f t="shared" si="15"/>
        <v>714.53633061644928</v>
      </c>
      <c r="X44" s="433"/>
      <c r="Y44" s="436">
        <f>+U44*95%*0.01</f>
        <v>0.51394892174999995</v>
      </c>
      <c r="Z44" s="476">
        <f t="shared" si="16"/>
        <v>53.585937578249997</v>
      </c>
      <c r="AA44" s="393"/>
      <c r="AB44" s="222">
        <v>0.08</v>
      </c>
      <c r="AC44" s="476">
        <f t="shared" si="17"/>
        <v>3.4632229199999998</v>
      </c>
      <c r="AD44" s="477">
        <f t="shared" si="18"/>
        <v>760.71633061644923</v>
      </c>
      <c r="AE44" s="393"/>
    </row>
    <row r="45" spans="1:31" ht="15.75" customHeight="1">
      <c r="A45" s="320">
        <f t="shared" si="19"/>
        <v>20</v>
      </c>
      <c r="B45" s="319" t="s">
        <v>261</v>
      </c>
      <c r="C45" s="320" t="s">
        <v>259</v>
      </c>
      <c r="D45" s="475"/>
      <c r="E45" s="435"/>
      <c r="F45" s="473"/>
      <c r="G45" s="473"/>
      <c r="H45" s="393"/>
      <c r="I45" s="433">
        <v>150</v>
      </c>
      <c r="J45" s="436">
        <v>5.85</v>
      </c>
      <c r="K45" s="433">
        <v>4.75</v>
      </c>
      <c r="L45" s="433"/>
      <c r="M45" s="433"/>
      <c r="N45" s="433">
        <v>250</v>
      </c>
      <c r="O45" s="393"/>
      <c r="P45" s="477" t="e">
        <f t="shared" si="12"/>
        <v>#DIV/0!</v>
      </c>
      <c r="Q45" s="436">
        <f t="shared" si="20"/>
        <v>0</v>
      </c>
      <c r="R45" s="433"/>
      <c r="S45" s="393"/>
      <c r="T45" s="476">
        <f t="shared" si="13"/>
        <v>0</v>
      </c>
      <c r="U45" s="476">
        <f t="shared" si="14"/>
        <v>0</v>
      </c>
      <c r="V45" s="476"/>
      <c r="W45" s="477" t="e">
        <f t="shared" si="15"/>
        <v>#DIV/0!</v>
      </c>
      <c r="X45" s="436"/>
      <c r="Y45" s="436"/>
      <c r="Z45" s="476">
        <f t="shared" si="16"/>
        <v>0</v>
      </c>
      <c r="AA45" s="393"/>
      <c r="AB45" s="222">
        <v>0.08</v>
      </c>
      <c r="AC45" s="476">
        <f t="shared" si="17"/>
        <v>0</v>
      </c>
      <c r="AD45" s="477" t="e">
        <f t="shared" si="18"/>
        <v>#DIV/0!</v>
      </c>
      <c r="AE45" s="393"/>
    </row>
    <row r="46" spans="1:31" ht="15.75" customHeight="1">
      <c r="A46" s="320">
        <f t="shared" si="19"/>
        <v>21</v>
      </c>
      <c r="B46" s="319" t="s">
        <v>262</v>
      </c>
      <c r="C46" s="320" t="s">
        <v>259</v>
      </c>
      <c r="D46" s="475">
        <f>+'[18]T-1'!R42</f>
        <v>21.05</v>
      </c>
      <c r="E46" s="435">
        <f>+D46*1%</f>
        <v>0.21050000000000002</v>
      </c>
      <c r="F46" s="473">
        <f>+'[18]T-1'!M42</f>
        <v>51</v>
      </c>
      <c r="G46" s="473">
        <f>+'[18]T-1'!N42</f>
        <v>21908</v>
      </c>
      <c r="H46" s="393"/>
      <c r="I46" s="433">
        <v>250</v>
      </c>
      <c r="J46" s="436">
        <v>5.85</v>
      </c>
      <c r="K46" s="433">
        <v>4.75</v>
      </c>
      <c r="L46" s="433"/>
      <c r="M46" s="433"/>
      <c r="N46" s="433">
        <v>250</v>
      </c>
      <c r="O46" s="393"/>
      <c r="P46" s="477">
        <f t="shared" si="12"/>
        <v>828.80926365795722</v>
      </c>
      <c r="Q46" s="436">
        <f t="shared" si="20"/>
        <v>5.2579200000000004</v>
      </c>
      <c r="R46" s="436">
        <f>(((D46-E46)*J46)+(E46*K46)-(D46*0.28*0.2))/10</f>
        <v>12.173215000000001</v>
      </c>
      <c r="S46" s="393"/>
      <c r="T46" s="476">
        <f t="shared" si="13"/>
        <v>1.5299999999999999E-2</v>
      </c>
      <c r="U46" s="476">
        <f t="shared" si="14"/>
        <v>17.446435000000001</v>
      </c>
      <c r="V46" s="476">
        <v>0.1</v>
      </c>
      <c r="W46" s="477">
        <f t="shared" si="15"/>
        <v>819.80926365795722</v>
      </c>
      <c r="X46" s="435">
        <f>+D46*90%</f>
        <v>18.945</v>
      </c>
      <c r="Y46" s="436">
        <f>+V46*X46/10</f>
        <v>0.18945000000000001</v>
      </c>
      <c r="Z46" s="476">
        <f t="shared" si="16"/>
        <v>17.256985</v>
      </c>
      <c r="AA46" s="393"/>
      <c r="AB46" s="436"/>
      <c r="AC46" s="393"/>
      <c r="AD46" s="473"/>
      <c r="AE46" s="393"/>
    </row>
    <row r="47" spans="1:31" ht="15.75" customHeight="1">
      <c r="A47" s="320">
        <f t="shared" si="19"/>
        <v>22</v>
      </c>
      <c r="B47" s="319" t="s">
        <v>255</v>
      </c>
      <c r="C47" s="320" t="s">
        <v>259</v>
      </c>
      <c r="D47" s="475">
        <f>+'[18]T-1'!R43</f>
        <v>569.51199999999994</v>
      </c>
      <c r="E47" s="435">
        <f>+D47*9.75%</f>
        <v>55.527419999999999</v>
      </c>
      <c r="F47" s="473">
        <f>+'[18]T-1'!M43</f>
        <v>406</v>
      </c>
      <c r="G47" s="473">
        <f>+'[18]T-1'!N43</f>
        <v>223001</v>
      </c>
      <c r="H47" s="393"/>
      <c r="I47" s="433">
        <v>250</v>
      </c>
      <c r="J47" s="436">
        <v>5.85</v>
      </c>
      <c r="K47" s="433">
        <v>4.75</v>
      </c>
      <c r="L47" s="433"/>
      <c r="M47" s="433"/>
      <c r="N47" s="433">
        <v>250</v>
      </c>
      <c r="O47" s="393"/>
      <c r="P47" s="477">
        <f t="shared" si="12"/>
        <v>662.46448152102141</v>
      </c>
      <c r="Q47" s="436">
        <f t="shared" si="20"/>
        <v>53.520240000000001</v>
      </c>
      <c r="R47" s="436">
        <f>((((D47-E47)*J47)+(E47*K47)-(D47*0.3*0.2))/10)</f>
        <v>323.6394317999999</v>
      </c>
      <c r="S47" s="393"/>
      <c r="T47" s="476">
        <f t="shared" si="13"/>
        <v>0.12180000000000001</v>
      </c>
      <c r="U47" s="476">
        <f t="shared" si="14"/>
        <v>377.28147179999991</v>
      </c>
      <c r="V47" s="476"/>
      <c r="W47" s="477">
        <f t="shared" si="15"/>
        <v>656.50230118733225</v>
      </c>
      <c r="X47" s="436"/>
      <c r="Y47" s="436">
        <f>+U47*90%*0.01</f>
        <v>3.395533246199999</v>
      </c>
      <c r="Z47" s="476">
        <f t="shared" si="16"/>
        <v>373.88593855379992</v>
      </c>
      <c r="AA47" s="393"/>
      <c r="AB47" s="222">
        <v>0.08</v>
      </c>
      <c r="AC47" s="476">
        <f>+R47*AB47</f>
        <v>25.891154543999992</v>
      </c>
      <c r="AD47" s="477">
        <f>(Z47+AC47)/D47*1000</f>
        <v>701.96430118733224</v>
      </c>
      <c r="AE47" s="393"/>
    </row>
    <row r="48" spans="1:31" ht="15.75" customHeight="1">
      <c r="A48" s="320">
        <f t="shared" si="19"/>
        <v>23</v>
      </c>
      <c r="B48" s="319" t="s">
        <v>263</v>
      </c>
      <c r="C48" s="320" t="s">
        <v>259</v>
      </c>
      <c r="D48" s="475">
        <f>+'[18]T-1'!R44</f>
        <v>25.632999999999999</v>
      </c>
      <c r="E48" s="435">
        <f>+D48*9%</f>
        <v>2.3069699999999997</v>
      </c>
      <c r="F48" s="473">
        <f>+'[18]T-1'!M44</f>
        <v>1</v>
      </c>
      <c r="G48" s="473">
        <f>+'[18]T-1'!N44</f>
        <v>10700</v>
      </c>
      <c r="H48" s="393"/>
      <c r="I48" s="433">
        <v>250</v>
      </c>
      <c r="J48" s="436">
        <v>5.85</v>
      </c>
      <c r="K48" s="433">
        <v>4.75</v>
      </c>
      <c r="L48" s="433"/>
      <c r="M48" s="433"/>
      <c r="N48" s="433">
        <v>250</v>
      </c>
      <c r="O48" s="393"/>
      <c r="P48" s="477">
        <f t="shared" si="12"/>
        <v>668.29506105410985</v>
      </c>
      <c r="Q48" s="436">
        <f t="shared" si="20"/>
        <v>2.5680000000000001</v>
      </c>
      <c r="R48" s="436">
        <f>(((D48-E48)*J48)+(E48*K48)-(D48*0.35*0.2))/10</f>
        <v>14.562107299999999</v>
      </c>
      <c r="S48" s="393"/>
      <c r="T48" s="476">
        <f t="shared" si="13"/>
        <v>2.9999999999999997E-4</v>
      </c>
      <c r="U48" s="476">
        <f t="shared" si="14"/>
        <v>17.130407299999998</v>
      </c>
      <c r="V48" s="476"/>
      <c r="W48" s="477">
        <f t="shared" si="15"/>
        <v>661.61211044356867</v>
      </c>
      <c r="X48" s="436"/>
      <c r="Y48" s="436">
        <f>+U48*0.01</f>
        <v>0.17130407299999997</v>
      </c>
      <c r="Z48" s="476">
        <f t="shared" si="16"/>
        <v>16.959103226999996</v>
      </c>
      <c r="AA48" s="393"/>
      <c r="AB48" s="222">
        <v>0.08</v>
      </c>
      <c r="AC48" s="476">
        <f>+R48*AB48</f>
        <v>1.1649685839999999</v>
      </c>
      <c r="AD48" s="477">
        <f>(Z48+AC48)/D48*1000</f>
        <v>707.06011044356876</v>
      </c>
      <c r="AE48" s="393"/>
    </row>
    <row r="49" spans="1:31" ht="15.75" customHeight="1">
      <c r="A49" s="320">
        <f t="shared" si="19"/>
        <v>24</v>
      </c>
      <c r="B49" s="319" t="s">
        <v>264</v>
      </c>
      <c r="C49" s="320" t="s">
        <v>259</v>
      </c>
      <c r="D49" s="475"/>
      <c r="E49" s="435"/>
      <c r="F49" s="473"/>
      <c r="G49" s="473"/>
      <c r="H49" s="393"/>
      <c r="I49" s="433">
        <v>250</v>
      </c>
      <c r="J49" s="436">
        <v>5.85</v>
      </c>
      <c r="K49" s="433">
        <v>4.75</v>
      </c>
      <c r="L49" s="433"/>
      <c r="M49" s="433"/>
      <c r="N49" s="433">
        <v>250</v>
      </c>
      <c r="O49" s="393"/>
      <c r="P49" s="477" t="e">
        <f t="shared" si="12"/>
        <v>#DIV/0!</v>
      </c>
      <c r="Q49" s="436">
        <f t="shared" si="20"/>
        <v>0</v>
      </c>
      <c r="R49" s="433"/>
      <c r="S49" s="393"/>
      <c r="T49" s="476">
        <f t="shared" si="13"/>
        <v>0</v>
      </c>
      <c r="U49" s="476">
        <f t="shared" si="14"/>
        <v>0</v>
      </c>
      <c r="V49" s="476"/>
      <c r="W49" s="477" t="e">
        <f t="shared" si="15"/>
        <v>#DIV/0!</v>
      </c>
      <c r="X49" s="436"/>
      <c r="Y49" s="436"/>
      <c r="Z49" s="476">
        <f t="shared" si="16"/>
        <v>0</v>
      </c>
      <c r="AA49" s="393"/>
      <c r="AB49" s="222">
        <v>0.08</v>
      </c>
      <c r="AC49" s="476">
        <f>+R49*AB49</f>
        <v>0</v>
      </c>
      <c r="AD49" s="477" t="e">
        <f>(Z49+AC49)/D49*1000</f>
        <v>#DIV/0!</v>
      </c>
      <c r="AE49" s="393"/>
    </row>
    <row r="50" spans="1:31" ht="15.75" customHeight="1">
      <c r="A50" s="320">
        <f t="shared" si="19"/>
        <v>25</v>
      </c>
      <c r="B50" s="319" t="s">
        <v>265</v>
      </c>
      <c r="C50" s="320" t="s">
        <v>259</v>
      </c>
      <c r="D50" s="475"/>
      <c r="E50" s="435"/>
      <c r="F50" s="473"/>
      <c r="G50" s="473"/>
      <c r="H50" s="393"/>
      <c r="I50" s="433">
        <v>250</v>
      </c>
      <c r="J50" s="436">
        <v>5.85</v>
      </c>
      <c r="K50" s="433">
        <v>4.75</v>
      </c>
      <c r="L50" s="443"/>
      <c r="M50" s="443"/>
      <c r="N50" s="433">
        <v>250</v>
      </c>
      <c r="O50" s="393"/>
      <c r="P50" s="477" t="e">
        <f t="shared" si="12"/>
        <v>#DIV/0!</v>
      </c>
      <c r="Q50" s="436">
        <f t="shared" si="20"/>
        <v>0</v>
      </c>
      <c r="R50" s="433"/>
      <c r="S50" s="393"/>
      <c r="T50" s="476">
        <f t="shared" si="13"/>
        <v>0</v>
      </c>
      <c r="U50" s="476">
        <f t="shared" si="14"/>
        <v>0</v>
      </c>
      <c r="V50" s="476"/>
      <c r="W50" s="477" t="e">
        <f t="shared" si="15"/>
        <v>#DIV/0!</v>
      </c>
      <c r="X50" s="436"/>
      <c r="Y50" s="436"/>
      <c r="Z50" s="476">
        <f t="shared" si="16"/>
        <v>0</v>
      </c>
      <c r="AA50" s="393"/>
      <c r="AB50" s="444"/>
      <c r="AC50" s="393"/>
      <c r="AD50" s="473"/>
      <c r="AE50" s="393"/>
    </row>
    <row r="51" spans="1:31" ht="15.75" customHeight="1">
      <c r="A51" s="320">
        <f t="shared" si="19"/>
        <v>26</v>
      </c>
      <c r="B51" s="319" t="s">
        <v>266</v>
      </c>
      <c r="C51" s="320"/>
      <c r="D51" s="475">
        <f>+'[18]T-1'!R47</f>
        <v>1.7999999999999999E-2</v>
      </c>
      <c r="E51" s="435">
        <f>+D51*0%</f>
        <v>0</v>
      </c>
      <c r="F51" s="473">
        <f>+'[18]T-1'!M47</f>
        <v>2</v>
      </c>
      <c r="G51" s="473">
        <f>+'[18]T-1'!N47</f>
        <v>3100</v>
      </c>
      <c r="H51" s="393"/>
      <c r="I51" s="433"/>
      <c r="J51" s="436">
        <v>7.8</v>
      </c>
      <c r="K51" s="433"/>
      <c r="L51" s="433"/>
      <c r="M51" s="433"/>
      <c r="N51" s="433">
        <v>250</v>
      </c>
      <c r="O51" s="393"/>
      <c r="P51" s="477">
        <f t="shared" si="12"/>
        <v>813.33333333333337</v>
      </c>
      <c r="Q51" s="436">
        <f t="shared" si="20"/>
        <v>0</v>
      </c>
      <c r="R51" s="436">
        <f>(((D51-E51)*J51)+(E51*K51)-(D51*0*0.2))/10</f>
        <v>1.404E-2</v>
      </c>
      <c r="S51" s="393"/>
      <c r="T51" s="476">
        <f t="shared" si="13"/>
        <v>5.9999999999999995E-4</v>
      </c>
      <c r="U51" s="476">
        <f t="shared" si="14"/>
        <v>1.464E-2</v>
      </c>
      <c r="V51" s="476"/>
      <c r="W51" s="477">
        <f t="shared" si="15"/>
        <v>813.33333333333337</v>
      </c>
      <c r="X51" s="436"/>
      <c r="Y51" s="436"/>
      <c r="Z51" s="476">
        <f t="shared" si="16"/>
        <v>1.464E-2</v>
      </c>
      <c r="AA51" s="393"/>
      <c r="AB51" s="222">
        <v>0.08</v>
      </c>
      <c r="AC51" s="476">
        <f>+R51*AB51</f>
        <v>1.1232E-3</v>
      </c>
      <c r="AD51" s="477">
        <f>(Z51+AC51)/D51*1000</f>
        <v>875.73333333333346</v>
      </c>
      <c r="AE51" s="393"/>
    </row>
    <row r="52" spans="1:31" ht="15.75" customHeight="1">
      <c r="A52" s="320">
        <f t="shared" si="19"/>
        <v>27</v>
      </c>
      <c r="B52" s="319" t="s">
        <v>267</v>
      </c>
      <c r="C52" s="320" t="s">
        <v>259</v>
      </c>
      <c r="D52" s="475"/>
      <c r="E52" s="435"/>
      <c r="F52" s="473"/>
      <c r="G52" s="473"/>
      <c r="H52" s="393"/>
      <c r="I52" s="433"/>
      <c r="J52" s="436">
        <v>4.9000000000000004</v>
      </c>
      <c r="K52" s="433"/>
      <c r="L52" s="433"/>
      <c r="M52" s="433"/>
      <c r="N52" s="433"/>
      <c r="O52" s="393"/>
      <c r="P52" s="477" t="e">
        <f t="shared" si="12"/>
        <v>#DIV/0!</v>
      </c>
      <c r="Q52" s="436">
        <f t="shared" si="20"/>
        <v>0</v>
      </c>
      <c r="R52" s="433"/>
      <c r="S52" s="393"/>
      <c r="T52" s="476">
        <f t="shared" si="13"/>
        <v>0</v>
      </c>
      <c r="U52" s="476">
        <f t="shared" si="14"/>
        <v>0</v>
      </c>
      <c r="V52" s="476"/>
      <c r="W52" s="477" t="e">
        <f t="shared" si="15"/>
        <v>#DIV/0!</v>
      </c>
      <c r="X52" s="436"/>
      <c r="Y52" s="436"/>
      <c r="Z52" s="476">
        <f t="shared" si="16"/>
        <v>0</v>
      </c>
      <c r="AA52" s="393"/>
      <c r="AB52" s="222">
        <v>0.08</v>
      </c>
      <c r="AC52" s="476">
        <f>+R52*AB52</f>
        <v>0</v>
      </c>
      <c r="AD52" s="477" t="e">
        <f>(Z52+AC52)/D52*1000</f>
        <v>#DIV/0!</v>
      </c>
      <c r="AE52" s="393"/>
    </row>
    <row r="53" spans="1:31" ht="15.75" customHeight="1">
      <c r="A53" s="320"/>
      <c r="B53" s="328" t="s">
        <v>256</v>
      </c>
      <c r="C53" s="320"/>
      <c r="D53" s="475">
        <f>SUM(D38:D52)</f>
        <v>821.84699999999998</v>
      </c>
      <c r="E53" s="438">
        <f>SUM(E38:E52)</f>
        <v>61.846067499999997</v>
      </c>
      <c r="F53" s="477">
        <f>SUM(F38:F52)</f>
        <v>799</v>
      </c>
      <c r="G53" s="477">
        <f>SUM(G38:G52)</f>
        <v>408216</v>
      </c>
      <c r="H53" s="393"/>
      <c r="I53" s="440"/>
      <c r="J53" s="441"/>
      <c r="K53" s="440"/>
      <c r="L53" s="440"/>
      <c r="M53" s="440"/>
      <c r="N53" s="440"/>
      <c r="O53" s="393"/>
      <c r="P53" s="482">
        <f t="shared" si="12"/>
        <v>632.39398181778336</v>
      </c>
      <c r="Q53" s="441">
        <f>SUM(Q38:Q52)</f>
        <v>80.755248000000009</v>
      </c>
      <c r="R53" s="441">
        <f>SUM(R38:R52)</f>
        <v>438.73614877499989</v>
      </c>
      <c r="S53" s="480">
        <f>SUM(S38:S52)</f>
        <v>0</v>
      </c>
      <c r="T53" s="480">
        <f>SUM(T38:T52)</f>
        <v>0.2397</v>
      </c>
      <c r="U53" s="480">
        <f>SUM(U38:U52)</f>
        <v>519.73109677499986</v>
      </c>
      <c r="V53" s="476"/>
      <c r="W53" s="482">
        <f t="shared" si="15"/>
        <v>626.14819028731904</v>
      </c>
      <c r="X53" s="441"/>
      <c r="Y53" s="441">
        <f>SUM(Y38:Y52)</f>
        <v>5.1330850319374992</v>
      </c>
      <c r="Z53" s="480">
        <f t="shared" si="16"/>
        <v>514.59801174306233</v>
      </c>
      <c r="AA53" s="393"/>
      <c r="AB53" s="433"/>
      <c r="AC53" s="480">
        <f>SUM(AC38:AC52)</f>
        <v>33.976787601999995</v>
      </c>
      <c r="AD53" s="477">
        <f>(Z53+AC53)/D53*1000</f>
        <v>667.49017681522503</v>
      </c>
      <c r="AE53" s="393"/>
    </row>
    <row r="54" spans="1:31" ht="15.75" customHeight="1">
      <c r="A54" s="320"/>
      <c r="B54" s="317" t="s">
        <v>268</v>
      </c>
      <c r="C54" s="320"/>
      <c r="D54" s="475"/>
      <c r="E54" s="435"/>
      <c r="F54" s="473"/>
      <c r="G54" s="473"/>
      <c r="H54" s="393"/>
      <c r="I54" s="433"/>
      <c r="J54" s="436"/>
      <c r="K54" s="433"/>
      <c r="L54" s="433"/>
      <c r="M54" s="433"/>
      <c r="N54" s="433"/>
      <c r="O54" s="393"/>
      <c r="P54" s="393"/>
      <c r="Q54" s="433"/>
      <c r="R54" s="433"/>
      <c r="S54" s="393"/>
      <c r="T54" s="393"/>
      <c r="U54" s="476"/>
      <c r="V54" s="476"/>
      <c r="W54" s="476"/>
      <c r="X54" s="436"/>
      <c r="Y54" s="436"/>
      <c r="Z54" s="476"/>
      <c r="AA54" s="393"/>
      <c r="AB54" s="433"/>
      <c r="AC54" s="393"/>
      <c r="AD54" s="473"/>
      <c r="AE54" s="393"/>
    </row>
    <row r="55" spans="1:31" ht="15.75" customHeight="1">
      <c r="A55" s="320">
        <f>A52+1</f>
        <v>28</v>
      </c>
      <c r="B55" s="319" t="s">
        <v>270</v>
      </c>
      <c r="C55" s="320" t="s">
        <v>271</v>
      </c>
      <c r="D55" s="475">
        <f>+'[18]T-1'!R51</f>
        <v>93.194000000000003</v>
      </c>
      <c r="E55" s="435">
        <f>+D55*1.25%</f>
        <v>1.164925</v>
      </c>
      <c r="F55" s="473">
        <f>+'[18]T-1'!M51</f>
        <v>1</v>
      </c>
      <c r="G55" s="473">
        <f>+'[18]T-1'!N51</f>
        <v>20000</v>
      </c>
      <c r="H55" s="393"/>
      <c r="I55" s="433">
        <v>250</v>
      </c>
      <c r="J55" s="436">
        <v>5.8</v>
      </c>
      <c r="K55" s="433">
        <v>4.7</v>
      </c>
      <c r="L55" s="433"/>
      <c r="M55" s="433"/>
      <c r="N55" s="433">
        <v>700</v>
      </c>
      <c r="O55" s="393"/>
      <c r="P55" s="477">
        <f t="shared" ref="P55:P63" si="21">+U55/D55*1000</f>
        <v>623.73947518080558</v>
      </c>
      <c r="Q55" s="436">
        <f>G55*I55*80%/10^7*12</f>
        <v>4.8000000000000007</v>
      </c>
      <c r="R55" s="1711">
        <f>(((D55-E55)*J55)+(E55*K55)-(D55*0.32*0.2))/10</f>
        <v>53.327936650000005</v>
      </c>
      <c r="S55" s="393"/>
      <c r="T55" s="476">
        <f t="shared" ref="T55:T61" si="22">(F55*N55*12)/10^7</f>
        <v>8.4000000000000003E-4</v>
      </c>
      <c r="U55" s="476">
        <f t="shared" ref="U55:U61" si="23">SUM(Q55:T55)</f>
        <v>58.128776650000006</v>
      </c>
      <c r="V55" s="476"/>
      <c r="W55" s="477">
        <f t="shared" ref="W55:W61" si="24">+Z55/D55*1000</f>
        <v>617.50208042899771</v>
      </c>
      <c r="X55" s="433"/>
      <c r="Y55" s="436">
        <f>+U55*0.01</f>
        <v>0.58128776650000002</v>
      </c>
      <c r="Z55" s="476">
        <f t="shared" ref="Z55:Z61" si="25">+U55-Y55</f>
        <v>57.547488883500009</v>
      </c>
      <c r="AA55" s="393"/>
      <c r="AB55" s="443">
        <v>0.09</v>
      </c>
      <c r="AC55" s="476">
        <f>+R55*AB55</f>
        <v>4.7995142985000001</v>
      </c>
      <c r="AD55" s="477">
        <f>(Z55+AC55)/D55*1000</f>
        <v>669.00233042899765</v>
      </c>
      <c r="AE55" s="393"/>
    </row>
    <row r="56" spans="1:31" ht="15.75" customHeight="1">
      <c r="A56" s="320">
        <f t="shared" ref="A56:A62" si="26">A55+1</f>
        <v>29</v>
      </c>
      <c r="B56" s="319" t="s">
        <v>255</v>
      </c>
      <c r="C56" s="320" t="s">
        <v>271</v>
      </c>
      <c r="D56" s="475">
        <f>+'[18]T-1'!R52</f>
        <v>2440.623</v>
      </c>
      <c r="E56" s="435">
        <f>+D56*17.5%</f>
        <v>427.10902499999997</v>
      </c>
      <c r="F56" s="473">
        <f>+'[18]T-1'!M52</f>
        <v>25</v>
      </c>
      <c r="G56" s="473">
        <f>+'[18]T-1'!N52</f>
        <v>542667</v>
      </c>
      <c r="H56" s="393"/>
      <c r="I56" s="433">
        <v>250</v>
      </c>
      <c r="J56" s="436">
        <v>5.8</v>
      </c>
      <c r="K56" s="433">
        <v>4.7</v>
      </c>
      <c r="L56" s="433"/>
      <c r="M56" s="433"/>
      <c r="N56" s="433">
        <v>700</v>
      </c>
      <c r="O56" s="393"/>
      <c r="P56" s="477">
        <f t="shared" si="21"/>
        <v>612.49249324865002</v>
      </c>
      <c r="Q56" s="436">
        <f>G56*I56*90%/10^7*12</f>
        <v>146.52008999999998</v>
      </c>
      <c r="R56" s="1711">
        <f>((((D56-E56)*J56)+((E56-0)*K56)+(0*5)-(D56*0.37*0.2))/10)-((D56*9%*0.1))/10</f>
        <v>1348.3221763500001</v>
      </c>
      <c r="S56" s="476"/>
      <c r="T56" s="476">
        <f t="shared" si="22"/>
        <v>2.1000000000000001E-2</v>
      </c>
      <c r="U56" s="476">
        <f t="shared" si="23"/>
        <v>1494.86326635</v>
      </c>
      <c r="V56" s="476"/>
      <c r="W56" s="477">
        <f t="shared" si="24"/>
        <v>606.36756831616356</v>
      </c>
      <c r="X56" s="436"/>
      <c r="Y56" s="436">
        <f>+U56*0.01</f>
        <v>14.9486326635</v>
      </c>
      <c r="Z56" s="476">
        <f t="shared" si="25"/>
        <v>1479.9146336865001</v>
      </c>
      <c r="AA56" s="393"/>
      <c r="AB56" s="443">
        <v>0.09</v>
      </c>
      <c r="AC56" s="476">
        <f>+R56*AB56</f>
        <v>121.34899587149999</v>
      </c>
      <c r="AD56" s="477">
        <f>(Z56+AC56)/D56*1000</f>
        <v>656.08806831616346</v>
      </c>
      <c r="AE56" s="393"/>
    </row>
    <row r="57" spans="1:31" ht="15.75" customHeight="1">
      <c r="A57" s="320">
        <f t="shared" si="26"/>
        <v>30</v>
      </c>
      <c r="B57" s="319" t="s">
        <v>265</v>
      </c>
      <c r="C57" s="320" t="s">
        <v>271</v>
      </c>
      <c r="D57" s="475">
        <f>+'[18]T-1'!R53</f>
        <v>489.08</v>
      </c>
      <c r="E57" s="435">
        <f>+D57*0%</f>
        <v>0</v>
      </c>
      <c r="F57" s="473">
        <f>+'[18]T-1'!M53</f>
        <v>9</v>
      </c>
      <c r="G57" s="473">
        <f>+'[18]T-1'!N53</f>
        <v>164500</v>
      </c>
      <c r="H57" s="393"/>
      <c r="I57" s="433">
        <v>250</v>
      </c>
      <c r="J57" s="436">
        <v>5.8</v>
      </c>
      <c r="K57" s="433">
        <v>4.7</v>
      </c>
      <c r="L57" s="433"/>
      <c r="M57" s="433"/>
      <c r="N57" s="433">
        <v>700</v>
      </c>
      <c r="O57" s="393"/>
      <c r="P57" s="477">
        <f t="shared" si="21"/>
        <v>665.78363457920989</v>
      </c>
      <c r="Q57" s="436">
        <f>G57*I57*85%/10^7*12</f>
        <v>41.947499999999998</v>
      </c>
      <c r="R57" s="1711">
        <f>(((D57-E57)*J57)+(E57*K57)-(D57*0*0.2))/10</f>
        <v>283.66639999999995</v>
      </c>
      <c r="S57" s="476"/>
      <c r="T57" s="476">
        <f t="shared" si="22"/>
        <v>7.5599999999999999E-3</v>
      </c>
      <c r="U57" s="476">
        <f t="shared" si="23"/>
        <v>325.62145999999996</v>
      </c>
      <c r="V57" s="476"/>
      <c r="W57" s="477">
        <f t="shared" si="24"/>
        <v>659.12579823341775</v>
      </c>
      <c r="X57" s="436"/>
      <c r="Y57" s="436">
        <f>+U57*0.01</f>
        <v>3.2562145999999998</v>
      </c>
      <c r="Z57" s="476">
        <f t="shared" si="25"/>
        <v>322.36524539999994</v>
      </c>
      <c r="AA57" s="393"/>
      <c r="AB57" s="443"/>
      <c r="AC57" s="393"/>
      <c r="AD57" s="473"/>
      <c r="AE57" s="393"/>
    </row>
    <row r="58" spans="1:31" ht="15.75" customHeight="1">
      <c r="A58" s="320">
        <f t="shared" si="26"/>
        <v>31</v>
      </c>
      <c r="B58" s="319" t="s">
        <v>276</v>
      </c>
      <c r="C58" s="320" t="s">
        <v>271</v>
      </c>
      <c r="D58" s="475">
        <f>+'[18]T-1'!R54</f>
        <v>445.23700000000002</v>
      </c>
      <c r="E58" s="435">
        <f>+D58*25%</f>
        <v>111.30925000000001</v>
      </c>
      <c r="F58" s="473">
        <f>+'[18]T-1'!M54</f>
        <v>2</v>
      </c>
      <c r="G58" s="473">
        <f>+'[18]T-1'!N54</f>
        <v>88667</v>
      </c>
      <c r="H58" s="393"/>
      <c r="I58" s="433">
        <v>250</v>
      </c>
      <c r="J58" s="436">
        <v>5.8</v>
      </c>
      <c r="K58" s="433">
        <v>4.7</v>
      </c>
      <c r="L58" s="445"/>
      <c r="M58" s="445"/>
      <c r="N58" s="433">
        <v>700</v>
      </c>
      <c r="O58" s="393"/>
      <c r="P58" s="477">
        <f t="shared" si="21"/>
        <v>598.41404195967561</v>
      </c>
      <c r="Q58" s="436">
        <f>G58*I58*90%/10^7*12</f>
        <v>23.940090000000001</v>
      </c>
      <c r="R58" s="1711">
        <f>(((D58-E58)*J58)+((E58-3.576)*K58)+(3.576*5)-(D58*0.35*0.2)-(D58*11%*0.1))/10</f>
        <v>242.49430280000007</v>
      </c>
      <c r="S58" s="476"/>
      <c r="T58" s="476">
        <f t="shared" si="22"/>
        <v>1.6800000000000001E-3</v>
      </c>
      <c r="U58" s="476">
        <f t="shared" si="23"/>
        <v>266.43607280000009</v>
      </c>
      <c r="V58" s="476"/>
      <c r="W58" s="477">
        <f t="shared" si="24"/>
        <v>592.42990154007884</v>
      </c>
      <c r="X58" s="436"/>
      <c r="Y58" s="436">
        <f>+U58*0.01</f>
        <v>2.664360728000001</v>
      </c>
      <c r="Z58" s="476">
        <f t="shared" si="25"/>
        <v>263.77171207200007</v>
      </c>
      <c r="AA58" s="393"/>
      <c r="AB58" s="443">
        <v>0.09</v>
      </c>
      <c r="AC58" s="476">
        <f>+R58*AB58</f>
        <v>21.824487252000004</v>
      </c>
      <c r="AD58" s="477">
        <f>(Z58+AC58)/D58*1000</f>
        <v>641.44758706935863</v>
      </c>
      <c r="AE58" s="393"/>
    </row>
    <row r="59" spans="1:31" ht="15.75" customHeight="1">
      <c r="A59" s="320">
        <f t="shared" si="26"/>
        <v>32</v>
      </c>
      <c r="B59" s="319" t="s">
        <v>263</v>
      </c>
      <c r="C59" s="320" t="s">
        <v>271</v>
      </c>
      <c r="D59" s="475">
        <f>+'[18]T-1'!R55</f>
        <v>134.506</v>
      </c>
      <c r="E59" s="435">
        <f>+D59*19%</f>
        <v>25.556139999999999</v>
      </c>
      <c r="F59" s="473">
        <f>+'[18]T-1'!M55</f>
        <v>3</v>
      </c>
      <c r="G59" s="473">
        <f>+'[18]T-1'!N55</f>
        <v>41500</v>
      </c>
      <c r="H59" s="393"/>
      <c r="I59" s="433">
        <v>250</v>
      </c>
      <c r="J59" s="436">
        <v>5.8</v>
      </c>
      <c r="K59" s="433">
        <v>4.7</v>
      </c>
      <c r="L59" s="445"/>
      <c r="M59" s="445"/>
      <c r="N59" s="433">
        <v>700</v>
      </c>
      <c r="O59" s="393"/>
      <c r="P59" s="477">
        <f t="shared" si="21"/>
        <v>624.16747654379731</v>
      </c>
      <c r="Q59" s="436">
        <f t="shared" ref="Q59:Q60" si="27">G59*I59*80%/10^7*12</f>
        <v>9.9599999999999991</v>
      </c>
      <c r="R59" s="1711">
        <f>(((D59-E59)*J59)+((E59*K59)-(D59*0.39*0.2)-(D59*12%*0.1)))/10</f>
        <v>73.991750600000003</v>
      </c>
      <c r="S59" s="476"/>
      <c r="T59" s="476">
        <f t="shared" si="22"/>
        <v>2.5200000000000001E-3</v>
      </c>
      <c r="U59" s="476">
        <f t="shared" si="23"/>
        <v>83.954270600000001</v>
      </c>
      <c r="V59" s="476"/>
      <c r="W59" s="477">
        <f t="shared" si="24"/>
        <v>617.9258017783593</v>
      </c>
      <c r="X59" s="436"/>
      <c r="Y59" s="436">
        <f>+U59*0.01</f>
        <v>0.83954270600000003</v>
      </c>
      <c r="Z59" s="476">
        <f t="shared" si="25"/>
        <v>83.114727893999998</v>
      </c>
      <c r="AA59" s="393"/>
      <c r="AB59" s="443">
        <v>0.09</v>
      </c>
      <c r="AC59" s="476">
        <f>+R59*AB59</f>
        <v>6.6592575539999999</v>
      </c>
      <c r="AD59" s="477">
        <f>(Z59+AC59)/D59*1000</f>
        <v>667.4348017783592</v>
      </c>
      <c r="AE59" s="393"/>
    </row>
    <row r="60" spans="1:31" ht="15.75" customHeight="1">
      <c r="A60" s="320">
        <f t="shared" si="26"/>
        <v>33</v>
      </c>
      <c r="B60" s="319" t="s">
        <v>264</v>
      </c>
      <c r="C60" s="320" t="s">
        <v>271</v>
      </c>
      <c r="D60" s="475"/>
      <c r="E60" s="435"/>
      <c r="F60" s="473"/>
      <c r="G60" s="473"/>
      <c r="H60" s="393"/>
      <c r="I60" s="433">
        <v>250</v>
      </c>
      <c r="J60" s="436">
        <v>5.8</v>
      </c>
      <c r="K60" s="433">
        <v>4.7</v>
      </c>
      <c r="L60" s="433"/>
      <c r="M60" s="433"/>
      <c r="N60" s="433">
        <v>700</v>
      </c>
      <c r="O60" s="393"/>
      <c r="P60" s="477" t="e">
        <f t="shared" si="21"/>
        <v>#DIV/0!</v>
      </c>
      <c r="Q60" s="436">
        <f t="shared" si="27"/>
        <v>0</v>
      </c>
      <c r="R60" s="1711">
        <f>(((D60-E60)*J60)+(E60*K60)-(D60*0*0.2))/10</f>
        <v>0</v>
      </c>
      <c r="S60" s="476"/>
      <c r="T60" s="476">
        <f t="shared" si="22"/>
        <v>0</v>
      </c>
      <c r="U60" s="476">
        <f t="shared" si="23"/>
        <v>0</v>
      </c>
      <c r="V60" s="476"/>
      <c r="W60" s="477" t="e">
        <f t="shared" si="24"/>
        <v>#DIV/0!</v>
      </c>
      <c r="X60" s="436"/>
      <c r="Y60" s="436"/>
      <c r="Z60" s="476">
        <f t="shared" si="25"/>
        <v>0</v>
      </c>
      <c r="AA60" s="393"/>
      <c r="AB60" s="443">
        <v>0.09</v>
      </c>
      <c r="AC60" s="476">
        <f>+R60*AB60</f>
        <v>0</v>
      </c>
      <c r="AD60" s="477" t="e">
        <f>(Z60+AC60)/D60*1000</f>
        <v>#DIV/0!</v>
      </c>
      <c r="AE60" s="393"/>
    </row>
    <row r="61" spans="1:31" ht="15.75" customHeight="1">
      <c r="A61" s="320">
        <f t="shared" si="26"/>
        <v>34</v>
      </c>
      <c r="B61" s="319" t="s">
        <v>280</v>
      </c>
      <c r="C61" s="320" t="s">
        <v>271</v>
      </c>
      <c r="D61" s="475">
        <f>+'[18]T-1'!R57</f>
        <v>7.1999999999999995E-2</v>
      </c>
      <c r="E61" s="435">
        <f>+D61*0%</f>
        <v>0</v>
      </c>
      <c r="F61" s="473">
        <f>+'[18]T-1'!M57</f>
        <v>2</v>
      </c>
      <c r="G61" s="473">
        <f>+'[18]T-1'!N57</f>
        <v>13333</v>
      </c>
      <c r="H61" s="393"/>
      <c r="I61" s="433"/>
      <c r="J61" s="436">
        <v>7.7</v>
      </c>
      <c r="K61" s="433"/>
      <c r="L61" s="433"/>
      <c r="M61" s="433"/>
      <c r="N61" s="433">
        <v>700</v>
      </c>
      <c r="O61" s="393"/>
      <c r="P61" s="477">
        <f t="shared" si="21"/>
        <v>793.33333333333348</v>
      </c>
      <c r="Q61" s="436"/>
      <c r="R61" s="436">
        <f>(((D61-E61)*J61)+(E61*K61)-(D61*0*0.2))/10</f>
        <v>5.5440000000000003E-2</v>
      </c>
      <c r="S61" s="476"/>
      <c r="T61" s="476">
        <f t="shared" si="22"/>
        <v>1.6800000000000001E-3</v>
      </c>
      <c r="U61" s="476">
        <f t="shared" si="23"/>
        <v>5.7120000000000004E-2</v>
      </c>
      <c r="V61" s="476"/>
      <c r="W61" s="477">
        <f t="shared" si="24"/>
        <v>785.40000000000009</v>
      </c>
      <c r="X61" s="436"/>
      <c r="Y61" s="436">
        <f>+U61*0.01</f>
        <v>5.7120000000000001E-4</v>
      </c>
      <c r="Z61" s="476">
        <f t="shared" si="25"/>
        <v>5.6548800000000003E-2</v>
      </c>
      <c r="AA61" s="393"/>
      <c r="AB61" s="443">
        <v>0.09</v>
      </c>
      <c r="AC61" s="476">
        <f>+R61*AB61</f>
        <v>4.9896000000000003E-3</v>
      </c>
      <c r="AD61" s="477">
        <f>(Z61+AC61)/D61*1000</f>
        <v>854.70000000000016</v>
      </c>
      <c r="AE61" s="393"/>
    </row>
    <row r="62" spans="1:31" ht="15.75" customHeight="1">
      <c r="A62" s="320">
        <f t="shared" si="26"/>
        <v>35</v>
      </c>
      <c r="B62" s="319" t="s">
        <v>267</v>
      </c>
      <c r="C62" s="320" t="s">
        <v>271</v>
      </c>
      <c r="D62" s="475"/>
      <c r="E62" s="435"/>
      <c r="F62" s="473"/>
      <c r="G62" s="473"/>
      <c r="H62" s="393"/>
      <c r="I62" s="433"/>
      <c r="J62" s="436">
        <v>4.8499999999999996</v>
      </c>
      <c r="K62" s="433"/>
      <c r="L62" s="445"/>
      <c r="M62" s="445"/>
      <c r="N62" s="445"/>
      <c r="O62" s="393"/>
      <c r="P62" s="477" t="e">
        <f t="shared" si="21"/>
        <v>#DIV/0!</v>
      </c>
      <c r="Q62" s="436"/>
      <c r="R62" s="436"/>
      <c r="S62" s="476"/>
      <c r="T62" s="476"/>
      <c r="U62" s="476"/>
      <c r="V62" s="476"/>
      <c r="W62" s="476"/>
      <c r="X62" s="436"/>
      <c r="Y62" s="436"/>
      <c r="Z62" s="476"/>
      <c r="AA62" s="393"/>
      <c r="AB62" s="433"/>
      <c r="AC62" s="393"/>
      <c r="AD62" s="473"/>
      <c r="AE62" s="393"/>
    </row>
    <row r="63" spans="1:31" ht="15.75" customHeight="1">
      <c r="A63" s="320"/>
      <c r="B63" s="328" t="s">
        <v>256</v>
      </c>
      <c r="C63" s="319"/>
      <c r="D63" s="475">
        <f>SUM(D55:D62)</f>
        <v>3602.712</v>
      </c>
      <c r="E63" s="438">
        <f>SUM(E55:E62)</f>
        <v>565.13933999999995</v>
      </c>
      <c r="F63" s="477">
        <f>SUM(F55:F62)</f>
        <v>42</v>
      </c>
      <c r="G63" s="477">
        <f>SUM(G55:G62)</f>
        <v>870667</v>
      </c>
      <c r="H63" s="393"/>
      <c r="I63" s="440"/>
      <c r="J63" s="440"/>
      <c r="K63" s="440"/>
      <c r="L63" s="440"/>
      <c r="M63" s="440"/>
      <c r="N63" s="440"/>
      <c r="O63" s="393"/>
      <c r="P63" s="482">
        <f t="shared" si="21"/>
        <v>618.71750126016184</v>
      </c>
      <c r="Q63" s="441">
        <f>SUM(Q55:Q62)</f>
        <v>227.16767999999999</v>
      </c>
      <c r="R63" s="441">
        <f>SUM(R55:R62)</f>
        <v>2001.8580064000002</v>
      </c>
      <c r="S63" s="480">
        <f>SUM(S55:S62)</f>
        <v>0</v>
      </c>
      <c r="T63" s="480">
        <f>SUM(T55:T62)</f>
        <v>3.5280000000000006E-2</v>
      </c>
      <c r="U63" s="480">
        <f>SUM(U55:U62)</f>
        <v>2229.0609664000003</v>
      </c>
      <c r="V63" s="476"/>
      <c r="W63" s="482">
        <f>+Z63/D63*1000</f>
        <v>612.53032624756031</v>
      </c>
      <c r="X63" s="441"/>
      <c r="Y63" s="441">
        <f>SUM(Y55:Y62)</f>
        <v>22.290609664000002</v>
      </c>
      <c r="Z63" s="480">
        <f>SUM(Z55:Z62)</f>
        <v>2206.7703567360004</v>
      </c>
      <c r="AA63" s="393"/>
      <c r="AB63" s="433"/>
      <c r="AC63" s="480">
        <f>SUM(AC55:AC62)</f>
        <v>154.63724457599997</v>
      </c>
      <c r="AD63" s="477">
        <f>(Z63+AC63)/D63*1000</f>
        <v>655.4527814912766</v>
      </c>
      <c r="AE63" s="393"/>
    </row>
    <row r="64" spans="1:31" ht="15.75" customHeight="1">
      <c r="A64" s="320"/>
      <c r="B64" s="328"/>
      <c r="C64" s="319"/>
      <c r="D64" s="475"/>
      <c r="E64" s="435"/>
      <c r="F64" s="473"/>
      <c r="G64" s="473"/>
      <c r="H64" s="393"/>
      <c r="I64" s="433"/>
      <c r="J64" s="433"/>
      <c r="K64" s="433"/>
      <c r="L64" s="433"/>
      <c r="M64" s="433"/>
      <c r="N64" s="433"/>
      <c r="O64" s="393"/>
      <c r="P64" s="393"/>
      <c r="Q64" s="436"/>
      <c r="R64" s="436"/>
      <c r="S64" s="476"/>
      <c r="T64" s="476"/>
      <c r="U64" s="476"/>
      <c r="V64" s="476"/>
      <c r="W64" s="480"/>
      <c r="X64" s="436"/>
      <c r="Y64" s="436"/>
      <c r="Z64" s="476"/>
      <c r="AA64" s="393"/>
      <c r="AB64" s="433"/>
      <c r="AC64" s="393"/>
      <c r="AD64" s="473"/>
      <c r="AE64" s="393"/>
    </row>
    <row r="65" spans="1:31" ht="15.75" customHeight="1">
      <c r="A65" s="320"/>
      <c r="B65" s="317" t="s">
        <v>282</v>
      </c>
      <c r="C65" s="320"/>
      <c r="D65" s="475">
        <f>+D36+D53+D63</f>
        <v>7103.3410000000003</v>
      </c>
      <c r="E65" s="438">
        <f>+E36+E53+E63</f>
        <v>626.98540749999995</v>
      </c>
      <c r="F65" s="484">
        <f>+F36+F53+F63</f>
        <v>1994390</v>
      </c>
      <c r="G65" s="484">
        <f>+G36+G53+G63</f>
        <v>3719221</v>
      </c>
      <c r="H65" s="393"/>
      <c r="I65" s="433"/>
      <c r="J65" s="433"/>
      <c r="K65" s="433"/>
      <c r="L65" s="443"/>
      <c r="M65" s="443"/>
      <c r="N65" s="443"/>
      <c r="O65" s="393"/>
      <c r="P65" s="482">
        <f>+U65/D65*1000</f>
        <v>576.09831231238547</v>
      </c>
      <c r="Q65" s="441">
        <f>+Q36+Q53+Q63</f>
        <v>307.92292800000001</v>
      </c>
      <c r="R65" s="441">
        <f>+R36+R53+R63</f>
        <v>3702.2708998793732</v>
      </c>
      <c r="S65" s="480">
        <f>+S36+S53+S63</f>
        <v>81.753953999999993</v>
      </c>
      <c r="T65" s="480">
        <f>+T36+T53+T63</f>
        <v>0.27498</v>
      </c>
      <c r="U65" s="480">
        <f>+U36+U53+U63</f>
        <v>4092.2227618793731</v>
      </c>
      <c r="V65" s="476"/>
      <c r="W65" s="482">
        <f>+Z65/D65*1000</f>
        <v>570.00158742471115</v>
      </c>
      <c r="X65" s="436"/>
      <c r="Y65" s="441">
        <f>+Y36+Y53+Y63</f>
        <v>43.307115860337504</v>
      </c>
      <c r="Z65" s="480">
        <f>+Z36+Z53+Z63</f>
        <v>4048.9156460190356</v>
      </c>
      <c r="AA65" s="393"/>
      <c r="AB65" s="433"/>
      <c r="AC65" s="480">
        <f>+AC36+AC53+AC63</f>
        <v>238.31152776617489</v>
      </c>
      <c r="AD65" s="477">
        <f>(Z65+AC65)/D65*1000</f>
        <v>603.55080430254031</v>
      </c>
      <c r="AE65" s="393"/>
    </row>
    <row r="66" spans="1:31">
      <c r="D66" s="505">
        <f>D65-'[18]T-1'!O61</f>
        <v>96.233000000000175</v>
      </c>
      <c r="Q66" s="308"/>
      <c r="X66" s="308"/>
      <c r="Y66" s="308"/>
      <c r="Z66" s="308"/>
      <c r="AA66" s="308"/>
      <c r="AB66" s="398"/>
    </row>
    <row r="67" spans="1:31">
      <c r="Q67" s="308"/>
      <c r="U67" s="395">
        <f>'[18]T-7_Current_Year'!U65</f>
        <v>3739.6313737925229</v>
      </c>
      <c r="X67" s="308"/>
      <c r="Y67" s="308"/>
      <c r="Z67" s="369">
        <f>+Z65/'[18]T-1'!O61*10</f>
        <v>5.7782977599589378</v>
      </c>
      <c r="AA67" s="308"/>
      <c r="AB67" s="398"/>
    </row>
    <row r="68" spans="1:31">
      <c r="Q68" s="308"/>
      <c r="X68" s="308"/>
      <c r="Y68" s="308"/>
      <c r="Z68" s="308"/>
      <c r="AA68" s="308"/>
      <c r="AB68" s="398"/>
    </row>
    <row r="69" spans="1:31">
      <c r="E69" s="505"/>
      <c r="Q69" s="308"/>
      <c r="U69" s="395">
        <f>U65-U67</f>
        <v>352.5913880868502</v>
      </c>
      <c r="X69" s="308" t="s">
        <v>271</v>
      </c>
      <c r="Y69" s="308">
        <f>'[18]T-1'!O59</f>
        <v>3555.2799999999997</v>
      </c>
      <c r="Z69" s="369">
        <f>+Z63</f>
        <v>2206.7703567360004</v>
      </c>
      <c r="AA69" s="1700">
        <f t="shared" ref="AA69:AA71" si="28">Z69/Y69*10</f>
        <v>6.2070226725771258</v>
      </c>
      <c r="AB69" s="398"/>
    </row>
    <row r="70" spans="1:31">
      <c r="Q70" s="308"/>
      <c r="X70" s="308" t="s">
        <v>259</v>
      </c>
      <c r="Y70" s="308">
        <f>'[18]T-1'!O49</f>
        <v>773.04600000000005</v>
      </c>
      <c r="Z70" s="369">
        <f>+Z53</f>
        <v>514.59801174306233</v>
      </c>
      <c r="AA70" s="1700">
        <f t="shared" si="28"/>
        <v>6.6567579645074462</v>
      </c>
      <c r="AB70" s="398"/>
    </row>
    <row r="71" spans="1:31">
      <c r="Q71" s="308"/>
      <c r="X71" s="308" t="s">
        <v>232</v>
      </c>
      <c r="Y71" s="308">
        <f>'[18]T-1'!O32</f>
        <v>2678.7820000000002</v>
      </c>
      <c r="Z71" s="369">
        <f>+Z36</f>
        <v>1327.547277539973</v>
      </c>
      <c r="AA71" s="1700">
        <f t="shared" si="28"/>
        <v>4.9557869118874658</v>
      </c>
      <c r="AB71" s="398"/>
    </row>
    <row r="72" spans="1:31" ht="15.75">
      <c r="Q72" s="308"/>
      <c r="X72" s="330" t="s">
        <v>274</v>
      </c>
      <c r="Y72" s="330">
        <f>SUM(Y69:Y71)</f>
        <v>7007.1080000000002</v>
      </c>
      <c r="Z72" s="1689">
        <f>SUM(Z69:Z71)</f>
        <v>4048.9156460190356</v>
      </c>
      <c r="AA72" s="1690">
        <f>Z72/Y72*10</f>
        <v>5.7782977599589378</v>
      </c>
      <c r="AB72" s="398"/>
    </row>
    <row r="73" spans="1:31">
      <c r="Q73" s="308"/>
      <c r="AB73" s="398"/>
    </row>
    <row r="74" spans="1:31">
      <c r="Q74" s="308"/>
      <c r="R74" s="395"/>
    </row>
    <row r="75" spans="1:31" ht="15.75">
      <c r="Q75" s="369"/>
      <c r="Z75" s="1710">
        <v>3628.08</v>
      </c>
    </row>
    <row r="76" spans="1:31">
      <c r="Q76" s="308"/>
    </row>
    <row r="77" spans="1:31">
      <c r="D77" s="505"/>
      <c r="E77" s="505"/>
      <c r="F77" s="505"/>
      <c r="G77" s="505"/>
      <c r="Q77" s="308"/>
    </row>
  </sheetData>
  <mergeCells count="4">
    <mergeCell ref="A1:B1"/>
    <mergeCell ref="A2:C2"/>
    <mergeCell ref="D2:F2"/>
    <mergeCell ref="AB2:AE2"/>
  </mergeCells>
  <printOptions horizontalCentered="1"/>
  <pageMargins left="0.27559055118110237" right="0.15748031496062992" top="0.43307086614173229" bottom="0.19685039370078741" header="0.23622047244094491" footer="0.15748031496062992"/>
  <pageSetup paperSize="9" scale="55" fitToWidth="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000"/>
  </sheetPr>
  <dimension ref="A1:BM77"/>
  <sheetViews>
    <sheetView showOutlineSymbols="0" view="pageBreakPreview" zoomScaleNormal="87" zoomScaleSheetLayoutView="100" workbookViewId="0">
      <pane xSplit="3" ySplit="10" topLeftCell="AR34" activePane="bottomRight" state="frozen"/>
      <selection pane="bottomRight" activeCell="AW74" sqref="AW74"/>
      <selection pane="bottomLeft" activeCell="R13" sqref="R13"/>
      <selection pane="topRight" activeCell="R13" sqref="R13"/>
    </sheetView>
  </sheetViews>
  <sheetFormatPr defaultColWidth="14.7109375" defaultRowHeight="15" customHeight="1"/>
  <cols>
    <col min="1" max="1" width="7.28515625" style="382" customWidth="1"/>
    <col min="2" max="2" width="31.7109375" style="382" customWidth="1"/>
    <col min="3" max="3" width="12.140625" style="382" customWidth="1"/>
    <col min="4" max="5" width="18.7109375" style="382" customWidth="1"/>
    <col min="6" max="6" width="12.85546875" style="382" customWidth="1"/>
    <col min="7" max="7" width="11.5703125" style="382" customWidth="1"/>
    <col min="8" max="8" width="15" style="382" customWidth="1"/>
    <col min="9" max="9" width="14.5703125" style="382" customWidth="1"/>
    <col min="10" max="10" width="12.7109375" style="382" customWidth="1"/>
    <col min="11" max="11" width="15" style="382" customWidth="1"/>
    <col min="12" max="12" width="17.5703125" style="382" customWidth="1"/>
    <col min="13" max="13" width="13.7109375" style="382" customWidth="1"/>
    <col min="14" max="14" width="16.5703125" style="382" customWidth="1"/>
    <col min="15" max="15" width="16.42578125" style="382" customWidth="1"/>
    <col min="16" max="16" width="20.140625" style="382" customWidth="1"/>
    <col min="17" max="17" width="13.7109375" style="382" customWidth="1"/>
    <col min="18" max="18" width="15" style="382" customWidth="1"/>
    <col min="19" max="19" width="16.140625" style="382" customWidth="1"/>
    <col min="20" max="21" width="15" style="382" customWidth="1"/>
    <col min="22" max="24" width="13.7109375" style="382" customWidth="1"/>
    <col min="25" max="25" width="14.7109375" style="382" customWidth="1"/>
    <col min="26" max="26" width="13.7109375" style="382" customWidth="1"/>
    <col min="27" max="27" width="13.140625" style="382" customWidth="1"/>
    <col min="28" max="28" width="12.85546875" style="382" customWidth="1"/>
    <col min="29" max="32" width="14.7109375" style="382" customWidth="1"/>
    <col min="33" max="33" width="16.28515625" style="382" customWidth="1"/>
    <col min="34" max="36" width="14.7109375" style="382" customWidth="1"/>
    <col min="37" max="37" width="17.42578125" style="382" customWidth="1"/>
    <col min="38" max="38" width="15" style="382" customWidth="1"/>
    <col min="39" max="49" width="14.7109375" style="382" customWidth="1"/>
    <col min="50" max="50" width="14.7109375" style="491" customWidth="1"/>
    <col min="51" max="53" width="14.7109375" style="382" customWidth="1"/>
    <col min="54" max="54" width="16.140625" style="382" customWidth="1"/>
    <col min="55" max="55" width="14.7109375" style="382"/>
    <col min="56" max="56" width="14.85546875" style="382" bestFit="1" customWidth="1"/>
    <col min="57" max="16384" width="14.7109375" style="382"/>
  </cols>
  <sheetData>
    <row r="1" spans="1:65" s="485" customFormat="1" ht="15" customHeight="1">
      <c r="B1" s="486" t="s">
        <v>209</v>
      </c>
      <c r="AD1" s="487" t="s">
        <v>210</v>
      </c>
      <c r="AE1" s="485" t="s">
        <v>478</v>
      </c>
      <c r="AR1" s="487" t="s">
        <v>210</v>
      </c>
      <c r="AS1" s="485" t="s">
        <v>478</v>
      </c>
      <c r="AX1" s="228"/>
      <c r="BE1" s="487" t="s">
        <v>210</v>
      </c>
      <c r="BF1" s="485" t="s">
        <v>478</v>
      </c>
    </row>
    <row r="2" spans="1:65" ht="24" customHeight="1">
      <c r="A2" s="386" t="s">
        <v>479</v>
      </c>
      <c r="B2" s="488"/>
      <c r="C2" s="488"/>
      <c r="D2" s="488"/>
      <c r="E2" s="488"/>
      <c r="F2" s="488"/>
      <c r="G2" s="488"/>
      <c r="H2" s="488"/>
      <c r="I2" s="488"/>
      <c r="J2" s="488"/>
      <c r="K2" s="488"/>
      <c r="L2" s="488"/>
      <c r="M2" s="488"/>
      <c r="N2" s="488"/>
      <c r="O2" s="383" t="s">
        <v>210</v>
      </c>
      <c r="P2" s="384" t="s">
        <v>478</v>
      </c>
      <c r="Q2" s="489"/>
      <c r="R2" s="488"/>
      <c r="S2" s="488"/>
      <c r="T2" s="488"/>
      <c r="U2" s="488"/>
      <c r="V2" s="488"/>
      <c r="W2" s="488"/>
      <c r="X2" s="488"/>
      <c r="Y2" s="488"/>
      <c r="Z2" s="488"/>
      <c r="AA2" s="488"/>
      <c r="AB2" s="488"/>
      <c r="AC2" s="488"/>
      <c r="AD2" s="488"/>
      <c r="AF2" s="489"/>
      <c r="AG2" s="488"/>
      <c r="AH2" s="488"/>
      <c r="AI2" s="488"/>
      <c r="AJ2" s="488"/>
      <c r="AK2" s="488"/>
      <c r="AL2" s="488"/>
      <c r="AM2" s="488"/>
      <c r="AN2" s="488"/>
      <c r="AO2" s="488"/>
      <c r="AP2" s="488"/>
      <c r="AQ2" s="488"/>
      <c r="AR2" s="488"/>
      <c r="AS2" s="488"/>
      <c r="AT2" s="489"/>
      <c r="AU2" s="488"/>
      <c r="AV2" s="488"/>
      <c r="AW2" s="488"/>
      <c r="AX2" s="223"/>
      <c r="AY2" s="488"/>
      <c r="AZ2" s="488"/>
      <c r="BA2" s="488"/>
      <c r="BB2" s="488"/>
      <c r="BC2" s="488"/>
      <c r="BD2" s="488"/>
      <c r="BE2" s="488"/>
      <c r="BF2" s="488"/>
    </row>
    <row r="3" spans="1:65" ht="15" customHeight="1">
      <c r="A3" s="490" t="s">
        <v>432</v>
      </c>
    </row>
    <row r="4" spans="1:65" ht="15" customHeight="1">
      <c r="A4" s="451" t="s">
        <v>393</v>
      </c>
      <c r="B4" s="452" t="s">
        <v>214</v>
      </c>
      <c r="C4" s="452" t="s">
        <v>394</v>
      </c>
      <c r="D4" s="452" t="s">
        <v>395</v>
      </c>
      <c r="E4" s="452" t="s">
        <v>395</v>
      </c>
      <c r="F4" s="452" t="s">
        <v>396</v>
      </c>
      <c r="G4" s="452" t="s">
        <v>397</v>
      </c>
      <c r="H4" s="452" t="s">
        <v>398</v>
      </c>
      <c r="I4" s="452" t="s">
        <v>399</v>
      </c>
      <c r="J4" s="452" t="s">
        <v>400</v>
      </c>
      <c r="K4" s="453" t="s">
        <v>401</v>
      </c>
      <c r="L4" s="454" t="s">
        <v>402</v>
      </c>
      <c r="M4" s="455"/>
      <c r="N4" s="455" t="s">
        <v>403</v>
      </c>
      <c r="O4" s="452" t="s">
        <v>404</v>
      </c>
      <c r="P4" s="452" t="s">
        <v>405</v>
      </c>
      <c r="Q4" s="452" t="s">
        <v>406</v>
      </c>
      <c r="R4" s="452" t="s">
        <v>406</v>
      </c>
      <c r="S4" s="452" t="s">
        <v>406</v>
      </c>
      <c r="T4" s="452" t="s">
        <v>406</v>
      </c>
      <c r="U4" s="452" t="s">
        <v>274</v>
      </c>
      <c r="V4" s="452" t="s">
        <v>407</v>
      </c>
      <c r="W4" s="452" t="s">
        <v>405</v>
      </c>
      <c r="X4" s="1702" t="s">
        <v>395</v>
      </c>
      <c r="Y4" s="492" t="s">
        <v>406</v>
      </c>
      <c r="Z4" s="452" t="s">
        <v>274</v>
      </c>
      <c r="AA4" s="452" t="s">
        <v>399</v>
      </c>
      <c r="AB4" s="452" t="s">
        <v>400</v>
      </c>
      <c r="AC4" s="453" t="s">
        <v>401</v>
      </c>
      <c r="AD4" s="454" t="s">
        <v>402</v>
      </c>
      <c r="AE4" s="455"/>
      <c r="AF4" s="455" t="s">
        <v>403</v>
      </c>
      <c r="AG4" s="452" t="s">
        <v>404</v>
      </c>
      <c r="AH4" s="452" t="s">
        <v>405</v>
      </c>
      <c r="AI4" s="452" t="s">
        <v>406</v>
      </c>
      <c r="AJ4" s="452" t="s">
        <v>406</v>
      </c>
      <c r="AK4" s="452" t="s">
        <v>406</v>
      </c>
      <c r="AL4" s="452" t="s">
        <v>406</v>
      </c>
      <c r="AM4" s="452" t="s">
        <v>274</v>
      </c>
      <c r="AN4" s="452" t="s">
        <v>407</v>
      </c>
      <c r="AO4" s="452" t="s">
        <v>405</v>
      </c>
      <c r="AP4" s="1702" t="s">
        <v>395</v>
      </c>
      <c r="AQ4" s="452" t="s">
        <v>406</v>
      </c>
      <c r="AR4" s="452" t="s">
        <v>274</v>
      </c>
      <c r="AS4" s="452" t="s">
        <v>274</v>
      </c>
      <c r="AT4" s="452" t="s">
        <v>480</v>
      </c>
      <c r="AU4" s="452" t="s">
        <v>481</v>
      </c>
      <c r="AV4" s="452" t="s">
        <v>481</v>
      </c>
      <c r="AW4" s="452" t="s">
        <v>482</v>
      </c>
      <c r="AX4" s="224" t="s">
        <v>483</v>
      </c>
      <c r="AY4" s="452" t="s">
        <v>484</v>
      </c>
      <c r="AZ4" s="452" t="s">
        <v>409</v>
      </c>
      <c r="BA4" s="452" t="s">
        <v>274</v>
      </c>
      <c r="BB4" s="452" t="s">
        <v>274</v>
      </c>
      <c r="BC4" s="452" t="s">
        <v>410</v>
      </c>
      <c r="BD4" s="452" t="s">
        <v>274</v>
      </c>
      <c r="BE4" s="452" t="s">
        <v>485</v>
      </c>
      <c r="BF4" s="457" t="s">
        <v>485</v>
      </c>
    </row>
    <row r="5" spans="1:65" ht="15" customHeight="1">
      <c r="A5" s="1703" t="s">
        <v>411</v>
      </c>
      <c r="B5" s="1704"/>
      <c r="C5" s="1704" t="s">
        <v>412</v>
      </c>
      <c r="D5" s="1704" t="s">
        <v>413</v>
      </c>
      <c r="E5" s="1704" t="s">
        <v>413</v>
      </c>
      <c r="F5" s="1704" t="s">
        <v>414</v>
      </c>
      <c r="G5" s="1704" t="s">
        <v>399</v>
      </c>
      <c r="H5" s="1704" t="s">
        <v>415</v>
      </c>
      <c r="I5" s="1704" t="s">
        <v>416</v>
      </c>
      <c r="J5" s="1704" t="s">
        <v>416</v>
      </c>
      <c r="K5" s="458" t="s">
        <v>417</v>
      </c>
      <c r="L5" s="459" t="s">
        <v>418</v>
      </c>
      <c r="M5" s="460" t="s">
        <v>419</v>
      </c>
      <c r="N5" s="461" t="s">
        <v>420</v>
      </c>
      <c r="O5" s="1704" t="s">
        <v>421</v>
      </c>
      <c r="P5" s="1704" t="s">
        <v>416</v>
      </c>
      <c r="Q5" s="1704" t="s">
        <v>422</v>
      </c>
      <c r="R5" s="1704" t="s">
        <v>422</v>
      </c>
      <c r="S5" s="1704" t="s">
        <v>423</v>
      </c>
      <c r="T5" s="1704" t="s">
        <v>424</v>
      </c>
      <c r="U5" s="1704" t="s">
        <v>406</v>
      </c>
      <c r="V5" s="1704"/>
      <c r="W5" s="1704" t="s">
        <v>416</v>
      </c>
      <c r="X5" s="1704" t="s">
        <v>425</v>
      </c>
      <c r="Y5" s="1704" t="s">
        <v>486</v>
      </c>
      <c r="Z5" s="1704" t="s">
        <v>406</v>
      </c>
      <c r="AA5" s="1704" t="s">
        <v>416</v>
      </c>
      <c r="AB5" s="1704" t="s">
        <v>416</v>
      </c>
      <c r="AC5" s="458" t="s">
        <v>487</v>
      </c>
      <c r="AD5" s="459" t="s">
        <v>418</v>
      </c>
      <c r="AE5" s="460" t="s">
        <v>419</v>
      </c>
      <c r="AF5" s="461" t="s">
        <v>420</v>
      </c>
      <c r="AG5" s="1704" t="s">
        <v>421</v>
      </c>
      <c r="AH5" s="1704" t="s">
        <v>416</v>
      </c>
      <c r="AI5" s="1704" t="s">
        <v>422</v>
      </c>
      <c r="AJ5" s="1704" t="s">
        <v>422</v>
      </c>
      <c r="AK5" s="1704" t="s">
        <v>423</v>
      </c>
      <c r="AL5" s="1704" t="s">
        <v>424</v>
      </c>
      <c r="AM5" s="1704" t="s">
        <v>406</v>
      </c>
      <c r="AN5" s="1704"/>
      <c r="AO5" s="1704" t="s">
        <v>416</v>
      </c>
      <c r="AP5" s="1704" t="s">
        <v>425</v>
      </c>
      <c r="AQ5" s="1704" t="s">
        <v>486</v>
      </c>
      <c r="AR5" s="1704" t="s">
        <v>406</v>
      </c>
      <c r="AS5" s="1704" t="s">
        <v>406</v>
      </c>
      <c r="AT5" s="1704" t="s">
        <v>406</v>
      </c>
      <c r="AU5" s="1704" t="s">
        <v>399</v>
      </c>
      <c r="AV5" s="1704" t="s">
        <v>400</v>
      </c>
      <c r="AW5" s="1704" t="s">
        <v>488</v>
      </c>
      <c r="AX5" s="2390" t="s">
        <v>427</v>
      </c>
      <c r="AY5" s="1704" t="s">
        <v>427</v>
      </c>
      <c r="AZ5" s="1704" t="s">
        <v>428</v>
      </c>
      <c r="BA5" s="1704" t="s">
        <v>429</v>
      </c>
      <c r="BB5" s="1704" t="s">
        <v>430</v>
      </c>
      <c r="BC5" s="1704" t="s">
        <v>431</v>
      </c>
      <c r="BD5" s="1704" t="s">
        <v>489</v>
      </c>
      <c r="BE5" s="1704"/>
      <c r="BF5" s="1705"/>
    </row>
    <row r="6" spans="1:65" ht="15" customHeight="1">
      <c r="A6" s="1703" t="s">
        <v>432</v>
      </c>
      <c r="B6" s="1704"/>
      <c r="C6" s="1704"/>
      <c r="D6" s="1704" t="s">
        <v>476</v>
      </c>
      <c r="E6" s="1704" t="s">
        <v>476</v>
      </c>
      <c r="F6" s="1704"/>
      <c r="G6" s="1704" t="s">
        <v>274</v>
      </c>
      <c r="H6" s="1704" t="s">
        <v>434</v>
      </c>
      <c r="I6" s="1704"/>
      <c r="J6" s="1704"/>
      <c r="K6" s="465" t="s">
        <v>435</v>
      </c>
      <c r="L6" s="1704"/>
      <c r="M6" s="1704" t="s">
        <v>490</v>
      </c>
      <c r="N6" s="1704" t="s">
        <v>416</v>
      </c>
      <c r="O6" s="1704" t="s">
        <v>436</v>
      </c>
      <c r="P6" s="1704"/>
      <c r="Q6" s="1704" t="s">
        <v>399</v>
      </c>
      <c r="R6" s="1704" t="s">
        <v>400</v>
      </c>
      <c r="S6" s="1704" t="s">
        <v>437</v>
      </c>
      <c r="T6" s="1704" t="s">
        <v>420</v>
      </c>
      <c r="U6" s="1704"/>
      <c r="V6" s="1704"/>
      <c r="W6" s="1704" t="s">
        <v>438</v>
      </c>
      <c r="X6" s="464" t="s">
        <v>439</v>
      </c>
      <c r="Y6" s="462" t="s">
        <v>491</v>
      </c>
      <c r="Z6" s="1704" t="s">
        <v>438</v>
      </c>
      <c r="AA6" s="1704"/>
      <c r="AB6" s="1704"/>
      <c r="AC6" s="465" t="s">
        <v>492</v>
      </c>
      <c r="AD6" s="1704"/>
      <c r="AE6" s="1704" t="s">
        <v>490</v>
      </c>
      <c r="AF6" s="1704" t="s">
        <v>416</v>
      </c>
      <c r="AG6" s="1704" t="s">
        <v>436</v>
      </c>
      <c r="AH6" s="1704"/>
      <c r="AI6" s="1704" t="s">
        <v>399</v>
      </c>
      <c r="AJ6" s="1704" t="s">
        <v>400</v>
      </c>
      <c r="AK6" s="1704" t="s">
        <v>437</v>
      </c>
      <c r="AL6" s="1704" t="s">
        <v>420</v>
      </c>
      <c r="AM6" s="1704"/>
      <c r="AN6" s="1704"/>
      <c r="AO6" s="1704" t="s">
        <v>438</v>
      </c>
      <c r="AP6" s="464" t="s">
        <v>439</v>
      </c>
      <c r="AQ6" s="1704" t="s">
        <v>491</v>
      </c>
      <c r="AR6" s="1704" t="s">
        <v>493</v>
      </c>
      <c r="AS6" s="1704" t="s">
        <v>493</v>
      </c>
      <c r="AT6" s="1704" t="s">
        <v>491</v>
      </c>
      <c r="AU6" s="1704" t="s">
        <v>416</v>
      </c>
      <c r="AV6" s="1704" t="s">
        <v>416</v>
      </c>
      <c r="AW6" s="1704" t="s">
        <v>494</v>
      </c>
      <c r="AX6" s="2391" t="s">
        <v>495</v>
      </c>
      <c r="AY6" s="2392" t="s">
        <v>495</v>
      </c>
      <c r="AZ6" s="1704"/>
      <c r="BA6" s="1704" t="s">
        <v>442</v>
      </c>
      <c r="BB6" s="1704" t="s">
        <v>496</v>
      </c>
      <c r="BC6" s="1704" t="s">
        <v>444</v>
      </c>
      <c r="BD6" s="1704" t="s">
        <v>497</v>
      </c>
      <c r="BE6" s="1704"/>
      <c r="BF6" s="1705"/>
    </row>
    <row r="7" spans="1:65" ht="15" customHeight="1">
      <c r="A7" s="1703"/>
      <c r="B7" s="1704"/>
      <c r="C7" s="1704"/>
      <c r="D7" s="1704" t="s">
        <v>274</v>
      </c>
      <c r="E7" s="1704" t="s">
        <v>445</v>
      </c>
      <c r="F7" s="1704"/>
      <c r="G7" s="1704"/>
      <c r="H7" s="1704" t="s">
        <v>446</v>
      </c>
      <c r="I7" s="1704"/>
      <c r="J7" s="1704"/>
      <c r="K7" s="1706" t="s">
        <v>447</v>
      </c>
      <c r="L7" s="1704"/>
      <c r="M7" s="1704"/>
      <c r="N7" s="1704" t="s">
        <v>498</v>
      </c>
      <c r="O7" s="1704" t="s">
        <v>499</v>
      </c>
      <c r="P7" s="1704"/>
      <c r="Q7" s="1704" t="s">
        <v>416</v>
      </c>
      <c r="R7" s="1704" t="s">
        <v>416</v>
      </c>
      <c r="S7" s="1704" t="s">
        <v>500</v>
      </c>
      <c r="T7" s="1704" t="s">
        <v>416</v>
      </c>
      <c r="U7" s="1704"/>
      <c r="V7" s="1704"/>
      <c r="W7" s="1704" t="s">
        <v>407</v>
      </c>
      <c r="X7" s="466"/>
      <c r="Y7" s="462" t="s">
        <v>407</v>
      </c>
      <c r="Z7" s="1704" t="s">
        <v>407</v>
      </c>
      <c r="AA7" s="1704"/>
      <c r="AB7" s="1704"/>
      <c r="AC7" s="1706" t="s">
        <v>455</v>
      </c>
      <c r="AD7" s="1704"/>
      <c r="AE7" s="1704"/>
      <c r="AF7" s="1704" t="s">
        <v>501</v>
      </c>
      <c r="AG7" s="1704" t="s">
        <v>499</v>
      </c>
      <c r="AH7" s="1704"/>
      <c r="AI7" s="1704" t="s">
        <v>416</v>
      </c>
      <c r="AJ7" s="1704" t="s">
        <v>416</v>
      </c>
      <c r="AK7" s="1704" t="s">
        <v>500</v>
      </c>
      <c r="AL7" s="1704" t="s">
        <v>416</v>
      </c>
      <c r="AM7" s="1704"/>
      <c r="AN7" s="1704"/>
      <c r="AO7" s="1704" t="s">
        <v>407</v>
      </c>
      <c r="AP7" s="466"/>
      <c r="AQ7" s="1704" t="s">
        <v>407</v>
      </c>
      <c r="AR7" s="1704" t="s">
        <v>407</v>
      </c>
      <c r="AS7" s="1704" t="s">
        <v>407</v>
      </c>
      <c r="AT7" s="1704" t="s">
        <v>502</v>
      </c>
      <c r="AU7" s="1704" t="s">
        <v>491</v>
      </c>
      <c r="AV7" s="1704" t="s">
        <v>491</v>
      </c>
      <c r="AW7" s="1704" t="s">
        <v>503</v>
      </c>
      <c r="AX7" s="2390" t="s">
        <v>412</v>
      </c>
      <c r="AY7" s="1704" t="s">
        <v>412</v>
      </c>
      <c r="AZ7" s="1704"/>
      <c r="BA7" s="1704"/>
      <c r="BB7" s="1704" t="s">
        <v>451</v>
      </c>
      <c r="BC7" s="1704" t="s">
        <v>452</v>
      </c>
      <c r="BD7" s="1704"/>
      <c r="BE7" s="1704"/>
      <c r="BF7" s="1705"/>
      <c r="BK7" s="382" t="s">
        <v>432</v>
      </c>
      <c r="BL7" s="382" t="s">
        <v>432</v>
      </c>
      <c r="BM7" s="382" t="s">
        <v>432</v>
      </c>
    </row>
    <row r="8" spans="1:65" ht="15" customHeight="1">
      <c r="A8" s="1703"/>
      <c r="B8" s="1704"/>
      <c r="C8" s="1704"/>
      <c r="D8" s="1704"/>
      <c r="E8" s="1704" t="s">
        <v>453</v>
      </c>
      <c r="F8" s="1704"/>
      <c r="G8" s="1704"/>
      <c r="H8" s="1704" t="s">
        <v>454</v>
      </c>
      <c r="I8" s="1704" t="s">
        <v>483</v>
      </c>
      <c r="J8" s="1704" t="s">
        <v>483</v>
      </c>
      <c r="K8" s="1706" t="s">
        <v>455</v>
      </c>
      <c r="L8" s="1704" t="s">
        <v>483</v>
      </c>
      <c r="M8" s="1704" t="s">
        <v>483</v>
      </c>
      <c r="N8" s="1704" t="s">
        <v>483</v>
      </c>
      <c r="O8" s="1704" t="s">
        <v>483</v>
      </c>
      <c r="P8" s="1704" t="s">
        <v>483</v>
      </c>
      <c r="Q8" s="1704" t="s">
        <v>483</v>
      </c>
      <c r="R8" s="1704" t="s">
        <v>483</v>
      </c>
      <c r="S8" s="1704" t="s">
        <v>483</v>
      </c>
      <c r="T8" s="1704" t="s">
        <v>483</v>
      </c>
      <c r="U8" s="1704" t="s">
        <v>483</v>
      </c>
      <c r="V8" s="1704" t="s">
        <v>483</v>
      </c>
      <c r="W8" s="1704" t="s">
        <v>483</v>
      </c>
      <c r="X8" s="1704" t="s">
        <v>483</v>
      </c>
      <c r="Y8" s="1704" t="s">
        <v>483</v>
      </c>
      <c r="Z8" s="1704" t="s">
        <v>483</v>
      </c>
      <c r="AA8" s="1704" t="s">
        <v>484</v>
      </c>
      <c r="AB8" s="1704" t="s">
        <v>484</v>
      </c>
      <c r="AC8" s="1704" t="s">
        <v>484</v>
      </c>
      <c r="AD8" s="1704" t="s">
        <v>484</v>
      </c>
      <c r="AE8" s="1704" t="s">
        <v>484</v>
      </c>
      <c r="AF8" s="1704" t="s">
        <v>484</v>
      </c>
      <c r="AG8" s="1704" t="s">
        <v>484</v>
      </c>
      <c r="AH8" s="1704" t="s">
        <v>484</v>
      </c>
      <c r="AI8" s="1704" t="s">
        <v>484</v>
      </c>
      <c r="AJ8" s="1704" t="s">
        <v>484</v>
      </c>
      <c r="AK8" s="1704" t="s">
        <v>484</v>
      </c>
      <c r="AL8" s="1704" t="s">
        <v>484</v>
      </c>
      <c r="AM8" s="1704" t="s">
        <v>484</v>
      </c>
      <c r="AN8" s="1704" t="s">
        <v>484</v>
      </c>
      <c r="AO8" s="1704" t="s">
        <v>484</v>
      </c>
      <c r="AP8" s="1704" t="s">
        <v>484</v>
      </c>
      <c r="AQ8" s="1704" t="s">
        <v>484</v>
      </c>
      <c r="AR8" s="1704" t="s">
        <v>484</v>
      </c>
      <c r="AS8" s="1704" t="s">
        <v>483</v>
      </c>
      <c r="AT8" s="1704" t="s">
        <v>484</v>
      </c>
      <c r="AU8" s="1704" t="s">
        <v>502</v>
      </c>
      <c r="AV8" s="1704" t="s">
        <v>502</v>
      </c>
      <c r="AW8" s="1704" t="s">
        <v>502</v>
      </c>
      <c r="AX8" s="2390"/>
      <c r="AY8" s="1704"/>
      <c r="AZ8" s="1704"/>
      <c r="BA8" s="1704"/>
      <c r="BC8" s="1704"/>
      <c r="BD8" s="1704"/>
      <c r="BE8" s="1704"/>
      <c r="BF8" s="1705"/>
    </row>
    <row r="9" spans="1:65" ht="15" customHeight="1">
      <c r="A9" s="1708"/>
      <c r="B9" s="468"/>
      <c r="C9" s="468"/>
      <c r="D9" s="468" t="s">
        <v>460</v>
      </c>
      <c r="E9" s="468" t="s">
        <v>460</v>
      </c>
      <c r="F9" s="468"/>
      <c r="G9" s="468" t="s">
        <v>477</v>
      </c>
      <c r="H9" s="468" t="s">
        <v>477</v>
      </c>
      <c r="I9" s="468" t="s">
        <v>463</v>
      </c>
      <c r="J9" s="468" t="s">
        <v>467</v>
      </c>
      <c r="K9" s="468" t="s">
        <v>467</v>
      </c>
      <c r="L9" s="468" t="s">
        <v>465</v>
      </c>
      <c r="M9" s="468" t="s">
        <v>465</v>
      </c>
      <c r="N9" s="468" t="s">
        <v>465</v>
      </c>
      <c r="O9" s="468"/>
      <c r="P9" s="468" t="s">
        <v>467</v>
      </c>
      <c r="Q9" s="468" t="s">
        <v>468</v>
      </c>
      <c r="R9" s="468" t="s">
        <v>468</v>
      </c>
      <c r="S9" s="468" t="s">
        <v>468</v>
      </c>
      <c r="T9" s="468" t="s">
        <v>468</v>
      </c>
      <c r="U9" s="468" t="s">
        <v>468</v>
      </c>
      <c r="V9" s="468" t="s">
        <v>467</v>
      </c>
      <c r="W9" s="468" t="s">
        <v>467</v>
      </c>
      <c r="X9" s="468" t="s">
        <v>460</v>
      </c>
      <c r="Y9" s="468" t="s">
        <v>468</v>
      </c>
      <c r="Z9" s="468" t="s">
        <v>468</v>
      </c>
      <c r="AA9" s="468" t="s">
        <v>463</v>
      </c>
      <c r="AB9" s="468" t="s">
        <v>467</v>
      </c>
      <c r="AC9" s="468" t="s">
        <v>467</v>
      </c>
      <c r="AD9" s="468" t="s">
        <v>465</v>
      </c>
      <c r="AE9" s="468" t="s">
        <v>465</v>
      </c>
      <c r="AF9" s="468" t="s">
        <v>465</v>
      </c>
      <c r="AG9" s="468"/>
      <c r="AH9" s="468" t="s">
        <v>467</v>
      </c>
      <c r="AI9" s="468" t="s">
        <v>468</v>
      </c>
      <c r="AJ9" s="468" t="s">
        <v>468</v>
      </c>
      <c r="AK9" s="468" t="s">
        <v>468</v>
      </c>
      <c r="AL9" s="468" t="s">
        <v>468</v>
      </c>
      <c r="AM9" s="468" t="s">
        <v>468</v>
      </c>
      <c r="AN9" s="468" t="s">
        <v>467</v>
      </c>
      <c r="AO9" s="468" t="s">
        <v>467</v>
      </c>
      <c r="AP9" s="468" t="s">
        <v>460</v>
      </c>
      <c r="AQ9" s="468" t="s">
        <v>468</v>
      </c>
      <c r="AR9" s="468" t="s">
        <v>468</v>
      </c>
      <c r="AS9" s="468" t="s">
        <v>468</v>
      </c>
      <c r="AT9" s="468" t="s">
        <v>468</v>
      </c>
      <c r="AU9" s="468" t="s">
        <v>463</v>
      </c>
      <c r="AV9" s="468" t="s">
        <v>504</v>
      </c>
      <c r="AW9" s="468" t="s">
        <v>469</v>
      </c>
      <c r="AX9" s="225" t="s">
        <v>469</v>
      </c>
      <c r="AY9" s="468" t="s">
        <v>469</v>
      </c>
      <c r="AZ9" s="468" t="s">
        <v>505</v>
      </c>
      <c r="BA9" s="468" t="s">
        <v>468</v>
      </c>
      <c r="BB9" s="468"/>
      <c r="BC9" s="468"/>
      <c r="BD9" s="468" t="s">
        <v>468</v>
      </c>
      <c r="BE9" s="468" t="s">
        <v>468</v>
      </c>
      <c r="BF9" s="471" t="s">
        <v>467</v>
      </c>
    </row>
    <row r="10" spans="1:65" ht="15" customHeight="1">
      <c r="A10" s="472">
        <v>1</v>
      </c>
      <c r="B10" s="472">
        <v>2</v>
      </c>
      <c r="C10" s="472">
        <v>3</v>
      </c>
      <c r="D10" s="472">
        <v>4</v>
      </c>
      <c r="E10" s="472">
        <v>5</v>
      </c>
      <c r="F10" s="472">
        <v>6</v>
      </c>
      <c r="G10" s="472">
        <v>7</v>
      </c>
      <c r="H10" s="472">
        <v>8</v>
      </c>
      <c r="I10" s="472">
        <v>9</v>
      </c>
      <c r="J10" s="472">
        <v>10</v>
      </c>
      <c r="K10" s="472">
        <v>11</v>
      </c>
      <c r="L10" s="472">
        <v>12</v>
      </c>
      <c r="M10" s="472">
        <v>13</v>
      </c>
      <c r="N10" s="472">
        <v>14</v>
      </c>
      <c r="O10" s="472">
        <v>15</v>
      </c>
      <c r="P10" s="472">
        <v>16</v>
      </c>
      <c r="Q10" s="472">
        <v>17</v>
      </c>
      <c r="R10" s="472">
        <v>18</v>
      </c>
      <c r="S10" s="472">
        <v>19</v>
      </c>
      <c r="T10" s="472">
        <v>20</v>
      </c>
      <c r="U10" s="472">
        <v>21</v>
      </c>
      <c r="V10" s="472">
        <v>22</v>
      </c>
      <c r="W10" s="472">
        <v>23</v>
      </c>
      <c r="X10" s="472">
        <v>24</v>
      </c>
      <c r="Y10" s="472">
        <v>25</v>
      </c>
      <c r="Z10" s="472">
        <v>26</v>
      </c>
      <c r="AA10" s="472">
        <v>27</v>
      </c>
      <c r="AB10" s="472">
        <v>28</v>
      </c>
      <c r="AC10" s="472">
        <v>29</v>
      </c>
      <c r="AD10" s="472">
        <v>30</v>
      </c>
      <c r="AE10" s="472">
        <v>31</v>
      </c>
      <c r="AF10" s="472">
        <v>32</v>
      </c>
      <c r="AG10" s="472">
        <v>33</v>
      </c>
      <c r="AH10" s="472">
        <v>34</v>
      </c>
      <c r="AI10" s="472">
        <v>35</v>
      </c>
      <c r="AJ10" s="472">
        <v>36</v>
      </c>
      <c r="AK10" s="472">
        <v>37</v>
      </c>
      <c r="AL10" s="472">
        <v>38</v>
      </c>
      <c r="AM10" s="472">
        <v>39</v>
      </c>
      <c r="AN10" s="472">
        <v>40</v>
      </c>
      <c r="AO10" s="472">
        <v>41</v>
      </c>
      <c r="AP10" s="472">
        <v>42</v>
      </c>
      <c r="AQ10" s="472">
        <v>43</v>
      </c>
      <c r="AR10" s="472">
        <v>44</v>
      </c>
      <c r="AS10" s="472">
        <v>45</v>
      </c>
      <c r="AT10" s="472">
        <v>46</v>
      </c>
      <c r="AU10" s="472">
        <v>47</v>
      </c>
      <c r="AV10" s="472">
        <v>48</v>
      </c>
      <c r="AW10" s="472">
        <v>49</v>
      </c>
      <c r="AX10" s="472">
        <v>50</v>
      </c>
      <c r="AY10" s="472">
        <v>51</v>
      </c>
      <c r="AZ10" s="472">
        <v>52</v>
      </c>
      <c r="BA10" s="472">
        <v>53</v>
      </c>
      <c r="BB10" s="472">
        <v>54</v>
      </c>
      <c r="BC10" s="472">
        <v>55</v>
      </c>
      <c r="BD10" s="472">
        <v>56</v>
      </c>
      <c r="BE10" s="472">
        <v>57</v>
      </c>
      <c r="BF10" s="472">
        <v>58</v>
      </c>
    </row>
    <row r="11" spans="1:65" ht="15" customHeight="1">
      <c r="A11" s="472"/>
      <c r="B11" s="317" t="s">
        <v>230</v>
      </c>
      <c r="C11" s="472"/>
      <c r="D11" s="472"/>
      <c r="E11" s="472"/>
      <c r="F11" s="472"/>
      <c r="G11" s="472"/>
      <c r="H11" s="472"/>
      <c r="I11" s="472"/>
      <c r="J11" s="433"/>
      <c r="K11" s="433"/>
      <c r="L11" s="472"/>
      <c r="M11" s="472"/>
      <c r="N11" s="472"/>
      <c r="O11" s="472"/>
      <c r="P11" s="472"/>
      <c r="Q11" s="472"/>
      <c r="R11" s="472"/>
      <c r="S11" s="472"/>
      <c r="T11" s="472"/>
      <c r="U11" s="472"/>
      <c r="V11" s="472"/>
      <c r="W11" s="472"/>
      <c r="X11" s="472"/>
      <c r="Y11" s="472"/>
      <c r="Z11" s="472"/>
      <c r="AA11" s="472"/>
      <c r="AB11" s="433"/>
      <c r="AC11" s="433"/>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row>
    <row r="12" spans="1:65" ht="15.75" customHeight="1">
      <c r="A12" s="320">
        <v>1</v>
      </c>
      <c r="B12" s="319" t="s">
        <v>231</v>
      </c>
      <c r="C12" s="320" t="s">
        <v>232</v>
      </c>
      <c r="D12" s="493"/>
      <c r="E12" s="493"/>
      <c r="F12" s="493"/>
      <c r="G12" s="493"/>
      <c r="H12" s="493"/>
      <c r="I12" s="493"/>
      <c r="J12" s="433"/>
      <c r="K12" s="433"/>
      <c r="L12" s="493"/>
      <c r="M12" s="493"/>
      <c r="N12" s="493"/>
      <c r="O12" s="493"/>
      <c r="P12" s="493"/>
      <c r="Q12" s="493"/>
      <c r="R12" s="493"/>
      <c r="S12" s="493"/>
      <c r="T12" s="493"/>
      <c r="U12" s="493"/>
      <c r="V12" s="493"/>
      <c r="W12" s="493"/>
      <c r="X12" s="493"/>
      <c r="Y12" s="493"/>
      <c r="Z12" s="493"/>
      <c r="AA12" s="493"/>
      <c r="AB12" s="433"/>
      <c r="AC12" s="433"/>
      <c r="AD12" s="493"/>
      <c r="AE12" s="493"/>
      <c r="AF12" s="493"/>
      <c r="AG12" s="493"/>
      <c r="AH12" s="493"/>
      <c r="AI12" s="493"/>
      <c r="AJ12" s="493"/>
      <c r="AK12" s="493"/>
      <c r="AL12" s="493"/>
      <c r="AM12" s="493"/>
      <c r="AN12" s="493"/>
      <c r="AO12" s="493"/>
      <c r="AP12" s="493"/>
      <c r="AQ12" s="493"/>
      <c r="AR12" s="493"/>
      <c r="AS12" s="493"/>
      <c r="AT12" s="493"/>
      <c r="AU12" s="493"/>
      <c r="AV12" s="493"/>
      <c r="AW12" s="493"/>
      <c r="AX12" s="226"/>
      <c r="AY12" s="493"/>
      <c r="AZ12" s="493"/>
      <c r="BA12" s="493"/>
      <c r="BB12" s="493"/>
      <c r="BC12" s="493"/>
      <c r="BD12" s="493"/>
      <c r="BE12" s="493"/>
      <c r="BF12" s="493"/>
    </row>
    <row r="13" spans="1:65" ht="15.75" customHeight="1">
      <c r="A13" s="320"/>
      <c r="B13" s="320" t="s">
        <v>233</v>
      </c>
      <c r="C13" s="319"/>
      <c r="D13" s="495">
        <f>+'T-1'!R9</f>
        <v>5.468</v>
      </c>
      <c r="E13" s="496"/>
      <c r="F13" s="497">
        <f>+'T-1'!M9</f>
        <v>16877</v>
      </c>
      <c r="G13" s="497">
        <f>+'T-1'!N9</f>
        <v>4402</v>
      </c>
      <c r="H13" s="496">
        <f>+'T-7_Ensuing_Year'!H13</f>
        <v>0</v>
      </c>
      <c r="I13" s="433">
        <v>80</v>
      </c>
      <c r="J13" s="433"/>
      <c r="K13" s="433"/>
      <c r="L13" s="433"/>
      <c r="M13" s="433"/>
      <c r="N13" s="433"/>
      <c r="O13" s="496"/>
      <c r="P13" s="497">
        <f>+'T-7_Ensuing_Year'!P13</f>
        <v>296.30431602048287</v>
      </c>
      <c r="Q13" s="498">
        <f>+'T-7_Ensuing_Year'!Q13</f>
        <v>0</v>
      </c>
      <c r="R13" s="498">
        <f>+'T-7_Ensuing_Year'!R13</f>
        <v>0</v>
      </c>
      <c r="S13" s="498">
        <f>+'T-7_Ensuing_Year'!S13</f>
        <v>1.6201920000000001</v>
      </c>
      <c r="T13" s="498">
        <f>+'T-7_Ensuing_Year'!T13</f>
        <v>0</v>
      </c>
      <c r="U13" s="498">
        <f t="shared" ref="U13:U18" si="0">SUM(Q13:T13)</f>
        <v>1.6201920000000001</v>
      </c>
      <c r="V13" s="499"/>
      <c r="W13" s="497">
        <f>+'T-7_Ensuing_Year'!W13</f>
        <v>296.30431602048287</v>
      </c>
      <c r="X13" s="495">
        <f>+'T-7_Ensuing_Year'!X13</f>
        <v>0</v>
      </c>
      <c r="Y13" s="496">
        <f>+'T-7_Ensuing_Year'!Y13</f>
        <v>0</v>
      </c>
      <c r="Z13" s="498">
        <f t="shared" ref="Z13:Z18" si="1">+U13-Y13</f>
        <v>1.6201920000000001</v>
      </c>
      <c r="AA13" s="433">
        <v>80</v>
      </c>
      <c r="AB13" s="433"/>
      <c r="AC13" s="433"/>
      <c r="AD13" s="433"/>
      <c r="AE13" s="433"/>
      <c r="AF13" s="433"/>
      <c r="AG13" s="496"/>
      <c r="AH13" s="497">
        <f>+AM13/D13*1000</f>
        <v>296.30431602048287</v>
      </c>
      <c r="AI13" s="494"/>
      <c r="AJ13" s="496"/>
      <c r="AK13" s="498">
        <f>(AA13*F13*12)/10^7</f>
        <v>1.6201920000000001</v>
      </c>
      <c r="AL13" s="496"/>
      <c r="AM13" s="498">
        <f>SUM(AJ13:AL13)</f>
        <v>1.6201920000000001</v>
      </c>
      <c r="AN13" s="499"/>
      <c r="AO13" s="497">
        <f>+AR13/D13*1000</f>
        <v>296.30431602048287</v>
      </c>
      <c r="AP13" s="495"/>
      <c r="AQ13" s="498"/>
      <c r="AR13" s="498">
        <f t="shared" ref="AR13:AR18" si="2">+AM13-AQ13</f>
        <v>1.6201920000000001</v>
      </c>
      <c r="AS13" s="498">
        <f t="shared" ref="AS13:AS18" si="3">+Z13</f>
        <v>1.6201920000000001</v>
      </c>
      <c r="AT13" s="498">
        <f t="shared" ref="AT13:AT18" si="4">+AR13-AS13</f>
        <v>0</v>
      </c>
      <c r="AU13" s="498">
        <f t="shared" ref="AU13:AV36" si="5">+AI13-Q13</f>
        <v>0</v>
      </c>
      <c r="AV13" s="498">
        <f t="shared" si="5"/>
        <v>0</v>
      </c>
      <c r="AW13" s="496"/>
      <c r="AX13" s="227">
        <f>W13/'F-5'!$N$19/100</f>
        <v>0.31333458422405752</v>
      </c>
      <c r="AY13" s="227">
        <f>AO13/'F-5'!$N$19/100</f>
        <v>0.31333458422405752</v>
      </c>
      <c r="AZ13" s="500"/>
      <c r="BA13" s="496"/>
      <c r="BB13" s="498">
        <f t="shared" ref="BB13:BB61" si="6">+AS13+BA13</f>
        <v>1.6201920000000001</v>
      </c>
      <c r="BC13" s="496"/>
      <c r="BD13" s="498">
        <f>'T-1'!O9*'F-5'!$N$19/10</f>
        <v>5.170804889004665</v>
      </c>
      <c r="BE13" s="498">
        <f>BD13-AR13</f>
        <v>3.5506128890046647</v>
      </c>
      <c r="BF13" s="497">
        <f>BE13/D13*10^3</f>
        <v>649.34398116398404</v>
      </c>
    </row>
    <row r="14" spans="1:65" ht="15.75" customHeight="1">
      <c r="A14" s="320"/>
      <c r="B14" s="320" t="s">
        <v>234</v>
      </c>
      <c r="C14" s="319"/>
      <c r="D14" s="495">
        <f>+'T-1'!R10</f>
        <v>1710.049</v>
      </c>
      <c r="E14" s="496"/>
      <c r="F14" s="497">
        <f>+'T-1'!M10</f>
        <v>1792477</v>
      </c>
      <c r="G14" s="497">
        <f>+'T-1'!N10</f>
        <v>1766478</v>
      </c>
      <c r="H14" s="496">
        <f>+'T-7_Ensuing_Year'!H14</f>
        <v>441619</v>
      </c>
      <c r="I14" s="433"/>
      <c r="J14" s="433"/>
      <c r="K14" s="433"/>
      <c r="L14" s="433">
        <v>20</v>
      </c>
      <c r="M14" s="433">
        <v>20</v>
      </c>
      <c r="N14" s="433"/>
      <c r="O14" s="496"/>
      <c r="P14" s="496"/>
      <c r="Q14" s="498">
        <f>+'T-7_Ensuing_Year'!Q14</f>
        <v>0</v>
      </c>
      <c r="R14" s="498">
        <f>+'T-7_Ensuing_Year'!R14</f>
        <v>0</v>
      </c>
      <c r="S14" s="498">
        <f>+'T-7_Ensuing_Year'!S14</f>
        <v>53.618304000000002</v>
      </c>
      <c r="T14" s="498">
        <f>+'T-7_Ensuing_Year'!T14</f>
        <v>0</v>
      </c>
      <c r="U14" s="498">
        <f t="shared" si="0"/>
        <v>53.618304000000002</v>
      </c>
      <c r="V14" s="499">
        <v>0.1</v>
      </c>
      <c r="W14" s="496"/>
      <c r="X14" s="495">
        <f>+'T-7_Ensuing_Year'!X14</f>
        <v>1034.579645</v>
      </c>
      <c r="Y14" s="498">
        <f>+'T-7_Ensuing_Year'!Y14</f>
        <v>10.34579645</v>
      </c>
      <c r="Z14" s="498">
        <f t="shared" si="1"/>
        <v>43.27250755</v>
      </c>
      <c r="AA14" s="433"/>
      <c r="AB14" s="433"/>
      <c r="AC14" s="433"/>
      <c r="AD14" s="433">
        <v>20</v>
      </c>
      <c r="AE14" s="433">
        <v>20</v>
      </c>
      <c r="AF14" s="433"/>
      <c r="AG14" s="496"/>
      <c r="AH14" s="496"/>
      <c r="AI14" s="498">
        <f>(AA14*F14*12)/10^7</f>
        <v>0</v>
      </c>
      <c r="AJ14" s="498"/>
      <c r="AK14" s="498">
        <f>((AD14*F14)+(H14*AE14))*12/10^7</f>
        <v>53.618304000000002</v>
      </c>
      <c r="AL14" s="496"/>
      <c r="AM14" s="498">
        <f>SUM(AI14:AL14)</f>
        <v>53.618304000000002</v>
      </c>
      <c r="AN14" s="499">
        <v>0.1</v>
      </c>
      <c r="AO14" s="496"/>
      <c r="AP14" s="495">
        <f>+'T-7_Ensuing_Year'!X14</f>
        <v>1034.579645</v>
      </c>
      <c r="AQ14" s="498">
        <f>+'T-7_Ensuing_Year'!Y14</f>
        <v>10.34579645</v>
      </c>
      <c r="AR14" s="498">
        <f t="shared" si="2"/>
        <v>43.27250755</v>
      </c>
      <c r="AS14" s="498">
        <f t="shared" si="3"/>
        <v>43.27250755</v>
      </c>
      <c r="AT14" s="498">
        <f t="shared" si="4"/>
        <v>0</v>
      </c>
      <c r="AU14" s="498">
        <f t="shared" si="5"/>
        <v>0</v>
      </c>
      <c r="AV14" s="498">
        <f t="shared" si="5"/>
        <v>0</v>
      </c>
      <c r="AW14" s="496"/>
      <c r="AX14" s="227">
        <f>W14/'F-5'!$N$19/100</f>
        <v>0</v>
      </c>
      <c r="AY14" s="227">
        <f>AO14/'F-5'!$N$19/100</f>
        <v>0</v>
      </c>
      <c r="AZ14" s="500"/>
      <c r="BA14" s="496"/>
      <c r="BB14" s="498">
        <f t="shared" si="6"/>
        <v>43.27250755</v>
      </c>
      <c r="BC14" s="496"/>
      <c r="BD14" s="498">
        <f>'T-1'!O10*'F-5'!$N$19/10</f>
        <v>1617.1049249520004</v>
      </c>
      <c r="BE14" s="498"/>
      <c r="BF14" s="497"/>
    </row>
    <row r="15" spans="1:65" ht="15.75" customHeight="1">
      <c r="A15" s="320"/>
      <c r="B15" s="320" t="s">
        <v>235</v>
      </c>
      <c r="C15" s="319"/>
      <c r="D15" s="495">
        <f>+'T-1'!R11</f>
        <v>742.63745091486396</v>
      </c>
      <c r="E15" s="494"/>
      <c r="F15" s="497"/>
      <c r="G15" s="497"/>
      <c r="H15" s="496"/>
      <c r="I15" s="433"/>
      <c r="J15" s="436">
        <v>3</v>
      </c>
      <c r="K15" s="433"/>
      <c r="L15" s="433"/>
      <c r="M15" s="433"/>
      <c r="N15" s="433"/>
      <c r="O15" s="496"/>
      <c r="P15" s="496"/>
      <c r="Q15" s="498">
        <f>+'T-7_Ensuing_Year'!Q15</f>
        <v>0</v>
      </c>
      <c r="R15" s="498">
        <f>+'T-7_Ensuing_Year'!R15</f>
        <v>222.79123527445918</v>
      </c>
      <c r="S15" s="498">
        <f>+'T-7_Ensuing_Year'!S15</f>
        <v>0</v>
      </c>
      <c r="T15" s="498">
        <f>+'T-7_Ensuing_Year'!T15</f>
        <v>0</v>
      </c>
      <c r="U15" s="498">
        <f t="shared" si="0"/>
        <v>222.79123527445918</v>
      </c>
      <c r="V15" s="499"/>
      <c r="W15" s="498"/>
      <c r="X15" s="495">
        <f>+'T-7_Ensuing_Year'!X15</f>
        <v>0</v>
      </c>
      <c r="Y15" s="498">
        <f>+'T-7_Ensuing_Year'!Y15</f>
        <v>0</v>
      </c>
      <c r="Z15" s="498">
        <f t="shared" si="1"/>
        <v>222.79123527445918</v>
      </c>
      <c r="AA15" s="433"/>
      <c r="AB15" s="436">
        <v>3</v>
      </c>
      <c r="AC15" s="433"/>
      <c r="AD15" s="433"/>
      <c r="AE15" s="433"/>
      <c r="AF15" s="433"/>
      <c r="AG15" s="498"/>
      <c r="AH15" s="498"/>
      <c r="AI15" s="498">
        <f>(AA15*F15*12)/10^7</f>
        <v>0</v>
      </c>
      <c r="AJ15" s="498">
        <f>(D15*J15)/10</f>
        <v>222.79123527445918</v>
      </c>
      <c r="AK15" s="498"/>
      <c r="AL15" s="498"/>
      <c r="AM15" s="498">
        <f>SUM(AI15:AL15)</f>
        <v>222.79123527445918</v>
      </c>
      <c r="AN15" s="499"/>
      <c r="AO15" s="498"/>
      <c r="AP15" s="495">
        <f>+'T-7_Ensuing_Year'!X15</f>
        <v>0</v>
      </c>
      <c r="AQ15" s="498">
        <f>+'T-7_Ensuing_Year'!Y15</f>
        <v>0</v>
      </c>
      <c r="AR15" s="498">
        <f t="shared" si="2"/>
        <v>222.79123527445918</v>
      </c>
      <c r="AS15" s="498">
        <f t="shared" si="3"/>
        <v>222.79123527445918</v>
      </c>
      <c r="AT15" s="498">
        <f t="shared" si="4"/>
        <v>0</v>
      </c>
      <c r="AU15" s="498">
        <f t="shared" si="5"/>
        <v>0</v>
      </c>
      <c r="AV15" s="498">
        <f t="shared" si="5"/>
        <v>0</v>
      </c>
      <c r="AW15" s="498"/>
      <c r="AX15" s="227">
        <f>W15/'F-5'!$N$19/100</f>
        <v>0</v>
      </c>
      <c r="AY15" s="227">
        <f>AO15/'F-5'!$N$19/100</f>
        <v>0</v>
      </c>
      <c r="AZ15" s="500"/>
      <c r="BA15" s="498"/>
      <c r="BB15" s="498">
        <f t="shared" si="6"/>
        <v>222.79123527445918</v>
      </c>
      <c r="BC15" s="498"/>
      <c r="BD15" s="498"/>
      <c r="BE15" s="498"/>
      <c r="BF15" s="497"/>
    </row>
    <row r="16" spans="1:65" ht="15.75" customHeight="1">
      <c r="A16" s="320"/>
      <c r="B16" s="320" t="s">
        <v>236</v>
      </c>
      <c r="C16" s="319"/>
      <c r="D16" s="495">
        <f>+'T-1'!R12</f>
        <v>682.58861184916157</v>
      </c>
      <c r="E16" s="494"/>
      <c r="F16" s="497"/>
      <c r="G16" s="497"/>
      <c r="H16" s="496"/>
      <c r="I16" s="433"/>
      <c r="J16" s="436">
        <v>4.8</v>
      </c>
      <c r="K16" s="433"/>
      <c r="L16" s="433"/>
      <c r="M16" s="433"/>
      <c r="N16" s="433"/>
      <c r="O16" s="496"/>
      <c r="P16" s="496"/>
      <c r="Q16" s="498">
        <f>+'T-7_Ensuing_Year'!Q16</f>
        <v>0</v>
      </c>
      <c r="R16" s="498">
        <f>+'T-7_Ensuing_Year'!R16</f>
        <v>327.64253368759756</v>
      </c>
      <c r="S16" s="498">
        <f>+'T-7_Ensuing_Year'!S16</f>
        <v>0</v>
      </c>
      <c r="T16" s="498">
        <f>+'T-7_Ensuing_Year'!T16</f>
        <v>0</v>
      </c>
      <c r="U16" s="498">
        <f t="shared" si="0"/>
        <v>327.64253368759756</v>
      </c>
      <c r="V16" s="499"/>
      <c r="W16" s="498"/>
      <c r="X16" s="495">
        <f>+'T-7_Ensuing_Year'!X16</f>
        <v>0</v>
      </c>
      <c r="Y16" s="498">
        <f>+'T-7_Ensuing_Year'!Y16</f>
        <v>0</v>
      </c>
      <c r="Z16" s="498">
        <f t="shared" si="1"/>
        <v>327.64253368759756</v>
      </c>
      <c r="AA16" s="433"/>
      <c r="AB16" s="436">
        <v>4.8</v>
      </c>
      <c r="AC16" s="433"/>
      <c r="AD16" s="433"/>
      <c r="AE16" s="433"/>
      <c r="AF16" s="433"/>
      <c r="AG16" s="498"/>
      <c r="AH16" s="498"/>
      <c r="AI16" s="498">
        <f>(AA16*F16*12)/10^7</f>
        <v>0</v>
      </c>
      <c r="AJ16" s="498">
        <f>(D16*J16)/10</f>
        <v>327.64253368759756</v>
      </c>
      <c r="AK16" s="498"/>
      <c r="AL16" s="498"/>
      <c r="AM16" s="498">
        <f>SUM(AI16:AL16)</f>
        <v>327.64253368759756</v>
      </c>
      <c r="AN16" s="499"/>
      <c r="AO16" s="498"/>
      <c r="AP16" s="495">
        <f>+'T-7_Ensuing_Year'!X16</f>
        <v>0</v>
      </c>
      <c r="AQ16" s="498">
        <f>+'T-7_Ensuing_Year'!Y16</f>
        <v>0</v>
      </c>
      <c r="AR16" s="498">
        <f t="shared" si="2"/>
        <v>327.64253368759756</v>
      </c>
      <c r="AS16" s="498">
        <f t="shared" si="3"/>
        <v>327.64253368759756</v>
      </c>
      <c r="AT16" s="498">
        <f t="shared" si="4"/>
        <v>0</v>
      </c>
      <c r="AU16" s="498">
        <f t="shared" si="5"/>
        <v>0</v>
      </c>
      <c r="AV16" s="498">
        <f t="shared" si="5"/>
        <v>0</v>
      </c>
      <c r="AW16" s="498"/>
      <c r="AX16" s="227">
        <f>W16/'F-5'!$N$19/100</f>
        <v>0</v>
      </c>
      <c r="AY16" s="227">
        <f>AO16/'F-5'!$N$19/100</f>
        <v>0</v>
      </c>
      <c r="AZ16" s="500"/>
      <c r="BA16" s="498"/>
      <c r="BB16" s="498">
        <f t="shared" si="6"/>
        <v>327.64253368759756</v>
      </c>
      <c r="BC16" s="498"/>
      <c r="BD16" s="498"/>
      <c r="BE16" s="498"/>
      <c r="BF16" s="497"/>
    </row>
    <row r="17" spans="1:58" ht="15.75" customHeight="1">
      <c r="A17" s="320"/>
      <c r="B17" s="320" t="s">
        <v>237</v>
      </c>
      <c r="C17" s="319"/>
      <c r="D17" s="495">
        <f>+'T-1'!R13</f>
        <v>208.21240789660922</v>
      </c>
      <c r="E17" s="494"/>
      <c r="F17" s="497"/>
      <c r="G17" s="497"/>
      <c r="H17" s="496"/>
      <c r="I17" s="433"/>
      <c r="J17" s="436">
        <v>5.8</v>
      </c>
      <c r="K17" s="433"/>
      <c r="L17" s="433"/>
      <c r="M17" s="433"/>
      <c r="N17" s="433"/>
      <c r="O17" s="496"/>
      <c r="P17" s="496"/>
      <c r="Q17" s="498">
        <f>+'T-7_Ensuing_Year'!Q17</f>
        <v>0</v>
      </c>
      <c r="R17" s="498">
        <f>+'T-7_Ensuing_Year'!R17</f>
        <v>120.76319658003335</v>
      </c>
      <c r="S17" s="498">
        <f>+'T-7_Ensuing_Year'!S17</f>
        <v>0</v>
      </c>
      <c r="T17" s="498">
        <f>+'T-7_Ensuing_Year'!T17</f>
        <v>0</v>
      </c>
      <c r="U17" s="498">
        <f t="shared" si="0"/>
        <v>120.76319658003335</v>
      </c>
      <c r="V17" s="499"/>
      <c r="W17" s="498"/>
      <c r="X17" s="495">
        <f>+'T-7_Ensuing_Year'!X17</f>
        <v>0</v>
      </c>
      <c r="Y17" s="498">
        <f>+'T-7_Ensuing_Year'!Y17</f>
        <v>0</v>
      </c>
      <c r="Z17" s="498">
        <f t="shared" si="1"/>
        <v>120.76319658003335</v>
      </c>
      <c r="AA17" s="433"/>
      <c r="AB17" s="436">
        <v>5.8</v>
      </c>
      <c r="AC17" s="433"/>
      <c r="AD17" s="433"/>
      <c r="AE17" s="433"/>
      <c r="AF17" s="433"/>
      <c r="AG17" s="498"/>
      <c r="AH17" s="498"/>
      <c r="AI17" s="498">
        <f>(AA17*F17*12)/10^7</f>
        <v>0</v>
      </c>
      <c r="AJ17" s="498">
        <f>(D17*J17)/10</f>
        <v>120.76319658003335</v>
      </c>
      <c r="AK17" s="498"/>
      <c r="AL17" s="498"/>
      <c r="AM17" s="498">
        <f>SUM(AI17:AL17)</f>
        <v>120.76319658003335</v>
      </c>
      <c r="AN17" s="499"/>
      <c r="AO17" s="498"/>
      <c r="AP17" s="495">
        <f>+'T-7_Ensuing_Year'!X17</f>
        <v>0</v>
      </c>
      <c r="AQ17" s="498">
        <f>+'T-7_Ensuing_Year'!Y17</f>
        <v>0</v>
      </c>
      <c r="AR17" s="498">
        <f t="shared" si="2"/>
        <v>120.76319658003335</v>
      </c>
      <c r="AS17" s="498">
        <f t="shared" si="3"/>
        <v>120.76319658003335</v>
      </c>
      <c r="AT17" s="498">
        <f t="shared" si="4"/>
        <v>0</v>
      </c>
      <c r="AU17" s="498">
        <f t="shared" si="5"/>
        <v>0</v>
      </c>
      <c r="AV17" s="498">
        <f t="shared" si="5"/>
        <v>0</v>
      </c>
      <c r="AW17" s="498"/>
      <c r="AX17" s="227">
        <f>W17/'F-5'!$N$19/100</f>
        <v>0</v>
      </c>
      <c r="AY17" s="227">
        <f>AO17/'F-5'!$N$19/100</f>
        <v>0</v>
      </c>
      <c r="AZ17" s="500"/>
      <c r="BA17" s="498"/>
      <c r="BB17" s="498">
        <f t="shared" si="6"/>
        <v>120.76319658003335</v>
      </c>
      <c r="BC17" s="498"/>
      <c r="BD17" s="498"/>
      <c r="BE17" s="498"/>
      <c r="BF17" s="497"/>
    </row>
    <row r="18" spans="1:58" ht="15.75" customHeight="1">
      <c r="A18" s="320"/>
      <c r="B18" s="320" t="s">
        <v>238</v>
      </c>
      <c r="C18" s="319"/>
      <c r="D18" s="495">
        <f>+'T-1'!R14</f>
        <v>76.610529339365158</v>
      </c>
      <c r="E18" s="494"/>
      <c r="F18" s="497"/>
      <c r="G18" s="497"/>
      <c r="H18" s="496"/>
      <c r="I18" s="433"/>
      <c r="J18" s="436">
        <v>6.2</v>
      </c>
      <c r="K18" s="433"/>
      <c r="L18" s="433"/>
      <c r="M18" s="433"/>
      <c r="N18" s="433"/>
      <c r="O18" s="496"/>
      <c r="P18" s="496"/>
      <c r="Q18" s="498">
        <f>+'T-7_Ensuing_Year'!Q18</f>
        <v>0</v>
      </c>
      <c r="R18" s="498">
        <f>+'T-7_Ensuing_Year'!R18</f>
        <v>47.498528190406397</v>
      </c>
      <c r="S18" s="498">
        <f>+'T-7_Ensuing_Year'!S18</f>
        <v>0</v>
      </c>
      <c r="T18" s="498">
        <f>+'T-7_Ensuing_Year'!T18</f>
        <v>0</v>
      </c>
      <c r="U18" s="498">
        <f t="shared" si="0"/>
        <v>47.498528190406397</v>
      </c>
      <c r="V18" s="499"/>
      <c r="W18" s="498"/>
      <c r="X18" s="495">
        <f>+'T-7_Ensuing_Year'!X18</f>
        <v>0</v>
      </c>
      <c r="Y18" s="498">
        <f>+'T-7_Ensuing_Year'!Y18</f>
        <v>0</v>
      </c>
      <c r="Z18" s="498">
        <f t="shared" si="1"/>
        <v>47.498528190406397</v>
      </c>
      <c r="AA18" s="433"/>
      <c r="AB18" s="436">
        <v>6.2</v>
      </c>
      <c r="AC18" s="433"/>
      <c r="AD18" s="433"/>
      <c r="AE18" s="433"/>
      <c r="AF18" s="433"/>
      <c r="AG18" s="498"/>
      <c r="AH18" s="497"/>
      <c r="AI18" s="498">
        <f>(AA18*F18*12)/10^7</f>
        <v>0</v>
      </c>
      <c r="AJ18" s="498">
        <f>(D18*J18)/10</f>
        <v>47.498528190406397</v>
      </c>
      <c r="AK18" s="498"/>
      <c r="AL18" s="498"/>
      <c r="AM18" s="498">
        <f>SUM(AI18:AL18)</f>
        <v>47.498528190406397</v>
      </c>
      <c r="AN18" s="499"/>
      <c r="AO18" s="498"/>
      <c r="AP18" s="495">
        <f>+'T-7_Ensuing_Year'!X18</f>
        <v>0</v>
      </c>
      <c r="AQ18" s="498">
        <f>+'T-7_Ensuing_Year'!Y18</f>
        <v>0</v>
      </c>
      <c r="AR18" s="498">
        <f t="shared" si="2"/>
        <v>47.498528190406397</v>
      </c>
      <c r="AS18" s="498">
        <f t="shared" si="3"/>
        <v>47.498528190406397</v>
      </c>
      <c r="AT18" s="498">
        <f t="shared" si="4"/>
        <v>0</v>
      </c>
      <c r="AU18" s="498">
        <f t="shared" si="5"/>
        <v>0</v>
      </c>
      <c r="AV18" s="498">
        <f t="shared" si="5"/>
        <v>0</v>
      </c>
      <c r="AW18" s="498"/>
      <c r="AX18" s="227">
        <f>W18/'F-5'!$N$19/100</f>
        <v>0</v>
      </c>
      <c r="AY18" s="227">
        <f>AO18/'F-5'!$N$19/100</f>
        <v>0</v>
      </c>
      <c r="AZ18" s="500"/>
      <c r="BA18" s="498"/>
      <c r="BB18" s="498">
        <f t="shared" si="6"/>
        <v>47.498528190406397</v>
      </c>
      <c r="BC18" s="498"/>
      <c r="BD18" s="498"/>
      <c r="BE18" s="498"/>
      <c r="BF18" s="497"/>
    </row>
    <row r="19" spans="1:58" ht="15.75" customHeight="1">
      <c r="A19" s="320"/>
      <c r="B19" s="319"/>
      <c r="C19" s="328" t="s">
        <v>240</v>
      </c>
      <c r="D19" s="495">
        <f>+D13+D14</f>
        <v>1715.5170000000001</v>
      </c>
      <c r="E19" s="496"/>
      <c r="F19" s="497">
        <f>+F13+F14</f>
        <v>1809354</v>
      </c>
      <c r="G19" s="497">
        <f>+G13+G14</f>
        <v>1770880</v>
      </c>
      <c r="H19" s="497">
        <f>+H13+H14</f>
        <v>441619</v>
      </c>
      <c r="I19" s="440"/>
      <c r="J19" s="441"/>
      <c r="K19" s="440"/>
      <c r="L19" s="440"/>
      <c r="M19" s="440"/>
      <c r="N19" s="440"/>
      <c r="O19" s="496"/>
      <c r="P19" s="497">
        <f>+'T-7_Ensuing_Year'!P19</f>
        <v>451.1374645267266</v>
      </c>
      <c r="Q19" s="501">
        <f>SUM(Q13:Q18)</f>
        <v>0</v>
      </c>
      <c r="R19" s="501">
        <f>SUM(R13:R18)</f>
        <v>718.69549373249652</v>
      </c>
      <c r="S19" s="501">
        <f>SUM(S13:S18)</f>
        <v>55.238496000000005</v>
      </c>
      <c r="T19" s="501">
        <f>SUM(T13:T18)</f>
        <v>0</v>
      </c>
      <c r="U19" s="501">
        <f>SUM(U13:U18)</f>
        <v>773.93398973249646</v>
      </c>
      <c r="V19" s="483"/>
      <c r="W19" s="497">
        <f>+'T-7_Ensuing_Year'!W19</f>
        <v>445.10674815959067</v>
      </c>
      <c r="X19" s="495"/>
      <c r="Y19" s="501">
        <f>SUM(Y13:Y18)</f>
        <v>10.34579645</v>
      </c>
      <c r="Z19" s="501">
        <f>SUM(Z13:Z18)</f>
        <v>763.58819328249649</v>
      </c>
      <c r="AA19" s="440"/>
      <c r="AB19" s="441"/>
      <c r="AC19" s="440"/>
      <c r="AD19" s="440"/>
      <c r="AE19" s="440"/>
      <c r="AF19" s="440"/>
      <c r="AG19" s="496"/>
      <c r="AH19" s="497">
        <f>+AM19/D19*1000</f>
        <v>451.1374645267266</v>
      </c>
      <c r="AI19" s="501">
        <f>SUM(AI13:AI18)</f>
        <v>0</v>
      </c>
      <c r="AJ19" s="501">
        <f>SUM(AJ15:AJ18)</f>
        <v>718.69549373249652</v>
      </c>
      <c r="AK19" s="501">
        <f>SUM(AK14:AK18)</f>
        <v>53.618304000000002</v>
      </c>
      <c r="AL19" s="502"/>
      <c r="AM19" s="501">
        <f>SUM(AM13:AM18)</f>
        <v>773.93398973249646</v>
      </c>
      <c r="AN19" s="483"/>
      <c r="AO19" s="497">
        <f>+AR19/D19*1000</f>
        <v>445.10674815959067</v>
      </c>
      <c r="AP19" s="495"/>
      <c r="AQ19" s="501">
        <f>SUM(AQ13:AQ18)</f>
        <v>10.34579645</v>
      </c>
      <c r="AR19" s="501">
        <f>SUM(AR13:AR18)</f>
        <v>763.58819328249649</v>
      </c>
      <c r="AS19" s="501">
        <f>SUM(AS13:AS18)</f>
        <v>763.58819328249649</v>
      </c>
      <c r="AT19" s="501">
        <f>SUM(AT13:AT18)</f>
        <v>0</v>
      </c>
      <c r="AU19" s="498">
        <f t="shared" si="5"/>
        <v>0</v>
      </c>
      <c r="AV19" s="498">
        <f t="shared" si="5"/>
        <v>0</v>
      </c>
      <c r="AW19" s="496"/>
      <c r="AX19" s="227">
        <f>W19/'F-5'!$N$19/100</f>
        <v>0.4706895253603614</v>
      </c>
      <c r="AY19" s="227">
        <f>AO19/'F-5'!$N$19/100</f>
        <v>0.4706895253603614</v>
      </c>
      <c r="AZ19" s="220">
        <v>0.04</v>
      </c>
      <c r="BA19" s="498">
        <f>+AJ19*AZ19</f>
        <v>28.747819749299861</v>
      </c>
      <c r="BB19" s="501">
        <f t="shared" si="6"/>
        <v>792.33601303179637</v>
      </c>
      <c r="BC19" s="496"/>
      <c r="BD19" s="498">
        <f>'T-1'!O15*'F-5'!$N$19/10</f>
        <v>1622.2757298410049</v>
      </c>
      <c r="BE19" s="498">
        <f>BD19-AR19</f>
        <v>858.68753655850844</v>
      </c>
      <c r="BF19" s="497">
        <f>BE19/D19*10^3</f>
        <v>500.54154902487613</v>
      </c>
    </row>
    <row r="20" spans="1:58" ht="15.75" customHeight="1">
      <c r="A20" s="320">
        <v>2</v>
      </c>
      <c r="B20" s="319" t="s">
        <v>241</v>
      </c>
      <c r="C20" s="320" t="s">
        <v>232</v>
      </c>
      <c r="D20" s="495">
        <f>+'T-1'!R16</f>
        <v>515.88699999999994</v>
      </c>
      <c r="E20" s="496"/>
      <c r="F20" s="497">
        <f>+'T-1'!M16</f>
        <v>121147</v>
      </c>
      <c r="G20" s="497">
        <f>+'T-1'!N16</f>
        <v>331940</v>
      </c>
      <c r="H20" s="496">
        <f>+'T-7_Ensuing_Year'!H20</f>
        <v>232357.99999999997</v>
      </c>
      <c r="I20" s="433"/>
      <c r="J20" s="436"/>
      <c r="K20" s="433"/>
      <c r="L20" s="433">
        <v>30</v>
      </c>
      <c r="M20" s="433">
        <v>30</v>
      </c>
      <c r="N20" s="433"/>
      <c r="O20" s="496"/>
      <c r="P20" s="496"/>
      <c r="Q20" s="498">
        <f>+'T-7_Ensuing_Year'!Q20</f>
        <v>0</v>
      </c>
      <c r="R20" s="498">
        <f>+'T-7_Ensuing_Year'!R20</f>
        <v>0</v>
      </c>
      <c r="S20" s="498">
        <f>+'T-7_Ensuing_Year'!S20</f>
        <v>12.726179999999999</v>
      </c>
      <c r="T20" s="498">
        <f>+'T-7_Ensuing_Year'!T20</f>
        <v>0</v>
      </c>
      <c r="U20" s="498">
        <f>SUM(Q20:T20)</f>
        <v>12.726179999999999</v>
      </c>
      <c r="V20" s="499">
        <v>0.1</v>
      </c>
      <c r="W20" s="496"/>
      <c r="X20" s="495">
        <f>+'T-7_Ensuing_Year'!X20</f>
        <v>361.12089999999995</v>
      </c>
      <c r="Y20" s="498">
        <f>+'T-7_Ensuing_Year'!Y20</f>
        <v>3.6112089999999997</v>
      </c>
      <c r="Z20" s="498">
        <f>+U20-Y20</f>
        <v>9.1149710000000006</v>
      </c>
      <c r="AA20" s="433"/>
      <c r="AB20" s="436"/>
      <c r="AC20" s="433"/>
      <c r="AD20" s="433">
        <v>30</v>
      </c>
      <c r="AE20" s="433">
        <v>30</v>
      </c>
      <c r="AF20" s="433"/>
      <c r="AG20" s="496"/>
      <c r="AH20" s="496"/>
      <c r="AI20" s="498">
        <f t="shared" ref="AI20:AI35" si="7">(AA20*F20*12)/10^7</f>
        <v>0</v>
      </c>
      <c r="AJ20" s="498">
        <f>(D20*J20)/10</f>
        <v>0</v>
      </c>
      <c r="AK20" s="498">
        <f>((AD20*F20)+(H20*AE20))*12/10^7</f>
        <v>12.726179999999999</v>
      </c>
      <c r="AL20" s="496"/>
      <c r="AM20" s="498">
        <f>SUM(AI20:AL20)</f>
        <v>12.726179999999999</v>
      </c>
      <c r="AN20" s="499">
        <v>0.1</v>
      </c>
      <c r="AO20" s="496"/>
      <c r="AP20" s="495">
        <f>+'T-7_Ensuing_Year'!X20</f>
        <v>361.12089999999995</v>
      </c>
      <c r="AQ20" s="498">
        <f>+'T-7_Ensuing_Year'!Y20</f>
        <v>3.6112089999999997</v>
      </c>
      <c r="AR20" s="498">
        <f>+AM20-AQ20</f>
        <v>9.1149710000000006</v>
      </c>
      <c r="AS20" s="498">
        <f>+Z20</f>
        <v>9.1149710000000006</v>
      </c>
      <c r="AT20" s="498">
        <f>+AR20-AS20</f>
        <v>0</v>
      </c>
      <c r="AU20" s="498">
        <f t="shared" si="5"/>
        <v>0</v>
      </c>
      <c r="AV20" s="498">
        <f t="shared" si="5"/>
        <v>0</v>
      </c>
      <c r="AW20" s="496"/>
      <c r="AX20" s="227">
        <f>W20/'F-5'!$N$19/100</f>
        <v>0</v>
      </c>
      <c r="AY20" s="227">
        <f>AO20/'F-5'!$N$19/100</f>
        <v>0</v>
      </c>
      <c r="AZ20" s="434"/>
      <c r="BA20" s="496"/>
      <c r="BB20" s="498">
        <f t="shared" si="6"/>
        <v>9.1149710000000006</v>
      </c>
      <c r="BC20" s="496"/>
      <c r="BD20" s="498"/>
      <c r="BE20" s="498"/>
      <c r="BF20" s="497"/>
    </row>
    <row r="21" spans="1:58" ht="15.75" customHeight="1">
      <c r="A21" s="320"/>
      <c r="B21" s="320" t="s">
        <v>242</v>
      </c>
      <c r="C21" s="320"/>
      <c r="D21" s="495">
        <f>+'T-1'!R17</f>
        <v>116.16141909015458</v>
      </c>
      <c r="E21" s="496"/>
      <c r="F21" s="497"/>
      <c r="G21" s="497"/>
      <c r="H21" s="496"/>
      <c r="I21" s="433"/>
      <c r="J21" s="436">
        <v>5.9</v>
      </c>
      <c r="K21" s="433"/>
      <c r="L21" s="433"/>
      <c r="M21" s="433"/>
      <c r="N21" s="433"/>
      <c r="O21" s="496"/>
      <c r="P21" s="496"/>
      <c r="Q21" s="498">
        <f>+'T-7_Ensuing_Year'!Q21</f>
        <v>0</v>
      </c>
      <c r="R21" s="498">
        <f>+'T-7_Ensuing_Year'!R21</f>
        <v>68.535237263191206</v>
      </c>
      <c r="S21" s="498">
        <f>+'T-7_Ensuing_Year'!S21</f>
        <v>0</v>
      </c>
      <c r="T21" s="498">
        <f>+'T-7_Ensuing_Year'!T21</f>
        <v>0</v>
      </c>
      <c r="U21" s="498">
        <f>SUM(Q21:T21)</f>
        <v>68.535237263191206</v>
      </c>
      <c r="V21" s="499"/>
      <c r="W21" s="496"/>
      <c r="X21" s="495">
        <f>+'T-7_Ensuing_Year'!X21</f>
        <v>0</v>
      </c>
      <c r="Y21" s="498">
        <f>+'T-7_Ensuing_Year'!Y21</f>
        <v>0</v>
      </c>
      <c r="Z21" s="498">
        <f>+U21-Y21</f>
        <v>68.535237263191206</v>
      </c>
      <c r="AA21" s="433"/>
      <c r="AB21" s="436">
        <v>5.9</v>
      </c>
      <c r="AC21" s="433"/>
      <c r="AD21" s="433"/>
      <c r="AE21" s="433"/>
      <c r="AF21" s="433"/>
      <c r="AG21" s="496"/>
      <c r="AH21" s="496"/>
      <c r="AI21" s="498">
        <f t="shared" si="7"/>
        <v>0</v>
      </c>
      <c r="AJ21" s="498">
        <f>(D21*J21)/10</f>
        <v>68.535237263191206</v>
      </c>
      <c r="AK21" s="496"/>
      <c r="AL21" s="496"/>
      <c r="AM21" s="498">
        <f>SUM(AI21:AL21)</f>
        <v>68.535237263191206</v>
      </c>
      <c r="AN21" s="499"/>
      <c r="AO21" s="496"/>
      <c r="AP21" s="495">
        <f>+'T-7_Ensuing_Year'!X21</f>
        <v>0</v>
      </c>
      <c r="AQ21" s="498">
        <f>+'T-7_Ensuing_Year'!Y21</f>
        <v>0</v>
      </c>
      <c r="AR21" s="498">
        <f>+AM21-AQ21</f>
        <v>68.535237263191206</v>
      </c>
      <c r="AS21" s="498">
        <f>+Z21</f>
        <v>68.535237263191206</v>
      </c>
      <c r="AT21" s="498">
        <f>+AR21-AS21</f>
        <v>0</v>
      </c>
      <c r="AU21" s="498">
        <f t="shared" si="5"/>
        <v>0</v>
      </c>
      <c r="AV21" s="498">
        <f t="shared" si="5"/>
        <v>0</v>
      </c>
      <c r="AW21" s="496"/>
      <c r="AX21" s="227">
        <f>W21/'F-5'!$N$19/100</f>
        <v>0</v>
      </c>
      <c r="AY21" s="227">
        <f>AO21/'F-5'!$N$19/100</f>
        <v>0</v>
      </c>
      <c r="AZ21" s="434"/>
      <c r="BA21" s="496"/>
      <c r="BB21" s="498">
        <f t="shared" si="6"/>
        <v>68.535237263191206</v>
      </c>
      <c r="BC21" s="496"/>
      <c r="BD21" s="498"/>
      <c r="BE21" s="498"/>
      <c r="BF21" s="497"/>
    </row>
    <row r="22" spans="1:58" ht="15.75" customHeight="1">
      <c r="A22" s="320"/>
      <c r="B22" s="320" t="s">
        <v>243</v>
      </c>
      <c r="C22" s="319"/>
      <c r="D22" s="495">
        <f>+'T-1'!R18</f>
        <v>97.132963046621654</v>
      </c>
      <c r="E22" s="496"/>
      <c r="F22" s="497"/>
      <c r="G22" s="497"/>
      <c r="H22" s="496"/>
      <c r="I22" s="433"/>
      <c r="J22" s="436">
        <v>7</v>
      </c>
      <c r="K22" s="433"/>
      <c r="L22" s="433"/>
      <c r="M22" s="433"/>
      <c r="N22" s="433"/>
      <c r="O22" s="496"/>
      <c r="P22" s="496"/>
      <c r="Q22" s="498">
        <f>+'T-7_Ensuing_Year'!Q22</f>
        <v>0</v>
      </c>
      <c r="R22" s="498">
        <f>+'T-7_Ensuing_Year'!R22</f>
        <v>67.993074132635158</v>
      </c>
      <c r="S22" s="498">
        <f>+'T-7_Ensuing_Year'!S22</f>
        <v>0</v>
      </c>
      <c r="T22" s="498">
        <f>+'T-7_Ensuing_Year'!T22</f>
        <v>0</v>
      </c>
      <c r="U22" s="498">
        <f>SUM(Q22:T22)</f>
        <v>67.993074132635158</v>
      </c>
      <c r="V22" s="499"/>
      <c r="W22" s="496"/>
      <c r="X22" s="495">
        <f>+'T-7_Ensuing_Year'!X22</f>
        <v>0</v>
      </c>
      <c r="Y22" s="498">
        <f>+'T-7_Ensuing_Year'!Y22</f>
        <v>0</v>
      </c>
      <c r="Z22" s="498">
        <f>+U22-Y22</f>
        <v>67.993074132635158</v>
      </c>
      <c r="AA22" s="433"/>
      <c r="AB22" s="436">
        <v>7</v>
      </c>
      <c r="AC22" s="433"/>
      <c r="AD22" s="433"/>
      <c r="AE22" s="433"/>
      <c r="AF22" s="433"/>
      <c r="AG22" s="496"/>
      <c r="AH22" s="496"/>
      <c r="AI22" s="498">
        <f t="shared" si="7"/>
        <v>0</v>
      </c>
      <c r="AJ22" s="498">
        <f>(D22*J22)/10</f>
        <v>67.993074132635158</v>
      </c>
      <c r="AK22" s="496"/>
      <c r="AL22" s="496"/>
      <c r="AM22" s="498">
        <f>SUM(AI22:AL22)</f>
        <v>67.993074132635158</v>
      </c>
      <c r="AN22" s="499"/>
      <c r="AO22" s="496"/>
      <c r="AP22" s="495">
        <f>+'T-7_Ensuing_Year'!X22</f>
        <v>0</v>
      </c>
      <c r="AQ22" s="498">
        <f>+'T-7_Ensuing_Year'!Y22</f>
        <v>0</v>
      </c>
      <c r="AR22" s="498">
        <f>+AM22-AQ22</f>
        <v>67.993074132635158</v>
      </c>
      <c r="AS22" s="498">
        <f>+Z22</f>
        <v>67.993074132635158</v>
      </c>
      <c r="AT22" s="498">
        <f>+AR22-AS22</f>
        <v>0</v>
      </c>
      <c r="AU22" s="498">
        <f t="shared" si="5"/>
        <v>0</v>
      </c>
      <c r="AV22" s="498">
        <f t="shared" si="5"/>
        <v>0</v>
      </c>
      <c r="AW22" s="496"/>
      <c r="AX22" s="227">
        <f>W22/'F-5'!$N$19/100</f>
        <v>0</v>
      </c>
      <c r="AY22" s="227">
        <f>AO22/'F-5'!$N$19/100</f>
        <v>0</v>
      </c>
      <c r="AZ22" s="434"/>
      <c r="BA22" s="496"/>
      <c r="BB22" s="498">
        <f t="shared" si="6"/>
        <v>67.993074132635158</v>
      </c>
      <c r="BC22" s="496"/>
      <c r="BD22" s="498"/>
      <c r="BE22" s="498"/>
      <c r="BF22" s="497"/>
    </row>
    <row r="23" spans="1:58" ht="15.75" customHeight="1">
      <c r="A23" s="320"/>
      <c r="B23" s="320" t="s">
        <v>244</v>
      </c>
      <c r="C23" s="320"/>
      <c r="D23" s="495">
        <f>+'T-1'!R19</f>
        <v>302.59261786322367</v>
      </c>
      <c r="E23" s="496"/>
      <c r="F23" s="497"/>
      <c r="G23" s="497"/>
      <c r="H23" s="496"/>
      <c r="I23" s="433"/>
      <c r="J23" s="436">
        <v>7.6</v>
      </c>
      <c r="K23" s="433"/>
      <c r="L23" s="433"/>
      <c r="M23" s="433"/>
      <c r="N23" s="433"/>
      <c r="O23" s="498"/>
      <c r="P23" s="498"/>
      <c r="Q23" s="498">
        <f>+'T-7_Ensuing_Year'!Q23</f>
        <v>0</v>
      </c>
      <c r="R23" s="498">
        <f>+'T-7_Ensuing_Year'!R23</f>
        <v>229.97038957604997</v>
      </c>
      <c r="S23" s="498">
        <f>+'T-7_Ensuing_Year'!S23</f>
        <v>0</v>
      </c>
      <c r="T23" s="498">
        <f>+'T-7_Ensuing_Year'!T23</f>
        <v>0</v>
      </c>
      <c r="U23" s="498">
        <f>SUM(Q23:T23)</f>
        <v>229.97038957604997</v>
      </c>
      <c r="V23" s="499"/>
      <c r="W23" s="498"/>
      <c r="X23" s="495">
        <f>+'T-7_Ensuing_Year'!X23</f>
        <v>0</v>
      </c>
      <c r="Y23" s="498">
        <f>+'T-7_Ensuing_Year'!Y23</f>
        <v>0</v>
      </c>
      <c r="Z23" s="498">
        <f>+U23-Y23</f>
        <v>229.97038957604997</v>
      </c>
      <c r="AA23" s="433"/>
      <c r="AB23" s="436">
        <v>7.6</v>
      </c>
      <c r="AC23" s="433"/>
      <c r="AD23" s="433"/>
      <c r="AE23" s="433"/>
      <c r="AF23" s="433"/>
      <c r="AG23" s="498"/>
      <c r="AH23" s="498"/>
      <c r="AI23" s="498">
        <f t="shared" si="7"/>
        <v>0</v>
      </c>
      <c r="AJ23" s="498">
        <f>(D23*J23)/10</f>
        <v>229.97038957604997</v>
      </c>
      <c r="AK23" s="498"/>
      <c r="AL23" s="498"/>
      <c r="AM23" s="498">
        <f>SUM(AI23:AL23)</f>
        <v>229.97038957604997</v>
      </c>
      <c r="AN23" s="499"/>
      <c r="AO23" s="498"/>
      <c r="AP23" s="495">
        <f>+'T-7_Ensuing_Year'!X23</f>
        <v>0</v>
      </c>
      <c r="AQ23" s="498">
        <f>+'T-7_Ensuing_Year'!Y23</f>
        <v>0</v>
      </c>
      <c r="AR23" s="498">
        <f>+AM23-AQ23</f>
        <v>229.97038957604997</v>
      </c>
      <c r="AS23" s="498">
        <f>+Z23</f>
        <v>229.97038957604997</v>
      </c>
      <c r="AT23" s="498">
        <f>+AR23-AS23</f>
        <v>0</v>
      </c>
      <c r="AU23" s="498">
        <f t="shared" si="5"/>
        <v>0</v>
      </c>
      <c r="AV23" s="498">
        <f t="shared" si="5"/>
        <v>0</v>
      </c>
      <c r="AW23" s="498"/>
      <c r="AX23" s="227">
        <f>W23/'F-5'!$N$19/100</f>
        <v>0</v>
      </c>
      <c r="AY23" s="227">
        <f>AO23/'F-5'!$N$19/100</f>
        <v>0</v>
      </c>
      <c r="AZ23" s="434"/>
      <c r="BA23" s="498"/>
      <c r="BB23" s="498">
        <f t="shared" si="6"/>
        <v>229.97038957604997</v>
      </c>
      <c r="BC23" s="498"/>
      <c r="BD23" s="498"/>
      <c r="BE23" s="498"/>
      <c r="BF23" s="497"/>
    </row>
    <row r="24" spans="1:58" ht="15.75" customHeight="1">
      <c r="A24" s="320"/>
      <c r="B24" s="319"/>
      <c r="C24" s="328" t="s">
        <v>240</v>
      </c>
      <c r="D24" s="495">
        <f>+D20</f>
        <v>515.88699999999994</v>
      </c>
      <c r="E24" s="496"/>
      <c r="F24" s="497">
        <f>+F20</f>
        <v>121147</v>
      </c>
      <c r="G24" s="497">
        <f>+G20</f>
        <v>331940</v>
      </c>
      <c r="H24" s="497">
        <f>+H20</f>
        <v>232357.99999999997</v>
      </c>
      <c r="I24" s="433"/>
      <c r="J24" s="436"/>
      <c r="K24" s="433"/>
      <c r="L24" s="433"/>
      <c r="M24" s="433"/>
      <c r="N24" s="433"/>
      <c r="O24" s="496"/>
      <c r="P24" s="497">
        <f>+'T-7_Ensuing_Year'!P24</f>
        <v>735.0929195189575</v>
      </c>
      <c r="Q24" s="501">
        <f>SUM(Q20:Q23)</f>
        <v>0</v>
      </c>
      <c r="R24" s="501">
        <f>SUM(R20:R23)</f>
        <v>366.49870097187636</v>
      </c>
      <c r="S24" s="501">
        <f>SUM(S20:S23)</f>
        <v>12.726179999999999</v>
      </c>
      <c r="T24" s="501">
        <f>SUM(T20:T23)</f>
        <v>0</v>
      </c>
      <c r="U24" s="501">
        <f>SUM(U20:U23)</f>
        <v>379.22488097187636</v>
      </c>
      <c r="V24" s="499"/>
      <c r="W24" s="497">
        <f>+'T-7_Ensuing_Year'!W24</f>
        <v>728.09291951895739</v>
      </c>
      <c r="X24" s="503">
        <f>SUM(X20:X23)</f>
        <v>361.12089999999995</v>
      </c>
      <c r="Y24" s="501">
        <f>SUM(Y20:Y23)</f>
        <v>3.6112089999999997</v>
      </c>
      <c r="Z24" s="501">
        <f>SUM(Z20:Z23)</f>
        <v>375.61367197187633</v>
      </c>
      <c r="AA24" s="433"/>
      <c r="AB24" s="436"/>
      <c r="AC24" s="433"/>
      <c r="AD24" s="433"/>
      <c r="AE24" s="433"/>
      <c r="AF24" s="433"/>
      <c r="AG24" s="498"/>
      <c r="AH24" s="497">
        <f>+AM24/D24*1000</f>
        <v>735.0929195189575</v>
      </c>
      <c r="AI24" s="498">
        <f t="shared" si="7"/>
        <v>0</v>
      </c>
      <c r="AJ24" s="501">
        <f>SUM(AJ20:AJ23)</f>
        <v>366.49870097187636</v>
      </c>
      <c r="AK24" s="501">
        <f>SUM(AK20:AK23)</f>
        <v>12.726179999999999</v>
      </c>
      <c r="AL24" s="501">
        <f>SUM(AL20:AL23)</f>
        <v>0</v>
      </c>
      <c r="AM24" s="501">
        <f>SUM(AM20:AM23)</f>
        <v>379.22488097187636</v>
      </c>
      <c r="AN24" s="499"/>
      <c r="AO24" s="497">
        <f>+AR24/D24*1000</f>
        <v>728.09291951895739</v>
      </c>
      <c r="AP24" s="495"/>
      <c r="AQ24" s="501">
        <f>SUM(AQ20:AQ23)</f>
        <v>3.6112089999999997</v>
      </c>
      <c r="AR24" s="501">
        <f>SUM(AR20:AR23)</f>
        <v>375.61367197187633</v>
      </c>
      <c r="AS24" s="501">
        <f>SUM(AS20:AS23)</f>
        <v>375.61367197187633</v>
      </c>
      <c r="AT24" s="501">
        <f>SUM(AT20:AT23)</f>
        <v>0</v>
      </c>
      <c r="AU24" s="498">
        <f t="shared" si="5"/>
        <v>0</v>
      </c>
      <c r="AV24" s="498">
        <f t="shared" si="5"/>
        <v>0</v>
      </c>
      <c r="AW24" s="498"/>
      <c r="AX24" s="227">
        <f>W24/'F-5'!$N$19/100</f>
        <v>0.76994049657441399</v>
      </c>
      <c r="AY24" s="227">
        <f>AO24/'F-5'!$N$19/100</f>
        <v>0.76994049657441399</v>
      </c>
      <c r="AZ24" s="220">
        <v>0.04</v>
      </c>
      <c r="BA24" s="498">
        <f t="shared" ref="BA24:BA35" si="8">+AJ24*AZ24</f>
        <v>14.659948038875054</v>
      </c>
      <c r="BB24" s="501">
        <f t="shared" si="6"/>
        <v>390.27362001075136</v>
      </c>
      <c r="BC24" s="498"/>
      <c r="BD24" s="498">
        <f>'T-1'!O20*'F-5'!$N$19/10</f>
        <v>487.84766308960297</v>
      </c>
      <c r="BE24" s="498">
        <f t="shared" ref="BE24:BE36" si="9">BD24-AR24</f>
        <v>112.23399111772665</v>
      </c>
      <c r="BF24" s="497">
        <f t="shared" ref="BF24:BF36" si="10">BE24/D24*10^3</f>
        <v>217.55537766550941</v>
      </c>
    </row>
    <row r="25" spans="1:58" ht="15.75" customHeight="1">
      <c r="A25" s="320">
        <v>3</v>
      </c>
      <c r="B25" s="319" t="s">
        <v>245</v>
      </c>
      <c r="C25" s="320" t="s">
        <v>232</v>
      </c>
      <c r="D25" s="495">
        <f>+'T-1'!R21</f>
        <v>133.52500000000001</v>
      </c>
      <c r="E25" s="496"/>
      <c r="F25" s="497">
        <f>+'T-1'!M21</f>
        <v>27249</v>
      </c>
      <c r="G25" s="497">
        <f>+'T-1'!N21</f>
        <v>110266</v>
      </c>
      <c r="H25" s="496">
        <f>+'T-7_Ensuing_Year'!H25</f>
        <v>83017</v>
      </c>
      <c r="I25" s="433"/>
      <c r="J25" s="436">
        <v>1.5</v>
      </c>
      <c r="K25" s="433"/>
      <c r="L25" s="433">
        <v>20</v>
      </c>
      <c r="M25" s="433">
        <v>10</v>
      </c>
      <c r="N25" s="433"/>
      <c r="O25" s="496"/>
      <c r="P25" s="497">
        <f>+'T-7_Ensuing_Year'!P25</f>
        <v>162.35858453473131</v>
      </c>
      <c r="Q25" s="498">
        <f>+'T-7_Ensuing_Year'!Q25</f>
        <v>0</v>
      </c>
      <c r="R25" s="498">
        <f>+'T-7_Ensuing_Year'!R25</f>
        <v>20.028750000000002</v>
      </c>
      <c r="S25" s="498">
        <f>+'T-7_Ensuing_Year'!S25</f>
        <v>1.65018</v>
      </c>
      <c r="T25" s="498">
        <f>+'T-7_Ensuing_Year'!T25</f>
        <v>0</v>
      </c>
      <c r="U25" s="498">
        <f t="shared" ref="U25:U35" si="11">SUM(Q25:T25)</f>
        <v>21.678930000000001</v>
      </c>
      <c r="V25" s="499">
        <v>0.1</v>
      </c>
      <c r="W25" s="497">
        <f>+'T-7_Ensuing_Year'!W25</f>
        <v>159.85858453473131</v>
      </c>
      <c r="X25" s="495">
        <f>+'T-7_Ensuing_Year'!X25</f>
        <v>33.381250000000001</v>
      </c>
      <c r="Y25" s="498">
        <f>+'T-7_Ensuing_Year'!Y25</f>
        <v>0.33381250000000001</v>
      </c>
      <c r="Z25" s="498">
        <f t="shared" ref="Z25:Z35" si="12">+U25-Y25</f>
        <v>21.345117500000001</v>
      </c>
      <c r="AA25" s="433"/>
      <c r="AB25" s="436">
        <v>1.5</v>
      </c>
      <c r="AC25" s="433"/>
      <c r="AD25" s="433">
        <v>20</v>
      </c>
      <c r="AE25" s="433">
        <v>10</v>
      </c>
      <c r="AF25" s="433"/>
      <c r="AG25" s="498"/>
      <c r="AH25" s="497">
        <f t="shared" ref="AH25:AH36" si="13">+AM25/D25*1000</f>
        <v>162.35858453473131</v>
      </c>
      <c r="AI25" s="498">
        <f t="shared" si="7"/>
        <v>0</v>
      </c>
      <c r="AJ25" s="498">
        <f t="shared" ref="AJ25:AJ35" si="14">(D25*J25)/10</f>
        <v>20.028750000000002</v>
      </c>
      <c r="AK25" s="498">
        <f t="shared" ref="AK25:AK35" si="15">((AD25*F25)+(H25*AE25))*12/10^7</f>
        <v>1.65018</v>
      </c>
      <c r="AL25" s="498"/>
      <c r="AM25" s="498">
        <f t="shared" ref="AM25:AM35" si="16">SUM(AI25:AL25)</f>
        <v>21.678930000000001</v>
      </c>
      <c r="AN25" s="499">
        <v>0.1</v>
      </c>
      <c r="AO25" s="497">
        <f t="shared" ref="AO25:AO36" si="17">+AR25/D25*1000</f>
        <v>159.85858453473131</v>
      </c>
      <c r="AP25" s="495">
        <f>+'T-7_Ensuing_Year'!X25</f>
        <v>33.381250000000001</v>
      </c>
      <c r="AQ25" s="498">
        <f>+'T-7_Ensuing_Year'!Y25</f>
        <v>0.33381250000000001</v>
      </c>
      <c r="AR25" s="498">
        <f t="shared" ref="AR25:AR35" si="18">+AM25-AQ25</f>
        <v>21.345117500000001</v>
      </c>
      <c r="AS25" s="498">
        <f t="shared" ref="AS25:AS35" si="19">+Z25</f>
        <v>21.345117500000001</v>
      </c>
      <c r="AT25" s="498">
        <f t="shared" ref="AT25:AT35" si="20">+AR25-AS25</f>
        <v>0</v>
      </c>
      <c r="AU25" s="498">
        <f t="shared" si="5"/>
        <v>0</v>
      </c>
      <c r="AV25" s="498">
        <f t="shared" si="5"/>
        <v>0</v>
      </c>
      <c r="AW25" s="498"/>
      <c r="AX25" s="227">
        <f>W25/'F-5'!$N$19/100</f>
        <v>0.16904655251924791</v>
      </c>
      <c r="AY25" s="227">
        <f>AO25/'F-5'!$N$19/100</f>
        <v>0.16904655251924791</v>
      </c>
      <c r="AZ25" s="221">
        <v>0.02</v>
      </c>
      <c r="BA25" s="498">
        <f t="shared" si="8"/>
        <v>0.40057500000000007</v>
      </c>
      <c r="BB25" s="498">
        <f t="shared" si="6"/>
        <v>21.745692500000001</v>
      </c>
      <c r="BC25" s="498"/>
      <c r="BD25" s="498">
        <f>'T-1'!O21*'F-5'!$N$19/10</f>
        <v>126.26768888155593</v>
      </c>
      <c r="BE25" s="498">
        <f t="shared" si="9"/>
        <v>104.92257138155593</v>
      </c>
      <c r="BF25" s="497">
        <f t="shared" si="10"/>
        <v>785.78971264973541</v>
      </c>
    </row>
    <row r="26" spans="1:58" ht="15.75" customHeight="1">
      <c r="A26" s="320">
        <f t="shared" ref="A26:A35" si="21">A25+1</f>
        <v>4</v>
      </c>
      <c r="B26" s="319" t="s">
        <v>246</v>
      </c>
      <c r="C26" s="320" t="s">
        <v>232</v>
      </c>
      <c r="D26" s="495">
        <f>+'T-1'!R22</f>
        <v>81.510000000000005</v>
      </c>
      <c r="E26" s="494"/>
      <c r="F26" s="497">
        <f>+'T-1'!M22</f>
        <v>3580</v>
      </c>
      <c r="G26" s="497">
        <f>+'T-1'!N22</f>
        <v>52821</v>
      </c>
      <c r="H26" s="496">
        <f>+'T-7_Ensuing_Year'!H26</f>
        <v>49241</v>
      </c>
      <c r="I26" s="433"/>
      <c r="J26" s="436">
        <v>1.6</v>
      </c>
      <c r="K26" s="433"/>
      <c r="L26" s="433">
        <v>20</v>
      </c>
      <c r="M26" s="433">
        <v>10</v>
      </c>
      <c r="N26" s="433"/>
      <c r="O26" s="496"/>
      <c r="P26" s="497">
        <f>+'T-7_Ensuing_Year'!P26</f>
        <v>168.30342289289661</v>
      </c>
      <c r="Q26" s="498">
        <f>+'T-7_Ensuing_Year'!Q26</f>
        <v>0</v>
      </c>
      <c r="R26" s="498">
        <f>+'T-7_Ensuing_Year'!R26</f>
        <v>13.041600000000003</v>
      </c>
      <c r="S26" s="498">
        <f>+'T-7_Ensuing_Year'!S26</f>
        <v>0.67681199999999997</v>
      </c>
      <c r="T26" s="498">
        <f>+'T-7_Ensuing_Year'!T26</f>
        <v>0</v>
      </c>
      <c r="U26" s="498">
        <f t="shared" si="11"/>
        <v>13.718412000000002</v>
      </c>
      <c r="V26" s="499">
        <v>0.1</v>
      </c>
      <c r="W26" s="497">
        <f>+'T-7_Ensuing_Year'!W26</f>
        <v>161.30342289289661</v>
      </c>
      <c r="X26" s="495">
        <f>+'T-7_Ensuing_Year'!X26</f>
        <v>57.057000000000002</v>
      </c>
      <c r="Y26" s="498">
        <f>+'T-7_Ensuing_Year'!Y26</f>
        <v>0.57057000000000002</v>
      </c>
      <c r="Z26" s="498">
        <f t="shared" si="12"/>
        <v>13.147842000000002</v>
      </c>
      <c r="AA26" s="433"/>
      <c r="AB26" s="436">
        <v>1.6</v>
      </c>
      <c r="AC26" s="433"/>
      <c r="AD26" s="433">
        <v>20</v>
      </c>
      <c r="AE26" s="433">
        <v>10</v>
      </c>
      <c r="AF26" s="433"/>
      <c r="AG26" s="498"/>
      <c r="AH26" s="497">
        <f t="shared" si="13"/>
        <v>168.30342289289661</v>
      </c>
      <c r="AI26" s="498">
        <f t="shared" si="7"/>
        <v>0</v>
      </c>
      <c r="AJ26" s="498">
        <f t="shared" si="14"/>
        <v>13.041600000000003</v>
      </c>
      <c r="AK26" s="498">
        <f t="shared" si="15"/>
        <v>0.67681199999999997</v>
      </c>
      <c r="AL26" s="498"/>
      <c r="AM26" s="498">
        <f t="shared" si="16"/>
        <v>13.718412000000002</v>
      </c>
      <c r="AN26" s="499">
        <v>0.1</v>
      </c>
      <c r="AO26" s="497">
        <f t="shared" si="17"/>
        <v>161.30342289289661</v>
      </c>
      <c r="AP26" s="495">
        <f>+'T-7_Ensuing_Year'!X26</f>
        <v>57.057000000000002</v>
      </c>
      <c r="AQ26" s="498">
        <f>+'T-7_Ensuing_Year'!Y26</f>
        <v>0.57057000000000002</v>
      </c>
      <c r="AR26" s="498">
        <f t="shared" si="18"/>
        <v>13.147842000000002</v>
      </c>
      <c r="AS26" s="498">
        <f t="shared" si="19"/>
        <v>13.147842000000002</v>
      </c>
      <c r="AT26" s="498">
        <f t="shared" si="20"/>
        <v>0</v>
      </c>
      <c r="AU26" s="498">
        <f t="shared" si="5"/>
        <v>0</v>
      </c>
      <c r="AV26" s="498">
        <f t="shared" si="5"/>
        <v>0</v>
      </c>
      <c r="AW26" s="498"/>
      <c r="AX26" s="227">
        <f>W26/'F-5'!$N$19/100</f>
        <v>0.1705744338282579</v>
      </c>
      <c r="AY26" s="227">
        <f>AO26/'F-5'!$N$19/100</f>
        <v>0.1705744338282579</v>
      </c>
      <c r="AZ26" s="221">
        <v>0.04</v>
      </c>
      <c r="BA26" s="498">
        <f t="shared" si="8"/>
        <v>0.52166400000000013</v>
      </c>
      <c r="BB26" s="498">
        <f t="shared" si="6"/>
        <v>13.669506000000002</v>
      </c>
      <c r="BC26" s="498"/>
      <c r="BD26" s="498">
        <f>'T-1'!O22*'F-5'!$N$19/10</f>
        <v>77.079792703505888</v>
      </c>
      <c r="BE26" s="498">
        <f t="shared" si="9"/>
        <v>63.931950703505883</v>
      </c>
      <c r="BF26" s="497">
        <f t="shared" si="10"/>
        <v>784.34487429157002</v>
      </c>
    </row>
    <row r="27" spans="1:58" ht="15.75" customHeight="1">
      <c r="A27" s="320">
        <f t="shared" si="21"/>
        <v>5</v>
      </c>
      <c r="B27" s="319" t="s">
        <v>247</v>
      </c>
      <c r="C27" s="320" t="s">
        <v>232</v>
      </c>
      <c r="D27" s="495">
        <f>+'T-1'!R23</f>
        <v>2.0659999999999998</v>
      </c>
      <c r="E27" s="496"/>
      <c r="F27" s="497">
        <f>+'T-1'!M23</f>
        <v>70</v>
      </c>
      <c r="G27" s="497">
        <f>+'T-1'!N23</f>
        <v>1040</v>
      </c>
      <c r="H27" s="496">
        <f>+'T-7_Ensuing_Year'!H27</f>
        <v>970</v>
      </c>
      <c r="I27" s="433"/>
      <c r="J27" s="436">
        <v>3.1</v>
      </c>
      <c r="K27" s="433"/>
      <c r="L27" s="433">
        <v>80</v>
      </c>
      <c r="M27" s="433">
        <v>50</v>
      </c>
      <c r="N27" s="433"/>
      <c r="O27" s="496"/>
      <c r="P27" s="497">
        <f>+'T-7_Ensuing_Year'!P27</f>
        <v>341.42303969022265</v>
      </c>
      <c r="Q27" s="498">
        <f>+'T-7_Ensuing_Year'!Q27</f>
        <v>0</v>
      </c>
      <c r="R27" s="498">
        <f>+'T-7_Ensuing_Year'!R27</f>
        <v>0.64045999999999992</v>
      </c>
      <c r="S27" s="498">
        <f>+'T-7_Ensuing_Year'!S27</f>
        <v>6.4920000000000005E-2</v>
      </c>
      <c r="T27" s="498">
        <f>+'T-7_Ensuing_Year'!T27</f>
        <v>0</v>
      </c>
      <c r="U27" s="498">
        <f t="shared" si="11"/>
        <v>0.7053799999999999</v>
      </c>
      <c r="V27" s="499"/>
      <c r="W27" s="497">
        <f>+'T-7_Ensuing_Year'!W27</f>
        <v>338.00880929332038</v>
      </c>
      <c r="X27" s="495">
        <f>+'T-7_Ensuing_Year'!X27</f>
        <v>0</v>
      </c>
      <c r="Y27" s="498">
        <f>+'T-7_Ensuing_Year'!Y27</f>
        <v>7.053799999999999E-3</v>
      </c>
      <c r="Z27" s="498">
        <f t="shared" si="12"/>
        <v>0.6983261999999999</v>
      </c>
      <c r="AA27" s="433"/>
      <c r="AB27" s="436">
        <v>4.7</v>
      </c>
      <c r="AC27" s="433"/>
      <c r="AD27" s="433">
        <v>80</v>
      </c>
      <c r="AE27" s="433">
        <v>50</v>
      </c>
      <c r="AF27" s="433"/>
      <c r="AG27" s="498"/>
      <c r="AH27" s="497">
        <f t="shared" si="13"/>
        <v>341.42303969022265</v>
      </c>
      <c r="AI27" s="498">
        <f t="shared" si="7"/>
        <v>0</v>
      </c>
      <c r="AJ27" s="498">
        <f t="shared" si="14"/>
        <v>0.64045999999999992</v>
      </c>
      <c r="AK27" s="498">
        <f t="shared" si="15"/>
        <v>6.4920000000000005E-2</v>
      </c>
      <c r="AL27" s="498"/>
      <c r="AM27" s="498">
        <f t="shared" si="16"/>
        <v>0.7053799999999999</v>
      </c>
      <c r="AN27" s="499"/>
      <c r="AO27" s="497">
        <f t="shared" si="17"/>
        <v>338.00880929332038</v>
      </c>
      <c r="AP27" s="495">
        <f>+'T-7_Ensuing_Year'!X27</f>
        <v>0</v>
      </c>
      <c r="AQ27" s="498">
        <f>+'T-7_Ensuing_Year'!Y27</f>
        <v>7.053799999999999E-3</v>
      </c>
      <c r="AR27" s="498">
        <f t="shared" si="18"/>
        <v>0.6983261999999999</v>
      </c>
      <c r="AS27" s="498">
        <f t="shared" si="19"/>
        <v>0.6983261999999999</v>
      </c>
      <c r="AT27" s="498">
        <f t="shared" si="20"/>
        <v>0</v>
      </c>
      <c r="AU27" s="498">
        <f t="shared" si="5"/>
        <v>0</v>
      </c>
      <c r="AV27" s="498">
        <f t="shared" si="5"/>
        <v>0</v>
      </c>
      <c r="AW27" s="498"/>
      <c r="AX27" s="227">
        <f>W27/'F-5'!$N$19/100</f>
        <v>0.35743606825041985</v>
      </c>
      <c r="AY27" s="227">
        <f>AO27/'F-5'!$N$19/100</f>
        <v>0.35743606825041985</v>
      </c>
      <c r="AZ27" s="221">
        <v>0.04</v>
      </c>
      <c r="BA27" s="498">
        <f t="shared" si="8"/>
        <v>2.5618399999999996E-2</v>
      </c>
      <c r="BB27" s="498">
        <f t="shared" si="6"/>
        <v>0.72394459999999994</v>
      </c>
      <c r="BC27" s="498"/>
      <c r="BD27" s="498">
        <f>'T-1'!O23*'F-5'!$N$19/10</f>
        <v>1.9537093819831082</v>
      </c>
      <c r="BE27" s="498">
        <f t="shared" si="9"/>
        <v>1.2553831819831083</v>
      </c>
      <c r="BF27" s="497">
        <f t="shared" si="10"/>
        <v>607.63948789114636</v>
      </c>
    </row>
    <row r="28" spans="1:58" ht="15.75" customHeight="1">
      <c r="A28" s="320">
        <f t="shared" si="21"/>
        <v>6</v>
      </c>
      <c r="B28" s="319" t="s">
        <v>248</v>
      </c>
      <c r="C28" s="320" t="s">
        <v>232</v>
      </c>
      <c r="D28" s="495">
        <f>+'T-1'!R24</f>
        <v>36.634</v>
      </c>
      <c r="E28" s="496"/>
      <c r="F28" s="497">
        <f>+'T-1'!M24</f>
        <v>2023</v>
      </c>
      <c r="G28" s="497">
        <f>+'T-1'!N24</f>
        <v>9058</v>
      </c>
      <c r="H28" s="496">
        <f>+'T-7_Ensuing_Year'!H28</f>
        <v>7035</v>
      </c>
      <c r="I28" s="433"/>
      <c r="J28" s="436">
        <v>6.2</v>
      </c>
      <c r="K28" s="433"/>
      <c r="L28" s="433">
        <v>20</v>
      </c>
      <c r="M28" s="433">
        <v>15</v>
      </c>
      <c r="N28" s="433"/>
      <c r="O28" s="496"/>
      <c r="P28" s="497">
        <f>+'T-7_Ensuing_Year'!P28</f>
        <v>624.78195119288091</v>
      </c>
      <c r="Q28" s="498">
        <f>+'T-7_Ensuing_Year'!Q28</f>
        <v>0</v>
      </c>
      <c r="R28" s="498">
        <f>+'T-7_Ensuing_Year'!R28</f>
        <v>22.713080000000001</v>
      </c>
      <c r="S28" s="498">
        <f>+'T-7_Ensuing_Year'!S28</f>
        <v>0.175182</v>
      </c>
      <c r="T28" s="498">
        <f>+'T-7_Ensuing_Year'!T28</f>
        <v>0</v>
      </c>
      <c r="U28" s="498">
        <f t="shared" si="11"/>
        <v>22.888262000000001</v>
      </c>
      <c r="V28" s="499"/>
      <c r="W28" s="497">
        <f>+'T-7_Ensuing_Year'!W28</f>
        <v>622.78264894906363</v>
      </c>
      <c r="X28" s="495">
        <f>+'T-7_Ensuing_Year'!X28</f>
        <v>0</v>
      </c>
      <c r="Y28" s="498">
        <f>+'T-7_Ensuing_Year'!Y28</f>
        <v>7.3242438399999998E-2</v>
      </c>
      <c r="Z28" s="498">
        <f t="shared" si="12"/>
        <v>22.8150195616</v>
      </c>
      <c r="AA28" s="433"/>
      <c r="AB28" s="436">
        <v>6.2</v>
      </c>
      <c r="AC28" s="433"/>
      <c r="AD28" s="433">
        <v>20</v>
      </c>
      <c r="AE28" s="433">
        <v>15</v>
      </c>
      <c r="AF28" s="433"/>
      <c r="AG28" s="498"/>
      <c r="AH28" s="497">
        <f t="shared" si="13"/>
        <v>624.78195119288091</v>
      </c>
      <c r="AI28" s="498">
        <f t="shared" si="7"/>
        <v>0</v>
      </c>
      <c r="AJ28" s="498">
        <f t="shared" si="14"/>
        <v>22.713080000000001</v>
      </c>
      <c r="AK28" s="498">
        <f t="shared" si="15"/>
        <v>0.175182</v>
      </c>
      <c r="AL28" s="498"/>
      <c r="AM28" s="498">
        <f t="shared" si="16"/>
        <v>22.888262000000001</v>
      </c>
      <c r="AN28" s="499"/>
      <c r="AO28" s="497">
        <f t="shared" si="17"/>
        <v>622.78264894906363</v>
      </c>
      <c r="AP28" s="495">
        <f>+'T-7_Ensuing_Year'!X28</f>
        <v>0</v>
      </c>
      <c r="AQ28" s="498">
        <f>+'T-7_Ensuing_Year'!Y28</f>
        <v>7.3242438399999998E-2</v>
      </c>
      <c r="AR28" s="498">
        <f t="shared" si="18"/>
        <v>22.8150195616</v>
      </c>
      <c r="AS28" s="498">
        <f t="shared" si="19"/>
        <v>22.8150195616</v>
      </c>
      <c r="AT28" s="498">
        <f t="shared" si="20"/>
        <v>0</v>
      </c>
      <c r="AU28" s="498">
        <f t="shared" si="5"/>
        <v>0</v>
      </c>
      <c r="AV28" s="498">
        <f t="shared" si="5"/>
        <v>0</v>
      </c>
      <c r="AW28" s="498"/>
      <c r="AX28" s="227">
        <f>W28/'F-5'!$N$19/100</f>
        <v>0.65857745506792564</v>
      </c>
      <c r="AY28" s="227">
        <f>AO28/'F-5'!$N$19/100</f>
        <v>0.65857745506792564</v>
      </c>
      <c r="AZ28" s="220">
        <v>0.04</v>
      </c>
      <c r="BA28" s="498">
        <f t="shared" si="8"/>
        <v>0.90852320000000009</v>
      </c>
      <c r="BB28" s="498">
        <f t="shared" si="6"/>
        <v>23.723542761600001</v>
      </c>
      <c r="BC28" s="498"/>
      <c r="BD28" s="498">
        <f>'T-1'!O24*'F-5'!$N$19/10</f>
        <v>34.642879719055756</v>
      </c>
      <c r="BE28" s="498">
        <f t="shared" si="9"/>
        <v>11.827860157455756</v>
      </c>
      <c r="BF28" s="497">
        <f t="shared" si="10"/>
        <v>322.86564823540311</v>
      </c>
    </row>
    <row r="29" spans="1:58" ht="15.75" customHeight="1">
      <c r="A29" s="320">
        <f t="shared" si="21"/>
        <v>7</v>
      </c>
      <c r="B29" s="319" t="s">
        <v>249</v>
      </c>
      <c r="C29" s="320" t="s">
        <v>232</v>
      </c>
      <c r="D29" s="495">
        <f>+'T-1'!R25</f>
        <v>22.963999999999999</v>
      </c>
      <c r="E29" s="496"/>
      <c r="F29" s="497">
        <f>+'T-1'!M25</f>
        <v>4383</v>
      </c>
      <c r="G29" s="497">
        <f>+'T-1'!N25</f>
        <v>40713</v>
      </c>
      <c r="H29" s="496">
        <f>+'T-7_Ensuing_Year'!H29</f>
        <v>36330</v>
      </c>
      <c r="I29" s="433"/>
      <c r="J29" s="436">
        <v>6.2</v>
      </c>
      <c r="K29" s="433"/>
      <c r="L29" s="433">
        <v>80</v>
      </c>
      <c r="M29" s="433">
        <v>35</v>
      </c>
      <c r="N29" s="433"/>
      <c r="O29" s="496"/>
      <c r="P29" s="497">
        <f>+'T-7_Ensuing_Year'!P29</f>
        <v>704.76868141438786</v>
      </c>
      <c r="Q29" s="498">
        <f>+'T-7_Ensuing_Year'!Q29</f>
        <v>0</v>
      </c>
      <c r="R29" s="498">
        <f>+'T-7_Ensuing_Year'!R29</f>
        <v>14.237680000000001</v>
      </c>
      <c r="S29" s="498">
        <f>+'T-7_Ensuing_Year'!S29</f>
        <v>1.946628</v>
      </c>
      <c r="T29" s="498">
        <f>+'T-7_Ensuing_Year'!T29</f>
        <v>0</v>
      </c>
      <c r="U29" s="498">
        <f t="shared" si="11"/>
        <v>16.184308000000001</v>
      </c>
      <c r="V29" s="499">
        <v>0.1</v>
      </c>
      <c r="W29" s="497">
        <f>+'T-7_Ensuing_Year'!W29</f>
        <v>697.66868141438783</v>
      </c>
      <c r="X29" s="495">
        <f>+'T-7_Ensuing_Year'!X29</f>
        <v>16.30444</v>
      </c>
      <c r="Y29" s="498">
        <f>+'T-7_Ensuing_Year'!Y29</f>
        <v>0.16304440000000001</v>
      </c>
      <c r="Z29" s="498">
        <f t="shared" si="12"/>
        <v>16.021263600000001</v>
      </c>
      <c r="AA29" s="433"/>
      <c r="AB29" s="436">
        <v>6.2</v>
      </c>
      <c r="AC29" s="433"/>
      <c r="AD29" s="433">
        <v>80</v>
      </c>
      <c r="AE29" s="433">
        <v>35</v>
      </c>
      <c r="AF29" s="433"/>
      <c r="AG29" s="498"/>
      <c r="AH29" s="497">
        <f t="shared" si="13"/>
        <v>704.76868141438786</v>
      </c>
      <c r="AI29" s="498">
        <f t="shared" si="7"/>
        <v>0</v>
      </c>
      <c r="AJ29" s="498">
        <f t="shared" si="14"/>
        <v>14.237680000000001</v>
      </c>
      <c r="AK29" s="498">
        <f t="shared" si="15"/>
        <v>1.946628</v>
      </c>
      <c r="AL29" s="498"/>
      <c r="AM29" s="498">
        <f t="shared" si="16"/>
        <v>16.184308000000001</v>
      </c>
      <c r="AN29" s="499">
        <v>0.1</v>
      </c>
      <c r="AO29" s="497">
        <f t="shared" si="17"/>
        <v>697.66868141438783</v>
      </c>
      <c r="AP29" s="495">
        <f>+'T-7_Ensuing_Year'!X29</f>
        <v>16.30444</v>
      </c>
      <c r="AQ29" s="498">
        <f>+'T-7_Ensuing_Year'!Y29</f>
        <v>0.16304440000000001</v>
      </c>
      <c r="AR29" s="498">
        <f t="shared" si="18"/>
        <v>16.021263600000001</v>
      </c>
      <c r="AS29" s="498">
        <f t="shared" si="19"/>
        <v>16.021263600000001</v>
      </c>
      <c r="AT29" s="498">
        <f t="shared" si="20"/>
        <v>0</v>
      </c>
      <c r="AU29" s="498">
        <f t="shared" si="5"/>
        <v>0</v>
      </c>
      <c r="AV29" s="498">
        <f t="shared" si="5"/>
        <v>0</v>
      </c>
      <c r="AW29" s="498"/>
      <c r="AX29" s="227">
        <f>W29/'F-5'!$N$19/100</f>
        <v>0.7377676071448519</v>
      </c>
      <c r="AY29" s="227">
        <f>AO29/'F-5'!$N$19/100</f>
        <v>0.7377676071448519</v>
      </c>
      <c r="AZ29" s="220">
        <v>0.05</v>
      </c>
      <c r="BA29" s="498">
        <f t="shared" si="8"/>
        <v>0.71188400000000007</v>
      </c>
      <c r="BB29" s="498">
        <f t="shared" si="6"/>
        <v>16.733147600000002</v>
      </c>
      <c r="BC29" s="498"/>
      <c r="BD29" s="498">
        <f>'T-1'!O25*'F-5'!$N$19/10</f>
        <v>21.715867496544096</v>
      </c>
      <c r="BE29" s="498">
        <f t="shared" si="9"/>
        <v>5.6946038965440948</v>
      </c>
      <c r="BF29" s="497">
        <f t="shared" si="10"/>
        <v>247.97961577007905</v>
      </c>
    </row>
    <row r="30" spans="1:58" ht="15.75" customHeight="1">
      <c r="A30" s="320">
        <f t="shared" si="21"/>
        <v>8</v>
      </c>
      <c r="B30" s="319" t="s">
        <v>250</v>
      </c>
      <c r="C30" s="320" t="s">
        <v>232</v>
      </c>
      <c r="D30" s="495">
        <f>+'T-1'!R26</f>
        <v>45.781999999999996</v>
      </c>
      <c r="E30" s="494"/>
      <c r="F30" s="497">
        <f>+'T-1'!M26</f>
        <v>1155</v>
      </c>
      <c r="G30" s="497">
        <f>+'T-1'!N26</f>
        <v>50851</v>
      </c>
      <c r="H30" s="496">
        <f>+'T-7_Ensuing_Year'!H30</f>
        <v>49696</v>
      </c>
      <c r="I30" s="433"/>
      <c r="J30" s="436">
        <v>6.2</v>
      </c>
      <c r="K30" s="433"/>
      <c r="L30" s="433">
        <v>100</v>
      </c>
      <c r="M30" s="433">
        <v>80</v>
      </c>
      <c r="N30" s="433"/>
      <c r="O30" s="496"/>
      <c r="P30" s="497">
        <f>+'T-7_Ensuing_Year'!P30</f>
        <v>727.23463369883359</v>
      </c>
      <c r="Q30" s="498">
        <f>+'T-7_Ensuing_Year'!Q30</f>
        <v>0</v>
      </c>
      <c r="R30" s="498">
        <f>+'T-7_Ensuing_Year'!R30</f>
        <v>28.384839999999997</v>
      </c>
      <c r="S30" s="498">
        <f>+'T-7_Ensuing_Year'!S30</f>
        <v>4.9094160000000002</v>
      </c>
      <c r="T30" s="498">
        <f>+'T-7_Ensuing_Year'!T30</f>
        <v>0</v>
      </c>
      <c r="U30" s="498">
        <f t="shared" si="11"/>
        <v>33.294255999999997</v>
      </c>
      <c r="V30" s="499"/>
      <c r="W30" s="497">
        <f>+'T-7_Ensuing_Year'!W30</f>
        <v>720.32590467869477</v>
      </c>
      <c r="X30" s="495">
        <f>+'T-7_Ensuing_Year'!X30</f>
        <v>0</v>
      </c>
      <c r="Y30" s="498">
        <f>+'T-7_Ensuing_Year'!Y30</f>
        <v>0.31629543199999999</v>
      </c>
      <c r="Z30" s="498">
        <f t="shared" si="12"/>
        <v>32.977960568</v>
      </c>
      <c r="AA30" s="433"/>
      <c r="AB30" s="436">
        <v>6.2</v>
      </c>
      <c r="AC30" s="433"/>
      <c r="AD30" s="433">
        <v>100</v>
      </c>
      <c r="AE30" s="433">
        <v>80</v>
      </c>
      <c r="AF30" s="433"/>
      <c r="AG30" s="498"/>
      <c r="AH30" s="497">
        <f t="shared" si="13"/>
        <v>727.23463369883359</v>
      </c>
      <c r="AI30" s="498">
        <f t="shared" si="7"/>
        <v>0</v>
      </c>
      <c r="AJ30" s="498">
        <f t="shared" si="14"/>
        <v>28.384839999999997</v>
      </c>
      <c r="AK30" s="498">
        <f t="shared" si="15"/>
        <v>4.9094160000000002</v>
      </c>
      <c r="AL30" s="498"/>
      <c r="AM30" s="498">
        <f t="shared" si="16"/>
        <v>33.294255999999997</v>
      </c>
      <c r="AN30" s="499"/>
      <c r="AO30" s="497">
        <f t="shared" si="17"/>
        <v>720.32590467869477</v>
      </c>
      <c r="AP30" s="495">
        <f>+'T-7_Ensuing_Year'!X30</f>
        <v>0</v>
      </c>
      <c r="AQ30" s="498">
        <f>+'T-7_Ensuing_Year'!Y30</f>
        <v>0.31629543199999999</v>
      </c>
      <c r="AR30" s="498">
        <f t="shared" si="18"/>
        <v>32.977960568</v>
      </c>
      <c r="AS30" s="498">
        <f t="shared" si="19"/>
        <v>32.977960568</v>
      </c>
      <c r="AT30" s="498">
        <f t="shared" si="20"/>
        <v>0</v>
      </c>
      <c r="AU30" s="498">
        <f t="shared" si="5"/>
        <v>0</v>
      </c>
      <c r="AV30" s="498">
        <f t="shared" si="5"/>
        <v>0</v>
      </c>
      <c r="AW30" s="498"/>
      <c r="AX30" s="227">
        <f>W30/'F-5'!$N$19/100</f>
        <v>0.76172706789972822</v>
      </c>
      <c r="AY30" s="227">
        <f>AO30/'F-5'!$N$19/100</f>
        <v>0.76172706789972822</v>
      </c>
      <c r="AZ30" s="220">
        <v>0.08</v>
      </c>
      <c r="BA30" s="498">
        <f t="shared" si="8"/>
        <v>2.2707872</v>
      </c>
      <c r="BB30" s="498">
        <f t="shared" si="6"/>
        <v>35.248747768000001</v>
      </c>
      <c r="BC30" s="498"/>
      <c r="BD30" s="498">
        <f>'T-1'!O26*'F-5'!$N$19/10</f>
        <v>43.293670341699254</v>
      </c>
      <c r="BE30" s="498">
        <f t="shared" si="9"/>
        <v>10.315709773699254</v>
      </c>
      <c r="BF30" s="497">
        <f t="shared" si="10"/>
        <v>225.32239250577203</v>
      </c>
    </row>
    <row r="31" spans="1:58" ht="15.75" customHeight="1">
      <c r="A31" s="320">
        <f t="shared" si="21"/>
        <v>9</v>
      </c>
      <c r="B31" s="319" t="s">
        <v>251</v>
      </c>
      <c r="C31" s="320" t="s">
        <v>232</v>
      </c>
      <c r="D31" s="495">
        <f>+'T-1'!R27</f>
        <v>58.494999999999997</v>
      </c>
      <c r="E31" s="496"/>
      <c r="F31" s="497">
        <f>+'T-1'!M27</f>
        <v>19643</v>
      </c>
      <c r="G31" s="497">
        <f>+'T-1'!N27</f>
        <v>40628</v>
      </c>
      <c r="H31" s="496">
        <f>+'T-7_Ensuing_Year'!H31</f>
        <v>20985</v>
      </c>
      <c r="I31" s="433"/>
      <c r="J31" s="436">
        <v>6.2</v>
      </c>
      <c r="K31" s="433"/>
      <c r="L31" s="433">
        <v>50</v>
      </c>
      <c r="M31" s="433">
        <v>50</v>
      </c>
      <c r="N31" s="433"/>
      <c r="O31" s="496"/>
      <c r="P31" s="497">
        <f>+'T-7_Ensuing_Year'!P31</f>
        <v>661.67330541071885</v>
      </c>
      <c r="Q31" s="498">
        <f>+'T-7_Ensuing_Year'!Q31</f>
        <v>0</v>
      </c>
      <c r="R31" s="498">
        <f>+'T-7_Ensuing_Year'!R31</f>
        <v>36.2669</v>
      </c>
      <c r="S31" s="498">
        <f>+'T-7_Ensuing_Year'!S31</f>
        <v>2.4376799999999998</v>
      </c>
      <c r="T31" s="498">
        <f>+'T-7_Ensuing_Year'!T31</f>
        <v>0</v>
      </c>
      <c r="U31" s="498">
        <f t="shared" si="11"/>
        <v>38.70458</v>
      </c>
      <c r="V31" s="499"/>
      <c r="W31" s="497">
        <f>+'T-7_Ensuing_Year'!W31</f>
        <v>657.17392693392605</v>
      </c>
      <c r="X31" s="495">
        <f>+'T-7_Ensuing_Year'!X31</f>
        <v>0</v>
      </c>
      <c r="Y31" s="498">
        <f>+'T-7_Ensuing_Year'!Y31</f>
        <v>0.26319114399999999</v>
      </c>
      <c r="Z31" s="498">
        <f t="shared" si="12"/>
        <v>38.441388856000003</v>
      </c>
      <c r="AA31" s="433"/>
      <c r="AB31" s="436">
        <v>6.2</v>
      </c>
      <c r="AC31" s="433"/>
      <c r="AD31" s="433">
        <v>50</v>
      </c>
      <c r="AE31" s="433">
        <v>50</v>
      </c>
      <c r="AF31" s="433"/>
      <c r="AG31" s="498"/>
      <c r="AH31" s="497">
        <f t="shared" si="13"/>
        <v>661.67330541071885</v>
      </c>
      <c r="AI31" s="498">
        <f t="shared" si="7"/>
        <v>0</v>
      </c>
      <c r="AJ31" s="498">
        <f t="shared" si="14"/>
        <v>36.2669</v>
      </c>
      <c r="AK31" s="498">
        <f t="shared" si="15"/>
        <v>2.4376799999999998</v>
      </c>
      <c r="AL31" s="498"/>
      <c r="AM31" s="498">
        <f t="shared" si="16"/>
        <v>38.70458</v>
      </c>
      <c r="AN31" s="499"/>
      <c r="AO31" s="497">
        <f t="shared" si="17"/>
        <v>657.17392693392605</v>
      </c>
      <c r="AP31" s="495">
        <f>+'T-7_Ensuing_Year'!X31</f>
        <v>0</v>
      </c>
      <c r="AQ31" s="498">
        <f>+'T-7_Ensuing_Year'!Y31</f>
        <v>0.26319114399999999</v>
      </c>
      <c r="AR31" s="498">
        <f t="shared" si="18"/>
        <v>38.441388856000003</v>
      </c>
      <c r="AS31" s="498">
        <f t="shared" si="19"/>
        <v>38.441388856000003</v>
      </c>
      <c r="AT31" s="498">
        <f t="shared" si="20"/>
        <v>0</v>
      </c>
      <c r="AU31" s="498">
        <f t="shared" si="5"/>
        <v>0</v>
      </c>
      <c r="AV31" s="498">
        <f t="shared" si="5"/>
        <v>0</v>
      </c>
      <c r="AW31" s="498"/>
      <c r="AX31" s="227">
        <f>W31/'F-5'!$N$19/100</f>
        <v>0.69494539237321939</v>
      </c>
      <c r="AY31" s="227">
        <f>AO31/'F-5'!$N$19/100</f>
        <v>0.69494539237321939</v>
      </c>
      <c r="AZ31" s="220">
        <v>0.04</v>
      </c>
      <c r="BA31" s="498">
        <f t="shared" si="8"/>
        <v>1.4506760000000001</v>
      </c>
      <c r="BB31" s="498">
        <f t="shared" si="6"/>
        <v>39.892064856000005</v>
      </c>
      <c r="BC31" s="498"/>
      <c r="BD31" s="498">
        <f>'T-1'!O27*'F-5'!$N$19/10</f>
        <v>55.31569714380538</v>
      </c>
      <c r="BE31" s="498">
        <f t="shared" si="9"/>
        <v>16.874308287805377</v>
      </c>
      <c r="BF31" s="497">
        <f t="shared" si="10"/>
        <v>288.47437025054069</v>
      </c>
    </row>
    <row r="32" spans="1:58" ht="15.75" customHeight="1">
      <c r="A32" s="320">
        <f t="shared" si="21"/>
        <v>10</v>
      </c>
      <c r="B32" s="319" t="s">
        <v>252</v>
      </c>
      <c r="C32" s="320" t="s">
        <v>232</v>
      </c>
      <c r="D32" s="495">
        <f>+'T-1'!R28</f>
        <v>66.402000000000001</v>
      </c>
      <c r="E32" s="496"/>
      <c r="F32" s="497">
        <f>+'T-1'!M28</f>
        <v>4945</v>
      </c>
      <c r="G32" s="497">
        <f>+'T-1'!N28</f>
        <v>32141</v>
      </c>
      <c r="H32" s="496">
        <f>+'T-7_Ensuing_Year'!H32</f>
        <v>27196</v>
      </c>
      <c r="I32" s="433"/>
      <c r="J32" s="436">
        <v>6.2</v>
      </c>
      <c r="K32" s="433"/>
      <c r="L32" s="433">
        <v>50</v>
      </c>
      <c r="M32" s="433">
        <v>50</v>
      </c>
      <c r="N32" s="433"/>
      <c r="O32" s="496"/>
      <c r="P32" s="497">
        <f>+'T-7_Ensuing_Year'!P32</f>
        <v>649.042197524171</v>
      </c>
      <c r="Q32" s="498">
        <f>+'T-7_Ensuing_Year'!Q32</f>
        <v>0</v>
      </c>
      <c r="R32" s="498">
        <f>+'T-7_Ensuing_Year'!R32</f>
        <v>41.169240000000002</v>
      </c>
      <c r="S32" s="498">
        <f>+'T-7_Ensuing_Year'!S32</f>
        <v>1.9284600000000001</v>
      </c>
      <c r="T32" s="498">
        <f>+'T-7_Ensuing_Year'!T32</f>
        <v>0</v>
      </c>
      <c r="U32" s="498">
        <f t="shared" si="11"/>
        <v>43.097700000000003</v>
      </c>
      <c r="V32" s="499">
        <v>0.1</v>
      </c>
      <c r="W32" s="497">
        <f>+'T-7_Ensuing_Year'!W32</f>
        <v>646.042197524171</v>
      </c>
      <c r="X32" s="495">
        <f>+'T-7_Ensuing_Year'!X32</f>
        <v>19.9206</v>
      </c>
      <c r="Y32" s="498">
        <f>+'T-7_Ensuing_Year'!Y32</f>
        <v>0.19920600000000002</v>
      </c>
      <c r="Z32" s="498">
        <f t="shared" si="12"/>
        <v>42.898494000000007</v>
      </c>
      <c r="AA32" s="433"/>
      <c r="AB32" s="436">
        <v>6.2</v>
      </c>
      <c r="AC32" s="433"/>
      <c r="AD32" s="433">
        <v>50</v>
      </c>
      <c r="AE32" s="433">
        <v>50</v>
      </c>
      <c r="AF32" s="433"/>
      <c r="AG32" s="498"/>
      <c r="AH32" s="497">
        <f t="shared" si="13"/>
        <v>649.042197524171</v>
      </c>
      <c r="AI32" s="498">
        <f t="shared" si="7"/>
        <v>0</v>
      </c>
      <c r="AJ32" s="498">
        <f t="shared" si="14"/>
        <v>41.169240000000002</v>
      </c>
      <c r="AK32" s="498">
        <f t="shared" si="15"/>
        <v>1.9284600000000001</v>
      </c>
      <c r="AL32" s="498"/>
      <c r="AM32" s="498">
        <f t="shared" si="16"/>
        <v>43.097700000000003</v>
      </c>
      <c r="AN32" s="499">
        <v>0.1</v>
      </c>
      <c r="AO32" s="497">
        <f t="shared" si="17"/>
        <v>646.042197524171</v>
      </c>
      <c r="AP32" s="495">
        <f>+'T-7_Ensuing_Year'!X32</f>
        <v>19.9206</v>
      </c>
      <c r="AQ32" s="498">
        <f>+'T-7_Ensuing_Year'!Y32</f>
        <v>0.19920600000000002</v>
      </c>
      <c r="AR32" s="498">
        <f t="shared" si="18"/>
        <v>42.898494000000007</v>
      </c>
      <c r="AS32" s="498">
        <f t="shared" si="19"/>
        <v>42.898494000000007</v>
      </c>
      <c r="AT32" s="498">
        <f t="shared" si="20"/>
        <v>0</v>
      </c>
      <c r="AU32" s="498">
        <f t="shared" si="5"/>
        <v>0</v>
      </c>
      <c r="AV32" s="498">
        <f t="shared" si="5"/>
        <v>0</v>
      </c>
      <c r="AW32" s="498"/>
      <c r="AX32" s="227">
        <f>W32/'F-5'!$N$19/100</f>
        <v>0.6831738601419467</v>
      </c>
      <c r="AY32" s="227">
        <f>AO32/'F-5'!$N$19/100</f>
        <v>0.6831738601419467</v>
      </c>
      <c r="AZ32" s="442"/>
      <c r="BA32" s="498">
        <f t="shared" si="8"/>
        <v>0</v>
      </c>
      <c r="BB32" s="498">
        <f t="shared" si="6"/>
        <v>42.898494000000007</v>
      </c>
      <c r="BC32" s="498"/>
      <c r="BD32" s="498">
        <f>'T-1'!O28*'F-5'!$N$19/10</f>
        <v>62.792938229642971</v>
      </c>
      <c r="BE32" s="498">
        <f t="shared" si="9"/>
        <v>19.894444229642964</v>
      </c>
      <c r="BF32" s="497">
        <f t="shared" si="10"/>
        <v>299.60609966029585</v>
      </c>
    </row>
    <row r="33" spans="1:58" ht="15.75" customHeight="1">
      <c r="A33" s="320">
        <f t="shared" si="21"/>
        <v>11</v>
      </c>
      <c r="B33" s="319" t="s">
        <v>253</v>
      </c>
      <c r="C33" s="320" t="s">
        <v>232</v>
      </c>
      <c r="D33" s="495">
        <f>+'T-1'!R29</f>
        <v>0</v>
      </c>
      <c r="E33" s="496"/>
      <c r="F33" s="497">
        <f>+'T-1'!M29</f>
        <v>0</v>
      </c>
      <c r="G33" s="497">
        <f>+'T-1'!N29</f>
        <v>0</v>
      </c>
      <c r="H33" s="496">
        <f>+'T-7_Ensuing_Year'!H33</f>
        <v>0</v>
      </c>
      <c r="I33" s="433">
        <v>200</v>
      </c>
      <c r="J33" s="436">
        <v>6.2</v>
      </c>
      <c r="K33" s="433"/>
      <c r="L33" s="433"/>
      <c r="M33" s="433"/>
      <c r="N33" s="433">
        <v>30</v>
      </c>
      <c r="O33" s="496"/>
      <c r="P33" s="497">
        <f>+'T-7_Ensuing_Year'!P33</f>
        <v>0</v>
      </c>
      <c r="Q33" s="498">
        <f>+'T-7_Ensuing_Year'!Q33</f>
        <v>0</v>
      </c>
      <c r="R33" s="498">
        <f>+'T-7_Ensuing_Year'!R33</f>
        <v>0</v>
      </c>
      <c r="S33" s="498">
        <f>+'T-7_Ensuing_Year'!S33</f>
        <v>0</v>
      </c>
      <c r="T33" s="498">
        <f>+'T-7_Ensuing_Year'!T33</f>
        <v>0</v>
      </c>
      <c r="U33" s="498">
        <f t="shared" si="11"/>
        <v>0</v>
      </c>
      <c r="V33" s="499"/>
      <c r="W33" s="497">
        <f>+'T-7_Ensuing_Year'!W33</f>
        <v>0</v>
      </c>
      <c r="X33" s="495">
        <f>+'T-7_Ensuing_Year'!X33</f>
        <v>0</v>
      </c>
      <c r="Y33" s="498">
        <f>+'T-7_Ensuing_Year'!Y33</f>
        <v>0</v>
      </c>
      <c r="Z33" s="498">
        <f t="shared" si="12"/>
        <v>0</v>
      </c>
      <c r="AA33" s="433">
        <v>200</v>
      </c>
      <c r="AB33" s="436">
        <v>6.2</v>
      </c>
      <c r="AC33" s="433"/>
      <c r="AD33" s="433"/>
      <c r="AE33" s="433"/>
      <c r="AF33" s="433">
        <v>30</v>
      </c>
      <c r="AG33" s="498"/>
      <c r="AH33" s="497" t="e">
        <f t="shared" si="13"/>
        <v>#DIV/0!</v>
      </c>
      <c r="AI33" s="498">
        <f t="shared" si="7"/>
        <v>0</v>
      </c>
      <c r="AJ33" s="498">
        <f t="shared" si="14"/>
        <v>0</v>
      </c>
      <c r="AK33" s="498">
        <f t="shared" si="15"/>
        <v>0</v>
      </c>
      <c r="AL33" s="498"/>
      <c r="AM33" s="498">
        <f t="shared" si="16"/>
        <v>0</v>
      </c>
      <c r="AN33" s="499"/>
      <c r="AO33" s="497" t="e">
        <f t="shared" si="17"/>
        <v>#DIV/0!</v>
      </c>
      <c r="AP33" s="495">
        <f>+'T-7_Ensuing_Year'!X33</f>
        <v>0</v>
      </c>
      <c r="AQ33" s="498">
        <f>+'T-7_Ensuing_Year'!Y33</f>
        <v>0</v>
      </c>
      <c r="AR33" s="498">
        <f t="shared" si="18"/>
        <v>0</v>
      </c>
      <c r="AS33" s="498">
        <f t="shared" si="19"/>
        <v>0</v>
      </c>
      <c r="AT33" s="498">
        <f t="shared" si="20"/>
        <v>0</v>
      </c>
      <c r="AU33" s="498">
        <f t="shared" si="5"/>
        <v>0</v>
      </c>
      <c r="AV33" s="498">
        <f t="shared" si="5"/>
        <v>0</v>
      </c>
      <c r="AW33" s="498"/>
      <c r="AX33" s="227">
        <f>W33/'F-5'!$N$19/100</f>
        <v>0</v>
      </c>
      <c r="AY33" s="227" t="e">
        <f>AO33/'F-5'!$N$19/100</f>
        <v>#DIV/0!</v>
      </c>
      <c r="AZ33" s="434"/>
      <c r="BA33" s="498">
        <f t="shared" si="8"/>
        <v>0</v>
      </c>
      <c r="BB33" s="498">
        <f t="shared" si="6"/>
        <v>0</v>
      </c>
      <c r="BC33" s="498"/>
      <c r="BD33" s="498">
        <f>'T-1'!O29*'F-5'!$N$19/10</f>
        <v>0</v>
      </c>
      <c r="BE33" s="498">
        <f t="shared" si="9"/>
        <v>0</v>
      </c>
      <c r="BF33" s="497" t="e">
        <f t="shared" si="10"/>
        <v>#DIV/0!</v>
      </c>
    </row>
    <row r="34" spans="1:58" ht="15.75" customHeight="1">
      <c r="A34" s="320">
        <f t="shared" si="21"/>
        <v>12</v>
      </c>
      <c r="B34" s="319" t="s">
        <v>254</v>
      </c>
      <c r="C34" s="320" t="s">
        <v>232</v>
      </c>
      <c r="D34" s="495">
        <f>+'T-1'!R30</f>
        <v>0</v>
      </c>
      <c r="E34" s="494"/>
      <c r="F34" s="497">
        <f>+'T-1'!M30</f>
        <v>0</v>
      </c>
      <c r="G34" s="497">
        <f>+'T-1'!N30</f>
        <v>0</v>
      </c>
      <c r="H34" s="496">
        <f>+'T-7_Ensuing_Year'!H34</f>
        <v>0</v>
      </c>
      <c r="I34" s="433">
        <v>200</v>
      </c>
      <c r="J34" s="436">
        <v>6.2</v>
      </c>
      <c r="K34" s="433"/>
      <c r="L34" s="433"/>
      <c r="M34" s="433"/>
      <c r="N34" s="433">
        <v>30</v>
      </c>
      <c r="O34" s="496"/>
      <c r="P34" s="497">
        <f>+'T-7_Ensuing_Year'!P34</f>
        <v>0</v>
      </c>
      <c r="Q34" s="498">
        <f>+'T-7_Ensuing_Year'!Q34</f>
        <v>0</v>
      </c>
      <c r="R34" s="498">
        <f>+'T-7_Ensuing_Year'!R34</f>
        <v>0</v>
      </c>
      <c r="S34" s="498">
        <f>+'T-7_Ensuing_Year'!S34</f>
        <v>0</v>
      </c>
      <c r="T34" s="498">
        <f>+'T-7_Ensuing_Year'!T34</f>
        <v>0</v>
      </c>
      <c r="U34" s="498">
        <f t="shared" si="11"/>
        <v>0</v>
      </c>
      <c r="V34" s="499"/>
      <c r="W34" s="497">
        <f>+'T-7_Ensuing_Year'!W34</f>
        <v>0</v>
      </c>
      <c r="X34" s="495">
        <f>+'T-7_Ensuing_Year'!X34</f>
        <v>0</v>
      </c>
      <c r="Y34" s="498">
        <f>+'T-7_Ensuing_Year'!Y34</f>
        <v>0</v>
      </c>
      <c r="Z34" s="498">
        <f t="shared" si="12"/>
        <v>0</v>
      </c>
      <c r="AA34" s="433">
        <v>200</v>
      </c>
      <c r="AB34" s="436">
        <v>6.2</v>
      </c>
      <c r="AC34" s="433"/>
      <c r="AD34" s="433"/>
      <c r="AE34" s="433"/>
      <c r="AF34" s="433">
        <v>30</v>
      </c>
      <c r="AG34" s="496"/>
      <c r="AH34" s="497" t="e">
        <f t="shared" si="13"/>
        <v>#DIV/0!</v>
      </c>
      <c r="AI34" s="498">
        <f t="shared" si="7"/>
        <v>0</v>
      </c>
      <c r="AJ34" s="498">
        <f t="shared" si="14"/>
        <v>0</v>
      </c>
      <c r="AK34" s="498">
        <f t="shared" si="15"/>
        <v>0</v>
      </c>
      <c r="AL34" s="496"/>
      <c r="AM34" s="498">
        <f t="shared" si="16"/>
        <v>0</v>
      </c>
      <c r="AN34" s="499"/>
      <c r="AO34" s="497" t="e">
        <f t="shared" si="17"/>
        <v>#DIV/0!</v>
      </c>
      <c r="AP34" s="495">
        <f>+'T-7_Ensuing_Year'!X34</f>
        <v>0</v>
      </c>
      <c r="AQ34" s="498">
        <f>+'T-7_Ensuing_Year'!Y34</f>
        <v>0</v>
      </c>
      <c r="AR34" s="498">
        <f t="shared" si="18"/>
        <v>0</v>
      </c>
      <c r="AS34" s="498">
        <f t="shared" si="19"/>
        <v>0</v>
      </c>
      <c r="AT34" s="498">
        <f t="shared" si="20"/>
        <v>0</v>
      </c>
      <c r="AU34" s="498">
        <f t="shared" si="5"/>
        <v>0</v>
      </c>
      <c r="AV34" s="498">
        <f t="shared" si="5"/>
        <v>0</v>
      </c>
      <c r="AW34" s="496"/>
      <c r="AX34" s="227">
        <f>W34/'F-5'!$N$19/100</f>
        <v>0</v>
      </c>
      <c r="AY34" s="227" t="e">
        <f>AO34/'F-5'!$N$19/100</f>
        <v>#DIV/0!</v>
      </c>
      <c r="AZ34" s="434"/>
      <c r="BA34" s="498">
        <f t="shared" si="8"/>
        <v>0</v>
      </c>
      <c r="BB34" s="498">
        <f t="shared" si="6"/>
        <v>0</v>
      </c>
      <c r="BC34" s="496"/>
      <c r="BD34" s="498">
        <f>'T-1'!O30*'F-5'!$N$19/10</f>
        <v>0</v>
      </c>
      <c r="BE34" s="498">
        <f t="shared" si="9"/>
        <v>0</v>
      </c>
      <c r="BF34" s="497" t="e">
        <f t="shared" si="10"/>
        <v>#DIV/0!</v>
      </c>
    </row>
    <row r="35" spans="1:58" ht="15.75" customHeight="1">
      <c r="A35" s="320">
        <f t="shared" si="21"/>
        <v>13</v>
      </c>
      <c r="B35" s="319" t="s">
        <v>255</v>
      </c>
      <c r="C35" s="320" t="s">
        <v>232</v>
      </c>
      <c r="D35" s="495">
        <f>+'T-1'!R31</f>
        <v>0</v>
      </c>
      <c r="E35" s="494"/>
      <c r="F35" s="497">
        <f>+'T-1'!M31</f>
        <v>0</v>
      </c>
      <c r="G35" s="497">
        <f>+'T-1'!N31</f>
        <v>0</v>
      </c>
      <c r="H35" s="496">
        <f>+'T-7_Ensuing_Year'!H35</f>
        <v>0</v>
      </c>
      <c r="I35" s="433">
        <v>200</v>
      </c>
      <c r="J35" s="436">
        <v>6.2</v>
      </c>
      <c r="K35" s="433"/>
      <c r="L35" s="433"/>
      <c r="M35" s="433"/>
      <c r="N35" s="433">
        <v>30</v>
      </c>
      <c r="O35" s="496"/>
      <c r="P35" s="497">
        <f>+'T-7_Ensuing_Year'!P35</f>
        <v>0</v>
      </c>
      <c r="Q35" s="498">
        <f>+'T-7_Ensuing_Year'!Q35</f>
        <v>0</v>
      </c>
      <c r="R35" s="498">
        <f>+'T-7_Ensuing_Year'!R35</f>
        <v>0</v>
      </c>
      <c r="S35" s="498">
        <f>+'T-7_Ensuing_Year'!S35</f>
        <v>0</v>
      </c>
      <c r="T35" s="498">
        <f>+'T-7_Ensuing_Year'!T35</f>
        <v>0</v>
      </c>
      <c r="U35" s="498">
        <f t="shared" si="11"/>
        <v>0</v>
      </c>
      <c r="V35" s="499"/>
      <c r="W35" s="497">
        <f>+'T-7_Ensuing_Year'!W35</f>
        <v>0</v>
      </c>
      <c r="X35" s="495">
        <f>+'T-7_Ensuing_Year'!X35</f>
        <v>0</v>
      </c>
      <c r="Y35" s="498">
        <f>+'T-7_Ensuing_Year'!Y35</f>
        <v>0</v>
      </c>
      <c r="Z35" s="498">
        <f t="shared" si="12"/>
        <v>0</v>
      </c>
      <c r="AA35" s="433">
        <v>200</v>
      </c>
      <c r="AB35" s="436">
        <v>6.2</v>
      </c>
      <c r="AC35" s="433"/>
      <c r="AD35" s="433"/>
      <c r="AE35" s="433"/>
      <c r="AF35" s="433">
        <v>30</v>
      </c>
      <c r="AG35" s="496"/>
      <c r="AH35" s="497" t="e">
        <f t="shared" si="13"/>
        <v>#DIV/0!</v>
      </c>
      <c r="AI35" s="498">
        <f t="shared" si="7"/>
        <v>0</v>
      </c>
      <c r="AJ35" s="498">
        <f t="shared" si="14"/>
        <v>0</v>
      </c>
      <c r="AK35" s="498">
        <f t="shared" si="15"/>
        <v>0</v>
      </c>
      <c r="AL35" s="496"/>
      <c r="AM35" s="498">
        <f t="shared" si="16"/>
        <v>0</v>
      </c>
      <c r="AN35" s="499"/>
      <c r="AO35" s="497" t="e">
        <f t="shared" si="17"/>
        <v>#DIV/0!</v>
      </c>
      <c r="AP35" s="495">
        <f>+'T-7_Ensuing_Year'!X35</f>
        <v>0</v>
      </c>
      <c r="AQ35" s="498">
        <f>+'T-7_Ensuing_Year'!Y35</f>
        <v>0</v>
      </c>
      <c r="AR35" s="498">
        <f t="shared" si="18"/>
        <v>0</v>
      </c>
      <c r="AS35" s="498">
        <f t="shared" si="19"/>
        <v>0</v>
      </c>
      <c r="AT35" s="498">
        <f t="shared" si="20"/>
        <v>0</v>
      </c>
      <c r="AU35" s="498">
        <f t="shared" si="5"/>
        <v>0</v>
      </c>
      <c r="AV35" s="498">
        <f t="shared" si="5"/>
        <v>0</v>
      </c>
      <c r="AW35" s="496"/>
      <c r="AX35" s="227">
        <f>W35/'F-5'!$N$19/100</f>
        <v>0</v>
      </c>
      <c r="AY35" s="227" t="e">
        <f>AO35/'F-5'!$N$19/100</f>
        <v>#DIV/0!</v>
      </c>
      <c r="AZ35" s="434"/>
      <c r="BA35" s="498">
        <f t="shared" si="8"/>
        <v>0</v>
      </c>
      <c r="BB35" s="498">
        <f t="shared" si="6"/>
        <v>0</v>
      </c>
      <c r="BC35" s="496"/>
      <c r="BD35" s="498">
        <f>'T-1'!O31*'F-5'!$N$19/10</f>
        <v>0</v>
      </c>
      <c r="BE35" s="498">
        <f t="shared" si="9"/>
        <v>0</v>
      </c>
      <c r="BF35" s="497" t="e">
        <f t="shared" si="10"/>
        <v>#DIV/0!</v>
      </c>
    </row>
    <row r="36" spans="1:58" ht="15.75" customHeight="1">
      <c r="A36" s="320"/>
      <c r="B36" s="328" t="s">
        <v>256</v>
      </c>
      <c r="C36" s="328"/>
      <c r="D36" s="495">
        <f>SUM(D25:D35)+D24+D19</f>
        <v>2678.7820000000002</v>
      </c>
      <c r="E36" s="496"/>
      <c r="F36" s="497">
        <f>SUM(F25:F35)+F24+F19</f>
        <v>1993549</v>
      </c>
      <c r="G36" s="497">
        <f>SUM(G25:G35)+G24+G19</f>
        <v>2440338</v>
      </c>
      <c r="H36" s="496"/>
      <c r="I36" s="433"/>
      <c r="J36" s="436"/>
      <c r="K36" s="433"/>
      <c r="L36" s="433"/>
      <c r="M36" s="433"/>
      <c r="N36" s="433"/>
      <c r="O36" s="496"/>
      <c r="P36" s="497">
        <f>+'T-7_Ensuing_Year'!P36</f>
        <v>501.50803563125811</v>
      </c>
      <c r="Q36" s="501">
        <f>SUM(Q25:Q35)+Q19+Q24</f>
        <v>0</v>
      </c>
      <c r="R36" s="501">
        <f>SUM(R25:R35)+R19+R24</f>
        <v>1261.6767447043728</v>
      </c>
      <c r="S36" s="501">
        <f>SUM(S25:S35)+S19+S24</f>
        <v>81.753954000000007</v>
      </c>
      <c r="T36" s="501">
        <f>SUM(T25:T35)+T19+T24</f>
        <v>0</v>
      </c>
      <c r="U36" s="501">
        <f>SUM(U25:U35)+U19+U24</f>
        <v>1343.4306987043728</v>
      </c>
      <c r="V36" s="499"/>
      <c r="W36" s="497">
        <f>+'T-7_Ensuing_Year'!W36</f>
        <v>495.57869118874657</v>
      </c>
      <c r="X36" s="495"/>
      <c r="Y36" s="501">
        <f>SUM(Y25:Y35)+Y19+Y24</f>
        <v>15.883421164400001</v>
      </c>
      <c r="Z36" s="501">
        <f>SUM(Z25:Z35)+Z19+Z24</f>
        <v>1327.5472775399728</v>
      </c>
      <c r="AA36" s="433"/>
      <c r="AB36" s="436"/>
      <c r="AC36" s="433"/>
      <c r="AD36" s="433"/>
      <c r="AE36" s="433"/>
      <c r="AF36" s="433"/>
      <c r="AG36" s="496"/>
      <c r="AH36" s="497">
        <f t="shared" si="13"/>
        <v>501.50803563125811</v>
      </c>
      <c r="AI36" s="501">
        <f>SUM(AI25:AI35)+AI19+AI24</f>
        <v>0</v>
      </c>
      <c r="AJ36" s="501">
        <f>SUM(AJ25:AJ35)+AJ19+AJ24</f>
        <v>1261.6767447043728</v>
      </c>
      <c r="AK36" s="501">
        <f>SUM(AK25:AK35)+AK19+AK24</f>
        <v>80.133762000000004</v>
      </c>
      <c r="AL36" s="501">
        <f>SUM(AL25:AL35)+AL19+AL24</f>
        <v>0</v>
      </c>
      <c r="AM36" s="501">
        <f>SUM(AM25:AM35)+AM19+AM24</f>
        <v>1343.4306987043728</v>
      </c>
      <c r="AN36" s="499"/>
      <c r="AO36" s="497">
        <f t="shared" si="17"/>
        <v>495.57869118874646</v>
      </c>
      <c r="AP36" s="495"/>
      <c r="AQ36" s="501">
        <f>SUM(AQ25:AQ35)+AQ19+AQ24</f>
        <v>15.883421164400001</v>
      </c>
      <c r="AR36" s="501">
        <f>SUM(AR25:AR35)+AR19+AR24</f>
        <v>1327.5472775399728</v>
      </c>
      <c r="AS36" s="501">
        <f>SUM(AS25:AS35)+AS19+AS24</f>
        <v>1327.5472775399728</v>
      </c>
      <c r="AT36" s="501">
        <f>SUM(AT25:AT35)+AT19+AT24</f>
        <v>0</v>
      </c>
      <c r="AU36" s="498">
        <f t="shared" si="5"/>
        <v>0</v>
      </c>
      <c r="AV36" s="498">
        <f t="shared" si="5"/>
        <v>0</v>
      </c>
      <c r="AW36" s="496"/>
      <c r="AX36" s="227">
        <f>W36/'F-5'!$N$19/100</f>
        <v>0.52406237357404606</v>
      </c>
      <c r="AY36" s="227">
        <f>AO36/'F-5'!$N$19/100</f>
        <v>0.52406237357404595</v>
      </c>
      <c r="AZ36" s="434"/>
      <c r="BA36" s="501">
        <f>SUM(BA25:BA35)+BA19+BA24</f>
        <v>49.697495588174917</v>
      </c>
      <c r="BB36" s="501">
        <f t="shared" si="6"/>
        <v>1377.2447731281477</v>
      </c>
      <c r="BC36" s="496"/>
      <c r="BD36" s="501">
        <f>BD19+BD24+SUM(BD25:BD35)</f>
        <v>2533.1856368284007</v>
      </c>
      <c r="BE36" s="501">
        <f t="shared" si="9"/>
        <v>1205.6383592884279</v>
      </c>
      <c r="BF36" s="504">
        <f t="shared" si="10"/>
        <v>450.06960599572039</v>
      </c>
    </row>
    <row r="37" spans="1:58" ht="15.75" customHeight="1">
      <c r="A37" s="319"/>
      <c r="B37" s="317" t="s">
        <v>257</v>
      </c>
      <c r="C37" s="320"/>
      <c r="D37" s="496"/>
      <c r="E37" s="496"/>
      <c r="F37" s="497"/>
      <c r="G37" s="497"/>
      <c r="H37" s="496"/>
      <c r="I37" s="433"/>
      <c r="J37" s="436"/>
      <c r="K37" s="433"/>
      <c r="L37" s="433"/>
      <c r="M37" s="433"/>
      <c r="N37" s="433"/>
      <c r="O37" s="496"/>
      <c r="P37" s="496"/>
      <c r="Q37" s="498"/>
      <c r="R37" s="498"/>
      <c r="S37" s="498"/>
      <c r="T37" s="498"/>
      <c r="U37" s="498"/>
      <c r="V37" s="499"/>
      <c r="W37" s="496"/>
      <c r="X37" s="495">
        <f>+'T-7_Ensuing_Year'!X37</f>
        <v>0</v>
      </c>
      <c r="Y37" s="498">
        <f>+'T-7_Ensuing_Year'!Y37</f>
        <v>0</v>
      </c>
      <c r="Z37" s="498"/>
      <c r="AA37" s="433"/>
      <c r="AB37" s="436"/>
      <c r="AC37" s="433"/>
      <c r="AD37" s="433"/>
      <c r="AE37" s="433"/>
      <c r="AF37" s="433"/>
      <c r="AG37" s="496"/>
      <c r="AH37" s="496"/>
      <c r="AI37" s="496"/>
      <c r="AJ37" s="496"/>
      <c r="AK37" s="496"/>
      <c r="AL37" s="496"/>
      <c r="AM37" s="496"/>
      <c r="AN37" s="499"/>
      <c r="AO37" s="496"/>
      <c r="AP37" s="495"/>
      <c r="AQ37" s="498"/>
      <c r="AR37" s="496"/>
      <c r="AS37" s="498"/>
      <c r="AT37" s="498"/>
      <c r="AU37" s="498"/>
      <c r="AV37" s="498"/>
      <c r="AW37" s="496"/>
      <c r="AX37" s="227"/>
      <c r="AY37" s="496"/>
      <c r="AZ37" s="222"/>
      <c r="BA37" s="496"/>
      <c r="BB37" s="498">
        <f t="shared" si="6"/>
        <v>0</v>
      </c>
      <c r="BC37" s="496"/>
      <c r="BD37" s="496"/>
      <c r="BE37" s="496"/>
      <c r="BF37" s="496"/>
    </row>
    <row r="38" spans="1:58" ht="15.75" customHeight="1">
      <c r="A38" s="320">
        <v>13</v>
      </c>
      <c r="B38" s="319" t="s">
        <v>258</v>
      </c>
      <c r="C38" s="320" t="s">
        <v>259</v>
      </c>
      <c r="D38" s="495">
        <f>+'T-1'!R34</f>
        <v>17.512</v>
      </c>
      <c r="E38" s="495">
        <f>+'T-7_Ensuing_Year'!E38</f>
        <v>8.7559999999999999E-2</v>
      </c>
      <c r="F38" s="497">
        <f>+'T-1'!M34</f>
        <v>26</v>
      </c>
      <c r="G38" s="497">
        <f>+'T-1'!N34</f>
        <v>10025</v>
      </c>
      <c r="H38" s="496"/>
      <c r="I38" s="433">
        <v>20</v>
      </c>
      <c r="J38" s="436">
        <v>4.9000000000000004</v>
      </c>
      <c r="K38" s="433"/>
      <c r="L38" s="433"/>
      <c r="M38" s="433"/>
      <c r="N38" s="433">
        <v>250</v>
      </c>
      <c r="O38" s="496"/>
      <c r="P38" s="497">
        <f>+'T-7_Ensuing_Year'!P38</f>
        <v>495.43672910004568</v>
      </c>
      <c r="Q38" s="498">
        <f>+'T-7_Ensuing_Year'!Q38</f>
        <v>0.19247999999999998</v>
      </c>
      <c r="R38" s="498">
        <f>+'T-7_Ensuing_Year'!R38</f>
        <v>8.4758080000000007</v>
      </c>
      <c r="S38" s="498">
        <f>+'T-7_Ensuing_Year'!S38</f>
        <v>0</v>
      </c>
      <c r="T38" s="498">
        <f>+'T-7_Ensuing_Year'!T38</f>
        <v>7.7999999999999996E-3</v>
      </c>
      <c r="U38" s="498">
        <f t="shared" ref="U38:U52" si="22">SUM(Q38:T38)</f>
        <v>8.676088</v>
      </c>
      <c r="V38" s="499">
        <v>0.1</v>
      </c>
      <c r="W38" s="497">
        <f>+'T-7_Ensuing_Year'!W38</f>
        <v>485.8367291000456</v>
      </c>
      <c r="X38" s="495">
        <f>+'T-7_Ensuing_Year'!X38</f>
        <v>16.811520000000002</v>
      </c>
      <c r="Y38" s="498">
        <f>+'T-7_Ensuing_Year'!Y38</f>
        <v>0.16811520000000002</v>
      </c>
      <c r="Z38" s="498">
        <f t="shared" ref="Z38:Z52" si="23">+U38-Y38</f>
        <v>8.5079727999999992</v>
      </c>
      <c r="AA38" s="433">
        <v>20</v>
      </c>
      <c r="AB38" s="436">
        <v>4.9000000000000004</v>
      </c>
      <c r="AC38" s="433"/>
      <c r="AD38" s="433"/>
      <c r="AE38" s="433"/>
      <c r="AF38" s="433">
        <v>250</v>
      </c>
      <c r="AG38" s="496"/>
      <c r="AH38" s="497">
        <f t="shared" ref="AH38:AH65" si="24">+AM38/D38*1000</f>
        <v>495.43672910004568</v>
      </c>
      <c r="AI38" s="498">
        <f>+'T-7_Ensuing_Year'!Q38</f>
        <v>0.19247999999999998</v>
      </c>
      <c r="AJ38" s="498">
        <f>+'T-7_Ensuing_Year'!R38</f>
        <v>8.4758080000000007</v>
      </c>
      <c r="AK38" s="498">
        <f>+'T-7_Ensuing_Year'!S38</f>
        <v>0</v>
      </c>
      <c r="AL38" s="498">
        <f>+'T-7_Ensuing_Year'!T38</f>
        <v>7.7999999999999996E-3</v>
      </c>
      <c r="AM38" s="498">
        <f t="shared" ref="AM38:AM52" si="25">SUM(AI38:AL38)</f>
        <v>8.676088</v>
      </c>
      <c r="AN38" s="499">
        <v>0.1</v>
      </c>
      <c r="AO38" s="497">
        <f t="shared" ref="AO38:AO53" si="26">+AR38/D38*1000</f>
        <v>485.8367291000456</v>
      </c>
      <c r="AP38" s="495">
        <f>+'T-7_Ensuing_Year'!X38</f>
        <v>16.811520000000002</v>
      </c>
      <c r="AQ38" s="498">
        <f>+'T-7_Ensuing_Year'!Y38</f>
        <v>0.16811520000000002</v>
      </c>
      <c r="AR38" s="498">
        <f t="shared" ref="AR38:AR52" si="27">+AM38-AQ38</f>
        <v>8.5079727999999992</v>
      </c>
      <c r="AS38" s="498">
        <f t="shared" ref="AS38:AS52" si="28">+Z38</f>
        <v>8.5079727999999992</v>
      </c>
      <c r="AT38" s="498">
        <f t="shared" ref="AT38:AT52" si="29">+AR38-AS38</f>
        <v>0</v>
      </c>
      <c r="AU38" s="498">
        <f t="shared" ref="AU38:AV62" si="30">+AI38-Q38</f>
        <v>0</v>
      </c>
      <c r="AV38" s="498">
        <f t="shared" si="30"/>
        <v>0</v>
      </c>
      <c r="AW38" s="496"/>
      <c r="AX38" s="227">
        <f>W38/'F-5'!$M$19/100</f>
        <v>0.89395945419703682</v>
      </c>
      <c r="AY38" s="227">
        <f>AO38/'F-5'!$M$19/100</f>
        <v>0.89395945419703682</v>
      </c>
      <c r="AZ38" s="222">
        <v>0.08</v>
      </c>
      <c r="BA38" s="498">
        <f t="shared" ref="BA38:BA45" si="31">+AJ38*AZ38</f>
        <v>0.67806464000000011</v>
      </c>
      <c r="BB38" s="498">
        <f t="shared" si="6"/>
        <v>9.1860374399999998</v>
      </c>
      <c r="BC38" s="496"/>
      <c r="BD38" s="498">
        <f>'T-1'!O34*'F-5'!$M$19/10</f>
        <v>9.2329469216189359</v>
      </c>
      <c r="BE38" s="498">
        <f t="shared" ref="BE38:BE53" si="32">BD38-AR38</f>
        <v>0.72497412161893671</v>
      </c>
      <c r="BF38" s="497">
        <f>BE38/'T-1'!O34*10^3</f>
        <v>42.673148603151255</v>
      </c>
    </row>
    <row r="39" spans="1:58" ht="15.75" customHeight="1">
      <c r="A39" s="320">
        <f t="shared" ref="A39:A52" si="33">A38+1</f>
        <v>14</v>
      </c>
      <c r="B39" s="319" t="s">
        <v>245</v>
      </c>
      <c r="C39" s="320" t="s">
        <v>259</v>
      </c>
      <c r="D39" s="495">
        <f>+'T-1'!R35</f>
        <v>6.4850000000000003</v>
      </c>
      <c r="E39" s="495">
        <f>+'T-7_Ensuing_Year'!E39</f>
        <v>0</v>
      </c>
      <c r="F39" s="497">
        <f>+'T-1'!M35</f>
        <v>11</v>
      </c>
      <c r="G39" s="497">
        <f>+'T-1'!N35</f>
        <v>41650</v>
      </c>
      <c r="H39" s="496"/>
      <c r="I39" s="433">
        <v>30</v>
      </c>
      <c r="J39" s="436">
        <v>1.4</v>
      </c>
      <c r="K39" s="433"/>
      <c r="L39" s="433"/>
      <c r="M39" s="433"/>
      <c r="N39" s="433">
        <v>250</v>
      </c>
      <c r="O39" s="496"/>
      <c r="P39" s="497">
        <f>+'T-7_Ensuing_Year'!P39</f>
        <v>381.50886661526602</v>
      </c>
      <c r="Q39" s="498">
        <f>+'T-7_Ensuing_Year'!Q39</f>
        <v>0</v>
      </c>
      <c r="R39" s="498">
        <f>+'T-7_Ensuing_Year'!R39</f>
        <v>2.4707850000000002</v>
      </c>
      <c r="S39" s="498">
        <f>+'T-7_Ensuing_Year'!S39</f>
        <v>0</v>
      </c>
      <c r="T39" s="498">
        <f>+'T-7_Ensuing_Year'!T39</f>
        <v>3.3E-3</v>
      </c>
      <c r="U39" s="498">
        <f t="shared" si="22"/>
        <v>2.4740850000000001</v>
      </c>
      <c r="V39" s="499">
        <v>0.1</v>
      </c>
      <c r="W39" s="497">
        <f>+'T-7_Ensuing_Year'!W39</f>
        <v>371.50886661526602</v>
      </c>
      <c r="X39" s="495">
        <f>+'T-7_Ensuing_Year'!X39</f>
        <v>6.4850000000000003</v>
      </c>
      <c r="Y39" s="498">
        <f>+'T-7_Ensuing_Year'!Y39</f>
        <v>6.4850000000000005E-2</v>
      </c>
      <c r="Z39" s="498">
        <f t="shared" si="23"/>
        <v>2.4092350000000002</v>
      </c>
      <c r="AA39" s="433">
        <v>30</v>
      </c>
      <c r="AB39" s="436">
        <v>1.4</v>
      </c>
      <c r="AC39" s="433"/>
      <c r="AD39" s="433"/>
      <c r="AE39" s="433"/>
      <c r="AF39" s="433">
        <v>250</v>
      </c>
      <c r="AG39" s="496"/>
      <c r="AH39" s="497">
        <f t="shared" si="24"/>
        <v>381.50886661526602</v>
      </c>
      <c r="AI39" s="498">
        <f>+'T-7_Ensuing_Year'!Q39</f>
        <v>0</v>
      </c>
      <c r="AJ39" s="498">
        <f>+'T-7_Ensuing_Year'!R39</f>
        <v>2.4707850000000002</v>
      </c>
      <c r="AK39" s="498">
        <f>+'T-7_Ensuing_Year'!S39</f>
        <v>0</v>
      </c>
      <c r="AL39" s="498">
        <f>+'T-7_Ensuing_Year'!T39</f>
        <v>3.3E-3</v>
      </c>
      <c r="AM39" s="498">
        <f t="shared" si="25"/>
        <v>2.4740850000000001</v>
      </c>
      <c r="AN39" s="499">
        <v>0.1</v>
      </c>
      <c r="AO39" s="497">
        <f t="shared" si="26"/>
        <v>371.50886661526602</v>
      </c>
      <c r="AP39" s="495">
        <f>+'T-7_Ensuing_Year'!X39</f>
        <v>6.4850000000000003</v>
      </c>
      <c r="AQ39" s="498">
        <f>+'T-7_Ensuing_Year'!Y39</f>
        <v>6.4850000000000005E-2</v>
      </c>
      <c r="AR39" s="498">
        <f t="shared" si="27"/>
        <v>2.4092350000000002</v>
      </c>
      <c r="AS39" s="498">
        <f t="shared" si="28"/>
        <v>2.4092350000000002</v>
      </c>
      <c r="AT39" s="498">
        <f t="shared" si="29"/>
        <v>0</v>
      </c>
      <c r="AU39" s="498">
        <f t="shared" si="30"/>
        <v>0</v>
      </c>
      <c r="AV39" s="498">
        <f t="shared" si="30"/>
        <v>0</v>
      </c>
      <c r="AW39" s="496"/>
      <c r="AX39" s="227">
        <f>W39/'F-5'!$M$19/100</f>
        <v>0.68359151076112368</v>
      </c>
      <c r="AY39" s="227">
        <f>AO39/'F-5'!$M$19/100</f>
        <v>0.68359151076112368</v>
      </c>
      <c r="AZ39" s="443">
        <v>0.02</v>
      </c>
      <c r="BA39" s="498">
        <f t="shared" si="31"/>
        <v>4.9415700000000007E-2</v>
      </c>
      <c r="BB39" s="498">
        <f t="shared" si="6"/>
        <v>2.4586507000000002</v>
      </c>
      <c r="BC39" s="496"/>
      <c r="BD39" s="498">
        <f>'T-1'!O35*'F-5'!$M$19/10</f>
        <v>3.380903101971358</v>
      </c>
      <c r="BE39" s="498">
        <f t="shared" si="32"/>
        <v>0.97166810197135778</v>
      </c>
      <c r="BF39" s="497">
        <f>BE39/'T-1'!O35*10^3</f>
        <v>156.19162545754023</v>
      </c>
    </row>
    <row r="40" spans="1:58" ht="15.75" customHeight="1">
      <c r="A40" s="320">
        <f t="shared" si="33"/>
        <v>15</v>
      </c>
      <c r="B40" s="319" t="s">
        <v>246</v>
      </c>
      <c r="C40" s="320" t="s">
        <v>259</v>
      </c>
      <c r="D40" s="495">
        <f>+'T-1'!R36</f>
        <v>31.154</v>
      </c>
      <c r="E40" s="495">
        <f>+'T-7_Ensuing_Year'!E40</f>
        <v>0</v>
      </c>
      <c r="F40" s="497">
        <f>+'T-1'!M36</f>
        <v>82</v>
      </c>
      <c r="G40" s="497">
        <f>+'T-1'!N36</f>
        <v>20185</v>
      </c>
      <c r="H40" s="496"/>
      <c r="I40" s="433">
        <v>30</v>
      </c>
      <c r="J40" s="436">
        <v>1.5</v>
      </c>
      <c r="K40" s="433"/>
      <c r="L40" s="433"/>
      <c r="M40" s="433"/>
      <c r="N40" s="433">
        <v>250</v>
      </c>
      <c r="O40" s="496"/>
      <c r="P40" s="497">
        <f>+'T-7_Ensuing_Year'!P40</f>
        <v>161.44944469410029</v>
      </c>
      <c r="Q40" s="498">
        <f>+'T-7_Ensuing_Year'!Q40</f>
        <v>0.58132800000000007</v>
      </c>
      <c r="R40" s="498">
        <f>+'T-7_Ensuing_Year'!R40</f>
        <v>4.4238680000000006</v>
      </c>
      <c r="S40" s="498">
        <f>+'T-7_Ensuing_Year'!S40</f>
        <v>0</v>
      </c>
      <c r="T40" s="498">
        <f>+'T-7_Ensuing_Year'!T40</f>
        <v>2.46E-2</v>
      </c>
      <c r="U40" s="498">
        <f t="shared" si="22"/>
        <v>5.029796000000001</v>
      </c>
      <c r="V40" s="499">
        <v>0.1</v>
      </c>
      <c r="W40" s="497">
        <f>+'T-7_Ensuing_Year'!W40</f>
        <v>151.94944469410029</v>
      </c>
      <c r="X40" s="495">
        <f>+'T-7_Ensuing_Year'!X40</f>
        <v>29.596299999999999</v>
      </c>
      <c r="Y40" s="498">
        <f>+'T-7_Ensuing_Year'!Y40</f>
        <v>0.29596300000000003</v>
      </c>
      <c r="Z40" s="498">
        <f t="shared" si="23"/>
        <v>4.7338330000000006</v>
      </c>
      <c r="AA40" s="433">
        <v>30</v>
      </c>
      <c r="AB40" s="436">
        <v>1.5</v>
      </c>
      <c r="AC40" s="433"/>
      <c r="AD40" s="433"/>
      <c r="AE40" s="433"/>
      <c r="AF40" s="433">
        <v>250</v>
      </c>
      <c r="AG40" s="496"/>
      <c r="AH40" s="497">
        <f t="shared" si="24"/>
        <v>161.44944469410029</v>
      </c>
      <c r="AI40" s="498">
        <f>+'T-7_Ensuing_Year'!Q40</f>
        <v>0.58132800000000007</v>
      </c>
      <c r="AJ40" s="498">
        <f>+'T-7_Ensuing_Year'!R40</f>
        <v>4.4238680000000006</v>
      </c>
      <c r="AK40" s="498">
        <f>+'T-7_Ensuing_Year'!S40</f>
        <v>0</v>
      </c>
      <c r="AL40" s="498">
        <f>+'T-7_Ensuing_Year'!T40</f>
        <v>2.46E-2</v>
      </c>
      <c r="AM40" s="498">
        <f t="shared" si="25"/>
        <v>5.029796000000001</v>
      </c>
      <c r="AN40" s="499">
        <v>0.1</v>
      </c>
      <c r="AO40" s="497">
        <f t="shared" si="26"/>
        <v>151.94944469410029</v>
      </c>
      <c r="AP40" s="495">
        <f>+'T-7_Ensuing_Year'!X40</f>
        <v>29.596299999999999</v>
      </c>
      <c r="AQ40" s="498">
        <f>+'T-7_Ensuing_Year'!Y40</f>
        <v>0.29596300000000003</v>
      </c>
      <c r="AR40" s="498">
        <f t="shared" si="27"/>
        <v>4.7338330000000006</v>
      </c>
      <c r="AS40" s="498">
        <f t="shared" si="28"/>
        <v>4.7338330000000006</v>
      </c>
      <c r="AT40" s="498">
        <f t="shared" si="29"/>
        <v>0</v>
      </c>
      <c r="AU40" s="498">
        <f t="shared" si="30"/>
        <v>0</v>
      </c>
      <c r="AV40" s="498">
        <f t="shared" si="30"/>
        <v>0</v>
      </c>
      <c r="AW40" s="496"/>
      <c r="AX40" s="227">
        <f>W40/'F-5'!$M$19/100</f>
        <v>0.2795931935732851</v>
      </c>
      <c r="AY40" s="227">
        <f>AO40/'F-5'!$M$19/100</f>
        <v>0.2795931935732851</v>
      </c>
      <c r="AZ40" s="443">
        <v>0.08</v>
      </c>
      <c r="BA40" s="498">
        <f t="shared" si="31"/>
        <v>0.35390944000000008</v>
      </c>
      <c r="BB40" s="498">
        <f t="shared" si="6"/>
        <v>5.0877424400000004</v>
      </c>
      <c r="BC40" s="496"/>
      <c r="BD40" s="498">
        <f>'T-1'!O36*'F-5'!$M$19/10</f>
        <v>13.219271347428279</v>
      </c>
      <c r="BE40" s="498">
        <f t="shared" si="32"/>
        <v>8.4854383474282784</v>
      </c>
      <c r="BF40" s="497">
        <f>BE40/'T-1'!O36*10^3</f>
        <v>348.85045006694122</v>
      </c>
    </row>
    <row r="41" spans="1:58" ht="15.75" customHeight="1">
      <c r="A41" s="320">
        <f t="shared" si="33"/>
        <v>16</v>
      </c>
      <c r="B41" s="319" t="s">
        <v>247</v>
      </c>
      <c r="C41" s="320" t="s">
        <v>259</v>
      </c>
      <c r="D41" s="495">
        <f>+'T-1'!R37</f>
        <v>49.17</v>
      </c>
      <c r="E41" s="495">
        <f>+'T-7_Ensuing_Year'!E41</f>
        <v>0.98340000000000005</v>
      </c>
      <c r="F41" s="497">
        <f>+'T-1'!M37</f>
        <v>19</v>
      </c>
      <c r="G41" s="497">
        <f>+'T-1'!N37</f>
        <v>12598</v>
      </c>
      <c r="H41" s="496"/>
      <c r="I41" s="433">
        <v>50</v>
      </c>
      <c r="J41" s="436">
        <v>3</v>
      </c>
      <c r="K41" s="433"/>
      <c r="L41" s="433"/>
      <c r="M41" s="433"/>
      <c r="N41" s="433">
        <v>250</v>
      </c>
      <c r="O41" s="496"/>
      <c r="P41" s="497">
        <f>+'T-7_Ensuing_Year'!P41</f>
        <v>295</v>
      </c>
      <c r="Q41" s="498">
        <f>+'T-7_Ensuing_Year'!Q41</f>
        <v>0</v>
      </c>
      <c r="R41" s="498">
        <f>+'T-7_Ensuing_Year'!R41</f>
        <v>14.50515</v>
      </c>
      <c r="S41" s="498">
        <f>+'T-7_Ensuing_Year'!S41</f>
        <v>0</v>
      </c>
      <c r="T41" s="498">
        <f>+'T-7_Ensuing_Year'!T41</f>
        <v>0</v>
      </c>
      <c r="U41" s="498">
        <f t="shared" si="22"/>
        <v>14.50515</v>
      </c>
      <c r="V41" s="499"/>
      <c r="W41" s="497">
        <f>+'T-7_Ensuing_Year'!W41</f>
        <v>292.19749999999999</v>
      </c>
      <c r="X41" s="495">
        <f>+'T-7_Ensuing_Year'!X41</f>
        <v>0</v>
      </c>
      <c r="Y41" s="498">
        <f>+'T-7_Ensuing_Year'!Y41</f>
        <v>0.13779892499999999</v>
      </c>
      <c r="Z41" s="498">
        <f t="shared" si="23"/>
        <v>14.367351075</v>
      </c>
      <c r="AA41" s="433">
        <v>50</v>
      </c>
      <c r="AB41" s="436">
        <v>4.5999999999999996</v>
      </c>
      <c r="AC41" s="433"/>
      <c r="AD41" s="433"/>
      <c r="AE41" s="433"/>
      <c r="AF41" s="433">
        <v>250</v>
      </c>
      <c r="AG41" s="496"/>
      <c r="AH41" s="497">
        <f t="shared" si="24"/>
        <v>295</v>
      </c>
      <c r="AI41" s="498">
        <f>+'T-7_Ensuing_Year'!Q41</f>
        <v>0</v>
      </c>
      <c r="AJ41" s="498">
        <f>+'T-7_Ensuing_Year'!R41</f>
        <v>14.50515</v>
      </c>
      <c r="AK41" s="498">
        <f>+'T-7_Ensuing_Year'!S41</f>
        <v>0</v>
      </c>
      <c r="AL41" s="498">
        <f>+'T-7_Ensuing_Year'!T41</f>
        <v>0</v>
      </c>
      <c r="AM41" s="498">
        <f t="shared" si="25"/>
        <v>14.50515</v>
      </c>
      <c r="AN41" s="499"/>
      <c r="AO41" s="497">
        <f t="shared" si="26"/>
        <v>292.19749999999999</v>
      </c>
      <c r="AP41" s="495">
        <f>+'T-7_Ensuing_Year'!X41</f>
        <v>0</v>
      </c>
      <c r="AQ41" s="498">
        <f>+'T-7_Ensuing_Year'!Y41</f>
        <v>0.13779892499999999</v>
      </c>
      <c r="AR41" s="498">
        <f t="shared" si="27"/>
        <v>14.367351075</v>
      </c>
      <c r="AS41" s="498">
        <f t="shared" si="28"/>
        <v>14.367351075</v>
      </c>
      <c r="AT41" s="498">
        <f t="shared" si="29"/>
        <v>0</v>
      </c>
      <c r="AU41" s="498">
        <f t="shared" si="30"/>
        <v>0</v>
      </c>
      <c r="AV41" s="498">
        <f t="shared" si="30"/>
        <v>0</v>
      </c>
      <c r="AW41" s="496"/>
      <c r="AX41" s="227">
        <f>W41/'F-5'!$M$19/100</f>
        <v>0.53765535203895343</v>
      </c>
      <c r="AY41" s="227">
        <f>AO41/'F-5'!$M$19/100</f>
        <v>0.53765535203895343</v>
      </c>
      <c r="AZ41" s="443">
        <v>0.08</v>
      </c>
      <c r="BA41" s="498">
        <f t="shared" si="31"/>
        <v>1.160412</v>
      </c>
      <c r="BB41" s="498">
        <f t="shared" si="6"/>
        <v>15.527763074999999</v>
      </c>
      <c r="BC41" s="496"/>
      <c r="BD41" s="498">
        <f>'T-1'!O37*'F-5'!$M$19/10</f>
        <v>25.879315996266531</v>
      </c>
      <c r="BE41" s="498">
        <f t="shared" si="32"/>
        <v>11.51196492126653</v>
      </c>
      <c r="BF41" s="497">
        <f>BE41/'T-1'!O37*10^3</f>
        <v>241.75150509810223</v>
      </c>
    </row>
    <row r="42" spans="1:58" ht="15.75" customHeight="1">
      <c r="A42" s="320">
        <f t="shared" si="33"/>
        <v>17</v>
      </c>
      <c r="B42" s="319" t="s">
        <v>251</v>
      </c>
      <c r="C42" s="320" t="s">
        <v>259</v>
      </c>
      <c r="D42" s="495">
        <f>+'T-1'!R38</f>
        <v>26.318999999999999</v>
      </c>
      <c r="E42" s="495">
        <f>+'T-7_Ensuing_Year'!E42</f>
        <v>0.85536749999999995</v>
      </c>
      <c r="F42" s="497">
        <f>+'T-1'!M38</f>
        <v>60</v>
      </c>
      <c r="G42" s="497">
        <f>+'T-1'!N38</f>
        <v>32807</v>
      </c>
      <c r="H42" s="496"/>
      <c r="I42" s="433">
        <v>250</v>
      </c>
      <c r="J42" s="436">
        <v>5.85</v>
      </c>
      <c r="K42" s="433">
        <v>4.75</v>
      </c>
      <c r="L42" s="433"/>
      <c r="M42" s="433"/>
      <c r="N42" s="433">
        <v>250</v>
      </c>
      <c r="O42" s="496"/>
      <c r="P42" s="497">
        <f>+'T-7_Ensuing_Year'!P42</f>
        <v>876.67225863444662</v>
      </c>
      <c r="Q42" s="498">
        <f>+'T-7_Ensuing_Year'!Q42</f>
        <v>7.8736799999999993</v>
      </c>
      <c r="R42" s="498">
        <f>+'T-7_Ensuing_Year'!R42</f>
        <v>15.181457175</v>
      </c>
      <c r="S42" s="498">
        <f>+'T-7_Ensuing_Year'!S42</f>
        <v>0</v>
      </c>
      <c r="T42" s="498">
        <f>+'T-7_Ensuing_Year'!T42</f>
        <v>1.7999999999999999E-2</v>
      </c>
      <c r="U42" s="498">
        <f t="shared" si="22"/>
        <v>23.073137174999999</v>
      </c>
      <c r="V42" s="499"/>
      <c r="W42" s="497">
        <f>+'T-7_Ensuing_Year'!W42</f>
        <v>869.22054443605384</v>
      </c>
      <c r="X42" s="495">
        <f>+'T-7_Ensuing_Year'!X42</f>
        <v>0</v>
      </c>
      <c r="Y42" s="498">
        <f>+'T-7_Ensuing_Year'!Y42</f>
        <v>0.19612166598749997</v>
      </c>
      <c r="Z42" s="498">
        <f t="shared" si="23"/>
        <v>22.877015509012498</v>
      </c>
      <c r="AA42" s="433">
        <v>250</v>
      </c>
      <c r="AB42" s="436">
        <v>5.85</v>
      </c>
      <c r="AC42" s="433">
        <v>4.75</v>
      </c>
      <c r="AD42" s="433"/>
      <c r="AE42" s="433"/>
      <c r="AF42" s="433">
        <v>250</v>
      </c>
      <c r="AG42" s="498"/>
      <c r="AH42" s="497">
        <f t="shared" si="24"/>
        <v>876.67225863444662</v>
      </c>
      <c r="AI42" s="498">
        <f>+'T-7_Ensuing_Year'!Q42</f>
        <v>7.8736799999999993</v>
      </c>
      <c r="AJ42" s="498">
        <f>+'T-7_Ensuing_Year'!R42</f>
        <v>15.181457175</v>
      </c>
      <c r="AK42" s="498">
        <f>+'T-7_Ensuing_Year'!S42</f>
        <v>0</v>
      </c>
      <c r="AL42" s="498">
        <f>+'T-7_Ensuing_Year'!T42</f>
        <v>1.7999999999999999E-2</v>
      </c>
      <c r="AM42" s="498">
        <f t="shared" si="25"/>
        <v>23.073137174999999</v>
      </c>
      <c r="AN42" s="499"/>
      <c r="AO42" s="497">
        <f t="shared" si="26"/>
        <v>869.22054443605384</v>
      </c>
      <c r="AP42" s="495">
        <f>+'T-7_Ensuing_Year'!X42</f>
        <v>0</v>
      </c>
      <c r="AQ42" s="498">
        <f>+'T-7_Ensuing_Year'!Y42</f>
        <v>0.19612166598749997</v>
      </c>
      <c r="AR42" s="498">
        <f t="shared" si="27"/>
        <v>22.877015509012498</v>
      </c>
      <c r="AS42" s="498">
        <f t="shared" si="28"/>
        <v>22.877015509012498</v>
      </c>
      <c r="AT42" s="498">
        <f t="shared" si="29"/>
        <v>0</v>
      </c>
      <c r="AU42" s="498">
        <f t="shared" si="30"/>
        <v>0</v>
      </c>
      <c r="AV42" s="498">
        <f t="shared" si="30"/>
        <v>0</v>
      </c>
      <c r="AW42" s="498"/>
      <c r="AX42" s="227">
        <f>W42/'F-5'!$M$19/100</f>
        <v>1.5994013563369203</v>
      </c>
      <c r="AY42" s="227">
        <f>AO42/'F-5'!$M$19/100</f>
        <v>1.5994013563369203</v>
      </c>
      <c r="AZ42" s="222">
        <v>0.08</v>
      </c>
      <c r="BA42" s="498">
        <f t="shared" si="31"/>
        <v>1.2145165740000001</v>
      </c>
      <c r="BB42" s="498">
        <f t="shared" si="6"/>
        <v>24.091532083012499</v>
      </c>
      <c r="BC42" s="498"/>
      <c r="BD42" s="498">
        <f>'T-1'!O38*'F-5'!$M$19/10</f>
        <v>13.8274100021632</v>
      </c>
      <c r="BE42" s="498">
        <f t="shared" si="32"/>
        <v>-9.0496055068492982</v>
      </c>
      <c r="BF42" s="497">
        <f>BE42/'T-1'!O38*10^3</f>
        <v>-355.68154332623106</v>
      </c>
    </row>
    <row r="43" spans="1:58" ht="15.75" customHeight="1">
      <c r="A43" s="320">
        <f t="shared" si="33"/>
        <v>18</v>
      </c>
      <c r="B43" s="319" t="s">
        <v>260</v>
      </c>
      <c r="C43" s="320" t="s">
        <v>259</v>
      </c>
      <c r="D43" s="495">
        <f>+'T-1'!R39</f>
        <v>0</v>
      </c>
      <c r="E43" s="495">
        <f>+'T-7_Ensuing_Year'!E43</f>
        <v>0</v>
      </c>
      <c r="F43" s="497">
        <f>+'T-1'!M39</f>
        <v>0</v>
      </c>
      <c r="G43" s="497">
        <f>+'T-1'!N39</f>
        <v>0</v>
      </c>
      <c r="H43" s="496"/>
      <c r="I43" s="433">
        <v>250</v>
      </c>
      <c r="J43" s="436">
        <v>5.85</v>
      </c>
      <c r="K43" s="433">
        <v>4.75</v>
      </c>
      <c r="L43" s="433"/>
      <c r="M43" s="433"/>
      <c r="N43" s="433">
        <v>250</v>
      </c>
      <c r="O43" s="496"/>
      <c r="P43" s="497" t="e">
        <f>+'T-7_Ensuing_Year'!P43</f>
        <v>#DIV/0!</v>
      </c>
      <c r="Q43" s="498">
        <f>+'T-7_Ensuing_Year'!Q43</f>
        <v>0</v>
      </c>
      <c r="R43" s="498">
        <f>+'T-7_Ensuing_Year'!R43</f>
        <v>0</v>
      </c>
      <c r="S43" s="498">
        <f>+'T-7_Ensuing_Year'!S43</f>
        <v>0</v>
      </c>
      <c r="T43" s="498">
        <f>+'T-7_Ensuing_Year'!T43</f>
        <v>0</v>
      </c>
      <c r="U43" s="498">
        <f t="shared" si="22"/>
        <v>0</v>
      </c>
      <c r="V43" s="499">
        <v>0.1</v>
      </c>
      <c r="W43" s="497" t="e">
        <f>+'T-7_Ensuing_Year'!W43</f>
        <v>#DIV/0!</v>
      </c>
      <c r="X43" s="495">
        <f>+'T-7_Ensuing_Year'!X43</f>
        <v>0</v>
      </c>
      <c r="Y43" s="498">
        <f>+'T-7_Ensuing_Year'!Y43</f>
        <v>0</v>
      </c>
      <c r="Z43" s="498">
        <f t="shared" si="23"/>
        <v>0</v>
      </c>
      <c r="AA43" s="433">
        <v>250</v>
      </c>
      <c r="AB43" s="436">
        <v>5.85</v>
      </c>
      <c r="AC43" s="433">
        <v>4.75</v>
      </c>
      <c r="AD43" s="433"/>
      <c r="AE43" s="433"/>
      <c r="AF43" s="433">
        <v>250</v>
      </c>
      <c r="AG43" s="498"/>
      <c r="AH43" s="497" t="e">
        <f t="shared" si="24"/>
        <v>#DIV/0!</v>
      </c>
      <c r="AI43" s="498">
        <f>+'T-7_Ensuing_Year'!Q43</f>
        <v>0</v>
      </c>
      <c r="AJ43" s="498">
        <f>+'T-7_Ensuing_Year'!R43</f>
        <v>0</v>
      </c>
      <c r="AK43" s="498">
        <f>+'T-7_Ensuing_Year'!S43</f>
        <v>0</v>
      </c>
      <c r="AL43" s="498">
        <f>+'T-7_Ensuing_Year'!T43</f>
        <v>0</v>
      </c>
      <c r="AM43" s="498">
        <f t="shared" si="25"/>
        <v>0</v>
      </c>
      <c r="AN43" s="499">
        <v>0.1</v>
      </c>
      <c r="AO43" s="497" t="e">
        <f t="shared" si="26"/>
        <v>#DIV/0!</v>
      </c>
      <c r="AP43" s="495">
        <f>+'T-7_Ensuing_Year'!X43</f>
        <v>0</v>
      </c>
      <c r="AQ43" s="498">
        <f>+'T-7_Ensuing_Year'!Y43</f>
        <v>0</v>
      </c>
      <c r="AR43" s="498">
        <f t="shared" si="27"/>
        <v>0</v>
      </c>
      <c r="AS43" s="498">
        <f t="shared" si="28"/>
        <v>0</v>
      </c>
      <c r="AT43" s="498">
        <f t="shared" si="29"/>
        <v>0</v>
      </c>
      <c r="AU43" s="498">
        <f t="shared" si="30"/>
        <v>0</v>
      </c>
      <c r="AV43" s="498">
        <f t="shared" si="30"/>
        <v>0</v>
      </c>
      <c r="AW43" s="498"/>
      <c r="AX43" s="227" t="e">
        <f>W43/'F-5'!$M$19/100</f>
        <v>#DIV/0!</v>
      </c>
      <c r="AY43" s="227" t="e">
        <f>AO43/'F-5'!$M$19/100</f>
        <v>#DIV/0!</v>
      </c>
      <c r="AZ43" s="222">
        <v>0.08</v>
      </c>
      <c r="BA43" s="498">
        <f t="shared" si="31"/>
        <v>0</v>
      </c>
      <c r="BB43" s="498">
        <f t="shared" si="6"/>
        <v>0</v>
      </c>
      <c r="BC43" s="498"/>
      <c r="BD43" s="498">
        <f>'T-1'!O39*'F-5'!$M$19/10</f>
        <v>0</v>
      </c>
      <c r="BE43" s="498">
        <f t="shared" si="32"/>
        <v>0</v>
      </c>
      <c r="BF43" s="497" t="e">
        <f>BE43/'T-1'!O39*10^3</f>
        <v>#DIV/0!</v>
      </c>
    </row>
    <row r="44" spans="1:58" ht="15.75" customHeight="1">
      <c r="A44" s="320">
        <f t="shared" si="33"/>
        <v>19</v>
      </c>
      <c r="B44" s="319" t="s">
        <v>254</v>
      </c>
      <c r="C44" s="320"/>
      <c r="D44" s="495">
        <f>+'T-1'!R40</f>
        <v>74.994</v>
      </c>
      <c r="E44" s="495">
        <f>+'T-7_Ensuing_Year'!E44</f>
        <v>1.8748500000000001</v>
      </c>
      <c r="F44" s="497">
        <f>+'T-1'!M40</f>
        <v>160</v>
      </c>
      <c r="G44" s="497">
        <f>+'T-1'!N40</f>
        <v>44840</v>
      </c>
      <c r="H44" s="496"/>
      <c r="I44" s="433">
        <v>250</v>
      </c>
      <c r="J44" s="436">
        <v>5.85</v>
      </c>
      <c r="K44" s="433">
        <v>4.75</v>
      </c>
      <c r="L44" s="433"/>
      <c r="M44" s="433"/>
      <c r="N44" s="433">
        <v>250</v>
      </c>
      <c r="O44" s="496"/>
      <c r="P44" s="497">
        <f>+'T-7_Ensuing_Year'!P44</f>
        <v>721.38953116249297</v>
      </c>
      <c r="Q44" s="498">
        <f>+'T-7_Ensuing_Year'!Q44</f>
        <v>10.761600000000001</v>
      </c>
      <c r="R44" s="498">
        <f>+'T-7_Ensuing_Year'!R44</f>
        <v>43.290286499999993</v>
      </c>
      <c r="S44" s="498">
        <f>+'T-7_Ensuing_Year'!S44</f>
        <v>0</v>
      </c>
      <c r="T44" s="498">
        <f>+'T-7_Ensuing_Year'!T44</f>
        <v>4.8000000000000001E-2</v>
      </c>
      <c r="U44" s="498">
        <f t="shared" si="22"/>
        <v>54.099886499999997</v>
      </c>
      <c r="V44" s="499"/>
      <c r="W44" s="497">
        <f>+'T-7_Ensuing_Year'!W44</f>
        <v>714.53633061644928</v>
      </c>
      <c r="X44" s="495">
        <f>+'T-7_Ensuing_Year'!X44</f>
        <v>0</v>
      </c>
      <c r="Y44" s="498">
        <f>+'T-7_Ensuing_Year'!Y44</f>
        <v>0.51394892174999995</v>
      </c>
      <c r="Z44" s="498">
        <f t="shared" si="23"/>
        <v>53.585937578249997</v>
      </c>
      <c r="AA44" s="433">
        <v>250</v>
      </c>
      <c r="AB44" s="436">
        <v>5.85</v>
      </c>
      <c r="AC44" s="433">
        <v>4.75</v>
      </c>
      <c r="AD44" s="433"/>
      <c r="AE44" s="433"/>
      <c r="AF44" s="433">
        <v>250</v>
      </c>
      <c r="AG44" s="498"/>
      <c r="AH44" s="497">
        <f t="shared" si="24"/>
        <v>721.38953116249297</v>
      </c>
      <c r="AI44" s="498">
        <f>+'T-7_Ensuing_Year'!Q44</f>
        <v>10.761600000000001</v>
      </c>
      <c r="AJ44" s="498">
        <f>+'T-7_Ensuing_Year'!R44</f>
        <v>43.290286499999993</v>
      </c>
      <c r="AK44" s="498">
        <f>+'T-7_Ensuing_Year'!S44</f>
        <v>0</v>
      </c>
      <c r="AL44" s="498">
        <f>+'T-7_Ensuing_Year'!T44</f>
        <v>4.8000000000000001E-2</v>
      </c>
      <c r="AM44" s="498">
        <f t="shared" si="25"/>
        <v>54.099886499999997</v>
      </c>
      <c r="AN44" s="499"/>
      <c r="AO44" s="497">
        <f t="shared" si="26"/>
        <v>714.53633061644928</v>
      </c>
      <c r="AP44" s="495">
        <f>+'T-7_Ensuing_Year'!X44</f>
        <v>0</v>
      </c>
      <c r="AQ44" s="498">
        <f>+'T-7_Ensuing_Year'!Y44</f>
        <v>0.51394892174999995</v>
      </c>
      <c r="AR44" s="498">
        <f t="shared" si="27"/>
        <v>53.585937578249997</v>
      </c>
      <c r="AS44" s="498">
        <f t="shared" si="28"/>
        <v>53.585937578249997</v>
      </c>
      <c r="AT44" s="498">
        <f t="shared" si="29"/>
        <v>0</v>
      </c>
      <c r="AU44" s="498">
        <f t="shared" si="30"/>
        <v>0</v>
      </c>
      <c r="AV44" s="498">
        <f t="shared" si="30"/>
        <v>0</v>
      </c>
      <c r="AW44" s="498"/>
      <c r="AX44" s="227">
        <f>W44/'F-5'!$M$19/100</f>
        <v>1.3147760757097819</v>
      </c>
      <c r="AY44" s="227">
        <f>AO44/'F-5'!$M$19/100</f>
        <v>1.3147760757097819</v>
      </c>
      <c r="AZ44" s="222">
        <v>0.08</v>
      </c>
      <c r="BA44" s="498">
        <f t="shared" si="31"/>
        <v>3.4632229199999998</v>
      </c>
      <c r="BB44" s="498">
        <f t="shared" si="6"/>
        <v>57.049160498249996</v>
      </c>
      <c r="BC44" s="498"/>
      <c r="BD44" s="498">
        <f>'T-1'!O40*'F-5'!$M$19/10</f>
        <v>37.938830516881289</v>
      </c>
      <c r="BE44" s="498">
        <f t="shared" si="32"/>
        <v>-15.647107061368708</v>
      </c>
      <c r="BF44" s="497">
        <f>BE44/'T-1'!O40*10^3</f>
        <v>-224.14168748110856</v>
      </c>
    </row>
    <row r="45" spans="1:58" ht="15.75" customHeight="1">
      <c r="A45" s="320">
        <f t="shared" si="33"/>
        <v>20</v>
      </c>
      <c r="B45" s="319" t="s">
        <v>261</v>
      </c>
      <c r="C45" s="320" t="s">
        <v>259</v>
      </c>
      <c r="D45" s="495">
        <f>+'T-1'!R41</f>
        <v>0</v>
      </c>
      <c r="E45" s="495">
        <f>+'T-7_Ensuing_Year'!E45</f>
        <v>0</v>
      </c>
      <c r="F45" s="497">
        <f>+'T-1'!M41</f>
        <v>0</v>
      </c>
      <c r="G45" s="497">
        <f>+'T-1'!N41</f>
        <v>0</v>
      </c>
      <c r="H45" s="496"/>
      <c r="I45" s="433">
        <v>150</v>
      </c>
      <c r="J45" s="436">
        <v>5.85</v>
      </c>
      <c r="K45" s="433">
        <v>4.75</v>
      </c>
      <c r="L45" s="433"/>
      <c r="M45" s="433"/>
      <c r="N45" s="433">
        <v>250</v>
      </c>
      <c r="O45" s="496"/>
      <c r="P45" s="497" t="e">
        <f>+'T-7_Ensuing_Year'!P45</f>
        <v>#DIV/0!</v>
      </c>
      <c r="Q45" s="498">
        <f>+'T-7_Ensuing_Year'!Q45</f>
        <v>0</v>
      </c>
      <c r="R45" s="498">
        <f>+'T-7_Ensuing_Year'!R45</f>
        <v>0</v>
      </c>
      <c r="S45" s="498">
        <f>+'T-7_Ensuing_Year'!S45</f>
        <v>0</v>
      </c>
      <c r="T45" s="498">
        <f>+'T-7_Ensuing_Year'!T45</f>
        <v>0</v>
      </c>
      <c r="U45" s="498">
        <f t="shared" si="22"/>
        <v>0</v>
      </c>
      <c r="V45" s="499"/>
      <c r="W45" s="497" t="e">
        <f>+'T-7_Ensuing_Year'!W45</f>
        <v>#DIV/0!</v>
      </c>
      <c r="X45" s="495">
        <f>+'T-7_Ensuing_Year'!X45</f>
        <v>0</v>
      </c>
      <c r="Y45" s="498">
        <f>+'T-7_Ensuing_Year'!Y45</f>
        <v>0</v>
      </c>
      <c r="Z45" s="498">
        <f t="shared" si="23"/>
        <v>0</v>
      </c>
      <c r="AA45" s="433">
        <v>150</v>
      </c>
      <c r="AB45" s="436">
        <v>5.85</v>
      </c>
      <c r="AC45" s="433">
        <v>4.75</v>
      </c>
      <c r="AD45" s="433"/>
      <c r="AE45" s="433"/>
      <c r="AF45" s="433">
        <v>250</v>
      </c>
      <c r="AG45" s="498"/>
      <c r="AH45" s="497" t="e">
        <f t="shared" si="24"/>
        <v>#DIV/0!</v>
      </c>
      <c r="AI45" s="498">
        <f>+'T-7_Ensuing_Year'!Q45</f>
        <v>0</v>
      </c>
      <c r="AJ45" s="498">
        <f>+'T-7_Ensuing_Year'!R45</f>
        <v>0</v>
      </c>
      <c r="AK45" s="498">
        <f>+'T-7_Ensuing_Year'!S45</f>
        <v>0</v>
      </c>
      <c r="AL45" s="498">
        <f>+'T-7_Ensuing_Year'!T45</f>
        <v>0</v>
      </c>
      <c r="AM45" s="498">
        <f t="shared" si="25"/>
        <v>0</v>
      </c>
      <c r="AN45" s="499"/>
      <c r="AO45" s="497" t="e">
        <f t="shared" si="26"/>
        <v>#DIV/0!</v>
      </c>
      <c r="AP45" s="495">
        <f>+'T-7_Ensuing_Year'!X45</f>
        <v>0</v>
      </c>
      <c r="AQ45" s="498">
        <f>+'T-7_Ensuing_Year'!Y45</f>
        <v>0</v>
      </c>
      <c r="AR45" s="498">
        <f t="shared" si="27"/>
        <v>0</v>
      </c>
      <c r="AS45" s="498">
        <f t="shared" si="28"/>
        <v>0</v>
      </c>
      <c r="AT45" s="498">
        <f t="shared" si="29"/>
        <v>0</v>
      </c>
      <c r="AU45" s="498">
        <f t="shared" si="30"/>
        <v>0</v>
      </c>
      <c r="AV45" s="498">
        <f t="shared" si="30"/>
        <v>0</v>
      </c>
      <c r="AW45" s="498"/>
      <c r="AX45" s="227" t="e">
        <f>W45/'F-5'!$M$19/100</f>
        <v>#DIV/0!</v>
      </c>
      <c r="AY45" s="227" t="e">
        <f>AO45/'F-5'!$M$19/100</f>
        <v>#DIV/0!</v>
      </c>
      <c r="AZ45" s="222">
        <v>0.08</v>
      </c>
      <c r="BA45" s="498">
        <f t="shared" si="31"/>
        <v>0</v>
      </c>
      <c r="BB45" s="498">
        <f t="shared" si="6"/>
        <v>0</v>
      </c>
      <c r="BC45" s="498"/>
      <c r="BD45" s="498">
        <f>'T-1'!O41*'F-5'!$M$19/10</f>
        <v>0</v>
      </c>
      <c r="BE45" s="498">
        <f t="shared" si="32"/>
        <v>0</v>
      </c>
      <c r="BF45" s="497" t="e">
        <f>BE45/'T-1'!O41*10^3</f>
        <v>#DIV/0!</v>
      </c>
    </row>
    <row r="46" spans="1:58" ht="15.75" customHeight="1">
      <c r="A46" s="320">
        <f t="shared" si="33"/>
        <v>21</v>
      </c>
      <c r="B46" s="319" t="s">
        <v>262</v>
      </c>
      <c r="C46" s="320" t="s">
        <v>259</v>
      </c>
      <c r="D46" s="495">
        <f>+'T-1'!R42</f>
        <v>21.05</v>
      </c>
      <c r="E46" s="495">
        <f>+'T-7_Ensuing_Year'!E46</f>
        <v>0.21050000000000002</v>
      </c>
      <c r="F46" s="497">
        <f>+'T-1'!M42</f>
        <v>51</v>
      </c>
      <c r="G46" s="497">
        <f>+'T-1'!N42</f>
        <v>21908</v>
      </c>
      <c r="H46" s="496"/>
      <c r="I46" s="433">
        <v>250</v>
      </c>
      <c r="J46" s="436">
        <v>5.85</v>
      </c>
      <c r="K46" s="433">
        <v>4.75</v>
      </c>
      <c r="L46" s="433"/>
      <c r="M46" s="433"/>
      <c r="N46" s="433">
        <v>250</v>
      </c>
      <c r="O46" s="496"/>
      <c r="P46" s="497">
        <f>+'T-7_Ensuing_Year'!P46</f>
        <v>828.80926365795722</v>
      </c>
      <c r="Q46" s="498">
        <f>+'T-7_Ensuing_Year'!Q46</f>
        <v>5.2579200000000004</v>
      </c>
      <c r="R46" s="498">
        <f>+'T-7_Ensuing_Year'!R46</f>
        <v>12.173215000000001</v>
      </c>
      <c r="S46" s="498">
        <f>+'T-7_Ensuing_Year'!S46</f>
        <v>0</v>
      </c>
      <c r="T46" s="498">
        <f>+'T-7_Ensuing_Year'!T46</f>
        <v>1.5299999999999999E-2</v>
      </c>
      <c r="U46" s="498">
        <f t="shared" si="22"/>
        <v>17.446435000000001</v>
      </c>
      <c r="V46" s="499">
        <v>0.1</v>
      </c>
      <c r="W46" s="497">
        <f>+'T-7_Ensuing_Year'!W46</f>
        <v>819.80926365795722</v>
      </c>
      <c r="X46" s="495">
        <f>+'T-7_Ensuing_Year'!X46</f>
        <v>18.945</v>
      </c>
      <c r="Y46" s="498">
        <f>+'T-7_Ensuing_Year'!Y46</f>
        <v>0.18945000000000001</v>
      </c>
      <c r="Z46" s="498">
        <f t="shared" si="23"/>
        <v>17.256985</v>
      </c>
      <c r="AA46" s="433">
        <v>250</v>
      </c>
      <c r="AB46" s="436">
        <v>5.85</v>
      </c>
      <c r="AC46" s="433">
        <v>4.75</v>
      </c>
      <c r="AD46" s="433"/>
      <c r="AE46" s="433"/>
      <c r="AF46" s="433">
        <v>250</v>
      </c>
      <c r="AG46" s="498"/>
      <c r="AH46" s="497">
        <f t="shared" si="24"/>
        <v>828.80926365795722</v>
      </c>
      <c r="AI46" s="498">
        <f>+'T-7_Ensuing_Year'!Q46</f>
        <v>5.2579200000000004</v>
      </c>
      <c r="AJ46" s="498">
        <f>+'T-7_Ensuing_Year'!R46</f>
        <v>12.173215000000001</v>
      </c>
      <c r="AK46" s="498">
        <f>+'T-7_Ensuing_Year'!S46</f>
        <v>0</v>
      </c>
      <c r="AL46" s="498">
        <f>+'T-7_Ensuing_Year'!T46</f>
        <v>1.5299999999999999E-2</v>
      </c>
      <c r="AM46" s="498">
        <f t="shared" si="25"/>
        <v>17.446435000000001</v>
      </c>
      <c r="AN46" s="499">
        <v>0.1</v>
      </c>
      <c r="AO46" s="497">
        <f t="shared" si="26"/>
        <v>819.80926365795722</v>
      </c>
      <c r="AP46" s="495">
        <f>+'T-7_Ensuing_Year'!X46</f>
        <v>18.945</v>
      </c>
      <c r="AQ46" s="498">
        <f>+'T-7_Ensuing_Year'!Y46</f>
        <v>0.18945000000000001</v>
      </c>
      <c r="AR46" s="498">
        <f t="shared" si="27"/>
        <v>17.256985</v>
      </c>
      <c r="AS46" s="498">
        <f t="shared" si="28"/>
        <v>17.256985</v>
      </c>
      <c r="AT46" s="498">
        <f t="shared" si="29"/>
        <v>0</v>
      </c>
      <c r="AU46" s="498">
        <f t="shared" si="30"/>
        <v>0</v>
      </c>
      <c r="AV46" s="498">
        <f t="shared" si="30"/>
        <v>0</v>
      </c>
      <c r="AW46" s="498"/>
      <c r="AX46" s="227">
        <f>W46/'F-5'!$M$19/100</f>
        <v>1.5084825785874765</v>
      </c>
      <c r="AY46" s="227">
        <f>AO46/'F-5'!$M$19/100</f>
        <v>1.5084825785874765</v>
      </c>
      <c r="AZ46" s="436"/>
      <c r="BA46" s="498"/>
      <c r="BB46" s="498">
        <f t="shared" si="6"/>
        <v>17.256985</v>
      </c>
      <c r="BC46" s="498"/>
      <c r="BD46" s="498">
        <f>'T-1'!O42*'F-5'!$M$19/10</f>
        <v>10.063906709902847</v>
      </c>
      <c r="BE46" s="498">
        <f t="shared" si="32"/>
        <v>-7.1930782900971533</v>
      </c>
      <c r="BF46" s="497">
        <f>BE46/'T-1'!O42*10^3</f>
        <v>-388.43710390415561</v>
      </c>
    </row>
    <row r="47" spans="1:58" ht="15.75" customHeight="1">
      <c r="A47" s="320">
        <f t="shared" si="33"/>
        <v>22</v>
      </c>
      <c r="B47" s="319" t="s">
        <v>255</v>
      </c>
      <c r="C47" s="320" t="s">
        <v>259</v>
      </c>
      <c r="D47" s="495">
        <f>+'T-1'!R43</f>
        <v>569.51199999999994</v>
      </c>
      <c r="E47" s="495">
        <f>+'T-7_Ensuing_Year'!E47</f>
        <v>55.527419999999999</v>
      </c>
      <c r="F47" s="497">
        <f>+'T-1'!M43</f>
        <v>406</v>
      </c>
      <c r="G47" s="497">
        <f>+'T-1'!N43</f>
        <v>223001</v>
      </c>
      <c r="H47" s="496"/>
      <c r="I47" s="433">
        <v>250</v>
      </c>
      <c r="J47" s="436">
        <v>5.85</v>
      </c>
      <c r="K47" s="433">
        <v>4.75</v>
      </c>
      <c r="L47" s="433"/>
      <c r="M47" s="433"/>
      <c r="N47" s="433">
        <v>250</v>
      </c>
      <c r="O47" s="496"/>
      <c r="P47" s="497">
        <f>+'T-7_Ensuing_Year'!P47</f>
        <v>662.46448152102141</v>
      </c>
      <c r="Q47" s="498">
        <f>+'T-7_Ensuing_Year'!Q47</f>
        <v>53.520240000000001</v>
      </c>
      <c r="R47" s="498">
        <f>+'T-7_Ensuing_Year'!R47</f>
        <v>323.6394317999999</v>
      </c>
      <c r="S47" s="498">
        <f>+'T-7_Ensuing_Year'!S47</f>
        <v>0</v>
      </c>
      <c r="T47" s="498">
        <f>+'T-7_Ensuing_Year'!T47</f>
        <v>0.12180000000000001</v>
      </c>
      <c r="U47" s="498">
        <f t="shared" si="22"/>
        <v>377.28147179999991</v>
      </c>
      <c r="V47" s="499"/>
      <c r="W47" s="497">
        <f>+'T-7_Ensuing_Year'!W47</f>
        <v>656.50230118733225</v>
      </c>
      <c r="X47" s="495">
        <f>+'T-7_Ensuing_Year'!X47</f>
        <v>0</v>
      </c>
      <c r="Y47" s="498">
        <f>+'T-7_Ensuing_Year'!Y47</f>
        <v>3.395533246199999</v>
      </c>
      <c r="Z47" s="498">
        <f t="shared" si="23"/>
        <v>373.88593855379992</v>
      </c>
      <c r="AA47" s="433">
        <v>250</v>
      </c>
      <c r="AB47" s="436">
        <v>5.85</v>
      </c>
      <c r="AC47" s="433">
        <v>4.75</v>
      </c>
      <c r="AD47" s="433"/>
      <c r="AE47" s="433"/>
      <c r="AF47" s="433">
        <v>250</v>
      </c>
      <c r="AG47" s="498"/>
      <c r="AH47" s="497">
        <f t="shared" si="24"/>
        <v>662.46448152102141</v>
      </c>
      <c r="AI47" s="498">
        <f>+'T-7_Ensuing_Year'!Q47</f>
        <v>53.520240000000001</v>
      </c>
      <c r="AJ47" s="498">
        <f>+'T-7_Ensuing_Year'!R47</f>
        <v>323.6394317999999</v>
      </c>
      <c r="AK47" s="498">
        <f>+'T-7_Ensuing_Year'!S47</f>
        <v>0</v>
      </c>
      <c r="AL47" s="498">
        <f>+'T-7_Ensuing_Year'!T47</f>
        <v>0.12180000000000001</v>
      </c>
      <c r="AM47" s="498">
        <f t="shared" si="25"/>
        <v>377.28147179999991</v>
      </c>
      <c r="AN47" s="499"/>
      <c r="AO47" s="497">
        <f t="shared" si="26"/>
        <v>656.50230118733225</v>
      </c>
      <c r="AP47" s="495">
        <f>+'T-7_Ensuing_Year'!X47</f>
        <v>0</v>
      </c>
      <c r="AQ47" s="498">
        <f>+'T-7_Ensuing_Year'!Y47</f>
        <v>3.395533246199999</v>
      </c>
      <c r="AR47" s="498">
        <f t="shared" si="27"/>
        <v>373.88593855379992</v>
      </c>
      <c r="AS47" s="498">
        <f t="shared" si="28"/>
        <v>373.88593855379992</v>
      </c>
      <c r="AT47" s="498">
        <f t="shared" si="29"/>
        <v>0</v>
      </c>
      <c r="AU47" s="498">
        <f t="shared" si="30"/>
        <v>0</v>
      </c>
      <c r="AV47" s="498">
        <f t="shared" si="30"/>
        <v>0</v>
      </c>
      <c r="AW47" s="498"/>
      <c r="AX47" s="227">
        <f>W47/'F-5'!$M$19/100</f>
        <v>1.2079910877377737</v>
      </c>
      <c r="AY47" s="227">
        <f>AO47/'F-5'!$M$19/100</f>
        <v>1.2079910877377737</v>
      </c>
      <c r="AZ47" s="222">
        <v>0.08</v>
      </c>
      <c r="BA47" s="498">
        <f>+AJ47*AZ47</f>
        <v>25.891154543999992</v>
      </c>
      <c r="BB47" s="498">
        <f t="shared" si="6"/>
        <v>399.77709309779993</v>
      </c>
      <c r="BC47" s="498"/>
      <c r="BD47" s="498">
        <f>'T-1'!O43*'F-5'!$M$19/10</f>
        <v>292.81142546144315</v>
      </c>
      <c r="BE47" s="498">
        <f t="shared" si="32"/>
        <v>-81.074513092356767</v>
      </c>
      <c r="BF47" s="497">
        <f>BE47/'T-1'!O43*10^3</f>
        <v>-150.47655946686857</v>
      </c>
    </row>
    <row r="48" spans="1:58" ht="15.75" customHeight="1">
      <c r="A48" s="320">
        <f t="shared" si="33"/>
        <v>23</v>
      </c>
      <c r="B48" s="319" t="s">
        <v>263</v>
      </c>
      <c r="C48" s="320" t="s">
        <v>259</v>
      </c>
      <c r="D48" s="495">
        <f>+'T-1'!R44</f>
        <v>25.632999999999999</v>
      </c>
      <c r="E48" s="495">
        <f>+'T-7_Ensuing_Year'!E48</f>
        <v>2.3069699999999997</v>
      </c>
      <c r="F48" s="497">
        <f>+'T-1'!M44</f>
        <v>1</v>
      </c>
      <c r="G48" s="497">
        <f>+'T-1'!N44</f>
        <v>10700</v>
      </c>
      <c r="H48" s="496"/>
      <c r="I48" s="433">
        <v>250</v>
      </c>
      <c r="J48" s="436">
        <v>5.85</v>
      </c>
      <c r="K48" s="433">
        <v>4.75</v>
      </c>
      <c r="L48" s="433"/>
      <c r="M48" s="433"/>
      <c r="N48" s="433">
        <v>250</v>
      </c>
      <c r="O48" s="496"/>
      <c r="P48" s="497">
        <f>+'T-7_Ensuing_Year'!P48</f>
        <v>668.29506105410985</v>
      </c>
      <c r="Q48" s="498">
        <f>+'T-7_Ensuing_Year'!Q48</f>
        <v>2.5680000000000001</v>
      </c>
      <c r="R48" s="498">
        <f>+'T-7_Ensuing_Year'!R48</f>
        <v>14.562107299999999</v>
      </c>
      <c r="S48" s="498">
        <f>+'T-7_Ensuing_Year'!S48</f>
        <v>0</v>
      </c>
      <c r="T48" s="498">
        <f>+'T-7_Ensuing_Year'!T48</f>
        <v>2.9999999999999997E-4</v>
      </c>
      <c r="U48" s="498">
        <f t="shared" si="22"/>
        <v>17.130407299999998</v>
      </c>
      <c r="V48" s="499"/>
      <c r="W48" s="497">
        <f>+'T-7_Ensuing_Year'!W48</f>
        <v>661.61211044356867</v>
      </c>
      <c r="X48" s="495">
        <f>+'T-7_Ensuing_Year'!X48</f>
        <v>0</v>
      </c>
      <c r="Y48" s="498">
        <f>+'T-7_Ensuing_Year'!Y48</f>
        <v>0.17130407299999997</v>
      </c>
      <c r="Z48" s="498">
        <f t="shared" si="23"/>
        <v>16.959103226999996</v>
      </c>
      <c r="AA48" s="433">
        <v>250</v>
      </c>
      <c r="AB48" s="436">
        <v>5.85</v>
      </c>
      <c r="AC48" s="433">
        <v>4.75</v>
      </c>
      <c r="AD48" s="433"/>
      <c r="AE48" s="433"/>
      <c r="AF48" s="433">
        <v>250</v>
      </c>
      <c r="AG48" s="498"/>
      <c r="AH48" s="497">
        <f t="shared" si="24"/>
        <v>668.29506105410985</v>
      </c>
      <c r="AI48" s="498">
        <f>+'T-7_Ensuing_Year'!Q48</f>
        <v>2.5680000000000001</v>
      </c>
      <c r="AJ48" s="498">
        <f>+'T-7_Ensuing_Year'!R48</f>
        <v>14.562107299999999</v>
      </c>
      <c r="AK48" s="498">
        <f>+'T-7_Ensuing_Year'!S48</f>
        <v>0</v>
      </c>
      <c r="AL48" s="498">
        <f>+'T-7_Ensuing_Year'!T48</f>
        <v>2.9999999999999997E-4</v>
      </c>
      <c r="AM48" s="498">
        <f t="shared" si="25"/>
        <v>17.130407299999998</v>
      </c>
      <c r="AN48" s="499"/>
      <c r="AO48" s="497">
        <f t="shared" si="26"/>
        <v>661.61211044356867</v>
      </c>
      <c r="AP48" s="495">
        <f>+'T-7_Ensuing_Year'!X48</f>
        <v>0</v>
      </c>
      <c r="AQ48" s="498">
        <f>+'T-7_Ensuing_Year'!Y48</f>
        <v>0.17130407299999997</v>
      </c>
      <c r="AR48" s="498">
        <f t="shared" si="27"/>
        <v>16.959103226999996</v>
      </c>
      <c r="AS48" s="498">
        <f t="shared" si="28"/>
        <v>16.959103226999996</v>
      </c>
      <c r="AT48" s="498">
        <f t="shared" si="29"/>
        <v>0</v>
      </c>
      <c r="AU48" s="498">
        <f t="shared" si="30"/>
        <v>0</v>
      </c>
      <c r="AV48" s="498">
        <f t="shared" si="30"/>
        <v>0</v>
      </c>
      <c r="AW48" s="498"/>
      <c r="AX48" s="227">
        <f>W48/'F-5'!$M$19/100</f>
        <v>1.2173933457807538</v>
      </c>
      <c r="AY48" s="227">
        <f>AO48/'F-5'!$M$19/100</f>
        <v>1.2173933457807538</v>
      </c>
      <c r="AZ48" s="222">
        <v>0.08</v>
      </c>
      <c r="BA48" s="498">
        <f>+AJ48*AZ48</f>
        <v>1.1649685839999999</v>
      </c>
      <c r="BB48" s="498">
        <f t="shared" si="6"/>
        <v>18.124071810999997</v>
      </c>
      <c r="BC48" s="498"/>
      <c r="BD48" s="498">
        <f>'T-1'!O44*'F-5'!$M$19/10</f>
        <v>13.760563662098502</v>
      </c>
      <c r="BE48" s="498">
        <f t="shared" si="32"/>
        <v>-3.1985395649014947</v>
      </c>
      <c r="BF48" s="497">
        <f>BE48/'T-1'!O44*10^3</f>
        <v>-126.32462736577781</v>
      </c>
    </row>
    <row r="49" spans="1:59" ht="15.75" customHeight="1">
      <c r="A49" s="320">
        <f t="shared" si="33"/>
        <v>24</v>
      </c>
      <c r="B49" s="319" t="s">
        <v>264</v>
      </c>
      <c r="C49" s="320" t="s">
        <v>259</v>
      </c>
      <c r="D49" s="495">
        <f>+'T-1'!R45</f>
        <v>0</v>
      </c>
      <c r="E49" s="495">
        <f>+'T-7_Ensuing_Year'!E49</f>
        <v>0</v>
      </c>
      <c r="F49" s="497">
        <f>+'T-1'!M45</f>
        <v>0</v>
      </c>
      <c r="G49" s="497">
        <f>+'T-1'!N45</f>
        <v>0</v>
      </c>
      <c r="H49" s="496"/>
      <c r="I49" s="433">
        <v>250</v>
      </c>
      <c r="J49" s="436">
        <v>5.85</v>
      </c>
      <c r="K49" s="433">
        <v>4.75</v>
      </c>
      <c r="L49" s="433"/>
      <c r="M49" s="433"/>
      <c r="N49" s="433">
        <v>250</v>
      </c>
      <c r="O49" s="496"/>
      <c r="P49" s="497" t="e">
        <f>+'T-7_Ensuing_Year'!P49</f>
        <v>#DIV/0!</v>
      </c>
      <c r="Q49" s="498">
        <f>+'T-7_Ensuing_Year'!Q49</f>
        <v>0</v>
      </c>
      <c r="R49" s="498">
        <f>+'T-7_Ensuing_Year'!R49</f>
        <v>0</v>
      </c>
      <c r="S49" s="498">
        <f>+'T-7_Ensuing_Year'!S49</f>
        <v>0</v>
      </c>
      <c r="T49" s="498">
        <f>+'T-7_Ensuing_Year'!T49</f>
        <v>0</v>
      </c>
      <c r="U49" s="498">
        <f t="shared" si="22"/>
        <v>0</v>
      </c>
      <c r="V49" s="499"/>
      <c r="W49" s="497" t="e">
        <f>+'T-7_Ensuing_Year'!W49</f>
        <v>#DIV/0!</v>
      </c>
      <c r="X49" s="495">
        <f>+'T-7_Ensuing_Year'!X49</f>
        <v>0</v>
      </c>
      <c r="Y49" s="498">
        <f>+'T-7_Ensuing_Year'!Y49</f>
        <v>0</v>
      </c>
      <c r="Z49" s="498">
        <f t="shared" si="23"/>
        <v>0</v>
      </c>
      <c r="AA49" s="433">
        <v>250</v>
      </c>
      <c r="AB49" s="436">
        <v>5.85</v>
      </c>
      <c r="AC49" s="433">
        <v>4.75</v>
      </c>
      <c r="AD49" s="433"/>
      <c r="AE49" s="433"/>
      <c r="AF49" s="433">
        <v>250</v>
      </c>
      <c r="AG49" s="498"/>
      <c r="AH49" s="497" t="e">
        <f t="shared" si="24"/>
        <v>#DIV/0!</v>
      </c>
      <c r="AI49" s="498">
        <f>+'T-7_Ensuing_Year'!Q49</f>
        <v>0</v>
      </c>
      <c r="AJ49" s="498">
        <f>+'T-7_Ensuing_Year'!R49</f>
        <v>0</v>
      </c>
      <c r="AK49" s="498">
        <f>+'T-7_Ensuing_Year'!S49</f>
        <v>0</v>
      </c>
      <c r="AL49" s="498">
        <f>+'T-7_Ensuing_Year'!T49</f>
        <v>0</v>
      </c>
      <c r="AM49" s="498">
        <f t="shared" si="25"/>
        <v>0</v>
      </c>
      <c r="AN49" s="499"/>
      <c r="AO49" s="497" t="e">
        <f t="shared" si="26"/>
        <v>#DIV/0!</v>
      </c>
      <c r="AP49" s="495">
        <f>+'T-7_Ensuing_Year'!X49</f>
        <v>0</v>
      </c>
      <c r="AQ49" s="498">
        <f>+'T-7_Ensuing_Year'!Y49</f>
        <v>0</v>
      </c>
      <c r="AR49" s="498">
        <f t="shared" si="27"/>
        <v>0</v>
      </c>
      <c r="AS49" s="498">
        <f t="shared" si="28"/>
        <v>0</v>
      </c>
      <c r="AT49" s="498">
        <f t="shared" si="29"/>
        <v>0</v>
      </c>
      <c r="AU49" s="498">
        <f t="shared" si="30"/>
        <v>0</v>
      </c>
      <c r="AV49" s="498">
        <f t="shared" si="30"/>
        <v>0</v>
      </c>
      <c r="AW49" s="498"/>
      <c r="AX49" s="227" t="e">
        <f>W49/'F-5'!$M$19/100</f>
        <v>#DIV/0!</v>
      </c>
      <c r="AY49" s="227" t="e">
        <f>AO49/'F-5'!$M$19/100</f>
        <v>#DIV/0!</v>
      </c>
      <c r="AZ49" s="222">
        <v>0.08</v>
      </c>
      <c r="BA49" s="498">
        <f>+AJ49*AZ49</f>
        <v>0</v>
      </c>
      <c r="BB49" s="498">
        <f t="shared" si="6"/>
        <v>0</v>
      </c>
      <c r="BC49" s="498"/>
      <c r="BD49" s="498">
        <f>'T-1'!O45*'F-5'!$M$19/10</f>
        <v>0</v>
      </c>
      <c r="BE49" s="498">
        <f t="shared" si="32"/>
        <v>0</v>
      </c>
      <c r="BF49" s="497" t="e">
        <f>BE49/'T-1'!O45*10^3</f>
        <v>#DIV/0!</v>
      </c>
    </row>
    <row r="50" spans="1:59" ht="15.75" customHeight="1">
      <c r="A50" s="320">
        <f t="shared" si="33"/>
        <v>25</v>
      </c>
      <c r="B50" s="319" t="s">
        <v>265</v>
      </c>
      <c r="C50" s="320" t="s">
        <v>259</v>
      </c>
      <c r="D50" s="495">
        <f>+'T-1'!R46</f>
        <v>0</v>
      </c>
      <c r="E50" s="495">
        <f>+'T-7_Ensuing_Year'!E50</f>
        <v>0</v>
      </c>
      <c r="F50" s="497">
        <f>+'T-1'!M46</f>
        <v>0</v>
      </c>
      <c r="G50" s="497">
        <f>+'T-1'!N46</f>
        <v>0</v>
      </c>
      <c r="H50" s="496"/>
      <c r="I50" s="433">
        <v>250</v>
      </c>
      <c r="J50" s="436">
        <v>5.85</v>
      </c>
      <c r="K50" s="433">
        <v>4.75</v>
      </c>
      <c r="L50" s="443"/>
      <c r="M50" s="443"/>
      <c r="N50" s="433">
        <v>250</v>
      </c>
      <c r="O50" s="496"/>
      <c r="P50" s="497" t="e">
        <f>+'T-7_Ensuing_Year'!P50</f>
        <v>#DIV/0!</v>
      </c>
      <c r="Q50" s="498">
        <f>+'T-7_Ensuing_Year'!Q50</f>
        <v>0</v>
      </c>
      <c r="R50" s="498">
        <f>+'T-7_Ensuing_Year'!R50</f>
        <v>0</v>
      </c>
      <c r="S50" s="498">
        <f>+'T-7_Ensuing_Year'!S50</f>
        <v>0</v>
      </c>
      <c r="T50" s="498">
        <f>+'T-7_Ensuing_Year'!T50</f>
        <v>0</v>
      </c>
      <c r="U50" s="498">
        <f t="shared" si="22"/>
        <v>0</v>
      </c>
      <c r="V50" s="499"/>
      <c r="W50" s="497" t="e">
        <f>+'T-7_Ensuing_Year'!W50</f>
        <v>#DIV/0!</v>
      </c>
      <c r="X50" s="495">
        <f>+'T-7_Ensuing_Year'!X50</f>
        <v>0</v>
      </c>
      <c r="Y50" s="498">
        <f>+'T-7_Ensuing_Year'!Y50</f>
        <v>0</v>
      </c>
      <c r="Z50" s="498">
        <f t="shared" si="23"/>
        <v>0</v>
      </c>
      <c r="AA50" s="433">
        <v>250</v>
      </c>
      <c r="AB50" s="436">
        <v>5.85</v>
      </c>
      <c r="AC50" s="433">
        <v>4.75</v>
      </c>
      <c r="AD50" s="443"/>
      <c r="AE50" s="443"/>
      <c r="AF50" s="433">
        <v>250</v>
      </c>
      <c r="AG50" s="496"/>
      <c r="AH50" s="497" t="e">
        <f t="shared" si="24"/>
        <v>#DIV/0!</v>
      </c>
      <c r="AI50" s="498">
        <f>+'T-7_Ensuing_Year'!Q50</f>
        <v>0</v>
      </c>
      <c r="AJ50" s="498">
        <f>+'T-7_Ensuing_Year'!R50</f>
        <v>0</v>
      </c>
      <c r="AK50" s="498">
        <f>+'T-7_Ensuing_Year'!S50</f>
        <v>0</v>
      </c>
      <c r="AL50" s="498">
        <f>+'T-7_Ensuing_Year'!T50</f>
        <v>0</v>
      </c>
      <c r="AM50" s="498">
        <f t="shared" si="25"/>
        <v>0</v>
      </c>
      <c r="AN50" s="499"/>
      <c r="AO50" s="497" t="e">
        <f t="shared" si="26"/>
        <v>#DIV/0!</v>
      </c>
      <c r="AP50" s="495">
        <f>+'T-7_Ensuing_Year'!X50</f>
        <v>0</v>
      </c>
      <c r="AQ50" s="498">
        <f>+'T-7_Ensuing_Year'!Y50</f>
        <v>0</v>
      </c>
      <c r="AR50" s="498">
        <f t="shared" si="27"/>
        <v>0</v>
      </c>
      <c r="AS50" s="498">
        <f t="shared" si="28"/>
        <v>0</v>
      </c>
      <c r="AT50" s="498">
        <f t="shared" si="29"/>
        <v>0</v>
      </c>
      <c r="AU50" s="498">
        <f t="shared" si="30"/>
        <v>0</v>
      </c>
      <c r="AV50" s="498">
        <f t="shared" si="30"/>
        <v>0</v>
      </c>
      <c r="AW50" s="496"/>
      <c r="AX50" s="227" t="e">
        <f>W50/'F-5'!$M$19/100</f>
        <v>#DIV/0!</v>
      </c>
      <c r="AY50" s="227" t="e">
        <f>AO50/'F-5'!$M$19/100</f>
        <v>#DIV/0!</v>
      </c>
      <c r="AZ50" s="444"/>
      <c r="BA50" s="496"/>
      <c r="BB50" s="498">
        <f t="shared" si="6"/>
        <v>0</v>
      </c>
      <c r="BC50" s="496"/>
      <c r="BD50" s="498">
        <f>'T-1'!O46*'F-5'!$M$19/10</f>
        <v>0</v>
      </c>
      <c r="BE50" s="498">
        <f t="shared" si="32"/>
        <v>0</v>
      </c>
      <c r="BF50" s="497" t="e">
        <f>BE50/'T-1'!O46*10^3</f>
        <v>#DIV/0!</v>
      </c>
    </row>
    <row r="51" spans="1:59" ht="15.75" customHeight="1">
      <c r="A51" s="320">
        <f t="shared" si="33"/>
        <v>26</v>
      </c>
      <c r="B51" s="319" t="s">
        <v>266</v>
      </c>
      <c r="C51" s="320"/>
      <c r="D51" s="495">
        <f>+'T-1'!R47</f>
        <v>1.7999999999999999E-2</v>
      </c>
      <c r="E51" s="495">
        <f>+'T-7_Ensuing_Year'!E51</f>
        <v>0</v>
      </c>
      <c r="F51" s="497">
        <f>+'T-1'!M47</f>
        <v>2</v>
      </c>
      <c r="G51" s="497">
        <f>+'T-1'!N47</f>
        <v>3100</v>
      </c>
      <c r="H51" s="496"/>
      <c r="I51" s="433"/>
      <c r="J51" s="436">
        <v>7.8</v>
      </c>
      <c r="K51" s="433"/>
      <c r="L51" s="433"/>
      <c r="M51" s="433"/>
      <c r="N51" s="433">
        <v>250</v>
      </c>
      <c r="O51" s="498"/>
      <c r="P51" s="497">
        <f>+'T-7_Ensuing_Year'!P51</f>
        <v>813.33333333333337</v>
      </c>
      <c r="Q51" s="498">
        <f>+'T-7_Ensuing_Year'!Q51</f>
        <v>0</v>
      </c>
      <c r="R51" s="498">
        <f>+'T-7_Ensuing_Year'!R51</f>
        <v>1.404E-2</v>
      </c>
      <c r="S51" s="498">
        <f>+'T-7_Ensuing_Year'!S51</f>
        <v>0</v>
      </c>
      <c r="T51" s="498">
        <f>+'T-7_Ensuing_Year'!T51</f>
        <v>5.9999999999999995E-4</v>
      </c>
      <c r="U51" s="498">
        <f t="shared" si="22"/>
        <v>1.464E-2</v>
      </c>
      <c r="V51" s="499"/>
      <c r="W51" s="497">
        <f>+'T-7_Ensuing_Year'!W51</f>
        <v>813.33333333333337</v>
      </c>
      <c r="X51" s="495">
        <f>+'T-7_Ensuing_Year'!X51</f>
        <v>0</v>
      </c>
      <c r="Y51" s="498">
        <f>+'T-7_Ensuing_Year'!Y51</f>
        <v>0</v>
      </c>
      <c r="Z51" s="498">
        <f t="shared" si="23"/>
        <v>1.464E-2</v>
      </c>
      <c r="AA51" s="433"/>
      <c r="AB51" s="436">
        <v>7.8</v>
      </c>
      <c r="AC51" s="433"/>
      <c r="AD51" s="433"/>
      <c r="AE51" s="433"/>
      <c r="AF51" s="433">
        <v>250</v>
      </c>
      <c r="AG51" s="498"/>
      <c r="AH51" s="497">
        <f t="shared" si="24"/>
        <v>813.33333333333337</v>
      </c>
      <c r="AI51" s="498">
        <f>+'T-7_Ensuing_Year'!Q51</f>
        <v>0</v>
      </c>
      <c r="AJ51" s="498">
        <f>+'T-7_Ensuing_Year'!R51</f>
        <v>1.404E-2</v>
      </c>
      <c r="AK51" s="498">
        <f>+'T-7_Ensuing_Year'!S51</f>
        <v>0</v>
      </c>
      <c r="AL51" s="498">
        <f>+'T-7_Ensuing_Year'!T51</f>
        <v>5.9999999999999995E-4</v>
      </c>
      <c r="AM51" s="498">
        <f t="shared" si="25"/>
        <v>1.464E-2</v>
      </c>
      <c r="AN51" s="499"/>
      <c r="AO51" s="497">
        <f t="shared" si="26"/>
        <v>813.33333333333337</v>
      </c>
      <c r="AP51" s="495">
        <f>+'T-7_Ensuing_Year'!X51</f>
        <v>0</v>
      </c>
      <c r="AQ51" s="498">
        <f>+'T-7_Ensuing_Year'!Y51</f>
        <v>0</v>
      </c>
      <c r="AR51" s="498">
        <f t="shared" si="27"/>
        <v>1.464E-2</v>
      </c>
      <c r="AS51" s="498">
        <f t="shared" si="28"/>
        <v>1.464E-2</v>
      </c>
      <c r="AT51" s="498">
        <f t="shared" si="29"/>
        <v>0</v>
      </c>
      <c r="AU51" s="498">
        <f t="shared" si="30"/>
        <v>0</v>
      </c>
      <c r="AV51" s="498">
        <f t="shared" si="30"/>
        <v>0</v>
      </c>
      <c r="AW51" s="498"/>
      <c r="AX51" s="227">
        <f>W51/'F-5'!$M$19/100</f>
        <v>1.4965666018988828</v>
      </c>
      <c r="AY51" s="227">
        <f>AO51/'F-5'!$M$19/100</f>
        <v>1.4965666018988828</v>
      </c>
      <c r="AZ51" s="222">
        <v>0.08</v>
      </c>
      <c r="BA51" s="498">
        <f>+AJ51*AZ51</f>
        <v>1.1232E-3</v>
      </c>
      <c r="BB51" s="498">
        <f t="shared" si="6"/>
        <v>1.5763200000000002E-2</v>
      </c>
      <c r="BC51" s="498"/>
      <c r="BD51" s="498">
        <f>'T-1'!O47*'F-5'!$M$19/10</f>
        <v>9.782391228979977E-3</v>
      </c>
      <c r="BE51" s="498">
        <f t="shared" si="32"/>
        <v>-4.8576087710200232E-3</v>
      </c>
      <c r="BF51" s="497">
        <f>BE51/'T-1'!O47*10^3</f>
        <v>-269.86715394555688</v>
      </c>
    </row>
    <row r="52" spans="1:59" ht="15.75" customHeight="1">
      <c r="A52" s="320">
        <f t="shared" si="33"/>
        <v>27</v>
      </c>
      <c r="B52" s="319" t="s">
        <v>267</v>
      </c>
      <c r="C52" s="320" t="s">
        <v>259</v>
      </c>
      <c r="D52" s="495">
        <f>+'T-1'!R48</f>
        <v>0</v>
      </c>
      <c r="E52" s="495">
        <f>+'T-7_Ensuing_Year'!E52</f>
        <v>0</v>
      </c>
      <c r="F52" s="497">
        <f>+'T-1'!M48</f>
        <v>0</v>
      </c>
      <c r="G52" s="497">
        <f>+'T-1'!N48</f>
        <v>0</v>
      </c>
      <c r="H52" s="496"/>
      <c r="I52" s="433"/>
      <c r="J52" s="436">
        <v>4.9000000000000004</v>
      </c>
      <c r="K52" s="433"/>
      <c r="L52" s="433"/>
      <c r="M52" s="433"/>
      <c r="N52" s="433"/>
      <c r="O52" s="498"/>
      <c r="P52" s="497" t="e">
        <f>+'T-7_Ensuing_Year'!P52</f>
        <v>#DIV/0!</v>
      </c>
      <c r="Q52" s="498">
        <f>+'T-7_Ensuing_Year'!Q52</f>
        <v>0</v>
      </c>
      <c r="R52" s="498">
        <f>+'T-7_Ensuing_Year'!R52</f>
        <v>0</v>
      </c>
      <c r="S52" s="498">
        <f>+'T-7_Ensuing_Year'!S52</f>
        <v>0</v>
      </c>
      <c r="T52" s="498">
        <f>+'T-7_Ensuing_Year'!T52</f>
        <v>0</v>
      </c>
      <c r="U52" s="498">
        <f t="shared" si="22"/>
        <v>0</v>
      </c>
      <c r="V52" s="499"/>
      <c r="W52" s="497" t="e">
        <f>+'T-7_Ensuing_Year'!W52</f>
        <v>#DIV/0!</v>
      </c>
      <c r="X52" s="495">
        <f>+'T-7_Ensuing_Year'!X52</f>
        <v>0</v>
      </c>
      <c r="Y52" s="498">
        <f>+'T-7_Ensuing_Year'!Y52</f>
        <v>0</v>
      </c>
      <c r="Z52" s="498">
        <f t="shared" si="23"/>
        <v>0</v>
      </c>
      <c r="AA52" s="433"/>
      <c r="AB52" s="436">
        <v>4.9000000000000004</v>
      </c>
      <c r="AC52" s="433"/>
      <c r="AD52" s="433"/>
      <c r="AE52" s="433"/>
      <c r="AF52" s="433"/>
      <c r="AG52" s="498"/>
      <c r="AH52" s="497" t="e">
        <f t="shared" si="24"/>
        <v>#DIV/0!</v>
      </c>
      <c r="AI52" s="498">
        <f>+'T-7_Ensuing_Year'!Q52</f>
        <v>0</v>
      </c>
      <c r="AJ52" s="498">
        <f>+'T-7_Ensuing_Year'!R52</f>
        <v>0</v>
      </c>
      <c r="AK52" s="498">
        <f>+'T-7_Ensuing_Year'!S52</f>
        <v>0</v>
      </c>
      <c r="AL52" s="498">
        <f>+'T-7_Ensuing_Year'!T52</f>
        <v>0</v>
      </c>
      <c r="AM52" s="498">
        <f t="shared" si="25"/>
        <v>0</v>
      </c>
      <c r="AN52" s="499"/>
      <c r="AO52" s="497" t="e">
        <f t="shared" si="26"/>
        <v>#DIV/0!</v>
      </c>
      <c r="AP52" s="495">
        <f>+'T-7_Ensuing_Year'!X52</f>
        <v>0</v>
      </c>
      <c r="AQ52" s="498">
        <f>+'T-7_Ensuing_Year'!Y52</f>
        <v>0</v>
      </c>
      <c r="AR52" s="498">
        <f t="shared" si="27"/>
        <v>0</v>
      </c>
      <c r="AS52" s="498">
        <f t="shared" si="28"/>
        <v>0</v>
      </c>
      <c r="AT52" s="498">
        <f t="shared" si="29"/>
        <v>0</v>
      </c>
      <c r="AU52" s="498">
        <f t="shared" si="30"/>
        <v>0</v>
      </c>
      <c r="AV52" s="498">
        <f t="shared" si="30"/>
        <v>0</v>
      </c>
      <c r="AW52" s="498"/>
      <c r="AX52" s="227" t="e">
        <f>W52/'F-5'!$M$19/100</f>
        <v>#DIV/0!</v>
      </c>
      <c r="AY52" s="227" t="e">
        <f>AO52/'F-5'!$M$19/100</f>
        <v>#DIV/0!</v>
      </c>
      <c r="AZ52" s="222">
        <v>0.08</v>
      </c>
      <c r="BA52" s="498">
        <f>+AJ52*AZ52</f>
        <v>0</v>
      </c>
      <c r="BB52" s="498">
        <f t="shared" si="6"/>
        <v>0</v>
      </c>
      <c r="BC52" s="498"/>
      <c r="BD52" s="498">
        <f>'T-1'!O48*'F-5'!$M$19/10</f>
        <v>0</v>
      </c>
      <c r="BE52" s="498">
        <f t="shared" si="32"/>
        <v>0</v>
      </c>
      <c r="BF52" s="497" t="e">
        <f>BE52/'T-1'!O48*10^3</f>
        <v>#DIV/0!</v>
      </c>
    </row>
    <row r="53" spans="1:59" ht="15.75" customHeight="1">
      <c r="A53" s="320"/>
      <c r="B53" s="328" t="s">
        <v>256</v>
      </c>
      <c r="C53" s="320"/>
      <c r="D53" s="503">
        <f>SUM(D38:D52)</f>
        <v>821.84699999999998</v>
      </c>
      <c r="E53" s="503">
        <f>SUM(E38:E52)</f>
        <v>61.846067499999997</v>
      </c>
      <c r="F53" s="504">
        <f>SUM(F38:F52)</f>
        <v>818</v>
      </c>
      <c r="G53" s="504">
        <f>SUM(G38:G52)</f>
        <v>420814</v>
      </c>
      <c r="H53" s="496"/>
      <c r="I53" s="433"/>
      <c r="J53" s="436"/>
      <c r="K53" s="433"/>
      <c r="L53" s="433"/>
      <c r="M53" s="433"/>
      <c r="N53" s="433"/>
      <c r="O53" s="498"/>
      <c r="P53" s="497">
        <f>+'T-7_Ensuing_Year'!P53</f>
        <v>632.39398181778336</v>
      </c>
      <c r="Q53" s="501">
        <f>SUM(Q37:Q52)</f>
        <v>80.755248000000009</v>
      </c>
      <c r="R53" s="501">
        <f>SUM(R37:R52)</f>
        <v>438.73614877499989</v>
      </c>
      <c r="S53" s="501">
        <f>SUM(S37:S52)</f>
        <v>0</v>
      </c>
      <c r="T53" s="501">
        <f>SUM(T37:T52)</f>
        <v>0.2397</v>
      </c>
      <c r="U53" s="501">
        <f>SUM(U37:U52)</f>
        <v>519.73109677499986</v>
      </c>
      <c r="V53" s="499"/>
      <c r="W53" s="497">
        <f>+'T-7_Ensuing_Year'!W53</f>
        <v>626.14819028731904</v>
      </c>
      <c r="X53" s="495"/>
      <c r="Y53" s="501">
        <f>SUM(Y37:Y52)</f>
        <v>5.1330850319374992</v>
      </c>
      <c r="Z53" s="501">
        <f>SUM(Z37:Z52)</f>
        <v>514.59801174306244</v>
      </c>
      <c r="AA53" s="433"/>
      <c r="AB53" s="436"/>
      <c r="AC53" s="433"/>
      <c r="AD53" s="433"/>
      <c r="AE53" s="433"/>
      <c r="AF53" s="433"/>
      <c r="AG53" s="498"/>
      <c r="AH53" s="497">
        <f t="shared" si="24"/>
        <v>632.39398181778336</v>
      </c>
      <c r="AI53" s="501">
        <f>SUM(AI38:AI52)</f>
        <v>80.755248000000009</v>
      </c>
      <c r="AJ53" s="501">
        <f>SUM(AJ38:AJ52)</f>
        <v>438.73614877499989</v>
      </c>
      <c r="AK53" s="501">
        <f>SUM(AK38:AK52)</f>
        <v>0</v>
      </c>
      <c r="AL53" s="501">
        <f>SUM(AL38:AL52)</f>
        <v>0.2397</v>
      </c>
      <c r="AM53" s="501">
        <f>SUM(AM38:AM52)</f>
        <v>519.73109677499986</v>
      </c>
      <c r="AN53" s="499"/>
      <c r="AO53" s="497">
        <f t="shared" si="26"/>
        <v>626.14819028731927</v>
      </c>
      <c r="AP53" s="501"/>
      <c r="AQ53" s="501">
        <f>SUM(AQ38:AQ52)</f>
        <v>5.1330850319374992</v>
      </c>
      <c r="AR53" s="501">
        <f>SUM(AR38:AR52)</f>
        <v>514.59801174306244</v>
      </c>
      <c r="AS53" s="501">
        <f>SUM(AS38:AS52)</f>
        <v>514.59801174306244</v>
      </c>
      <c r="AT53" s="501">
        <f>SUM(AT38:AT52)</f>
        <v>0</v>
      </c>
      <c r="AU53" s="498">
        <f t="shared" si="30"/>
        <v>0</v>
      </c>
      <c r="AV53" s="498">
        <f t="shared" si="30"/>
        <v>0</v>
      </c>
      <c r="AW53" s="498"/>
      <c r="AX53" s="227">
        <f>W53/'F-5'!$M$19/100</f>
        <v>1.1521382820779853</v>
      </c>
      <c r="AY53" s="227">
        <f>AO53/'F-5'!$M$19/100</f>
        <v>1.1521382820779857</v>
      </c>
      <c r="AZ53" s="433"/>
      <c r="BA53" s="501">
        <f>SUM(BA38:BA52)</f>
        <v>33.976787601999995</v>
      </c>
      <c r="BB53" s="501">
        <f t="shared" si="6"/>
        <v>548.57479934506239</v>
      </c>
      <c r="BC53" s="498"/>
      <c r="BD53" s="498">
        <f>SUM(BD38:BD52)</f>
        <v>420.12435611100307</v>
      </c>
      <c r="BE53" s="501">
        <f t="shared" si="32"/>
        <v>-94.473655632059376</v>
      </c>
      <c r="BF53" s="504">
        <f>BE53/'T-1'!O49*10^3</f>
        <v>-122.20961706296828</v>
      </c>
      <c r="BG53" s="382">
        <f>'T-1'!O49*'F-5'!M19</f>
        <v>4201.2435611100318</v>
      </c>
    </row>
    <row r="54" spans="1:59" ht="15.75" customHeight="1">
      <c r="A54" s="319"/>
      <c r="B54" s="317" t="s">
        <v>268</v>
      </c>
      <c r="C54" s="320"/>
      <c r="D54" s="496"/>
      <c r="E54" s="496"/>
      <c r="F54" s="497"/>
      <c r="G54" s="497"/>
      <c r="H54" s="496"/>
      <c r="I54" s="433"/>
      <c r="J54" s="436"/>
      <c r="K54" s="433"/>
      <c r="L54" s="433"/>
      <c r="M54" s="433"/>
      <c r="N54" s="433"/>
      <c r="O54" s="498"/>
      <c r="P54" s="498"/>
      <c r="Q54" s="498"/>
      <c r="R54" s="498"/>
      <c r="S54" s="498"/>
      <c r="T54" s="498"/>
      <c r="U54" s="498"/>
      <c r="V54" s="499"/>
      <c r="W54" s="498"/>
      <c r="X54" s="498"/>
      <c r="Y54" s="498"/>
      <c r="Z54" s="498"/>
      <c r="AA54" s="433"/>
      <c r="AB54" s="436"/>
      <c r="AC54" s="433"/>
      <c r="AD54" s="433"/>
      <c r="AE54" s="433"/>
      <c r="AF54" s="433"/>
      <c r="AG54" s="498"/>
      <c r="AH54" s="498"/>
      <c r="AI54" s="498"/>
      <c r="AJ54" s="498"/>
      <c r="AK54" s="498"/>
      <c r="AL54" s="498"/>
      <c r="AM54" s="498"/>
      <c r="AN54" s="499"/>
      <c r="AO54" s="498"/>
      <c r="AP54" s="495"/>
      <c r="AQ54" s="498"/>
      <c r="AR54" s="498"/>
      <c r="AS54" s="498"/>
      <c r="AT54" s="498">
        <f t="shared" ref="AT54:AT62" si="34">+AR54-AS54</f>
        <v>0</v>
      </c>
      <c r="AU54" s="498">
        <f t="shared" si="30"/>
        <v>0</v>
      </c>
      <c r="AV54" s="498">
        <f t="shared" si="30"/>
        <v>0</v>
      </c>
      <c r="AW54" s="498"/>
      <c r="AX54" s="227"/>
      <c r="AY54" s="498"/>
      <c r="AZ54" s="433"/>
      <c r="BA54" s="498"/>
      <c r="BB54" s="498">
        <f t="shared" si="6"/>
        <v>0</v>
      </c>
      <c r="BC54" s="498"/>
      <c r="BD54" s="498"/>
      <c r="BE54" s="498"/>
      <c r="BF54" s="498"/>
    </row>
    <row r="55" spans="1:59" ht="15.75" customHeight="1">
      <c r="A55" s="320">
        <f>A52+1</f>
        <v>28</v>
      </c>
      <c r="B55" s="319" t="s">
        <v>270</v>
      </c>
      <c r="C55" s="320" t="s">
        <v>271</v>
      </c>
      <c r="D55" s="495">
        <f>+'T-1'!R51</f>
        <v>93.194000000000003</v>
      </c>
      <c r="E55" s="495">
        <f>+'T-7_Ensuing_Year'!E55</f>
        <v>1.164925</v>
      </c>
      <c r="F55" s="497">
        <f>+'T-1'!M51</f>
        <v>1</v>
      </c>
      <c r="G55" s="497">
        <f>+'T-1'!N51</f>
        <v>20000</v>
      </c>
      <c r="H55" s="496"/>
      <c r="I55" s="433">
        <v>250</v>
      </c>
      <c r="J55" s="436">
        <v>5.8</v>
      </c>
      <c r="K55" s="433">
        <v>4.7</v>
      </c>
      <c r="L55" s="433"/>
      <c r="M55" s="433"/>
      <c r="N55" s="433">
        <v>700</v>
      </c>
      <c r="O55" s="498"/>
      <c r="P55" s="497">
        <f>+'T-7_Ensuing_Year'!P55</f>
        <v>623.73947518080558</v>
      </c>
      <c r="Q55" s="498">
        <f>+'T-7_Ensuing_Year'!Q55</f>
        <v>4.8000000000000007</v>
      </c>
      <c r="R55" s="498">
        <f>+'T-7_Ensuing_Year'!R55</f>
        <v>53.327936650000005</v>
      </c>
      <c r="S55" s="498">
        <f>+'T-7_Ensuing_Year'!S55</f>
        <v>0</v>
      </c>
      <c r="T55" s="498">
        <f>+'T-7_Ensuing_Year'!T55</f>
        <v>8.4000000000000003E-4</v>
      </c>
      <c r="U55" s="498">
        <f t="shared" ref="U55:U62" si="35">SUM(Q55:T55)</f>
        <v>58.128776650000006</v>
      </c>
      <c r="V55" s="499"/>
      <c r="W55" s="497">
        <f>+'T-7_Ensuing_Year'!W55</f>
        <v>617.50208042899771</v>
      </c>
      <c r="X55" s="495">
        <f>+'T-7_Ensuing_Year'!X55</f>
        <v>0</v>
      </c>
      <c r="Y55" s="498">
        <f>+'T-7_Ensuing_Year'!Y55</f>
        <v>0.58128776650000002</v>
      </c>
      <c r="Z55" s="498">
        <f t="shared" ref="Z55:Z62" si="36">+U55-Y55</f>
        <v>57.547488883500009</v>
      </c>
      <c r="AA55" s="433">
        <v>250</v>
      </c>
      <c r="AB55" s="436">
        <v>5.8</v>
      </c>
      <c r="AC55" s="433">
        <v>4.7</v>
      </c>
      <c r="AD55" s="433"/>
      <c r="AE55" s="433"/>
      <c r="AF55" s="433">
        <v>700</v>
      </c>
      <c r="AG55" s="498"/>
      <c r="AH55" s="497">
        <f t="shared" si="24"/>
        <v>623.73947518080558</v>
      </c>
      <c r="AI55" s="498">
        <f>+'T-7_Ensuing_Year'!Q55</f>
        <v>4.8000000000000007</v>
      </c>
      <c r="AJ55" s="498">
        <f>+'T-7_Ensuing_Year'!R55</f>
        <v>53.327936650000005</v>
      </c>
      <c r="AK55" s="498">
        <f>+'T-7_Ensuing_Year'!S55</f>
        <v>0</v>
      </c>
      <c r="AL55" s="498">
        <f>+'T-7_Ensuing_Year'!T55</f>
        <v>8.4000000000000003E-4</v>
      </c>
      <c r="AM55" s="498">
        <f t="shared" ref="AM55:AM62" si="37">SUM(AI55:AL55)</f>
        <v>58.128776650000006</v>
      </c>
      <c r="AN55" s="499"/>
      <c r="AO55" s="497">
        <f t="shared" ref="AO55:AO65" si="38">+AR55/D55*1000</f>
        <v>617.50208042899771</v>
      </c>
      <c r="AP55" s="495">
        <f>+'T-7_Ensuing_Year'!X55</f>
        <v>0</v>
      </c>
      <c r="AQ55" s="498">
        <f>+'T-7_Ensuing_Year'!Y55</f>
        <v>0.58128776650000002</v>
      </c>
      <c r="AR55" s="498">
        <f t="shared" ref="AR55:AR62" si="39">+AM55-AQ55</f>
        <v>57.547488883500009</v>
      </c>
      <c r="AS55" s="498">
        <f t="shared" ref="AS55:AS62" si="40">+Z55</f>
        <v>57.547488883500009</v>
      </c>
      <c r="AT55" s="498">
        <f t="shared" si="34"/>
        <v>0</v>
      </c>
      <c r="AU55" s="498">
        <f t="shared" si="30"/>
        <v>0</v>
      </c>
      <c r="AV55" s="498">
        <f t="shared" si="30"/>
        <v>0</v>
      </c>
      <c r="AW55" s="498"/>
      <c r="AX55" s="227">
        <f>W55/'F-5'!$L$19/100</f>
        <v>1.5394377156774057</v>
      </c>
      <c r="AY55" s="227">
        <f>AO55/'F-5'!$L$19/100</f>
        <v>1.5394377156774057</v>
      </c>
      <c r="AZ55" s="443">
        <v>0.09</v>
      </c>
      <c r="BA55" s="498">
        <f>+AJ55*AZ55</f>
        <v>4.7995142985000001</v>
      </c>
      <c r="BB55" s="498">
        <f t="shared" si="6"/>
        <v>62.347003182000009</v>
      </c>
      <c r="BC55" s="498"/>
      <c r="BD55" s="498">
        <f>'T-1'!O51*'F-5'!$L$19/10</f>
        <v>37.337222587923605</v>
      </c>
      <c r="BE55" s="498">
        <f t="shared" ref="BE55:BE63" si="41">BD55-AR55</f>
        <v>-20.210266295576403</v>
      </c>
      <c r="BF55" s="497">
        <f>BE55/'T-1'!O51*10^3</f>
        <v>-217.12324934548468</v>
      </c>
    </row>
    <row r="56" spans="1:59" ht="15.75" customHeight="1">
      <c r="A56" s="320">
        <f t="shared" ref="A56:A62" si="42">A55+1</f>
        <v>29</v>
      </c>
      <c r="B56" s="319" t="s">
        <v>255</v>
      </c>
      <c r="C56" s="320" t="s">
        <v>271</v>
      </c>
      <c r="D56" s="495">
        <f>+'T-1'!R52</f>
        <v>2440.623</v>
      </c>
      <c r="E56" s="495">
        <f>+'T-7_Ensuing_Year'!E56</f>
        <v>427.10902499999997</v>
      </c>
      <c r="F56" s="497">
        <f>+'T-1'!M52</f>
        <v>25</v>
      </c>
      <c r="G56" s="497">
        <f>+'T-1'!N52</f>
        <v>542667</v>
      </c>
      <c r="H56" s="496"/>
      <c r="I56" s="433">
        <v>250</v>
      </c>
      <c r="J56" s="436">
        <v>5.8</v>
      </c>
      <c r="K56" s="433">
        <v>4.7</v>
      </c>
      <c r="L56" s="433"/>
      <c r="M56" s="433"/>
      <c r="N56" s="433">
        <v>700</v>
      </c>
      <c r="O56" s="498"/>
      <c r="P56" s="497">
        <f>+'T-7_Ensuing_Year'!P56</f>
        <v>612.49249324865002</v>
      </c>
      <c r="Q56" s="498">
        <f>+'T-7_Ensuing_Year'!Q56</f>
        <v>146.52008999999998</v>
      </c>
      <c r="R56" s="498">
        <f>+'T-7_Ensuing_Year'!R56</f>
        <v>1348.3221763500001</v>
      </c>
      <c r="S56" s="498">
        <f>+'T-7_Ensuing_Year'!S56</f>
        <v>0</v>
      </c>
      <c r="T56" s="498">
        <f>+'T-7_Ensuing_Year'!T56</f>
        <v>2.1000000000000001E-2</v>
      </c>
      <c r="U56" s="498">
        <f t="shared" si="35"/>
        <v>1494.86326635</v>
      </c>
      <c r="V56" s="499"/>
      <c r="W56" s="497">
        <f>+'T-7_Ensuing_Year'!W56</f>
        <v>606.36756831616356</v>
      </c>
      <c r="X56" s="495">
        <f>+'T-7_Ensuing_Year'!X56</f>
        <v>0</v>
      </c>
      <c r="Y56" s="498">
        <f>+'T-7_Ensuing_Year'!Y56</f>
        <v>14.9486326635</v>
      </c>
      <c r="Z56" s="498">
        <f t="shared" si="36"/>
        <v>1479.9146336865001</v>
      </c>
      <c r="AA56" s="433">
        <v>250</v>
      </c>
      <c r="AB56" s="436">
        <v>5.8</v>
      </c>
      <c r="AC56" s="433">
        <v>4.7</v>
      </c>
      <c r="AD56" s="433"/>
      <c r="AE56" s="433"/>
      <c r="AF56" s="433">
        <v>700</v>
      </c>
      <c r="AG56" s="498"/>
      <c r="AH56" s="497">
        <f t="shared" si="24"/>
        <v>612.49249324865002</v>
      </c>
      <c r="AI56" s="498">
        <f>+'T-7_Ensuing_Year'!Q56</f>
        <v>146.52008999999998</v>
      </c>
      <c r="AJ56" s="498">
        <f>+'T-7_Ensuing_Year'!R56</f>
        <v>1348.3221763500001</v>
      </c>
      <c r="AK56" s="498">
        <f>+'T-7_Ensuing_Year'!S56</f>
        <v>0</v>
      </c>
      <c r="AL56" s="498">
        <f>+'T-7_Ensuing_Year'!T56</f>
        <v>2.1000000000000001E-2</v>
      </c>
      <c r="AM56" s="498">
        <f t="shared" si="37"/>
        <v>1494.86326635</v>
      </c>
      <c r="AN56" s="499"/>
      <c r="AO56" s="497">
        <f t="shared" si="38"/>
        <v>606.36756831616356</v>
      </c>
      <c r="AP56" s="495">
        <f>+'T-7_Ensuing_Year'!X56</f>
        <v>0</v>
      </c>
      <c r="AQ56" s="498">
        <f>+'T-7_Ensuing_Year'!Y56</f>
        <v>14.9486326635</v>
      </c>
      <c r="AR56" s="498">
        <f t="shared" si="39"/>
        <v>1479.9146336865001</v>
      </c>
      <c r="AS56" s="498">
        <f t="shared" si="40"/>
        <v>1479.9146336865001</v>
      </c>
      <c r="AT56" s="498">
        <f t="shared" si="34"/>
        <v>0</v>
      </c>
      <c r="AU56" s="498">
        <f t="shared" si="30"/>
        <v>0</v>
      </c>
      <c r="AV56" s="498">
        <f t="shared" si="30"/>
        <v>0</v>
      </c>
      <c r="AW56" s="498"/>
      <c r="AX56" s="227">
        <f>W56/'F-5'!$L$19/100</f>
        <v>1.511679286296479</v>
      </c>
      <c r="AY56" s="227">
        <f>AO56/'F-5'!$L$19/100</f>
        <v>1.511679286296479</v>
      </c>
      <c r="AZ56" s="443">
        <v>0.09</v>
      </c>
      <c r="BA56" s="498">
        <f>+AJ56*AZ56</f>
        <v>121.34899587149999</v>
      </c>
      <c r="BB56" s="498">
        <f t="shared" si="6"/>
        <v>1601.263629558</v>
      </c>
      <c r="BC56" s="498"/>
      <c r="BD56" s="498">
        <f>'T-1'!O52*'F-5'!$L$19/10</f>
        <v>969.60453396630669</v>
      </c>
      <c r="BE56" s="498">
        <f t="shared" si="41"/>
        <v>-510.31009972019342</v>
      </c>
      <c r="BF56" s="497">
        <f>BE56/'T-1'!O52*10^3</f>
        <v>-211.11341390491</v>
      </c>
    </row>
    <row r="57" spans="1:59" ht="15.75" customHeight="1">
      <c r="A57" s="320">
        <f t="shared" si="42"/>
        <v>30</v>
      </c>
      <c r="B57" s="319" t="s">
        <v>265</v>
      </c>
      <c r="C57" s="320" t="s">
        <v>271</v>
      </c>
      <c r="D57" s="495">
        <f>+'T-1'!R53</f>
        <v>489.08</v>
      </c>
      <c r="E57" s="495">
        <f>+'T-7_Ensuing_Year'!E57</f>
        <v>0</v>
      </c>
      <c r="F57" s="497">
        <f>+'T-1'!M53</f>
        <v>9</v>
      </c>
      <c r="G57" s="497">
        <f>+'T-1'!N53</f>
        <v>164500</v>
      </c>
      <c r="H57" s="496"/>
      <c r="I57" s="433">
        <v>250</v>
      </c>
      <c r="J57" s="436">
        <v>5.8</v>
      </c>
      <c r="K57" s="433">
        <v>4.7</v>
      </c>
      <c r="L57" s="433"/>
      <c r="M57" s="433"/>
      <c r="N57" s="433">
        <v>700</v>
      </c>
      <c r="O57" s="498"/>
      <c r="P57" s="497">
        <f>+'T-7_Ensuing_Year'!P57</f>
        <v>665.78363457920989</v>
      </c>
      <c r="Q57" s="498">
        <f>+'T-7_Ensuing_Year'!Q57</f>
        <v>41.947499999999998</v>
      </c>
      <c r="R57" s="498">
        <f>+'T-7_Ensuing_Year'!R57</f>
        <v>283.66639999999995</v>
      </c>
      <c r="S57" s="498">
        <f>+'T-7_Ensuing_Year'!S57</f>
        <v>0</v>
      </c>
      <c r="T57" s="498">
        <f>+'T-7_Ensuing_Year'!T57</f>
        <v>7.5599999999999999E-3</v>
      </c>
      <c r="U57" s="498">
        <f t="shared" si="35"/>
        <v>325.62145999999996</v>
      </c>
      <c r="V57" s="499"/>
      <c r="W57" s="497">
        <f>+'T-7_Ensuing_Year'!W57</f>
        <v>659.12579823341775</v>
      </c>
      <c r="X57" s="495">
        <f>+'T-7_Ensuing_Year'!X57</f>
        <v>0</v>
      </c>
      <c r="Y57" s="498">
        <f>+'T-7_Ensuing_Year'!Y57</f>
        <v>3.2562145999999998</v>
      </c>
      <c r="Z57" s="498">
        <f t="shared" si="36"/>
        <v>322.36524539999994</v>
      </c>
      <c r="AA57" s="433">
        <v>250</v>
      </c>
      <c r="AB57" s="436">
        <v>5.8</v>
      </c>
      <c r="AC57" s="433">
        <v>4.7</v>
      </c>
      <c r="AD57" s="433"/>
      <c r="AE57" s="433"/>
      <c r="AF57" s="433">
        <v>700</v>
      </c>
      <c r="AG57" s="498"/>
      <c r="AH57" s="497">
        <f t="shared" si="24"/>
        <v>665.78363457920989</v>
      </c>
      <c r="AI57" s="498">
        <f>+'T-7_Ensuing_Year'!Q57</f>
        <v>41.947499999999998</v>
      </c>
      <c r="AJ57" s="498">
        <f>+'T-7_Ensuing_Year'!R57</f>
        <v>283.66639999999995</v>
      </c>
      <c r="AK57" s="498">
        <f>+'T-7_Ensuing_Year'!S57</f>
        <v>0</v>
      </c>
      <c r="AL57" s="498">
        <f>+'T-7_Ensuing_Year'!T57</f>
        <v>7.5599999999999999E-3</v>
      </c>
      <c r="AM57" s="498">
        <f t="shared" si="37"/>
        <v>325.62145999999996</v>
      </c>
      <c r="AN57" s="499"/>
      <c r="AO57" s="497">
        <f t="shared" si="38"/>
        <v>659.12579823341775</v>
      </c>
      <c r="AP57" s="495">
        <f>+'T-7_Ensuing_Year'!X57</f>
        <v>0</v>
      </c>
      <c r="AQ57" s="498">
        <f>+'T-7_Ensuing_Year'!Y57</f>
        <v>3.2562145999999998</v>
      </c>
      <c r="AR57" s="498">
        <f t="shared" si="39"/>
        <v>322.36524539999994</v>
      </c>
      <c r="AS57" s="498">
        <f t="shared" si="40"/>
        <v>322.36524539999994</v>
      </c>
      <c r="AT57" s="498">
        <f t="shared" si="34"/>
        <v>0</v>
      </c>
      <c r="AU57" s="498">
        <f t="shared" si="30"/>
        <v>0</v>
      </c>
      <c r="AV57" s="498">
        <f t="shared" si="30"/>
        <v>0</v>
      </c>
      <c r="AW57" s="498"/>
      <c r="AX57" s="227">
        <f>W57/'F-5'!$L$19/100</f>
        <v>1.643205983162952</v>
      </c>
      <c r="AY57" s="227">
        <f>AO57/'F-5'!$L$19/100</f>
        <v>1.643205983162952</v>
      </c>
      <c r="AZ57" s="443"/>
      <c r="BA57" s="498"/>
      <c r="BB57" s="498">
        <f t="shared" si="6"/>
        <v>322.36524539999994</v>
      </c>
      <c r="BC57" s="498"/>
      <c r="BD57" s="498">
        <f>'T-1'!O53*'F-5'!$L$19/10</f>
        <v>191.4610672560986</v>
      </c>
      <c r="BE57" s="498">
        <f t="shared" si="41"/>
        <v>-130.90417814390133</v>
      </c>
      <c r="BF57" s="497">
        <f>BE57/'T-1'!O53*10^3</f>
        <v>-274.25170463028809</v>
      </c>
    </row>
    <row r="58" spans="1:59" ht="15.75" customHeight="1">
      <c r="A58" s="320">
        <f t="shared" si="42"/>
        <v>31</v>
      </c>
      <c r="B58" s="319" t="s">
        <v>276</v>
      </c>
      <c r="C58" s="320" t="s">
        <v>271</v>
      </c>
      <c r="D58" s="495">
        <f>+'T-1'!R54</f>
        <v>445.23700000000002</v>
      </c>
      <c r="E58" s="495">
        <f>+'T-7_Ensuing_Year'!E58</f>
        <v>111.30925000000001</v>
      </c>
      <c r="F58" s="497">
        <f>+'T-1'!M54</f>
        <v>2</v>
      </c>
      <c r="G58" s="497">
        <f>+'T-1'!N54</f>
        <v>88667</v>
      </c>
      <c r="H58" s="496"/>
      <c r="I58" s="433">
        <v>250</v>
      </c>
      <c r="J58" s="436">
        <v>5.8</v>
      </c>
      <c r="K58" s="433">
        <v>4.7</v>
      </c>
      <c r="L58" s="445"/>
      <c r="M58" s="445"/>
      <c r="N58" s="433">
        <v>700</v>
      </c>
      <c r="O58" s="498"/>
      <c r="P58" s="497">
        <f>+'T-7_Ensuing_Year'!P58</f>
        <v>598.41404195967561</v>
      </c>
      <c r="Q58" s="498">
        <f>+'T-7_Ensuing_Year'!Q58</f>
        <v>23.940090000000001</v>
      </c>
      <c r="R58" s="498">
        <f>+'T-7_Ensuing_Year'!R58</f>
        <v>242.49430280000007</v>
      </c>
      <c r="S58" s="498">
        <f>+'T-7_Ensuing_Year'!S58</f>
        <v>0</v>
      </c>
      <c r="T58" s="498">
        <f>+'T-7_Ensuing_Year'!T58</f>
        <v>1.6800000000000001E-3</v>
      </c>
      <c r="U58" s="498">
        <f t="shared" si="35"/>
        <v>266.43607280000009</v>
      </c>
      <c r="V58" s="499"/>
      <c r="W58" s="497">
        <f>+'T-7_Ensuing_Year'!W58</f>
        <v>592.42990154007884</v>
      </c>
      <c r="X58" s="495">
        <f>+'T-7_Ensuing_Year'!X58</f>
        <v>0</v>
      </c>
      <c r="Y58" s="498">
        <f>+'T-7_Ensuing_Year'!Y58</f>
        <v>2.664360728000001</v>
      </c>
      <c r="Z58" s="498">
        <f t="shared" si="36"/>
        <v>263.77171207200007</v>
      </c>
      <c r="AA58" s="433">
        <v>250</v>
      </c>
      <c r="AB58" s="436">
        <v>5.8</v>
      </c>
      <c r="AC58" s="433">
        <v>4.7</v>
      </c>
      <c r="AD58" s="445"/>
      <c r="AE58" s="445"/>
      <c r="AF58" s="433">
        <v>700</v>
      </c>
      <c r="AG58" s="498"/>
      <c r="AH58" s="497">
        <f t="shared" si="24"/>
        <v>598.41404195967561</v>
      </c>
      <c r="AI58" s="498">
        <f>+'T-7_Ensuing_Year'!Q58</f>
        <v>23.940090000000001</v>
      </c>
      <c r="AJ58" s="498">
        <f>+'T-7_Ensuing_Year'!R58</f>
        <v>242.49430280000007</v>
      </c>
      <c r="AK58" s="498">
        <f>+'T-7_Ensuing_Year'!S58</f>
        <v>0</v>
      </c>
      <c r="AL58" s="498">
        <f>+'T-7_Ensuing_Year'!T58</f>
        <v>1.6800000000000001E-3</v>
      </c>
      <c r="AM58" s="498">
        <f t="shared" si="37"/>
        <v>266.43607280000009</v>
      </c>
      <c r="AN58" s="499"/>
      <c r="AO58" s="497">
        <f t="shared" si="38"/>
        <v>592.42990154007884</v>
      </c>
      <c r="AP58" s="495">
        <f>+'T-7_Ensuing_Year'!X58</f>
        <v>0</v>
      </c>
      <c r="AQ58" s="498">
        <f>+'T-7_Ensuing_Year'!Y58</f>
        <v>2.664360728000001</v>
      </c>
      <c r="AR58" s="498">
        <f t="shared" si="39"/>
        <v>263.77171207200007</v>
      </c>
      <c r="AS58" s="498">
        <f t="shared" si="40"/>
        <v>263.77171207200007</v>
      </c>
      <c r="AT58" s="498">
        <f t="shared" si="34"/>
        <v>0</v>
      </c>
      <c r="AU58" s="498">
        <f t="shared" si="30"/>
        <v>0</v>
      </c>
      <c r="AV58" s="498">
        <f t="shared" si="30"/>
        <v>0</v>
      </c>
      <c r="AW58" s="498"/>
      <c r="AX58" s="227">
        <f>W58/'F-5'!$L$19/100</f>
        <v>1.4769325695101285</v>
      </c>
      <c r="AY58" s="227">
        <f>AO58/'F-5'!$L$19/100</f>
        <v>1.4769325695101285</v>
      </c>
      <c r="AZ58" s="443">
        <v>0.09</v>
      </c>
      <c r="BA58" s="498">
        <f>+AJ58*AZ58</f>
        <v>21.824487252000004</v>
      </c>
      <c r="BB58" s="498">
        <f t="shared" si="6"/>
        <v>285.59619932400005</v>
      </c>
      <c r="BC58" s="498"/>
      <c r="BD58" s="498">
        <f>'T-1'!O54*'F-5'!$L$19/10</f>
        <v>174.30789425243111</v>
      </c>
      <c r="BE58" s="498">
        <f t="shared" si="41"/>
        <v>-89.463817819568959</v>
      </c>
      <c r="BF58" s="497">
        <f>BE58/'T-1'!O54*10^3</f>
        <v>-205.87645137065374</v>
      </c>
    </row>
    <row r="59" spans="1:59" ht="15.75" customHeight="1">
      <c r="A59" s="320">
        <f t="shared" si="42"/>
        <v>32</v>
      </c>
      <c r="B59" s="319" t="s">
        <v>263</v>
      </c>
      <c r="C59" s="320" t="s">
        <v>271</v>
      </c>
      <c r="D59" s="495">
        <f>+'T-1'!R55</f>
        <v>134.506</v>
      </c>
      <c r="E59" s="495">
        <f>+'T-7_Ensuing_Year'!E59</f>
        <v>25.556139999999999</v>
      </c>
      <c r="F59" s="497">
        <f>+'T-1'!M55</f>
        <v>3</v>
      </c>
      <c r="G59" s="497">
        <f>+'T-1'!N55</f>
        <v>41500</v>
      </c>
      <c r="H59" s="496"/>
      <c r="I59" s="433">
        <v>250</v>
      </c>
      <c r="J59" s="436">
        <v>5.8</v>
      </c>
      <c r="K59" s="433">
        <v>4.7</v>
      </c>
      <c r="L59" s="445"/>
      <c r="M59" s="445"/>
      <c r="N59" s="433">
        <v>700</v>
      </c>
      <c r="O59" s="498"/>
      <c r="P59" s="497">
        <f>+'T-7_Ensuing_Year'!P59</f>
        <v>624.16747654379731</v>
      </c>
      <c r="Q59" s="498">
        <f>+'T-7_Ensuing_Year'!Q59</f>
        <v>9.9599999999999991</v>
      </c>
      <c r="R59" s="498">
        <f>+'T-7_Ensuing_Year'!R59</f>
        <v>73.991750600000003</v>
      </c>
      <c r="S59" s="498">
        <f>+'T-7_Ensuing_Year'!S59</f>
        <v>0</v>
      </c>
      <c r="T59" s="498">
        <f>+'T-7_Ensuing_Year'!T59</f>
        <v>2.5200000000000001E-3</v>
      </c>
      <c r="U59" s="498">
        <f t="shared" si="35"/>
        <v>83.954270600000001</v>
      </c>
      <c r="V59" s="499"/>
      <c r="W59" s="497">
        <f>+'T-7_Ensuing_Year'!W59</f>
        <v>617.9258017783593</v>
      </c>
      <c r="X59" s="495">
        <f>+'T-7_Ensuing_Year'!X59</f>
        <v>0</v>
      </c>
      <c r="Y59" s="498">
        <f>+'T-7_Ensuing_Year'!Y59</f>
        <v>0.83954270600000003</v>
      </c>
      <c r="Z59" s="498">
        <f t="shared" si="36"/>
        <v>83.114727893999998</v>
      </c>
      <c r="AA59" s="433">
        <v>250</v>
      </c>
      <c r="AB59" s="436">
        <v>5.8</v>
      </c>
      <c r="AC59" s="433">
        <v>4.7</v>
      </c>
      <c r="AD59" s="445"/>
      <c r="AE59" s="445"/>
      <c r="AF59" s="433">
        <v>700</v>
      </c>
      <c r="AG59" s="498"/>
      <c r="AH59" s="497">
        <f t="shared" si="24"/>
        <v>624.16747654379731</v>
      </c>
      <c r="AI59" s="498">
        <f>+'T-7_Ensuing_Year'!Q59</f>
        <v>9.9599999999999991</v>
      </c>
      <c r="AJ59" s="498">
        <f>+'T-7_Ensuing_Year'!R59</f>
        <v>73.991750600000003</v>
      </c>
      <c r="AK59" s="498">
        <f>+'T-7_Ensuing_Year'!S59</f>
        <v>0</v>
      </c>
      <c r="AL59" s="498">
        <f>+'T-7_Ensuing_Year'!T59</f>
        <v>2.5200000000000001E-3</v>
      </c>
      <c r="AM59" s="498">
        <f t="shared" si="37"/>
        <v>83.954270600000001</v>
      </c>
      <c r="AN59" s="499"/>
      <c r="AO59" s="497">
        <f t="shared" si="38"/>
        <v>617.9258017783593</v>
      </c>
      <c r="AP59" s="495">
        <f>+'T-7_Ensuing_Year'!X59</f>
        <v>0</v>
      </c>
      <c r="AQ59" s="498">
        <f>+'T-7_Ensuing_Year'!Y59</f>
        <v>0.83954270600000003</v>
      </c>
      <c r="AR59" s="498">
        <f t="shared" si="39"/>
        <v>83.114727893999998</v>
      </c>
      <c r="AS59" s="498">
        <f t="shared" si="40"/>
        <v>83.114727893999998</v>
      </c>
      <c r="AT59" s="498">
        <f t="shared" si="34"/>
        <v>0</v>
      </c>
      <c r="AU59" s="498">
        <f t="shared" si="30"/>
        <v>0</v>
      </c>
      <c r="AV59" s="498">
        <f t="shared" si="30"/>
        <v>0</v>
      </c>
      <c r="AW59" s="498"/>
      <c r="AX59" s="227">
        <f>W59/'F-5'!$L$19/100</f>
        <v>1.5404940564523095</v>
      </c>
      <c r="AY59" s="227">
        <f>AO59/'F-5'!$L$19/100</f>
        <v>1.5404940564523095</v>
      </c>
      <c r="AZ59" s="443">
        <v>0.09</v>
      </c>
      <c r="BA59" s="498">
        <f>+AJ59*AZ59</f>
        <v>6.6592575539999999</v>
      </c>
      <c r="BB59" s="498">
        <f t="shared" si="6"/>
        <v>89.773985447999991</v>
      </c>
      <c r="BC59" s="498"/>
      <c r="BD59" s="498">
        <f>'T-1'!O55*'F-5'!$L$19/10</f>
        <v>53.360836505972046</v>
      </c>
      <c r="BE59" s="498">
        <f t="shared" si="41"/>
        <v>-29.753891388027952</v>
      </c>
      <c r="BF59" s="497">
        <f>BE59/'T-1'!O55*10^3</f>
        <v>-223.66470008816088</v>
      </c>
    </row>
    <row r="60" spans="1:59" ht="15.75" customHeight="1">
      <c r="A60" s="320">
        <f t="shared" si="42"/>
        <v>33</v>
      </c>
      <c r="B60" s="319" t="s">
        <v>264</v>
      </c>
      <c r="C60" s="320" t="s">
        <v>271</v>
      </c>
      <c r="D60" s="495">
        <f>+'T-1'!R56</f>
        <v>0</v>
      </c>
      <c r="E60" s="495">
        <f>+'T-7_Ensuing_Year'!E60</f>
        <v>0</v>
      </c>
      <c r="F60" s="497">
        <f>+'T-1'!M56</f>
        <v>0</v>
      </c>
      <c r="G60" s="497">
        <f>+'T-1'!N56</f>
        <v>0</v>
      </c>
      <c r="H60" s="496"/>
      <c r="I60" s="433">
        <v>250</v>
      </c>
      <c r="J60" s="436">
        <v>5.8</v>
      </c>
      <c r="K60" s="433">
        <v>4.7</v>
      </c>
      <c r="L60" s="433"/>
      <c r="M60" s="433"/>
      <c r="N60" s="433">
        <v>700</v>
      </c>
      <c r="O60" s="498"/>
      <c r="P60" s="497" t="e">
        <f>+'T-7_Ensuing_Year'!P60</f>
        <v>#DIV/0!</v>
      </c>
      <c r="Q60" s="498">
        <f>+'T-7_Ensuing_Year'!Q60</f>
        <v>0</v>
      </c>
      <c r="R60" s="498">
        <f>+'T-7_Ensuing_Year'!R60</f>
        <v>0</v>
      </c>
      <c r="S60" s="498">
        <f>+'T-7_Ensuing_Year'!S60</f>
        <v>0</v>
      </c>
      <c r="T60" s="498">
        <f>+'T-7_Ensuing_Year'!T60</f>
        <v>0</v>
      </c>
      <c r="U60" s="498">
        <f t="shared" si="35"/>
        <v>0</v>
      </c>
      <c r="V60" s="499"/>
      <c r="W60" s="497" t="e">
        <f>+'T-7_Ensuing_Year'!W60</f>
        <v>#DIV/0!</v>
      </c>
      <c r="X60" s="495">
        <f>+'T-7_Ensuing_Year'!X60</f>
        <v>0</v>
      </c>
      <c r="Y60" s="498">
        <f>+'T-7_Ensuing_Year'!Y60</f>
        <v>0</v>
      </c>
      <c r="Z60" s="498">
        <f t="shared" si="36"/>
        <v>0</v>
      </c>
      <c r="AA60" s="433">
        <v>250</v>
      </c>
      <c r="AB60" s="436">
        <v>5.8</v>
      </c>
      <c r="AC60" s="433">
        <v>4.7</v>
      </c>
      <c r="AD60" s="433"/>
      <c r="AE60" s="433"/>
      <c r="AF60" s="433">
        <v>700</v>
      </c>
      <c r="AG60" s="498"/>
      <c r="AH60" s="497" t="e">
        <f t="shared" si="24"/>
        <v>#DIV/0!</v>
      </c>
      <c r="AI60" s="498">
        <f>+'T-7_Ensuing_Year'!Q60</f>
        <v>0</v>
      </c>
      <c r="AJ60" s="498">
        <f>+'T-7_Ensuing_Year'!R60</f>
        <v>0</v>
      </c>
      <c r="AK60" s="498">
        <f>+'T-7_Ensuing_Year'!S60</f>
        <v>0</v>
      </c>
      <c r="AL60" s="498">
        <f>+'T-7_Ensuing_Year'!T60</f>
        <v>0</v>
      </c>
      <c r="AM60" s="498">
        <f t="shared" si="37"/>
        <v>0</v>
      </c>
      <c r="AN60" s="499"/>
      <c r="AO60" s="497" t="e">
        <f t="shared" si="38"/>
        <v>#DIV/0!</v>
      </c>
      <c r="AP60" s="495">
        <f>+'T-7_Ensuing_Year'!X60</f>
        <v>0</v>
      </c>
      <c r="AQ60" s="498">
        <f>+'T-7_Ensuing_Year'!Y60</f>
        <v>0</v>
      </c>
      <c r="AR60" s="498">
        <f t="shared" si="39"/>
        <v>0</v>
      </c>
      <c r="AS60" s="498">
        <f t="shared" si="40"/>
        <v>0</v>
      </c>
      <c r="AT60" s="498">
        <f t="shared" si="34"/>
        <v>0</v>
      </c>
      <c r="AU60" s="498">
        <f t="shared" si="30"/>
        <v>0</v>
      </c>
      <c r="AV60" s="498">
        <f t="shared" si="30"/>
        <v>0</v>
      </c>
      <c r="AW60" s="498"/>
      <c r="AX60" s="227" t="e">
        <f>W60/'F-5'!$L$19/100</f>
        <v>#DIV/0!</v>
      </c>
      <c r="AY60" s="227" t="e">
        <f>AO60/'F-5'!$L$19/100</f>
        <v>#DIV/0!</v>
      </c>
      <c r="AZ60" s="443">
        <v>0.09</v>
      </c>
      <c r="BA60" s="498">
        <f>+AJ60*AZ60</f>
        <v>0</v>
      </c>
      <c r="BB60" s="498">
        <f t="shared" si="6"/>
        <v>0</v>
      </c>
      <c r="BC60" s="498"/>
      <c r="BD60" s="498">
        <f>'T-1'!O56*'F-5'!$L$19/10</f>
        <v>0</v>
      </c>
      <c r="BE60" s="498">
        <f t="shared" si="41"/>
        <v>0</v>
      </c>
      <c r="BF60" s="497" t="e">
        <f>BE60/'T-1'!O56*10^3</f>
        <v>#DIV/0!</v>
      </c>
    </row>
    <row r="61" spans="1:59" ht="15.75" customHeight="1">
      <c r="A61" s="320">
        <f t="shared" si="42"/>
        <v>34</v>
      </c>
      <c r="B61" s="319" t="s">
        <v>280</v>
      </c>
      <c r="C61" s="320" t="s">
        <v>271</v>
      </c>
      <c r="D61" s="495">
        <f>+'T-1'!R57</f>
        <v>7.1999999999999995E-2</v>
      </c>
      <c r="E61" s="495">
        <f>+'T-7_Ensuing_Year'!E61</f>
        <v>0</v>
      </c>
      <c r="F61" s="497">
        <f>+'T-1'!M57</f>
        <v>2</v>
      </c>
      <c r="G61" s="497">
        <f>+'T-1'!N57</f>
        <v>13333</v>
      </c>
      <c r="H61" s="496"/>
      <c r="I61" s="433"/>
      <c r="J61" s="436">
        <v>7.7</v>
      </c>
      <c r="K61" s="433"/>
      <c r="L61" s="433"/>
      <c r="M61" s="433"/>
      <c r="N61" s="433">
        <v>700</v>
      </c>
      <c r="O61" s="498"/>
      <c r="P61" s="497">
        <f>+'T-7_Ensuing_Year'!P61</f>
        <v>793.33333333333348</v>
      </c>
      <c r="Q61" s="498">
        <f>+'T-7_Ensuing_Year'!Q61</f>
        <v>0</v>
      </c>
      <c r="R61" s="498">
        <f>+'T-7_Ensuing_Year'!R61</f>
        <v>5.5440000000000003E-2</v>
      </c>
      <c r="S61" s="498">
        <f>+'T-7_Ensuing_Year'!S61</f>
        <v>0</v>
      </c>
      <c r="T61" s="498">
        <f>+'T-7_Ensuing_Year'!T61</f>
        <v>1.6800000000000001E-3</v>
      </c>
      <c r="U61" s="498">
        <f t="shared" si="35"/>
        <v>5.7120000000000004E-2</v>
      </c>
      <c r="V61" s="499"/>
      <c r="W61" s="497">
        <f>+'T-7_Ensuing_Year'!W61</f>
        <v>785.40000000000009</v>
      </c>
      <c r="X61" s="495">
        <f>+'T-7_Ensuing_Year'!X61</f>
        <v>0</v>
      </c>
      <c r="Y61" s="498">
        <f>+'T-7_Ensuing_Year'!Y61</f>
        <v>5.7120000000000001E-4</v>
      </c>
      <c r="Z61" s="498">
        <f t="shared" si="36"/>
        <v>5.6548800000000003E-2</v>
      </c>
      <c r="AA61" s="433"/>
      <c r="AB61" s="436">
        <v>7.7</v>
      </c>
      <c r="AC61" s="433"/>
      <c r="AD61" s="433"/>
      <c r="AE61" s="433"/>
      <c r="AF61" s="433">
        <v>700</v>
      </c>
      <c r="AG61" s="498"/>
      <c r="AH61" s="497">
        <f t="shared" si="24"/>
        <v>793.33333333333348</v>
      </c>
      <c r="AI61" s="498">
        <f>+'T-7_Ensuing_Year'!Q61</f>
        <v>0</v>
      </c>
      <c r="AJ61" s="498">
        <f>+'T-7_Ensuing_Year'!R61</f>
        <v>5.5440000000000003E-2</v>
      </c>
      <c r="AK61" s="498">
        <f>+'T-7_Ensuing_Year'!S61</f>
        <v>0</v>
      </c>
      <c r="AL61" s="498">
        <f>+'T-7_Ensuing_Year'!T61</f>
        <v>1.6800000000000001E-3</v>
      </c>
      <c r="AM61" s="498">
        <f t="shared" si="37"/>
        <v>5.7120000000000004E-2</v>
      </c>
      <c r="AN61" s="499"/>
      <c r="AO61" s="497">
        <f t="shared" si="38"/>
        <v>785.40000000000009</v>
      </c>
      <c r="AP61" s="495">
        <f>+'T-7_Ensuing_Year'!X61</f>
        <v>0</v>
      </c>
      <c r="AQ61" s="498">
        <f>+'T-7_Ensuing_Year'!Y61</f>
        <v>5.7120000000000001E-4</v>
      </c>
      <c r="AR61" s="498">
        <f t="shared" si="39"/>
        <v>5.6548800000000003E-2</v>
      </c>
      <c r="AS61" s="498">
        <f t="shared" si="40"/>
        <v>5.6548800000000003E-2</v>
      </c>
      <c r="AT61" s="498">
        <f t="shared" si="34"/>
        <v>0</v>
      </c>
      <c r="AU61" s="498">
        <f t="shared" si="30"/>
        <v>0</v>
      </c>
      <c r="AV61" s="498">
        <f t="shared" si="30"/>
        <v>0</v>
      </c>
      <c r="AW61" s="498"/>
      <c r="AX61" s="227">
        <f>W61/'F-5'!$L$19/100</f>
        <v>1.9580085965913727</v>
      </c>
      <c r="AY61" s="227">
        <f>AO61/'F-5'!$L$19/100</f>
        <v>1.9580085965913727</v>
      </c>
      <c r="AZ61" s="443">
        <v>0.09</v>
      </c>
      <c r="BA61" s="498">
        <f>+AJ61*AZ61</f>
        <v>4.9896000000000003E-3</v>
      </c>
      <c r="BB61" s="498">
        <f t="shared" si="6"/>
        <v>6.1538400000000007E-2</v>
      </c>
      <c r="BC61" s="498"/>
      <c r="BD61" s="498">
        <f>'T-1'!O57*'F-5'!$L$19/10</f>
        <v>2.8880772075487199E-2</v>
      </c>
      <c r="BE61" s="498">
        <f t="shared" si="41"/>
        <v>-2.7668027924512804E-2</v>
      </c>
      <c r="BF61" s="497">
        <f>BE61/'T-1'!O57*10^3</f>
        <v>-384.2781656182334</v>
      </c>
    </row>
    <row r="62" spans="1:59" ht="15.75" customHeight="1">
      <c r="A62" s="320">
        <f t="shared" si="42"/>
        <v>35</v>
      </c>
      <c r="B62" s="319" t="s">
        <v>267</v>
      </c>
      <c r="C62" s="320" t="s">
        <v>271</v>
      </c>
      <c r="D62" s="495">
        <f>+'T-1'!R58</f>
        <v>0</v>
      </c>
      <c r="E62" s="495">
        <f>+'T-7_Ensuing_Year'!E62</f>
        <v>0</v>
      </c>
      <c r="F62" s="497">
        <f>+'T-1'!M58</f>
        <v>0</v>
      </c>
      <c r="G62" s="497">
        <f>+'T-1'!N58</f>
        <v>0</v>
      </c>
      <c r="H62" s="496"/>
      <c r="I62" s="433"/>
      <c r="J62" s="436">
        <v>4.8499999999999996</v>
      </c>
      <c r="K62" s="433"/>
      <c r="L62" s="445"/>
      <c r="M62" s="445"/>
      <c r="N62" s="445"/>
      <c r="O62" s="498"/>
      <c r="P62" s="497" t="e">
        <f>+'T-7_Ensuing_Year'!P62</f>
        <v>#DIV/0!</v>
      </c>
      <c r="Q62" s="498">
        <f>+'T-7_Ensuing_Year'!Q62</f>
        <v>0</v>
      </c>
      <c r="R62" s="498">
        <f>+'T-7_Ensuing_Year'!R62</f>
        <v>0</v>
      </c>
      <c r="S62" s="498">
        <f>+'T-7_Ensuing_Year'!S62</f>
        <v>0</v>
      </c>
      <c r="T62" s="498">
        <f>+'T-7_Ensuing_Year'!T62</f>
        <v>0</v>
      </c>
      <c r="U62" s="498">
        <f t="shared" si="35"/>
        <v>0</v>
      </c>
      <c r="V62" s="499"/>
      <c r="W62" s="497">
        <f>+'T-7_Ensuing_Year'!W62</f>
        <v>0</v>
      </c>
      <c r="X62" s="495">
        <f>+'T-7_Ensuing_Year'!X62</f>
        <v>0</v>
      </c>
      <c r="Y62" s="498">
        <f>+'T-7_Ensuing_Year'!Y62</f>
        <v>0</v>
      </c>
      <c r="Z62" s="498">
        <f t="shared" si="36"/>
        <v>0</v>
      </c>
      <c r="AA62" s="433"/>
      <c r="AB62" s="436">
        <v>4.8499999999999996</v>
      </c>
      <c r="AC62" s="433"/>
      <c r="AD62" s="445"/>
      <c r="AE62" s="445"/>
      <c r="AF62" s="445"/>
      <c r="AG62" s="498"/>
      <c r="AH62" s="497" t="e">
        <f t="shared" si="24"/>
        <v>#DIV/0!</v>
      </c>
      <c r="AI62" s="498">
        <f>+'T-7_Ensuing_Year'!Q62</f>
        <v>0</v>
      </c>
      <c r="AJ62" s="498">
        <f>+'T-7_Ensuing_Year'!R62</f>
        <v>0</v>
      </c>
      <c r="AK62" s="498">
        <f>+'T-7_Ensuing_Year'!S62</f>
        <v>0</v>
      </c>
      <c r="AL62" s="498">
        <f>+'T-7_Ensuing_Year'!T62</f>
        <v>0</v>
      </c>
      <c r="AM62" s="498">
        <f t="shared" si="37"/>
        <v>0</v>
      </c>
      <c r="AN62" s="499"/>
      <c r="AO62" s="497" t="e">
        <f t="shared" si="38"/>
        <v>#DIV/0!</v>
      </c>
      <c r="AP62" s="495">
        <f>+'T-7_Ensuing_Year'!X62</f>
        <v>0</v>
      </c>
      <c r="AQ62" s="498">
        <f>+'T-7_Ensuing_Year'!Y62</f>
        <v>0</v>
      </c>
      <c r="AR62" s="498">
        <f t="shared" si="39"/>
        <v>0</v>
      </c>
      <c r="AS62" s="498">
        <f t="shared" si="40"/>
        <v>0</v>
      </c>
      <c r="AT62" s="498">
        <f t="shared" si="34"/>
        <v>0</v>
      </c>
      <c r="AU62" s="498">
        <f t="shared" si="30"/>
        <v>0</v>
      </c>
      <c r="AV62" s="498">
        <f t="shared" si="30"/>
        <v>0</v>
      </c>
      <c r="AW62" s="498"/>
      <c r="AX62" s="227">
        <f>W62/'F-5'!$L$19/100</f>
        <v>0</v>
      </c>
      <c r="AY62" s="227" t="e">
        <f>AO62/'F-5'!$L$19/100</f>
        <v>#DIV/0!</v>
      </c>
      <c r="AZ62" s="433"/>
      <c r="BA62" s="498"/>
      <c r="BB62" s="498"/>
      <c r="BC62" s="498"/>
      <c r="BD62" s="498">
        <f>'T-1'!O58*'F-5'!$L$19/10</f>
        <v>0</v>
      </c>
      <c r="BE62" s="498">
        <f t="shared" si="41"/>
        <v>0</v>
      </c>
      <c r="BF62" s="497" t="e">
        <f>BE62/'T-1'!O58*10^3</f>
        <v>#DIV/0!</v>
      </c>
    </row>
    <row r="63" spans="1:59" ht="15.75" customHeight="1">
      <c r="A63" s="320"/>
      <c r="B63" s="328" t="s">
        <v>256</v>
      </c>
      <c r="C63" s="319"/>
      <c r="D63" s="503">
        <f>SUM(D55:D62)</f>
        <v>3602.712</v>
      </c>
      <c r="E63" s="503">
        <f>SUM(E55:E62)</f>
        <v>565.13933999999995</v>
      </c>
      <c r="F63" s="504">
        <f>SUM(F55:F62)</f>
        <v>42</v>
      </c>
      <c r="G63" s="504">
        <f>SUM(G55:G62)</f>
        <v>870667</v>
      </c>
      <c r="H63" s="496"/>
      <c r="I63" s="433"/>
      <c r="J63" s="433"/>
      <c r="K63" s="433"/>
      <c r="L63" s="433"/>
      <c r="M63" s="433"/>
      <c r="N63" s="433"/>
      <c r="O63" s="498"/>
      <c r="P63" s="497">
        <f>+'T-7_Ensuing_Year'!P63</f>
        <v>618.71750126016184</v>
      </c>
      <c r="Q63" s="501">
        <f>SUM(Q54:Q62)</f>
        <v>227.16767999999999</v>
      </c>
      <c r="R63" s="501">
        <f>SUM(R54:R62)</f>
        <v>2001.8580064000002</v>
      </c>
      <c r="S63" s="501">
        <f>SUM(S54:S62)</f>
        <v>0</v>
      </c>
      <c r="T63" s="501">
        <f>SUM(T54:T62)</f>
        <v>3.5280000000000006E-2</v>
      </c>
      <c r="U63" s="501">
        <f>SUM(U54:U62)</f>
        <v>2229.0609664000003</v>
      </c>
      <c r="V63" s="499"/>
      <c r="W63" s="497">
        <f>+'T-7_Ensuing_Year'!W63</f>
        <v>612.53032624756031</v>
      </c>
      <c r="X63" s="498"/>
      <c r="Y63" s="501">
        <f>SUM(Y55:Y62)</f>
        <v>22.290609664000002</v>
      </c>
      <c r="Z63" s="501">
        <f>SUM(Z55:Z62)</f>
        <v>2206.7703567360004</v>
      </c>
      <c r="AA63" s="433"/>
      <c r="AB63" s="433"/>
      <c r="AC63" s="433"/>
      <c r="AD63" s="433"/>
      <c r="AE63" s="433"/>
      <c r="AF63" s="433"/>
      <c r="AG63" s="498"/>
      <c r="AH63" s="497">
        <f t="shared" si="24"/>
        <v>618.71750126016184</v>
      </c>
      <c r="AI63" s="501">
        <f>SUM(AI55:AI62)</f>
        <v>227.16767999999999</v>
      </c>
      <c r="AJ63" s="501">
        <f>SUM(AJ55:AJ62)</f>
        <v>2001.8580064000002</v>
      </c>
      <c r="AK63" s="501">
        <f>SUM(AK55:AK62)</f>
        <v>0</v>
      </c>
      <c r="AL63" s="501">
        <f>SUM(AL55:AL62)</f>
        <v>3.5280000000000006E-2</v>
      </c>
      <c r="AM63" s="501">
        <f>SUM(AM55:AM62)</f>
        <v>2229.0609664000003</v>
      </c>
      <c r="AN63" s="499"/>
      <c r="AO63" s="497">
        <f t="shared" si="38"/>
        <v>612.53032624756031</v>
      </c>
      <c r="AP63" s="495"/>
      <c r="AQ63" s="501">
        <f t="shared" ref="AQ63:AV63" si="43">SUM(AQ55:AQ62)</f>
        <v>22.290609664000002</v>
      </c>
      <c r="AR63" s="501">
        <f t="shared" si="43"/>
        <v>2206.7703567360004</v>
      </c>
      <c r="AS63" s="501">
        <f t="shared" si="43"/>
        <v>2206.7703567360004</v>
      </c>
      <c r="AT63" s="501">
        <f t="shared" si="43"/>
        <v>0</v>
      </c>
      <c r="AU63" s="501">
        <f t="shared" si="43"/>
        <v>0</v>
      </c>
      <c r="AV63" s="501">
        <f t="shared" si="43"/>
        <v>0</v>
      </c>
      <c r="AW63" s="498"/>
      <c r="AX63" s="227">
        <f>W63/'F-5'!$L$19/100</f>
        <v>1.5270430920112568</v>
      </c>
      <c r="AY63" s="227">
        <f>AO63/'F-5'!$L$19/100</f>
        <v>1.5270430920112568</v>
      </c>
      <c r="AZ63" s="433"/>
      <c r="BA63" s="501">
        <f>SUM(BA55:BA62)</f>
        <v>154.63724457599997</v>
      </c>
      <c r="BB63" s="501">
        <f>SUM(BB55:BB62)</f>
        <v>2361.4076013120002</v>
      </c>
      <c r="BC63" s="498"/>
      <c r="BD63" s="501">
        <f>SUM(BD55:BD62)</f>
        <v>1426.1004353408077</v>
      </c>
      <c r="BE63" s="501">
        <f t="shared" si="41"/>
        <v>-780.66992139519266</v>
      </c>
      <c r="BF63" s="504">
        <f>BE63/'T-1'!O59*10^3</f>
        <v>-219.58043287594583</v>
      </c>
      <c r="BG63" s="382">
        <f>'T-1'!O59*'F-5'!L19</f>
        <v>14261.004353408074</v>
      </c>
    </row>
    <row r="64" spans="1:59" ht="15.75" customHeight="1">
      <c r="A64" s="320"/>
      <c r="B64" s="328"/>
      <c r="C64" s="320"/>
      <c r="D64" s="496"/>
      <c r="E64" s="496"/>
      <c r="F64" s="497"/>
      <c r="G64" s="497"/>
      <c r="H64" s="496"/>
      <c r="I64" s="433"/>
      <c r="J64" s="433"/>
      <c r="K64" s="433"/>
      <c r="L64" s="433"/>
      <c r="M64" s="433"/>
      <c r="N64" s="433"/>
      <c r="O64" s="498"/>
      <c r="P64" s="498"/>
      <c r="Q64" s="498"/>
      <c r="R64" s="498"/>
      <c r="S64" s="498"/>
      <c r="T64" s="498"/>
      <c r="U64" s="498"/>
      <c r="V64" s="499"/>
      <c r="W64" s="498"/>
      <c r="X64" s="498"/>
      <c r="Y64" s="498"/>
      <c r="Z64" s="498"/>
      <c r="AA64" s="433"/>
      <c r="AB64" s="433"/>
      <c r="AC64" s="433"/>
      <c r="AD64" s="433"/>
      <c r="AE64" s="433"/>
      <c r="AF64" s="433"/>
      <c r="AG64" s="498"/>
      <c r="AH64" s="498"/>
      <c r="AI64" s="498"/>
      <c r="AJ64" s="498"/>
      <c r="AK64" s="498"/>
      <c r="AL64" s="498"/>
      <c r="AM64" s="498"/>
      <c r="AN64" s="499"/>
      <c r="AO64" s="498"/>
      <c r="AP64" s="498"/>
      <c r="AQ64" s="498"/>
      <c r="AR64" s="498"/>
      <c r="AS64" s="498"/>
      <c r="AT64" s="498"/>
      <c r="AU64" s="498"/>
      <c r="AV64" s="498"/>
      <c r="AW64" s="498"/>
      <c r="AX64" s="227"/>
      <c r="AY64" s="498"/>
      <c r="AZ64" s="433"/>
      <c r="BA64" s="498"/>
      <c r="BB64" s="498"/>
      <c r="BC64" s="498"/>
      <c r="BD64" s="498"/>
      <c r="BE64" s="498"/>
      <c r="BF64" s="498"/>
    </row>
    <row r="65" spans="1:58" ht="15.75" customHeight="1">
      <c r="A65" s="320"/>
      <c r="B65" s="317" t="s">
        <v>282</v>
      </c>
      <c r="C65" s="320"/>
      <c r="D65" s="495">
        <f>+D36+D53+D63</f>
        <v>7103.3410000000003</v>
      </c>
      <c r="E65" s="495">
        <f>+E36+E53+E63</f>
        <v>626.98540749999995</v>
      </c>
      <c r="F65" s="497">
        <f>+F36+F53+F63</f>
        <v>1994409</v>
      </c>
      <c r="G65" s="497">
        <f>+G36+G53+G63</f>
        <v>3731819</v>
      </c>
      <c r="H65" s="496"/>
      <c r="I65" s="393"/>
      <c r="J65" s="433"/>
      <c r="K65" s="433"/>
      <c r="L65" s="443"/>
      <c r="M65" s="443"/>
      <c r="N65" s="443"/>
      <c r="O65" s="498"/>
      <c r="P65" s="497">
        <f>+'T-7_Ensuing_Year'!P65</f>
        <v>576.09831231238547</v>
      </c>
      <c r="Q65" s="501">
        <f>+Q36+Q53+Q63</f>
        <v>307.92292800000001</v>
      </c>
      <c r="R65" s="501">
        <f>+R36+R53+R63</f>
        <v>3702.2708998793732</v>
      </c>
      <c r="S65" s="501">
        <f>+S36+S53+S63</f>
        <v>81.753954000000007</v>
      </c>
      <c r="T65" s="501">
        <f>+T36+T53+T63</f>
        <v>0.27498</v>
      </c>
      <c r="U65" s="501">
        <f>+U36+U53+U63</f>
        <v>4092.2227618793731</v>
      </c>
      <c r="V65" s="499"/>
      <c r="W65" s="497">
        <f>+'T-7_Ensuing_Year'!W65</f>
        <v>570.00158742471115</v>
      </c>
      <c r="X65" s="498"/>
      <c r="Y65" s="501">
        <f>+Y36+Y53+Y63</f>
        <v>43.307115860337504</v>
      </c>
      <c r="Z65" s="501">
        <f>+Z36+Z53+Z63</f>
        <v>4048.9156460190356</v>
      </c>
      <c r="AA65" s="393"/>
      <c r="AB65" s="433"/>
      <c r="AC65" s="433"/>
      <c r="AD65" s="443"/>
      <c r="AE65" s="443"/>
      <c r="AF65" s="443"/>
      <c r="AG65" s="498"/>
      <c r="AH65" s="497">
        <f t="shared" si="24"/>
        <v>576.09831231238547</v>
      </c>
      <c r="AI65" s="501">
        <f>+AI36+AI53+AI63</f>
        <v>307.92292800000001</v>
      </c>
      <c r="AJ65" s="501">
        <f>+AJ36+AJ53+AJ63</f>
        <v>3702.2708998793732</v>
      </c>
      <c r="AK65" s="501">
        <f>+AK36+AK53+AK63</f>
        <v>80.133762000000004</v>
      </c>
      <c r="AL65" s="501">
        <f>+AL36+AL53+AL63</f>
        <v>0.27498</v>
      </c>
      <c r="AM65" s="501">
        <f>+AM36+AM53+AM63</f>
        <v>4092.2227618793731</v>
      </c>
      <c r="AN65" s="499"/>
      <c r="AO65" s="504">
        <f t="shared" si="38"/>
        <v>570.00158742471115</v>
      </c>
      <c r="AP65" s="498"/>
      <c r="AQ65" s="501">
        <f t="shared" ref="AQ65:AV65" si="44">+AQ36+AQ53+AQ63</f>
        <v>43.307115860337504</v>
      </c>
      <c r="AR65" s="501">
        <f t="shared" si="44"/>
        <v>4048.9156460190356</v>
      </c>
      <c r="AS65" s="501">
        <f t="shared" si="44"/>
        <v>4048.9156460190356</v>
      </c>
      <c r="AT65" s="501">
        <f t="shared" si="44"/>
        <v>0</v>
      </c>
      <c r="AU65" s="501">
        <f t="shared" si="44"/>
        <v>0</v>
      </c>
      <c r="AV65" s="501">
        <f t="shared" si="44"/>
        <v>0</v>
      </c>
      <c r="AW65" s="498"/>
      <c r="AX65" s="227">
        <f>W65/'F-5'!$O$19/100</f>
        <v>0.9120092187442812</v>
      </c>
      <c r="AY65" s="227">
        <f>AO65/'F-5'!$O$19/100</f>
        <v>0.9120092187442812</v>
      </c>
      <c r="AZ65" s="433"/>
      <c r="BA65" s="501">
        <f>+BA36+BA53+BA63</f>
        <v>238.31152776617489</v>
      </c>
      <c r="BB65" s="501">
        <f>+BB36+BB53+BB63</f>
        <v>4287.2271737852097</v>
      </c>
      <c r="BC65" s="498"/>
      <c r="BD65" s="501">
        <f>+BD36+BD53+BD63</f>
        <v>4379.4104282802118</v>
      </c>
      <c r="BE65" s="501">
        <f>BD65-AR65</f>
        <v>330.49478226117617</v>
      </c>
      <c r="BF65" s="504">
        <f>BE65/'T-1'!O61*10^3</f>
        <v>47.165646977494305</v>
      </c>
    </row>
    <row r="67" spans="1:58" ht="15" customHeight="1">
      <c r="D67" s="398"/>
      <c r="E67" s="399"/>
      <c r="AR67" s="395"/>
      <c r="BB67" s="395"/>
    </row>
    <row r="68" spans="1:58" ht="15" customHeight="1">
      <c r="B68" s="399"/>
      <c r="C68" s="399"/>
      <c r="D68" s="505"/>
      <c r="E68" s="395"/>
      <c r="F68" s="399"/>
      <c r="G68" s="972"/>
      <c r="AS68" s="395"/>
    </row>
    <row r="69" spans="1:58" ht="15" customHeight="1">
      <c r="B69" s="399"/>
      <c r="C69" s="399"/>
      <c r="D69" s="505"/>
      <c r="E69" s="395"/>
      <c r="F69" s="399"/>
      <c r="G69" s="972"/>
      <c r="BD69" s="1155"/>
    </row>
    <row r="70" spans="1:58" ht="15" customHeight="1">
      <c r="B70" s="399"/>
      <c r="C70" s="399"/>
      <c r="D70" s="505"/>
      <c r="E70" s="395"/>
      <c r="F70" s="399"/>
      <c r="G70" s="972"/>
      <c r="Q70" s="395"/>
      <c r="R70" s="395"/>
      <c r="S70" s="395"/>
      <c r="T70" s="395"/>
      <c r="U70" s="395"/>
      <c r="BD70" s="505"/>
    </row>
    <row r="71" spans="1:58" ht="15" customHeight="1">
      <c r="B71" s="399"/>
      <c r="C71" s="399"/>
      <c r="D71" s="506"/>
      <c r="E71" s="971"/>
      <c r="F71" s="399"/>
      <c r="G71" s="973"/>
      <c r="AI71" s="395"/>
      <c r="AJ71" s="395"/>
      <c r="AK71" s="395"/>
      <c r="AL71" s="395"/>
      <c r="AM71" s="395"/>
    </row>
    <row r="77" spans="1:58" ht="15" customHeight="1">
      <c r="D77" s="505"/>
      <c r="E77" s="505"/>
      <c r="F77" s="505"/>
      <c r="G77" s="505"/>
    </row>
  </sheetData>
  <printOptions horizontalCentered="1"/>
  <pageMargins left="0.27559055118110237" right="0.19685039370078741" top="0.39370078740157483" bottom="0.19685039370078741" header="0.35433070866141736" footer="0.15748031496062992"/>
  <pageSetup paperSize="9" scale="5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8000"/>
  </sheetPr>
  <dimension ref="A1:U118"/>
  <sheetViews>
    <sheetView view="pageBreakPreview" topLeftCell="B1" zoomScale="90" zoomScaleNormal="100" zoomScaleSheetLayoutView="90" workbookViewId="0">
      <selection activeCell="L13" sqref="L13"/>
    </sheetView>
  </sheetViews>
  <sheetFormatPr defaultColWidth="9.140625" defaultRowHeight="15"/>
  <cols>
    <col min="1" max="1" width="13.140625" style="1803" hidden="1" customWidth="1"/>
    <col min="2" max="2" width="6.85546875" style="1803" customWidth="1"/>
    <col min="3" max="3" width="41.5703125" style="1803" customWidth="1"/>
    <col min="4" max="4" width="10.28515625" style="1805" customWidth="1"/>
    <col min="5" max="5" width="15.7109375" style="1803" customWidth="1"/>
    <col min="6" max="6" width="8.5703125" style="1803" customWidth="1"/>
    <col min="7" max="7" width="9.140625" style="1803" customWidth="1"/>
    <col min="8" max="8" width="11.85546875" style="1803" customWidth="1"/>
    <col min="9" max="9" width="13.28515625" style="1803" customWidth="1"/>
    <col min="10" max="10" width="9.140625" style="1803" customWidth="1"/>
    <col min="11" max="11" width="14" style="1803" customWidth="1"/>
    <col min="12" max="13" width="10" style="1803" customWidth="1"/>
    <col min="14" max="14" width="11.5703125" style="1803" customWidth="1"/>
    <col min="15" max="17" width="10" style="1803" customWidth="1"/>
    <col min="18" max="18" width="11" style="1803" customWidth="1"/>
    <col min="19" max="19" width="9.140625" style="1803" customWidth="1"/>
    <col min="20" max="21" width="11" style="1803" bestFit="1" customWidth="1"/>
    <col min="22" max="16384" width="9.140625" style="1803"/>
  </cols>
  <sheetData>
    <row r="1" spans="1:21" ht="18.75">
      <c r="B1" s="1804" t="s">
        <v>506</v>
      </c>
      <c r="N1" s="1806" t="s">
        <v>507</v>
      </c>
      <c r="U1" s="1807"/>
    </row>
    <row r="2" spans="1:21">
      <c r="B2" s="1808" t="s">
        <v>508</v>
      </c>
    </row>
    <row r="3" spans="1:21" s="1806" customFormat="1" ht="87.75" customHeight="1">
      <c r="A3" s="1809" t="s">
        <v>376</v>
      </c>
      <c r="B3" s="1810" t="s">
        <v>509</v>
      </c>
      <c r="C3" s="1810" t="s">
        <v>510</v>
      </c>
      <c r="D3" s="1811" t="s">
        <v>511</v>
      </c>
      <c r="E3" s="1812" t="s">
        <v>512</v>
      </c>
      <c r="F3" s="1813" t="s">
        <v>513</v>
      </c>
      <c r="G3" s="1814" t="s">
        <v>514</v>
      </c>
      <c r="H3" s="1814" t="s">
        <v>515</v>
      </c>
      <c r="I3" s="1814" t="s">
        <v>516</v>
      </c>
      <c r="J3" s="1814" t="s">
        <v>517</v>
      </c>
      <c r="K3" s="1815">
        <v>45017</v>
      </c>
      <c r="L3" s="1815">
        <v>45047</v>
      </c>
      <c r="M3" s="1815">
        <v>45078</v>
      </c>
      <c r="N3" s="1815">
        <v>45108</v>
      </c>
      <c r="O3" s="1815">
        <v>45139</v>
      </c>
      <c r="P3" s="1815">
        <v>45170</v>
      </c>
      <c r="Q3" s="1815">
        <v>45200</v>
      </c>
      <c r="R3" s="1814" t="s">
        <v>518</v>
      </c>
      <c r="S3" s="1814" t="s">
        <v>519</v>
      </c>
      <c r="T3" s="1814" t="s">
        <v>520</v>
      </c>
      <c r="U3" s="1814" t="s">
        <v>521</v>
      </c>
    </row>
    <row r="4" spans="1:21">
      <c r="A4" s="1816" t="s">
        <v>522</v>
      </c>
      <c r="B4" s="1817">
        <v>1</v>
      </c>
      <c r="C4" s="1818" t="s">
        <v>523</v>
      </c>
      <c r="D4" s="1817" t="s">
        <v>524</v>
      </c>
      <c r="E4" s="1818" t="s">
        <v>525</v>
      </c>
      <c r="F4" s="1817" t="s">
        <v>526</v>
      </c>
      <c r="G4" s="1817">
        <v>7778</v>
      </c>
      <c r="H4" s="1817"/>
      <c r="I4" s="1819"/>
      <c r="J4" s="1819">
        <f>G4+H4+I4</f>
        <v>7778</v>
      </c>
      <c r="K4" s="1819">
        <v>0</v>
      </c>
      <c r="L4" s="1819">
        <v>0</v>
      </c>
      <c r="M4" s="1819">
        <v>300</v>
      </c>
      <c r="N4" s="1819">
        <v>600</v>
      </c>
      <c r="O4" s="1819">
        <v>6300</v>
      </c>
      <c r="P4" s="1819">
        <v>0</v>
      </c>
      <c r="Q4" s="1819">
        <v>3300</v>
      </c>
      <c r="R4" s="1819">
        <v>20500</v>
      </c>
      <c r="S4" s="1820">
        <v>0.52</v>
      </c>
      <c r="T4" s="1819">
        <v>24000</v>
      </c>
      <c r="U4" s="1819">
        <v>101400</v>
      </c>
    </row>
    <row r="5" spans="1:21">
      <c r="A5" s="1816" t="s">
        <v>527</v>
      </c>
      <c r="B5" s="1817">
        <v>2</v>
      </c>
      <c r="C5" s="1818" t="s">
        <v>528</v>
      </c>
      <c r="D5" s="1817" t="s">
        <v>524</v>
      </c>
      <c r="E5" s="1818" t="s">
        <v>525</v>
      </c>
      <c r="F5" s="1817" t="s">
        <v>529</v>
      </c>
      <c r="G5" s="1817">
        <v>5555</v>
      </c>
      <c r="H5" s="1817"/>
      <c r="I5" s="1819"/>
      <c r="J5" s="1819">
        <f t="shared" ref="J5:J47" si="0">G5+H5+I5</f>
        <v>5555</v>
      </c>
      <c r="K5" s="1819">
        <v>107520</v>
      </c>
      <c r="L5" s="1819">
        <v>85440</v>
      </c>
      <c r="M5" s="1819">
        <v>79440</v>
      </c>
      <c r="N5" s="1819">
        <v>18000</v>
      </c>
      <c r="O5" s="1819">
        <v>49680</v>
      </c>
      <c r="P5" s="1819">
        <v>1440</v>
      </c>
      <c r="Q5" s="1819">
        <v>1200</v>
      </c>
      <c r="R5" s="1819">
        <v>362720</v>
      </c>
      <c r="S5" s="1820">
        <v>0.95</v>
      </c>
      <c r="T5" s="1819">
        <v>48000</v>
      </c>
      <c r="U5" s="1819">
        <v>1046400</v>
      </c>
    </row>
    <row r="6" spans="1:21">
      <c r="A6" s="1816" t="s">
        <v>530</v>
      </c>
      <c r="B6" s="1817">
        <v>3</v>
      </c>
      <c r="C6" s="1818" t="s">
        <v>531</v>
      </c>
      <c r="D6" s="1817" t="s">
        <v>524</v>
      </c>
      <c r="E6" s="1818" t="s">
        <v>532</v>
      </c>
      <c r="F6" s="1817" t="s">
        <v>529</v>
      </c>
      <c r="G6" s="1817">
        <v>20000</v>
      </c>
      <c r="H6" s="1817"/>
      <c r="I6" s="1819"/>
      <c r="J6" s="1819">
        <f t="shared" si="0"/>
        <v>20000</v>
      </c>
      <c r="K6" s="1819">
        <v>7576504</v>
      </c>
      <c r="L6" s="1819">
        <v>7425796</v>
      </c>
      <c r="M6" s="1819">
        <v>6096903</v>
      </c>
      <c r="N6" s="1819">
        <v>6234634</v>
      </c>
      <c r="O6" s="1819">
        <v>7894225</v>
      </c>
      <c r="P6" s="1819">
        <v>7077097</v>
      </c>
      <c r="Q6" s="1819">
        <v>8385600</v>
      </c>
      <c r="R6" s="1819">
        <v>91807250</v>
      </c>
      <c r="S6" s="1820">
        <v>1</v>
      </c>
      <c r="T6" s="1819">
        <v>93082360</v>
      </c>
      <c r="U6" s="1819">
        <v>85942943</v>
      </c>
    </row>
    <row r="7" spans="1:21">
      <c r="A7" s="1816" t="s">
        <v>533</v>
      </c>
      <c r="B7" s="1817">
        <v>4</v>
      </c>
      <c r="C7" s="1818" t="s">
        <v>534</v>
      </c>
      <c r="D7" s="1817" t="s">
        <v>524</v>
      </c>
      <c r="E7" s="1818" t="s">
        <v>535</v>
      </c>
      <c r="F7" s="1817" t="s">
        <v>526</v>
      </c>
      <c r="G7" s="1817">
        <v>44000</v>
      </c>
      <c r="H7" s="1817">
        <v>28000</v>
      </c>
      <c r="I7" s="1819"/>
      <c r="J7" s="1819">
        <f t="shared" si="0"/>
        <v>72000</v>
      </c>
      <c r="K7" s="1819">
        <v>14587000</v>
      </c>
      <c r="L7" s="1819">
        <v>18273768</v>
      </c>
      <c r="M7" s="1819">
        <v>17988694</v>
      </c>
      <c r="N7" s="1819">
        <v>18934068</v>
      </c>
      <c r="O7" s="1819">
        <v>18030306</v>
      </c>
      <c r="P7" s="1819">
        <v>16667105</v>
      </c>
      <c r="Q7" s="1819">
        <v>19754366</v>
      </c>
      <c r="R7" s="1819">
        <v>228353024</v>
      </c>
      <c r="S7" s="1820">
        <v>1</v>
      </c>
      <c r="T7" s="1819">
        <v>286712598</v>
      </c>
      <c r="U7" s="1819">
        <v>219901098</v>
      </c>
    </row>
    <row r="8" spans="1:21">
      <c r="A8" s="1816" t="s">
        <v>536</v>
      </c>
      <c r="B8" s="1817">
        <v>5</v>
      </c>
      <c r="C8" s="1818" t="s">
        <v>537</v>
      </c>
      <c r="D8" s="1817" t="s">
        <v>524</v>
      </c>
      <c r="E8" s="1818" t="s">
        <v>538</v>
      </c>
      <c r="F8" s="1817" t="s">
        <v>526</v>
      </c>
      <c r="G8" s="1817">
        <v>16667</v>
      </c>
      <c r="H8" s="1817"/>
      <c r="I8" s="1819"/>
      <c r="J8" s="1819">
        <f t="shared" si="0"/>
        <v>16667</v>
      </c>
      <c r="K8" s="1819">
        <v>13070439</v>
      </c>
      <c r="L8" s="1819">
        <v>11120785</v>
      </c>
      <c r="M8" s="1819">
        <v>4261140</v>
      </c>
      <c r="N8" s="1819">
        <v>14356132</v>
      </c>
      <c r="O8" s="1819">
        <v>15458987</v>
      </c>
      <c r="P8" s="1819">
        <v>12368424</v>
      </c>
      <c r="Q8" s="1819">
        <v>12734907</v>
      </c>
      <c r="R8" s="1819">
        <v>145812939</v>
      </c>
      <c r="S8" s="1820">
        <v>0.98</v>
      </c>
      <c r="T8" s="1819">
        <v>147838116</v>
      </c>
      <c r="U8" s="1819">
        <v>139801982</v>
      </c>
    </row>
    <row r="9" spans="1:21">
      <c r="A9" s="1816" t="s">
        <v>539</v>
      </c>
      <c r="B9" s="1817">
        <v>6</v>
      </c>
      <c r="C9" s="1818" t="s">
        <v>540</v>
      </c>
      <c r="D9" s="1817" t="s">
        <v>524</v>
      </c>
      <c r="E9" s="1818" t="s">
        <v>541</v>
      </c>
      <c r="F9" s="1817" t="s">
        <v>542</v>
      </c>
      <c r="G9" s="1817">
        <v>110000</v>
      </c>
      <c r="H9" s="1817"/>
      <c r="I9" s="1819"/>
      <c r="J9" s="1819">
        <f t="shared" si="0"/>
        <v>110000</v>
      </c>
      <c r="K9" s="1819">
        <v>22123312</v>
      </c>
      <c r="L9" s="1819">
        <v>18198046</v>
      </c>
      <c r="M9" s="1819">
        <v>24961271</v>
      </c>
      <c r="N9" s="1819">
        <v>26269602</v>
      </c>
      <c r="O9" s="1819">
        <v>41726769</v>
      </c>
      <c r="P9" s="1819">
        <v>27195006</v>
      </c>
      <c r="Q9" s="1819">
        <v>23461034</v>
      </c>
      <c r="R9" s="1819">
        <v>319446424</v>
      </c>
      <c r="S9" s="1820">
        <v>1</v>
      </c>
      <c r="T9" s="1819">
        <v>323883187</v>
      </c>
      <c r="U9" s="1819">
        <v>206087198</v>
      </c>
    </row>
    <row r="10" spans="1:21">
      <c r="A10" s="1816" t="s">
        <v>543</v>
      </c>
      <c r="B10" s="1817">
        <v>7</v>
      </c>
      <c r="C10" s="1818" t="s">
        <v>544</v>
      </c>
      <c r="D10" s="1817" t="s">
        <v>524</v>
      </c>
      <c r="E10" s="1818" t="s">
        <v>541</v>
      </c>
      <c r="F10" s="1817" t="s">
        <v>526</v>
      </c>
      <c r="G10" s="1817">
        <v>35000</v>
      </c>
      <c r="H10" s="1817"/>
      <c r="I10" s="1819"/>
      <c r="J10" s="1819">
        <f t="shared" si="0"/>
        <v>35000</v>
      </c>
      <c r="K10" s="1819">
        <v>22475700</v>
      </c>
      <c r="L10" s="1819">
        <v>18006900</v>
      </c>
      <c r="M10" s="1819">
        <v>16479000</v>
      </c>
      <c r="N10" s="1819">
        <v>17427300</v>
      </c>
      <c r="O10" s="1819">
        <v>14630400</v>
      </c>
      <c r="P10" s="1819">
        <v>16742700</v>
      </c>
      <c r="Q10" s="1819">
        <v>19608000</v>
      </c>
      <c r="R10" s="1819">
        <v>221512452</v>
      </c>
      <c r="S10" s="1820">
        <v>0.98</v>
      </c>
      <c r="T10" s="1819">
        <v>224589011</v>
      </c>
      <c r="U10" s="1819">
        <v>151882084</v>
      </c>
    </row>
    <row r="11" spans="1:21">
      <c r="A11" s="1816" t="s">
        <v>545</v>
      </c>
      <c r="B11" s="1817">
        <v>8</v>
      </c>
      <c r="C11" s="1818" t="s">
        <v>546</v>
      </c>
      <c r="D11" s="1817" t="s">
        <v>524</v>
      </c>
      <c r="E11" s="1818" t="s">
        <v>541</v>
      </c>
      <c r="F11" s="1817" t="s">
        <v>526</v>
      </c>
      <c r="G11" s="1817">
        <v>18000</v>
      </c>
      <c r="H11" s="1817"/>
      <c r="I11" s="1819"/>
      <c r="J11" s="1819">
        <f t="shared" si="0"/>
        <v>18000</v>
      </c>
      <c r="K11" s="1819">
        <v>12157500</v>
      </c>
      <c r="L11" s="1819">
        <v>7177200</v>
      </c>
      <c r="M11" s="1819">
        <v>8682000</v>
      </c>
      <c r="N11" s="1819">
        <v>6202920</v>
      </c>
      <c r="O11" s="1819">
        <v>2722800</v>
      </c>
      <c r="P11" s="1819">
        <v>3439200</v>
      </c>
      <c r="Q11" s="1819">
        <v>1275000</v>
      </c>
      <c r="R11" s="1819">
        <v>47908233</v>
      </c>
      <c r="S11" s="1820">
        <v>1</v>
      </c>
      <c r="T11" s="1819">
        <v>48573625</v>
      </c>
      <c r="U11" s="1819">
        <v>166706400</v>
      </c>
    </row>
    <row r="12" spans="1:21">
      <c r="A12" s="1816" t="s">
        <v>547</v>
      </c>
      <c r="B12" s="1817">
        <v>9</v>
      </c>
      <c r="C12" s="1818" t="s">
        <v>548</v>
      </c>
      <c r="D12" s="1817" t="s">
        <v>524</v>
      </c>
      <c r="E12" s="1818" t="s">
        <v>541</v>
      </c>
      <c r="F12" s="1817" t="s">
        <v>526</v>
      </c>
      <c r="G12" s="1817">
        <v>13000</v>
      </c>
      <c r="H12" s="1817"/>
      <c r="I12" s="1819"/>
      <c r="J12" s="1819">
        <f t="shared" si="0"/>
        <v>13000</v>
      </c>
      <c r="K12" s="1819">
        <v>3021600</v>
      </c>
      <c r="L12" s="1819">
        <v>2776772</v>
      </c>
      <c r="M12" s="1819">
        <v>2476431</v>
      </c>
      <c r="N12" s="1819">
        <v>2207556</v>
      </c>
      <c r="O12" s="1819">
        <v>2451805</v>
      </c>
      <c r="P12" s="1819">
        <v>2328300</v>
      </c>
      <c r="Q12" s="1819">
        <v>2207100</v>
      </c>
      <c r="R12" s="1819">
        <v>28291473</v>
      </c>
      <c r="S12" s="1820">
        <v>1</v>
      </c>
      <c r="T12" s="1819">
        <v>28684410</v>
      </c>
      <c r="U12" s="1819">
        <v>33629516</v>
      </c>
    </row>
    <row r="13" spans="1:21">
      <c r="A13" s="1816" t="s">
        <v>549</v>
      </c>
      <c r="B13" s="1817">
        <v>10</v>
      </c>
      <c r="C13" s="1818" t="s">
        <v>550</v>
      </c>
      <c r="D13" s="1817" t="s">
        <v>524</v>
      </c>
      <c r="E13" s="1818" t="s">
        <v>541</v>
      </c>
      <c r="F13" s="1817" t="s">
        <v>526</v>
      </c>
      <c r="G13" s="1817">
        <v>4000</v>
      </c>
      <c r="H13" s="1817"/>
      <c r="I13" s="1819"/>
      <c r="J13" s="1819">
        <f t="shared" si="0"/>
        <v>4000</v>
      </c>
      <c r="K13" s="1819">
        <v>109800</v>
      </c>
      <c r="L13" s="1819">
        <v>16500</v>
      </c>
      <c r="M13" s="1819">
        <v>48300</v>
      </c>
      <c r="N13" s="1819">
        <v>6900</v>
      </c>
      <c r="O13" s="1819">
        <v>11700</v>
      </c>
      <c r="P13" s="1819">
        <v>4500</v>
      </c>
      <c r="Q13" s="1819">
        <v>1800</v>
      </c>
      <c r="R13" s="1819">
        <v>366446</v>
      </c>
      <c r="S13" s="1820">
        <v>0.9</v>
      </c>
      <c r="T13" s="1819">
        <v>371534</v>
      </c>
      <c r="U13" s="1819">
        <v>4998900</v>
      </c>
    </row>
    <row r="14" spans="1:21">
      <c r="A14" s="1816" t="s">
        <v>551</v>
      </c>
      <c r="B14" s="1817">
        <v>11</v>
      </c>
      <c r="C14" s="1818" t="s">
        <v>552</v>
      </c>
      <c r="D14" s="1817" t="s">
        <v>524</v>
      </c>
      <c r="E14" s="1818" t="s">
        <v>541</v>
      </c>
      <c r="F14" s="1817" t="s">
        <v>526</v>
      </c>
      <c r="G14" s="1817">
        <v>50000</v>
      </c>
      <c r="H14" s="1817">
        <v>15000</v>
      </c>
      <c r="I14" s="1819"/>
      <c r="J14" s="1819">
        <f t="shared" si="0"/>
        <v>65000</v>
      </c>
      <c r="K14" s="1819">
        <v>16861200</v>
      </c>
      <c r="L14" s="1819">
        <v>18350400</v>
      </c>
      <c r="M14" s="1819">
        <v>18141900</v>
      </c>
      <c r="N14" s="1819">
        <v>15792300</v>
      </c>
      <c r="O14" s="1819">
        <v>5466300</v>
      </c>
      <c r="P14" s="1819">
        <v>18245400</v>
      </c>
      <c r="Q14" s="1819">
        <v>22435800</v>
      </c>
      <c r="R14" s="1819">
        <v>229189094</v>
      </c>
      <c r="S14" s="1820">
        <v>0.99</v>
      </c>
      <c r="T14" s="1819">
        <v>261937271</v>
      </c>
      <c r="U14" s="1819">
        <v>79558200</v>
      </c>
    </row>
    <row r="15" spans="1:21">
      <c r="A15" s="1816" t="s">
        <v>553</v>
      </c>
      <c r="B15" s="1817">
        <v>12</v>
      </c>
      <c r="C15" s="1818" t="s">
        <v>554</v>
      </c>
      <c r="D15" s="1817" t="s">
        <v>524</v>
      </c>
      <c r="E15" s="1818" t="s">
        <v>541</v>
      </c>
      <c r="F15" s="1817" t="s">
        <v>526</v>
      </c>
      <c r="G15" s="1817">
        <v>10000</v>
      </c>
      <c r="H15" s="1817">
        <v>30000</v>
      </c>
      <c r="I15" s="1819"/>
      <c r="J15" s="1819">
        <f t="shared" si="0"/>
        <v>40000</v>
      </c>
      <c r="K15" s="1819">
        <v>4909800</v>
      </c>
      <c r="L15" s="1819">
        <v>5570400</v>
      </c>
      <c r="M15" s="1819">
        <v>4724700</v>
      </c>
      <c r="N15" s="1819">
        <v>5034600</v>
      </c>
      <c r="O15" s="1819">
        <v>4938900</v>
      </c>
      <c r="P15" s="1819">
        <v>4819500</v>
      </c>
      <c r="Q15" s="1819">
        <v>4851900</v>
      </c>
      <c r="R15" s="1819">
        <v>62190160</v>
      </c>
      <c r="S15" s="1820">
        <v>0.98</v>
      </c>
      <c r="T15" s="1819">
        <v>122183917</v>
      </c>
      <c r="U15" s="1819">
        <v>15883018</v>
      </c>
    </row>
    <row r="16" spans="1:21">
      <c r="A16" s="1816" t="s">
        <v>555</v>
      </c>
      <c r="B16" s="1817">
        <v>13</v>
      </c>
      <c r="C16" s="1818" t="s">
        <v>556</v>
      </c>
      <c r="D16" s="1817" t="s">
        <v>524</v>
      </c>
      <c r="E16" s="1818" t="s">
        <v>541</v>
      </c>
      <c r="F16" s="1817" t="s">
        <v>529</v>
      </c>
      <c r="G16" s="1817">
        <v>2000</v>
      </c>
      <c r="H16" s="1817"/>
      <c r="I16" s="1819"/>
      <c r="J16" s="1819">
        <f t="shared" si="0"/>
        <v>2000</v>
      </c>
      <c r="K16" s="1819">
        <v>137600</v>
      </c>
      <c r="L16" s="1819">
        <v>152900</v>
      </c>
      <c r="M16" s="1819">
        <v>150800</v>
      </c>
      <c r="N16" s="1819">
        <v>152400</v>
      </c>
      <c r="O16" s="1819">
        <v>154200</v>
      </c>
      <c r="P16" s="1819">
        <v>150500</v>
      </c>
      <c r="Q16" s="1819">
        <v>148800</v>
      </c>
      <c r="R16" s="1819">
        <v>1805847</v>
      </c>
      <c r="S16" s="1820">
        <v>1</v>
      </c>
      <c r="T16" s="1819">
        <v>1830924</v>
      </c>
      <c r="U16" s="1819">
        <v>1989800</v>
      </c>
    </row>
    <row r="17" spans="1:21">
      <c r="A17" s="1816" t="s">
        <v>557</v>
      </c>
      <c r="B17" s="1817">
        <v>14</v>
      </c>
      <c r="C17" s="1818" t="s">
        <v>558</v>
      </c>
      <c r="D17" s="1817" t="s">
        <v>524</v>
      </c>
      <c r="E17" s="1818" t="s">
        <v>541</v>
      </c>
      <c r="F17" s="1817" t="s">
        <v>529</v>
      </c>
      <c r="G17" s="1817">
        <v>10000</v>
      </c>
      <c r="H17" s="1817"/>
      <c r="I17" s="1819"/>
      <c r="J17" s="1819">
        <f t="shared" si="0"/>
        <v>10000</v>
      </c>
      <c r="K17" s="1819">
        <v>4909440</v>
      </c>
      <c r="L17" s="1819">
        <v>2866680</v>
      </c>
      <c r="M17" s="1819">
        <v>1942320</v>
      </c>
      <c r="N17" s="1819">
        <v>2139540</v>
      </c>
      <c r="O17" s="1819">
        <v>3018960</v>
      </c>
      <c r="P17" s="1819">
        <v>2429100</v>
      </c>
      <c r="Q17" s="1819">
        <v>2184060</v>
      </c>
      <c r="R17" s="1819">
        <v>34104090</v>
      </c>
      <c r="S17" s="1820">
        <v>0.99</v>
      </c>
      <c r="T17" s="1819">
        <v>34577767</v>
      </c>
      <c r="U17" s="1819">
        <v>53959875</v>
      </c>
    </row>
    <row r="18" spans="1:21">
      <c r="A18" s="1816" t="s">
        <v>559</v>
      </c>
      <c r="B18" s="1817">
        <v>15</v>
      </c>
      <c r="C18" s="1818" t="s">
        <v>560</v>
      </c>
      <c r="D18" s="1817" t="s">
        <v>524</v>
      </c>
      <c r="E18" s="1818" t="s">
        <v>538</v>
      </c>
      <c r="F18" s="1817" t="s">
        <v>529</v>
      </c>
      <c r="G18" s="1817">
        <v>15000</v>
      </c>
      <c r="H18" s="1817"/>
      <c r="I18" s="1819"/>
      <c r="J18" s="1819">
        <f t="shared" si="0"/>
        <v>15000</v>
      </c>
      <c r="K18" s="1819">
        <v>15595080</v>
      </c>
      <c r="L18" s="1819">
        <v>13674960</v>
      </c>
      <c r="M18" s="1819">
        <v>7036280</v>
      </c>
      <c r="N18" s="1819">
        <v>7923185</v>
      </c>
      <c r="O18" s="1819">
        <v>3240677</v>
      </c>
      <c r="P18" s="1819">
        <v>4356840</v>
      </c>
      <c r="Q18" s="1819">
        <v>13715852</v>
      </c>
      <c r="R18" s="1819">
        <v>109307915</v>
      </c>
      <c r="S18" s="1820">
        <v>0.99</v>
      </c>
      <c r="T18" s="1819">
        <v>110826081</v>
      </c>
      <c r="U18" s="1819">
        <v>38772123</v>
      </c>
    </row>
    <row r="19" spans="1:21">
      <c r="A19" s="1816" t="s">
        <v>561</v>
      </c>
      <c r="B19" s="1817">
        <v>16</v>
      </c>
      <c r="C19" s="1818" t="s">
        <v>562</v>
      </c>
      <c r="D19" s="1817" t="s">
        <v>524</v>
      </c>
      <c r="E19" s="1818" t="s">
        <v>541</v>
      </c>
      <c r="F19" s="1817" t="s">
        <v>529</v>
      </c>
      <c r="G19" s="1817">
        <v>56000</v>
      </c>
      <c r="H19" s="1817"/>
      <c r="I19" s="1819">
        <v>24000</v>
      </c>
      <c r="J19" s="1819">
        <f t="shared" si="0"/>
        <v>80000</v>
      </c>
      <c r="K19" s="1819">
        <v>33525500</v>
      </c>
      <c r="L19" s="1819">
        <v>41353500</v>
      </c>
      <c r="M19" s="1819">
        <v>41905500</v>
      </c>
      <c r="N19" s="1819">
        <v>32620520</v>
      </c>
      <c r="O19" s="1819">
        <v>38318400</v>
      </c>
      <c r="P19" s="1819">
        <v>30028320</v>
      </c>
      <c r="Q19" s="1819">
        <v>30019920</v>
      </c>
      <c r="R19" s="1819">
        <v>431650909</v>
      </c>
      <c r="S19" s="1820">
        <v>1</v>
      </c>
      <c r="T19" s="1819">
        <v>442311669</v>
      </c>
      <c r="U19" s="1819">
        <v>101308000</v>
      </c>
    </row>
    <row r="20" spans="1:21">
      <c r="A20" s="1816" t="s">
        <v>563</v>
      </c>
      <c r="B20" s="1817">
        <v>17</v>
      </c>
      <c r="C20" s="1818" t="s">
        <v>564</v>
      </c>
      <c r="D20" s="1817" t="s">
        <v>524</v>
      </c>
      <c r="E20" s="1818" t="s">
        <v>541</v>
      </c>
      <c r="F20" s="1817" t="s">
        <v>529</v>
      </c>
      <c r="G20" s="1817">
        <v>10000</v>
      </c>
      <c r="H20" s="1817"/>
      <c r="I20" s="1819"/>
      <c r="J20" s="1819">
        <f t="shared" si="0"/>
        <v>10000</v>
      </c>
      <c r="K20" s="1819">
        <v>5891100</v>
      </c>
      <c r="L20" s="1819">
        <v>6644500</v>
      </c>
      <c r="M20" s="1819">
        <v>6152300</v>
      </c>
      <c r="N20" s="1819">
        <v>6489000</v>
      </c>
      <c r="O20" s="1819">
        <v>6423700</v>
      </c>
      <c r="P20" s="1819">
        <v>6395300</v>
      </c>
      <c r="Q20" s="1819">
        <v>6426100</v>
      </c>
      <c r="R20" s="1819">
        <v>76507426</v>
      </c>
      <c r="S20" s="1820">
        <v>1</v>
      </c>
      <c r="T20" s="1819">
        <v>77570034</v>
      </c>
      <c r="U20" s="1819">
        <v>77594000</v>
      </c>
    </row>
    <row r="21" spans="1:21">
      <c r="A21" s="1816" t="s">
        <v>565</v>
      </c>
      <c r="B21" s="1817">
        <v>18</v>
      </c>
      <c r="C21" s="1818" t="s">
        <v>566</v>
      </c>
      <c r="D21" s="1817" t="s">
        <v>524</v>
      </c>
      <c r="E21" s="1818" t="s">
        <v>541</v>
      </c>
      <c r="F21" s="1817" t="s">
        <v>529</v>
      </c>
      <c r="G21" s="1817">
        <v>16000</v>
      </c>
      <c r="H21" s="1817">
        <v>16000</v>
      </c>
      <c r="I21" s="1819"/>
      <c r="J21" s="1819">
        <f t="shared" si="0"/>
        <v>32000</v>
      </c>
      <c r="K21" s="1819">
        <v>9343260</v>
      </c>
      <c r="L21" s="1819">
        <v>9469620</v>
      </c>
      <c r="M21" s="1819">
        <v>7426440</v>
      </c>
      <c r="N21" s="1819">
        <v>9567000</v>
      </c>
      <c r="O21" s="1819">
        <v>9476460</v>
      </c>
      <c r="P21" s="1819">
        <v>9318780</v>
      </c>
      <c r="Q21" s="1819">
        <v>8395020</v>
      </c>
      <c r="R21" s="1819">
        <v>113251764</v>
      </c>
      <c r="S21" s="1820">
        <v>1</v>
      </c>
      <c r="T21" s="1819">
        <v>146360704</v>
      </c>
      <c r="U21" s="1819">
        <v>77375220</v>
      </c>
    </row>
    <row r="22" spans="1:21">
      <c r="A22" s="1816" t="s">
        <v>567</v>
      </c>
      <c r="B22" s="1817">
        <v>19</v>
      </c>
      <c r="C22" s="1818" t="s">
        <v>568</v>
      </c>
      <c r="D22" s="1817" t="s">
        <v>524</v>
      </c>
      <c r="E22" s="1818" t="s">
        <v>541</v>
      </c>
      <c r="F22" s="1817" t="s">
        <v>529</v>
      </c>
      <c r="G22" s="1817">
        <v>22222</v>
      </c>
      <c r="H22" s="1817"/>
      <c r="I22" s="1819"/>
      <c r="J22" s="1819">
        <f t="shared" si="0"/>
        <v>22222</v>
      </c>
      <c r="K22" s="1819">
        <v>6225720</v>
      </c>
      <c r="L22" s="1819">
        <v>221280</v>
      </c>
      <c r="M22" s="1819">
        <v>7509960</v>
      </c>
      <c r="N22" s="1819">
        <v>10517400</v>
      </c>
      <c r="O22" s="1819">
        <v>9117000</v>
      </c>
      <c r="P22" s="1819">
        <v>10330920</v>
      </c>
      <c r="Q22" s="1819">
        <v>10966440</v>
      </c>
      <c r="R22" s="1819">
        <v>108659652</v>
      </c>
      <c r="S22" s="1820">
        <v>1</v>
      </c>
      <c r="T22" s="1819">
        <v>110168811</v>
      </c>
      <c r="U22" s="1819">
        <v>117662160</v>
      </c>
    </row>
    <row r="23" spans="1:21">
      <c r="A23" s="1816" t="s">
        <v>569</v>
      </c>
      <c r="B23" s="1817">
        <v>20</v>
      </c>
      <c r="C23" s="1818" t="s">
        <v>570</v>
      </c>
      <c r="D23" s="1817" t="s">
        <v>524</v>
      </c>
      <c r="E23" s="1818" t="s">
        <v>541</v>
      </c>
      <c r="F23" s="1817" t="s">
        <v>529</v>
      </c>
      <c r="G23" s="1817">
        <v>8000</v>
      </c>
      <c r="H23" s="1817"/>
      <c r="I23" s="1819"/>
      <c r="J23" s="1819">
        <f t="shared" si="0"/>
        <v>8000</v>
      </c>
      <c r="K23" s="1819">
        <v>2153240</v>
      </c>
      <c r="L23" s="1819">
        <v>2022263</v>
      </c>
      <c r="M23" s="1819">
        <v>1759707</v>
      </c>
      <c r="N23" s="1819">
        <v>1582047</v>
      </c>
      <c r="O23" s="1819">
        <v>1441966</v>
      </c>
      <c r="P23" s="1819">
        <v>1565508</v>
      </c>
      <c r="Q23" s="1819">
        <v>1961520</v>
      </c>
      <c r="R23" s="1819">
        <v>21373803</v>
      </c>
      <c r="S23" s="1820">
        <v>0.99</v>
      </c>
      <c r="T23" s="1819">
        <v>21670673</v>
      </c>
      <c r="U23" s="1819">
        <v>18252048</v>
      </c>
    </row>
    <row r="24" spans="1:21">
      <c r="A24" s="1816" t="s">
        <v>571</v>
      </c>
      <c r="B24" s="1817">
        <v>21</v>
      </c>
      <c r="C24" s="1818" t="s">
        <v>572</v>
      </c>
      <c r="D24" s="1817" t="s">
        <v>524</v>
      </c>
      <c r="E24" s="1818" t="s">
        <v>541</v>
      </c>
      <c r="F24" s="1817" t="s">
        <v>529</v>
      </c>
      <c r="G24" s="1817">
        <v>7500</v>
      </c>
      <c r="H24" s="1817"/>
      <c r="I24" s="1819"/>
      <c r="J24" s="1819">
        <f t="shared" si="0"/>
        <v>7500</v>
      </c>
      <c r="K24" s="1819">
        <v>4399980</v>
      </c>
      <c r="L24" s="1819">
        <v>4695780</v>
      </c>
      <c r="M24" s="1819">
        <v>4447200</v>
      </c>
      <c r="N24" s="1819">
        <v>3689580</v>
      </c>
      <c r="O24" s="1819">
        <v>2458020</v>
      </c>
      <c r="P24" s="1819">
        <v>3501540</v>
      </c>
      <c r="Q24" s="1819">
        <v>5100420</v>
      </c>
      <c r="R24" s="1819">
        <v>47876960</v>
      </c>
      <c r="S24" s="1820">
        <v>0.99</v>
      </c>
      <c r="T24" s="1819">
        <v>48541925</v>
      </c>
      <c r="U24" s="1819">
        <v>25993560</v>
      </c>
    </row>
    <row r="25" spans="1:21">
      <c r="A25" s="1816" t="s">
        <v>573</v>
      </c>
      <c r="B25" s="1817">
        <v>22</v>
      </c>
      <c r="C25" s="1818" t="s">
        <v>574</v>
      </c>
      <c r="D25" s="1817" t="s">
        <v>524</v>
      </c>
      <c r="E25" s="1818" t="s">
        <v>541</v>
      </c>
      <c r="F25" s="1817" t="s">
        <v>529</v>
      </c>
      <c r="G25" s="1817">
        <v>7500</v>
      </c>
      <c r="H25" s="1817"/>
      <c r="I25" s="1819"/>
      <c r="J25" s="1819">
        <f t="shared" si="0"/>
        <v>7500</v>
      </c>
      <c r="K25" s="1819">
        <v>3582800</v>
      </c>
      <c r="L25" s="1819">
        <v>3927800</v>
      </c>
      <c r="M25" s="1819">
        <v>3178000</v>
      </c>
      <c r="N25" s="1819">
        <v>3731600</v>
      </c>
      <c r="O25" s="1819">
        <v>3807000</v>
      </c>
      <c r="P25" s="1819">
        <v>3384600</v>
      </c>
      <c r="Q25" s="1819">
        <v>2891200</v>
      </c>
      <c r="R25" s="1819">
        <v>42752967</v>
      </c>
      <c r="S25" s="1820">
        <v>1</v>
      </c>
      <c r="T25" s="1819">
        <v>43346765</v>
      </c>
      <c r="U25" s="1819">
        <v>40623000</v>
      </c>
    </row>
    <row r="26" spans="1:21">
      <c r="A26" s="1816" t="s">
        <v>575</v>
      </c>
      <c r="B26" s="1817">
        <v>23</v>
      </c>
      <c r="C26" s="1818" t="s">
        <v>576</v>
      </c>
      <c r="D26" s="1817" t="s">
        <v>524</v>
      </c>
      <c r="E26" s="1818" t="s">
        <v>541</v>
      </c>
      <c r="F26" s="1817" t="s">
        <v>529</v>
      </c>
      <c r="G26" s="1817">
        <v>14000</v>
      </c>
      <c r="H26" s="1817"/>
      <c r="I26" s="1819"/>
      <c r="J26" s="1819">
        <f t="shared" si="0"/>
        <v>14000</v>
      </c>
      <c r="K26" s="1819">
        <v>3750240</v>
      </c>
      <c r="L26" s="1819">
        <v>3974940</v>
      </c>
      <c r="M26" s="1819">
        <v>3907560</v>
      </c>
      <c r="N26" s="1819">
        <v>4735920</v>
      </c>
      <c r="O26" s="1819">
        <v>7810140</v>
      </c>
      <c r="P26" s="1819">
        <v>7811100</v>
      </c>
      <c r="Q26" s="1819">
        <v>8185560</v>
      </c>
      <c r="R26" s="1819">
        <v>80311109</v>
      </c>
      <c r="S26" s="1820">
        <v>0.96</v>
      </c>
      <c r="T26" s="1819">
        <v>81426545</v>
      </c>
      <c r="U26" s="1819">
        <v>72335460</v>
      </c>
    </row>
    <row r="27" spans="1:21">
      <c r="A27" s="1816" t="s">
        <v>577</v>
      </c>
      <c r="B27" s="1817">
        <v>24</v>
      </c>
      <c r="C27" s="1818" t="s">
        <v>578</v>
      </c>
      <c r="D27" s="1817" t="s">
        <v>524</v>
      </c>
      <c r="E27" s="1818" t="s">
        <v>541</v>
      </c>
      <c r="F27" s="1817" t="s">
        <v>529</v>
      </c>
      <c r="G27" s="1817">
        <v>5500</v>
      </c>
      <c r="H27" s="1817"/>
      <c r="I27" s="1819"/>
      <c r="J27" s="1819">
        <f t="shared" si="0"/>
        <v>5500</v>
      </c>
      <c r="K27" s="1819">
        <v>1830720</v>
      </c>
      <c r="L27" s="1819">
        <v>1794480</v>
      </c>
      <c r="M27" s="1819">
        <v>1758180</v>
      </c>
      <c r="N27" s="1819">
        <v>1805615</v>
      </c>
      <c r="O27" s="1819">
        <v>1872120</v>
      </c>
      <c r="P27" s="1819">
        <v>1829760</v>
      </c>
      <c r="Q27" s="1819">
        <v>1845840</v>
      </c>
      <c r="R27" s="1819">
        <v>21933455</v>
      </c>
      <c r="S27" s="1820">
        <v>0.94</v>
      </c>
      <c r="T27" s="1819">
        <v>22238085</v>
      </c>
      <c r="U27" s="1819">
        <v>22307280</v>
      </c>
    </row>
    <row r="28" spans="1:21">
      <c r="A28" s="1816" t="s">
        <v>579</v>
      </c>
      <c r="B28" s="1817">
        <v>25</v>
      </c>
      <c r="C28" s="1818" t="s">
        <v>580</v>
      </c>
      <c r="D28" s="1817" t="s">
        <v>524</v>
      </c>
      <c r="E28" s="1818" t="s">
        <v>541</v>
      </c>
      <c r="F28" s="1817" t="s">
        <v>529</v>
      </c>
      <c r="G28" s="1817">
        <v>12500</v>
      </c>
      <c r="H28" s="1817"/>
      <c r="I28" s="1819"/>
      <c r="J28" s="1819">
        <f t="shared" si="0"/>
        <v>12500</v>
      </c>
      <c r="K28" s="1819">
        <v>5573040</v>
      </c>
      <c r="L28" s="1819">
        <v>2752320</v>
      </c>
      <c r="M28" s="1819">
        <v>1388640</v>
      </c>
      <c r="N28" s="1819">
        <v>5508060</v>
      </c>
      <c r="O28" s="1819">
        <v>5417040</v>
      </c>
      <c r="P28" s="1819">
        <v>5239800</v>
      </c>
      <c r="Q28" s="1819">
        <v>5342640</v>
      </c>
      <c r="R28" s="1819">
        <v>57417711</v>
      </c>
      <c r="S28" s="1820">
        <v>1</v>
      </c>
      <c r="T28" s="1819">
        <v>58215191</v>
      </c>
      <c r="U28" s="1819">
        <v>52206180</v>
      </c>
    </row>
    <row r="29" spans="1:21">
      <c r="A29" s="1816" t="s">
        <v>581</v>
      </c>
      <c r="B29" s="1817">
        <v>26</v>
      </c>
      <c r="C29" s="1818" t="s">
        <v>568</v>
      </c>
      <c r="D29" s="1817" t="s">
        <v>524</v>
      </c>
      <c r="E29" s="1818" t="s">
        <v>541</v>
      </c>
      <c r="F29" s="1817" t="s">
        <v>529</v>
      </c>
      <c r="G29" s="1817">
        <v>13000</v>
      </c>
      <c r="H29" s="1817">
        <v>2000</v>
      </c>
      <c r="I29" s="1819"/>
      <c r="J29" s="1819">
        <f t="shared" si="0"/>
        <v>15000</v>
      </c>
      <c r="K29" s="1819">
        <v>3380040</v>
      </c>
      <c r="L29" s="1819">
        <v>238680</v>
      </c>
      <c r="M29" s="1819">
        <v>4941360</v>
      </c>
      <c r="N29" s="1819">
        <v>6182760</v>
      </c>
      <c r="O29" s="1819">
        <v>5269920</v>
      </c>
      <c r="P29" s="1819">
        <v>6004680</v>
      </c>
      <c r="Q29" s="1819">
        <v>6457440</v>
      </c>
      <c r="R29" s="1819">
        <v>64940686</v>
      </c>
      <c r="S29" s="1820">
        <v>1</v>
      </c>
      <c r="T29" s="1819">
        <v>69784643</v>
      </c>
      <c r="U29" s="1819">
        <v>66324720</v>
      </c>
    </row>
    <row r="30" spans="1:21">
      <c r="A30" s="1816" t="s">
        <v>582</v>
      </c>
      <c r="B30" s="1817">
        <v>27</v>
      </c>
      <c r="C30" s="1818" t="s">
        <v>583</v>
      </c>
      <c r="D30" s="1817" t="s">
        <v>524</v>
      </c>
      <c r="E30" s="1818" t="s">
        <v>541</v>
      </c>
      <c r="F30" s="1817" t="s">
        <v>529</v>
      </c>
      <c r="G30" s="1817">
        <v>2500</v>
      </c>
      <c r="H30" s="1817"/>
      <c r="I30" s="1819"/>
      <c r="J30" s="1819">
        <f t="shared" si="0"/>
        <v>2500</v>
      </c>
      <c r="K30" s="1819">
        <v>351521</v>
      </c>
      <c r="L30" s="1819">
        <v>6120</v>
      </c>
      <c r="M30" s="1819">
        <v>13320</v>
      </c>
      <c r="N30" s="1819">
        <v>1768393</v>
      </c>
      <c r="O30" s="1819">
        <v>16560</v>
      </c>
      <c r="P30" s="1819">
        <v>12480</v>
      </c>
      <c r="Q30" s="1819">
        <v>4080</v>
      </c>
      <c r="R30" s="1819">
        <v>2248474</v>
      </c>
      <c r="S30" s="1820">
        <v>0.89</v>
      </c>
      <c r="T30" s="1819">
        <v>2279706</v>
      </c>
      <c r="U30" s="1819">
        <v>2552282</v>
      </c>
    </row>
    <row r="31" spans="1:21">
      <c r="A31" s="1816" t="s">
        <v>584</v>
      </c>
      <c r="B31" s="1817">
        <v>28</v>
      </c>
      <c r="C31" s="1818" t="s">
        <v>585</v>
      </c>
      <c r="D31" s="1817" t="s">
        <v>524</v>
      </c>
      <c r="E31" s="1818" t="s">
        <v>541</v>
      </c>
      <c r="F31" s="1817" t="s">
        <v>529</v>
      </c>
      <c r="G31" s="1817">
        <v>27000</v>
      </c>
      <c r="H31" s="1817"/>
      <c r="I31" s="1819"/>
      <c r="J31" s="1819">
        <f t="shared" si="0"/>
        <v>27000</v>
      </c>
      <c r="K31" s="1819">
        <v>7381560</v>
      </c>
      <c r="L31" s="1819">
        <v>8548200</v>
      </c>
      <c r="M31" s="1819">
        <v>7489800</v>
      </c>
      <c r="N31" s="1819">
        <v>9006360</v>
      </c>
      <c r="O31" s="1819">
        <v>9354240</v>
      </c>
      <c r="P31" s="1819">
        <v>8975040</v>
      </c>
      <c r="Q31" s="1819">
        <v>10630440</v>
      </c>
      <c r="R31" s="1819">
        <v>113509088</v>
      </c>
      <c r="S31" s="1820">
        <v>1</v>
      </c>
      <c r="T31" s="1819">
        <v>115085607</v>
      </c>
      <c r="U31" s="1819">
        <v>100483920</v>
      </c>
    </row>
    <row r="32" spans="1:21">
      <c r="A32" s="1816" t="s">
        <v>586</v>
      </c>
      <c r="B32" s="1817">
        <v>29</v>
      </c>
      <c r="C32" s="1818" t="s">
        <v>587</v>
      </c>
      <c r="D32" s="1817" t="s">
        <v>524</v>
      </c>
      <c r="E32" s="1818" t="s">
        <v>541</v>
      </c>
      <c r="F32" s="1817" t="s">
        <v>529</v>
      </c>
      <c r="G32" s="1817">
        <v>4445</v>
      </c>
      <c r="H32" s="1817"/>
      <c r="I32" s="1819"/>
      <c r="J32" s="1819">
        <f t="shared" si="0"/>
        <v>4445</v>
      </c>
      <c r="K32" s="1819">
        <v>739980</v>
      </c>
      <c r="L32" s="1819">
        <v>1684260</v>
      </c>
      <c r="M32" s="1819">
        <v>992280</v>
      </c>
      <c r="N32" s="1819">
        <v>43260</v>
      </c>
      <c r="O32" s="1819">
        <v>330060</v>
      </c>
      <c r="P32" s="1819">
        <v>41071</v>
      </c>
      <c r="Q32" s="1819">
        <v>170640</v>
      </c>
      <c r="R32" s="1819">
        <v>4838237</v>
      </c>
      <c r="S32" s="1820">
        <v>0.71</v>
      </c>
      <c r="T32" s="1819">
        <v>4905445</v>
      </c>
      <c r="U32" s="1819">
        <v>1999860</v>
      </c>
    </row>
    <row r="33" spans="1:21">
      <c r="A33" s="1816" t="s">
        <v>588</v>
      </c>
      <c r="B33" s="1817">
        <v>30</v>
      </c>
      <c r="C33" s="1818" t="s">
        <v>589</v>
      </c>
      <c r="D33" s="1817" t="s">
        <v>524</v>
      </c>
      <c r="E33" s="1818" t="s">
        <v>541</v>
      </c>
      <c r="F33" s="1817" t="s">
        <v>529</v>
      </c>
      <c r="G33" s="1817">
        <v>6500</v>
      </c>
      <c r="H33" s="1817"/>
      <c r="I33" s="1819"/>
      <c r="J33" s="1819">
        <f t="shared" si="0"/>
        <v>6500</v>
      </c>
      <c r="K33" s="1819">
        <v>572100</v>
      </c>
      <c r="L33" s="1819">
        <v>231360</v>
      </c>
      <c r="M33" s="1819">
        <v>276780</v>
      </c>
      <c r="N33" s="1819">
        <v>601320</v>
      </c>
      <c r="O33" s="1819">
        <v>592620</v>
      </c>
      <c r="P33" s="1819">
        <v>242880</v>
      </c>
      <c r="Q33" s="1819">
        <v>190140</v>
      </c>
      <c r="R33" s="1819">
        <v>4832718</v>
      </c>
      <c r="S33" s="1820">
        <v>0.99</v>
      </c>
      <c r="T33" s="1819">
        <v>4899844</v>
      </c>
      <c r="U33" s="1819">
        <v>8030460</v>
      </c>
    </row>
    <row r="34" spans="1:21" s="1828" customFormat="1">
      <c r="A34" s="1821"/>
      <c r="B34" s="1822">
        <v>31</v>
      </c>
      <c r="C34" s="1823" t="s">
        <v>590</v>
      </c>
      <c r="D34" s="1822" t="s">
        <v>591</v>
      </c>
      <c r="E34" s="1824"/>
      <c r="F34" s="1822"/>
      <c r="G34" s="1822"/>
      <c r="H34" s="1822"/>
      <c r="I34" s="1825">
        <v>19000</v>
      </c>
      <c r="J34" s="1826">
        <f t="shared" si="0"/>
        <v>19000</v>
      </c>
      <c r="K34" s="1826"/>
      <c r="L34" s="1826"/>
      <c r="M34" s="1826"/>
      <c r="N34" s="1826"/>
      <c r="O34" s="1826"/>
      <c r="P34" s="1826"/>
      <c r="Q34" s="1826"/>
      <c r="R34" s="1826"/>
      <c r="S34" s="1827">
        <v>0.95</v>
      </c>
      <c r="T34" s="1826">
        <v>7469280</v>
      </c>
      <c r="U34" s="1826"/>
    </row>
    <row r="35" spans="1:21" s="1828" customFormat="1">
      <c r="A35" s="1821"/>
      <c r="B35" s="1822">
        <v>32</v>
      </c>
      <c r="C35" s="1829" t="s">
        <v>592</v>
      </c>
      <c r="D35" s="1822" t="s">
        <v>591</v>
      </c>
      <c r="E35" s="1824"/>
      <c r="F35" s="1822"/>
      <c r="G35" s="1822"/>
      <c r="H35" s="1822"/>
      <c r="I35" s="1825">
        <v>18000</v>
      </c>
      <c r="J35" s="1826">
        <f t="shared" si="0"/>
        <v>18000</v>
      </c>
      <c r="K35" s="1826"/>
      <c r="L35" s="1826"/>
      <c r="M35" s="1826"/>
      <c r="N35" s="1826"/>
      <c r="O35" s="1826"/>
      <c r="P35" s="1826"/>
      <c r="Q35" s="1826"/>
      <c r="R35" s="1826"/>
      <c r="S35" s="1827">
        <v>0.95</v>
      </c>
      <c r="T35" s="1826">
        <v>3499200</v>
      </c>
      <c r="U35" s="1826"/>
    </row>
    <row r="36" spans="1:21">
      <c r="A36" s="1816" t="s">
        <v>593</v>
      </c>
      <c r="B36" s="1817">
        <v>33</v>
      </c>
      <c r="C36" s="1818" t="s">
        <v>594</v>
      </c>
      <c r="D36" s="1817" t="s">
        <v>524</v>
      </c>
      <c r="E36" s="1818" t="s">
        <v>595</v>
      </c>
      <c r="F36" s="1817" t="s">
        <v>529</v>
      </c>
      <c r="G36" s="1817">
        <v>19500</v>
      </c>
      <c r="H36" s="1817"/>
      <c r="I36" s="1819"/>
      <c r="J36" s="1819">
        <f t="shared" si="0"/>
        <v>19500</v>
      </c>
      <c r="K36" s="1819">
        <v>4376520</v>
      </c>
      <c r="L36" s="1819">
        <v>1536398</v>
      </c>
      <c r="M36" s="1819">
        <v>4338120</v>
      </c>
      <c r="N36" s="1819">
        <v>7931066</v>
      </c>
      <c r="O36" s="1819">
        <v>6166745</v>
      </c>
      <c r="P36" s="1819">
        <v>6465937</v>
      </c>
      <c r="Q36" s="1819">
        <v>3734727</v>
      </c>
      <c r="R36" s="1819">
        <v>52861723</v>
      </c>
      <c r="S36" s="1820">
        <v>0.99</v>
      </c>
      <c r="T36" s="1819">
        <v>53595918</v>
      </c>
      <c r="U36" s="1819">
        <v>131651403</v>
      </c>
    </row>
    <row r="37" spans="1:21">
      <c r="A37" s="1816" t="s">
        <v>596</v>
      </c>
      <c r="B37" s="1817">
        <v>34</v>
      </c>
      <c r="C37" s="1818" t="s">
        <v>597</v>
      </c>
      <c r="D37" s="1817" t="s">
        <v>524</v>
      </c>
      <c r="E37" s="1818" t="s">
        <v>595</v>
      </c>
      <c r="F37" s="1817" t="s">
        <v>529</v>
      </c>
      <c r="G37" s="1817">
        <v>12000</v>
      </c>
      <c r="H37" s="1817"/>
      <c r="I37" s="1819"/>
      <c r="J37" s="1819">
        <f t="shared" si="0"/>
        <v>12000</v>
      </c>
      <c r="K37" s="1819">
        <v>1534540</v>
      </c>
      <c r="L37" s="1819">
        <v>2346643</v>
      </c>
      <c r="M37" s="1819">
        <v>6821361</v>
      </c>
      <c r="N37" s="1819">
        <v>4775183</v>
      </c>
      <c r="O37" s="1819">
        <v>5519543</v>
      </c>
      <c r="P37" s="1819">
        <v>3689170</v>
      </c>
      <c r="Q37" s="1819">
        <v>2629933</v>
      </c>
      <c r="R37" s="1819">
        <v>40211528</v>
      </c>
      <c r="S37" s="1820">
        <v>0.99</v>
      </c>
      <c r="T37" s="1819">
        <v>40770028</v>
      </c>
      <c r="U37" s="1819">
        <v>42742358</v>
      </c>
    </row>
    <row r="38" spans="1:21">
      <c r="A38" s="1816" t="s">
        <v>598</v>
      </c>
      <c r="B38" s="1817">
        <v>35</v>
      </c>
      <c r="C38" s="1818" t="s">
        <v>599</v>
      </c>
      <c r="D38" s="1817" t="s">
        <v>524</v>
      </c>
      <c r="E38" s="1818" t="s">
        <v>595</v>
      </c>
      <c r="F38" s="1817" t="s">
        <v>529</v>
      </c>
      <c r="G38" s="1817">
        <v>10000</v>
      </c>
      <c r="H38" s="1817"/>
      <c r="I38" s="1819"/>
      <c r="J38" s="1819">
        <f t="shared" si="0"/>
        <v>10000</v>
      </c>
      <c r="K38" s="1819">
        <v>3028072</v>
      </c>
      <c r="L38" s="1819">
        <v>2252421</v>
      </c>
      <c r="M38" s="1819">
        <v>5623252</v>
      </c>
      <c r="N38" s="1819">
        <v>2916225</v>
      </c>
      <c r="O38" s="1819">
        <v>5127720</v>
      </c>
      <c r="P38" s="1819">
        <v>3534967</v>
      </c>
      <c r="Q38" s="1819">
        <v>2651254</v>
      </c>
      <c r="R38" s="1819">
        <v>38133608</v>
      </c>
      <c r="S38" s="1820">
        <v>0.99</v>
      </c>
      <c r="T38" s="1819">
        <v>38663248</v>
      </c>
      <c r="U38" s="1819">
        <v>29051653</v>
      </c>
    </row>
    <row r="39" spans="1:21">
      <c r="A39" s="1816" t="s">
        <v>600</v>
      </c>
      <c r="B39" s="1817">
        <v>36</v>
      </c>
      <c r="C39" s="1818" t="s">
        <v>601</v>
      </c>
      <c r="D39" s="1817" t="s">
        <v>524</v>
      </c>
      <c r="E39" s="1818" t="s">
        <v>602</v>
      </c>
      <c r="F39" s="1817" t="s">
        <v>529</v>
      </c>
      <c r="G39" s="1817">
        <v>17000</v>
      </c>
      <c r="H39" s="1817"/>
      <c r="I39" s="1819"/>
      <c r="J39" s="1819">
        <f t="shared" si="0"/>
        <v>17000</v>
      </c>
      <c r="K39" s="1819">
        <v>5503200</v>
      </c>
      <c r="L39" s="1819">
        <v>5908800</v>
      </c>
      <c r="M39" s="1819">
        <v>3631200</v>
      </c>
      <c r="N39" s="1819">
        <v>3758400</v>
      </c>
      <c r="O39" s="1819">
        <v>5308800</v>
      </c>
      <c r="P39" s="1819">
        <v>5452800</v>
      </c>
      <c r="Q39" s="1819">
        <v>5464800</v>
      </c>
      <c r="R39" s="1819">
        <v>59992480</v>
      </c>
      <c r="S39" s="1820">
        <v>0.99</v>
      </c>
      <c r="T39" s="1819">
        <v>60825718</v>
      </c>
      <c r="U39" s="1819">
        <v>60984000</v>
      </c>
    </row>
    <row r="40" spans="1:21">
      <c r="A40" s="1816" t="s">
        <v>603</v>
      </c>
      <c r="B40" s="1817">
        <v>37</v>
      </c>
      <c r="C40" s="1818" t="s">
        <v>604</v>
      </c>
      <c r="D40" s="1817" t="s">
        <v>524</v>
      </c>
      <c r="E40" s="1818" t="s">
        <v>602</v>
      </c>
      <c r="F40" s="1817" t="s">
        <v>529</v>
      </c>
      <c r="G40" s="1817">
        <v>18000</v>
      </c>
      <c r="H40" s="1817"/>
      <c r="I40" s="1819"/>
      <c r="J40" s="1819">
        <f t="shared" si="0"/>
        <v>18000</v>
      </c>
      <c r="K40" s="1819">
        <v>5448380</v>
      </c>
      <c r="L40" s="1819">
        <v>6034070</v>
      </c>
      <c r="M40" s="1819">
        <v>3802050</v>
      </c>
      <c r="N40" s="1819">
        <v>5776980</v>
      </c>
      <c r="O40" s="1819">
        <v>5562730</v>
      </c>
      <c r="P40" s="1819">
        <v>6042740</v>
      </c>
      <c r="Q40" s="1819">
        <v>5971270</v>
      </c>
      <c r="R40" s="1819">
        <v>66223646</v>
      </c>
      <c r="S40" s="1820">
        <v>0.97</v>
      </c>
      <c r="T40" s="1819">
        <v>67143432</v>
      </c>
      <c r="U40" s="1819">
        <v>64033070</v>
      </c>
    </row>
    <row r="41" spans="1:21">
      <c r="A41" s="1816" t="s">
        <v>605</v>
      </c>
      <c r="B41" s="1817">
        <v>38</v>
      </c>
      <c r="C41" s="1818" t="s">
        <v>606</v>
      </c>
      <c r="D41" s="1817" t="s">
        <v>524</v>
      </c>
      <c r="E41" s="1818" t="s">
        <v>602</v>
      </c>
      <c r="F41" s="1817" t="s">
        <v>529</v>
      </c>
      <c r="G41" s="1817">
        <v>16500</v>
      </c>
      <c r="H41" s="1817"/>
      <c r="I41" s="1819"/>
      <c r="J41" s="1819">
        <f t="shared" si="0"/>
        <v>16500</v>
      </c>
      <c r="K41" s="1819">
        <v>5197440</v>
      </c>
      <c r="L41" s="1819">
        <v>5487480</v>
      </c>
      <c r="M41" s="1819">
        <v>3238560</v>
      </c>
      <c r="N41" s="1819">
        <v>5034480</v>
      </c>
      <c r="O41" s="1819">
        <v>4985880</v>
      </c>
      <c r="P41" s="1819">
        <v>5129160</v>
      </c>
      <c r="Q41" s="1819">
        <v>5188920</v>
      </c>
      <c r="R41" s="1819">
        <v>58812454</v>
      </c>
      <c r="S41" s="1820">
        <v>0.97</v>
      </c>
      <c r="T41" s="1819">
        <v>59629296</v>
      </c>
      <c r="U41" s="1819">
        <v>60288240</v>
      </c>
    </row>
    <row r="42" spans="1:21">
      <c r="A42" s="1816" t="s">
        <v>607</v>
      </c>
      <c r="B42" s="1817">
        <v>39</v>
      </c>
      <c r="C42" s="1818" t="s">
        <v>608</v>
      </c>
      <c r="D42" s="1817" t="s">
        <v>524</v>
      </c>
      <c r="E42" s="1818" t="s">
        <v>602</v>
      </c>
      <c r="F42" s="1817" t="s">
        <v>529</v>
      </c>
      <c r="G42" s="1817">
        <v>22000</v>
      </c>
      <c r="H42" s="1817"/>
      <c r="I42" s="1819"/>
      <c r="J42" s="1819">
        <f t="shared" si="0"/>
        <v>22000</v>
      </c>
      <c r="K42" s="1819">
        <v>7355400</v>
      </c>
      <c r="L42" s="1819">
        <v>8330700</v>
      </c>
      <c r="M42" s="1819">
        <v>5843900</v>
      </c>
      <c r="N42" s="1819">
        <v>9185600</v>
      </c>
      <c r="O42" s="1819">
        <v>7516000</v>
      </c>
      <c r="P42" s="1819">
        <v>7817100</v>
      </c>
      <c r="Q42" s="1819">
        <v>8189400</v>
      </c>
      <c r="R42" s="1819">
        <v>93123667</v>
      </c>
      <c r="S42" s="1820">
        <v>0.97</v>
      </c>
      <c r="T42" s="1819">
        <v>94417057</v>
      </c>
      <c r="U42" s="1819">
        <v>88748500</v>
      </c>
    </row>
    <row r="43" spans="1:21">
      <c r="A43" s="1816" t="s">
        <v>609</v>
      </c>
      <c r="B43" s="1817">
        <v>40</v>
      </c>
      <c r="C43" s="1818" t="s">
        <v>610</v>
      </c>
      <c r="D43" s="1817" t="s">
        <v>524</v>
      </c>
      <c r="E43" s="1818" t="s">
        <v>602</v>
      </c>
      <c r="F43" s="1817" t="s">
        <v>529</v>
      </c>
      <c r="G43" s="1817">
        <v>17500</v>
      </c>
      <c r="H43" s="1817"/>
      <c r="I43" s="1819"/>
      <c r="J43" s="1819">
        <f t="shared" si="0"/>
        <v>17500</v>
      </c>
      <c r="K43" s="1819">
        <v>3024720</v>
      </c>
      <c r="L43" s="1819">
        <v>2960400</v>
      </c>
      <c r="M43" s="1819">
        <v>3149760</v>
      </c>
      <c r="N43" s="1819">
        <v>2931360</v>
      </c>
      <c r="O43" s="1819">
        <v>3034800</v>
      </c>
      <c r="P43" s="1819">
        <v>2535120</v>
      </c>
      <c r="Q43" s="1819">
        <v>3103920</v>
      </c>
      <c r="R43" s="1819">
        <v>35632838</v>
      </c>
      <c r="S43" s="1820">
        <v>0.98</v>
      </c>
      <c r="T43" s="1819">
        <v>36127736</v>
      </c>
      <c r="U43" s="1819">
        <v>30183600</v>
      </c>
    </row>
    <row r="44" spans="1:21">
      <c r="A44" s="1816" t="s">
        <v>611</v>
      </c>
      <c r="B44" s="1817">
        <v>41</v>
      </c>
      <c r="C44" s="1818" t="s">
        <v>612</v>
      </c>
      <c r="D44" s="1817" t="s">
        <v>613</v>
      </c>
      <c r="E44" s="1818" t="s">
        <v>602</v>
      </c>
      <c r="F44" s="1817" t="s">
        <v>529</v>
      </c>
      <c r="G44" s="1817"/>
      <c r="H44" s="1817">
        <v>6000</v>
      </c>
      <c r="I44" s="1819"/>
      <c r="J44" s="1819">
        <f t="shared" si="0"/>
        <v>6000</v>
      </c>
      <c r="K44" s="1819"/>
      <c r="L44" s="1819"/>
      <c r="M44" s="1819"/>
      <c r="N44" s="1819"/>
      <c r="O44" s="1819"/>
      <c r="P44" s="1819"/>
      <c r="Q44" s="1819">
        <v>11040</v>
      </c>
      <c r="R44" s="1819">
        <v>3294240</v>
      </c>
      <c r="S44" s="1820">
        <v>0.96</v>
      </c>
      <c r="T44" s="1819">
        <v>3339996</v>
      </c>
      <c r="U44" s="1819"/>
    </row>
    <row r="45" spans="1:21">
      <c r="A45" s="1816" t="s">
        <v>614</v>
      </c>
      <c r="B45" s="1817">
        <v>42</v>
      </c>
      <c r="C45" s="1818" t="s">
        <v>615</v>
      </c>
      <c r="D45" s="1817" t="s">
        <v>524</v>
      </c>
      <c r="E45" s="1818" t="s">
        <v>602</v>
      </c>
      <c r="F45" s="1817" t="s">
        <v>529</v>
      </c>
      <c r="G45" s="1817">
        <v>26000</v>
      </c>
      <c r="H45" s="1817"/>
      <c r="I45" s="1819"/>
      <c r="J45" s="1819">
        <f t="shared" si="0"/>
        <v>26000</v>
      </c>
      <c r="K45" s="1819">
        <v>5374560</v>
      </c>
      <c r="L45" s="1819">
        <v>5189760</v>
      </c>
      <c r="M45" s="1819">
        <v>5279760</v>
      </c>
      <c r="N45" s="1819">
        <v>4968720</v>
      </c>
      <c r="O45" s="1819">
        <v>5005920</v>
      </c>
      <c r="P45" s="1819">
        <v>4567680</v>
      </c>
      <c r="Q45" s="1819">
        <v>5555520</v>
      </c>
      <c r="R45" s="1819">
        <v>61601546</v>
      </c>
      <c r="S45" s="1820">
        <v>0.98</v>
      </c>
      <c r="T45" s="1819">
        <v>62457118</v>
      </c>
      <c r="U45" s="1819">
        <v>55961760</v>
      </c>
    </row>
    <row r="46" spans="1:21">
      <c r="A46" s="1816" t="s">
        <v>616</v>
      </c>
      <c r="B46" s="1817">
        <v>43</v>
      </c>
      <c r="C46" s="1818" t="s">
        <v>617</v>
      </c>
      <c r="D46" s="1817" t="s">
        <v>524</v>
      </c>
      <c r="E46" s="1818" t="s">
        <v>602</v>
      </c>
      <c r="F46" s="1817" t="s">
        <v>529</v>
      </c>
      <c r="G46" s="1817">
        <v>19000</v>
      </c>
      <c r="H46" s="1817"/>
      <c r="I46" s="1819"/>
      <c r="J46" s="1819">
        <f t="shared" si="0"/>
        <v>19000</v>
      </c>
      <c r="K46" s="1819">
        <v>2988960</v>
      </c>
      <c r="L46" s="1819">
        <v>2901840</v>
      </c>
      <c r="M46" s="1819">
        <v>2382480</v>
      </c>
      <c r="N46" s="1819">
        <v>2658240</v>
      </c>
      <c r="O46" s="1819">
        <v>2648640</v>
      </c>
      <c r="P46" s="1819">
        <v>2412720</v>
      </c>
      <c r="Q46" s="1819">
        <v>2628480</v>
      </c>
      <c r="R46" s="1819">
        <v>32126458</v>
      </c>
      <c r="S46" s="1820">
        <v>0.98</v>
      </c>
      <c r="T46" s="1819">
        <v>32572660</v>
      </c>
      <c r="U46" s="1819">
        <v>48197760</v>
      </c>
    </row>
    <row r="47" spans="1:21">
      <c r="A47" s="1816" t="s">
        <v>618</v>
      </c>
      <c r="B47" s="1817">
        <v>44</v>
      </c>
      <c r="C47" s="1818" t="s">
        <v>619</v>
      </c>
      <c r="D47" s="1817" t="s">
        <v>524</v>
      </c>
      <c r="E47" s="1818" t="s">
        <v>602</v>
      </c>
      <c r="F47" s="1817" t="s">
        <v>529</v>
      </c>
      <c r="G47" s="1817">
        <v>22500</v>
      </c>
      <c r="H47" s="1817"/>
      <c r="I47" s="1819"/>
      <c r="J47" s="1819">
        <f t="shared" si="0"/>
        <v>22500</v>
      </c>
      <c r="K47" s="1819">
        <v>4446720</v>
      </c>
      <c r="L47" s="1819">
        <v>4914960</v>
      </c>
      <c r="M47" s="1819">
        <v>4544880</v>
      </c>
      <c r="N47" s="1819">
        <v>5099760</v>
      </c>
      <c r="O47" s="1819">
        <v>5400240</v>
      </c>
      <c r="P47" s="1819">
        <v>5054400</v>
      </c>
      <c r="Q47" s="1819">
        <v>5629200</v>
      </c>
      <c r="R47" s="1819">
        <v>59968304</v>
      </c>
      <c r="S47" s="1820">
        <v>0.98</v>
      </c>
      <c r="T47" s="1819">
        <v>60801204</v>
      </c>
      <c r="U47" s="1819">
        <v>54775680</v>
      </c>
    </row>
    <row r="48" spans="1:21">
      <c r="A48" s="1816"/>
      <c r="B48" s="1830">
        <f>B47</f>
        <v>44</v>
      </c>
      <c r="C48" s="1831"/>
      <c r="D48" s="1832"/>
      <c r="E48" s="1833" t="s">
        <v>620</v>
      </c>
      <c r="F48" s="1830"/>
      <c r="G48" s="1830">
        <f>SUM(G5:G47)</f>
        <v>765889</v>
      </c>
      <c r="H48" s="1830">
        <f t="shared" ref="H48:U48" si="1">SUM(H5:H47)</f>
        <v>97000</v>
      </c>
      <c r="I48" s="1834">
        <f t="shared" si="1"/>
        <v>61000</v>
      </c>
      <c r="J48" s="1834">
        <f t="shared" si="1"/>
        <v>923889</v>
      </c>
      <c r="K48" s="1834">
        <f t="shared" si="1"/>
        <v>274621808</v>
      </c>
      <c r="L48" s="1834">
        <f t="shared" si="1"/>
        <v>259125122</v>
      </c>
      <c r="M48" s="1834">
        <f t="shared" si="1"/>
        <v>254871529</v>
      </c>
      <c r="N48" s="1834">
        <f t="shared" si="1"/>
        <v>275583986</v>
      </c>
      <c r="O48" s="1834">
        <f t="shared" si="1"/>
        <v>277777973</v>
      </c>
      <c r="P48" s="1834">
        <f t="shared" si="1"/>
        <v>263208685</v>
      </c>
      <c r="Q48" s="1834">
        <f t="shared" si="1"/>
        <v>280111283</v>
      </c>
      <c r="R48" s="1834">
        <f t="shared" si="1"/>
        <v>3314545518</v>
      </c>
      <c r="S48" s="1834"/>
      <c r="T48" s="1834">
        <f t="shared" si="1"/>
        <v>3555256339</v>
      </c>
      <c r="U48" s="1834">
        <f t="shared" si="1"/>
        <v>2651825711</v>
      </c>
    </row>
    <row r="49" spans="1:21">
      <c r="A49" s="1816" t="s">
        <v>621</v>
      </c>
      <c r="B49" s="1817">
        <v>1</v>
      </c>
      <c r="C49" s="1818" t="s">
        <v>622</v>
      </c>
      <c r="D49" s="1817" t="s">
        <v>524</v>
      </c>
      <c r="E49" s="1818" t="s">
        <v>623</v>
      </c>
      <c r="F49" s="1817" t="s">
        <v>624</v>
      </c>
      <c r="G49" s="1817">
        <v>1430</v>
      </c>
      <c r="H49" s="1817"/>
      <c r="I49" s="1819"/>
      <c r="J49" s="1819">
        <f>G49+H49+I49</f>
        <v>1430</v>
      </c>
      <c r="K49" s="1819">
        <v>7884</v>
      </c>
      <c r="L49" s="1819">
        <v>113256</v>
      </c>
      <c r="M49" s="1819">
        <v>350271</v>
      </c>
      <c r="N49" s="1819">
        <v>512676</v>
      </c>
      <c r="O49" s="1819">
        <v>462861</v>
      </c>
      <c r="P49" s="1819">
        <v>399960</v>
      </c>
      <c r="Q49" s="1819">
        <v>426051</v>
      </c>
      <c r="R49" s="1819">
        <v>4361983</v>
      </c>
      <c r="S49" s="1820">
        <v>0.98</v>
      </c>
      <c r="T49" s="1835">
        <v>4878156</v>
      </c>
      <c r="U49" s="1819">
        <v>0</v>
      </c>
    </row>
    <row r="50" spans="1:21">
      <c r="A50" s="1816" t="s">
        <v>625</v>
      </c>
      <c r="B50" s="1817">
        <v>2</v>
      </c>
      <c r="C50" s="1818" t="s">
        <v>626</v>
      </c>
      <c r="D50" s="1817" t="s">
        <v>524</v>
      </c>
      <c r="E50" s="1818" t="s">
        <v>623</v>
      </c>
      <c r="F50" s="1817" t="s">
        <v>624</v>
      </c>
      <c r="G50" s="1817">
        <v>3000</v>
      </c>
      <c r="H50" s="1817"/>
      <c r="I50" s="1819"/>
      <c r="J50" s="1819">
        <f t="shared" ref="J50:J113" si="2">G50+H50+I50</f>
        <v>3000</v>
      </c>
      <c r="K50" s="1819">
        <v>645120</v>
      </c>
      <c r="L50" s="1819">
        <v>1157070</v>
      </c>
      <c r="M50" s="1819">
        <v>1142160</v>
      </c>
      <c r="N50" s="1819">
        <v>1291050</v>
      </c>
      <c r="O50" s="1819">
        <v>1098540</v>
      </c>
      <c r="P50" s="1819">
        <v>847890</v>
      </c>
      <c r="Q50" s="1819">
        <v>758730</v>
      </c>
      <c r="R50" s="1819">
        <v>10660785</v>
      </c>
      <c r="S50" s="1820">
        <v>0.99</v>
      </c>
      <c r="T50" s="1835">
        <v>11922318</v>
      </c>
      <c r="U50" s="1819">
        <v>11242350</v>
      </c>
    </row>
    <row r="51" spans="1:21">
      <c r="A51" s="1816" t="s">
        <v>627</v>
      </c>
      <c r="B51" s="1817">
        <v>3</v>
      </c>
      <c r="C51" s="1818" t="s">
        <v>628</v>
      </c>
      <c r="D51" s="1817" t="s">
        <v>524</v>
      </c>
      <c r="E51" s="1818" t="s">
        <v>629</v>
      </c>
      <c r="F51" s="1817" t="s">
        <v>624</v>
      </c>
      <c r="G51" s="1817">
        <v>1236</v>
      </c>
      <c r="H51" s="1817"/>
      <c r="I51" s="1819"/>
      <c r="J51" s="1819">
        <f t="shared" si="2"/>
        <v>1236</v>
      </c>
      <c r="K51" s="1819">
        <v>390720</v>
      </c>
      <c r="L51" s="1819">
        <v>413445</v>
      </c>
      <c r="M51" s="1819">
        <v>387405</v>
      </c>
      <c r="N51" s="1819">
        <v>430605</v>
      </c>
      <c r="O51" s="1819">
        <v>410955</v>
      </c>
      <c r="P51" s="1819">
        <v>423210</v>
      </c>
      <c r="Q51" s="1819">
        <v>427470</v>
      </c>
      <c r="R51" s="1819">
        <v>4979792</v>
      </c>
      <c r="S51" s="1820">
        <v>0.98</v>
      </c>
      <c r="T51" s="1835">
        <v>5062794</v>
      </c>
      <c r="U51" s="1819">
        <v>5403120</v>
      </c>
    </row>
    <row r="52" spans="1:21">
      <c r="A52" s="1816" t="s">
        <v>630</v>
      </c>
      <c r="B52" s="1817">
        <v>4</v>
      </c>
      <c r="C52" s="1818" t="s">
        <v>631</v>
      </c>
      <c r="D52" s="1817" t="s">
        <v>524</v>
      </c>
      <c r="E52" s="1818" t="s">
        <v>525</v>
      </c>
      <c r="F52" s="1817" t="s">
        <v>624</v>
      </c>
      <c r="G52" s="1817">
        <v>1600</v>
      </c>
      <c r="H52" s="1817"/>
      <c r="I52" s="1819"/>
      <c r="J52" s="1819">
        <f t="shared" si="2"/>
        <v>1600</v>
      </c>
      <c r="K52" s="1819">
        <v>60</v>
      </c>
      <c r="L52" s="1819">
        <v>1320</v>
      </c>
      <c r="M52" s="1819">
        <v>180</v>
      </c>
      <c r="N52" s="1819">
        <v>300</v>
      </c>
      <c r="O52" s="1819">
        <v>2580</v>
      </c>
      <c r="P52" s="1819">
        <v>13920</v>
      </c>
      <c r="Q52" s="1819">
        <v>180</v>
      </c>
      <c r="R52" s="1819">
        <v>23540</v>
      </c>
      <c r="S52" s="1820">
        <v>0.8</v>
      </c>
      <c r="T52" s="1835">
        <v>12000</v>
      </c>
      <c r="U52" s="1819">
        <v>90510</v>
      </c>
    </row>
    <row r="53" spans="1:21">
      <c r="A53" s="1816" t="s">
        <v>632</v>
      </c>
      <c r="B53" s="1817">
        <v>5</v>
      </c>
      <c r="C53" s="1818" t="s">
        <v>633</v>
      </c>
      <c r="D53" s="1817" t="s">
        <v>524</v>
      </c>
      <c r="E53" s="1818" t="s">
        <v>525</v>
      </c>
      <c r="F53" s="1817" t="s">
        <v>624</v>
      </c>
      <c r="G53" s="1817">
        <v>1500</v>
      </c>
      <c r="H53" s="1817"/>
      <c r="I53" s="1819"/>
      <c r="J53" s="1819">
        <f t="shared" si="2"/>
        <v>1500</v>
      </c>
      <c r="K53" s="1819"/>
      <c r="L53" s="1819"/>
      <c r="M53" s="1819">
        <v>6840</v>
      </c>
      <c r="N53" s="1819">
        <v>207360</v>
      </c>
      <c r="O53" s="1819">
        <v>130560</v>
      </c>
      <c r="P53" s="1819"/>
      <c r="Q53" s="1819">
        <v>120</v>
      </c>
      <c r="R53" s="1819">
        <v>347380</v>
      </c>
      <c r="S53" s="1820">
        <v>0.41</v>
      </c>
      <c r="T53" s="1835">
        <v>6000</v>
      </c>
      <c r="U53" s="1819">
        <v>50640</v>
      </c>
    </row>
    <row r="54" spans="1:21">
      <c r="A54" s="1816" t="s">
        <v>634</v>
      </c>
      <c r="B54" s="1817">
        <v>6</v>
      </c>
      <c r="C54" s="1818" t="s">
        <v>635</v>
      </c>
      <c r="D54" s="1817" t="s">
        <v>524</v>
      </c>
      <c r="E54" s="1818" t="s">
        <v>636</v>
      </c>
      <c r="F54" s="1817" t="s">
        <v>624</v>
      </c>
      <c r="G54" s="1817">
        <v>3000</v>
      </c>
      <c r="H54" s="1817"/>
      <c r="I54" s="1819"/>
      <c r="J54" s="1819">
        <f t="shared" si="2"/>
        <v>3000</v>
      </c>
      <c r="K54" s="1819">
        <v>752820</v>
      </c>
      <c r="L54" s="1819">
        <v>959280</v>
      </c>
      <c r="M54" s="1819">
        <v>959760</v>
      </c>
      <c r="N54" s="1819">
        <v>999930</v>
      </c>
      <c r="O54" s="1819">
        <v>920670</v>
      </c>
      <c r="P54" s="1819">
        <v>755640</v>
      </c>
      <c r="Q54" s="1819">
        <v>770160</v>
      </c>
      <c r="R54" s="1819">
        <v>9731198</v>
      </c>
      <c r="S54" s="1820">
        <v>0.98</v>
      </c>
      <c r="T54" s="1835">
        <v>9893382</v>
      </c>
      <c r="U54" s="1819">
        <v>8632740</v>
      </c>
    </row>
    <row r="55" spans="1:21">
      <c r="A55" s="1816" t="s">
        <v>637</v>
      </c>
      <c r="B55" s="1817">
        <v>7</v>
      </c>
      <c r="C55" s="1818" t="s">
        <v>638</v>
      </c>
      <c r="D55" s="1817" t="s">
        <v>524</v>
      </c>
      <c r="E55" s="1818" t="s">
        <v>636</v>
      </c>
      <c r="F55" s="1817" t="s">
        <v>624</v>
      </c>
      <c r="G55" s="1817">
        <v>1200</v>
      </c>
      <c r="H55" s="1817"/>
      <c r="I55" s="1819"/>
      <c r="J55" s="1819">
        <f t="shared" si="2"/>
        <v>1200</v>
      </c>
      <c r="K55" s="1819">
        <v>639747</v>
      </c>
      <c r="L55" s="1819">
        <v>678339</v>
      </c>
      <c r="M55" s="1819">
        <v>720558</v>
      </c>
      <c r="N55" s="1819">
        <v>654597</v>
      </c>
      <c r="O55" s="1819">
        <v>634653</v>
      </c>
      <c r="P55" s="1819">
        <v>621504</v>
      </c>
      <c r="Q55" s="1819">
        <v>685080</v>
      </c>
      <c r="R55" s="1819">
        <v>7302514</v>
      </c>
      <c r="S55" s="1820">
        <v>0.89</v>
      </c>
      <c r="T55" s="1835">
        <v>7424226</v>
      </c>
      <c r="U55" s="1819">
        <v>7484211</v>
      </c>
    </row>
    <row r="56" spans="1:21" s="1841" customFormat="1">
      <c r="A56" s="1836" t="s">
        <v>639</v>
      </c>
      <c r="B56" s="1837">
        <v>8</v>
      </c>
      <c r="C56" s="1838" t="s">
        <v>640</v>
      </c>
      <c r="D56" s="1837" t="s">
        <v>524</v>
      </c>
      <c r="E56" s="1838" t="s">
        <v>641</v>
      </c>
      <c r="F56" s="1837" t="s">
        <v>624</v>
      </c>
      <c r="G56" s="1837">
        <v>2000</v>
      </c>
      <c r="H56" s="1837"/>
      <c r="I56" s="1839"/>
      <c r="J56" s="1839">
        <f t="shared" si="2"/>
        <v>2000</v>
      </c>
      <c r="K56" s="1839">
        <v>37050</v>
      </c>
      <c r="L56" s="1839">
        <v>30540</v>
      </c>
      <c r="M56" s="1839">
        <v>30210</v>
      </c>
      <c r="N56" s="1839">
        <v>29595</v>
      </c>
      <c r="O56" s="1839">
        <v>27270</v>
      </c>
      <c r="P56" s="1839">
        <v>30465</v>
      </c>
      <c r="Q56" s="1839">
        <v>22065</v>
      </c>
      <c r="R56" s="1839">
        <v>332261</v>
      </c>
      <c r="S56" s="1840">
        <v>0.9</v>
      </c>
      <c r="T56" s="1835">
        <v>337806</v>
      </c>
      <c r="U56" s="1839">
        <v>313710</v>
      </c>
    </row>
    <row r="57" spans="1:21" s="1841" customFormat="1">
      <c r="A57" s="1836"/>
      <c r="B57" s="1837">
        <v>9</v>
      </c>
      <c r="C57" s="1842" t="s">
        <v>642</v>
      </c>
      <c r="D57" s="1837" t="s">
        <v>643</v>
      </c>
      <c r="E57" s="1838" t="s">
        <v>636</v>
      </c>
      <c r="F57" s="1843" t="s">
        <v>624</v>
      </c>
      <c r="G57" s="1837"/>
      <c r="H57" s="1837">
        <v>3334</v>
      </c>
      <c r="I57" s="1839"/>
      <c r="J57" s="1839">
        <f t="shared" si="2"/>
        <v>3334</v>
      </c>
      <c r="K57" s="1839"/>
      <c r="L57" s="1839"/>
      <c r="M57" s="1839"/>
      <c r="N57" s="1839"/>
      <c r="O57" s="1839"/>
      <c r="P57" s="1839"/>
      <c r="Q57" s="1839"/>
      <c r="R57" s="1839">
        <v>111622</v>
      </c>
      <c r="S57" s="1840">
        <v>0.9</v>
      </c>
      <c r="T57" s="1835">
        <v>3953592</v>
      </c>
      <c r="U57" s="1839"/>
    </row>
    <row r="58" spans="1:21">
      <c r="A58" s="1816"/>
      <c r="B58" s="1822">
        <v>10</v>
      </c>
      <c r="C58" s="1829" t="s">
        <v>644</v>
      </c>
      <c r="D58" s="1822" t="s">
        <v>591</v>
      </c>
      <c r="E58" s="1824" t="s">
        <v>636</v>
      </c>
      <c r="F58" s="1844" t="s">
        <v>645</v>
      </c>
      <c r="G58" s="1822"/>
      <c r="H58" s="1845"/>
      <c r="I58" s="1846">
        <v>1109</v>
      </c>
      <c r="J58" s="1826">
        <f t="shared" si="2"/>
        <v>1109</v>
      </c>
      <c r="K58" s="1826"/>
      <c r="L58" s="1826"/>
      <c r="M58" s="1826"/>
      <c r="N58" s="1826"/>
      <c r="O58" s="1826"/>
      <c r="P58" s="1826"/>
      <c r="Q58" s="1826"/>
      <c r="R58" s="1826"/>
      <c r="S58" s="1827">
        <v>0.9</v>
      </c>
      <c r="T58" s="1835">
        <v>658748</v>
      </c>
      <c r="U58" s="1826"/>
    </row>
    <row r="59" spans="1:21">
      <c r="A59" s="1816"/>
      <c r="B59" s="1822">
        <v>11</v>
      </c>
      <c r="C59" s="1824" t="s">
        <v>646</v>
      </c>
      <c r="D59" s="1822" t="s">
        <v>591</v>
      </c>
      <c r="E59" s="1824" t="s">
        <v>636</v>
      </c>
      <c r="F59" s="1844" t="s">
        <v>624</v>
      </c>
      <c r="G59" s="1822"/>
      <c r="H59" s="1845"/>
      <c r="I59" s="1826">
        <v>2000</v>
      </c>
      <c r="J59" s="1826">
        <f t="shared" si="2"/>
        <v>2000</v>
      </c>
      <c r="K59" s="1826"/>
      <c r="L59" s="1826"/>
      <c r="M59" s="1826"/>
      <c r="N59" s="1826"/>
      <c r="O59" s="1826"/>
      <c r="P59" s="1826"/>
      <c r="Q59" s="1826"/>
      <c r="R59" s="1826"/>
      <c r="S59" s="1827">
        <v>0.9</v>
      </c>
      <c r="T59" s="1835">
        <v>196560</v>
      </c>
      <c r="U59" s="1826"/>
    </row>
    <row r="60" spans="1:21">
      <c r="A60" s="1816" t="s">
        <v>647</v>
      </c>
      <c r="B60" s="1817">
        <v>12</v>
      </c>
      <c r="C60" s="1818" t="s">
        <v>648</v>
      </c>
      <c r="D60" s="1817" t="s">
        <v>524</v>
      </c>
      <c r="E60" s="1818" t="s">
        <v>541</v>
      </c>
      <c r="F60" s="1817" t="s">
        <v>624</v>
      </c>
      <c r="G60" s="1817">
        <v>1650</v>
      </c>
      <c r="H60" s="1817"/>
      <c r="I60" s="1819"/>
      <c r="J60" s="1819">
        <f t="shared" si="2"/>
        <v>1650</v>
      </c>
      <c r="K60" s="1819">
        <v>766773</v>
      </c>
      <c r="L60" s="1819">
        <v>851220</v>
      </c>
      <c r="M60" s="1819">
        <v>821952</v>
      </c>
      <c r="N60" s="1819">
        <v>845145</v>
      </c>
      <c r="O60" s="1819">
        <v>646395</v>
      </c>
      <c r="P60" s="1819">
        <v>640485</v>
      </c>
      <c r="Q60" s="1819">
        <v>615660</v>
      </c>
      <c r="R60" s="1819">
        <v>8206350</v>
      </c>
      <c r="S60" s="1820">
        <v>0.99</v>
      </c>
      <c r="T60" s="1835">
        <v>8426562</v>
      </c>
      <c r="U60" s="1819">
        <v>7862706</v>
      </c>
    </row>
    <row r="61" spans="1:21">
      <c r="A61" s="1816" t="s">
        <v>649</v>
      </c>
      <c r="B61" s="1817">
        <v>13</v>
      </c>
      <c r="C61" s="1818" t="s">
        <v>650</v>
      </c>
      <c r="D61" s="1817" t="s">
        <v>524</v>
      </c>
      <c r="E61" s="1818" t="s">
        <v>541</v>
      </c>
      <c r="F61" s="1817" t="s">
        <v>624</v>
      </c>
      <c r="G61" s="1817">
        <v>1350</v>
      </c>
      <c r="H61" s="1817"/>
      <c r="I61" s="1819"/>
      <c r="J61" s="1819">
        <f t="shared" si="2"/>
        <v>1350</v>
      </c>
      <c r="K61" s="1819">
        <v>570321</v>
      </c>
      <c r="L61" s="1819">
        <v>576621</v>
      </c>
      <c r="M61" s="1819">
        <v>544842</v>
      </c>
      <c r="N61" s="1819">
        <v>568125</v>
      </c>
      <c r="O61" s="1819">
        <v>493947</v>
      </c>
      <c r="P61" s="1819">
        <v>558720</v>
      </c>
      <c r="Q61" s="1819">
        <v>518202</v>
      </c>
      <c r="R61" s="1819">
        <v>6371640</v>
      </c>
      <c r="S61" s="1820">
        <v>0.98</v>
      </c>
      <c r="T61" s="1835">
        <v>6542616</v>
      </c>
      <c r="U61" s="1819">
        <v>6253542</v>
      </c>
    </row>
    <row r="62" spans="1:21">
      <c r="A62" s="1816" t="s">
        <v>651</v>
      </c>
      <c r="B62" s="1817">
        <v>14</v>
      </c>
      <c r="C62" s="1818" t="s">
        <v>652</v>
      </c>
      <c r="D62" s="1817" t="s">
        <v>524</v>
      </c>
      <c r="E62" s="1818" t="s">
        <v>541</v>
      </c>
      <c r="F62" s="1817" t="s">
        <v>624</v>
      </c>
      <c r="G62" s="1817">
        <v>5911</v>
      </c>
      <c r="H62" s="1817"/>
      <c r="I62" s="1819"/>
      <c r="J62" s="1819">
        <f t="shared" si="2"/>
        <v>5911</v>
      </c>
      <c r="K62" s="1819">
        <v>843960</v>
      </c>
      <c r="L62" s="1819">
        <v>222720</v>
      </c>
      <c r="M62" s="1819">
        <v>806640</v>
      </c>
      <c r="N62" s="1819">
        <v>1511040</v>
      </c>
      <c r="O62" s="1819">
        <v>118560</v>
      </c>
      <c r="P62" s="1819">
        <v>27960</v>
      </c>
      <c r="Q62" s="1819">
        <v>32640</v>
      </c>
      <c r="R62" s="1819">
        <v>3723561</v>
      </c>
      <c r="S62" s="1820">
        <v>0.45</v>
      </c>
      <c r="T62" s="1835">
        <v>3823482</v>
      </c>
      <c r="U62" s="1819">
        <v>18089160</v>
      </c>
    </row>
    <row r="63" spans="1:21">
      <c r="A63" s="1816" t="s">
        <v>653</v>
      </c>
      <c r="B63" s="1817">
        <v>15</v>
      </c>
      <c r="C63" s="1818" t="s">
        <v>654</v>
      </c>
      <c r="D63" s="1817" t="s">
        <v>524</v>
      </c>
      <c r="E63" s="1818" t="s">
        <v>541</v>
      </c>
      <c r="F63" s="1817" t="s">
        <v>624</v>
      </c>
      <c r="G63" s="1817">
        <v>1200</v>
      </c>
      <c r="H63" s="1817"/>
      <c r="I63" s="1819"/>
      <c r="J63" s="1819">
        <f t="shared" si="2"/>
        <v>1200</v>
      </c>
      <c r="K63" s="1819">
        <v>323334</v>
      </c>
      <c r="L63" s="1819">
        <v>409374</v>
      </c>
      <c r="M63" s="1819">
        <v>280890</v>
      </c>
      <c r="N63" s="1819">
        <v>232470</v>
      </c>
      <c r="O63" s="1819">
        <v>262134</v>
      </c>
      <c r="P63" s="1819">
        <v>250659</v>
      </c>
      <c r="Q63" s="1819">
        <v>284976</v>
      </c>
      <c r="R63" s="1819">
        <v>3441138</v>
      </c>
      <c r="S63" s="1820">
        <v>0.99</v>
      </c>
      <c r="T63" s="1835">
        <v>3533484</v>
      </c>
      <c r="U63" s="1819">
        <v>3797199</v>
      </c>
    </row>
    <row r="64" spans="1:21">
      <c r="A64" s="1816" t="s">
        <v>655</v>
      </c>
      <c r="B64" s="1817">
        <v>16</v>
      </c>
      <c r="C64" s="1818" t="s">
        <v>656</v>
      </c>
      <c r="D64" s="1817" t="s">
        <v>524</v>
      </c>
      <c r="E64" s="1818" t="s">
        <v>541</v>
      </c>
      <c r="F64" s="1817" t="s">
        <v>624</v>
      </c>
      <c r="G64" s="1817">
        <v>1800</v>
      </c>
      <c r="H64" s="1817"/>
      <c r="I64" s="1819"/>
      <c r="J64" s="1819">
        <f t="shared" si="2"/>
        <v>1800</v>
      </c>
      <c r="K64" s="1819"/>
      <c r="L64" s="1819"/>
      <c r="M64" s="1819"/>
      <c r="N64" s="1819"/>
      <c r="O64" s="1819"/>
      <c r="P64" s="1819">
        <v>30</v>
      </c>
      <c r="Q64" s="1819">
        <v>7830</v>
      </c>
      <c r="R64" s="1819">
        <v>46251</v>
      </c>
      <c r="S64" s="1820">
        <v>1</v>
      </c>
      <c r="T64" s="1835">
        <v>47652</v>
      </c>
      <c r="U64" s="1819"/>
    </row>
    <row r="65" spans="1:21">
      <c r="A65" s="1816" t="s">
        <v>657</v>
      </c>
      <c r="B65" s="1817">
        <v>17</v>
      </c>
      <c r="C65" s="1818" t="s">
        <v>658</v>
      </c>
      <c r="D65" s="1817" t="s">
        <v>524</v>
      </c>
      <c r="E65" s="1818" t="s">
        <v>541</v>
      </c>
      <c r="F65" s="1817" t="s">
        <v>624</v>
      </c>
      <c r="G65" s="1817">
        <v>3500</v>
      </c>
      <c r="H65" s="1817"/>
      <c r="I65" s="1819"/>
      <c r="J65" s="1819">
        <f t="shared" si="2"/>
        <v>3500</v>
      </c>
      <c r="K65" s="1819">
        <v>102120</v>
      </c>
      <c r="L65" s="1819">
        <v>60390</v>
      </c>
      <c r="M65" s="1819">
        <v>148290</v>
      </c>
      <c r="N65" s="1819">
        <v>223710</v>
      </c>
      <c r="O65" s="1819">
        <v>193860</v>
      </c>
      <c r="P65" s="1819">
        <v>59100</v>
      </c>
      <c r="Q65" s="1819">
        <v>158640</v>
      </c>
      <c r="R65" s="1819">
        <v>1723959</v>
      </c>
      <c r="S65" s="1820">
        <v>0.82</v>
      </c>
      <c r="T65" s="1835">
        <v>1770234</v>
      </c>
      <c r="U65" s="1819">
        <v>56520</v>
      </c>
    </row>
    <row r="66" spans="1:21">
      <c r="A66" s="1816" t="s">
        <v>659</v>
      </c>
      <c r="B66" s="1817">
        <v>18</v>
      </c>
      <c r="C66" s="1818" t="s">
        <v>660</v>
      </c>
      <c r="D66" s="1817" t="s">
        <v>524</v>
      </c>
      <c r="E66" s="1818" t="s">
        <v>541</v>
      </c>
      <c r="F66" s="1817" t="s">
        <v>624</v>
      </c>
      <c r="G66" s="1817">
        <v>2000</v>
      </c>
      <c r="H66" s="1817"/>
      <c r="I66" s="1819"/>
      <c r="J66" s="1819">
        <f t="shared" si="2"/>
        <v>2000</v>
      </c>
      <c r="K66" s="1819">
        <v>237705</v>
      </c>
      <c r="L66" s="1819">
        <v>232995</v>
      </c>
      <c r="M66" s="1819">
        <v>236055</v>
      </c>
      <c r="N66" s="1819">
        <v>263175</v>
      </c>
      <c r="O66" s="1819">
        <v>267975</v>
      </c>
      <c r="P66" s="1819">
        <v>294030</v>
      </c>
      <c r="Q66" s="1819">
        <v>285165</v>
      </c>
      <c r="R66" s="1819">
        <v>3215328</v>
      </c>
      <c r="S66" s="1820">
        <v>0.77</v>
      </c>
      <c r="T66" s="1835">
        <v>3301614</v>
      </c>
      <c r="U66" s="1819">
        <v>3260775</v>
      </c>
    </row>
    <row r="67" spans="1:21">
      <c r="A67" s="1816" t="s">
        <v>661</v>
      </c>
      <c r="B67" s="1817">
        <v>19</v>
      </c>
      <c r="C67" s="1818" t="s">
        <v>662</v>
      </c>
      <c r="D67" s="1817" t="s">
        <v>524</v>
      </c>
      <c r="E67" s="1818" t="s">
        <v>541</v>
      </c>
      <c r="F67" s="1817" t="s">
        <v>624</v>
      </c>
      <c r="G67" s="1817">
        <v>2000</v>
      </c>
      <c r="H67" s="1817"/>
      <c r="I67" s="1819"/>
      <c r="J67" s="1819">
        <f t="shared" si="2"/>
        <v>2000</v>
      </c>
      <c r="K67" s="1819">
        <v>359100</v>
      </c>
      <c r="L67" s="1819">
        <v>520400</v>
      </c>
      <c r="M67" s="1819">
        <v>451550</v>
      </c>
      <c r="N67" s="1819">
        <v>514350</v>
      </c>
      <c r="O67" s="1819">
        <v>353750</v>
      </c>
      <c r="P67" s="1819">
        <v>74400</v>
      </c>
      <c r="Q67" s="1819">
        <v>57200</v>
      </c>
      <c r="R67" s="1819">
        <v>2611215</v>
      </c>
      <c r="S67" s="1820">
        <v>0.97</v>
      </c>
      <c r="T67" s="1835">
        <v>2681292</v>
      </c>
      <c r="U67" s="1819">
        <v>3474450</v>
      </c>
    </row>
    <row r="68" spans="1:21">
      <c r="A68" s="1816" t="s">
        <v>663</v>
      </c>
      <c r="B68" s="1817">
        <v>20</v>
      </c>
      <c r="C68" s="1818" t="s">
        <v>664</v>
      </c>
      <c r="D68" s="1817" t="s">
        <v>524</v>
      </c>
      <c r="E68" s="1818" t="s">
        <v>541</v>
      </c>
      <c r="F68" s="1817" t="s">
        <v>624</v>
      </c>
      <c r="G68" s="1817">
        <v>1750</v>
      </c>
      <c r="H68" s="1817"/>
      <c r="I68" s="1819"/>
      <c r="J68" s="1819">
        <f t="shared" si="2"/>
        <v>1750</v>
      </c>
      <c r="K68" s="1819">
        <v>340860</v>
      </c>
      <c r="L68" s="1819">
        <v>373530</v>
      </c>
      <c r="M68" s="1819">
        <v>345240</v>
      </c>
      <c r="N68" s="1819">
        <v>357840</v>
      </c>
      <c r="O68" s="1819">
        <v>339930</v>
      </c>
      <c r="P68" s="1819">
        <v>267600</v>
      </c>
      <c r="Q68" s="1819">
        <v>375810</v>
      </c>
      <c r="R68" s="1819">
        <v>4243491</v>
      </c>
      <c r="S68" s="1820">
        <v>1</v>
      </c>
      <c r="T68" s="1835">
        <v>4357362</v>
      </c>
      <c r="U68" s="1819">
        <v>3761100</v>
      </c>
    </row>
    <row r="69" spans="1:21">
      <c r="A69" s="1816" t="s">
        <v>665</v>
      </c>
      <c r="B69" s="1817">
        <v>21</v>
      </c>
      <c r="C69" s="1818" t="s">
        <v>666</v>
      </c>
      <c r="D69" s="1817" t="s">
        <v>524</v>
      </c>
      <c r="E69" s="1818" t="s">
        <v>541</v>
      </c>
      <c r="F69" s="1817" t="s">
        <v>624</v>
      </c>
      <c r="G69" s="1817">
        <v>1450</v>
      </c>
      <c r="H69" s="1817"/>
      <c r="I69" s="1819"/>
      <c r="J69" s="1819">
        <f t="shared" si="2"/>
        <v>1450</v>
      </c>
      <c r="K69" s="1819">
        <v>660951</v>
      </c>
      <c r="L69" s="1819">
        <v>545715</v>
      </c>
      <c r="M69" s="1819">
        <v>578484</v>
      </c>
      <c r="N69" s="1819">
        <v>679779</v>
      </c>
      <c r="O69" s="1819">
        <v>700281</v>
      </c>
      <c r="P69" s="1819">
        <v>283275</v>
      </c>
      <c r="Q69" s="1819">
        <v>541386</v>
      </c>
      <c r="R69" s="1819">
        <v>6644409</v>
      </c>
      <c r="S69" s="1820">
        <v>0.98</v>
      </c>
      <c r="T69" s="1835">
        <v>6822702</v>
      </c>
      <c r="U69" s="1819">
        <v>7055082</v>
      </c>
    </row>
    <row r="70" spans="1:21">
      <c r="A70" s="1816" t="s">
        <v>667</v>
      </c>
      <c r="B70" s="1817">
        <v>22</v>
      </c>
      <c r="C70" s="1818" t="s">
        <v>668</v>
      </c>
      <c r="D70" s="1817" t="s">
        <v>524</v>
      </c>
      <c r="E70" s="1818" t="s">
        <v>541</v>
      </c>
      <c r="F70" s="1817" t="s">
        <v>624</v>
      </c>
      <c r="G70" s="1817">
        <v>2223</v>
      </c>
      <c r="H70" s="1817"/>
      <c r="I70" s="1819"/>
      <c r="J70" s="1819">
        <f t="shared" si="2"/>
        <v>2223</v>
      </c>
      <c r="K70" s="1819">
        <v>752025</v>
      </c>
      <c r="L70" s="1819">
        <v>783210</v>
      </c>
      <c r="M70" s="1819">
        <v>751515</v>
      </c>
      <c r="N70" s="1819">
        <v>789945</v>
      </c>
      <c r="O70" s="1819">
        <v>764460</v>
      </c>
      <c r="P70" s="1819">
        <v>795240</v>
      </c>
      <c r="Q70" s="1819">
        <v>822390</v>
      </c>
      <c r="R70" s="1819">
        <v>9491148</v>
      </c>
      <c r="S70" s="1820">
        <v>0.99</v>
      </c>
      <c r="T70" s="1835">
        <v>9745836</v>
      </c>
      <c r="U70" s="1819">
        <v>9485100</v>
      </c>
    </row>
    <row r="71" spans="1:21">
      <c r="A71" s="1816" t="s">
        <v>669</v>
      </c>
      <c r="B71" s="1817">
        <v>23</v>
      </c>
      <c r="C71" s="1818" t="s">
        <v>670</v>
      </c>
      <c r="D71" s="1817" t="s">
        <v>524</v>
      </c>
      <c r="E71" s="1818" t="s">
        <v>541</v>
      </c>
      <c r="F71" s="1817" t="s">
        <v>624</v>
      </c>
      <c r="G71" s="1817">
        <v>8000</v>
      </c>
      <c r="H71" s="1817"/>
      <c r="I71" s="1819"/>
      <c r="J71" s="1819">
        <f t="shared" si="2"/>
        <v>8000</v>
      </c>
      <c r="K71" s="1819">
        <v>526680</v>
      </c>
      <c r="L71" s="1819">
        <v>947460</v>
      </c>
      <c r="M71" s="1819">
        <v>895440</v>
      </c>
      <c r="N71" s="1819">
        <v>1320840</v>
      </c>
      <c r="O71" s="1819">
        <v>1458600</v>
      </c>
      <c r="P71" s="1819">
        <v>1465980</v>
      </c>
      <c r="Q71" s="1819">
        <v>1387800</v>
      </c>
      <c r="R71" s="1819">
        <v>14807496</v>
      </c>
      <c r="S71" s="1820">
        <v>0.99</v>
      </c>
      <c r="T71" s="1835">
        <v>15204834</v>
      </c>
      <c r="U71" s="1819">
        <v>7999620</v>
      </c>
    </row>
    <row r="72" spans="1:21">
      <c r="A72" s="1816" t="s">
        <v>671</v>
      </c>
      <c r="B72" s="1817">
        <v>24</v>
      </c>
      <c r="C72" s="1818" t="s">
        <v>672</v>
      </c>
      <c r="D72" s="1817" t="s">
        <v>524</v>
      </c>
      <c r="E72" s="1818" t="s">
        <v>541</v>
      </c>
      <c r="F72" s="1817" t="s">
        <v>624</v>
      </c>
      <c r="G72" s="1817">
        <v>4400</v>
      </c>
      <c r="H72" s="1817"/>
      <c r="I72" s="1819"/>
      <c r="J72" s="1819">
        <f t="shared" si="2"/>
        <v>4400</v>
      </c>
      <c r="K72" s="1819">
        <v>383640</v>
      </c>
      <c r="L72" s="1819"/>
      <c r="M72" s="1819"/>
      <c r="N72" s="1819"/>
      <c r="O72" s="1819">
        <v>2306850</v>
      </c>
      <c r="P72" s="1819">
        <v>2300460</v>
      </c>
      <c r="Q72" s="1819">
        <v>1038270</v>
      </c>
      <c r="R72" s="1819">
        <v>11120091</v>
      </c>
      <c r="S72" s="1820">
        <v>0.56000000000000005</v>
      </c>
      <c r="T72" s="1835">
        <v>16543356</v>
      </c>
      <c r="U72" s="1819">
        <v>30673860</v>
      </c>
    </row>
    <row r="73" spans="1:21">
      <c r="A73" s="1816" t="s">
        <v>673</v>
      </c>
      <c r="B73" s="1817">
        <v>25</v>
      </c>
      <c r="C73" s="1818" t="s">
        <v>674</v>
      </c>
      <c r="D73" s="1817" t="s">
        <v>524</v>
      </c>
      <c r="E73" s="1818" t="s">
        <v>541</v>
      </c>
      <c r="F73" s="1817" t="s">
        <v>624</v>
      </c>
      <c r="G73" s="1817">
        <v>5500</v>
      </c>
      <c r="H73" s="1817"/>
      <c r="I73" s="1819"/>
      <c r="J73" s="1819">
        <f t="shared" si="2"/>
        <v>5500</v>
      </c>
      <c r="K73" s="1819">
        <v>2332620</v>
      </c>
      <c r="L73" s="1819">
        <v>2692410</v>
      </c>
      <c r="M73" s="1819">
        <v>2202900</v>
      </c>
      <c r="N73" s="1819">
        <v>2786670</v>
      </c>
      <c r="O73" s="1819">
        <v>2745600</v>
      </c>
      <c r="P73" s="1819">
        <v>2389380</v>
      </c>
      <c r="Q73" s="1819">
        <v>2862570</v>
      </c>
      <c r="R73" s="1819">
        <v>32047977</v>
      </c>
      <c r="S73" s="1820">
        <v>0.99</v>
      </c>
      <c r="T73" s="1835">
        <v>32907936</v>
      </c>
      <c r="U73" s="1819">
        <v>26487690</v>
      </c>
    </row>
    <row r="74" spans="1:21">
      <c r="A74" s="1816" t="s">
        <v>675</v>
      </c>
      <c r="B74" s="1817">
        <v>26</v>
      </c>
      <c r="C74" s="1818" t="s">
        <v>676</v>
      </c>
      <c r="D74" s="1817" t="s">
        <v>524</v>
      </c>
      <c r="E74" s="1818" t="s">
        <v>541</v>
      </c>
      <c r="F74" s="1817" t="s">
        <v>624</v>
      </c>
      <c r="G74" s="1817">
        <v>4000</v>
      </c>
      <c r="H74" s="1817"/>
      <c r="I74" s="1819"/>
      <c r="J74" s="1819">
        <f t="shared" si="2"/>
        <v>4000</v>
      </c>
      <c r="K74" s="1819">
        <v>117240</v>
      </c>
      <c r="L74" s="1819">
        <v>368640</v>
      </c>
      <c r="M74" s="1819">
        <v>108960</v>
      </c>
      <c r="N74" s="1819">
        <v>52920</v>
      </c>
      <c r="O74" s="1819">
        <v>151680</v>
      </c>
      <c r="P74" s="1819">
        <v>364560</v>
      </c>
      <c r="Q74" s="1819">
        <v>56880</v>
      </c>
      <c r="R74" s="1819">
        <v>1499775</v>
      </c>
      <c r="S74" s="1820">
        <v>0.94</v>
      </c>
      <c r="T74" s="1835">
        <v>1540032</v>
      </c>
      <c r="U74" s="1819">
        <v>3204840</v>
      </c>
    </row>
    <row r="75" spans="1:21">
      <c r="A75" s="1816" t="s">
        <v>677</v>
      </c>
      <c r="B75" s="1817">
        <v>27</v>
      </c>
      <c r="C75" s="1818" t="s">
        <v>678</v>
      </c>
      <c r="D75" s="1817" t="s">
        <v>524</v>
      </c>
      <c r="E75" s="1818" t="s">
        <v>541</v>
      </c>
      <c r="F75" s="1817" t="s">
        <v>624</v>
      </c>
      <c r="G75" s="1817">
        <v>10000</v>
      </c>
      <c r="H75" s="1817"/>
      <c r="I75" s="1819"/>
      <c r="J75" s="1819">
        <f t="shared" si="2"/>
        <v>10000</v>
      </c>
      <c r="K75" s="1819">
        <v>2540520</v>
      </c>
      <c r="L75" s="1819">
        <v>1479840</v>
      </c>
      <c r="M75" s="1819">
        <v>1305480</v>
      </c>
      <c r="N75" s="1819">
        <v>3115800</v>
      </c>
      <c r="O75" s="1819">
        <v>4484160</v>
      </c>
      <c r="P75" s="1819">
        <v>4205040</v>
      </c>
      <c r="Q75" s="1819">
        <v>4545300</v>
      </c>
      <c r="R75" s="1819">
        <v>43962771</v>
      </c>
      <c r="S75" s="1820">
        <v>0.98</v>
      </c>
      <c r="T75" s="1835">
        <v>45142452</v>
      </c>
      <c r="U75" s="1819">
        <v>34065120</v>
      </c>
    </row>
    <row r="76" spans="1:21">
      <c r="A76" s="1816" t="s">
        <v>679</v>
      </c>
      <c r="B76" s="1817">
        <v>28</v>
      </c>
      <c r="C76" s="1818" t="s">
        <v>680</v>
      </c>
      <c r="D76" s="1817" t="s">
        <v>524</v>
      </c>
      <c r="E76" s="1818" t="s">
        <v>541</v>
      </c>
      <c r="F76" s="1817" t="s">
        <v>624</v>
      </c>
      <c r="G76" s="1817">
        <v>1800</v>
      </c>
      <c r="H76" s="1817"/>
      <c r="I76" s="1819"/>
      <c r="J76" s="1819">
        <f t="shared" si="2"/>
        <v>1800</v>
      </c>
      <c r="K76" s="1819">
        <v>784680</v>
      </c>
      <c r="L76" s="1819">
        <v>916590</v>
      </c>
      <c r="M76" s="1819">
        <v>842145</v>
      </c>
      <c r="N76" s="1819">
        <v>843810</v>
      </c>
      <c r="O76" s="1819">
        <v>778110</v>
      </c>
      <c r="P76" s="1819">
        <v>859725</v>
      </c>
      <c r="Q76" s="1819">
        <v>702300</v>
      </c>
      <c r="R76" s="1819">
        <v>9170895</v>
      </c>
      <c r="S76" s="1820">
        <v>0.98</v>
      </c>
      <c r="T76" s="1835">
        <v>9416982</v>
      </c>
      <c r="U76" s="1819">
        <v>6417810</v>
      </c>
    </row>
    <row r="77" spans="1:21">
      <c r="A77" s="1816" t="s">
        <v>681</v>
      </c>
      <c r="B77" s="1817">
        <v>29</v>
      </c>
      <c r="C77" s="1818" t="s">
        <v>682</v>
      </c>
      <c r="D77" s="1817" t="s">
        <v>524</v>
      </c>
      <c r="E77" s="1818" t="s">
        <v>541</v>
      </c>
      <c r="F77" s="1817" t="s">
        <v>624</v>
      </c>
      <c r="G77" s="1817">
        <v>2000</v>
      </c>
      <c r="H77" s="1817"/>
      <c r="I77" s="1819"/>
      <c r="J77" s="1819">
        <f t="shared" si="2"/>
        <v>2000</v>
      </c>
      <c r="K77" s="1819">
        <v>289830</v>
      </c>
      <c r="L77" s="1819">
        <v>359790</v>
      </c>
      <c r="M77" s="1819">
        <v>315750</v>
      </c>
      <c r="N77" s="1819">
        <v>319350</v>
      </c>
      <c r="O77" s="1819">
        <v>312990</v>
      </c>
      <c r="P77" s="1819">
        <v>306630</v>
      </c>
      <c r="Q77" s="1819">
        <v>303030</v>
      </c>
      <c r="R77" s="1819">
        <v>3693195</v>
      </c>
      <c r="S77" s="1820">
        <v>1</v>
      </c>
      <c r="T77" s="1835">
        <v>3792313</v>
      </c>
      <c r="U77" s="1819">
        <v>4187280</v>
      </c>
    </row>
    <row r="78" spans="1:21">
      <c r="A78" s="1816" t="s">
        <v>683</v>
      </c>
      <c r="B78" s="1817">
        <v>30</v>
      </c>
      <c r="C78" s="1818" t="s">
        <v>684</v>
      </c>
      <c r="D78" s="1817" t="s">
        <v>524</v>
      </c>
      <c r="E78" s="1818" t="s">
        <v>541</v>
      </c>
      <c r="F78" s="1817" t="s">
        <v>624</v>
      </c>
      <c r="G78" s="1817">
        <v>2222</v>
      </c>
      <c r="H78" s="1817"/>
      <c r="I78" s="1819"/>
      <c r="J78" s="1819">
        <f t="shared" si="2"/>
        <v>2222</v>
      </c>
      <c r="K78" s="1819">
        <v>252060</v>
      </c>
      <c r="L78" s="1819">
        <v>222120</v>
      </c>
      <c r="M78" s="1819">
        <v>327450</v>
      </c>
      <c r="N78" s="1819">
        <v>324870</v>
      </c>
      <c r="O78" s="1819">
        <v>311250</v>
      </c>
      <c r="P78" s="1819">
        <v>335340</v>
      </c>
      <c r="Q78" s="1819">
        <v>404310</v>
      </c>
      <c r="R78" s="1819">
        <v>4159824</v>
      </c>
      <c r="S78" s="1820">
        <v>0.82</v>
      </c>
      <c r="T78" s="1835">
        <v>4271454</v>
      </c>
      <c r="U78" s="1819">
        <v>2743950</v>
      </c>
    </row>
    <row r="79" spans="1:21">
      <c r="A79" s="1816" t="s">
        <v>685</v>
      </c>
      <c r="B79" s="1817">
        <v>31</v>
      </c>
      <c r="C79" s="1818" t="s">
        <v>686</v>
      </c>
      <c r="D79" s="1817" t="s">
        <v>524</v>
      </c>
      <c r="E79" s="1818" t="s">
        <v>541</v>
      </c>
      <c r="F79" s="1817" t="s">
        <v>624</v>
      </c>
      <c r="G79" s="1817">
        <v>12000</v>
      </c>
      <c r="H79" s="1817"/>
      <c r="I79" s="1819"/>
      <c r="J79" s="1819">
        <f t="shared" si="2"/>
        <v>12000</v>
      </c>
      <c r="K79" s="1819">
        <v>4193280</v>
      </c>
      <c r="L79" s="1819">
        <v>1160280</v>
      </c>
      <c r="M79" s="1819">
        <v>3767040</v>
      </c>
      <c r="N79" s="1819">
        <v>2951640</v>
      </c>
      <c r="O79" s="1819">
        <v>3654948</v>
      </c>
      <c r="P79" s="1819">
        <v>3846360</v>
      </c>
      <c r="Q79" s="1819">
        <v>3747960</v>
      </c>
      <c r="R79" s="1819">
        <v>41698602</v>
      </c>
      <c r="S79" s="1820">
        <v>0.97</v>
      </c>
      <c r="T79" s="1835">
        <v>42817524</v>
      </c>
      <c r="U79" s="1819">
        <v>40404480</v>
      </c>
    </row>
    <row r="80" spans="1:21">
      <c r="A80" s="1816" t="s">
        <v>687</v>
      </c>
      <c r="B80" s="1817">
        <v>32</v>
      </c>
      <c r="C80" s="1818" t="s">
        <v>688</v>
      </c>
      <c r="D80" s="1817" t="s">
        <v>524</v>
      </c>
      <c r="E80" s="1818" t="s">
        <v>541</v>
      </c>
      <c r="F80" s="1817" t="s">
        <v>624</v>
      </c>
      <c r="G80" s="1817">
        <v>12000</v>
      </c>
      <c r="H80" s="1817"/>
      <c r="I80" s="1819"/>
      <c r="J80" s="1819">
        <f t="shared" si="2"/>
        <v>12000</v>
      </c>
      <c r="K80" s="1819">
        <v>3148260</v>
      </c>
      <c r="L80" s="1819">
        <v>4015560</v>
      </c>
      <c r="M80" s="1819">
        <v>4198740</v>
      </c>
      <c r="N80" s="1819">
        <v>3673380</v>
      </c>
      <c r="O80" s="1819">
        <v>3391920</v>
      </c>
      <c r="P80" s="1819">
        <v>3796560</v>
      </c>
      <c r="Q80" s="1819">
        <v>4047480</v>
      </c>
      <c r="R80" s="1819">
        <v>46117608</v>
      </c>
      <c r="S80" s="1820">
        <v>0.98</v>
      </c>
      <c r="T80" s="1835">
        <v>47355097</v>
      </c>
      <c r="U80" s="1819">
        <v>41700780</v>
      </c>
    </row>
    <row r="81" spans="1:21">
      <c r="A81" s="1816" t="s">
        <v>689</v>
      </c>
      <c r="B81" s="1817">
        <v>33</v>
      </c>
      <c r="C81" s="1818" t="s">
        <v>690</v>
      </c>
      <c r="D81" s="1817" t="s">
        <v>524</v>
      </c>
      <c r="E81" s="1818" t="s">
        <v>541</v>
      </c>
      <c r="F81" s="1817" t="s">
        <v>624</v>
      </c>
      <c r="G81" s="1817">
        <v>1200</v>
      </c>
      <c r="H81" s="1817"/>
      <c r="I81" s="1819"/>
      <c r="J81" s="1819">
        <f t="shared" si="2"/>
        <v>1200</v>
      </c>
      <c r="K81" s="1819">
        <v>322430</v>
      </c>
      <c r="L81" s="1819">
        <v>359250</v>
      </c>
      <c r="M81" s="1819">
        <v>252210</v>
      </c>
      <c r="N81" s="1819">
        <v>213840</v>
      </c>
      <c r="O81" s="1819">
        <v>214440</v>
      </c>
      <c r="P81" s="1819">
        <v>289740</v>
      </c>
      <c r="Q81" s="1819">
        <v>349500</v>
      </c>
      <c r="R81" s="1819">
        <v>3715088</v>
      </c>
      <c r="S81" s="1820">
        <v>0.91</v>
      </c>
      <c r="T81" s="1835">
        <v>3814782</v>
      </c>
      <c r="U81" s="1819">
        <v>1938495</v>
      </c>
    </row>
    <row r="82" spans="1:21">
      <c r="A82" s="1816" t="s">
        <v>691</v>
      </c>
      <c r="B82" s="1817">
        <v>34</v>
      </c>
      <c r="C82" s="1818" t="s">
        <v>692</v>
      </c>
      <c r="D82" s="1817" t="s">
        <v>524</v>
      </c>
      <c r="E82" s="1818" t="s">
        <v>541</v>
      </c>
      <c r="F82" s="1817" t="s">
        <v>624</v>
      </c>
      <c r="G82" s="1817">
        <v>2200</v>
      </c>
      <c r="H82" s="1817"/>
      <c r="I82" s="1819"/>
      <c r="J82" s="1819">
        <f t="shared" si="2"/>
        <v>2200</v>
      </c>
      <c r="K82" s="1819">
        <v>351135</v>
      </c>
      <c r="L82" s="1819">
        <v>506775</v>
      </c>
      <c r="M82" s="1819">
        <v>179415</v>
      </c>
      <c r="N82" s="1819">
        <v>189330</v>
      </c>
      <c r="O82" s="1819">
        <v>318450</v>
      </c>
      <c r="P82" s="1819">
        <v>368610</v>
      </c>
      <c r="Q82" s="1819">
        <v>348810</v>
      </c>
      <c r="R82" s="1819">
        <v>3972819</v>
      </c>
      <c r="S82" s="1820">
        <v>0.95</v>
      </c>
      <c r="T82" s="1835">
        <v>4079436</v>
      </c>
      <c r="U82" s="1819">
        <v>4410990</v>
      </c>
    </row>
    <row r="83" spans="1:21">
      <c r="A83" s="1816" t="s">
        <v>693</v>
      </c>
      <c r="B83" s="1817">
        <v>35</v>
      </c>
      <c r="C83" s="1818" t="s">
        <v>694</v>
      </c>
      <c r="D83" s="1817" t="s">
        <v>524</v>
      </c>
      <c r="E83" s="1818" t="s">
        <v>541</v>
      </c>
      <c r="F83" s="1817" t="s">
        <v>645</v>
      </c>
      <c r="G83" s="1817">
        <v>1300</v>
      </c>
      <c r="H83" s="1817"/>
      <c r="I83" s="1819"/>
      <c r="J83" s="1819">
        <f t="shared" si="2"/>
        <v>1300</v>
      </c>
      <c r="K83" s="1819">
        <v>525820</v>
      </c>
      <c r="L83" s="1819">
        <v>508180</v>
      </c>
      <c r="M83" s="1819">
        <v>691630</v>
      </c>
      <c r="N83" s="1819">
        <v>555770</v>
      </c>
      <c r="O83" s="1819">
        <v>614280</v>
      </c>
      <c r="P83" s="1819">
        <v>634000</v>
      </c>
      <c r="Q83" s="1819">
        <v>663700</v>
      </c>
      <c r="R83" s="1819">
        <v>7447650</v>
      </c>
      <c r="S83" s="1820">
        <v>0.92</v>
      </c>
      <c r="T83" s="1835">
        <v>7647498</v>
      </c>
      <c r="U83" s="1819">
        <v>6971810</v>
      </c>
    </row>
    <row r="84" spans="1:21">
      <c r="A84" s="1816" t="s">
        <v>695</v>
      </c>
      <c r="B84" s="1817">
        <v>36</v>
      </c>
      <c r="C84" s="1818" t="s">
        <v>696</v>
      </c>
      <c r="D84" s="1817" t="s">
        <v>524</v>
      </c>
      <c r="E84" s="1818" t="s">
        <v>541</v>
      </c>
      <c r="F84" s="1817" t="s">
        <v>645</v>
      </c>
      <c r="G84" s="1817">
        <v>1500</v>
      </c>
      <c r="H84" s="1817"/>
      <c r="I84" s="1819"/>
      <c r="J84" s="1819">
        <f t="shared" si="2"/>
        <v>1500</v>
      </c>
      <c r="K84" s="1819">
        <v>28590</v>
      </c>
      <c r="L84" s="1819">
        <v>22120</v>
      </c>
      <c r="M84" s="1819">
        <v>23710</v>
      </c>
      <c r="N84" s="1819">
        <v>24670</v>
      </c>
      <c r="O84" s="1819">
        <v>25720</v>
      </c>
      <c r="P84" s="1819">
        <v>23690</v>
      </c>
      <c r="Q84" s="1819">
        <v>28660</v>
      </c>
      <c r="R84" s="1819">
        <v>317686</v>
      </c>
      <c r="S84" s="1820">
        <v>0.94</v>
      </c>
      <c r="T84" s="1835">
        <v>326214</v>
      </c>
      <c r="U84" s="1819">
        <v>191790</v>
      </c>
    </row>
    <row r="85" spans="1:21" s="1853" customFormat="1">
      <c r="A85" s="1847"/>
      <c r="B85" s="1848">
        <v>37</v>
      </c>
      <c r="C85" s="1849" t="s">
        <v>697</v>
      </c>
      <c r="D85" s="1844" t="s">
        <v>643</v>
      </c>
      <c r="E85" s="1850" t="s">
        <v>541</v>
      </c>
      <c r="F85" s="1844" t="s">
        <v>624</v>
      </c>
      <c r="G85" s="1848"/>
      <c r="H85" s="1851">
        <v>2500</v>
      </c>
      <c r="I85" s="1835"/>
      <c r="J85" s="1835">
        <f t="shared" si="2"/>
        <v>2500</v>
      </c>
      <c r="K85" s="1835"/>
      <c r="L85" s="1835"/>
      <c r="M85" s="1835"/>
      <c r="N85" s="1835"/>
      <c r="O85" s="1835"/>
      <c r="P85" s="1835"/>
      <c r="Q85" s="1835"/>
      <c r="R85" s="1835">
        <v>245700</v>
      </c>
      <c r="S85" s="1852">
        <v>0.9</v>
      </c>
      <c r="T85" s="1835">
        <v>2964600</v>
      </c>
      <c r="U85" s="1835"/>
    </row>
    <row r="86" spans="1:21" s="1853" customFormat="1">
      <c r="A86" s="1847"/>
      <c r="B86" s="1848">
        <v>38</v>
      </c>
      <c r="C86" s="1849" t="s">
        <v>698</v>
      </c>
      <c r="D86" s="1844" t="s">
        <v>643</v>
      </c>
      <c r="E86" s="1850" t="s">
        <v>541</v>
      </c>
      <c r="F86" s="1844" t="s">
        <v>624</v>
      </c>
      <c r="G86" s="1848"/>
      <c r="H86" s="1851">
        <v>2260</v>
      </c>
      <c r="I86" s="1835"/>
      <c r="J86" s="1835">
        <f t="shared" si="2"/>
        <v>2260</v>
      </c>
      <c r="K86" s="1835"/>
      <c r="L86" s="1835"/>
      <c r="M86" s="1835"/>
      <c r="N86" s="1835"/>
      <c r="O86" s="1835"/>
      <c r="P86" s="1835"/>
      <c r="Q86" s="1835"/>
      <c r="R86" s="1835">
        <v>222113</v>
      </c>
      <c r="S86" s="1852">
        <v>0.9</v>
      </c>
      <c r="T86" s="1835">
        <v>2679996</v>
      </c>
      <c r="U86" s="1835"/>
    </row>
    <row r="87" spans="1:21" s="1853" customFormat="1" ht="18.75" customHeight="1">
      <c r="A87" s="1847"/>
      <c r="B87" s="1848">
        <v>39</v>
      </c>
      <c r="C87" s="1849" t="s">
        <v>699</v>
      </c>
      <c r="D87" s="1848" t="s">
        <v>591</v>
      </c>
      <c r="E87" s="1854" t="s">
        <v>541</v>
      </c>
      <c r="F87" s="1844" t="s">
        <v>624</v>
      </c>
      <c r="G87" s="1848"/>
      <c r="H87" s="1851"/>
      <c r="I87" s="1855">
        <v>4444</v>
      </c>
      <c r="J87" s="1835">
        <f t="shared" si="2"/>
        <v>4444</v>
      </c>
      <c r="K87" s="1835"/>
      <c r="L87" s="1835"/>
      <c r="M87" s="1835"/>
      <c r="N87" s="1835"/>
      <c r="O87" s="1835"/>
      <c r="P87" s="1835"/>
      <c r="Q87" s="1835"/>
      <c r="R87" s="1835"/>
      <c r="S87" s="1852">
        <v>0.9</v>
      </c>
      <c r="T87" s="1835">
        <v>2639734</v>
      </c>
      <c r="U87" s="1835"/>
    </row>
    <row r="88" spans="1:21" s="1853" customFormat="1">
      <c r="A88" s="1847"/>
      <c r="B88" s="1848">
        <v>40</v>
      </c>
      <c r="C88" s="1849" t="s">
        <v>700</v>
      </c>
      <c r="D88" s="1848" t="s">
        <v>591</v>
      </c>
      <c r="E88" s="1850" t="s">
        <v>541</v>
      </c>
      <c r="F88" s="1844" t="s">
        <v>624</v>
      </c>
      <c r="G88" s="1848"/>
      <c r="H88" s="1851"/>
      <c r="I88" s="1855">
        <v>2000</v>
      </c>
      <c r="J88" s="1835">
        <f t="shared" si="2"/>
        <v>2000</v>
      </c>
      <c r="K88" s="1835"/>
      <c r="L88" s="1835"/>
      <c r="M88" s="1835"/>
      <c r="N88" s="1835"/>
      <c r="O88" s="1835"/>
      <c r="P88" s="1835"/>
      <c r="Q88" s="1835"/>
      <c r="R88" s="1835"/>
      <c r="S88" s="1852">
        <v>0.9</v>
      </c>
      <c r="T88" s="1835">
        <v>1188000</v>
      </c>
      <c r="U88" s="1835"/>
    </row>
    <row r="89" spans="1:21" s="1853" customFormat="1">
      <c r="A89" s="1847"/>
      <c r="B89" s="1848">
        <v>41</v>
      </c>
      <c r="C89" s="1849" t="s">
        <v>701</v>
      </c>
      <c r="D89" s="1848" t="s">
        <v>591</v>
      </c>
      <c r="E89" s="1850" t="s">
        <v>541</v>
      </c>
      <c r="F89" s="1844" t="s">
        <v>624</v>
      </c>
      <c r="G89" s="1848"/>
      <c r="H89" s="1851"/>
      <c r="I89" s="1855">
        <v>2000</v>
      </c>
      <c r="J89" s="1835">
        <f t="shared" si="2"/>
        <v>2000</v>
      </c>
      <c r="K89" s="1835"/>
      <c r="L89" s="1835"/>
      <c r="M89" s="1835"/>
      <c r="N89" s="1835"/>
      <c r="O89" s="1835"/>
      <c r="P89" s="1835"/>
      <c r="Q89" s="1835"/>
      <c r="R89" s="1835"/>
      <c r="S89" s="1852">
        <v>0.9</v>
      </c>
      <c r="T89" s="1835">
        <v>1188000</v>
      </c>
      <c r="U89" s="1835"/>
    </row>
    <row r="90" spans="1:21" s="1853" customFormat="1">
      <c r="A90" s="1847"/>
      <c r="B90" s="1848">
        <v>42</v>
      </c>
      <c r="C90" s="1849" t="s">
        <v>702</v>
      </c>
      <c r="D90" s="1848" t="s">
        <v>591</v>
      </c>
      <c r="E90" s="1850" t="s">
        <v>541</v>
      </c>
      <c r="F90" s="1844" t="s">
        <v>624</v>
      </c>
      <c r="G90" s="1848"/>
      <c r="H90" s="1851"/>
      <c r="I90" s="1855">
        <v>6000</v>
      </c>
      <c r="J90" s="1835">
        <f t="shared" si="2"/>
        <v>6000</v>
      </c>
      <c r="K90" s="1835"/>
      <c r="L90" s="1835"/>
      <c r="M90" s="1835"/>
      <c r="N90" s="1835"/>
      <c r="O90" s="1835"/>
      <c r="P90" s="1835"/>
      <c r="Q90" s="1835"/>
      <c r="R90" s="1835"/>
      <c r="S90" s="1852">
        <v>0.9</v>
      </c>
      <c r="T90" s="1835">
        <v>1778760</v>
      </c>
      <c r="U90" s="1835"/>
    </row>
    <row r="91" spans="1:21" s="1853" customFormat="1">
      <c r="A91" s="1847"/>
      <c r="B91" s="1848">
        <v>43</v>
      </c>
      <c r="C91" s="1849" t="s">
        <v>703</v>
      </c>
      <c r="D91" s="1848" t="s">
        <v>591</v>
      </c>
      <c r="E91" s="1850" t="s">
        <v>541</v>
      </c>
      <c r="F91" s="1844" t="s">
        <v>624</v>
      </c>
      <c r="G91" s="1848"/>
      <c r="H91" s="1851"/>
      <c r="I91" s="1855">
        <v>1500</v>
      </c>
      <c r="J91" s="1835">
        <f t="shared" si="2"/>
        <v>1500</v>
      </c>
      <c r="K91" s="1835"/>
      <c r="L91" s="1835"/>
      <c r="M91" s="1835"/>
      <c r="N91" s="1835"/>
      <c r="O91" s="1835"/>
      <c r="P91" s="1835"/>
      <c r="Q91" s="1835"/>
      <c r="R91" s="1835"/>
      <c r="S91" s="1852">
        <v>0.9</v>
      </c>
      <c r="T91" s="1835">
        <v>444690</v>
      </c>
      <c r="U91" s="1835"/>
    </row>
    <row r="92" spans="1:21" s="1853" customFormat="1">
      <c r="A92" s="1847"/>
      <c r="B92" s="1848">
        <v>44</v>
      </c>
      <c r="C92" s="1849" t="s">
        <v>704</v>
      </c>
      <c r="D92" s="1848" t="s">
        <v>591</v>
      </c>
      <c r="E92" s="1850" t="s">
        <v>541</v>
      </c>
      <c r="F92" s="1844" t="s">
        <v>624</v>
      </c>
      <c r="G92" s="1848"/>
      <c r="H92" s="1851"/>
      <c r="I92" s="1855">
        <v>6000</v>
      </c>
      <c r="J92" s="1835">
        <f t="shared" si="2"/>
        <v>6000</v>
      </c>
      <c r="K92" s="1835"/>
      <c r="L92" s="1835"/>
      <c r="M92" s="1835"/>
      <c r="N92" s="1835"/>
      <c r="O92" s="1835"/>
      <c r="P92" s="1835"/>
      <c r="Q92" s="1835"/>
      <c r="R92" s="1835"/>
      <c r="S92" s="1852">
        <v>0.9</v>
      </c>
      <c r="T92" s="1835">
        <v>589680</v>
      </c>
      <c r="U92" s="1835"/>
    </row>
    <row r="93" spans="1:21" s="1853" customFormat="1">
      <c r="A93" s="1847"/>
      <c r="B93" s="1848">
        <v>45</v>
      </c>
      <c r="C93" s="1849" t="s">
        <v>705</v>
      </c>
      <c r="D93" s="1848" t="s">
        <v>591</v>
      </c>
      <c r="E93" s="1850" t="s">
        <v>541</v>
      </c>
      <c r="F93" s="1844" t="s">
        <v>624</v>
      </c>
      <c r="G93" s="1848"/>
      <c r="H93" s="1851"/>
      <c r="I93" s="1855">
        <v>14500</v>
      </c>
      <c r="J93" s="1835">
        <f t="shared" si="2"/>
        <v>14500</v>
      </c>
      <c r="K93" s="1835"/>
      <c r="L93" s="1835"/>
      <c r="M93" s="1835"/>
      <c r="N93" s="1835"/>
      <c r="O93" s="1835"/>
      <c r="P93" s="1835"/>
      <c r="Q93" s="1835"/>
      <c r="R93" s="1835"/>
      <c r="S93" s="1852">
        <v>0.9</v>
      </c>
      <c r="T93" s="1835">
        <v>1425060</v>
      </c>
      <c r="U93" s="1835"/>
    </row>
    <row r="94" spans="1:21" s="1853" customFormat="1">
      <c r="A94" s="1847"/>
      <c r="B94" s="1848">
        <v>46</v>
      </c>
      <c r="C94" s="1849" t="s">
        <v>706</v>
      </c>
      <c r="D94" s="1848" t="s">
        <v>591</v>
      </c>
      <c r="E94" s="1850" t="s">
        <v>541</v>
      </c>
      <c r="F94" s="1844" t="s">
        <v>624</v>
      </c>
      <c r="G94" s="1848"/>
      <c r="H94" s="1851"/>
      <c r="I94" s="1855">
        <v>11111</v>
      </c>
      <c r="J94" s="1835">
        <f t="shared" si="2"/>
        <v>11111</v>
      </c>
      <c r="K94" s="1835"/>
      <c r="L94" s="1835"/>
      <c r="M94" s="1835"/>
      <c r="N94" s="1835"/>
      <c r="O94" s="1835"/>
      <c r="P94" s="1835"/>
      <c r="Q94" s="1835"/>
      <c r="R94" s="1835"/>
      <c r="S94" s="1852">
        <v>0.9</v>
      </c>
      <c r="T94" s="1835">
        <v>1091989</v>
      </c>
      <c r="U94" s="1835"/>
    </row>
    <row r="95" spans="1:21">
      <c r="A95" s="1816" t="s">
        <v>707</v>
      </c>
      <c r="B95" s="1817">
        <v>47</v>
      </c>
      <c r="C95" s="1818" t="s">
        <v>708</v>
      </c>
      <c r="D95" s="1817" t="s">
        <v>524</v>
      </c>
      <c r="E95" s="1818" t="s">
        <v>709</v>
      </c>
      <c r="F95" s="1817" t="s">
        <v>624</v>
      </c>
      <c r="G95" s="1817">
        <v>3629</v>
      </c>
      <c r="H95" s="1817"/>
      <c r="I95" s="1819"/>
      <c r="J95" s="1819">
        <f t="shared" si="2"/>
        <v>3629</v>
      </c>
      <c r="K95" s="1819">
        <v>20850</v>
      </c>
      <c r="L95" s="1819">
        <v>8550</v>
      </c>
      <c r="M95" s="1819">
        <v>7770</v>
      </c>
      <c r="N95" s="1819">
        <v>52200</v>
      </c>
      <c r="O95" s="1819">
        <v>69930</v>
      </c>
      <c r="P95" s="1819">
        <v>49800</v>
      </c>
      <c r="Q95" s="1819">
        <v>40080</v>
      </c>
      <c r="R95" s="1819">
        <v>443411</v>
      </c>
      <c r="S95" s="1820">
        <v>0.99</v>
      </c>
      <c r="T95" s="1835">
        <v>540960</v>
      </c>
      <c r="U95" s="1819">
        <v>155340</v>
      </c>
    </row>
    <row r="96" spans="1:21">
      <c r="A96" s="1816" t="s">
        <v>710</v>
      </c>
      <c r="B96" s="1817">
        <v>48</v>
      </c>
      <c r="C96" s="1818" t="s">
        <v>711</v>
      </c>
      <c r="D96" s="1817" t="s">
        <v>524</v>
      </c>
      <c r="E96" s="1818" t="s">
        <v>709</v>
      </c>
      <c r="F96" s="1817" t="s">
        <v>624</v>
      </c>
      <c r="G96" s="1817">
        <v>2033.49</v>
      </c>
      <c r="H96" s="1817"/>
      <c r="I96" s="1819"/>
      <c r="J96" s="1819">
        <f t="shared" si="2"/>
        <v>2033.49</v>
      </c>
      <c r="K96" s="1819">
        <v>2205</v>
      </c>
      <c r="L96" s="1819">
        <v>1899</v>
      </c>
      <c r="M96" s="1819">
        <v>3357</v>
      </c>
      <c r="N96" s="1819">
        <v>78462</v>
      </c>
      <c r="O96" s="1819">
        <v>35667</v>
      </c>
      <c r="P96" s="1819">
        <v>175347</v>
      </c>
      <c r="Q96" s="1819">
        <v>140760</v>
      </c>
      <c r="R96" s="1819">
        <v>1150881</v>
      </c>
      <c r="S96" s="1820">
        <v>0.96</v>
      </c>
      <c r="T96" s="1835">
        <v>1404072</v>
      </c>
      <c r="U96" s="1819">
        <v>50661</v>
      </c>
    </row>
    <row r="97" spans="1:21">
      <c r="A97" s="1816" t="s">
        <v>712</v>
      </c>
      <c r="B97" s="1817">
        <v>49</v>
      </c>
      <c r="C97" s="1818" t="s">
        <v>708</v>
      </c>
      <c r="D97" s="1817" t="s">
        <v>524</v>
      </c>
      <c r="E97" s="1818" t="s">
        <v>709</v>
      </c>
      <c r="F97" s="1817" t="s">
        <v>624</v>
      </c>
      <c r="G97" s="1817">
        <v>3928</v>
      </c>
      <c r="H97" s="1817"/>
      <c r="I97" s="1819"/>
      <c r="J97" s="1819">
        <f t="shared" si="2"/>
        <v>3928</v>
      </c>
      <c r="K97" s="1819">
        <v>2850</v>
      </c>
      <c r="L97" s="1819">
        <v>2820</v>
      </c>
      <c r="M97" s="1819">
        <v>3900</v>
      </c>
      <c r="N97" s="1819">
        <v>7140</v>
      </c>
      <c r="O97" s="1819">
        <v>11760</v>
      </c>
      <c r="P97" s="1819">
        <v>44070</v>
      </c>
      <c r="Q97" s="1819">
        <v>8340</v>
      </c>
      <c r="R97" s="1819">
        <v>148261</v>
      </c>
      <c r="S97" s="1820">
        <v>1</v>
      </c>
      <c r="T97" s="1835">
        <v>180876</v>
      </c>
      <c r="U97" s="1819">
        <v>6030</v>
      </c>
    </row>
    <row r="98" spans="1:21">
      <c r="A98" s="1816" t="s">
        <v>713</v>
      </c>
      <c r="B98" s="1817">
        <v>50</v>
      </c>
      <c r="C98" s="1818" t="s">
        <v>714</v>
      </c>
      <c r="D98" s="1817" t="s">
        <v>524</v>
      </c>
      <c r="E98" s="1818" t="s">
        <v>709</v>
      </c>
      <c r="F98" s="1817" t="s">
        <v>624</v>
      </c>
      <c r="G98" s="1817">
        <v>8319</v>
      </c>
      <c r="H98" s="1817"/>
      <c r="I98" s="1819"/>
      <c r="J98" s="1819">
        <f t="shared" si="2"/>
        <v>8319</v>
      </c>
      <c r="K98" s="1819">
        <v>6165</v>
      </c>
      <c r="L98" s="1819">
        <v>2475</v>
      </c>
      <c r="M98" s="1819">
        <v>2160</v>
      </c>
      <c r="N98" s="1819">
        <v>7335</v>
      </c>
      <c r="O98" s="1819">
        <v>11340</v>
      </c>
      <c r="P98" s="1819">
        <v>17190</v>
      </c>
      <c r="Q98" s="1819">
        <v>15750</v>
      </c>
      <c r="R98" s="1819">
        <v>105765</v>
      </c>
      <c r="S98" s="1820">
        <v>0.99</v>
      </c>
      <c r="T98" s="1835">
        <v>129042</v>
      </c>
      <c r="U98" s="1819">
        <v>40815</v>
      </c>
    </row>
    <row r="99" spans="1:21">
      <c r="A99" s="1816" t="s">
        <v>715</v>
      </c>
      <c r="B99" s="1817">
        <v>51</v>
      </c>
      <c r="C99" s="1818" t="s">
        <v>716</v>
      </c>
      <c r="D99" s="1817" t="s">
        <v>524</v>
      </c>
      <c r="E99" s="1818" t="s">
        <v>709</v>
      </c>
      <c r="F99" s="1817" t="s">
        <v>624</v>
      </c>
      <c r="G99" s="1817">
        <v>2913</v>
      </c>
      <c r="H99" s="1817"/>
      <c r="I99" s="1819"/>
      <c r="J99" s="1819">
        <f t="shared" si="2"/>
        <v>2913</v>
      </c>
      <c r="K99" s="1819">
        <v>10230</v>
      </c>
      <c r="L99" s="1819">
        <v>11190</v>
      </c>
      <c r="M99" s="1819">
        <v>7920</v>
      </c>
      <c r="N99" s="1819">
        <v>11040</v>
      </c>
      <c r="O99" s="1819">
        <v>19920</v>
      </c>
      <c r="P99" s="1819">
        <v>21450</v>
      </c>
      <c r="Q99" s="1819">
        <v>130530</v>
      </c>
      <c r="R99" s="1819">
        <v>873632</v>
      </c>
      <c r="S99" s="1820">
        <v>0.99</v>
      </c>
      <c r="T99" s="1835">
        <v>1065840</v>
      </c>
      <c r="U99" s="1819">
        <v>23370</v>
      </c>
    </row>
    <row r="100" spans="1:21">
      <c r="A100" s="1816" t="s">
        <v>717</v>
      </c>
      <c r="B100" s="1817">
        <v>52</v>
      </c>
      <c r="C100" s="1818" t="s">
        <v>718</v>
      </c>
      <c r="D100" s="1817" t="s">
        <v>524</v>
      </c>
      <c r="E100" s="1818" t="s">
        <v>709</v>
      </c>
      <c r="F100" s="1817" t="s">
        <v>624</v>
      </c>
      <c r="G100" s="1817">
        <v>5092</v>
      </c>
      <c r="H100" s="1817"/>
      <c r="I100" s="1819"/>
      <c r="J100" s="1819">
        <f t="shared" si="2"/>
        <v>5092</v>
      </c>
      <c r="K100" s="1819">
        <v>13590</v>
      </c>
      <c r="L100" s="1819">
        <v>9990</v>
      </c>
      <c r="M100" s="1819">
        <v>16290</v>
      </c>
      <c r="N100" s="1819">
        <v>143490</v>
      </c>
      <c r="O100" s="1819">
        <v>225150</v>
      </c>
      <c r="P100" s="1819">
        <v>134190</v>
      </c>
      <c r="Q100" s="1819">
        <v>85770</v>
      </c>
      <c r="R100" s="1819">
        <v>1132580</v>
      </c>
      <c r="S100" s="1820">
        <v>0.99</v>
      </c>
      <c r="T100" s="1835">
        <v>1381746</v>
      </c>
      <c r="U100" s="1819">
        <v>411750</v>
      </c>
    </row>
    <row r="101" spans="1:21">
      <c r="A101" s="1816" t="s">
        <v>719</v>
      </c>
      <c r="B101" s="1817">
        <v>53</v>
      </c>
      <c r="C101" s="1818" t="s">
        <v>720</v>
      </c>
      <c r="D101" s="1817" t="s">
        <v>524</v>
      </c>
      <c r="E101" s="1818" t="s">
        <v>709</v>
      </c>
      <c r="F101" s="1817" t="s">
        <v>624</v>
      </c>
      <c r="G101" s="1817">
        <v>1689</v>
      </c>
      <c r="H101" s="1817"/>
      <c r="I101" s="1819"/>
      <c r="J101" s="1819">
        <f t="shared" si="2"/>
        <v>1689</v>
      </c>
      <c r="K101" s="1819">
        <v>4335</v>
      </c>
      <c r="L101" s="1819">
        <v>3135</v>
      </c>
      <c r="M101" s="1819">
        <v>4590</v>
      </c>
      <c r="N101" s="1819">
        <v>39135</v>
      </c>
      <c r="O101" s="1819">
        <v>48840</v>
      </c>
      <c r="P101" s="1819">
        <v>40395</v>
      </c>
      <c r="Q101" s="1819">
        <v>31440</v>
      </c>
      <c r="R101" s="1819">
        <v>302316</v>
      </c>
      <c r="S101" s="1820">
        <v>1</v>
      </c>
      <c r="T101" s="1835">
        <v>368832</v>
      </c>
      <c r="U101" s="1819">
        <v>103140</v>
      </c>
    </row>
    <row r="102" spans="1:21">
      <c r="A102" s="1816" t="s">
        <v>721</v>
      </c>
      <c r="B102" s="1817">
        <v>54</v>
      </c>
      <c r="C102" s="1818" t="s">
        <v>722</v>
      </c>
      <c r="D102" s="1817" t="s">
        <v>524</v>
      </c>
      <c r="E102" s="1818" t="s">
        <v>709</v>
      </c>
      <c r="F102" s="1817" t="s">
        <v>624</v>
      </c>
      <c r="G102" s="1817">
        <v>4206</v>
      </c>
      <c r="H102" s="1817"/>
      <c r="I102" s="1819"/>
      <c r="J102" s="1819">
        <f t="shared" si="2"/>
        <v>4206</v>
      </c>
      <c r="K102" s="1819"/>
      <c r="L102" s="1819">
        <v>1740</v>
      </c>
      <c r="M102" s="1819">
        <v>4200</v>
      </c>
      <c r="N102" s="1819">
        <v>2430</v>
      </c>
      <c r="O102" s="1819">
        <v>6540</v>
      </c>
      <c r="P102" s="1819">
        <v>23400</v>
      </c>
      <c r="Q102" s="1819">
        <v>12300</v>
      </c>
      <c r="R102" s="1819">
        <v>93312</v>
      </c>
      <c r="S102" s="1820">
        <v>0.85</v>
      </c>
      <c r="T102" s="1835">
        <v>123198</v>
      </c>
      <c r="U102" s="1819"/>
    </row>
    <row r="103" spans="1:21">
      <c r="A103" s="1816" t="s">
        <v>723</v>
      </c>
      <c r="B103" s="1817">
        <v>55</v>
      </c>
      <c r="C103" s="1818" t="s">
        <v>724</v>
      </c>
      <c r="D103" s="1817" t="s">
        <v>524</v>
      </c>
      <c r="E103" s="1818" t="s">
        <v>709</v>
      </c>
      <c r="F103" s="1817" t="s">
        <v>624</v>
      </c>
      <c r="G103" s="1817">
        <v>7021</v>
      </c>
      <c r="H103" s="1817"/>
      <c r="I103" s="1819"/>
      <c r="J103" s="1819">
        <f t="shared" si="2"/>
        <v>7021</v>
      </c>
      <c r="K103" s="1819">
        <v>8400</v>
      </c>
      <c r="L103" s="1819">
        <v>8820</v>
      </c>
      <c r="M103" s="1819">
        <v>8880</v>
      </c>
      <c r="N103" s="1819">
        <v>8160</v>
      </c>
      <c r="O103" s="1819">
        <v>7560</v>
      </c>
      <c r="P103" s="1819">
        <v>5880</v>
      </c>
      <c r="Q103" s="1819">
        <v>5640</v>
      </c>
      <c r="R103" s="1819">
        <v>97650</v>
      </c>
      <c r="S103" s="1820">
        <v>0.88</v>
      </c>
      <c r="T103" s="1835">
        <v>119148</v>
      </c>
      <c r="U103" s="1819">
        <v>19020</v>
      </c>
    </row>
    <row r="104" spans="1:21" s="1853" customFormat="1">
      <c r="A104" s="1847"/>
      <c r="B104" s="1848">
        <v>56</v>
      </c>
      <c r="C104" s="1856" t="s">
        <v>725</v>
      </c>
      <c r="D104" s="1844" t="s">
        <v>643</v>
      </c>
      <c r="E104" s="1850" t="s">
        <v>709</v>
      </c>
      <c r="F104" s="1844" t="s">
        <v>624</v>
      </c>
      <c r="G104" s="1848"/>
      <c r="H104" s="1848">
        <v>1920</v>
      </c>
      <c r="I104" s="1835"/>
      <c r="J104" s="1835">
        <f t="shared" si="2"/>
        <v>1920</v>
      </c>
      <c r="K104" s="1835"/>
      <c r="L104" s="1835"/>
      <c r="M104" s="1835"/>
      <c r="N104" s="1835"/>
      <c r="O104" s="1835"/>
      <c r="P104" s="1835"/>
      <c r="Q104" s="1835"/>
      <c r="R104" s="1835">
        <v>32141</v>
      </c>
      <c r="S104" s="1852">
        <v>0.9</v>
      </c>
      <c r="T104" s="1835">
        <v>727870</v>
      </c>
      <c r="U104" s="1835"/>
    </row>
    <row r="105" spans="1:21" s="1853" customFormat="1">
      <c r="A105" s="1847" t="s">
        <v>726</v>
      </c>
      <c r="B105" s="1848">
        <v>57</v>
      </c>
      <c r="C105" s="1850" t="s">
        <v>727</v>
      </c>
      <c r="D105" s="1844" t="s">
        <v>643</v>
      </c>
      <c r="E105" s="1850" t="s">
        <v>595</v>
      </c>
      <c r="F105" s="1857"/>
      <c r="G105" s="1848">
        <v>555</v>
      </c>
      <c r="H105" s="1848">
        <v>10145</v>
      </c>
      <c r="I105" s="1835"/>
      <c r="J105" s="1835">
        <f t="shared" si="2"/>
        <v>10700</v>
      </c>
      <c r="K105" s="1858"/>
      <c r="L105" s="1858"/>
      <c r="M105" s="1858"/>
      <c r="N105" s="1858"/>
      <c r="O105" s="1858"/>
      <c r="P105" s="1858"/>
      <c r="Q105" s="1858"/>
      <c r="R105" s="1835">
        <v>6663783</v>
      </c>
      <c r="S105" s="1852">
        <v>0.7</v>
      </c>
      <c r="T105" s="1835">
        <v>25320246</v>
      </c>
      <c r="U105" s="1835">
        <v>10633020</v>
      </c>
    </row>
    <row r="106" spans="1:21" s="1853" customFormat="1">
      <c r="A106" s="1847" t="s">
        <v>728</v>
      </c>
      <c r="B106" s="1848">
        <v>58</v>
      </c>
      <c r="C106" s="1859" t="s">
        <v>729</v>
      </c>
      <c r="D106" s="1848" t="s">
        <v>524</v>
      </c>
      <c r="E106" s="1850" t="s">
        <v>730</v>
      </c>
      <c r="F106" s="1848" t="s">
        <v>624</v>
      </c>
      <c r="G106" s="1848">
        <v>1600</v>
      </c>
      <c r="H106" s="1848"/>
      <c r="I106" s="1835"/>
      <c r="J106" s="1835">
        <f t="shared" si="2"/>
        <v>1600</v>
      </c>
      <c r="K106" s="1835">
        <v>6786</v>
      </c>
      <c r="L106" s="1835">
        <v>8280</v>
      </c>
      <c r="M106" s="1835">
        <v>9828</v>
      </c>
      <c r="N106" s="1835">
        <v>10269</v>
      </c>
      <c r="O106" s="1835">
        <v>26451</v>
      </c>
      <c r="P106" s="1835">
        <v>11754</v>
      </c>
      <c r="Q106" s="1835">
        <v>18693</v>
      </c>
      <c r="R106" s="1835">
        <v>157112</v>
      </c>
      <c r="S106" s="1852">
        <v>0.97</v>
      </c>
      <c r="T106" s="1835">
        <v>167724</v>
      </c>
      <c r="U106" s="1835"/>
    </row>
    <row r="107" spans="1:21" s="1853" customFormat="1">
      <c r="A107" s="1847" t="s">
        <v>731</v>
      </c>
      <c r="B107" s="1848">
        <v>59</v>
      </c>
      <c r="C107" s="1859" t="s">
        <v>732</v>
      </c>
      <c r="D107" s="1848" t="s">
        <v>524</v>
      </c>
      <c r="E107" s="1850" t="s">
        <v>730</v>
      </c>
      <c r="F107" s="1848" t="s">
        <v>624</v>
      </c>
      <c r="G107" s="1848">
        <v>1150</v>
      </c>
      <c r="H107" s="1848"/>
      <c r="I107" s="1835"/>
      <c r="J107" s="1835">
        <f t="shared" si="2"/>
        <v>1150</v>
      </c>
      <c r="K107" s="1835">
        <v>82098</v>
      </c>
      <c r="L107" s="1835">
        <v>86625</v>
      </c>
      <c r="M107" s="1835">
        <v>98910</v>
      </c>
      <c r="N107" s="1835">
        <v>94185</v>
      </c>
      <c r="O107" s="1835">
        <v>86940</v>
      </c>
      <c r="P107" s="1835">
        <v>79137</v>
      </c>
      <c r="Q107" s="1835">
        <v>95994</v>
      </c>
      <c r="R107" s="1835">
        <v>1091957</v>
      </c>
      <c r="S107" s="1852">
        <v>0.8</v>
      </c>
      <c r="T107" s="1835">
        <v>1165674</v>
      </c>
      <c r="U107" s="1835">
        <v>857142</v>
      </c>
    </row>
    <row r="108" spans="1:21" s="1853" customFormat="1">
      <c r="A108" s="1847"/>
      <c r="B108" s="1848">
        <v>60</v>
      </c>
      <c r="C108" s="1856" t="s">
        <v>733</v>
      </c>
      <c r="D108" s="1844" t="s">
        <v>643</v>
      </c>
      <c r="E108" s="1850" t="s">
        <v>730</v>
      </c>
      <c r="F108" s="1844" t="s">
        <v>624</v>
      </c>
      <c r="G108" s="1848"/>
      <c r="H108" s="1851">
        <v>1440</v>
      </c>
      <c r="I108" s="1835"/>
      <c r="J108" s="1835">
        <f t="shared" si="2"/>
        <v>1440</v>
      </c>
      <c r="K108" s="1835"/>
      <c r="L108" s="1835"/>
      <c r="M108" s="1835"/>
      <c r="N108" s="1835"/>
      <c r="O108" s="1835"/>
      <c r="P108" s="1835"/>
      <c r="Q108" s="1835"/>
      <c r="R108" s="1835">
        <v>70762</v>
      </c>
      <c r="S108" s="1852">
        <v>0.9</v>
      </c>
      <c r="T108" s="1858">
        <v>545364</v>
      </c>
      <c r="U108" s="1835"/>
    </row>
    <row r="109" spans="1:21" s="1853" customFormat="1">
      <c r="A109" s="1847"/>
      <c r="B109" s="1848">
        <v>61</v>
      </c>
      <c r="C109" s="1856" t="s">
        <v>734</v>
      </c>
      <c r="D109" s="1844" t="s">
        <v>643</v>
      </c>
      <c r="E109" s="1850" t="s">
        <v>730</v>
      </c>
      <c r="F109" s="1844" t="s">
        <v>624</v>
      </c>
      <c r="G109" s="1848"/>
      <c r="H109" s="1851">
        <v>1333</v>
      </c>
      <c r="I109" s="1835"/>
      <c r="J109" s="1835">
        <f t="shared" si="2"/>
        <v>1333</v>
      </c>
      <c r="K109" s="1835"/>
      <c r="L109" s="1835"/>
      <c r="M109" s="1835"/>
      <c r="N109" s="1835"/>
      <c r="O109" s="1835"/>
      <c r="P109" s="1835"/>
      <c r="Q109" s="1835"/>
      <c r="R109" s="1835">
        <v>65503</v>
      </c>
      <c r="S109" s="1852">
        <v>0.9</v>
      </c>
      <c r="T109" s="1835">
        <v>504842</v>
      </c>
      <c r="U109" s="1835"/>
    </row>
    <row r="110" spans="1:21" s="1853" customFormat="1">
      <c r="A110" s="1847" t="s">
        <v>735</v>
      </c>
      <c r="B110" s="1848">
        <v>62</v>
      </c>
      <c r="C110" s="1859" t="s">
        <v>736</v>
      </c>
      <c r="D110" s="1848" t="s">
        <v>524</v>
      </c>
      <c r="E110" s="1850" t="s">
        <v>737</v>
      </c>
      <c r="F110" s="1848" t="s">
        <v>624</v>
      </c>
      <c r="G110" s="1848">
        <v>3500</v>
      </c>
      <c r="H110" s="1848"/>
      <c r="I110" s="1835"/>
      <c r="J110" s="1835">
        <f t="shared" si="2"/>
        <v>3500</v>
      </c>
      <c r="K110" s="1835">
        <v>6750</v>
      </c>
      <c r="L110" s="1835">
        <v>56010</v>
      </c>
      <c r="M110" s="1835">
        <v>68160</v>
      </c>
      <c r="N110" s="1835">
        <v>74100</v>
      </c>
      <c r="O110" s="1835">
        <v>65640</v>
      </c>
      <c r="P110" s="1835">
        <v>58740</v>
      </c>
      <c r="Q110" s="1835">
        <v>66000</v>
      </c>
      <c r="R110" s="1835">
        <v>645744</v>
      </c>
      <c r="S110" s="1852">
        <v>0.96</v>
      </c>
      <c r="T110" s="1835">
        <v>656508</v>
      </c>
      <c r="U110" s="1835"/>
    </row>
    <row r="111" spans="1:21" s="1853" customFormat="1" ht="16.5" customHeight="1">
      <c r="A111" s="1847"/>
      <c r="B111" s="1848">
        <v>63</v>
      </c>
      <c r="C111" s="1856" t="s">
        <v>738</v>
      </c>
      <c r="D111" s="1844" t="s">
        <v>643</v>
      </c>
      <c r="E111" s="1850" t="s">
        <v>737</v>
      </c>
      <c r="F111" s="1844" t="s">
        <v>624</v>
      </c>
      <c r="G111" s="1848"/>
      <c r="H111" s="1851">
        <v>4103</v>
      </c>
      <c r="I111" s="1835"/>
      <c r="J111" s="1835">
        <f t="shared" si="2"/>
        <v>4103</v>
      </c>
      <c r="K111" s="1835"/>
      <c r="L111" s="1835"/>
      <c r="M111" s="1835"/>
      <c r="N111" s="1835"/>
      <c r="O111" s="1835"/>
      <c r="P111" s="1835"/>
      <c r="Q111" s="1835"/>
      <c r="R111" s="1835">
        <v>68684</v>
      </c>
      <c r="S111" s="1852">
        <v>0.9</v>
      </c>
      <c r="T111" s="1835">
        <v>1555435</v>
      </c>
      <c r="U111" s="1835"/>
    </row>
    <row r="112" spans="1:21" s="1853" customFormat="1">
      <c r="A112" s="1847"/>
      <c r="B112" s="1848">
        <v>64</v>
      </c>
      <c r="C112" s="1856" t="s">
        <v>739</v>
      </c>
      <c r="D112" s="1844" t="s">
        <v>643</v>
      </c>
      <c r="E112" s="1850" t="s">
        <v>737</v>
      </c>
      <c r="F112" s="1844" t="s">
        <v>624</v>
      </c>
      <c r="G112" s="1848"/>
      <c r="H112" s="1851">
        <v>4694</v>
      </c>
      <c r="I112" s="1835"/>
      <c r="J112" s="1835">
        <f t="shared" si="2"/>
        <v>4694</v>
      </c>
      <c r="K112" s="1835"/>
      <c r="L112" s="1835"/>
      <c r="M112" s="1835"/>
      <c r="N112" s="1835"/>
      <c r="O112" s="1835"/>
      <c r="P112" s="1835"/>
      <c r="Q112" s="1835"/>
      <c r="R112" s="1835">
        <v>78578</v>
      </c>
      <c r="S112" s="1852">
        <v>0.9</v>
      </c>
      <c r="T112" s="1835">
        <v>1779487</v>
      </c>
      <c r="U112" s="1835"/>
    </row>
    <row r="113" spans="1:21" s="1853" customFormat="1">
      <c r="A113" s="1847"/>
      <c r="B113" s="1848">
        <v>65</v>
      </c>
      <c r="C113" s="1856" t="s">
        <v>740</v>
      </c>
      <c r="D113" s="1844" t="s">
        <v>643</v>
      </c>
      <c r="E113" s="1850" t="s">
        <v>737</v>
      </c>
      <c r="F113" s="1844" t="s">
        <v>624</v>
      </c>
      <c r="G113" s="1848"/>
      <c r="H113" s="1851">
        <v>1676</v>
      </c>
      <c r="I113" s="1835"/>
      <c r="J113" s="1835">
        <f t="shared" si="2"/>
        <v>1676</v>
      </c>
      <c r="K113" s="1835"/>
      <c r="L113" s="1835"/>
      <c r="M113" s="1835"/>
      <c r="N113" s="1835"/>
      <c r="O113" s="1835"/>
      <c r="P113" s="1835"/>
      <c r="Q113" s="1835"/>
      <c r="R113" s="1835">
        <v>28056</v>
      </c>
      <c r="S113" s="1852">
        <v>0.9</v>
      </c>
      <c r="T113" s="1835">
        <v>635363</v>
      </c>
      <c r="U113" s="1835"/>
    </row>
    <row r="114" spans="1:21" s="1853" customFormat="1">
      <c r="A114" s="1847"/>
      <c r="B114" s="1848">
        <v>66</v>
      </c>
      <c r="C114" s="1856" t="s">
        <v>741</v>
      </c>
      <c r="D114" s="1844" t="s">
        <v>643</v>
      </c>
      <c r="E114" s="1850" t="s">
        <v>737</v>
      </c>
      <c r="F114" s="1844" t="s">
        <v>624</v>
      </c>
      <c r="G114" s="1848"/>
      <c r="H114" s="1851">
        <v>4006</v>
      </c>
      <c r="I114" s="1835"/>
      <c r="J114" s="1835">
        <f t="shared" ref="J114:J116" si="3">G114+H114+I114</f>
        <v>4006</v>
      </c>
      <c r="K114" s="1835"/>
      <c r="L114" s="1835"/>
      <c r="M114" s="1835"/>
      <c r="N114" s="1835"/>
      <c r="O114" s="1835"/>
      <c r="P114" s="1835"/>
      <c r="Q114" s="1835"/>
      <c r="R114" s="1835">
        <v>67060</v>
      </c>
      <c r="S114" s="1852">
        <v>0.9</v>
      </c>
      <c r="T114" s="1835">
        <v>1518665</v>
      </c>
      <c r="U114" s="1835"/>
    </row>
    <row r="115" spans="1:21" s="1853" customFormat="1">
      <c r="A115" s="1847"/>
      <c r="B115" s="1848">
        <v>67</v>
      </c>
      <c r="C115" s="1856" t="s">
        <v>742</v>
      </c>
      <c r="D115" s="1848" t="s">
        <v>591</v>
      </c>
      <c r="E115" s="1850" t="s">
        <v>737</v>
      </c>
      <c r="F115" s="1844" t="s">
        <v>624</v>
      </c>
      <c r="G115" s="1857"/>
      <c r="H115" s="1848"/>
      <c r="I115" s="1855">
        <v>1222</v>
      </c>
      <c r="J115" s="1835">
        <f t="shared" si="3"/>
        <v>1222</v>
      </c>
      <c r="K115" s="1835"/>
      <c r="L115" s="1835"/>
      <c r="M115" s="1835"/>
      <c r="N115" s="1835"/>
      <c r="O115" s="1835"/>
      <c r="P115" s="1835"/>
      <c r="Q115" s="1835"/>
      <c r="R115" s="1835"/>
      <c r="S115" s="1852">
        <v>0.9</v>
      </c>
      <c r="T115" s="1835">
        <v>725868</v>
      </c>
      <c r="U115" s="1835"/>
    </row>
    <row r="116" spans="1:21" s="1853" customFormat="1">
      <c r="A116" s="1847"/>
      <c r="B116" s="1848">
        <v>68</v>
      </c>
      <c r="C116" s="1856" t="s">
        <v>743</v>
      </c>
      <c r="D116" s="1848" t="s">
        <v>591</v>
      </c>
      <c r="E116" s="1850" t="s">
        <v>737</v>
      </c>
      <c r="F116" s="1844" t="s">
        <v>624</v>
      </c>
      <c r="G116" s="1857"/>
      <c r="H116" s="1848"/>
      <c r="I116" s="1855">
        <v>1222</v>
      </c>
      <c r="J116" s="1835">
        <f t="shared" si="3"/>
        <v>1222</v>
      </c>
      <c r="K116" s="1835"/>
      <c r="L116" s="1835"/>
      <c r="M116" s="1835"/>
      <c r="N116" s="1835"/>
      <c r="O116" s="1835"/>
      <c r="P116" s="1835"/>
      <c r="Q116" s="1835"/>
      <c r="R116" s="1835"/>
      <c r="S116" s="1852">
        <v>0.9</v>
      </c>
      <c r="T116" s="1835">
        <v>725868</v>
      </c>
      <c r="U116" s="1835"/>
    </row>
    <row r="117" spans="1:21">
      <c r="A117" s="1816"/>
      <c r="B117" s="1860">
        <f>B116</f>
        <v>68</v>
      </c>
      <c r="C117" s="1833" t="s">
        <v>744</v>
      </c>
      <c r="D117" s="1830"/>
      <c r="E117" s="1833"/>
      <c r="F117" s="1833"/>
      <c r="G117" s="1861">
        <f>SUM(G49:G116)</f>
        <v>153557.49</v>
      </c>
      <c r="H117" s="1861">
        <f t="shared" ref="H117:U117" si="4">SUM(H49:H116)</f>
        <v>37411</v>
      </c>
      <c r="I117" s="1861">
        <f t="shared" si="4"/>
        <v>53108</v>
      </c>
      <c r="J117" s="1861">
        <f t="shared" si="4"/>
        <v>244076.49</v>
      </c>
      <c r="K117" s="1861">
        <f t="shared" si="4"/>
        <v>23391594</v>
      </c>
      <c r="L117" s="1861">
        <f t="shared" si="4"/>
        <v>21689974</v>
      </c>
      <c r="M117" s="1861">
        <f t="shared" si="4"/>
        <v>23909677</v>
      </c>
      <c r="N117" s="1861">
        <f t="shared" si="4"/>
        <v>27012528</v>
      </c>
      <c r="O117" s="1861">
        <f t="shared" si="4"/>
        <v>29214117</v>
      </c>
      <c r="P117" s="1861">
        <f t="shared" si="4"/>
        <v>28191516</v>
      </c>
      <c r="Q117" s="1861">
        <f t="shared" si="4"/>
        <v>27927622</v>
      </c>
      <c r="R117" s="1861">
        <f t="shared" si="4"/>
        <v>325086043</v>
      </c>
      <c r="S117" s="1861"/>
      <c r="T117" s="1861">
        <f t="shared" si="4"/>
        <v>387591465</v>
      </c>
      <c r="U117" s="1861">
        <f t="shared" si="4"/>
        <v>320011718</v>
      </c>
    </row>
    <row r="118" spans="1:21">
      <c r="A118" s="1816"/>
      <c r="B118" s="1862">
        <f>B117+B48</f>
        <v>112</v>
      </c>
      <c r="C118" s="1863" t="s">
        <v>282</v>
      </c>
      <c r="D118" s="1864"/>
      <c r="E118" s="1865"/>
      <c r="F118" s="1865"/>
      <c r="G118" s="1866">
        <f t="shared" ref="G118:U118" si="5">G117+G48</f>
        <v>919446.49</v>
      </c>
      <c r="H118" s="1866">
        <f t="shared" si="5"/>
        <v>134411</v>
      </c>
      <c r="I118" s="1866">
        <f t="shared" si="5"/>
        <v>114108</v>
      </c>
      <c r="J118" s="1866">
        <f t="shared" si="5"/>
        <v>1167965.49</v>
      </c>
      <c r="K118" s="1866">
        <f t="shared" si="5"/>
        <v>298013402</v>
      </c>
      <c r="L118" s="1866">
        <f t="shared" si="5"/>
        <v>280815096</v>
      </c>
      <c r="M118" s="1866">
        <f t="shared" si="5"/>
        <v>278781206</v>
      </c>
      <c r="N118" s="1866">
        <f t="shared" si="5"/>
        <v>302596514</v>
      </c>
      <c r="O118" s="1866">
        <f t="shared" si="5"/>
        <v>306992090</v>
      </c>
      <c r="P118" s="1866">
        <f t="shared" si="5"/>
        <v>291400201</v>
      </c>
      <c r="Q118" s="1866">
        <f t="shared" si="5"/>
        <v>308038905</v>
      </c>
      <c r="R118" s="1866">
        <f t="shared" si="5"/>
        <v>3639631561</v>
      </c>
      <c r="S118" s="1866"/>
      <c r="T118" s="1866">
        <f t="shared" si="5"/>
        <v>3942847804</v>
      </c>
      <c r="U118" s="1866">
        <f t="shared" si="5"/>
        <v>2971837429</v>
      </c>
    </row>
  </sheetData>
  <printOptions horizontalCentered="1"/>
  <pageMargins left="0" right="0" top="0.35433070866141736" bottom="0" header="0.11811023622047245" footer="0.31496062992125984"/>
  <pageSetup paperSize="9" scale="80" orientation="landscape" r:id="rId1"/>
  <rowBreaks count="2" manualBreakCount="2">
    <brk id="41" min="1" max="20" man="1"/>
    <brk id="79" min="1" max="20" man="1"/>
  </rowBreaks>
  <colBreaks count="1" manualBreakCount="1">
    <brk id="10" max="11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H83"/>
  <sheetViews>
    <sheetView showZeros="0" workbookViewId="0">
      <selection sqref="A1:IV65536"/>
    </sheetView>
  </sheetViews>
  <sheetFormatPr defaultRowHeight="12.75"/>
  <cols>
    <col min="2" max="2" width="30.85546875" customWidth="1"/>
  </cols>
  <sheetData>
    <row r="1" spans="1:8">
      <c r="A1" t="s">
        <v>745</v>
      </c>
    </row>
    <row r="2" spans="1:8" ht="13.5" thickBot="1"/>
    <row r="3" spans="1:8" ht="51.75" thickBot="1">
      <c r="A3" t="s">
        <v>746</v>
      </c>
      <c r="B3" s="46" t="s">
        <v>747</v>
      </c>
      <c r="C3" s="47" t="s">
        <v>748</v>
      </c>
      <c r="D3" s="47" t="s">
        <v>749</v>
      </c>
      <c r="E3" s="47" t="s">
        <v>750</v>
      </c>
      <c r="F3" s="47" t="s">
        <v>751</v>
      </c>
      <c r="G3" s="47" t="s">
        <v>752</v>
      </c>
      <c r="H3" s="47" t="s">
        <v>753</v>
      </c>
    </row>
    <row r="5" spans="1:8" ht="15">
      <c r="A5" s="34">
        <v>1</v>
      </c>
      <c r="B5" s="15" t="s">
        <v>231</v>
      </c>
      <c r="C5" s="2506" t="e">
        <f>#REF!</f>
        <v>#REF!</v>
      </c>
      <c r="D5" s="3" t="e">
        <f>#REF!</f>
        <v>#REF!</v>
      </c>
      <c r="E5" s="48" t="e">
        <f>#REF!/#REF!</f>
        <v>#REF!</v>
      </c>
    </row>
    <row r="6" spans="1:8" ht="15">
      <c r="A6" s="35"/>
      <c r="B6" s="15"/>
      <c r="C6" s="2507"/>
    </row>
    <row r="7" spans="1:8" ht="15">
      <c r="A7" s="34">
        <v>2</v>
      </c>
      <c r="B7" s="15" t="s">
        <v>754</v>
      </c>
      <c r="C7" s="2507"/>
      <c r="D7" s="3" t="e">
        <f>#REF!</f>
        <v>#REF!</v>
      </c>
      <c r="E7" s="48" t="e">
        <f>#REF!/#REF!</f>
        <v>#REF!</v>
      </c>
    </row>
    <row r="8" spans="1:8" ht="15">
      <c r="A8" s="34"/>
      <c r="B8" s="15"/>
      <c r="C8" s="2507"/>
    </row>
    <row r="9" spans="1:8" ht="15">
      <c r="A9" s="34"/>
      <c r="B9" s="15"/>
      <c r="C9" s="2507"/>
    </row>
    <row r="10" spans="1:8" ht="15">
      <c r="A10" s="34">
        <v>3</v>
      </c>
      <c r="B10" s="15" t="s">
        <v>755</v>
      </c>
      <c r="C10" s="2507"/>
      <c r="D10" s="3" t="e">
        <f>#REF!</f>
        <v>#REF!</v>
      </c>
      <c r="E10" s="48" t="e">
        <f>#REF!/#REF!</f>
        <v>#REF!</v>
      </c>
    </row>
    <row r="11" spans="1:8" ht="15">
      <c r="A11" s="34">
        <v>4</v>
      </c>
      <c r="B11" s="15" t="s">
        <v>756</v>
      </c>
      <c r="C11" s="2507"/>
      <c r="D11" s="3" t="e">
        <f>#REF!</f>
        <v>#REF!</v>
      </c>
    </row>
    <row r="12" spans="1:8" ht="15">
      <c r="A12" s="34">
        <v>5</v>
      </c>
      <c r="B12" s="15" t="s">
        <v>757</v>
      </c>
      <c r="C12" s="2507"/>
      <c r="D12" s="3" t="e">
        <f>#REF!</f>
        <v>#REF!</v>
      </c>
    </row>
    <row r="13" spans="1:8" ht="15">
      <c r="A13" s="33"/>
      <c r="B13" s="22"/>
      <c r="C13" s="2507"/>
    </row>
    <row r="14" spans="1:8" ht="15">
      <c r="A14" s="34">
        <v>6</v>
      </c>
      <c r="B14" s="23" t="s">
        <v>758</v>
      </c>
      <c r="C14" s="2507"/>
      <c r="D14" s="3" t="e">
        <f>#REF!</f>
        <v>#REF!</v>
      </c>
    </row>
    <row r="15" spans="1:8" ht="15">
      <c r="A15" s="34"/>
      <c r="B15" s="22"/>
      <c r="C15" s="2507"/>
      <c r="D15" s="3" t="e">
        <f>#REF!</f>
        <v>#REF!</v>
      </c>
    </row>
    <row r="16" spans="1:8" ht="15">
      <c r="A16" s="34">
        <v>7</v>
      </c>
      <c r="B16" s="15" t="s">
        <v>759</v>
      </c>
      <c r="C16" s="2507"/>
      <c r="D16" s="3" t="e">
        <f>#REF!</f>
        <v>#REF!</v>
      </c>
    </row>
    <row r="17" spans="1:4" ht="15">
      <c r="A17" s="34"/>
      <c r="B17" s="15"/>
      <c r="C17" s="2507"/>
      <c r="D17" s="3" t="e">
        <f>#REF!</f>
        <v>#REF!</v>
      </c>
    </row>
    <row r="18" spans="1:4" ht="15">
      <c r="A18" s="34">
        <v>8</v>
      </c>
      <c r="B18" s="15" t="s">
        <v>760</v>
      </c>
      <c r="C18" s="2507"/>
      <c r="D18" s="3" t="e">
        <f>#REF!</f>
        <v>#REF!</v>
      </c>
    </row>
    <row r="19" spans="1:4" ht="15">
      <c r="A19" s="34">
        <v>9</v>
      </c>
      <c r="B19" s="15" t="s">
        <v>252</v>
      </c>
      <c r="C19" s="2507"/>
      <c r="D19" s="3" t="e">
        <f>#REF!</f>
        <v>#REF!</v>
      </c>
    </row>
    <row r="20" spans="1:4" ht="15">
      <c r="A20" s="34">
        <v>10</v>
      </c>
      <c r="B20" s="15" t="s">
        <v>761</v>
      </c>
      <c r="C20" s="2507"/>
      <c r="D20" s="3" t="e">
        <f>#REF!</f>
        <v>#REF!</v>
      </c>
    </row>
    <row r="21" spans="1:4" ht="15">
      <c r="A21" s="34">
        <v>11</v>
      </c>
      <c r="B21" s="15" t="s">
        <v>255</v>
      </c>
      <c r="C21" s="2507"/>
      <c r="D21" s="3" t="e">
        <f>#REF!</f>
        <v>#REF!</v>
      </c>
    </row>
    <row r="22" spans="1:4" ht="15">
      <c r="A22" s="34"/>
      <c r="B22" s="15"/>
      <c r="D22" s="3" t="e">
        <f>#REF!</f>
        <v>#REF!</v>
      </c>
    </row>
    <row r="23" spans="1:4" ht="15.75">
      <c r="A23" s="36"/>
      <c r="B23" s="14"/>
    </row>
    <row r="24" spans="1:4" ht="15.75">
      <c r="A24" s="22"/>
      <c r="B24" s="16" t="s">
        <v>762</v>
      </c>
      <c r="D24" s="3" t="e">
        <f>#REF!</f>
        <v>#REF!</v>
      </c>
    </row>
    <row r="25" spans="1:4" ht="15.75">
      <c r="A25" s="15"/>
      <c r="B25" s="16" t="s">
        <v>257</v>
      </c>
    </row>
    <row r="26" spans="1:4" ht="15">
      <c r="A26" s="37">
        <v>13</v>
      </c>
      <c r="B26" s="15" t="s">
        <v>258</v>
      </c>
      <c r="D26" s="3" t="e">
        <f>#REF!</f>
        <v>#REF!</v>
      </c>
    </row>
    <row r="27" spans="1:4" ht="15">
      <c r="A27" s="34"/>
      <c r="B27" s="15"/>
      <c r="D27" s="3" t="e">
        <f>#REF!</f>
        <v>#REF!</v>
      </c>
    </row>
    <row r="28" spans="1:4" ht="15">
      <c r="A28" s="34">
        <v>14</v>
      </c>
      <c r="B28" s="15" t="s">
        <v>763</v>
      </c>
      <c r="D28" s="3"/>
    </row>
    <row r="29" spans="1:4" ht="15">
      <c r="A29" s="34"/>
      <c r="B29" s="15"/>
      <c r="D29" s="3" t="e">
        <f>#REF!</f>
        <v>#REF!</v>
      </c>
    </row>
    <row r="30" spans="1:4" ht="15">
      <c r="A30" s="34">
        <v>15</v>
      </c>
      <c r="B30" s="15" t="s">
        <v>764</v>
      </c>
      <c r="D30" s="3" t="e">
        <f>#REF!</f>
        <v>#REF!</v>
      </c>
    </row>
    <row r="31" spans="1:4" ht="15">
      <c r="A31" s="34"/>
      <c r="B31" s="15"/>
      <c r="D31" s="3" t="e">
        <f>#REF!</f>
        <v>#REF!</v>
      </c>
    </row>
    <row r="32" spans="1:4" ht="15">
      <c r="A32" s="34">
        <v>16</v>
      </c>
      <c r="B32" s="15" t="s">
        <v>765</v>
      </c>
      <c r="D32" s="3" t="e">
        <f>#REF!</f>
        <v>#REF!</v>
      </c>
    </row>
    <row r="33" spans="1:4" ht="15">
      <c r="A33" s="34"/>
      <c r="B33" s="15"/>
      <c r="D33" s="3" t="e">
        <f>#REF!</f>
        <v>#REF!</v>
      </c>
    </row>
    <row r="34" spans="1:4" ht="15">
      <c r="A34" s="34">
        <v>17</v>
      </c>
      <c r="B34" s="15" t="s">
        <v>758</v>
      </c>
      <c r="D34" s="3" t="e">
        <f>#REF!</f>
        <v>#REF!</v>
      </c>
    </row>
    <row r="35" spans="1:4" ht="15">
      <c r="A35" s="34"/>
      <c r="B35" s="15"/>
      <c r="D35" s="3" t="e">
        <f>#REF!</f>
        <v>#REF!</v>
      </c>
    </row>
    <row r="36" spans="1:4" ht="15">
      <c r="A36" s="34">
        <v>18</v>
      </c>
      <c r="B36" s="15" t="s">
        <v>270</v>
      </c>
      <c r="D36" s="3" t="e">
        <f>#REF!</f>
        <v>#REF!</v>
      </c>
    </row>
    <row r="37" spans="1:4" ht="15">
      <c r="A37" s="34"/>
      <c r="B37" s="15"/>
      <c r="D37" s="3" t="e">
        <f>#REF!</f>
        <v>#REF!</v>
      </c>
    </row>
    <row r="38" spans="1:4" ht="15">
      <c r="A38" s="34">
        <v>19</v>
      </c>
      <c r="B38" s="15" t="s">
        <v>262</v>
      </c>
      <c r="D38" s="3" t="e">
        <f>#REF!</f>
        <v>#REF!</v>
      </c>
    </row>
    <row r="39" spans="1:4" ht="15">
      <c r="A39" s="34"/>
      <c r="B39" s="15"/>
      <c r="D39" s="3" t="e">
        <f>#REF!</f>
        <v>#REF!</v>
      </c>
    </row>
    <row r="40" spans="1:4" ht="15">
      <c r="A40" s="34">
        <v>20</v>
      </c>
      <c r="B40" s="15" t="s">
        <v>255</v>
      </c>
      <c r="D40" s="3" t="e">
        <f>#REF!</f>
        <v>#REF!</v>
      </c>
    </row>
    <row r="41" spans="1:4" ht="15">
      <c r="A41" s="34"/>
      <c r="B41" s="15"/>
      <c r="D41" s="3" t="e">
        <f>#REF!</f>
        <v>#REF!</v>
      </c>
    </row>
    <row r="42" spans="1:4" ht="15">
      <c r="A42" s="34">
        <v>21</v>
      </c>
      <c r="B42" s="15" t="s">
        <v>263</v>
      </c>
      <c r="D42" s="3" t="e">
        <f>#REF!</f>
        <v>#REF!</v>
      </c>
    </row>
    <row r="43" spans="1:4" ht="15">
      <c r="A43" s="34"/>
      <c r="B43" s="15"/>
      <c r="D43" s="3" t="e">
        <f>#REF!</f>
        <v>#REF!</v>
      </c>
    </row>
    <row r="44" spans="1:4" ht="15">
      <c r="A44" s="34">
        <v>22</v>
      </c>
      <c r="B44" s="15" t="s">
        <v>264</v>
      </c>
      <c r="D44" s="3" t="e">
        <f>#REF!</f>
        <v>#REF!</v>
      </c>
    </row>
    <row r="45" spans="1:4" ht="15">
      <c r="A45" s="34"/>
      <c r="B45" s="15"/>
      <c r="D45" s="3" t="e">
        <f>#REF!</f>
        <v>#REF!</v>
      </c>
    </row>
    <row r="46" spans="1:4" ht="15">
      <c r="A46" s="34">
        <v>23</v>
      </c>
      <c r="B46" s="15" t="s">
        <v>265</v>
      </c>
      <c r="D46" s="3" t="e">
        <f>#REF!</f>
        <v>#REF!</v>
      </c>
    </row>
    <row r="47" spans="1:4" ht="15">
      <c r="A47" s="34"/>
      <c r="B47" s="15"/>
      <c r="D47" s="3" t="e">
        <f>#REF!</f>
        <v>#REF!</v>
      </c>
    </row>
    <row r="48" spans="1:4" ht="15">
      <c r="A48" s="34"/>
      <c r="B48" s="15" t="s">
        <v>280</v>
      </c>
      <c r="D48" s="3" t="e">
        <f>#REF!</f>
        <v>#REF!</v>
      </c>
    </row>
    <row r="49" spans="1:4" ht="15">
      <c r="A49" s="34"/>
      <c r="B49" s="15"/>
      <c r="D49" s="3" t="e">
        <f>#REF!</f>
        <v>#REF!</v>
      </c>
    </row>
    <row r="50" spans="1:4" ht="15">
      <c r="A50" s="34">
        <v>24</v>
      </c>
      <c r="B50" s="15" t="s">
        <v>267</v>
      </c>
      <c r="D50" s="3" t="e">
        <f>#REF!</f>
        <v>#REF!</v>
      </c>
    </row>
    <row r="51" spans="1:4" ht="15">
      <c r="A51" s="34"/>
      <c r="B51" s="15"/>
    </row>
    <row r="52" spans="1:4" ht="15.75">
      <c r="A52" s="34"/>
      <c r="B52" s="14" t="s">
        <v>766</v>
      </c>
      <c r="D52" s="3" t="e">
        <f>#REF!</f>
        <v>#REF!</v>
      </c>
    </row>
    <row r="53" spans="1:4" ht="15">
      <c r="A53" s="36"/>
      <c r="B53" s="15"/>
      <c r="D53" s="3" t="e">
        <f>#REF!</f>
        <v>#REF!</v>
      </c>
    </row>
    <row r="54" spans="1:4" ht="15.75">
      <c r="A54" s="15"/>
      <c r="B54" s="16" t="s">
        <v>268</v>
      </c>
      <c r="D54" s="3" t="e">
        <f>#REF!</f>
        <v>#REF!</v>
      </c>
    </row>
    <row r="55" spans="1:4" ht="15">
      <c r="A55" s="37">
        <v>25</v>
      </c>
      <c r="B55" s="15" t="s">
        <v>270</v>
      </c>
      <c r="D55" s="3" t="e">
        <f>#REF!</f>
        <v>#REF!</v>
      </c>
    </row>
    <row r="56" spans="1:4" ht="15">
      <c r="A56" s="34"/>
      <c r="B56" s="15"/>
      <c r="D56" s="3" t="e">
        <f>#REF!</f>
        <v>#REF!</v>
      </c>
    </row>
    <row r="57" spans="1:4" ht="15">
      <c r="A57" s="34">
        <v>26</v>
      </c>
      <c r="B57" s="15" t="s">
        <v>255</v>
      </c>
      <c r="D57" s="3" t="e">
        <f>#REF!</f>
        <v>#REF!</v>
      </c>
    </row>
    <row r="58" spans="1:4" ht="15">
      <c r="A58" s="34"/>
      <c r="B58" s="15"/>
      <c r="D58" s="3" t="e">
        <f>#REF!</f>
        <v>#REF!</v>
      </c>
    </row>
    <row r="59" spans="1:4" ht="15">
      <c r="A59" s="34">
        <v>27</v>
      </c>
      <c r="B59" s="15" t="s">
        <v>265</v>
      </c>
      <c r="D59" s="3" t="e">
        <f>#REF!</f>
        <v>#REF!</v>
      </c>
    </row>
    <row r="60" spans="1:4" ht="15">
      <c r="A60" s="34"/>
      <c r="B60" s="15"/>
      <c r="D60" s="3" t="e">
        <f>#REF!</f>
        <v>#REF!</v>
      </c>
    </row>
    <row r="61" spans="1:4" ht="15">
      <c r="A61" s="34">
        <v>28</v>
      </c>
      <c r="B61" s="15" t="s">
        <v>276</v>
      </c>
      <c r="D61" s="3" t="e">
        <f>#REF!</f>
        <v>#REF!</v>
      </c>
    </row>
    <row r="62" spans="1:4" ht="15">
      <c r="A62" s="34"/>
      <c r="B62" s="15"/>
      <c r="D62" s="3" t="e">
        <f>#REF!</f>
        <v>#REF!</v>
      </c>
    </row>
    <row r="63" spans="1:4" ht="15">
      <c r="A63" s="34">
        <v>29</v>
      </c>
      <c r="B63" s="15" t="s">
        <v>263</v>
      </c>
      <c r="D63" s="3" t="e">
        <f>#REF!</f>
        <v>#REF!</v>
      </c>
    </row>
    <row r="64" spans="1:4" ht="15">
      <c r="A64" s="34"/>
      <c r="B64" s="15"/>
      <c r="D64" s="3" t="e">
        <f>#REF!</f>
        <v>#REF!</v>
      </c>
    </row>
    <row r="65" spans="1:4" ht="15">
      <c r="A65" s="34">
        <v>29</v>
      </c>
      <c r="B65" s="15" t="s">
        <v>767</v>
      </c>
      <c r="D65" s="3" t="e">
        <f>#REF!</f>
        <v>#REF!</v>
      </c>
    </row>
    <row r="66" spans="1:4" ht="15">
      <c r="A66" s="34"/>
      <c r="B66" s="15"/>
      <c r="D66" s="3" t="e">
        <f>#REF!</f>
        <v>#REF!</v>
      </c>
    </row>
    <row r="67" spans="1:4" ht="15">
      <c r="A67" s="34">
        <v>30</v>
      </c>
      <c r="B67" s="15" t="s">
        <v>264</v>
      </c>
      <c r="D67" s="3" t="e">
        <f>#REF!</f>
        <v>#REF!</v>
      </c>
    </row>
    <row r="68" spans="1:4" ht="15">
      <c r="A68" s="34"/>
      <c r="B68" s="15"/>
      <c r="D68" s="3" t="e">
        <f>#REF!</f>
        <v>#REF!</v>
      </c>
    </row>
    <row r="69" spans="1:4" ht="15">
      <c r="A69" s="34">
        <v>31</v>
      </c>
      <c r="B69" s="15" t="s">
        <v>280</v>
      </c>
      <c r="D69" s="3" t="e">
        <f>#REF!</f>
        <v>#REF!</v>
      </c>
    </row>
    <row r="70" spans="1:4" ht="15">
      <c r="A70" s="34"/>
      <c r="B70" s="15"/>
      <c r="D70" s="3" t="e">
        <f>#REF!</f>
        <v>#REF!</v>
      </c>
    </row>
    <row r="71" spans="1:4" ht="15">
      <c r="A71" s="34">
        <v>32</v>
      </c>
      <c r="B71" s="15" t="s">
        <v>267</v>
      </c>
      <c r="D71" s="3"/>
    </row>
    <row r="72" spans="1:4" ht="15">
      <c r="A72" s="34"/>
      <c r="B72" s="15"/>
      <c r="D72" s="3"/>
    </row>
    <row r="73" spans="1:4" ht="15.75">
      <c r="A73" s="34"/>
      <c r="B73" s="14" t="s">
        <v>768</v>
      </c>
      <c r="D73" s="3" t="e">
        <f>#REF!</f>
        <v>#REF!</v>
      </c>
    </row>
    <row r="74" spans="1:4" ht="15">
      <c r="A74" s="34"/>
      <c r="B74" s="15"/>
    </row>
    <row r="75" spans="1:4" ht="15.75">
      <c r="A75" s="36">
        <v>33</v>
      </c>
      <c r="B75" s="16" t="s">
        <v>769</v>
      </c>
    </row>
    <row r="76" spans="1:4" ht="15">
      <c r="A76" s="36"/>
      <c r="B76" s="15"/>
    </row>
    <row r="77" spans="1:4" ht="15">
      <c r="A77" s="34" t="s">
        <v>770</v>
      </c>
      <c r="B77" s="15" t="s">
        <v>771</v>
      </c>
    </row>
    <row r="78" spans="1:4" ht="15">
      <c r="A78" s="34" t="s">
        <v>772</v>
      </c>
      <c r="B78" s="15" t="s">
        <v>765</v>
      </c>
    </row>
    <row r="79" spans="1:4" ht="15">
      <c r="A79" s="34" t="s">
        <v>773</v>
      </c>
      <c r="B79" s="15" t="s">
        <v>757</v>
      </c>
    </row>
    <row r="80" spans="1:4" ht="15">
      <c r="A80" s="34"/>
      <c r="B80" s="15"/>
    </row>
    <row r="81" spans="1:4" ht="15.75">
      <c r="A81" s="34"/>
      <c r="B81" s="14" t="s">
        <v>240</v>
      </c>
    </row>
    <row r="82" spans="1:4" ht="15.75">
      <c r="A82" s="34"/>
      <c r="B82" s="14"/>
    </row>
    <row r="83" spans="1:4" ht="15.75">
      <c r="A83" s="34"/>
      <c r="B83" s="16" t="s">
        <v>282</v>
      </c>
      <c r="D83" s="3" t="e">
        <f>#REF!</f>
        <v>#REF!</v>
      </c>
    </row>
  </sheetData>
  <mergeCells count="1">
    <mergeCell ref="C5:C21"/>
  </mergeCells>
  <phoneticPr fontId="0"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008000"/>
  </sheetPr>
  <dimension ref="A1:F48"/>
  <sheetViews>
    <sheetView view="pageBreakPreview" zoomScale="106" zoomScaleNormal="100" zoomScaleSheetLayoutView="106" workbookViewId="0">
      <selection activeCell="D9" sqref="D9"/>
    </sheetView>
  </sheetViews>
  <sheetFormatPr defaultColWidth="14.7109375" defaultRowHeight="12.75"/>
  <cols>
    <col min="1" max="1" width="6.28515625" style="4" customWidth="1"/>
    <col min="2" max="2" width="27.85546875" style="4" customWidth="1"/>
    <col min="3" max="3" width="18.85546875" style="4" customWidth="1"/>
    <col min="4" max="4" width="17.5703125" style="4" customWidth="1"/>
    <col min="5" max="5" width="20.42578125" style="4" customWidth="1"/>
    <col min="6" max="6" width="16.28515625" style="4" hidden="1" customWidth="1"/>
    <col min="7" max="16384" width="14.7109375" style="4"/>
  </cols>
  <sheetData>
    <row r="1" spans="1:5" ht="23.25" customHeight="1">
      <c r="A1" s="2508" t="s">
        <v>774</v>
      </c>
      <c r="B1" s="2508"/>
      <c r="C1" s="129"/>
      <c r="D1" s="129"/>
      <c r="E1" s="8" t="s">
        <v>775</v>
      </c>
    </row>
    <row r="2" spans="1:5" ht="15.75">
      <c r="A2" s="2" t="s">
        <v>776</v>
      </c>
      <c r="B2" s="41"/>
      <c r="C2" s="2252"/>
      <c r="D2" s="41"/>
      <c r="E2" s="129"/>
    </row>
    <row r="3" spans="1:5" ht="15.75">
      <c r="A3" s="129"/>
      <c r="B3" s="129"/>
      <c r="C3" s="129"/>
      <c r="D3" s="129"/>
      <c r="E3" s="2253" t="s">
        <v>777</v>
      </c>
    </row>
    <row r="4" spans="1:5" ht="63">
      <c r="A4" s="124"/>
      <c r="B4" s="124"/>
      <c r="C4" s="42" t="s">
        <v>778</v>
      </c>
      <c r="D4" s="42" t="s">
        <v>779</v>
      </c>
      <c r="E4" s="42" t="s">
        <v>780</v>
      </c>
    </row>
    <row r="5" spans="1:5" ht="15.75">
      <c r="A5" s="124"/>
      <c r="B5" s="124"/>
      <c r="C5" s="29"/>
      <c r="D5" s="29"/>
      <c r="E5" s="29"/>
    </row>
    <row r="6" spans="1:5" ht="15.75">
      <c r="A6" s="124"/>
      <c r="B6" s="124"/>
      <c r="C6" s="29"/>
      <c r="D6" s="29"/>
      <c r="E6" s="124"/>
    </row>
    <row r="7" spans="1:5" ht="15.75">
      <c r="A7" s="38" t="s">
        <v>291</v>
      </c>
      <c r="B7" s="32" t="s">
        <v>781</v>
      </c>
      <c r="C7" s="29"/>
      <c r="D7" s="124"/>
      <c r="E7" s="124"/>
    </row>
    <row r="8" spans="1:5" ht="15.75">
      <c r="A8" s="2393"/>
      <c r="B8" s="32" t="s">
        <v>782</v>
      </c>
      <c r="C8" s="124"/>
      <c r="D8" s="124"/>
      <c r="E8" s="124"/>
    </row>
    <row r="9" spans="1:5">
      <c r="A9" s="2393"/>
      <c r="B9" s="124"/>
      <c r="C9" s="124"/>
      <c r="D9" s="124"/>
      <c r="E9" s="124"/>
    </row>
    <row r="10" spans="1:5">
      <c r="A10" s="2393"/>
      <c r="B10" s="124" t="s">
        <v>783</v>
      </c>
      <c r="C10" s="124"/>
      <c r="D10" s="124"/>
      <c r="E10" s="124"/>
    </row>
    <row r="11" spans="1:5">
      <c r="A11" s="2393"/>
      <c r="B11" s="2393" t="s">
        <v>784</v>
      </c>
      <c r="C11" s="124"/>
      <c r="D11" s="124"/>
      <c r="E11" s="124"/>
    </row>
    <row r="12" spans="1:5">
      <c r="A12" s="2393"/>
      <c r="B12" s="2393" t="s">
        <v>785</v>
      </c>
      <c r="C12" s="124"/>
      <c r="D12" s="130"/>
      <c r="E12" s="130"/>
    </row>
    <row r="13" spans="1:5">
      <c r="A13" s="2393"/>
      <c r="B13" s="2393" t="s">
        <v>786</v>
      </c>
      <c r="C13" s="124"/>
      <c r="D13" s="130"/>
      <c r="E13" s="130"/>
    </row>
    <row r="14" spans="1:5" ht="15.75">
      <c r="A14" s="2393"/>
      <c r="B14" s="32" t="s">
        <v>787</v>
      </c>
      <c r="C14" s="2394">
        <f>'Depreciation New'!E83</f>
        <v>237998.85934360008</v>
      </c>
      <c r="D14" s="2394">
        <f>'Depreciation New'!G83</f>
        <v>302977.52479870024</v>
      </c>
      <c r="E14" s="2394">
        <f>'Depreciation New'!I83</f>
        <v>441747.93498158804</v>
      </c>
    </row>
    <row r="15" spans="1:5">
      <c r="A15" s="2393"/>
      <c r="B15" s="124" t="s">
        <v>788</v>
      </c>
      <c r="C15" s="2394"/>
      <c r="D15" s="2394"/>
      <c r="E15" s="2394"/>
    </row>
    <row r="16" spans="1:5">
      <c r="A16" s="2393"/>
      <c r="B16" s="2393" t="s">
        <v>784</v>
      </c>
      <c r="C16" s="2394"/>
      <c r="D16" s="2394"/>
      <c r="E16" s="2394"/>
    </row>
    <row r="17" spans="1:6">
      <c r="A17" s="2393"/>
      <c r="B17" s="2393" t="s">
        <v>785</v>
      </c>
      <c r="C17" s="2394"/>
      <c r="D17" s="2394"/>
      <c r="E17" s="2394"/>
      <c r="F17" s="129"/>
    </row>
    <row r="18" spans="1:6">
      <c r="A18" s="2393"/>
      <c r="B18" s="2393" t="s">
        <v>786</v>
      </c>
      <c r="C18" s="2394"/>
      <c r="D18" s="2394"/>
      <c r="E18" s="2394"/>
      <c r="F18" s="129"/>
    </row>
    <row r="19" spans="1:6" ht="15.75">
      <c r="A19" s="2393"/>
      <c r="B19" s="32" t="s">
        <v>787</v>
      </c>
      <c r="C19" s="2394">
        <f>'F-2'!C16</f>
        <v>16470.162345399989</v>
      </c>
      <c r="D19" s="2394">
        <f>'F-2'!H16</f>
        <v>41565.966277199972</v>
      </c>
      <c r="E19" s="2394">
        <f>'F-2'!M16</f>
        <v>28109.343231277144</v>
      </c>
      <c r="F19" s="2240"/>
    </row>
    <row r="20" spans="1:6">
      <c r="A20" s="2393"/>
      <c r="B20" s="124"/>
      <c r="C20" s="124"/>
      <c r="D20" s="130"/>
      <c r="E20" s="130"/>
      <c r="F20" s="129"/>
    </row>
    <row r="21" spans="1:6" ht="15.75">
      <c r="A21" s="38" t="s">
        <v>320</v>
      </c>
      <c r="B21" s="32" t="s">
        <v>789</v>
      </c>
      <c r="C21" s="124"/>
      <c r="D21" s="130"/>
      <c r="E21" s="130"/>
      <c r="F21" s="129"/>
    </row>
    <row r="22" spans="1:6">
      <c r="A22" s="2393"/>
      <c r="B22" s="124"/>
      <c r="C22" s="124"/>
      <c r="D22" s="130"/>
      <c r="E22" s="130"/>
      <c r="F22" s="129"/>
    </row>
    <row r="23" spans="1:6">
      <c r="A23" s="2393"/>
      <c r="B23" s="124" t="s">
        <v>783</v>
      </c>
      <c r="C23" s="124"/>
      <c r="D23" s="130"/>
      <c r="E23" s="130"/>
      <c r="F23" s="129"/>
    </row>
    <row r="24" spans="1:6">
      <c r="A24" s="2393"/>
      <c r="B24" s="2393" t="s">
        <v>784</v>
      </c>
      <c r="C24" s="124"/>
      <c r="D24" s="130"/>
      <c r="E24" s="130"/>
      <c r="F24" s="129"/>
    </row>
    <row r="25" spans="1:6">
      <c r="A25" s="2393"/>
      <c r="B25" s="2393" t="s">
        <v>785</v>
      </c>
      <c r="C25" s="124"/>
      <c r="D25" s="130"/>
      <c r="E25" s="130"/>
      <c r="F25" s="129"/>
    </row>
    <row r="26" spans="1:6">
      <c r="A26" s="2393"/>
      <c r="B26" s="2393" t="s">
        <v>786</v>
      </c>
      <c r="C26" s="124"/>
      <c r="D26" s="130"/>
      <c r="E26" s="130"/>
      <c r="F26" s="129"/>
    </row>
    <row r="27" spans="1:6" ht="15.75">
      <c r="A27" s="2393"/>
      <c r="B27" s="32" t="s">
        <v>787</v>
      </c>
      <c r="C27" s="124"/>
      <c r="D27" s="129"/>
      <c r="E27" s="130"/>
      <c r="F27" s="129"/>
    </row>
    <row r="28" spans="1:6">
      <c r="A28" s="2393"/>
      <c r="B28" s="124" t="s">
        <v>788</v>
      </c>
      <c r="C28" s="124"/>
      <c r="D28" s="130"/>
      <c r="E28" s="130"/>
      <c r="F28" s="129"/>
    </row>
    <row r="29" spans="1:6">
      <c r="A29" s="2393"/>
      <c r="B29" s="2393" t="s">
        <v>784</v>
      </c>
      <c r="C29" s="124"/>
      <c r="D29" s="130"/>
      <c r="E29" s="130"/>
      <c r="F29" s="2240"/>
    </row>
    <row r="30" spans="1:6">
      <c r="A30" s="2393"/>
      <c r="B30" s="2393" t="s">
        <v>785</v>
      </c>
      <c r="C30" s="124"/>
      <c r="D30" s="130"/>
      <c r="E30" s="130"/>
      <c r="F30" s="129"/>
    </row>
    <row r="31" spans="1:6">
      <c r="A31" s="2393"/>
      <c r="B31" s="2393" t="s">
        <v>786</v>
      </c>
      <c r="C31" s="124"/>
      <c r="D31" s="130"/>
      <c r="E31" s="130"/>
      <c r="F31" s="129"/>
    </row>
    <row r="32" spans="1:6" ht="15.75">
      <c r="A32" s="2393"/>
      <c r="B32" s="32" t="s">
        <v>787</v>
      </c>
      <c r="C32" s="2394">
        <f>'F-2'!D16+'F-2'!E16+'F-2'!F16</f>
        <v>90074.469393899999</v>
      </c>
      <c r="D32" s="2394">
        <f>'F-2'!I16+'F-2'!J16+'F-2'!K16</f>
        <v>125313.78713696504</v>
      </c>
      <c r="E32" s="2394">
        <f>'F-2'!N16+'F-2'!O16+'F-2'!P16</f>
        <v>72728.173126545778</v>
      </c>
      <c r="F32" s="129"/>
    </row>
    <row r="33" spans="1:6">
      <c r="A33" s="2393"/>
      <c r="B33" s="124"/>
      <c r="C33" s="2394"/>
      <c r="D33" s="2394"/>
      <c r="E33" s="2394"/>
      <c r="F33" s="129"/>
    </row>
    <row r="34" spans="1:6" ht="15.75">
      <c r="A34" s="38" t="s">
        <v>790</v>
      </c>
      <c r="B34" s="32" t="s">
        <v>791</v>
      </c>
      <c r="C34" s="2394"/>
      <c r="D34" s="2394"/>
      <c r="E34" s="2394"/>
      <c r="F34" s="129"/>
    </row>
    <row r="35" spans="1:6" ht="15.75">
      <c r="A35" s="38"/>
      <c r="B35" s="32"/>
      <c r="C35" s="2394"/>
      <c r="D35" s="2394"/>
      <c r="E35" s="2394"/>
      <c r="F35" s="129"/>
    </row>
    <row r="36" spans="1:6" ht="15.75">
      <c r="A36" s="38" t="s">
        <v>792</v>
      </c>
      <c r="B36" s="32" t="s">
        <v>793</v>
      </c>
      <c r="C36" s="2394"/>
      <c r="D36" s="2394"/>
      <c r="E36" s="2394"/>
      <c r="F36" s="129"/>
    </row>
    <row r="37" spans="1:6" ht="15.75">
      <c r="A37" s="126"/>
      <c r="B37" s="127" t="s">
        <v>794</v>
      </c>
      <c r="C37" s="2394"/>
      <c r="D37" s="2394"/>
      <c r="E37" s="2394"/>
      <c r="F37" s="129"/>
    </row>
    <row r="38" spans="1:6" ht="15.75">
      <c r="A38" s="126"/>
      <c r="B38" s="127" t="s">
        <v>795</v>
      </c>
      <c r="C38" s="2394"/>
      <c r="D38" s="2394"/>
      <c r="E38" s="2394"/>
      <c r="F38" s="129"/>
    </row>
    <row r="39" spans="1:6" ht="15.75">
      <c r="A39" s="2393"/>
      <c r="B39" s="32" t="s">
        <v>796</v>
      </c>
      <c r="C39" s="2394">
        <f>C14+C19+C32-C34</f>
        <v>344543.49108290009</v>
      </c>
      <c r="D39" s="2394">
        <f t="shared" ref="D39:F39" si="0">D14+D19+D32-D34</f>
        <v>469857.27821286523</v>
      </c>
      <c r="E39" s="2394">
        <f t="shared" si="0"/>
        <v>542585.45133941097</v>
      </c>
      <c r="F39" s="130">
        <f t="shared" si="0"/>
        <v>0</v>
      </c>
    </row>
    <row r="40" spans="1:6" ht="15.75">
      <c r="A40" s="2" t="s">
        <v>797</v>
      </c>
      <c r="B40" s="129" t="s">
        <v>798</v>
      </c>
      <c r="C40" s="129"/>
      <c r="D40" s="129"/>
      <c r="E40" s="129"/>
      <c r="F40" s="129"/>
    </row>
    <row r="41" spans="1:6">
      <c r="A41" s="129"/>
      <c r="B41" s="129" t="s">
        <v>799</v>
      </c>
      <c r="C41" s="129"/>
      <c r="D41" s="129"/>
      <c r="E41" s="129"/>
      <c r="F41" s="129"/>
    </row>
    <row r="42" spans="1:6">
      <c r="A42" s="129"/>
      <c r="B42" s="129" t="s">
        <v>800</v>
      </c>
      <c r="C42" s="129"/>
      <c r="D42" s="129"/>
      <c r="E42" s="129"/>
      <c r="F42" s="129"/>
    </row>
    <row r="43" spans="1:6">
      <c r="A43" s="556"/>
      <c r="B43" s="556" t="s">
        <v>801</v>
      </c>
      <c r="C43" s="557" t="e">
        <f>C39-#REF!</f>
        <v>#REF!</v>
      </c>
      <c r="D43" s="557" t="e">
        <f>D39-#REF!</f>
        <v>#REF!</v>
      </c>
      <c r="E43" s="556"/>
      <c r="F43" s="129"/>
    </row>
    <row r="44" spans="1:6">
      <c r="A44" s="129"/>
      <c r="B44" s="129"/>
      <c r="C44" s="128"/>
      <c r="D44" s="129"/>
      <c r="E44" s="129"/>
      <c r="F44" s="129"/>
    </row>
    <row r="45" spans="1:6" hidden="1">
      <c r="A45" s="129"/>
      <c r="B45" s="129" t="s">
        <v>802</v>
      </c>
      <c r="C45" s="2395">
        <f>'Depreciation New'!G83+'F-2'!H16</f>
        <v>344543.49107590021</v>
      </c>
      <c r="D45" s="2395">
        <f>'Depreciation New'!I83+'F-2'!M16</f>
        <v>469857.27821286517</v>
      </c>
      <c r="E45" s="2395">
        <f>'Depreciation New'!K83+'F-2'!R16</f>
        <v>542585.45133941108</v>
      </c>
      <c r="F45" s="129"/>
    </row>
    <row r="46" spans="1:6" hidden="1">
      <c r="A46" s="129"/>
      <c r="B46" s="129" t="s">
        <v>803</v>
      </c>
      <c r="C46" s="2395">
        <f>C39-C45</f>
        <v>6.99987867847085E-6</v>
      </c>
      <c r="D46" s="2395">
        <f>D39-D45</f>
        <v>0</v>
      </c>
      <c r="E46" s="2395">
        <f>E39-E45</f>
        <v>0</v>
      </c>
      <c r="F46" s="129"/>
    </row>
    <row r="48" spans="1:6">
      <c r="A48" s="129"/>
      <c r="B48" s="129"/>
      <c r="C48" s="128"/>
      <c r="D48" s="129"/>
      <c r="E48" s="129"/>
      <c r="F48" s="129"/>
    </row>
  </sheetData>
  <mergeCells count="1">
    <mergeCell ref="A1:B1"/>
  </mergeCells>
  <phoneticPr fontId="0" type="noConversion"/>
  <printOptions horizontalCentered="1" verticalCentered="1"/>
  <pageMargins left="0.23622047244094491" right="0.23622047244094491" top="0.62992125984251968" bottom="0.68"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sheetPr>
  <dimension ref="A1:I66"/>
  <sheetViews>
    <sheetView showGridLines="0" view="pageBreakPreview" topLeftCell="B1" zoomScale="80" zoomScaleNormal="90" zoomScaleSheetLayoutView="80" workbookViewId="0">
      <selection activeCell="K27" sqref="K27"/>
    </sheetView>
  </sheetViews>
  <sheetFormatPr defaultColWidth="14.7109375" defaultRowHeight="12.75"/>
  <cols>
    <col min="1" max="1" width="16.28515625" style="1203" hidden="1" customWidth="1"/>
    <col min="2" max="3" width="14.7109375" style="1203"/>
    <col min="4" max="4" width="63.28515625" style="1203" bestFit="1" customWidth="1"/>
    <col min="5" max="5" width="15.28515625" style="1203" bestFit="1" customWidth="1"/>
    <col min="6" max="6" width="17.85546875" style="1203" customWidth="1"/>
    <col min="7" max="7" width="26.42578125" style="1203" customWidth="1"/>
    <col min="8" max="8" width="15.42578125" style="1203" customWidth="1"/>
    <col min="9" max="251" width="14.7109375" style="1203"/>
    <col min="252" max="252" width="6.28515625" style="1203" customWidth="1"/>
    <col min="253" max="253" width="39.5703125" style="1203" customWidth="1"/>
    <col min="254" max="254" width="18.85546875" style="1203" customWidth="1"/>
    <col min="255" max="255" width="19" style="1203" customWidth="1"/>
    <col min="256" max="256" width="17.42578125" style="1203" customWidth="1"/>
    <col min="257" max="257" width="0" style="1203" hidden="1" customWidth="1"/>
    <col min="258" max="259" width="14.7109375" style="1203"/>
    <col min="260" max="260" width="63.28515625" style="1203" bestFit="1" customWidth="1"/>
    <col min="261" max="261" width="15.28515625" style="1203" bestFit="1" customWidth="1"/>
    <col min="262" max="262" width="17.85546875" style="1203" customWidth="1"/>
    <col min="263" max="263" width="23.85546875" style="1203" bestFit="1" customWidth="1"/>
    <col min="264" max="264" width="15.42578125" style="1203" customWidth="1"/>
    <col min="265" max="507" width="14.7109375" style="1203"/>
    <col min="508" max="508" width="6.28515625" style="1203" customWidth="1"/>
    <col min="509" max="509" width="39.5703125" style="1203" customWidth="1"/>
    <col min="510" max="510" width="18.85546875" style="1203" customWidth="1"/>
    <col min="511" max="511" width="19" style="1203" customWidth="1"/>
    <col min="512" max="512" width="17.42578125" style="1203" customWidth="1"/>
    <col min="513" max="513" width="0" style="1203" hidden="1" customWidth="1"/>
    <col min="514" max="515" width="14.7109375" style="1203"/>
    <col min="516" max="516" width="63.28515625" style="1203" bestFit="1" customWidth="1"/>
    <col min="517" max="517" width="15.28515625" style="1203" bestFit="1" customWidth="1"/>
    <col min="518" max="518" width="17.85546875" style="1203" customWidth="1"/>
    <col min="519" max="519" width="23.85546875" style="1203" bestFit="1" customWidth="1"/>
    <col min="520" max="520" width="15.42578125" style="1203" customWidth="1"/>
    <col min="521" max="763" width="14.7109375" style="1203"/>
    <col min="764" max="764" width="6.28515625" style="1203" customWidth="1"/>
    <col min="765" max="765" width="39.5703125" style="1203" customWidth="1"/>
    <col min="766" max="766" width="18.85546875" style="1203" customWidth="1"/>
    <col min="767" max="767" width="19" style="1203" customWidth="1"/>
    <col min="768" max="768" width="17.42578125" style="1203" customWidth="1"/>
    <col min="769" max="769" width="0" style="1203" hidden="1" customWidth="1"/>
    <col min="770" max="771" width="14.7109375" style="1203"/>
    <col min="772" max="772" width="63.28515625" style="1203" bestFit="1" customWidth="1"/>
    <col min="773" max="773" width="15.28515625" style="1203" bestFit="1" customWidth="1"/>
    <col min="774" max="774" width="17.85546875" style="1203" customWidth="1"/>
    <col min="775" max="775" width="23.85546875" style="1203" bestFit="1" customWidth="1"/>
    <col min="776" max="776" width="15.42578125" style="1203" customWidth="1"/>
    <col min="777" max="1019" width="14.7109375" style="1203"/>
    <col min="1020" max="1020" width="6.28515625" style="1203" customWidth="1"/>
    <col min="1021" max="1021" width="39.5703125" style="1203" customWidth="1"/>
    <col min="1022" max="1022" width="18.85546875" style="1203" customWidth="1"/>
    <col min="1023" max="1023" width="19" style="1203" customWidth="1"/>
    <col min="1024" max="1024" width="17.42578125" style="1203" customWidth="1"/>
    <col min="1025" max="1025" width="0" style="1203" hidden="1" customWidth="1"/>
    <col min="1026" max="1027" width="14.7109375" style="1203"/>
    <col min="1028" max="1028" width="63.28515625" style="1203" bestFit="1" customWidth="1"/>
    <col min="1029" max="1029" width="15.28515625" style="1203" bestFit="1" customWidth="1"/>
    <col min="1030" max="1030" width="17.85546875" style="1203" customWidth="1"/>
    <col min="1031" max="1031" width="23.85546875" style="1203" bestFit="1" customWidth="1"/>
    <col min="1032" max="1032" width="15.42578125" style="1203" customWidth="1"/>
    <col min="1033" max="1275" width="14.7109375" style="1203"/>
    <col min="1276" max="1276" width="6.28515625" style="1203" customWidth="1"/>
    <col min="1277" max="1277" width="39.5703125" style="1203" customWidth="1"/>
    <col min="1278" max="1278" width="18.85546875" style="1203" customWidth="1"/>
    <col min="1279" max="1279" width="19" style="1203" customWidth="1"/>
    <col min="1280" max="1280" width="17.42578125" style="1203" customWidth="1"/>
    <col min="1281" max="1281" width="0" style="1203" hidden="1" customWidth="1"/>
    <col min="1282" max="1283" width="14.7109375" style="1203"/>
    <col min="1284" max="1284" width="63.28515625" style="1203" bestFit="1" customWidth="1"/>
    <col min="1285" max="1285" width="15.28515625" style="1203" bestFit="1" customWidth="1"/>
    <col min="1286" max="1286" width="17.85546875" style="1203" customWidth="1"/>
    <col min="1287" max="1287" width="23.85546875" style="1203" bestFit="1" customWidth="1"/>
    <col min="1288" max="1288" width="15.42578125" style="1203" customWidth="1"/>
    <col min="1289" max="1531" width="14.7109375" style="1203"/>
    <col min="1532" max="1532" width="6.28515625" style="1203" customWidth="1"/>
    <col min="1533" max="1533" width="39.5703125" style="1203" customWidth="1"/>
    <col min="1534" max="1534" width="18.85546875" style="1203" customWidth="1"/>
    <col min="1535" max="1535" width="19" style="1203" customWidth="1"/>
    <col min="1536" max="1536" width="17.42578125" style="1203" customWidth="1"/>
    <col min="1537" max="1537" width="0" style="1203" hidden="1" customWidth="1"/>
    <col min="1538" max="1539" width="14.7109375" style="1203"/>
    <col min="1540" max="1540" width="63.28515625" style="1203" bestFit="1" customWidth="1"/>
    <col min="1541" max="1541" width="15.28515625" style="1203" bestFit="1" customWidth="1"/>
    <col min="1542" max="1542" width="17.85546875" style="1203" customWidth="1"/>
    <col min="1543" max="1543" width="23.85546875" style="1203" bestFit="1" customWidth="1"/>
    <col min="1544" max="1544" width="15.42578125" style="1203" customWidth="1"/>
    <col min="1545" max="1787" width="14.7109375" style="1203"/>
    <col min="1788" max="1788" width="6.28515625" style="1203" customWidth="1"/>
    <col min="1789" max="1789" width="39.5703125" style="1203" customWidth="1"/>
    <col min="1790" max="1790" width="18.85546875" style="1203" customWidth="1"/>
    <col min="1791" max="1791" width="19" style="1203" customWidth="1"/>
    <col min="1792" max="1792" width="17.42578125" style="1203" customWidth="1"/>
    <col min="1793" max="1793" width="0" style="1203" hidden="1" customWidth="1"/>
    <col min="1794" max="1795" width="14.7109375" style="1203"/>
    <col min="1796" max="1796" width="63.28515625" style="1203" bestFit="1" customWidth="1"/>
    <col min="1797" max="1797" width="15.28515625" style="1203" bestFit="1" customWidth="1"/>
    <col min="1798" max="1798" width="17.85546875" style="1203" customWidth="1"/>
    <col min="1799" max="1799" width="23.85546875" style="1203" bestFit="1" customWidth="1"/>
    <col min="1800" max="1800" width="15.42578125" style="1203" customWidth="1"/>
    <col min="1801" max="2043" width="14.7109375" style="1203"/>
    <col min="2044" max="2044" width="6.28515625" style="1203" customWidth="1"/>
    <col min="2045" max="2045" width="39.5703125" style="1203" customWidth="1"/>
    <col min="2046" max="2046" width="18.85546875" style="1203" customWidth="1"/>
    <col min="2047" max="2047" width="19" style="1203" customWidth="1"/>
    <col min="2048" max="2048" width="17.42578125" style="1203" customWidth="1"/>
    <col min="2049" max="2049" width="0" style="1203" hidden="1" customWidth="1"/>
    <col min="2050" max="2051" width="14.7109375" style="1203"/>
    <col min="2052" max="2052" width="63.28515625" style="1203" bestFit="1" customWidth="1"/>
    <col min="2053" max="2053" width="15.28515625" style="1203" bestFit="1" customWidth="1"/>
    <col min="2054" max="2054" width="17.85546875" style="1203" customWidth="1"/>
    <col min="2055" max="2055" width="23.85546875" style="1203" bestFit="1" customWidth="1"/>
    <col min="2056" max="2056" width="15.42578125" style="1203" customWidth="1"/>
    <col min="2057" max="2299" width="14.7109375" style="1203"/>
    <col min="2300" max="2300" width="6.28515625" style="1203" customWidth="1"/>
    <col min="2301" max="2301" width="39.5703125" style="1203" customWidth="1"/>
    <col min="2302" max="2302" width="18.85546875" style="1203" customWidth="1"/>
    <col min="2303" max="2303" width="19" style="1203" customWidth="1"/>
    <col min="2304" max="2304" width="17.42578125" style="1203" customWidth="1"/>
    <col min="2305" max="2305" width="0" style="1203" hidden="1" customWidth="1"/>
    <col min="2306" max="2307" width="14.7109375" style="1203"/>
    <col min="2308" max="2308" width="63.28515625" style="1203" bestFit="1" customWidth="1"/>
    <col min="2309" max="2309" width="15.28515625" style="1203" bestFit="1" customWidth="1"/>
    <col min="2310" max="2310" width="17.85546875" style="1203" customWidth="1"/>
    <col min="2311" max="2311" width="23.85546875" style="1203" bestFit="1" customWidth="1"/>
    <col min="2312" max="2312" width="15.42578125" style="1203" customWidth="1"/>
    <col min="2313" max="2555" width="14.7109375" style="1203"/>
    <col min="2556" max="2556" width="6.28515625" style="1203" customWidth="1"/>
    <col min="2557" max="2557" width="39.5703125" style="1203" customWidth="1"/>
    <col min="2558" max="2558" width="18.85546875" style="1203" customWidth="1"/>
    <col min="2559" max="2559" width="19" style="1203" customWidth="1"/>
    <col min="2560" max="2560" width="17.42578125" style="1203" customWidth="1"/>
    <col min="2561" max="2561" width="0" style="1203" hidden="1" customWidth="1"/>
    <col min="2562" max="2563" width="14.7109375" style="1203"/>
    <col min="2564" max="2564" width="63.28515625" style="1203" bestFit="1" customWidth="1"/>
    <col min="2565" max="2565" width="15.28515625" style="1203" bestFit="1" customWidth="1"/>
    <col min="2566" max="2566" width="17.85546875" style="1203" customWidth="1"/>
    <col min="2567" max="2567" width="23.85546875" style="1203" bestFit="1" customWidth="1"/>
    <col min="2568" max="2568" width="15.42578125" style="1203" customWidth="1"/>
    <col min="2569" max="2811" width="14.7109375" style="1203"/>
    <col min="2812" max="2812" width="6.28515625" style="1203" customWidth="1"/>
    <col min="2813" max="2813" width="39.5703125" style="1203" customWidth="1"/>
    <col min="2814" max="2814" width="18.85546875" style="1203" customWidth="1"/>
    <col min="2815" max="2815" width="19" style="1203" customWidth="1"/>
    <col min="2816" max="2816" width="17.42578125" style="1203" customWidth="1"/>
    <col min="2817" max="2817" width="0" style="1203" hidden="1" customWidth="1"/>
    <col min="2818" max="2819" width="14.7109375" style="1203"/>
    <col min="2820" max="2820" width="63.28515625" style="1203" bestFit="1" customWidth="1"/>
    <col min="2821" max="2821" width="15.28515625" style="1203" bestFit="1" customWidth="1"/>
    <col min="2822" max="2822" width="17.85546875" style="1203" customWidth="1"/>
    <col min="2823" max="2823" width="23.85546875" style="1203" bestFit="1" customWidth="1"/>
    <col min="2824" max="2824" width="15.42578125" style="1203" customWidth="1"/>
    <col min="2825" max="3067" width="14.7109375" style="1203"/>
    <col min="3068" max="3068" width="6.28515625" style="1203" customWidth="1"/>
    <col min="3069" max="3069" width="39.5703125" style="1203" customWidth="1"/>
    <col min="3070" max="3070" width="18.85546875" style="1203" customWidth="1"/>
    <col min="3071" max="3071" width="19" style="1203" customWidth="1"/>
    <col min="3072" max="3072" width="17.42578125" style="1203" customWidth="1"/>
    <col min="3073" max="3073" width="0" style="1203" hidden="1" customWidth="1"/>
    <col min="3074" max="3075" width="14.7109375" style="1203"/>
    <col min="3076" max="3076" width="63.28515625" style="1203" bestFit="1" customWidth="1"/>
    <col min="3077" max="3077" width="15.28515625" style="1203" bestFit="1" customWidth="1"/>
    <col min="3078" max="3078" width="17.85546875" style="1203" customWidth="1"/>
    <col min="3079" max="3079" width="23.85546875" style="1203" bestFit="1" customWidth="1"/>
    <col min="3080" max="3080" width="15.42578125" style="1203" customWidth="1"/>
    <col min="3081" max="3323" width="14.7109375" style="1203"/>
    <col min="3324" max="3324" width="6.28515625" style="1203" customWidth="1"/>
    <col min="3325" max="3325" width="39.5703125" style="1203" customWidth="1"/>
    <col min="3326" max="3326" width="18.85546875" style="1203" customWidth="1"/>
    <col min="3327" max="3327" width="19" style="1203" customWidth="1"/>
    <col min="3328" max="3328" width="17.42578125" style="1203" customWidth="1"/>
    <col min="3329" max="3329" width="0" style="1203" hidden="1" customWidth="1"/>
    <col min="3330" max="3331" width="14.7109375" style="1203"/>
    <col min="3332" max="3332" width="63.28515625" style="1203" bestFit="1" customWidth="1"/>
    <col min="3333" max="3333" width="15.28515625" style="1203" bestFit="1" customWidth="1"/>
    <col min="3334" max="3334" width="17.85546875" style="1203" customWidth="1"/>
    <col min="3335" max="3335" width="23.85546875" style="1203" bestFit="1" customWidth="1"/>
    <col min="3336" max="3336" width="15.42578125" style="1203" customWidth="1"/>
    <col min="3337" max="3579" width="14.7109375" style="1203"/>
    <col min="3580" max="3580" width="6.28515625" style="1203" customWidth="1"/>
    <col min="3581" max="3581" width="39.5703125" style="1203" customWidth="1"/>
    <col min="3582" max="3582" width="18.85546875" style="1203" customWidth="1"/>
    <col min="3583" max="3583" width="19" style="1203" customWidth="1"/>
    <col min="3584" max="3584" width="17.42578125" style="1203" customWidth="1"/>
    <col min="3585" max="3585" width="0" style="1203" hidden="1" customWidth="1"/>
    <col min="3586" max="3587" width="14.7109375" style="1203"/>
    <col min="3588" max="3588" width="63.28515625" style="1203" bestFit="1" customWidth="1"/>
    <col min="3589" max="3589" width="15.28515625" style="1203" bestFit="1" customWidth="1"/>
    <col min="3590" max="3590" width="17.85546875" style="1203" customWidth="1"/>
    <col min="3591" max="3591" width="23.85546875" style="1203" bestFit="1" customWidth="1"/>
    <col min="3592" max="3592" width="15.42578125" style="1203" customWidth="1"/>
    <col min="3593" max="3835" width="14.7109375" style="1203"/>
    <col min="3836" max="3836" width="6.28515625" style="1203" customWidth="1"/>
    <col min="3837" max="3837" width="39.5703125" style="1203" customWidth="1"/>
    <col min="3838" max="3838" width="18.85546875" style="1203" customWidth="1"/>
    <col min="3839" max="3839" width="19" style="1203" customWidth="1"/>
    <col min="3840" max="3840" width="17.42578125" style="1203" customWidth="1"/>
    <col min="3841" max="3841" width="0" style="1203" hidden="1" customWidth="1"/>
    <col min="3842" max="3843" width="14.7109375" style="1203"/>
    <col min="3844" max="3844" width="63.28515625" style="1203" bestFit="1" customWidth="1"/>
    <col min="3845" max="3845" width="15.28515625" style="1203" bestFit="1" customWidth="1"/>
    <col min="3846" max="3846" width="17.85546875" style="1203" customWidth="1"/>
    <col min="3847" max="3847" width="23.85546875" style="1203" bestFit="1" customWidth="1"/>
    <col min="3848" max="3848" width="15.42578125" style="1203" customWidth="1"/>
    <col min="3849" max="4091" width="14.7109375" style="1203"/>
    <col min="4092" max="4092" width="6.28515625" style="1203" customWidth="1"/>
    <col min="4093" max="4093" width="39.5703125" style="1203" customWidth="1"/>
    <col min="4094" max="4094" width="18.85546875" style="1203" customWidth="1"/>
    <col min="4095" max="4095" width="19" style="1203" customWidth="1"/>
    <col min="4096" max="4096" width="17.42578125" style="1203" customWidth="1"/>
    <col min="4097" max="4097" width="0" style="1203" hidden="1" customWidth="1"/>
    <col min="4098" max="4099" width="14.7109375" style="1203"/>
    <col min="4100" max="4100" width="63.28515625" style="1203" bestFit="1" customWidth="1"/>
    <col min="4101" max="4101" width="15.28515625" style="1203" bestFit="1" customWidth="1"/>
    <col min="4102" max="4102" width="17.85546875" style="1203" customWidth="1"/>
    <col min="4103" max="4103" width="23.85546875" style="1203" bestFit="1" customWidth="1"/>
    <col min="4104" max="4104" width="15.42578125" style="1203" customWidth="1"/>
    <col min="4105" max="4347" width="14.7109375" style="1203"/>
    <col min="4348" max="4348" width="6.28515625" style="1203" customWidth="1"/>
    <col min="4349" max="4349" width="39.5703125" style="1203" customWidth="1"/>
    <col min="4350" max="4350" width="18.85546875" style="1203" customWidth="1"/>
    <col min="4351" max="4351" width="19" style="1203" customWidth="1"/>
    <col min="4352" max="4352" width="17.42578125" style="1203" customWidth="1"/>
    <col min="4353" max="4353" width="0" style="1203" hidden="1" customWidth="1"/>
    <col min="4354" max="4355" width="14.7109375" style="1203"/>
    <col min="4356" max="4356" width="63.28515625" style="1203" bestFit="1" customWidth="1"/>
    <col min="4357" max="4357" width="15.28515625" style="1203" bestFit="1" customWidth="1"/>
    <col min="4358" max="4358" width="17.85546875" style="1203" customWidth="1"/>
    <col min="4359" max="4359" width="23.85546875" style="1203" bestFit="1" customWidth="1"/>
    <col min="4360" max="4360" width="15.42578125" style="1203" customWidth="1"/>
    <col min="4361" max="4603" width="14.7109375" style="1203"/>
    <col min="4604" max="4604" width="6.28515625" style="1203" customWidth="1"/>
    <col min="4605" max="4605" width="39.5703125" style="1203" customWidth="1"/>
    <col min="4606" max="4606" width="18.85546875" style="1203" customWidth="1"/>
    <col min="4607" max="4607" width="19" style="1203" customWidth="1"/>
    <col min="4608" max="4608" width="17.42578125" style="1203" customWidth="1"/>
    <col min="4609" max="4609" width="0" style="1203" hidden="1" customWidth="1"/>
    <col min="4610" max="4611" width="14.7109375" style="1203"/>
    <col min="4612" max="4612" width="63.28515625" style="1203" bestFit="1" customWidth="1"/>
    <col min="4613" max="4613" width="15.28515625" style="1203" bestFit="1" customWidth="1"/>
    <col min="4614" max="4614" width="17.85546875" style="1203" customWidth="1"/>
    <col min="4615" max="4615" width="23.85546875" style="1203" bestFit="1" customWidth="1"/>
    <col min="4616" max="4616" width="15.42578125" style="1203" customWidth="1"/>
    <col min="4617" max="4859" width="14.7109375" style="1203"/>
    <col min="4860" max="4860" width="6.28515625" style="1203" customWidth="1"/>
    <col min="4861" max="4861" width="39.5703125" style="1203" customWidth="1"/>
    <col min="4862" max="4862" width="18.85546875" style="1203" customWidth="1"/>
    <col min="4863" max="4863" width="19" style="1203" customWidth="1"/>
    <col min="4864" max="4864" width="17.42578125" style="1203" customWidth="1"/>
    <col min="4865" max="4865" width="0" style="1203" hidden="1" customWidth="1"/>
    <col min="4866" max="4867" width="14.7109375" style="1203"/>
    <col min="4868" max="4868" width="63.28515625" style="1203" bestFit="1" customWidth="1"/>
    <col min="4869" max="4869" width="15.28515625" style="1203" bestFit="1" customWidth="1"/>
    <col min="4870" max="4870" width="17.85546875" style="1203" customWidth="1"/>
    <col min="4871" max="4871" width="23.85546875" style="1203" bestFit="1" customWidth="1"/>
    <col min="4872" max="4872" width="15.42578125" style="1203" customWidth="1"/>
    <col min="4873" max="5115" width="14.7109375" style="1203"/>
    <col min="5116" max="5116" width="6.28515625" style="1203" customWidth="1"/>
    <col min="5117" max="5117" width="39.5703125" style="1203" customWidth="1"/>
    <col min="5118" max="5118" width="18.85546875" style="1203" customWidth="1"/>
    <col min="5119" max="5119" width="19" style="1203" customWidth="1"/>
    <col min="5120" max="5120" width="17.42578125" style="1203" customWidth="1"/>
    <col min="5121" max="5121" width="0" style="1203" hidden="1" customWidth="1"/>
    <col min="5122" max="5123" width="14.7109375" style="1203"/>
    <col min="5124" max="5124" width="63.28515625" style="1203" bestFit="1" customWidth="1"/>
    <col min="5125" max="5125" width="15.28515625" style="1203" bestFit="1" customWidth="1"/>
    <col min="5126" max="5126" width="17.85546875" style="1203" customWidth="1"/>
    <col min="5127" max="5127" width="23.85546875" style="1203" bestFit="1" customWidth="1"/>
    <col min="5128" max="5128" width="15.42578125" style="1203" customWidth="1"/>
    <col min="5129" max="5371" width="14.7109375" style="1203"/>
    <col min="5372" max="5372" width="6.28515625" style="1203" customWidth="1"/>
    <col min="5373" max="5373" width="39.5703125" style="1203" customWidth="1"/>
    <col min="5374" max="5374" width="18.85546875" style="1203" customWidth="1"/>
    <col min="5375" max="5375" width="19" style="1203" customWidth="1"/>
    <col min="5376" max="5376" width="17.42578125" style="1203" customWidth="1"/>
    <col min="5377" max="5377" width="0" style="1203" hidden="1" customWidth="1"/>
    <col min="5378" max="5379" width="14.7109375" style="1203"/>
    <col min="5380" max="5380" width="63.28515625" style="1203" bestFit="1" customWidth="1"/>
    <col min="5381" max="5381" width="15.28515625" style="1203" bestFit="1" customWidth="1"/>
    <col min="5382" max="5382" width="17.85546875" style="1203" customWidth="1"/>
    <col min="5383" max="5383" width="23.85546875" style="1203" bestFit="1" customWidth="1"/>
    <col min="5384" max="5384" width="15.42578125" style="1203" customWidth="1"/>
    <col min="5385" max="5627" width="14.7109375" style="1203"/>
    <col min="5628" max="5628" width="6.28515625" style="1203" customWidth="1"/>
    <col min="5629" max="5629" width="39.5703125" style="1203" customWidth="1"/>
    <col min="5630" max="5630" width="18.85546875" style="1203" customWidth="1"/>
    <col min="5631" max="5631" width="19" style="1203" customWidth="1"/>
    <col min="5632" max="5632" width="17.42578125" style="1203" customWidth="1"/>
    <col min="5633" max="5633" width="0" style="1203" hidden="1" customWidth="1"/>
    <col min="5634" max="5635" width="14.7109375" style="1203"/>
    <col min="5636" max="5636" width="63.28515625" style="1203" bestFit="1" customWidth="1"/>
    <col min="5637" max="5637" width="15.28515625" style="1203" bestFit="1" customWidth="1"/>
    <col min="5638" max="5638" width="17.85546875" style="1203" customWidth="1"/>
    <col min="5639" max="5639" width="23.85546875" style="1203" bestFit="1" customWidth="1"/>
    <col min="5640" max="5640" width="15.42578125" style="1203" customWidth="1"/>
    <col min="5641" max="5883" width="14.7109375" style="1203"/>
    <col min="5884" max="5884" width="6.28515625" style="1203" customWidth="1"/>
    <col min="5885" max="5885" width="39.5703125" style="1203" customWidth="1"/>
    <col min="5886" max="5886" width="18.85546875" style="1203" customWidth="1"/>
    <col min="5887" max="5887" width="19" style="1203" customWidth="1"/>
    <col min="5888" max="5888" width="17.42578125" style="1203" customWidth="1"/>
    <col min="5889" max="5889" width="0" style="1203" hidden="1" customWidth="1"/>
    <col min="5890" max="5891" width="14.7109375" style="1203"/>
    <col min="5892" max="5892" width="63.28515625" style="1203" bestFit="1" customWidth="1"/>
    <col min="5893" max="5893" width="15.28515625" style="1203" bestFit="1" customWidth="1"/>
    <col min="5894" max="5894" width="17.85546875" style="1203" customWidth="1"/>
    <col min="5895" max="5895" width="23.85546875" style="1203" bestFit="1" customWidth="1"/>
    <col min="5896" max="5896" width="15.42578125" style="1203" customWidth="1"/>
    <col min="5897" max="6139" width="14.7109375" style="1203"/>
    <col min="6140" max="6140" width="6.28515625" style="1203" customWidth="1"/>
    <col min="6141" max="6141" width="39.5703125" style="1203" customWidth="1"/>
    <col min="6142" max="6142" width="18.85546875" style="1203" customWidth="1"/>
    <col min="6143" max="6143" width="19" style="1203" customWidth="1"/>
    <col min="6144" max="6144" width="17.42578125" style="1203" customWidth="1"/>
    <col min="6145" max="6145" width="0" style="1203" hidden="1" customWidth="1"/>
    <col min="6146" max="6147" width="14.7109375" style="1203"/>
    <col min="6148" max="6148" width="63.28515625" style="1203" bestFit="1" customWidth="1"/>
    <col min="6149" max="6149" width="15.28515625" style="1203" bestFit="1" customWidth="1"/>
    <col min="6150" max="6150" width="17.85546875" style="1203" customWidth="1"/>
    <col min="6151" max="6151" width="23.85546875" style="1203" bestFit="1" customWidth="1"/>
    <col min="6152" max="6152" width="15.42578125" style="1203" customWidth="1"/>
    <col min="6153" max="6395" width="14.7109375" style="1203"/>
    <col min="6396" max="6396" width="6.28515625" style="1203" customWidth="1"/>
    <col min="6397" max="6397" width="39.5703125" style="1203" customWidth="1"/>
    <col min="6398" max="6398" width="18.85546875" style="1203" customWidth="1"/>
    <col min="6399" max="6399" width="19" style="1203" customWidth="1"/>
    <col min="6400" max="6400" width="17.42578125" style="1203" customWidth="1"/>
    <col min="6401" max="6401" width="0" style="1203" hidden="1" customWidth="1"/>
    <col min="6402" max="6403" width="14.7109375" style="1203"/>
    <col min="6404" max="6404" width="63.28515625" style="1203" bestFit="1" customWidth="1"/>
    <col min="6405" max="6405" width="15.28515625" style="1203" bestFit="1" customWidth="1"/>
    <col min="6406" max="6406" width="17.85546875" style="1203" customWidth="1"/>
    <col min="6407" max="6407" width="23.85546875" style="1203" bestFit="1" customWidth="1"/>
    <col min="6408" max="6408" width="15.42578125" style="1203" customWidth="1"/>
    <col min="6409" max="6651" width="14.7109375" style="1203"/>
    <col min="6652" max="6652" width="6.28515625" style="1203" customWidth="1"/>
    <col min="6653" max="6653" width="39.5703125" style="1203" customWidth="1"/>
    <col min="6654" max="6654" width="18.85546875" style="1203" customWidth="1"/>
    <col min="6655" max="6655" width="19" style="1203" customWidth="1"/>
    <col min="6656" max="6656" width="17.42578125" style="1203" customWidth="1"/>
    <col min="6657" max="6657" width="0" style="1203" hidden="1" customWidth="1"/>
    <col min="6658" max="6659" width="14.7109375" style="1203"/>
    <col min="6660" max="6660" width="63.28515625" style="1203" bestFit="1" customWidth="1"/>
    <col min="6661" max="6661" width="15.28515625" style="1203" bestFit="1" customWidth="1"/>
    <col min="6662" max="6662" width="17.85546875" style="1203" customWidth="1"/>
    <col min="6663" max="6663" width="23.85546875" style="1203" bestFit="1" customWidth="1"/>
    <col min="6664" max="6664" width="15.42578125" style="1203" customWidth="1"/>
    <col min="6665" max="6907" width="14.7109375" style="1203"/>
    <col min="6908" max="6908" width="6.28515625" style="1203" customWidth="1"/>
    <col min="6909" max="6909" width="39.5703125" style="1203" customWidth="1"/>
    <col min="6910" max="6910" width="18.85546875" style="1203" customWidth="1"/>
    <col min="6911" max="6911" width="19" style="1203" customWidth="1"/>
    <col min="6912" max="6912" width="17.42578125" style="1203" customWidth="1"/>
    <col min="6913" max="6913" width="0" style="1203" hidden="1" customWidth="1"/>
    <col min="6914" max="6915" width="14.7109375" style="1203"/>
    <col min="6916" max="6916" width="63.28515625" style="1203" bestFit="1" customWidth="1"/>
    <col min="6917" max="6917" width="15.28515625" style="1203" bestFit="1" customWidth="1"/>
    <col min="6918" max="6918" width="17.85546875" style="1203" customWidth="1"/>
    <col min="6919" max="6919" width="23.85546875" style="1203" bestFit="1" customWidth="1"/>
    <col min="6920" max="6920" width="15.42578125" style="1203" customWidth="1"/>
    <col min="6921" max="7163" width="14.7109375" style="1203"/>
    <col min="7164" max="7164" width="6.28515625" style="1203" customWidth="1"/>
    <col min="7165" max="7165" width="39.5703125" style="1203" customWidth="1"/>
    <col min="7166" max="7166" width="18.85546875" style="1203" customWidth="1"/>
    <col min="7167" max="7167" width="19" style="1203" customWidth="1"/>
    <col min="7168" max="7168" width="17.42578125" style="1203" customWidth="1"/>
    <col min="7169" max="7169" width="0" style="1203" hidden="1" customWidth="1"/>
    <col min="7170" max="7171" width="14.7109375" style="1203"/>
    <col min="7172" max="7172" width="63.28515625" style="1203" bestFit="1" customWidth="1"/>
    <col min="7173" max="7173" width="15.28515625" style="1203" bestFit="1" customWidth="1"/>
    <col min="7174" max="7174" width="17.85546875" style="1203" customWidth="1"/>
    <col min="7175" max="7175" width="23.85546875" style="1203" bestFit="1" customWidth="1"/>
    <col min="7176" max="7176" width="15.42578125" style="1203" customWidth="1"/>
    <col min="7177" max="7419" width="14.7109375" style="1203"/>
    <col min="7420" max="7420" width="6.28515625" style="1203" customWidth="1"/>
    <col min="7421" max="7421" width="39.5703125" style="1203" customWidth="1"/>
    <col min="7422" max="7422" width="18.85546875" style="1203" customWidth="1"/>
    <col min="7423" max="7423" width="19" style="1203" customWidth="1"/>
    <col min="7424" max="7424" width="17.42578125" style="1203" customWidth="1"/>
    <col min="7425" max="7425" width="0" style="1203" hidden="1" customWidth="1"/>
    <col min="7426" max="7427" width="14.7109375" style="1203"/>
    <col min="7428" max="7428" width="63.28515625" style="1203" bestFit="1" customWidth="1"/>
    <col min="7429" max="7429" width="15.28515625" style="1203" bestFit="1" customWidth="1"/>
    <col min="7430" max="7430" width="17.85546875" style="1203" customWidth="1"/>
    <col min="7431" max="7431" width="23.85546875" style="1203" bestFit="1" customWidth="1"/>
    <col min="7432" max="7432" width="15.42578125" style="1203" customWidth="1"/>
    <col min="7433" max="7675" width="14.7109375" style="1203"/>
    <col min="7676" max="7676" width="6.28515625" style="1203" customWidth="1"/>
    <col min="7677" max="7677" width="39.5703125" style="1203" customWidth="1"/>
    <col min="7678" max="7678" width="18.85546875" style="1203" customWidth="1"/>
    <col min="7679" max="7679" width="19" style="1203" customWidth="1"/>
    <col min="7680" max="7680" width="17.42578125" style="1203" customWidth="1"/>
    <col min="7681" max="7681" width="0" style="1203" hidden="1" customWidth="1"/>
    <col min="7682" max="7683" width="14.7109375" style="1203"/>
    <col min="7684" max="7684" width="63.28515625" style="1203" bestFit="1" customWidth="1"/>
    <col min="7685" max="7685" width="15.28515625" style="1203" bestFit="1" customWidth="1"/>
    <col min="7686" max="7686" width="17.85546875" style="1203" customWidth="1"/>
    <col min="7687" max="7687" width="23.85546875" style="1203" bestFit="1" customWidth="1"/>
    <col min="7688" max="7688" width="15.42578125" style="1203" customWidth="1"/>
    <col min="7689" max="7931" width="14.7109375" style="1203"/>
    <col min="7932" max="7932" width="6.28515625" style="1203" customWidth="1"/>
    <col min="7933" max="7933" width="39.5703125" style="1203" customWidth="1"/>
    <col min="7934" max="7934" width="18.85546875" style="1203" customWidth="1"/>
    <col min="7935" max="7935" width="19" style="1203" customWidth="1"/>
    <col min="7936" max="7936" width="17.42578125" style="1203" customWidth="1"/>
    <col min="7937" max="7937" width="0" style="1203" hidden="1" customWidth="1"/>
    <col min="7938" max="7939" width="14.7109375" style="1203"/>
    <col min="7940" max="7940" width="63.28515625" style="1203" bestFit="1" customWidth="1"/>
    <col min="7941" max="7941" width="15.28515625" style="1203" bestFit="1" customWidth="1"/>
    <col min="7942" max="7942" width="17.85546875" style="1203" customWidth="1"/>
    <col min="7943" max="7943" width="23.85546875" style="1203" bestFit="1" customWidth="1"/>
    <col min="7944" max="7944" width="15.42578125" style="1203" customWidth="1"/>
    <col min="7945" max="8187" width="14.7109375" style="1203"/>
    <col min="8188" max="8188" width="6.28515625" style="1203" customWidth="1"/>
    <col min="8189" max="8189" width="39.5703125" style="1203" customWidth="1"/>
    <col min="8190" max="8190" width="18.85546875" style="1203" customWidth="1"/>
    <col min="8191" max="8191" width="19" style="1203" customWidth="1"/>
    <col min="8192" max="8192" width="17.42578125" style="1203" customWidth="1"/>
    <col min="8193" max="8193" width="0" style="1203" hidden="1" customWidth="1"/>
    <col min="8194" max="8195" width="14.7109375" style="1203"/>
    <col min="8196" max="8196" width="63.28515625" style="1203" bestFit="1" customWidth="1"/>
    <col min="8197" max="8197" width="15.28515625" style="1203" bestFit="1" customWidth="1"/>
    <col min="8198" max="8198" width="17.85546875" style="1203" customWidth="1"/>
    <col min="8199" max="8199" width="23.85546875" style="1203" bestFit="1" customWidth="1"/>
    <col min="8200" max="8200" width="15.42578125" style="1203" customWidth="1"/>
    <col min="8201" max="8443" width="14.7109375" style="1203"/>
    <col min="8444" max="8444" width="6.28515625" style="1203" customWidth="1"/>
    <col min="8445" max="8445" width="39.5703125" style="1203" customWidth="1"/>
    <col min="8446" max="8446" width="18.85546875" style="1203" customWidth="1"/>
    <col min="8447" max="8447" width="19" style="1203" customWidth="1"/>
    <col min="8448" max="8448" width="17.42578125" style="1203" customWidth="1"/>
    <col min="8449" max="8449" width="0" style="1203" hidden="1" customWidth="1"/>
    <col min="8450" max="8451" width="14.7109375" style="1203"/>
    <col min="8452" max="8452" width="63.28515625" style="1203" bestFit="1" customWidth="1"/>
    <col min="8453" max="8453" width="15.28515625" style="1203" bestFit="1" customWidth="1"/>
    <col min="8454" max="8454" width="17.85546875" style="1203" customWidth="1"/>
    <col min="8455" max="8455" width="23.85546875" style="1203" bestFit="1" customWidth="1"/>
    <col min="8456" max="8456" width="15.42578125" style="1203" customWidth="1"/>
    <col min="8457" max="8699" width="14.7109375" style="1203"/>
    <col min="8700" max="8700" width="6.28515625" style="1203" customWidth="1"/>
    <col min="8701" max="8701" width="39.5703125" style="1203" customWidth="1"/>
    <col min="8702" max="8702" width="18.85546875" style="1203" customWidth="1"/>
    <col min="8703" max="8703" width="19" style="1203" customWidth="1"/>
    <col min="8704" max="8704" width="17.42578125" style="1203" customWidth="1"/>
    <col min="8705" max="8705" width="0" style="1203" hidden="1" customWidth="1"/>
    <col min="8706" max="8707" width="14.7109375" style="1203"/>
    <col min="8708" max="8708" width="63.28515625" style="1203" bestFit="1" customWidth="1"/>
    <col min="8709" max="8709" width="15.28515625" style="1203" bestFit="1" customWidth="1"/>
    <col min="8710" max="8710" width="17.85546875" style="1203" customWidth="1"/>
    <col min="8711" max="8711" width="23.85546875" style="1203" bestFit="1" customWidth="1"/>
    <col min="8712" max="8712" width="15.42578125" style="1203" customWidth="1"/>
    <col min="8713" max="8955" width="14.7109375" style="1203"/>
    <col min="8956" max="8956" width="6.28515625" style="1203" customWidth="1"/>
    <col min="8957" max="8957" width="39.5703125" style="1203" customWidth="1"/>
    <col min="8958" max="8958" width="18.85546875" style="1203" customWidth="1"/>
    <col min="8959" max="8959" width="19" style="1203" customWidth="1"/>
    <col min="8960" max="8960" width="17.42578125" style="1203" customWidth="1"/>
    <col min="8961" max="8961" width="0" style="1203" hidden="1" customWidth="1"/>
    <col min="8962" max="8963" width="14.7109375" style="1203"/>
    <col min="8964" max="8964" width="63.28515625" style="1203" bestFit="1" customWidth="1"/>
    <col min="8965" max="8965" width="15.28515625" style="1203" bestFit="1" customWidth="1"/>
    <col min="8966" max="8966" width="17.85546875" style="1203" customWidth="1"/>
    <col min="8967" max="8967" width="23.85546875" style="1203" bestFit="1" customWidth="1"/>
    <col min="8968" max="8968" width="15.42578125" style="1203" customWidth="1"/>
    <col min="8969" max="9211" width="14.7109375" style="1203"/>
    <col min="9212" max="9212" width="6.28515625" style="1203" customWidth="1"/>
    <col min="9213" max="9213" width="39.5703125" style="1203" customWidth="1"/>
    <col min="9214" max="9214" width="18.85546875" style="1203" customWidth="1"/>
    <col min="9215" max="9215" width="19" style="1203" customWidth="1"/>
    <col min="9216" max="9216" width="17.42578125" style="1203" customWidth="1"/>
    <col min="9217" max="9217" width="0" style="1203" hidden="1" customWidth="1"/>
    <col min="9218" max="9219" width="14.7109375" style="1203"/>
    <col min="9220" max="9220" width="63.28515625" style="1203" bestFit="1" customWidth="1"/>
    <col min="9221" max="9221" width="15.28515625" style="1203" bestFit="1" customWidth="1"/>
    <col min="9222" max="9222" width="17.85546875" style="1203" customWidth="1"/>
    <col min="9223" max="9223" width="23.85546875" style="1203" bestFit="1" customWidth="1"/>
    <col min="9224" max="9224" width="15.42578125" style="1203" customWidth="1"/>
    <col min="9225" max="9467" width="14.7109375" style="1203"/>
    <col min="9468" max="9468" width="6.28515625" style="1203" customWidth="1"/>
    <col min="9469" max="9469" width="39.5703125" style="1203" customWidth="1"/>
    <col min="9470" max="9470" width="18.85546875" style="1203" customWidth="1"/>
    <col min="9471" max="9471" width="19" style="1203" customWidth="1"/>
    <col min="9472" max="9472" width="17.42578125" style="1203" customWidth="1"/>
    <col min="9473" max="9473" width="0" style="1203" hidden="1" customWidth="1"/>
    <col min="9474" max="9475" width="14.7109375" style="1203"/>
    <col min="9476" max="9476" width="63.28515625" style="1203" bestFit="1" customWidth="1"/>
    <col min="9477" max="9477" width="15.28515625" style="1203" bestFit="1" customWidth="1"/>
    <col min="9478" max="9478" width="17.85546875" style="1203" customWidth="1"/>
    <col min="9479" max="9479" width="23.85546875" style="1203" bestFit="1" customWidth="1"/>
    <col min="9480" max="9480" width="15.42578125" style="1203" customWidth="1"/>
    <col min="9481" max="9723" width="14.7109375" style="1203"/>
    <col min="9724" max="9724" width="6.28515625" style="1203" customWidth="1"/>
    <col min="9725" max="9725" width="39.5703125" style="1203" customWidth="1"/>
    <col min="9726" max="9726" width="18.85546875" style="1203" customWidth="1"/>
    <col min="9727" max="9727" width="19" style="1203" customWidth="1"/>
    <col min="9728" max="9728" width="17.42578125" style="1203" customWidth="1"/>
    <col min="9729" max="9729" width="0" style="1203" hidden="1" customWidth="1"/>
    <col min="9730" max="9731" width="14.7109375" style="1203"/>
    <col min="9732" max="9732" width="63.28515625" style="1203" bestFit="1" customWidth="1"/>
    <col min="9733" max="9733" width="15.28515625" style="1203" bestFit="1" customWidth="1"/>
    <col min="9734" max="9734" width="17.85546875" style="1203" customWidth="1"/>
    <col min="9735" max="9735" width="23.85546875" style="1203" bestFit="1" customWidth="1"/>
    <col min="9736" max="9736" width="15.42578125" style="1203" customWidth="1"/>
    <col min="9737" max="9979" width="14.7109375" style="1203"/>
    <col min="9980" max="9980" width="6.28515625" style="1203" customWidth="1"/>
    <col min="9981" max="9981" width="39.5703125" style="1203" customWidth="1"/>
    <col min="9982" max="9982" width="18.85546875" style="1203" customWidth="1"/>
    <col min="9983" max="9983" width="19" style="1203" customWidth="1"/>
    <col min="9984" max="9984" width="17.42578125" style="1203" customWidth="1"/>
    <col min="9985" max="9985" width="0" style="1203" hidden="1" customWidth="1"/>
    <col min="9986" max="9987" width="14.7109375" style="1203"/>
    <col min="9988" max="9988" width="63.28515625" style="1203" bestFit="1" customWidth="1"/>
    <col min="9989" max="9989" width="15.28515625" style="1203" bestFit="1" customWidth="1"/>
    <col min="9990" max="9990" width="17.85546875" style="1203" customWidth="1"/>
    <col min="9991" max="9991" width="23.85546875" style="1203" bestFit="1" customWidth="1"/>
    <col min="9992" max="9992" width="15.42578125" style="1203" customWidth="1"/>
    <col min="9993" max="10235" width="14.7109375" style="1203"/>
    <col min="10236" max="10236" width="6.28515625" style="1203" customWidth="1"/>
    <col min="10237" max="10237" width="39.5703125" style="1203" customWidth="1"/>
    <col min="10238" max="10238" width="18.85546875" style="1203" customWidth="1"/>
    <col min="10239" max="10239" width="19" style="1203" customWidth="1"/>
    <col min="10240" max="10240" width="17.42578125" style="1203" customWidth="1"/>
    <col min="10241" max="10241" width="0" style="1203" hidden="1" customWidth="1"/>
    <col min="10242" max="10243" width="14.7109375" style="1203"/>
    <col min="10244" max="10244" width="63.28515625" style="1203" bestFit="1" customWidth="1"/>
    <col min="10245" max="10245" width="15.28515625" style="1203" bestFit="1" customWidth="1"/>
    <col min="10246" max="10246" width="17.85546875" style="1203" customWidth="1"/>
    <col min="10247" max="10247" width="23.85546875" style="1203" bestFit="1" customWidth="1"/>
    <col min="10248" max="10248" width="15.42578125" style="1203" customWidth="1"/>
    <col min="10249" max="10491" width="14.7109375" style="1203"/>
    <col min="10492" max="10492" width="6.28515625" style="1203" customWidth="1"/>
    <col min="10493" max="10493" width="39.5703125" style="1203" customWidth="1"/>
    <col min="10494" max="10494" width="18.85546875" style="1203" customWidth="1"/>
    <col min="10495" max="10495" width="19" style="1203" customWidth="1"/>
    <col min="10496" max="10496" width="17.42578125" style="1203" customWidth="1"/>
    <col min="10497" max="10497" width="0" style="1203" hidden="1" customWidth="1"/>
    <col min="10498" max="10499" width="14.7109375" style="1203"/>
    <col min="10500" max="10500" width="63.28515625" style="1203" bestFit="1" customWidth="1"/>
    <col min="10501" max="10501" width="15.28515625" style="1203" bestFit="1" customWidth="1"/>
    <col min="10502" max="10502" width="17.85546875" style="1203" customWidth="1"/>
    <col min="10503" max="10503" width="23.85546875" style="1203" bestFit="1" customWidth="1"/>
    <col min="10504" max="10504" width="15.42578125" style="1203" customWidth="1"/>
    <col min="10505" max="10747" width="14.7109375" style="1203"/>
    <col min="10748" max="10748" width="6.28515625" style="1203" customWidth="1"/>
    <col min="10749" max="10749" width="39.5703125" style="1203" customWidth="1"/>
    <col min="10750" max="10750" width="18.85546875" style="1203" customWidth="1"/>
    <col min="10751" max="10751" width="19" style="1203" customWidth="1"/>
    <col min="10752" max="10752" width="17.42578125" style="1203" customWidth="1"/>
    <col min="10753" max="10753" width="0" style="1203" hidden="1" customWidth="1"/>
    <col min="10754" max="10755" width="14.7109375" style="1203"/>
    <col min="10756" max="10756" width="63.28515625" style="1203" bestFit="1" customWidth="1"/>
    <col min="10757" max="10757" width="15.28515625" style="1203" bestFit="1" customWidth="1"/>
    <col min="10758" max="10758" width="17.85546875" style="1203" customWidth="1"/>
    <col min="10759" max="10759" width="23.85546875" style="1203" bestFit="1" customWidth="1"/>
    <col min="10760" max="10760" width="15.42578125" style="1203" customWidth="1"/>
    <col min="10761" max="11003" width="14.7109375" style="1203"/>
    <col min="11004" max="11004" width="6.28515625" style="1203" customWidth="1"/>
    <col min="11005" max="11005" width="39.5703125" style="1203" customWidth="1"/>
    <col min="11006" max="11006" width="18.85546875" style="1203" customWidth="1"/>
    <col min="11007" max="11007" width="19" style="1203" customWidth="1"/>
    <col min="11008" max="11008" width="17.42578125" style="1203" customWidth="1"/>
    <col min="11009" max="11009" width="0" style="1203" hidden="1" customWidth="1"/>
    <col min="11010" max="11011" width="14.7109375" style="1203"/>
    <col min="11012" max="11012" width="63.28515625" style="1203" bestFit="1" customWidth="1"/>
    <col min="11013" max="11013" width="15.28515625" style="1203" bestFit="1" customWidth="1"/>
    <col min="11014" max="11014" width="17.85546875" style="1203" customWidth="1"/>
    <col min="11015" max="11015" width="23.85546875" style="1203" bestFit="1" customWidth="1"/>
    <col min="11016" max="11016" width="15.42578125" style="1203" customWidth="1"/>
    <col min="11017" max="11259" width="14.7109375" style="1203"/>
    <col min="11260" max="11260" width="6.28515625" style="1203" customWidth="1"/>
    <col min="11261" max="11261" width="39.5703125" style="1203" customWidth="1"/>
    <col min="11262" max="11262" width="18.85546875" style="1203" customWidth="1"/>
    <col min="11263" max="11263" width="19" style="1203" customWidth="1"/>
    <col min="11264" max="11264" width="17.42578125" style="1203" customWidth="1"/>
    <col min="11265" max="11265" width="0" style="1203" hidden="1" customWidth="1"/>
    <col min="11266" max="11267" width="14.7109375" style="1203"/>
    <col min="11268" max="11268" width="63.28515625" style="1203" bestFit="1" customWidth="1"/>
    <col min="11269" max="11269" width="15.28515625" style="1203" bestFit="1" customWidth="1"/>
    <col min="11270" max="11270" width="17.85546875" style="1203" customWidth="1"/>
    <col min="11271" max="11271" width="23.85546875" style="1203" bestFit="1" customWidth="1"/>
    <col min="11272" max="11272" width="15.42578125" style="1203" customWidth="1"/>
    <col min="11273" max="11515" width="14.7109375" style="1203"/>
    <col min="11516" max="11516" width="6.28515625" style="1203" customWidth="1"/>
    <col min="11517" max="11517" width="39.5703125" style="1203" customWidth="1"/>
    <col min="11518" max="11518" width="18.85546875" style="1203" customWidth="1"/>
    <col min="11519" max="11519" width="19" style="1203" customWidth="1"/>
    <col min="11520" max="11520" width="17.42578125" style="1203" customWidth="1"/>
    <col min="11521" max="11521" width="0" style="1203" hidden="1" customWidth="1"/>
    <col min="11522" max="11523" width="14.7109375" style="1203"/>
    <col min="11524" max="11524" width="63.28515625" style="1203" bestFit="1" customWidth="1"/>
    <col min="11525" max="11525" width="15.28515625" style="1203" bestFit="1" customWidth="1"/>
    <col min="11526" max="11526" width="17.85546875" style="1203" customWidth="1"/>
    <col min="11527" max="11527" width="23.85546875" style="1203" bestFit="1" customWidth="1"/>
    <col min="11528" max="11528" width="15.42578125" style="1203" customWidth="1"/>
    <col min="11529" max="11771" width="14.7109375" style="1203"/>
    <col min="11772" max="11772" width="6.28515625" style="1203" customWidth="1"/>
    <col min="11773" max="11773" width="39.5703125" style="1203" customWidth="1"/>
    <col min="11774" max="11774" width="18.85546875" style="1203" customWidth="1"/>
    <col min="11775" max="11775" width="19" style="1203" customWidth="1"/>
    <col min="11776" max="11776" width="17.42578125" style="1203" customWidth="1"/>
    <col min="11777" max="11777" width="0" style="1203" hidden="1" customWidth="1"/>
    <col min="11778" max="11779" width="14.7109375" style="1203"/>
    <col min="11780" max="11780" width="63.28515625" style="1203" bestFit="1" customWidth="1"/>
    <col min="11781" max="11781" width="15.28515625" style="1203" bestFit="1" customWidth="1"/>
    <col min="11782" max="11782" width="17.85546875" style="1203" customWidth="1"/>
    <col min="11783" max="11783" width="23.85546875" style="1203" bestFit="1" customWidth="1"/>
    <col min="11784" max="11784" width="15.42578125" style="1203" customWidth="1"/>
    <col min="11785" max="12027" width="14.7109375" style="1203"/>
    <col min="12028" max="12028" width="6.28515625" style="1203" customWidth="1"/>
    <col min="12029" max="12029" width="39.5703125" style="1203" customWidth="1"/>
    <col min="12030" max="12030" width="18.85546875" style="1203" customWidth="1"/>
    <col min="12031" max="12031" width="19" style="1203" customWidth="1"/>
    <col min="12032" max="12032" width="17.42578125" style="1203" customWidth="1"/>
    <col min="12033" max="12033" width="0" style="1203" hidden="1" customWidth="1"/>
    <col min="12034" max="12035" width="14.7109375" style="1203"/>
    <col min="12036" max="12036" width="63.28515625" style="1203" bestFit="1" customWidth="1"/>
    <col min="12037" max="12037" width="15.28515625" style="1203" bestFit="1" customWidth="1"/>
    <col min="12038" max="12038" width="17.85546875" style="1203" customWidth="1"/>
    <col min="12039" max="12039" width="23.85546875" style="1203" bestFit="1" customWidth="1"/>
    <col min="12040" max="12040" width="15.42578125" style="1203" customWidth="1"/>
    <col min="12041" max="12283" width="14.7109375" style="1203"/>
    <col min="12284" max="12284" width="6.28515625" style="1203" customWidth="1"/>
    <col min="12285" max="12285" width="39.5703125" style="1203" customWidth="1"/>
    <col min="12286" max="12286" width="18.85546875" style="1203" customWidth="1"/>
    <col min="12287" max="12287" width="19" style="1203" customWidth="1"/>
    <col min="12288" max="12288" width="17.42578125" style="1203" customWidth="1"/>
    <col min="12289" max="12289" width="0" style="1203" hidden="1" customWidth="1"/>
    <col min="12290" max="12291" width="14.7109375" style="1203"/>
    <col min="12292" max="12292" width="63.28515625" style="1203" bestFit="1" customWidth="1"/>
    <col min="12293" max="12293" width="15.28515625" style="1203" bestFit="1" customWidth="1"/>
    <col min="12294" max="12294" width="17.85546875" style="1203" customWidth="1"/>
    <col min="12295" max="12295" width="23.85546875" style="1203" bestFit="1" customWidth="1"/>
    <col min="12296" max="12296" width="15.42578125" style="1203" customWidth="1"/>
    <col min="12297" max="12539" width="14.7109375" style="1203"/>
    <col min="12540" max="12540" width="6.28515625" style="1203" customWidth="1"/>
    <col min="12541" max="12541" width="39.5703125" style="1203" customWidth="1"/>
    <col min="12542" max="12542" width="18.85546875" style="1203" customWidth="1"/>
    <col min="12543" max="12543" width="19" style="1203" customWidth="1"/>
    <col min="12544" max="12544" width="17.42578125" style="1203" customWidth="1"/>
    <col min="12545" max="12545" width="0" style="1203" hidden="1" customWidth="1"/>
    <col min="12546" max="12547" width="14.7109375" style="1203"/>
    <col min="12548" max="12548" width="63.28515625" style="1203" bestFit="1" customWidth="1"/>
    <col min="12549" max="12549" width="15.28515625" style="1203" bestFit="1" customWidth="1"/>
    <col min="12550" max="12550" width="17.85546875" style="1203" customWidth="1"/>
    <col min="12551" max="12551" width="23.85546875" style="1203" bestFit="1" customWidth="1"/>
    <col min="12552" max="12552" width="15.42578125" style="1203" customWidth="1"/>
    <col min="12553" max="12795" width="14.7109375" style="1203"/>
    <col min="12796" max="12796" width="6.28515625" style="1203" customWidth="1"/>
    <col min="12797" max="12797" width="39.5703125" style="1203" customWidth="1"/>
    <col min="12798" max="12798" width="18.85546875" style="1203" customWidth="1"/>
    <col min="12799" max="12799" width="19" style="1203" customWidth="1"/>
    <col min="12800" max="12800" width="17.42578125" style="1203" customWidth="1"/>
    <col min="12801" max="12801" width="0" style="1203" hidden="1" customWidth="1"/>
    <col min="12802" max="12803" width="14.7109375" style="1203"/>
    <col min="12804" max="12804" width="63.28515625" style="1203" bestFit="1" customWidth="1"/>
    <col min="12805" max="12805" width="15.28515625" style="1203" bestFit="1" customWidth="1"/>
    <col min="12806" max="12806" width="17.85546875" style="1203" customWidth="1"/>
    <col min="12807" max="12807" width="23.85546875" style="1203" bestFit="1" customWidth="1"/>
    <col min="12808" max="12808" width="15.42578125" style="1203" customWidth="1"/>
    <col min="12809" max="13051" width="14.7109375" style="1203"/>
    <col min="13052" max="13052" width="6.28515625" style="1203" customWidth="1"/>
    <col min="13053" max="13053" width="39.5703125" style="1203" customWidth="1"/>
    <col min="13054" max="13054" width="18.85546875" style="1203" customWidth="1"/>
    <col min="13055" max="13055" width="19" style="1203" customWidth="1"/>
    <col min="13056" max="13056" width="17.42578125" style="1203" customWidth="1"/>
    <col min="13057" max="13057" width="0" style="1203" hidden="1" customWidth="1"/>
    <col min="13058" max="13059" width="14.7109375" style="1203"/>
    <col min="13060" max="13060" width="63.28515625" style="1203" bestFit="1" customWidth="1"/>
    <col min="13061" max="13061" width="15.28515625" style="1203" bestFit="1" customWidth="1"/>
    <col min="13062" max="13062" width="17.85546875" style="1203" customWidth="1"/>
    <col min="13063" max="13063" width="23.85546875" style="1203" bestFit="1" customWidth="1"/>
    <col min="13064" max="13064" width="15.42578125" style="1203" customWidth="1"/>
    <col min="13065" max="13307" width="14.7109375" style="1203"/>
    <col min="13308" max="13308" width="6.28515625" style="1203" customWidth="1"/>
    <col min="13309" max="13309" width="39.5703125" style="1203" customWidth="1"/>
    <col min="13310" max="13310" width="18.85546875" style="1203" customWidth="1"/>
    <col min="13311" max="13311" width="19" style="1203" customWidth="1"/>
    <col min="13312" max="13312" width="17.42578125" style="1203" customWidth="1"/>
    <col min="13313" max="13313" width="0" style="1203" hidden="1" customWidth="1"/>
    <col min="13314" max="13315" width="14.7109375" style="1203"/>
    <col min="13316" max="13316" width="63.28515625" style="1203" bestFit="1" customWidth="1"/>
    <col min="13317" max="13317" width="15.28515625" style="1203" bestFit="1" customWidth="1"/>
    <col min="13318" max="13318" width="17.85546875" style="1203" customWidth="1"/>
    <col min="13319" max="13319" width="23.85546875" style="1203" bestFit="1" customWidth="1"/>
    <col min="13320" max="13320" width="15.42578125" style="1203" customWidth="1"/>
    <col min="13321" max="13563" width="14.7109375" style="1203"/>
    <col min="13564" max="13564" width="6.28515625" style="1203" customWidth="1"/>
    <col min="13565" max="13565" width="39.5703125" style="1203" customWidth="1"/>
    <col min="13566" max="13566" width="18.85546875" style="1203" customWidth="1"/>
    <col min="13567" max="13567" width="19" style="1203" customWidth="1"/>
    <col min="13568" max="13568" width="17.42578125" style="1203" customWidth="1"/>
    <col min="13569" max="13569" width="0" style="1203" hidden="1" customWidth="1"/>
    <col min="13570" max="13571" width="14.7109375" style="1203"/>
    <col min="13572" max="13572" width="63.28515625" style="1203" bestFit="1" customWidth="1"/>
    <col min="13573" max="13573" width="15.28515625" style="1203" bestFit="1" customWidth="1"/>
    <col min="13574" max="13574" width="17.85546875" style="1203" customWidth="1"/>
    <col min="13575" max="13575" width="23.85546875" style="1203" bestFit="1" customWidth="1"/>
    <col min="13576" max="13576" width="15.42578125" style="1203" customWidth="1"/>
    <col min="13577" max="13819" width="14.7109375" style="1203"/>
    <col min="13820" max="13820" width="6.28515625" style="1203" customWidth="1"/>
    <col min="13821" max="13821" width="39.5703125" style="1203" customWidth="1"/>
    <col min="13822" max="13822" width="18.85546875" style="1203" customWidth="1"/>
    <col min="13823" max="13823" width="19" style="1203" customWidth="1"/>
    <col min="13824" max="13824" width="17.42578125" style="1203" customWidth="1"/>
    <col min="13825" max="13825" width="0" style="1203" hidden="1" customWidth="1"/>
    <col min="13826" max="13827" width="14.7109375" style="1203"/>
    <col min="13828" max="13828" width="63.28515625" style="1203" bestFit="1" customWidth="1"/>
    <col min="13829" max="13829" width="15.28515625" style="1203" bestFit="1" customWidth="1"/>
    <col min="13830" max="13830" width="17.85546875" style="1203" customWidth="1"/>
    <col min="13831" max="13831" width="23.85546875" style="1203" bestFit="1" customWidth="1"/>
    <col min="13832" max="13832" width="15.42578125" style="1203" customWidth="1"/>
    <col min="13833" max="14075" width="14.7109375" style="1203"/>
    <col min="14076" max="14076" width="6.28515625" style="1203" customWidth="1"/>
    <col min="14077" max="14077" width="39.5703125" style="1203" customWidth="1"/>
    <col min="14078" max="14078" width="18.85546875" style="1203" customWidth="1"/>
    <col min="14079" max="14079" width="19" style="1203" customWidth="1"/>
    <col min="14080" max="14080" width="17.42578125" style="1203" customWidth="1"/>
    <col min="14081" max="14081" width="0" style="1203" hidden="1" customWidth="1"/>
    <col min="14082" max="14083" width="14.7109375" style="1203"/>
    <col min="14084" max="14084" width="63.28515625" style="1203" bestFit="1" customWidth="1"/>
    <col min="14085" max="14085" width="15.28515625" style="1203" bestFit="1" customWidth="1"/>
    <col min="14086" max="14086" width="17.85546875" style="1203" customWidth="1"/>
    <col min="14087" max="14087" width="23.85546875" style="1203" bestFit="1" customWidth="1"/>
    <col min="14088" max="14088" width="15.42578125" style="1203" customWidth="1"/>
    <col min="14089" max="14331" width="14.7109375" style="1203"/>
    <col min="14332" max="14332" width="6.28515625" style="1203" customWidth="1"/>
    <col min="14333" max="14333" width="39.5703125" style="1203" customWidth="1"/>
    <col min="14334" max="14334" width="18.85546875" style="1203" customWidth="1"/>
    <col min="14335" max="14335" width="19" style="1203" customWidth="1"/>
    <col min="14336" max="14336" width="17.42578125" style="1203" customWidth="1"/>
    <col min="14337" max="14337" width="0" style="1203" hidden="1" customWidth="1"/>
    <col min="14338" max="14339" width="14.7109375" style="1203"/>
    <col min="14340" max="14340" width="63.28515625" style="1203" bestFit="1" customWidth="1"/>
    <col min="14341" max="14341" width="15.28515625" style="1203" bestFit="1" customWidth="1"/>
    <col min="14342" max="14342" width="17.85546875" style="1203" customWidth="1"/>
    <col min="14343" max="14343" width="23.85546875" style="1203" bestFit="1" customWidth="1"/>
    <col min="14344" max="14344" width="15.42578125" style="1203" customWidth="1"/>
    <col min="14345" max="14587" width="14.7109375" style="1203"/>
    <col min="14588" max="14588" width="6.28515625" style="1203" customWidth="1"/>
    <col min="14589" max="14589" width="39.5703125" style="1203" customWidth="1"/>
    <col min="14590" max="14590" width="18.85546875" style="1203" customWidth="1"/>
    <col min="14591" max="14591" width="19" style="1203" customWidth="1"/>
    <col min="14592" max="14592" width="17.42578125" style="1203" customWidth="1"/>
    <col min="14593" max="14593" width="0" style="1203" hidden="1" customWidth="1"/>
    <col min="14594" max="14595" width="14.7109375" style="1203"/>
    <col min="14596" max="14596" width="63.28515625" style="1203" bestFit="1" customWidth="1"/>
    <col min="14597" max="14597" width="15.28515625" style="1203" bestFit="1" customWidth="1"/>
    <col min="14598" max="14598" width="17.85546875" style="1203" customWidth="1"/>
    <col min="14599" max="14599" width="23.85546875" style="1203" bestFit="1" customWidth="1"/>
    <col min="14600" max="14600" width="15.42578125" style="1203" customWidth="1"/>
    <col min="14601" max="14843" width="14.7109375" style="1203"/>
    <col min="14844" max="14844" width="6.28515625" style="1203" customWidth="1"/>
    <col min="14845" max="14845" width="39.5703125" style="1203" customWidth="1"/>
    <col min="14846" max="14846" width="18.85546875" style="1203" customWidth="1"/>
    <col min="14847" max="14847" width="19" style="1203" customWidth="1"/>
    <col min="14848" max="14848" width="17.42578125" style="1203" customWidth="1"/>
    <col min="14849" max="14849" width="0" style="1203" hidden="1" customWidth="1"/>
    <col min="14850" max="14851" width="14.7109375" style="1203"/>
    <col min="14852" max="14852" width="63.28515625" style="1203" bestFit="1" customWidth="1"/>
    <col min="14853" max="14853" width="15.28515625" style="1203" bestFit="1" customWidth="1"/>
    <col min="14854" max="14854" width="17.85546875" style="1203" customWidth="1"/>
    <col min="14855" max="14855" width="23.85546875" style="1203" bestFit="1" customWidth="1"/>
    <col min="14856" max="14856" width="15.42578125" style="1203" customWidth="1"/>
    <col min="14857" max="15099" width="14.7109375" style="1203"/>
    <col min="15100" max="15100" width="6.28515625" style="1203" customWidth="1"/>
    <col min="15101" max="15101" width="39.5703125" style="1203" customWidth="1"/>
    <col min="15102" max="15102" width="18.85546875" style="1203" customWidth="1"/>
    <col min="15103" max="15103" width="19" style="1203" customWidth="1"/>
    <col min="15104" max="15104" width="17.42578125" style="1203" customWidth="1"/>
    <col min="15105" max="15105" width="0" style="1203" hidden="1" customWidth="1"/>
    <col min="15106" max="15107" width="14.7109375" style="1203"/>
    <col min="15108" max="15108" width="63.28515625" style="1203" bestFit="1" customWidth="1"/>
    <col min="15109" max="15109" width="15.28515625" style="1203" bestFit="1" customWidth="1"/>
    <col min="15110" max="15110" width="17.85546875" style="1203" customWidth="1"/>
    <col min="15111" max="15111" width="23.85546875" style="1203" bestFit="1" customWidth="1"/>
    <col min="15112" max="15112" width="15.42578125" style="1203" customWidth="1"/>
    <col min="15113" max="15355" width="14.7109375" style="1203"/>
    <col min="15356" max="15356" width="6.28515625" style="1203" customWidth="1"/>
    <col min="15357" max="15357" width="39.5703125" style="1203" customWidth="1"/>
    <col min="15358" max="15358" width="18.85546875" style="1203" customWidth="1"/>
    <col min="15359" max="15359" width="19" style="1203" customWidth="1"/>
    <col min="15360" max="15360" width="17.42578125" style="1203" customWidth="1"/>
    <col min="15361" max="15361" width="0" style="1203" hidden="1" customWidth="1"/>
    <col min="15362" max="15363" width="14.7109375" style="1203"/>
    <col min="15364" max="15364" width="63.28515625" style="1203" bestFit="1" customWidth="1"/>
    <col min="15365" max="15365" width="15.28515625" style="1203" bestFit="1" customWidth="1"/>
    <col min="15366" max="15366" width="17.85546875" style="1203" customWidth="1"/>
    <col min="15367" max="15367" width="23.85546875" style="1203" bestFit="1" customWidth="1"/>
    <col min="15368" max="15368" width="15.42578125" style="1203" customWidth="1"/>
    <col min="15369" max="15611" width="14.7109375" style="1203"/>
    <col min="15612" max="15612" width="6.28515625" style="1203" customWidth="1"/>
    <col min="15613" max="15613" width="39.5703125" style="1203" customWidth="1"/>
    <col min="15614" max="15614" width="18.85546875" style="1203" customWidth="1"/>
    <col min="15615" max="15615" width="19" style="1203" customWidth="1"/>
    <col min="15616" max="15616" width="17.42578125" style="1203" customWidth="1"/>
    <col min="15617" max="15617" width="0" style="1203" hidden="1" customWidth="1"/>
    <col min="15618" max="15619" width="14.7109375" style="1203"/>
    <col min="15620" max="15620" width="63.28515625" style="1203" bestFit="1" customWidth="1"/>
    <col min="15621" max="15621" width="15.28515625" style="1203" bestFit="1" customWidth="1"/>
    <col min="15622" max="15622" width="17.85546875" style="1203" customWidth="1"/>
    <col min="15623" max="15623" width="23.85546875" style="1203" bestFit="1" customWidth="1"/>
    <col min="15624" max="15624" width="15.42578125" style="1203" customWidth="1"/>
    <col min="15625" max="15867" width="14.7109375" style="1203"/>
    <col min="15868" max="15868" width="6.28515625" style="1203" customWidth="1"/>
    <col min="15869" max="15869" width="39.5703125" style="1203" customWidth="1"/>
    <col min="15870" max="15870" width="18.85546875" style="1203" customWidth="1"/>
    <col min="15871" max="15871" width="19" style="1203" customWidth="1"/>
    <col min="15872" max="15872" width="17.42578125" style="1203" customWidth="1"/>
    <col min="15873" max="15873" width="0" style="1203" hidden="1" customWidth="1"/>
    <col min="15874" max="15875" width="14.7109375" style="1203"/>
    <col min="15876" max="15876" width="63.28515625" style="1203" bestFit="1" customWidth="1"/>
    <col min="15877" max="15877" width="15.28515625" style="1203" bestFit="1" customWidth="1"/>
    <col min="15878" max="15878" width="17.85546875" style="1203" customWidth="1"/>
    <col min="15879" max="15879" width="23.85546875" style="1203" bestFit="1" customWidth="1"/>
    <col min="15880" max="15880" width="15.42578125" style="1203" customWidth="1"/>
    <col min="15881" max="16123" width="14.7109375" style="1203"/>
    <col min="16124" max="16124" width="6.28515625" style="1203" customWidth="1"/>
    <col min="16125" max="16125" width="39.5703125" style="1203" customWidth="1"/>
    <col min="16126" max="16126" width="18.85546875" style="1203" customWidth="1"/>
    <col min="16127" max="16127" width="19" style="1203" customWidth="1"/>
    <col min="16128" max="16128" width="17.42578125" style="1203" customWidth="1"/>
    <col min="16129" max="16129" width="0" style="1203" hidden="1" customWidth="1"/>
    <col min="16130" max="16131" width="14.7109375" style="1203"/>
    <col min="16132" max="16132" width="63.28515625" style="1203" bestFit="1" customWidth="1"/>
    <col min="16133" max="16133" width="15.28515625" style="1203" bestFit="1" customWidth="1"/>
    <col min="16134" max="16134" width="17.85546875" style="1203" customWidth="1"/>
    <col min="16135" max="16135" width="23.85546875" style="1203" bestFit="1" customWidth="1"/>
    <col min="16136" max="16136" width="15.42578125" style="1203" customWidth="1"/>
    <col min="16137" max="16384" width="14.7109375" style="1203"/>
  </cols>
  <sheetData>
    <row r="1" spans="1:9" ht="6" customHeight="1"/>
    <row r="2" spans="1:9" hidden="1"/>
    <row r="3" spans="1:9" ht="8.25" customHeight="1">
      <c r="D3" s="129"/>
      <c r="E3" s="129"/>
      <c r="F3" s="129"/>
      <c r="G3" s="129"/>
      <c r="H3" s="129"/>
    </row>
    <row r="4" spans="1:9" ht="17.25" customHeight="1">
      <c r="C4" s="1204"/>
      <c r="D4" s="2510" t="s">
        <v>804</v>
      </c>
      <c r="E4" s="2510"/>
      <c r="F4" s="2510"/>
      <c r="G4" s="2510"/>
      <c r="H4" s="2510"/>
    </row>
    <row r="5" spans="1:9" ht="21" customHeight="1">
      <c r="C5" s="1204"/>
      <c r="D5" s="2511" t="s">
        <v>805</v>
      </c>
      <c r="E5" s="2511"/>
      <c r="F5" s="2511"/>
      <c r="G5" s="2511"/>
      <c r="H5" s="2511"/>
      <c r="I5"/>
    </row>
    <row r="6" spans="1:9" ht="15.75">
      <c r="C6" s="1207"/>
      <c r="D6" s="2511" t="s">
        <v>806</v>
      </c>
      <c r="E6" s="2511"/>
      <c r="F6" s="2511"/>
      <c r="G6" s="2511"/>
      <c r="H6" s="2511"/>
    </row>
    <row r="7" spans="1:9" ht="29.25" customHeight="1">
      <c r="C7" s="1208"/>
      <c r="D7" s="2161"/>
      <c r="E7" s="2110" t="s">
        <v>807</v>
      </c>
      <c r="F7" s="2110" t="s">
        <v>808</v>
      </c>
      <c r="G7" s="2110" t="s">
        <v>809</v>
      </c>
      <c r="H7" s="2110" t="s">
        <v>810</v>
      </c>
    </row>
    <row r="8" spans="1:9" ht="15">
      <c r="C8" s="1208"/>
      <c r="D8" s="2254" t="s">
        <v>811</v>
      </c>
      <c r="E8" s="2147"/>
      <c r="F8" s="2147"/>
      <c r="G8" s="2147"/>
      <c r="H8" s="124">
        <v>326.54000000000002</v>
      </c>
      <c r="I8" s="129"/>
    </row>
    <row r="9" spans="1:9" ht="15">
      <c r="C9" s="1208"/>
      <c r="D9" s="2255"/>
      <c r="E9" s="2147"/>
      <c r="F9" s="2147"/>
      <c r="G9" s="2147"/>
      <c r="H9" s="2256"/>
    </row>
    <row r="10" spans="1:9" ht="15">
      <c r="C10" s="1208"/>
      <c r="D10" s="2254" t="s">
        <v>812</v>
      </c>
      <c r="E10" s="2257">
        <f>H10*30%</f>
        <v>122.6225898399</v>
      </c>
      <c r="F10" s="2257">
        <f>H10*70%</f>
        <v>286.1193762931</v>
      </c>
      <c r="G10" s="2147"/>
      <c r="H10" s="2256">
        <f>'F-2'!G35/100</f>
        <v>408.74196613300001</v>
      </c>
    </row>
    <row r="11" spans="1:9" ht="15">
      <c r="C11" s="1208"/>
      <c r="D11" s="2255"/>
      <c r="E11" s="2147"/>
      <c r="F11" s="2147"/>
      <c r="G11" s="2147"/>
      <c r="H11" s="2256"/>
    </row>
    <row r="12" spans="1:9" ht="15">
      <c r="C12" s="1208"/>
      <c r="D12" s="2254" t="s">
        <v>813</v>
      </c>
      <c r="E12" s="2257">
        <f>H12*30%</f>
        <v>23.682475480199972</v>
      </c>
      <c r="F12" s="2257">
        <f>H12*70%</f>
        <v>55.25910945379993</v>
      </c>
      <c r="G12" s="2147"/>
      <c r="H12" s="2256">
        <f>'F-2'!H35/100-'F-2'!C35/100</f>
        <v>78.941584933999906</v>
      </c>
    </row>
    <row r="13" spans="1:9" ht="15">
      <c r="D13" s="2255"/>
      <c r="E13" s="2147"/>
      <c r="F13" s="2147"/>
      <c r="G13" s="2147"/>
      <c r="H13" s="2256"/>
    </row>
    <row r="14" spans="1:9" ht="15">
      <c r="C14" s="1208"/>
      <c r="D14" s="2254" t="s">
        <v>814</v>
      </c>
      <c r="E14" s="2256">
        <f>SUM(E10:E12)</f>
        <v>146.30506532009997</v>
      </c>
      <c r="F14" s="2256">
        <f>SUM(F10:F12)</f>
        <v>341.37848574689991</v>
      </c>
      <c r="G14" s="2256">
        <f>SUM(G10:G12)</f>
        <v>0</v>
      </c>
      <c r="H14" s="2256">
        <f>SUM(H10:H12)</f>
        <v>487.68355106699994</v>
      </c>
    </row>
    <row r="15" spans="1:9">
      <c r="C15" s="1208"/>
      <c r="D15" s="1226"/>
      <c r="E15" s="1226"/>
      <c r="F15" s="1226"/>
      <c r="G15" s="1226"/>
      <c r="H15" s="1226"/>
    </row>
    <row r="16" spans="1:9" ht="12" customHeight="1">
      <c r="A16" s="1209"/>
      <c r="D16" s="1226"/>
      <c r="E16" s="1226"/>
      <c r="F16" s="2258"/>
      <c r="G16" s="2258"/>
      <c r="H16" s="1226"/>
    </row>
    <row r="17" spans="3:8" ht="15.75" hidden="1">
      <c r="D17" s="1226"/>
      <c r="E17" s="1226"/>
      <c r="F17" s="1226"/>
      <c r="G17" s="1226"/>
      <c r="H17" s="2193"/>
    </row>
    <row r="18" spans="3:8" ht="6" hidden="1" customHeight="1">
      <c r="D18" s="1226"/>
      <c r="E18" s="1226"/>
      <c r="F18" s="1226"/>
      <c r="G18" s="1226"/>
      <c r="H18" s="2192"/>
    </row>
    <row r="19" spans="3:8" hidden="1">
      <c r="D19" s="1226"/>
      <c r="E19" s="1226"/>
      <c r="F19" s="1226"/>
      <c r="G19" s="1226"/>
      <c r="H19" s="1226"/>
    </row>
    <row r="20" spans="3:8" ht="15.75">
      <c r="C20" s="1207"/>
      <c r="D20" s="2509" t="s">
        <v>815</v>
      </c>
      <c r="E20" s="2509"/>
      <c r="F20" s="2509"/>
      <c r="G20" s="2509"/>
      <c r="H20" s="2509"/>
    </row>
    <row r="21" spans="3:8" ht="15.75">
      <c r="D21" s="2509" t="s">
        <v>806</v>
      </c>
      <c r="E21" s="2509"/>
      <c r="F21" s="2509"/>
      <c r="G21" s="2509"/>
      <c r="H21" s="2509"/>
    </row>
    <row r="22" spans="3:8" ht="15">
      <c r="D22" s="2147"/>
      <c r="E22" s="2146" t="s">
        <v>807</v>
      </c>
      <c r="F22" s="2146" t="s">
        <v>808</v>
      </c>
      <c r="G22" s="2146" t="s">
        <v>809</v>
      </c>
      <c r="H22" s="2146" t="s">
        <v>810</v>
      </c>
    </row>
    <row r="23" spans="3:8" ht="15">
      <c r="D23" s="2254" t="s">
        <v>811</v>
      </c>
      <c r="E23" s="2147"/>
      <c r="F23" s="2147"/>
      <c r="G23" s="2147"/>
      <c r="H23" s="124">
        <v>433.1</v>
      </c>
    </row>
    <row r="24" spans="3:8" ht="15">
      <c r="D24" s="2255"/>
      <c r="E24" s="2147"/>
      <c r="F24" s="2147"/>
      <c r="G24" s="2147"/>
      <c r="H24" s="2147"/>
    </row>
    <row r="25" spans="3:8" ht="15">
      <c r="D25" s="2254" t="s">
        <v>812</v>
      </c>
      <c r="E25" s="2257">
        <f>H25*30%</f>
        <v>178.67833378252371</v>
      </c>
      <c r="F25" s="2257">
        <f>H25*70%</f>
        <v>416.91611215922194</v>
      </c>
      <c r="G25" s="2147"/>
      <c r="H25" s="2256">
        <f>'F-2'!L35/100</f>
        <v>595.59444594174568</v>
      </c>
    </row>
    <row r="26" spans="3:8" ht="15">
      <c r="D26" s="2255"/>
      <c r="E26" s="2147"/>
      <c r="F26" s="2147"/>
      <c r="G26" s="2147"/>
      <c r="H26" s="2256"/>
    </row>
    <row r="27" spans="3:8" ht="15">
      <c r="D27" s="2254" t="s">
        <v>813</v>
      </c>
      <c r="E27" s="2257">
        <f>H27*30%</f>
        <v>-6.5118553594285169</v>
      </c>
      <c r="F27" s="2257">
        <f>H27*70%</f>
        <v>-15.194329171999874</v>
      </c>
      <c r="G27" s="2147"/>
      <c r="H27" s="2256">
        <f>('F-2'!M35/100)-('F-2'!H35/100)</f>
        <v>-21.706184531428391</v>
      </c>
    </row>
    <row r="28" spans="3:8" ht="15">
      <c r="D28" s="2255"/>
      <c r="E28" s="2147"/>
      <c r="F28" s="2147"/>
      <c r="G28" s="2147"/>
      <c r="H28" s="2147"/>
    </row>
    <row r="29" spans="3:8" ht="15">
      <c r="D29" s="2254" t="s">
        <v>814</v>
      </c>
      <c r="E29" s="2259">
        <f>SUM(E25:E27)</f>
        <v>172.16647842309519</v>
      </c>
      <c r="F29" s="2259">
        <f>SUM(F25:F27)</f>
        <v>401.72178298722207</v>
      </c>
      <c r="G29" s="2259">
        <f>SUM(G25:G27)</f>
        <v>0</v>
      </c>
      <c r="H29" s="2259">
        <f>SUM(H25:H27)</f>
        <v>573.88826141031723</v>
      </c>
    </row>
    <row r="30" spans="3:8" ht="15">
      <c r="D30" s="2260"/>
      <c r="E30" s="1226"/>
      <c r="F30" s="1226"/>
      <c r="G30" s="1226"/>
      <c r="H30" s="1226"/>
    </row>
    <row r="31" spans="3:8" ht="14.25" customHeight="1">
      <c r="D31" s="2260"/>
      <c r="E31" s="1226"/>
      <c r="F31" s="1226"/>
      <c r="G31" s="1226"/>
      <c r="H31" s="1226"/>
    </row>
    <row r="32" spans="3:8" ht="15" hidden="1">
      <c r="D32" s="2261"/>
      <c r="E32" s="1226"/>
      <c r="F32" s="1226"/>
      <c r="G32" s="1226"/>
      <c r="H32" s="1226"/>
    </row>
    <row r="33" spans="1:8" ht="15.75">
      <c r="D33" s="2509" t="s">
        <v>816</v>
      </c>
      <c r="E33" s="2509"/>
      <c r="F33" s="2509"/>
      <c r="G33" s="2509"/>
      <c r="H33" s="2509"/>
    </row>
    <row r="34" spans="1:8" ht="15.75">
      <c r="D34" s="2509" t="s">
        <v>806</v>
      </c>
      <c r="E34" s="2509"/>
      <c r="F34" s="2509"/>
      <c r="G34" s="2509"/>
      <c r="H34" s="2509"/>
    </row>
    <row r="35" spans="1:8" ht="15.75">
      <c r="A35" s="1209"/>
      <c r="B35" s="1209"/>
      <c r="C35" s="1207"/>
      <c r="D35" s="2147"/>
      <c r="E35" s="2146" t="s">
        <v>807</v>
      </c>
      <c r="F35" s="2146" t="s">
        <v>808</v>
      </c>
      <c r="G35" s="2146" t="s">
        <v>809</v>
      </c>
      <c r="H35" s="2146" t="s">
        <v>810</v>
      </c>
    </row>
    <row r="36" spans="1:8" ht="15">
      <c r="D36" s="2254" t="s">
        <v>811</v>
      </c>
      <c r="E36" s="2147"/>
      <c r="F36" s="2147"/>
      <c r="G36" s="2147"/>
      <c r="H36" s="124">
        <v>447</v>
      </c>
    </row>
    <row r="37" spans="1:8" ht="15">
      <c r="D37" s="2255"/>
      <c r="E37" s="2147"/>
      <c r="F37" s="2147"/>
      <c r="G37" s="2147"/>
      <c r="H37" s="2147"/>
    </row>
    <row r="38" spans="1:8" ht="15">
      <c r="D38" s="2254" t="s">
        <v>812</v>
      </c>
      <c r="E38" s="2257">
        <f>H38*30%</f>
        <v>89.343196709308799</v>
      </c>
      <c r="F38" s="2257">
        <f>H38*70%</f>
        <v>208.46745898838719</v>
      </c>
      <c r="G38" s="2147"/>
      <c r="H38" s="2256">
        <f>'F-2'!Q35/100</f>
        <v>297.81065569769601</v>
      </c>
    </row>
    <row r="39" spans="1:8" ht="15.75">
      <c r="C39" s="1207"/>
      <c r="D39" s="2255"/>
      <c r="E39" s="2147"/>
      <c r="F39" s="2147"/>
      <c r="G39" s="2147"/>
      <c r="H39" s="2256"/>
    </row>
    <row r="40" spans="1:8" ht="15">
      <c r="D40" s="2254" t="s">
        <v>813</v>
      </c>
      <c r="E40" s="2257">
        <f>H40*30%</f>
        <v>15.169836484928572</v>
      </c>
      <c r="F40" s="2257">
        <f>H40*70%</f>
        <v>35.396285131500001</v>
      </c>
      <c r="G40" s="2147"/>
      <c r="H40" s="2256">
        <f>('F-2'!R35/100)-('F-2'!M35/100)</f>
        <v>50.566121616428575</v>
      </c>
    </row>
    <row r="41" spans="1:8" ht="15">
      <c r="D41" s="2255"/>
      <c r="E41" s="2147"/>
      <c r="F41" s="2147"/>
      <c r="G41" s="2147"/>
      <c r="H41" s="2147"/>
    </row>
    <row r="42" spans="1:8" ht="15">
      <c r="D42" s="2254" t="s">
        <v>814</v>
      </c>
      <c r="E42" s="2259">
        <f>SUM(E38:E40)</f>
        <v>104.51303319423737</v>
      </c>
      <c r="F42" s="2259">
        <f>SUM(F38:F40)</f>
        <v>243.8637441198872</v>
      </c>
      <c r="G42" s="2259">
        <f>SUM(G38:G40)</f>
        <v>0</v>
      </c>
      <c r="H42" s="2259">
        <f>SUM(H38:H40)</f>
        <v>348.37677731412458</v>
      </c>
    </row>
    <row r="43" spans="1:8">
      <c r="D43" s="1210"/>
      <c r="E43" s="1210"/>
      <c r="F43" s="1210"/>
      <c r="G43" s="1210"/>
      <c r="H43" s="1210"/>
    </row>
    <row r="52" spans="3:7" ht="15.75">
      <c r="C52" s="1207"/>
    </row>
    <row r="58" spans="3:7" ht="15.75">
      <c r="D58" s="1212" t="s">
        <v>817</v>
      </c>
      <c r="E58" s="1212"/>
      <c r="F58" s="1212"/>
      <c r="G58" s="1212"/>
    </row>
    <row r="59" spans="3:7" ht="47.25">
      <c r="D59" s="1205"/>
      <c r="E59" s="1213" t="s">
        <v>818</v>
      </c>
      <c r="F59" s="1213" t="s">
        <v>819</v>
      </c>
      <c r="G59" s="1213" t="s">
        <v>820</v>
      </c>
    </row>
    <row r="60" spans="3:7" ht="15.75">
      <c r="D60" s="1214" t="s">
        <v>821</v>
      </c>
      <c r="E60" s="1205"/>
      <c r="F60" s="1205"/>
      <c r="G60" s="1205"/>
    </row>
    <row r="61" spans="3:7" ht="15.75">
      <c r="D61" s="1215" t="s">
        <v>822</v>
      </c>
      <c r="E61" s="1205"/>
      <c r="F61" s="1205"/>
      <c r="G61" s="1205"/>
    </row>
    <row r="62" spans="3:7" ht="15.75">
      <c r="D62" s="1214" t="s">
        <v>812</v>
      </c>
      <c r="E62" s="1205"/>
      <c r="F62" s="1205"/>
      <c r="G62" s="1205"/>
    </row>
    <row r="63" spans="3:7" ht="15.75">
      <c r="D63" s="1215" t="s">
        <v>822</v>
      </c>
      <c r="E63" s="1205"/>
      <c r="F63" s="1205"/>
      <c r="G63" s="1205"/>
    </row>
    <row r="64" spans="3:7" ht="15.75">
      <c r="D64" s="1214" t="s">
        <v>813</v>
      </c>
      <c r="E64" s="1205"/>
      <c r="F64" s="1205"/>
      <c r="G64" s="1205"/>
    </row>
    <row r="65" spans="4:7" ht="15.75">
      <c r="D65" s="1215" t="s">
        <v>822</v>
      </c>
      <c r="E65" s="1205"/>
      <c r="F65" s="1205"/>
      <c r="G65" s="1205"/>
    </row>
    <row r="66" spans="4:7" ht="15.75">
      <c r="D66" s="1214" t="s">
        <v>814</v>
      </c>
      <c r="E66" s="1205"/>
      <c r="F66" s="1205"/>
      <c r="G66" s="1205"/>
    </row>
  </sheetData>
  <mergeCells count="7">
    <mergeCell ref="D20:H20"/>
    <mergeCell ref="D21:H21"/>
    <mergeCell ref="D33:H33"/>
    <mergeCell ref="D34:H34"/>
    <mergeCell ref="D4:H4"/>
    <mergeCell ref="D5:H5"/>
    <mergeCell ref="D6:H6"/>
  </mergeCells>
  <printOptions horizontalCentered="1"/>
  <pageMargins left="0.15748031496062992" right="0.19685039370078741" top="0.51181102362204722" bottom="0.98425196850393704" header="0.19685039370078741" footer="0.51181102362204722"/>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61"/>
  <sheetViews>
    <sheetView view="pageBreakPreview" zoomScale="85" zoomScaleNormal="85" workbookViewId="0">
      <selection activeCell="G11" sqref="G11"/>
    </sheetView>
  </sheetViews>
  <sheetFormatPr defaultColWidth="9.140625" defaultRowHeight="14.25"/>
  <cols>
    <col min="1" max="1" width="4.42578125" style="78" customWidth="1"/>
    <col min="2" max="2" width="16.140625" style="78" customWidth="1"/>
    <col min="3" max="3" width="10.7109375" style="78" customWidth="1"/>
    <col min="4" max="4" width="80.7109375" style="78" customWidth="1"/>
    <col min="5" max="16384" width="9.140625" style="78"/>
  </cols>
  <sheetData>
    <row r="1" spans="1:5" ht="21.75" customHeight="1">
      <c r="A1" s="2469" t="s">
        <v>0</v>
      </c>
      <c r="B1" s="2469"/>
      <c r="C1" s="2469"/>
      <c r="D1" s="2469"/>
    </row>
    <row r="2" spans="1:5" ht="23.25" customHeight="1">
      <c r="A2" s="1791" t="s">
        <v>1</v>
      </c>
      <c r="B2" s="2469" t="s">
        <v>2</v>
      </c>
      <c r="C2" s="2469"/>
      <c r="D2" s="2469"/>
    </row>
    <row r="3" spans="1:5" ht="36" customHeight="1">
      <c r="A3" s="302" t="s">
        <v>3</v>
      </c>
      <c r="B3" s="302" t="s">
        <v>4</v>
      </c>
      <c r="C3" s="302" t="s">
        <v>5</v>
      </c>
      <c r="D3" s="302" t="s">
        <v>6</v>
      </c>
    </row>
    <row r="4" spans="1:5" ht="19.5" customHeight="1">
      <c r="A4" s="299">
        <v>1</v>
      </c>
      <c r="B4" s="299" t="s">
        <v>7</v>
      </c>
      <c r="C4" s="299" t="s">
        <v>8</v>
      </c>
      <c r="D4" s="301" t="s">
        <v>9</v>
      </c>
    </row>
    <row r="5" spans="1:5" ht="19.5" customHeight="1">
      <c r="A5" s="299">
        <v>2</v>
      </c>
      <c r="B5" s="299" t="s">
        <v>10</v>
      </c>
      <c r="C5" s="299" t="s">
        <v>11</v>
      </c>
      <c r="D5" s="301" t="s">
        <v>12</v>
      </c>
    </row>
    <row r="6" spans="1:5" ht="19.5" customHeight="1">
      <c r="A6" s="299">
        <v>3</v>
      </c>
      <c r="B6" s="299" t="s">
        <v>13</v>
      </c>
      <c r="C6" s="299" t="s">
        <v>14</v>
      </c>
      <c r="D6" s="301" t="s">
        <v>15</v>
      </c>
    </row>
    <row r="7" spans="1:5" ht="19.5" customHeight="1">
      <c r="A7" s="299">
        <v>4</v>
      </c>
      <c r="B7" s="299" t="s">
        <v>16</v>
      </c>
      <c r="C7" s="299" t="s">
        <v>17</v>
      </c>
      <c r="D7" s="301" t="s">
        <v>18</v>
      </c>
    </row>
    <row r="8" spans="1:5" ht="19.5" customHeight="1">
      <c r="A8" s="299">
        <v>5</v>
      </c>
      <c r="B8" s="299" t="s">
        <v>19</v>
      </c>
      <c r="C8" s="299" t="s">
        <v>20</v>
      </c>
      <c r="D8" s="301" t="s">
        <v>21</v>
      </c>
    </row>
    <row r="9" spans="1:5" ht="19.5" customHeight="1">
      <c r="A9" s="299">
        <v>6</v>
      </c>
      <c r="B9" s="299" t="s">
        <v>22</v>
      </c>
      <c r="C9" s="299" t="s">
        <v>23</v>
      </c>
      <c r="D9" s="301" t="s">
        <v>24</v>
      </c>
    </row>
    <row r="10" spans="1:5" ht="19.5" customHeight="1">
      <c r="A10" s="299">
        <v>7</v>
      </c>
      <c r="B10" s="299" t="s">
        <v>25</v>
      </c>
      <c r="C10" s="299" t="s">
        <v>26</v>
      </c>
      <c r="D10" s="301" t="s">
        <v>27</v>
      </c>
      <c r="E10" s="1802"/>
    </row>
    <row r="11" spans="1:5" ht="19.5" customHeight="1">
      <c r="A11" s="299">
        <v>8</v>
      </c>
      <c r="B11" s="299" t="s">
        <v>28</v>
      </c>
      <c r="C11" s="299" t="s">
        <v>29</v>
      </c>
      <c r="D11" s="301" t="s">
        <v>30</v>
      </c>
    </row>
    <row r="12" spans="1:5" ht="19.5" customHeight="1">
      <c r="A12" s="299">
        <v>9</v>
      </c>
      <c r="B12" s="299" t="s">
        <v>31</v>
      </c>
      <c r="C12" s="299" t="s">
        <v>32</v>
      </c>
      <c r="D12" s="301" t="s">
        <v>33</v>
      </c>
    </row>
    <row r="13" spans="1:5" ht="19.5" customHeight="1">
      <c r="A13" s="1791" t="s">
        <v>34</v>
      </c>
      <c r="B13" s="2469" t="s">
        <v>35</v>
      </c>
      <c r="C13" s="2469"/>
      <c r="D13" s="2469"/>
    </row>
    <row r="14" spans="1:5" ht="19.5" customHeight="1">
      <c r="A14" s="299">
        <v>1</v>
      </c>
      <c r="B14" s="299" t="s">
        <v>36</v>
      </c>
      <c r="C14" s="299" t="s">
        <v>37</v>
      </c>
      <c r="D14" s="301" t="s">
        <v>38</v>
      </c>
    </row>
    <row r="15" spans="1:5" ht="19.5" customHeight="1">
      <c r="A15" s="299">
        <v>2</v>
      </c>
      <c r="B15" s="299" t="s">
        <v>39</v>
      </c>
      <c r="C15" s="299" t="s">
        <v>40</v>
      </c>
      <c r="D15" s="301" t="s">
        <v>41</v>
      </c>
    </row>
    <row r="16" spans="1:5" ht="19.5" customHeight="1">
      <c r="A16" s="299">
        <v>3</v>
      </c>
      <c r="B16" s="299" t="s">
        <v>42</v>
      </c>
      <c r="C16" s="299" t="s">
        <v>43</v>
      </c>
      <c r="D16" s="301" t="s">
        <v>44</v>
      </c>
    </row>
    <row r="17" spans="1:4" ht="19.5" customHeight="1">
      <c r="A17" s="299">
        <v>4</v>
      </c>
      <c r="B17" s="299" t="s">
        <v>45</v>
      </c>
      <c r="C17" s="299" t="s">
        <v>46</v>
      </c>
      <c r="D17" s="301" t="s">
        <v>47</v>
      </c>
    </row>
    <row r="18" spans="1:4" ht="19.5" customHeight="1">
      <c r="A18" s="299">
        <v>5</v>
      </c>
      <c r="B18" s="299" t="s">
        <v>48</v>
      </c>
      <c r="C18" s="299" t="s">
        <v>49</v>
      </c>
      <c r="D18" s="301" t="s">
        <v>50</v>
      </c>
    </row>
    <row r="19" spans="1:4" ht="19.5" customHeight="1">
      <c r="A19" s="299">
        <v>6</v>
      </c>
      <c r="B19" s="299" t="s">
        <v>51</v>
      </c>
      <c r="C19" s="299" t="s">
        <v>52</v>
      </c>
      <c r="D19" s="301" t="s">
        <v>53</v>
      </c>
    </row>
    <row r="20" spans="1:4" ht="34.5" customHeight="1">
      <c r="A20" s="299">
        <v>7</v>
      </c>
      <c r="B20" s="299" t="s">
        <v>54</v>
      </c>
      <c r="C20" s="299" t="s">
        <v>55</v>
      </c>
      <c r="D20" s="301" t="s">
        <v>56</v>
      </c>
    </row>
    <row r="21" spans="1:4" ht="33.75" customHeight="1">
      <c r="A21" s="299">
        <v>8</v>
      </c>
      <c r="B21" s="299" t="s">
        <v>57</v>
      </c>
      <c r="C21" s="299" t="s">
        <v>58</v>
      </c>
      <c r="D21" s="301" t="s">
        <v>59</v>
      </c>
    </row>
    <row r="22" spans="1:4" ht="19.5" customHeight="1">
      <c r="A22" s="299">
        <v>9</v>
      </c>
      <c r="B22" s="299" t="s">
        <v>60</v>
      </c>
      <c r="C22" s="299" t="s">
        <v>61</v>
      </c>
      <c r="D22" s="301" t="s">
        <v>62</v>
      </c>
    </row>
    <row r="23" spans="1:4" ht="19.5" customHeight="1">
      <c r="A23" s="299">
        <v>10</v>
      </c>
      <c r="B23" s="299" t="s">
        <v>63</v>
      </c>
      <c r="C23" s="299" t="s">
        <v>64</v>
      </c>
      <c r="D23" s="301" t="s">
        <v>65</v>
      </c>
    </row>
    <row r="24" spans="1:4" ht="19.5" customHeight="1">
      <c r="A24" s="299">
        <v>11</v>
      </c>
      <c r="B24" s="299" t="s">
        <v>66</v>
      </c>
      <c r="C24" s="299" t="s">
        <v>67</v>
      </c>
      <c r="D24" s="301" t="s">
        <v>68</v>
      </c>
    </row>
    <row r="25" spans="1:4" ht="19.5" customHeight="1">
      <c r="A25" s="299">
        <v>12</v>
      </c>
      <c r="B25" s="299" t="s">
        <v>69</v>
      </c>
      <c r="C25" s="299" t="s">
        <v>70</v>
      </c>
      <c r="D25" s="301" t="s">
        <v>71</v>
      </c>
    </row>
    <row r="26" spans="1:4" ht="19.5" customHeight="1">
      <c r="A26" s="299">
        <v>13</v>
      </c>
      <c r="B26" s="299" t="s">
        <v>72</v>
      </c>
      <c r="C26" s="299" t="s">
        <v>73</v>
      </c>
      <c r="D26" s="301" t="s">
        <v>74</v>
      </c>
    </row>
    <row r="27" spans="1:4" ht="19.5" customHeight="1">
      <c r="A27" s="299">
        <v>14</v>
      </c>
      <c r="B27" s="299" t="s">
        <v>75</v>
      </c>
      <c r="C27" s="299" t="s">
        <v>76</v>
      </c>
      <c r="D27" s="301" t="s">
        <v>77</v>
      </c>
    </row>
    <row r="28" spans="1:4" ht="19.5" customHeight="1">
      <c r="A28" s="299">
        <v>15</v>
      </c>
      <c r="B28" s="299" t="s">
        <v>78</v>
      </c>
      <c r="C28" s="299" t="s">
        <v>79</v>
      </c>
      <c r="D28" s="301" t="s">
        <v>80</v>
      </c>
    </row>
    <row r="29" spans="1:4" ht="19.5" customHeight="1">
      <c r="A29" s="299">
        <v>16</v>
      </c>
      <c r="B29" s="299" t="s">
        <v>81</v>
      </c>
      <c r="C29" s="299" t="s">
        <v>82</v>
      </c>
      <c r="D29" s="301" t="s">
        <v>83</v>
      </c>
    </row>
    <row r="30" spans="1:4" ht="19.5" customHeight="1">
      <c r="A30" s="299">
        <v>17</v>
      </c>
      <c r="B30" s="299" t="s">
        <v>84</v>
      </c>
      <c r="C30" s="299" t="s">
        <v>85</v>
      </c>
      <c r="D30" s="301" t="s">
        <v>86</v>
      </c>
    </row>
    <row r="31" spans="1:4" ht="19.5" customHeight="1">
      <c r="A31" s="299">
        <v>18</v>
      </c>
      <c r="B31" s="299" t="s">
        <v>87</v>
      </c>
      <c r="C31" s="299" t="s">
        <v>88</v>
      </c>
      <c r="D31" s="301" t="s">
        <v>89</v>
      </c>
    </row>
    <row r="32" spans="1:4" ht="19.5" customHeight="1">
      <c r="A32" s="299">
        <v>19</v>
      </c>
      <c r="B32" s="299" t="s">
        <v>90</v>
      </c>
      <c r="C32" s="299" t="s">
        <v>91</v>
      </c>
      <c r="D32" s="301" t="s">
        <v>92</v>
      </c>
    </row>
    <row r="33" spans="1:4" ht="19.5" customHeight="1">
      <c r="A33" s="299">
        <v>20</v>
      </c>
      <c r="B33" s="299" t="s">
        <v>93</v>
      </c>
      <c r="C33" s="299" t="s">
        <v>94</v>
      </c>
      <c r="D33" s="301" t="s">
        <v>95</v>
      </c>
    </row>
    <row r="34" spans="1:4" ht="19.5" customHeight="1">
      <c r="A34" s="299">
        <v>21</v>
      </c>
      <c r="B34" s="299" t="s">
        <v>96</v>
      </c>
      <c r="C34" s="299" t="s">
        <v>97</v>
      </c>
      <c r="D34" s="301" t="s">
        <v>98</v>
      </c>
    </row>
    <row r="35" spans="1:4" ht="19.5" customHeight="1">
      <c r="A35" s="299">
        <v>22</v>
      </c>
      <c r="B35" s="299" t="s">
        <v>99</v>
      </c>
      <c r="C35" s="299" t="s">
        <v>100</v>
      </c>
      <c r="D35" s="301" t="s">
        <v>101</v>
      </c>
    </row>
    <row r="36" spans="1:4" ht="19.5" customHeight="1">
      <c r="A36" s="299">
        <v>23</v>
      </c>
      <c r="B36" s="299" t="s">
        <v>102</v>
      </c>
      <c r="C36" s="299" t="s">
        <v>103</v>
      </c>
      <c r="D36" s="301" t="s">
        <v>104</v>
      </c>
    </row>
    <row r="37" spans="1:4" ht="19.5" customHeight="1">
      <c r="A37" s="299">
        <v>24</v>
      </c>
      <c r="B37" s="299" t="s">
        <v>105</v>
      </c>
      <c r="C37" s="299" t="s">
        <v>106</v>
      </c>
      <c r="D37" s="301" t="s">
        <v>107</v>
      </c>
    </row>
    <row r="38" spans="1:4" ht="19.5" customHeight="1">
      <c r="A38" s="299">
        <v>25</v>
      </c>
      <c r="B38" s="299" t="s">
        <v>108</v>
      </c>
      <c r="C38" s="299" t="s">
        <v>109</v>
      </c>
      <c r="D38" s="301" t="s">
        <v>110</v>
      </c>
    </row>
    <row r="39" spans="1:4" ht="19.5" customHeight="1">
      <c r="A39" s="299">
        <v>26</v>
      </c>
      <c r="B39" s="299" t="s">
        <v>111</v>
      </c>
      <c r="C39" s="299" t="s">
        <v>112</v>
      </c>
      <c r="D39" s="301" t="s">
        <v>113</v>
      </c>
    </row>
    <row r="40" spans="1:4" ht="19.5" customHeight="1">
      <c r="A40" s="299">
        <v>27</v>
      </c>
      <c r="B40" s="299" t="s">
        <v>114</v>
      </c>
      <c r="C40" s="299" t="s">
        <v>115</v>
      </c>
      <c r="D40" s="301" t="s">
        <v>116</v>
      </c>
    </row>
    <row r="41" spans="1:4" ht="19.5" customHeight="1">
      <c r="A41" s="1791" t="s">
        <v>117</v>
      </c>
      <c r="B41" s="2469" t="s">
        <v>118</v>
      </c>
      <c r="C41" s="2469"/>
      <c r="D41" s="2469"/>
    </row>
    <row r="42" spans="1:4" ht="19.5" customHeight="1">
      <c r="A42" s="299">
        <v>1</v>
      </c>
      <c r="B42" s="299" t="s">
        <v>119</v>
      </c>
      <c r="C42" s="299" t="s">
        <v>120</v>
      </c>
      <c r="D42" s="301" t="s">
        <v>121</v>
      </c>
    </row>
    <row r="43" spans="1:4" ht="19.5" customHeight="1">
      <c r="A43" s="299">
        <v>2</v>
      </c>
      <c r="B43" s="299" t="s">
        <v>122</v>
      </c>
      <c r="C43" s="299" t="s">
        <v>123</v>
      </c>
      <c r="D43" s="301" t="s">
        <v>124</v>
      </c>
    </row>
    <row r="44" spans="1:4" ht="19.5" customHeight="1">
      <c r="A44" s="299">
        <v>3</v>
      </c>
      <c r="B44" s="299" t="s">
        <v>125</v>
      </c>
      <c r="C44" s="299" t="s">
        <v>126</v>
      </c>
      <c r="D44" s="301" t="s">
        <v>127</v>
      </c>
    </row>
    <row r="45" spans="1:4" ht="19.5" customHeight="1">
      <c r="A45" s="299">
        <v>4</v>
      </c>
      <c r="B45" s="299" t="s">
        <v>128</v>
      </c>
      <c r="C45" s="299" t="s">
        <v>129</v>
      </c>
      <c r="D45" s="301" t="s">
        <v>130</v>
      </c>
    </row>
    <row r="46" spans="1:4" ht="19.5" customHeight="1">
      <c r="A46" s="299">
        <v>5</v>
      </c>
      <c r="B46" s="299" t="s">
        <v>131</v>
      </c>
      <c r="C46" s="299" t="s">
        <v>132</v>
      </c>
      <c r="D46" s="301" t="s">
        <v>133</v>
      </c>
    </row>
    <row r="47" spans="1:4" ht="19.5" customHeight="1">
      <c r="A47" s="299">
        <v>6</v>
      </c>
      <c r="B47" s="299" t="s">
        <v>134</v>
      </c>
      <c r="C47" s="299" t="s">
        <v>135</v>
      </c>
      <c r="D47" s="301" t="s">
        <v>136</v>
      </c>
    </row>
    <row r="48" spans="1:4" ht="19.5" customHeight="1">
      <c r="A48" s="299">
        <v>7</v>
      </c>
      <c r="B48" s="299" t="s">
        <v>137</v>
      </c>
      <c r="C48" s="299" t="s">
        <v>138</v>
      </c>
      <c r="D48" s="301" t="s">
        <v>139</v>
      </c>
    </row>
    <row r="49" spans="1:4" ht="19.5" customHeight="1">
      <c r="A49" s="299">
        <v>8</v>
      </c>
      <c r="B49" s="299" t="s">
        <v>140</v>
      </c>
      <c r="C49" s="299" t="s">
        <v>141</v>
      </c>
      <c r="D49" s="301" t="s">
        <v>142</v>
      </c>
    </row>
    <row r="50" spans="1:4" ht="39.75" customHeight="1">
      <c r="A50" s="299">
        <v>9</v>
      </c>
      <c r="B50" s="299" t="s">
        <v>143</v>
      </c>
      <c r="C50" s="299" t="s">
        <v>144</v>
      </c>
      <c r="D50" s="301" t="s">
        <v>145</v>
      </c>
    </row>
    <row r="51" spans="1:4" ht="19.5" customHeight="1">
      <c r="A51" s="299">
        <v>10</v>
      </c>
      <c r="B51" s="299" t="s">
        <v>146</v>
      </c>
      <c r="C51" s="299" t="s">
        <v>147</v>
      </c>
      <c r="D51" s="301" t="s">
        <v>148</v>
      </c>
    </row>
    <row r="52" spans="1:4" ht="19.5" customHeight="1">
      <c r="A52" s="299">
        <v>11</v>
      </c>
      <c r="B52" s="299" t="s">
        <v>149</v>
      </c>
      <c r="C52" s="299" t="s">
        <v>150</v>
      </c>
      <c r="D52" s="301" t="s">
        <v>151</v>
      </c>
    </row>
    <row r="53" spans="1:4" ht="19.5" customHeight="1">
      <c r="A53" s="299">
        <v>12</v>
      </c>
      <c r="B53" s="299" t="s">
        <v>152</v>
      </c>
      <c r="C53" s="299" t="s">
        <v>153</v>
      </c>
      <c r="D53" s="301" t="s">
        <v>154</v>
      </c>
    </row>
    <row r="54" spans="1:4" ht="19.5" customHeight="1">
      <c r="A54" s="299">
        <v>13</v>
      </c>
      <c r="B54" s="299" t="s">
        <v>155</v>
      </c>
      <c r="C54" s="299" t="s">
        <v>156</v>
      </c>
      <c r="D54" s="301" t="s">
        <v>157</v>
      </c>
    </row>
    <row r="55" spans="1:4" ht="19.5" customHeight="1">
      <c r="A55" s="299">
        <v>14</v>
      </c>
      <c r="B55" s="299" t="s">
        <v>158</v>
      </c>
      <c r="C55" s="299" t="s">
        <v>159</v>
      </c>
      <c r="D55" s="301" t="s">
        <v>160</v>
      </c>
    </row>
    <row r="56" spans="1:4" ht="19.5" customHeight="1">
      <c r="A56" s="299">
        <v>15</v>
      </c>
      <c r="B56" s="299" t="s">
        <v>161</v>
      </c>
      <c r="C56" s="299" t="s">
        <v>162</v>
      </c>
      <c r="D56" s="301" t="s">
        <v>163</v>
      </c>
    </row>
    <row r="57" spans="1:4" ht="19.5" customHeight="1">
      <c r="A57" s="299">
        <v>16</v>
      </c>
      <c r="B57" s="299" t="s">
        <v>164</v>
      </c>
      <c r="C57" s="299" t="s">
        <v>165</v>
      </c>
      <c r="D57" s="301" t="s">
        <v>166</v>
      </c>
    </row>
    <row r="58" spans="1:4" ht="19.5" customHeight="1">
      <c r="A58" s="299">
        <v>17</v>
      </c>
      <c r="B58" s="299" t="s">
        <v>167</v>
      </c>
      <c r="C58" s="299" t="s">
        <v>168</v>
      </c>
      <c r="D58" s="301" t="s">
        <v>169</v>
      </c>
    </row>
    <row r="59" spans="1:4" ht="19.5" customHeight="1">
      <c r="A59" s="2469" t="s">
        <v>170</v>
      </c>
      <c r="B59" s="2469"/>
      <c r="C59" s="2469"/>
      <c r="D59" s="302" t="s">
        <v>171</v>
      </c>
    </row>
    <row r="60" spans="1:4" ht="19.5" customHeight="1">
      <c r="A60" s="2469" t="s">
        <v>172</v>
      </c>
      <c r="B60" s="2469"/>
      <c r="C60" s="2469"/>
      <c r="D60" s="302" t="s">
        <v>173</v>
      </c>
    </row>
    <row r="61" spans="1:4" ht="19.5" customHeight="1">
      <c r="A61" s="2469" t="s">
        <v>174</v>
      </c>
      <c r="B61" s="2469"/>
      <c r="C61" s="2469"/>
      <c r="D61" s="302" t="s">
        <v>175</v>
      </c>
    </row>
  </sheetData>
  <mergeCells count="7">
    <mergeCell ref="A61:C61"/>
    <mergeCell ref="A1:D1"/>
    <mergeCell ref="B2:D2"/>
    <mergeCell ref="B13:D13"/>
    <mergeCell ref="B41:D41"/>
    <mergeCell ref="A59:C59"/>
    <mergeCell ref="A60:C60"/>
  </mergeCells>
  <pageMargins left="0.62992125984251968" right="0.23622047244094491" top="0.51181102362204722" bottom="0.62992125984251968" header="0.27559055118110237" footer="0.31496062992125984"/>
  <pageSetup paperSize="9" scale="80" orientation="portrait" blackAndWhite="1" r:id="rId1"/>
  <headerFooter alignWithMargins="0"/>
  <rowBreaks count="1" manualBreakCount="1">
    <brk id="4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008000"/>
  </sheetPr>
  <dimension ref="A1:AI91"/>
  <sheetViews>
    <sheetView view="pageBreakPreview" zoomScaleNormal="100" zoomScaleSheetLayoutView="100" workbookViewId="0">
      <pane xSplit="2" ySplit="7" topLeftCell="G26" activePane="bottomRight" state="frozen"/>
      <selection pane="bottomRight" activeCell="Q35" sqref="Q35"/>
      <selection pane="bottomLeft" activeCell="Q14" sqref="Q14"/>
      <selection pane="topRight" activeCell="Q14" sqref="Q14"/>
    </sheetView>
  </sheetViews>
  <sheetFormatPr defaultColWidth="14.7109375" defaultRowHeight="12.75"/>
  <cols>
    <col min="1" max="1" width="5" style="4" customWidth="1"/>
    <col min="2" max="2" width="28.5703125" style="4" customWidth="1"/>
    <col min="3" max="3" width="12.85546875" style="4" customWidth="1"/>
    <col min="4" max="4" width="10.7109375" style="4" customWidth="1"/>
    <col min="5" max="5" width="13.7109375" style="4" customWidth="1"/>
    <col min="6" max="6" width="11.85546875" style="4" customWidth="1"/>
    <col min="7" max="7" width="17" style="4" customWidth="1"/>
    <col min="8" max="8" width="13.5703125" style="4" customWidth="1"/>
    <col min="9" max="9" width="11.7109375" style="4" customWidth="1"/>
    <col min="10" max="10" width="12.42578125" style="4" customWidth="1"/>
    <col min="11" max="11" width="11.7109375" style="4" customWidth="1"/>
    <col min="12" max="12" width="12.42578125" style="4" customWidth="1"/>
    <col min="13" max="13" width="13.5703125" style="4" customWidth="1"/>
    <col min="14" max="14" width="11.28515625" style="4" customWidth="1"/>
    <col min="15" max="15" width="10" style="4" customWidth="1"/>
    <col min="16" max="16" width="11.7109375" style="4" customWidth="1"/>
    <col min="17" max="17" width="12.42578125" style="4" customWidth="1"/>
    <col min="18" max="18" width="11.42578125" style="4" customWidth="1"/>
    <col min="19" max="16384" width="14.7109375" style="4"/>
  </cols>
  <sheetData>
    <row r="1" spans="1:35" ht="17.25" customHeight="1">
      <c r="A1" s="1" t="s">
        <v>774</v>
      </c>
      <c r="B1" s="129"/>
      <c r="C1" s="129"/>
      <c r="D1" s="129"/>
      <c r="E1" s="129"/>
      <c r="F1" s="129"/>
      <c r="G1" s="129"/>
      <c r="H1" s="129"/>
      <c r="I1" s="129"/>
      <c r="J1" s="129"/>
      <c r="K1" s="129"/>
      <c r="L1" s="129"/>
      <c r="M1" s="129"/>
      <c r="N1" s="129"/>
      <c r="O1" s="129"/>
      <c r="P1" s="129"/>
      <c r="Q1" s="8" t="s">
        <v>210</v>
      </c>
      <c r="R1" s="45" t="s">
        <v>823</v>
      </c>
      <c r="S1" s="129"/>
      <c r="T1" s="129"/>
      <c r="U1" s="129"/>
      <c r="V1" s="129"/>
      <c r="W1" s="129"/>
      <c r="X1" s="129"/>
      <c r="Y1" s="129"/>
      <c r="Z1" s="129"/>
      <c r="AA1" s="129"/>
      <c r="AB1" s="129"/>
      <c r="AC1" s="129"/>
      <c r="AD1" s="129"/>
      <c r="AE1" s="129"/>
      <c r="AF1" s="129"/>
      <c r="AG1" s="129"/>
      <c r="AH1" s="129"/>
      <c r="AI1" s="129"/>
    </row>
    <row r="2" spans="1:35">
      <c r="A2" s="18" t="s">
        <v>824</v>
      </c>
      <c r="B2" s="2396"/>
      <c r="C2" s="2396"/>
      <c r="D2" s="2396"/>
      <c r="E2" s="2396"/>
      <c r="F2" s="2396"/>
      <c r="G2" s="18"/>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row>
    <row r="3" spans="1:35">
      <c r="A3" s="129"/>
      <c r="B3" s="129"/>
      <c r="C3" s="129"/>
      <c r="D3" s="129"/>
      <c r="E3" s="129"/>
      <c r="F3" s="129"/>
      <c r="G3" s="8" t="s">
        <v>777</v>
      </c>
      <c r="H3" s="129"/>
      <c r="I3" s="129"/>
      <c r="J3" s="129"/>
      <c r="K3" s="129"/>
      <c r="L3" s="129"/>
      <c r="M3" s="1" t="s">
        <v>825</v>
      </c>
      <c r="N3" s="129"/>
      <c r="O3" s="129"/>
      <c r="P3" s="129"/>
      <c r="Q3" s="129"/>
      <c r="R3" s="129"/>
      <c r="S3" s="129"/>
      <c r="T3" s="129"/>
      <c r="U3" s="129"/>
      <c r="V3" s="129"/>
      <c r="W3" s="129"/>
      <c r="X3" s="129"/>
      <c r="Y3" s="129"/>
      <c r="Z3" s="129"/>
      <c r="AA3" s="129"/>
      <c r="AB3" s="129"/>
      <c r="AC3" s="129"/>
      <c r="AD3" s="129"/>
      <c r="AE3" s="129"/>
      <c r="AF3" s="129"/>
      <c r="AG3" s="129"/>
      <c r="AH3" s="129"/>
      <c r="AI3" s="129"/>
    </row>
    <row r="4" spans="1:35">
      <c r="A4" s="2397"/>
      <c r="B4" s="2397"/>
      <c r="C4" s="2512" t="s">
        <v>826</v>
      </c>
      <c r="D4" s="2512"/>
      <c r="E4" s="2512"/>
      <c r="F4" s="2512"/>
      <c r="G4" s="2512"/>
      <c r="H4" s="2512"/>
      <c r="I4" s="2512" t="s">
        <v>827</v>
      </c>
      <c r="J4" s="2512"/>
      <c r="K4" s="2512"/>
      <c r="L4" s="2512"/>
      <c r="M4" s="2512"/>
      <c r="N4" s="2512" t="s">
        <v>828</v>
      </c>
      <c r="O4" s="2512"/>
      <c r="P4" s="2512"/>
      <c r="Q4" s="2512"/>
      <c r="R4" s="2512"/>
      <c r="S4" s="1120"/>
      <c r="T4" s="129"/>
      <c r="U4" s="129"/>
      <c r="V4" s="129"/>
      <c r="W4" s="129"/>
      <c r="X4" s="129"/>
      <c r="Y4" s="129"/>
      <c r="Z4" s="129"/>
      <c r="AA4" s="129"/>
      <c r="AB4" s="129"/>
      <c r="AC4" s="129"/>
      <c r="AD4" s="129"/>
      <c r="AE4" s="129"/>
      <c r="AF4" s="129"/>
      <c r="AG4" s="129"/>
      <c r="AH4" s="129"/>
      <c r="AI4" s="129"/>
    </row>
    <row r="5" spans="1:35" ht="51">
      <c r="A5" s="125" t="s">
        <v>829</v>
      </c>
      <c r="B5" s="125" t="s">
        <v>830</v>
      </c>
      <c r="C5" s="125" t="s">
        <v>831</v>
      </c>
      <c r="D5" s="125" t="s">
        <v>832</v>
      </c>
      <c r="E5" s="125" t="s">
        <v>833</v>
      </c>
      <c r="F5" s="125" t="s">
        <v>834</v>
      </c>
      <c r="G5" s="125" t="s">
        <v>835</v>
      </c>
      <c r="H5" s="125" t="s">
        <v>836</v>
      </c>
      <c r="I5" s="125" t="s">
        <v>832</v>
      </c>
      <c r="J5" s="125" t="s">
        <v>833</v>
      </c>
      <c r="K5" s="125" t="s">
        <v>834</v>
      </c>
      <c r="L5" s="125" t="s">
        <v>835</v>
      </c>
      <c r="M5" s="125" t="s">
        <v>837</v>
      </c>
      <c r="N5" s="125" t="s">
        <v>832</v>
      </c>
      <c r="O5" s="125" t="s">
        <v>833</v>
      </c>
      <c r="P5" s="125" t="s">
        <v>834</v>
      </c>
      <c r="Q5" s="125" t="s">
        <v>835</v>
      </c>
      <c r="R5" s="125" t="s">
        <v>838</v>
      </c>
      <c r="S5" s="1120"/>
      <c r="T5" s="129"/>
      <c r="U5" s="129"/>
      <c r="V5" s="129"/>
      <c r="W5" s="129"/>
      <c r="X5" s="129"/>
      <c r="Y5" s="129"/>
      <c r="Z5" s="129"/>
      <c r="AA5" s="129"/>
      <c r="AB5" s="129"/>
      <c r="AC5" s="129"/>
      <c r="AD5" s="129"/>
      <c r="AE5" s="129"/>
      <c r="AF5" s="129"/>
      <c r="AG5" s="129"/>
      <c r="AH5" s="129"/>
      <c r="AI5" s="129"/>
    </row>
    <row r="6" spans="1:35">
      <c r="A6" s="1078">
        <v>1</v>
      </c>
      <c r="B6" s="1078">
        <v>2</v>
      </c>
      <c r="C6" s="1078">
        <v>3</v>
      </c>
      <c r="D6" s="1078">
        <v>4</v>
      </c>
      <c r="E6" s="1078">
        <v>5</v>
      </c>
      <c r="F6" s="1078">
        <v>6</v>
      </c>
      <c r="G6" s="1078">
        <v>7</v>
      </c>
      <c r="H6" s="1078">
        <v>8</v>
      </c>
      <c r="I6" s="1078">
        <v>9</v>
      </c>
      <c r="J6" s="1078">
        <v>10</v>
      </c>
      <c r="K6" s="1078">
        <v>11</v>
      </c>
      <c r="L6" s="1078">
        <v>12</v>
      </c>
      <c r="M6" s="1078">
        <v>13</v>
      </c>
      <c r="N6" s="1078">
        <v>14</v>
      </c>
      <c r="O6" s="1078">
        <v>15</v>
      </c>
      <c r="P6" s="1078">
        <v>16</v>
      </c>
      <c r="Q6" s="1078">
        <v>17</v>
      </c>
      <c r="R6" s="1078">
        <v>18</v>
      </c>
      <c r="S6" s="1120"/>
      <c r="T6" s="129"/>
      <c r="U6" s="129"/>
      <c r="V6" s="129"/>
      <c r="W6" s="129"/>
      <c r="X6" s="129"/>
      <c r="Y6" s="129"/>
      <c r="Z6" s="129"/>
      <c r="AA6" s="129"/>
      <c r="AB6" s="129"/>
      <c r="AC6" s="129"/>
      <c r="AD6" s="129"/>
      <c r="AE6" s="129"/>
      <c r="AF6" s="129"/>
      <c r="AG6" s="129"/>
      <c r="AH6" s="129"/>
      <c r="AI6" s="129"/>
    </row>
    <row r="7" spans="1:35">
      <c r="A7" s="124"/>
      <c r="B7" s="124"/>
      <c r="C7" s="124"/>
      <c r="D7" s="124"/>
      <c r="E7" s="124"/>
      <c r="F7" s="124"/>
      <c r="G7" s="124"/>
      <c r="H7" s="124"/>
      <c r="I7" s="124"/>
      <c r="J7" s="124"/>
      <c r="K7" s="124"/>
      <c r="L7" s="124"/>
      <c r="M7" s="124"/>
      <c r="N7" s="124"/>
      <c r="O7" s="124"/>
      <c r="P7" s="124"/>
      <c r="Q7" s="124"/>
      <c r="R7" s="130">
        <f t="shared" ref="R7" si="0">M7+N7+O7+P7-Q7</f>
        <v>0</v>
      </c>
      <c r="S7" s="129"/>
      <c r="T7" s="129"/>
      <c r="U7" s="129"/>
      <c r="V7" s="129"/>
      <c r="W7" s="129"/>
      <c r="X7" s="129"/>
      <c r="Y7" s="129"/>
      <c r="Z7" s="129"/>
      <c r="AA7" s="129"/>
      <c r="AB7" s="129"/>
      <c r="AC7" s="129"/>
      <c r="AD7" s="129"/>
      <c r="AE7" s="129"/>
      <c r="AF7" s="129"/>
      <c r="AG7" s="129"/>
      <c r="AH7" s="129"/>
      <c r="AI7" s="129"/>
    </row>
    <row r="8" spans="1:35">
      <c r="A8" s="124"/>
      <c r="B8" s="124" t="s">
        <v>839</v>
      </c>
      <c r="C8" s="2262">
        <v>0</v>
      </c>
      <c r="D8" s="2262">
        <v>0</v>
      </c>
      <c r="E8" s="2262"/>
      <c r="F8" s="2262"/>
      <c r="G8" s="2262">
        <v>0</v>
      </c>
      <c r="H8" s="13">
        <f t="shared" ref="H8:H13" si="1">C8+D8+E8+F8-G8</f>
        <v>0</v>
      </c>
      <c r="I8" s="307">
        <f>M8+L8-H8-J8-K8</f>
        <v>0</v>
      </c>
      <c r="J8" s="307"/>
      <c r="K8" s="307"/>
      <c r="L8" s="307">
        <v>0</v>
      </c>
      <c r="M8" s="1342">
        <v>0</v>
      </c>
      <c r="N8" s="307">
        <f>(R8+Q8-M8-O8-P8)</f>
        <v>0</v>
      </c>
      <c r="O8" s="307"/>
      <c r="P8" s="307"/>
      <c r="Q8" s="130">
        <v>0</v>
      </c>
      <c r="R8" s="13">
        <v>0</v>
      </c>
      <c r="S8" s="129"/>
      <c r="T8" s="129"/>
      <c r="U8" s="129"/>
      <c r="V8" s="129"/>
      <c r="W8" s="129" t="s">
        <v>840</v>
      </c>
      <c r="X8" s="129" t="s">
        <v>841</v>
      </c>
      <c r="Y8" s="129" t="s">
        <v>842</v>
      </c>
      <c r="Z8" s="129"/>
      <c r="AA8" s="129"/>
      <c r="AB8" s="129"/>
      <c r="AC8" s="129"/>
      <c r="AD8" s="129"/>
      <c r="AE8" s="129"/>
      <c r="AF8" s="129"/>
      <c r="AG8" s="129"/>
      <c r="AH8" s="129"/>
      <c r="AI8" s="129"/>
    </row>
    <row r="9" spans="1:35">
      <c r="A9" s="124"/>
      <c r="B9" s="124" t="s">
        <v>843</v>
      </c>
      <c r="C9" s="2262">
        <v>1041.1998574999998</v>
      </c>
      <c r="D9" s="2262">
        <v>4267.4955004200092</v>
      </c>
      <c r="E9" s="2262"/>
      <c r="F9" s="2262">
        <v>264.78406218000015</v>
      </c>
      <c r="G9" s="2262">
        <v>5295.6812436000027</v>
      </c>
      <c r="H9" s="13">
        <f t="shared" si="1"/>
        <v>277.79817650000678</v>
      </c>
      <c r="I9" s="307">
        <f t="shared" ref="I9:I15" si="2">M9+L9-H9-J9-K9</f>
        <v>6078.6221242149913</v>
      </c>
      <c r="J9" s="307"/>
      <c r="K9" s="307">
        <f>L9*5%</f>
        <v>254.08527898499989</v>
      </c>
      <c r="L9" s="307">
        <v>5081.7055796999975</v>
      </c>
      <c r="M9" s="1342">
        <v>1528.8</v>
      </c>
      <c r="N9" s="307">
        <f t="shared" ref="N9:N15" si="3">(R9+Q9-M9-O9-P9)</f>
        <v>3982.44</v>
      </c>
      <c r="O9" s="307"/>
      <c r="P9" s="307">
        <f>Q9*5%</f>
        <v>245.56</v>
      </c>
      <c r="Q9" s="130">
        <v>4911.2</v>
      </c>
      <c r="R9" s="13">
        <v>845.6</v>
      </c>
      <c r="S9" s="128">
        <f>M9</f>
        <v>1528.8</v>
      </c>
      <c r="T9" s="129">
        <f>SUMIF('Capex Plan 2122'!Q:Q,'F-2'!B9,'Capex Plan 2122'!O:O)*10^2</f>
        <v>888.00000000000011</v>
      </c>
      <c r="U9" s="129">
        <f>SUMIF('Capex Plan 2223'!J:J,'F-2'!B9,'Capex Plan 2223'!K:K)*10^2</f>
        <v>2444.4</v>
      </c>
      <c r="V9" s="129" t="s">
        <v>844</v>
      </c>
      <c r="W9" s="2378">
        <f>C38/10^2</f>
        <v>164.7016234539999</v>
      </c>
      <c r="X9" s="129"/>
      <c r="Y9" s="129"/>
      <c r="Z9" s="129"/>
      <c r="AA9" s="129"/>
      <c r="AB9" s="129"/>
      <c r="AC9" s="129"/>
      <c r="AD9" s="129"/>
      <c r="AE9" s="129"/>
      <c r="AF9" s="129"/>
      <c r="AG9" s="129"/>
      <c r="AH9" s="129"/>
      <c r="AI9" s="129"/>
    </row>
    <row r="10" spans="1:35">
      <c r="A10" s="124"/>
      <c r="B10" s="2398" t="s">
        <v>845</v>
      </c>
      <c r="C10" s="2262">
        <v>10.316498900000001</v>
      </c>
      <c r="D10" s="2262">
        <v>226.73835529999968</v>
      </c>
      <c r="E10" s="2262"/>
      <c r="F10" s="2262"/>
      <c r="G10" s="2262">
        <v>223.5082885999999</v>
      </c>
      <c r="H10" s="13">
        <f t="shared" si="1"/>
        <v>13.546565599999781</v>
      </c>
      <c r="I10" s="307">
        <f t="shared" si="2"/>
        <v>526.70119900000043</v>
      </c>
      <c r="J10" s="307"/>
      <c r="K10" s="307"/>
      <c r="L10" s="307">
        <v>421.74776460000027</v>
      </c>
      <c r="M10" s="1342">
        <v>118.5</v>
      </c>
      <c r="N10" s="307">
        <f t="shared" si="3"/>
        <v>0</v>
      </c>
      <c r="O10" s="307"/>
      <c r="P10" s="307"/>
      <c r="Q10" s="130">
        <v>118.5</v>
      </c>
      <c r="R10" s="13">
        <v>0</v>
      </c>
      <c r="S10" s="129"/>
      <c r="T10" s="129"/>
      <c r="U10" s="129"/>
      <c r="V10" s="129" t="s">
        <v>846</v>
      </c>
      <c r="W10" s="128">
        <f>SUM(D16:F16)/10^2</f>
        <v>900.74469393899994</v>
      </c>
      <c r="X10" s="129"/>
      <c r="Y10" s="129"/>
      <c r="Z10" s="129"/>
      <c r="AA10" s="129"/>
      <c r="AB10" s="129"/>
      <c r="AC10" s="129"/>
      <c r="AD10" s="129"/>
      <c r="AE10" s="129"/>
      <c r="AF10" s="129"/>
      <c r="AG10" s="129"/>
      <c r="AH10" s="129"/>
      <c r="AI10" s="129"/>
    </row>
    <row r="11" spans="1:35">
      <c r="A11" s="124"/>
      <c r="B11" s="2398" t="s">
        <v>847</v>
      </c>
      <c r="C11" s="2262">
        <v>0</v>
      </c>
      <c r="D11" s="2262">
        <v>22.788900000000002</v>
      </c>
      <c r="E11" s="2262"/>
      <c r="F11" s="2262"/>
      <c r="G11" s="2262">
        <v>22.788900000000002</v>
      </c>
      <c r="H11" s="13">
        <f t="shared" si="1"/>
        <v>0</v>
      </c>
      <c r="I11" s="307">
        <f t="shared" si="2"/>
        <v>127.2111</v>
      </c>
      <c r="J11" s="307"/>
      <c r="K11" s="307"/>
      <c r="L11" s="307">
        <v>127.2111</v>
      </c>
      <c r="M11" s="1342">
        <v>0</v>
      </c>
      <c r="N11" s="307">
        <f t="shared" si="3"/>
        <v>200</v>
      </c>
      <c r="O11" s="307"/>
      <c r="P11" s="307"/>
      <c r="Q11" s="130">
        <v>160</v>
      </c>
      <c r="R11" s="13">
        <v>40</v>
      </c>
      <c r="S11" s="129"/>
      <c r="T11" s="129"/>
      <c r="U11" s="129"/>
      <c r="V11" s="129" t="s">
        <v>848</v>
      </c>
      <c r="W11" s="129"/>
      <c r="X11" s="129"/>
      <c r="Y11" s="129"/>
      <c r="Z11" s="129"/>
      <c r="AA11" s="129"/>
      <c r="AB11" s="129"/>
      <c r="AC11" s="129"/>
      <c r="AD11" s="129"/>
      <c r="AE11" s="129"/>
      <c r="AF11" s="129"/>
      <c r="AG11" s="129"/>
      <c r="AH11" s="129"/>
      <c r="AI11" s="129"/>
    </row>
    <row r="12" spans="1:35">
      <c r="A12" s="124"/>
      <c r="B12" s="124" t="s">
        <v>849</v>
      </c>
      <c r="C12" s="2262">
        <v>27.865308599995558</v>
      </c>
      <c r="D12" s="2262">
        <v>7592.7391993000019</v>
      </c>
      <c r="E12" s="2262"/>
      <c r="F12" s="2262"/>
      <c r="G12" s="2262">
        <v>7033.6697528999994</v>
      </c>
      <c r="H12" s="13">
        <f t="shared" si="1"/>
        <v>586.9347549999984</v>
      </c>
      <c r="I12" s="307">
        <f t="shared" si="2"/>
        <v>11092.253596800012</v>
      </c>
      <c r="J12" s="307"/>
      <c r="K12" s="307"/>
      <c r="L12" s="307">
        <v>9139.0883518000101</v>
      </c>
      <c r="M12" s="1342">
        <v>2540.1</v>
      </c>
      <c r="N12" s="307">
        <f t="shared" si="3"/>
        <v>4219</v>
      </c>
      <c r="O12" s="307"/>
      <c r="P12" s="307"/>
      <c r="Q12" s="130">
        <v>5915.3</v>
      </c>
      <c r="R12" s="13">
        <v>843.8</v>
      </c>
      <c r="S12" s="129"/>
      <c r="T12" s="129"/>
      <c r="U12" s="129"/>
      <c r="V12" s="129" t="s">
        <v>850</v>
      </c>
      <c r="W12" s="129"/>
      <c r="X12" s="129"/>
      <c r="Y12" s="129"/>
      <c r="Z12" s="129"/>
      <c r="AA12" s="129"/>
      <c r="AB12" s="129"/>
      <c r="AC12" s="129"/>
      <c r="AD12" s="129"/>
      <c r="AE12" s="129"/>
      <c r="AF12" s="129"/>
      <c r="AG12" s="129"/>
      <c r="AH12" s="129"/>
      <c r="AI12" s="129"/>
    </row>
    <row r="13" spans="1:35">
      <c r="A13" s="124"/>
      <c r="B13" s="9" t="s">
        <v>851</v>
      </c>
      <c r="C13" s="2262">
        <v>229.61968830000006</v>
      </c>
      <c r="D13" s="2262">
        <v>599.21092689999864</v>
      </c>
      <c r="E13" s="2262"/>
      <c r="F13" s="2262"/>
      <c r="G13" s="2262">
        <v>676.85486780000008</v>
      </c>
      <c r="H13" s="13">
        <f t="shared" si="1"/>
        <v>151.97574739999857</v>
      </c>
      <c r="I13" s="307">
        <f t="shared" si="2"/>
        <v>1129.8133021000017</v>
      </c>
      <c r="J13" s="307"/>
      <c r="K13" s="307"/>
      <c r="L13" s="307">
        <v>1114.3890495000001</v>
      </c>
      <c r="M13" s="1342">
        <v>167.4</v>
      </c>
      <c r="N13" s="307">
        <f t="shared" si="3"/>
        <v>300</v>
      </c>
      <c r="O13" s="307"/>
      <c r="P13" s="307"/>
      <c r="Q13" s="130">
        <v>407.4</v>
      </c>
      <c r="R13" s="13">
        <v>60</v>
      </c>
      <c r="S13" s="129"/>
      <c r="T13" s="129"/>
      <c r="U13" s="129"/>
      <c r="V13" s="129" t="s">
        <v>852</v>
      </c>
      <c r="W13" s="129"/>
      <c r="X13" s="129"/>
      <c r="Y13" s="129"/>
      <c r="Z13" s="129"/>
      <c r="AA13" s="129"/>
      <c r="AB13" s="129"/>
      <c r="AC13" s="129"/>
      <c r="AD13" s="129"/>
      <c r="AE13" s="129"/>
      <c r="AF13" s="129"/>
      <c r="AG13" s="129"/>
      <c r="AH13" s="129"/>
      <c r="AI13" s="129"/>
    </row>
    <row r="14" spans="1:35">
      <c r="A14" s="124"/>
      <c r="B14" s="124" t="s">
        <v>853</v>
      </c>
      <c r="C14" s="2262">
        <v>8871.0917540999999</v>
      </c>
      <c r="D14" s="2262">
        <v>32893.282810399985</v>
      </c>
      <c r="E14" s="2262"/>
      <c r="F14" s="2262"/>
      <c r="G14" s="2262">
        <v>20284.561018500001</v>
      </c>
      <c r="H14" s="13">
        <f>C14+D14+E14+F14-G14</f>
        <v>21479.813545999987</v>
      </c>
      <c r="I14" s="307">
        <f t="shared" si="2"/>
        <v>58905.155989333318</v>
      </c>
      <c r="J14" s="307"/>
      <c r="K14" s="307"/>
      <c r="L14" s="307">
        <v>65882.614142413309</v>
      </c>
      <c r="M14" s="1342">
        <v>14502.355392920002</v>
      </c>
      <c r="N14" s="307">
        <f t="shared" si="3"/>
        <v>26877.449195133315</v>
      </c>
      <c r="O14" s="307"/>
      <c r="P14" s="307"/>
      <c r="Q14" s="130">
        <v>37998.92458805332</v>
      </c>
      <c r="R14" s="13">
        <v>3380.88</v>
      </c>
      <c r="S14" s="129"/>
      <c r="T14" s="129"/>
      <c r="U14" s="129"/>
      <c r="V14" s="129" t="s">
        <v>854</v>
      </c>
      <c r="W14" s="129"/>
      <c r="X14" s="129"/>
      <c r="Y14" s="129"/>
      <c r="Z14" s="129"/>
      <c r="AA14" s="129"/>
      <c r="AB14" s="129"/>
      <c r="AC14" s="129"/>
      <c r="AD14" s="129"/>
      <c r="AE14" s="129"/>
      <c r="AF14" s="129"/>
      <c r="AG14" s="129"/>
      <c r="AH14" s="129"/>
      <c r="AI14" s="129"/>
    </row>
    <row r="15" spans="1:35">
      <c r="A15" s="124"/>
      <c r="B15" s="124" t="s">
        <v>855</v>
      </c>
      <c r="C15" s="2262">
        <v>6290.0692379999937</v>
      </c>
      <c r="D15" s="2262">
        <v>43098.030346479994</v>
      </c>
      <c r="E15" s="2262">
        <v>89.343846099999993</v>
      </c>
      <c r="F15" s="2262">
        <v>1020.05544682</v>
      </c>
      <c r="G15" s="2262">
        <v>31441.601390700005</v>
      </c>
      <c r="H15" s="13">
        <f>C15+D15+E15+F15-G15</f>
        <v>19055.897486699982</v>
      </c>
      <c r="I15" s="307">
        <f t="shared" si="2"/>
        <v>46701.836708716706</v>
      </c>
      <c r="J15" s="307">
        <f>2003441.8/10^5</f>
        <v>20.034417999999999</v>
      </c>
      <c r="K15" s="307">
        <f>(42709257.43+30506612.45)/10^5-K9</f>
        <v>478.07341981500002</v>
      </c>
      <c r="L15" s="307">
        <v>57003.654194874543</v>
      </c>
      <c r="M15" s="1342">
        <v>9252.187838357142</v>
      </c>
      <c r="N15" s="307">
        <f t="shared" si="3"/>
        <v>35490.01880492398</v>
      </c>
      <c r="O15" s="307">
        <f>'Interest New'!H13</f>
        <v>29.750000000000004</v>
      </c>
      <c r="P15" s="307">
        <f>Q15*5%</f>
        <v>1383.9551264884803</v>
      </c>
      <c r="Q15" s="130">
        <f>40179.1025297696-12500</f>
        <v>27679.102529769603</v>
      </c>
      <c r="R15" s="13">
        <f>5976.80924+12500</f>
        <v>18476.809239999999</v>
      </c>
      <c r="S15" s="129"/>
      <c r="T15" s="129"/>
      <c r="U15" s="129"/>
      <c r="V15" s="129"/>
      <c r="W15" s="129"/>
      <c r="X15" s="129"/>
      <c r="Y15" s="129"/>
      <c r="Z15" s="129"/>
      <c r="AA15" s="129"/>
      <c r="AB15" s="129"/>
      <c r="AC15" s="129"/>
      <c r="AD15" s="129"/>
      <c r="AE15" s="129"/>
      <c r="AF15" s="129"/>
      <c r="AG15" s="129"/>
      <c r="AH15" s="129"/>
      <c r="AI15" s="129"/>
    </row>
    <row r="16" spans="1:35">
      <c r="A16" s="124"/>
      <c r="B16" s="2393" t="s">
        <v>239</v>
      </c>
      <c r="C16" s="2263">
        <f t="shared" ref="C16:I16" si="4">SUM(C8:C15)</f>
        <v>16470.162345399989</v>
      </c>
      <c r="D16" s="2263">
        <f t="shared" si="4"/>
        <v>88700.286038799997</v>
      </c>
      <c r="E16" s="2263">
        <f t="shared" si="4"/>
        <v>89.343846099999993</v>
      </c>
      <c r="F16" s="2263">
        <f t="shared" si="4"/>
        <v>1284.8395090000001</v>
      </c>
      <c r="G16" s="2263">
        <f t="shared" si="4"/>
        <v>64978.665462100005</v>
      </c>
      <c r="H16" s="13">
        <f t="shared" si="4"/>
        <v>41565.966277199972</v>
      </c>
      <c r="I16" s="1342">
        <f t="shared" si="4"/>
        <v>124561.59402016504</v>
      </c>
      <c r="J16" s="1342">
        <f t="shared" ref="J16:R16" si="5">SUM(J8:J15)</f>
        <v>20.034417999999999</v>
      </c>
      <c r="K16" s="1342">
        <f t="shared" si="5"/>
        <v>732.15869879999991</v>
      </c>
      <c r="L16" s="1342">
        <f t="shared" si="5"/>
        <v>138770.41018288786</v>
      </c>
      <c r="M16" s="1342">
        <f t="shared" si="5"/>
        <v>28109.343231277144</v>
      </c>
      <c r="N16" s="13">
        <f>SUM(N8:N15)</f>
        <v>71068.908000057301</v>
      </c>
      <c r="O16" s="13">
        <f t="shared" si="5"/>
        <v>29.750000000000004</v>
      </c>
      <c r="P16" s="13">
        <f t="shared" si="5"/>
        <v>1629.5151264884803</v>
      </c>
      <c r="Q16" s="13">
        <f t="shared" si="5"/>
        <v>77190.427117822925</v>
      </c>
      <c r="R16" s="13">
        <f t="shared" si="5"/>
        <v>23647.089240000001</v>
      </c>
      <c r="S16" s="129"/>
      <c r="T16" s="129"/>
      <c r="U16" s="129"/>
      <c r="V16" s="129"/>
      <c r="W16" s="129"/>
      <c r="X16" s="129"/>
      <c r="Y16" s="129"/>
      <c r="Z16" s="129"/>
      <c r="AA16" s="129"/>
      <c r="AB16" s="129"/>
      <c r="AC16" s="129"/>
      <c r="AD16" s="129"/>
      <c r="AE16" s="129"/>
      <c r="AF16" s="129"/>
      <c r="AG16" s="129"/>
      <c r="AH16" s="129"/>
      <c r="AI16" s="129"/>
    </row>
    <row r="17" spans="1:21">
      <c r="A17" s="124"/>
      <c r="B17" s="76" t="s">
        <v>856</v>
      </c>
      <c r="C17" s="2263"/>
      <c r="D17" s="2263"/>
      <c r="E17" s="2263"/>
      <c r="F17" s="2263"/>
      <c r="G17" s="2263"/>
      <c r="H17" s="13"/>
      <c r="I17" s="13"/>
      <c r="J17" s="13"/>
      <c r="K17" s="13"/>
      <c r="L17" s="13"/>
      <c r="M17" s="13"/>
      <c r="N17" s="13"/>
      <c r="O17" s="13"/>
      <c r="P17" s="13"/>
      <c r="Q17" s="13"/>
      <c r="R17" s="13"/>
      <c r="S17" s="129"/>
      <c r="T17" s="129"/>
      <c r="U17" s="129"/>
    </row>
    <row r="18" spans="1:21">
      <c r="A18" s="1343">
        <v>1</v>
      </c>
      <c r="B18" s="586" t="s">
        <v>857</v>
      </c>
      <c r="C18" s="2262">
        <v>127.08423060000001</v>
      </c>
      <c r="D18" s="2262">
        <f t="shared" ref="D18:D37" si="6">H18+G18-C18-E18-F18</f>
        <v>390.97518119999978</v>
      </c>
      <c r="E18" s="2262"/>
      <c r="F18" s="2262"/>
      <c r="G18" s="2262">
        <v>4.0709071999999997</v>
      </c>
      <c r="H18" s="1342">
        <v>513.98850459999983</v>
      </c>
      <c r="I18" s="307">
        <f>M18+L18-H18-J18-K18</f>
        <v>1091.4456181999999</v>
      </c>
      <c r="J18" s="307"/>
      <c r="K18" s="307"/>
      <c r="L18" s="307">
        <v>968.74874663999992</v>
      </c>
      <c r="M18" s="1342">
        <v>636.68537615999992</v>
      </c>
      <c r="N18" s="307">
        <f>(R18+Q18-M18-O18-P18)</f>
        <v>0</v>
      </c>
      <c r="O18" s="307"/>
      <c r="P18" s="307"/>
      <c r="Q18" s="307">
        <v>636.68537615999992</v>
      </c>
      <c r="R18" s="1342">
        <v>0</v>
      </c>
      <c r="S18" s="1118">
        <f>G18+L18+Q18+R18</f>
        <v>1609.5050299999998</v>
      </c>
      <c r="T18" s="129"/>
      <c r="U18" s="129"/>
    </row>
    <row r="19" spans="1:21">
      <c r="A19" s="1343">
        <v>2</v>
      </c>
      <c r="B19" s="586" t="s">
        <v>858</v>
      </c>
      <c r="C19" s="2262">
        <v>428.93947949999892</v>
      </c>
      <c r="D19" s="2262">
        <f t="shared" si="6"/>
        <v>6688.607719799993</v>
      </c>
      <c r="E19" s="2262"/>
      <c r="F19" s="2262"/>
      <c r="G19" s="2262">
        <v>1495.3375955000008</v>
      </c>
      <c r="H19" s="1342">
        <v>5622.2096037999909</v>
      </c>
      <c r="I19" s="307">
        <f t="shared" ref="I19:I37" si="7">M19+L19-H19-J19-K19</f>
        <v>9133.2705593000064</v>
      </c>
      <c r="J19" s="307"/>
      <c r="K19" s="307"/>
      <c r="L19" s="307">
        <v>10468.447275539998</v>
      </c>
      <c r="M19" s="1342">
        <v>4287.0328875599998</v>
      </c>
      <c r="N19" s="307">
        <f t="shared" ref="N19:N37" si="8">(R19+Q19-M19-O19-P19)</f>
        <v>0</v>
      </c>
      <c r="O19" s="307"/>
      <c r="P19" s="307"/>
      <c r="Q19" s="307">
        <v>4287.0328875599998</v>
      </c>
      <c r="R19" s="1342">
        <v>0</v>
      </c>
      <c r="S19" s="1118">
        <f t="shared" ref="S19:S36" si="9">G19+L19+Q19+R19</f>
        <v>16250.817758599998</v>
      </c>
      <c r="T19" s="129"/>
      <c r="U19" s="129"/>
    </row>
    <row r="20" spans="1:21">
      <c r="A20" s="1343">
        <v>3</v>
      </c>
      <c r="B20" s="586" t="s">
        <v>859</v>
      </c>
      <c r="C20" s="2262">
        <v>836.98614139999995</v>
      </c>
      <c r="D20" s="2262">
        <f t="shared" si="6"/>
        <v>-505.8492215</v>
      </c>
      <c r="E20" s="2262"/>
      <c r="F20" s="2262"/>
      <c r="G20" s="2262">
        <v>249.50552999999999</v>
      </c>
      <c r="H20" s="1342">
        <v>81.631389899999974</v>
      </c>
      <c r="I20" s="307">
        <f t="shared" si="7"/>
        <v>-81.631389899999974</v>
      </c>
      <c r="J20" s="307"/>
      <c r="K20" s="307"/>
      <c r="L20" s="307">
        <v>0</v>
      </c>
      <c r="M20" s="1342">
        <v>0</v>
      </c>
      <c r="N20" s="307">
        <f t="shared" si="8"/>
        <v>0</v>
      </c>
      <c r="O20" s="307"/>
      <c r="P20" s="307"/>
      <c r="Q20" s="307">
        <v>0</v>
      </c>
      <c r="R20" s="1342">
        <v>0</v>
      </c>
      <c r="S20" s="1118">
        <f t="shared" si="9"/>
        <v>249.50552999999999</v>
      </c>
      <c r="T20" s="129"/>
      <c r="U20" s="129"/>
    </row>
    <row r="21" spans="1:21">
      <c r="A21" s="1343">
        <v>4</v>
      </c>
      <c r="B21" s="586" t="s">
        <v>860</v>
      </c>
      <c r="C21" s="2262">
        <v>27.270739899999999</v>
      </c>
      <c r="D21" s="2262">
        <f t="shared" si="6"/>
        <v>-26.583077000000007</v>
      </c>
      <c r="E21" s="2262"/>
      <c r="F21" s="2262"/>
      <c r="G21" s="2262">
        <v>0</v>
      </c>
      <c r="H21" s="1342">
        <v>0.68766289999999342</v>
      </c>
      <c r="I21" s="307">
        <f t="shared" si="7"/>
        <v>-0.68766289999999342</v>
      </c>
      <c r="J21" s="307"/>
      <c r="K21" s="307"/>
      <c r="L21" s="307">
        <v>0</v>
      </c>
      <c r="M21" s="1342">
        <v>0</v>
      </c>
      <c r="N21" s="307">
        <f t="shared" si="8"/>
        <v>0</v>
      </c>
      <c r="O21" s="307"/>
      <c r="P21" s="307"/>
      <c r="Q21" s="307">
        <v>0</v>
      </c>
      <c r="R21" s="1342">
        <v>0</v>
      </c>
      <c r="S21" s="1118">
        <f t="shared" si="9"/>
        <v>0</v>
      </c>
      <c r="T21" s="129"/>
      <c r="U21" s="129"/>
    </row>
    <row r="22" spans="1:21">
      <c r="A22" s="1343">
        <v>5</v>
      </c>
      <c r="B22" s="586" t="s">
        <v>861</v>
      </c>
      <c r="C22" s="2262">
        <v>59.801834100000001</v>
      </c>
      <c r="D22" s="2262">
        <f t="shared" si="6"/>
        <v>272.48464319999999</v>
      </c>
      <c r="E22" s="2262"/>
      <c r="F22" s="2262"/>
      <c r="G22" s="2262">
        <v>159.69477929999999</v>
      </c>
      <c r="H22" s="1342">
        <v>172.59169799999998</v>
      </c>
      <c r="I22" s="307">
        <f t="shared" si="7"/>
        <v>10159.677422699999</v>
      </c>
      <c r="J22" s="307"/>
      <c r="K22" s="307"/>
      <c r="L22" s="307">
        <v>6199.3614724199997</v>
      </c>
      <c r="M22" s="1342">
        <v>4132.9076482800001</v>
      </c>
      <c r="N22" s="307">
        <f t="shared" si="8"/>
        <v>0</v>
      </c>
      <c r="O22" s="307"/>
      <c r="P22" s="307"/>
      <c r="Q22" s="307">
        <v>4132.9076482800001</v>
      </c>
      <c r="R22" s="1342">
        <v>0</v>
      </c>
      <c r="S22" s="1118">
        <f t="shared" si="9"/>
        <v>10491.963899999999</v>
      </c>
      <c r="T22" s="128"/>
      <c r="U22" s="129"/>
    </row>
    <row r="23" spans="1:21">
      <c r="A23" s="1343">
        <v>6</v>
      </c>
      <c r="B23" s="586" t="s">
        <v>862</v>
      </c>
      <c r="C23" s="2262">
        <v>179.87373730000013</v>
      </c>
      <c r="D23" s="2262">
        <f t="shared" si="6"/>
        <v>-111.52267620000021</v>
      </c>
      <c r="E23" s="2262"/>
      <c r="F23" s="2262"/>
      <c r="G23" s="2262">
        <v>0</v>
      </c>
      <c r="H23" s="1342">
        <v>68.351061099999924</v>
      </c>
      <c r="I23" s="307">
        <f t="shared" si="7"/>
        <v>-42.001131099999924</v>
      </c>
      <c r="J23" s="307"/>
      <c r="K23" s="307"/>
      <c r="L23" s="307">
        <v>15.809958</v>
      </c>
      <c r="M23" s="1342">
        <v>10.539971999999999</v>
      </c>
      <c r="N23" s="307">
        <f t="shared" si="8"/>
        <v>0</v>
      </c>
      <c r="O23" s="307"/>
      <c r="P23" s="307"/>
      <c r="Q23" s="307">
        <v>10.539971999999999</v>
      </c>
      <c r="R23" s="1342">
        <v>0</v>
      </c>
      <c r="S23" s="1118">
        <f t="shared" si="9"/>
        <v>26.349930000000001</v>
      </c>
      <c r="T23" s="128"/>
      <c r="U23" s="129"/>
    </row>
    <row r="24" spans="1:21" ht="15">
      <c r="A24" s="1343">
        <v>7</v>
      </c>
      <c r="B24" s="1344" t="s">
        <v>863</v>
      </c>
      <c r="C24" s="2262">
        <v>1.7087567000000472</v>
      </c>
      <c r="D24" s="2262">
        <f t="shared" si="6"/>
        <v>554.17940680000004</v>
      </c>
      <c r="E24" s="2262"/>
      <c r="F24" s="2262"/>
      <c r="G24" s="2262">
        <v>0</v>
      </c>
      <c r="H24" s="1342">
        <v>555.88816350000013</v>
      </c>
      <c r="I24" s="307">
        <f t="shared" si="7"/>
        <v>701.0886385</v>
      </c>
      <c r="J24" s="307"/>
      <c r="K24" s="307"/>
      <c r="L24" s="307">
        <v>754.1860812000001</v>
      </c>
      <c r="M24" s="1342">
        <v>502.79072079999997</v>
      </c>
      <c r="N24" s="307">
        <f t="shared" si="8"/>
        <v>0</v>
      </c>
      <c r="O24" s="307"/>
      <c r="P24" s="307"/>
      <c r="Q24" s="307">
        <v>502.79072079999997</v>
      </c>
      <c r="R24" s="1342">
        <v>0</v>
      </c>
      <c r="S24" s="1118">
        <f t="shared" si="9"/>
        <v>1256.9768020000001</v>
      </c>
      <c r="T24" s="129"/>
      <c r="U24" s="129"/>
    </row>
    <row r="25" spans="1:21" ht="15">
      <c r="A25" s="1343">
        <v>8</v>
      </c>
      <c r="B25" s="1344" t="s">
        <v>864</v>
      </c>
      <c r="C25" s="2262">
        <v>352.77324189999996</v>
      </c>
      <c r="D25" s="2262">
        <f t="shared" si="6"/>
        <v>19.6522674999988</v>
      </c>
      <c r="E25" s="2262"/>
      <c r="F25" s="2262"/>
      <c r="G25" s="2262">
        <v>0</v>
      </c>
      <c r="H25" s="1342">
        <v>372.42550939999876</v>
      </c>
      <c r="I25" s="307">
        <f t="shared" si="7"/>
        <v>78.26751059999981</v>
      </c>
      <c r="J25" s="307"/>
      <c r="K25" s="307"/>
      <c r="L25" s="307">
        <v>450.69301999999857</v>
      </c>
      <c r="M25" s="1342">
        <v>0</v>
      </c>
      <c r="N25" s="307">
        <f t="shared" si="8"/>
        <v>0</v>
      </c>
      <c r="O25" s="307"/>
      <c r="P25" s="307"/>
      <c r="Q25" s="307">
        <v>0</v>
      </c>
      <c r="R25" s="1342">
        <v>0</v>
      </c>
      <c r="S25" s="1118">
        <f t="shared" si="9"/>
        <v>450.69301999999857</v>
      </c>
      <c r="T25" s="129"/>
      <c r="U25" s="129"/>
    </row>
    <row r="26" spans="1:21" ht="15">
      <c r="A26" s="1343">
        <v>9</v>
      </c>
      <c r="B26" s="1344" t="s">
        <v>865</v>
      </c>
      <c r="C26" s="2262">
        <v>1273.3367098999993</v>
      </c>
      <c r="D26" s="2262">
        <f t="shared" si="6"/>
        <v>1397.1180876000008</v>
      </c>
      <c r="E26" s="2262"/>
      <c r="F26" s="2262"/>
      <c r="G26" s="2262">
        <v>0</v>
      </c>
      <c r="H26" s="1342">
        <v>2670.4547975</v>
      </c>
      <c r="I26" s="307">
        <f t="shared" si="7"/>
        <v>177.06788669999742</v>
      </c>
      <c r="J26" s="307"/>
      <c r="K26" s="307"/>
      <c r="L26" s="307">
        <v>2847.5226841999975</v>
      </c>
      <c r="M26" s="1342">
        <v>0</v>
      </c>
      <c r="N26" s="307">
        <f t="shared" si="8"/>
        <v>0</v>
      </c>
      <c r="O26" s="307"/>
      <c r="P26" s="307"/>
      <c r="Q26" s="307">
        <v>0</v>
      </c>
      <c r="R26" s="1342">
        <v>0</v>
      </c>
      <c r="S26" s="1118">
        <f t="shared" si="9"/>
        <v>2847.5226841999975</v>
      </c>
      <c r="T26" s="129"/>
      <c r="U26" s="129"/>
    </row>
    <row r="27" spans="1:21" ht="15">
      <c r="A27" s="1343">
        <v>10</v>
      </c>
      <c r="B27" s="1344" t="s">
        <v>866</v>
      </c>
      <c r="C27" s="2262">
        <v>121.29713639999999</v>
      </c>
      <c r="D27" s="2262">
        <f t="shared" si="6"/>
        <v>-27.079659399999969</v>
      </c>
      <c r="E27" s="2262"/>
      <c r="F27" s="2262"/>
      <c r="G27" s="2262">
        <v>0</v>
      </c>
      <c r="H27" s="1342">
        <v>94.217477000000017</v>
      </c>
      <c r="I27" s="307">
        <f t="shared" si="7"/>
        <v>15.542963599999993</v>
      </c>
      <c r="J27" s="307"/>
      <c r="K27" s="307"/>
      <c r="L27" s="307">
        <v>78.288985839999995</v>
      </c>
      <c r="M27" s="1342">
        <v>31.471454760000007</v>
      </c>
      <c r="N27" s="307">
        <f t="shared" si="8"/>
        <v>0</v>
      </c>
      <c r="O27" s="307"/>
      <c r="P27" s="307"/>
      <c r="Q27" s="307">
        <v>31.471454760000007</v>
      </c>
      <c r="R27" s="1342">
        <v>0</v>
      </c>
      <c r="S27" s="1118">
        <f t="shared" si="9"/>
        <v>109.76044060000001</v>
      </c>
      <c r="T27" s="129"/>
      <c r="U27" s="129"/>
    </row>
    <row r="28" spans="1:21" ht="15">
      <c r="A28" s="1343">
        <v>11</v>
      </c>
      <c r="B28" s="1344" t="s">
        <v>867</v>
      </c>
      <c r="C28" s="2262">
        <v>114.15232030000001</v>
      </c>
      <c r="D28" s="2262">
        <f t="shared" si="6"/>
        <v>242.03533639999998</v>
      </c>
      <c r="E28" s="2262"/>
      <c r="F28" s="2262"/>
      <c r="G28" s="2262">
        <v>62.613536699999997</v>
      </c>
      <c r="H28" s="1342">
        <v>293.57411999999999</v>
      </c>
      <c r="I28" s="307">
        <f t="shared" si="7"/>
        <v>38.918781300000092</v>
      </c>
      <c r="J28" s="307"/>
      <c r="K28" s="307"/>
      <c r="L28" s="307">
        <v>332.49290130000009</v>
      </c>
      <c r="M28" s="1342">
        <v>0</v>
      </c>
      <c r="N28" s="307">
        <f t="shared" si="8"/>
        <v>0</v>
      </c>
      <c r="O28" s="307"/>
      <c r="P28" s="307"/>
      <c r="Q28" s="307">
        <v>0</v>
      </c>
      <c r="R28" s="1342">
        <v>0</v>
      </c>
      <c r="S28" s="1118">
        <f t="shared" si="9"/>
        <v>395.10643800000008</v>
      </c>
      <c r="T28" s="129"/>
      <c r="U28" s="129"/>
    </row>
    <row r="29" spans="1:21" ht="15">
      <c r="A29" s="1343">
        <v>12</v>
      </c>
      <c r="B29" s="1344" t="s">
        <v>868</v>
      </c>
      <c r="C29" s="2262">
        <v>2663.7805492000007</v>
      </c>
      <c r="D29" s="2262">
        <f t="shared" si="6"/>
        <v>5490.8391924999951</v>
      </c>
      <c r="E29" s="2262"/>
      <c r="F29" s="2262"/>
      <c r="G29" s="2262">
        <v>0</v>
      </c>
      <c r="H29" s="1342">
        <v>8154.6197416999958</v>
      </c>
      <c r="I29" s="307">
        <f t="shared" si="7"/>
        <v>-121.93261419999726</v>
      </c>
      <c r="J29" s="307"/>
      <c r="K29" s="307"/>
      <c r="L29" s="307">
        <v>8032.6871274999985</v>
      </c>
      <c r="M29" s="1342">
        <v>0</v>
      </c>
      <c r="N29" s="307">
        <f t="shared" si="8"/>
        <v>0</v>
      </c>
      <c r="O29" s="307"/>
      <c r="P29" s="307"/>
      <c r="Q29" s="307">
        <v>0</v>
      </c>
      <c r="R29" s="1342">
        <v>0</v>
      </c>
      <c r="S29" s="1118">
        <f t="shared" si="9"/>
        <v>8032.6871274999985</v>
      </c>
      <c r="T29" s="129"/>
      <c r="U29" s="129"/>
    </row>
    <row r="30" spans="1:21">
      <c r="A30" s="1343">
        <v>13</v>
      </c>
      <c r="B30" s="586" t="s">
        <v>869</v>
      </c>
      <c r="C30" s="2262">
        <v>10.660704599999999</v>
      </c>
      <c r="D30" s="2262">
        <f t="shared" si="6"/>
        <v>-4.0015600000000262E-2</v>
      </c>
      <c r="E30" s="2262"/>
      <c r="F30" s="2262"/>
      <c r="G30" s="2262">
        <v>0</v>
      </c>
      <c r="H30" s="1342">
        <v>10.620688999999999</v>
      </c>
      <c r="I30" s="307">
        <f t="shared" si="7"/>
        <v>-10.620688999999999</v>
      </c>
      <c r="J30" s="307"/>
      <c r="K30" s="307"/>
      <c r="L30" s="307">
        <v>0</v>
      </c>
      <c r="M30" s="1342">
        <v>0</v>
      </c>
      <c r="N30" s="307">
        <f t="shared" si="8"/>
        <v>0</v>
      </c>
      <c r="O30" s="307"/>
      <c r="P30" s="307"/>
      <c r="Q30" s="307">
        <v>0</v>
      </c>
      <c r="R30" s="1342">
        <v>0</v>
      </c>
      <c r="S30" s="1118">
        <f t="shared" si="9"/>
        <v>0</v>
      </c>
      <c r="T30" s="129"/>
      <c r="U30" s="128"/>
    </row>
    <row r="31" spans="1:21" ht="15">
      <c r="A31" s="1343">
        <v>14</v>
      </c>
      <c r="B31" s="1344" t="s">
        <v>870</v>
      </c>
      <c r="C31" s="2262">
        <v>0</v>
      </c>
      <c r="D31" s="2262">
        <f t="shared" si="6"/>
        <v>0</v>
      </c>
      <c r="E31" s="2262"/>
      <c r="F31" s="2262"/>
      <c r="G31" s="2262">
        <v>0</v>
      </c>
      <c r="H31" s="1342">
        <v>0</v>
      </c>
      <c r="I31" s="307">
        <f t="shared" si="7"/>
        <v>1092.48</v>
      </c>
      <c r="J31" s="307"/>
      <c r="K31" s="307"/>
      <c r="L31" s="307">
        <v>682.8</v>
      </c>
      <c r="M31" s="1342">
        <v>409.68</v>
      </c>
      <c r="N31" s="307">
        <f t="shared" si="8"/>
        <v>614.52</v>
      </c>
      <c r="O31" s="307"/>
      <c r="P31" s="307"/>
      <c r="Q31" s="307">
        <v>614.52</v>
      </c>
      <c r="R31" s="1342">
        <v>409.68</v>
      </c>
      <c r="S31" s="1118">
        <f t="shared" si="9"/>
        <v>1707</v>
      </c>
      <c r="T31" s="129"/>
      <c r="U31" s="128"/>
    </row>
    <row r="32" spans="1:21" ht="15">
      <c r="A32" s="1343">
        <v>15</v>
      </c>
      <c r="B32" s="1344" t="s">
        <v>871</v>
      </c>
      <c r="C32" s="2262">
        <v>0</v>
      </c>
      <c r="D32" s="2262">
        <f t="shared" si="6"/>
        <v>0</v>
      </c>
      <c r="E32" s="2262"/>
      <c r="F32" s="2262"/>
      <c r="G32" s="2262">
        <v>0</v>
      </c>
      <c r="H32" s="1342">
        <v>0</v>
      </c>
      <c r="I32" s="307">
        <f t="shared" si="7"/>
        <v>787.2</v>
      </c>
      <c r="J32" s="307"/>
      <c r="K32" s="307"/>
      <c r="L32" s="307">
        <v>492</v>
      </c>
      <c r="M32" s="1342">
        <v>295.2</v>
      </c>
      <c r="N32" s="307">
        <f t="shared" si="8"/>
        <v>442.8</v>
      </c>
      <c r="O32" s="307"/>
      <c r="P32" s="307"/>
      <c r="Q32" s="307">
        <v>442.8</v>
      </c>
      <c r="R32" s="1342">
        <v>295.2</v>
      </c>
      <c r="S32" s="1118">
        <f t="shared" si="9"/>
        <v>1230</v>
      </c>
      <c r="T32" s="129"/>
      <c r="U32" s="129"/>
    </row>
    <row r="33" spans="1:19" ht="15">
      <c r="A33" s="1343">
        <v>16</v>
      </c>
      <c r="B33" s="1344" t="s">
        <v>872</v>
      </c>
      <c r="C33" s="2262">
        <v>0</v>
      </c>
      <c r="D33" s="2262">
        <f t="shared" si="6"/>
        <v>0</v>
      </c>
      <c r="E33" s="2262"/>
      <c r="F33" s="2262"/>
      <c r="G33" s="2262">
        <v>0</v>
      </c>
      <c r="H33" s="1342">
        <v>0</v>
      </c>
      <c r="I33" s="307">
        <f t="shared" si="7"/>
        <v>7136</v>
      </c>
      <c r="J33" s="307"/>
      <c r="K33" s="307"/>
      <c r="L33" s="307">
        <v>4460</v>
      </c>
      <c r="M33" s="1342">
        <v>2676</v>
      </c>
      <c r="N33" s="307">
        <f t="shared" si="8"/>
        <v>4014</v>
      </c>
      <c r="O33" s="307"/>
      <c r="P33" s="307"/>
      <c r="Q33" s="307">
        <v>4014</v>
      </c>
      <c r="R33" s="1342">
        <v>2676</v>
      </c>
      <c r="S33" s="1118">
        <f t="shared" si="9"/>
        <v>11150</v>
      </c>
    </row>
    <row r="34" spans="1:19" ht="31.5">
      <c r="A34" s="1343">
        <v>17</v>
      </c>
      <c r="B34" s="1345" t="s">
        <v>873</v>
      </c>
      <c r="C34" s="2262">
        <v>42.14288830000001</v>
      </c>
      <c r="D34" s="2262">
        <f>H34+G34-C34-E34-F34</f>
        <v>-39.667319300000003</v>
      </c>
      <c r="E34" s="2262"/>
      <c r="F34" s="2262"/>
      <c r="G34" s="2262">
        <v>0</v>
      </c>
      <c r="H34" s="1342">
        <v>2.4755690000000081</v>
      </c>
      <c r="I34" s="307">
        <f>M34+L34-H34-J34-K34</f>
        <v>239.92331100000001</v>
      </c>
      <c r="J34" s="307"/>
      <c r="K34" s="307"/>
      <c r="L34" s="307">
        <v>145.43932799999999</v>
      </c>
      <c r="M34" s="1342">
        <v>96.959552000000016</v>
      </c>
      <c r="N34" s="307">
        <f>(R34+Q34-M34-O34-P34)</f>
        <v>0</v>
      </c>
      <c r="O34" s="307"/>
      <c r="P34" s="307"/>
      <c r="Q34" s="307">
        <v>96.959552000000016</v>
      </c>
      <c r="R34" s="1342">
        <v>0</v>
      </c>
      <c r="S34" s="1118">
        <f t="shared" si="9"/>
        <v>242.39888000000002</v>
      </c>
    </row>
    <row r="35" spans="1:19">
      <c r="A35" s="1343">
        <v>18</v>
      </c>
      <c r="B35" s="1718" t="s">
        <v>874</v>
      </c>
      <c r="C35" s="2262">
        <v>7283.44779809999</v>
      </c>
      <c r="D35" s="2262">
        <f t="shared" si="6"/>
        <v>47394.171751600006</v>
      </c>
      <c r="E35" s="2262">
        <f>E15+E9</f>
        <v>89.343846099999993</v>
      </c>
      <c r="F35" s="2262">
        <f>F15+F9</f>
        <v>1284.8395090000001</v>
      </c>
      <c r="G35" s="2262">
        <v>40874.196613300002</v>
      </c>
      <c r="H35" s="1342">
        <v>15177.606291499982</v>
      </c>
      <c r="I35" s="307">
        <f t="shared" si="7"/>
        <v>56636.633024231734</v>
      </c>
      <c r="J35" s="307">
        <f>J15+J9</f>
        <v>20.034417999999999</v>
      </c>
      <c r="K35" s="307">
        <f>K15+K9</f>
        <v>732.15869879999991</v>
      </c>
      <c r="L35" s="307">
        <v>59559.444594174565</v>
      </c>
      <c r="M35" s="1342">
        <v>13006.987838357143</v>
      </c>
      <c r="N35" s="307">
        <f t="shared" si="8"/>
        <v>33178.412604923979</v>
      </c>
      <c r="O35" s="307">
        <v>29.75</v>
      </c>
      <c r="P35" s="307">
        <f>P15+P9</f>
        <v>1629.5151264884803</v>
      </c>
      <c r="Q35" s="307">
        <f>42281.0655697696-12500</f>
        <v>29781.065569769598</v>
      </c>
      <c r="R35" s="1342">
        <f>5563.6+12500</f>
        <v>18063.599999999999</v>
      </c>
      <c r="S35" s="1118"/>
    </row>
    <row r="36" spans="1:19">
      <c r="A36" s="1343">
        <v>19</v>
      </c>
      <c r="B36" s="586" t="s">
        <v>875</v>
      </c>
      <c r="C36" s="2262">
        <v>315.62279319999965</v>
      </c>
      <c r="D36" s="2262">
        <f t="shared" si="6"/>
        <v>8412.8314768000091</v>
      </c>
      <c r="E36" s="2262"/>
      <c r="F36" s="2262"/>
      <c r="G36" s="2262">
        <v>3819.9078303000006</v>
      </c>
      <c r="H36" s="1342">
        <v>4908.5464397000078</v>
      </c>
      <c r="I36" s="307">
        <f t="shared" si="7"/>
        <v>9019.8050065999923</v>
      </c>
      <c r="J36" s="307"/>
      <c r="K36" s="307"/>
      <c r="L36" s="307">
        <v>13328.351446299999</v>
      </c>
      <c r="M36" s="1342">
        <v>600</v>
      </c>
      <c r="N36" s="307">
        <f t="shared" si="8"/>
        <v>11013.046200000001</v>
      </c>
      <c r="O36" s="307"/>
      <c r="P36" s="307"/>
      <c r="Q36" s="307">
        <v>9410.4369600000009</v>
      </c>
      <c r="R36" s="1342">
        <v>2202.6092400000002</v>
      </c>
      <c r="S36" s="1118">
        <f t="shared" si="9"/>
        <v>28761.305476600002</v>
      </c>
    </row>
    <row r="37" spans="1:19" ht="15">
      <c r="A37" s="1343">
        <v>20</v>
      </c>
      <c r="B37" s="1344" t="s">
        <v>876</v>
      </c>
      <c r="C37" s="2262">
        <v>2631.2832840000015</v>
      </c>
      <c r="D37" s="2262">
        <f t="shared" si="6"/>
        <v>18548.132944399997</v>
      </c>
      <c r="E37" s="2262"/>
      <c r="F37" s="2262"/>
      <c r="G37" s="2262">
        <v>18313.338669799996</v>
      </c>
      <c r="H37" s="1342">
        <v>2866.0775586000013</v>
      </c>
      <c r="I37" s="307">
        <f t="shared" si="7"/>
        <v>28511.146784533328</v>
      </c>
      <c r="J37" s="307"/>
      <c r="K37" s="307"/>
      <c r="L37" s="307">
        <v>29954.136561773332</v>
      </c>
      <c r="M37" s="1342">
        <v>1423.0877813599998</v>
      </c>
      <c r="N37" s="307">
        <f t="shared" si="8"/>
        <v>21806.129195133326</v>
      </c>
      <c r="O37" s="307"/>
      <c r="P37" s="307"/>
      <c r="Q37" s="307">
        <v>23229.216976493324</v>
      </c>
      <c r="R37" s="1342">
        <v>0</v>
      </c>
      <c r="S37" s="129"/>
    </row>
    <row r="38" spans="1:19">
      <c r="A38" s="124"/>
      <c r="B38" s="11" t="s">
        <v>274</v>
      </c>
      <c r="C38" s="2264">
        <f>SUM(C18:C37)</f>
        <v>16470.162345399989</v>
      </c>
      <c r="D38" s="2264">
        <f t="shared" ref="D38:R38" si="10">SUM(D18:D37)</f>
        <v>88700.286038799997</v>
      </c>
      <c r="E38" s="2264">
        <f t="shared" si="10"/>
        <v>89.343846099999993</v>
      </c>
      <c r="F38" s="2264">
        <f t="shared" si="10"/>
        <v>1284.8395090000001</v>
      </c>
      <c r="G38" s="2264">
        <f t="shared" si="10"/>
        <v>64978.665462099998</v>
      </c>
      <c r="H38" s="53">
        <f t="shared" si="10"/>
        <v>41565.966277199972</v>
      </c>
      <c r="I38" s="53">
        <f t="shared" si="10"/>
        <v>124561.59402016505</v>
      </c>
      <c r="J38" s="53">
        <f t="shared" si="10"/>
        <v>20.034417999999999</v>
      </c>
      <c r="K38" s="53">
        <f t="shared" si="10"/>
        <v>732.15869879999991</v>
      </c>
      <c r="L38" s="53">
        <f t="shared" si="10"/>
        <v>138770.41018288789</v>
      </c>
      <c r="M38" s="53">
        <f t="shared" si="10"/>
        <v>28109.343231277144</v>
      </c>
      <c r="N38" s="53">
        <f t="shared" si="10"/>
        <v>71068.908000057301</v>
      </c>
      <c r="O38" s="53">
        <f t="shared" si="10"/>
        <v>29.75</v>
      </c>
      <c r="P38" s="53">
        <f t="shared" si="10"/>
        <v>1629.5151264884803</v>
      </c>
      <c r="Q38" s="53">
        <f t="shared" si="10"/>
        <v>77190.427117822925</v>
      </c>
      <c r="R38" s="53">
        <f t="shared" si="10"/>
        <v>23647.089240000001</v>
      </c>
      <c r="S38" s="129"/>
    </row>
    <row r="39" spans="1:19">
      <c r="A39" s="129" t="s">
        <v>877</v>
      </c>
      <c r="B39" s="129" t="s">
        <v>878</v>
      </c>
      <c r="C39" s="1118">
        <f>C38-C16</f>
        <v>0</v>
      </c>
      <c r="D39" s="1118">
        <f t="shared" ref="D39:H39" si="11">D38-D16</f>
        <v>0</v>
      </c>
      <c r="E39" s="1118">
        <f t="shared" si="11"/>
        <v>0</v>
      </c>
      <c r="F39" s="1118">
        <f t="shared" si="11"/>
        <v>0</v>
      </c>
      <c r="G39" s="1118">
        <f t="shared" si="11"/>
        <v>0</v>
      </c>
      <c r="H39" s="1118">
        <f t="shared" si="11"/>
        <v>0</v>
      </c>
      <c r="I39" s="1118">
        <f t="shared" ref="I39" si="12">I38-I16</f>
        <v>0</v>
      </c>
      <c r="J39" s="1118">
        <f t="shared" ref="J39" si="13">J38-J16</f>
        <v>0</v>
      </c>
      <c r="K39" s="1118">
        <f t="shared" ref="K39" si="14">K38-K16</f>
        <v>0</v>
      </c>
      <c r="L39" s="1118">
        <f t="shared" ref="L39" si="15">L38-L16</f>
        <v>0</v>
      </c>
      <c r="M39" s="1118">
        <f t="shared" ref="M39" si="16">M38-M16</f>
        <v>0</v>
      </c>
      <c r="N39" s="1118">
        <f t="shared" ref="N39" si="17">N38-N16</f>
        <v>0</v>
      </c>
      <c r="O39" s="1118">
        <f t="shared" ref="O39" si="18">O38-O16</f>
        <v>0</v>
      </c>
      <c r="P39" s="1118">
        <f t="shared" ref="P39" si="19">P38-P16</f>
        <v>0</v>
      </c>
      <c r="Q39" s="1118">
        <f t="shared" ref="Q39" si="20">Q38-Q16</f>
        <v>0</v>
      </c>
      <c r="R39" s="1118">
        <f t="shared" ref="R39" si="21">R38-R16</f>
        <v>0</v>
      </c>
      <c r="S39" s="128">
        <f>R30+R31+R32</f>
        <v>704.88</v>
      </c>
    </row>
    <row r="40" spans="1:19">
      <c r="A40" s="129" t="s">
        <v>877</v>
      </c>
      <c r="B40" s="129" t="s">
        <v>874</v>
      </c>
      <c r="C40" s="1118">
        <f>SUM(C8:C13)+C15-(C35+C36)</f>
        <v>0</v>
      </c>
      <c r="D40" s="1118">
        <f t="shared" ref="D40:R40" si="22">SUM(D8:D13)+D15-(D35+D36)</f>
        <v>0</v>
      </c>
      <c r="E40" s="1118">
        <f t="shared" si="22"/>
        <v>0</v>
      </c>
      <c r="F40" s="1118">
        <f t="shared" si="22"/>
        <v>0</v>
      </c>
      <c r="G40" s="1118">
        <f t="shared" si="22"/>
        <v>0</v>
      </c>
      <c r="H40" s="1118">
        <f t="shared" si="22"/>
        <v>0</v>
      </c>
      <c r="I40" s="1118">
        <f t="shared" si="22"/>
        <v>0</v>
      </c>
      <c r="J40" s="1118">
        <f t="shared" si="22"/>
        <v>0</v>
      </c>
      <c r="K40" s="1118">
        <f t="shared" si="22"/>
        <v>0</v>
      </c>
      <c r="L40" s="1118">
        <f t="shared" si="22"/>
        <v>0</v>
      </c>
      <c r="M40" s="1118">
        <f t="shared" si="22"/>
        <v>0</v>
      </c>
      <c r="N40" s="1118">
        <f t="shared" si="22"/>
        <v>0</v>
      </c>
      <c r="O40" s="1118">
        <f t="shared" si="22"/>
        <v>0</v>
      </c>
      <c r="P40" s="1118">
        <f t="shared" si="22"/>
        <v>0</v>
      </c>
      <c r="Q40" s="1118">
        <f t="shared" si="22"/>
        <v>0</v>
      </c>
      <c r="R40" s="1118">
        <f t="shared" si="22"/>
        <v>0</v>
      </c>
      <c r="S40" s="1118">
        <f>R38-S39</f>
        <v>22942.20924</v>
      </c>
    </row>
    <row r="41" spans="1:19">
      <c r="A41" s="129" t="s">
        <v>877</v>
      </c>
      <c r="B41" s="129" t="s">
        <v>879</v>
      </c>
      <c r="C41" s="1118">
        <f>(C14-SUM(C18:C34,C37:C37))</f>
        <v>0</v>
      </c>
      <c r="D41" s="1118">
        <f t="shared" ref="D41:R41" si="23">(D14-SUM(D18:D34,D37:D37))</f>
        <v>0</v>
      </c>
      <c r="E41" s="1118">
        <f t="shared" si="23"/>
        <v>0</v>
      </c>
      <c r="F41" s="1118">
        <f t="shared" si="23"/>
        <v>0</v>
      </c>
      <c r="G41" s="1118">
        <f t="shared" si="23"/>
        <v>3.637978807091713E-12</v>
      </c>
      <c r="H41" s="1118">
        <f t="shared" si="23"/>
        <v>3.637978807091713E-12</v>
      </c>
      <c r="I41" s="1118">
        <f t="shared" si="23"/>
        <v>-1.4551915228366852E-11</v>
      </c>
      <c r="J41" s="1118">
        <f t="shared" si="23"/>
        <v>0</v>
      </c>
      <c r="K41" s="1118">
        <f t="shared" si="23"/>
        <v>0</v>
      </c>
      <c r="L41" s="1118">
        <f t="shared" si="23"/>
        <v>-1.4551915228366852E-11</v>
      </c>
      <c r="M41" s="1118">
        <f t="shared" si="23"/>
        <v>1.8189894035458565E-12</v>
      </c>
      <c r="N41" s="1118">
        <f t="shared" si="23"/>
        <v>-1.0913936421275139E-11</v>
      </c>
      <c r="O41" s="1118">
        <f t="shared" si="23"/>
        <v>0</v>
      </c>
      <c r="P41" s="1118">
        <f t="shared" si="23"/>
        <v>0</v>
      </c>
      <c r="Q41" s="1118">
        <f t="shared" si="23"/>
        <v>-7.2759576141834259E-12</v>
      </c>
      <c r="R41" s="1118">
        <f t="shared" si="23"/>
        <v>0</v>
      </c>
      <c r="S41" s="129"/>
    </row>
    <row r="42" spans="1:19">
      <c r="A42" s="129" t="s">
        <v>877</v>
      </c>
      <c r="B42" s="129" t="s">
        <v>880</v>
      </c>
      <c r="C42" s="1118"/>
      <c r="D42" s="1118"/>
      <c r="E42" s="1118"/>
      <c r="F42" s="1118"/>
      <c r="G42" s="2395">
        <f>G39+G40+G41</f>
        <v>3.637978807091713E-12</v>
      </c>
      <c r="H42" s="2395">
        <f t="shared" ref="H42:R42" si="24">H39+H40+H41</f>
        <v>3.637978807091713E-12</v>
      </c>
      <c r="I42" s="2395">
        <f t="shared" si="24"/>
        <v>-1.4551915228366852E-11</v>
      </c>
      <c r="J42" s="2395">
        <f t="shared" si="24"/>
        <v>0</v>
      </c>
      <c r="K42" s="2395">
        <f t="shared" si="24"/>
        <v>0</v>
      </c>
      <c r="L42" s="2395">
        <f t="shared" si="24"/>
        <v>-1.4551915228366852E-11</v>
      </c>
      <c r="M42" s="2395">
        <f t="shared" si="24"/>
        <v>1.8189894035458565E-12</v>
      </c>
      <c r="N42" s="2395">
        <f t="shared" si="24"/>
        <v>-1.0913936421275139E-11</v>
      </c>
      <c r="O42" s="2395">
        <f t="shared" si="24"/>
        <v>0</v>
      </c>
      <c r="P42" s="2395">
        <f t="shared" si="24"/>
        <v>0</v>
      </c>
      <c r="Q42" s="2395">
        <f t="shared" si="24"/>
        <v>-7.2759576141834259E-12</v>
      </c>
      <c r="R42" s="2395">
        <f t="shared" si="24"/>
        <v>0</v>
      </c>
      <c r="S42" s="129"/>
    </row>
    <row r="43" spans="1:19">
      <c r="A43" s="1089"/>
      <c r="B43" s="1089" t="s">
        <v>881</v>
      </c>
      <c r="C43" s="2399"/>
      <c r="D43" s="2399"/>
      <c r="E43" s="2399"/>
      <c r="F43" s="2399"/>
      <c r="G43" s="2399"/>
      <c r="H43" s="1089"/>
      <c r="I43" s="1090">
        <f>I38-I37-I36-I35-I20</f>
        <v>30475.640594700009</v>
      </c>
      <c r="J43" s="2400"/>
      <c r="K43" s="2400"/>
      <c r="L43" s="2400"/>
      <c r="M43" s="2400"/>
      <c r="N43" s="1090">
        <f>N38-N37-N36-N35-N20</f>
        <v>5071.32</v>
      </c>
      <c r="O43" s="128"/>
      <c r="P43" s="128"/>
      <c r="Q43" s="128"/>
      <c r="R43" s="128"/>
      <c r="S43" s="129"/>
    </row>
    <row r="44" spans="1:19">
      <c r="A44" s="1089"/>
      <c r="B44" s="1089" t="s">
        <v>882</v>
      </c>
      <c r="C44" s="2399"/>
      <c r="D44" s="2399"/>
      <c r="E44" s="2399"/>
      <c r="F44" s="2399"/>
      <c r="G44" s="2399"/>
      <c r="H44" s="1089"/>
      <c r="I44" s="1090">
        <f>I37</f>
        <v>28511.146784533328</v>
      </c>
      <c r="J44" s="2400"/>
      <c r="K44" s="2400"/>
      <c r="L44" s="2400"/>
      <c r="M44" s="2400"/>
      <c r="N44" s="1090">
        <f>N37</f>
        <v>21806.129195133326</v>
      </c>
      <c r="O44" s="128"/>
      <c r="P44" s="128"/>
      <c r="Q44" s="128"/>
      <c r="R44" s="128"/>
      <c r="S44" s="129"/>
    </row>
    <row r="45" spans="1:19">
      <c r="A45" s="129"/>
      <c r="B45" s="129" t="s">
        <v>883</v>
      </c>
      <c r="C45" s="1118">
        <f>SUM(C18:C34)</f>
        <v>6239.8084700999989</v>
      </c>
      <c r="D45" s="1118">
        <f t="shared" ref="D45:R45" si="25">SUM(D18:D34)</f>
        <v>14345.149865999987</v>
      </c>
      <c r="E45" s="1118">
        <f t="shared" si="25"/>
        <v>0</v>
      </c>
      <c r="F45" s="1118">
        <f t="shared" si="25"/>
        <v>0</v>
      </c>
      <c r="G45" s="1118">
        <f t="shared" si="25"/>
        <v>1971.2223487000006</v>
      </c>
      <c r="H45" s="1118">
        <f t="shared" si="25"/>
        <v>18613.735987399981</v>
      </c>
      <c r="I45" s="1118">
        <f t="shared" si="25"/>
        <v>30394.009204800004</v>
      </c>
      <c r="J45" s="1118">
        <f t="shared" si="25"/>
        <v>0</v>
      </c>
      <c r="K45" s="1118">
        <f t="shared" si="25"/>
        <v>0</v>
      </c>
      <c r="L45" s="1118">
        <f t="shared" si="25"/>
        <v>35928.477580639992</v>
      </c>
      <c r="M45" s="1118">
        <f t="shared" si="25"/>
        <v>13079.267611560001</v>
      </c>
      <c r="N45" s="1118">
        <f t="shared" si="25"/>
        <v>5071.32</v>
      </c>
      <c r="O45" s="1118">
        <f t="shared" si="25"/>
        <v>0</v>
      </c>
      <c r="P45" s="1118">
        <f t="shared" si="25"/>
        <v>0</v>
      </c>
      <c r="Q45" s="1118">
        <f t="shared" si="25"/>
        <v>14769.707611559999</v>
      </c>
      <c r="R45" s="1118">
        <f t="shared" si="25"/>
        <v>3380.88</v>
      </c>
      <c r="S45" s="1118">
        <f t="shared" ref="S45:S46" si="26">Q45+L45+G45</f>
        <v>52669.407540899992</v>
      </c>
    </row>
    <row r="46" spans="1:19">
      <c r="A46" s="129"/>
      <c r="B46" s="129" t="s">
        <v>884</v>
      </c>
      <c r="C46" s="1118">
        <f>C37</f>
        <v>2631.2832840000015</v>
      </c>
      <c r="D46" s="1118">
        <f t="shared" ref="D46:R46" si="27">D37</f>
        <v>18548.132944399997</v>
      </c>
      <c r="E46" s="1118">
        <f t="shared" si="27"/>
        <v>0</v>
      </c>
      <c r="F46" s="1118">
        <f t="shared" si="27"/>
        <v>0</v>
      </c>
      <c r="G46" s="1118">
        <f t="shared" si="27"/>
        <v>18313.338669799996</v>
      </c>
      <c r="H46" s="1118">
        <f t="shared" si="27"/>
        <v>2866.0775586000013</v>
      </c>
      <c r="I46" s="1118">
        <f t="shared" si="27"/>
        <v>28511.146784533328</v>
      </c>
      <c r="J46" s="1118">
        <f t="shared" si="27"/>
        <v>0</v>
      </c>
      <c r="K46" s="1118">
        <f t="shared" si="27"/>
        <v>0</v>
      </c>
      <c r="L46" s="1118">
        <f t="shared" si="27"/>
        <v>29954.136561773332</v>
      </c>
      <c r="M46" s="1118">
        <f t="shared" si="27"/>
        <v>1423.0877813599998</v>
      </c>
      <c r="N46" s="1118">
        <f t="shared" si="27"/>
        <v>21806.129195133326</v>
      </c>
      <c r="O46" s="1118">
        <f t="shared" si="27"/>
        <v>0</v>
      </c>
      <c r="P46" s="1118">
        <f t="shared" si="27"/>
        <v>0</v>
      </c>
      <c r="Q46" s="1118">
        <f t="shared" si="27"/>
        <v>23229.216976493324</v>
      </c>
      <c r="R46" s="1118">
        <f t="shared" si="27"/>
        <v>0</v>
      </c>
      <c r="S46" s="1118">
        <f t="shared" si="26"/>
        <v>71496.692208066655</v>
      </c>
    </row>
    <row r="47" spans="1:19">
      <c r="A47" s="129"/>
      <c r="B47" s="129" t="s">
        <v>874</v>
      </c>
      <c r="C47" s="1118">
        <f>C35</f>
        <v>7283.44779809999</v>
      </c>
      <c r="D47" s="1118">
        <f t="shared" ref="D47:R47" si="28">D35</f>
        <v>47394.171751600006</v>
      </c>
      <c r="E47" s="1118">
        <f t="shared" si="28"/>
        <v>89.343846099999993</v>
      </c>
      <c r="F47" s="1118">
        <f t="shared" si="28"/>
        <v>1284.8395090000001</v>
      </c>
      <c r="G47" s="1118">
        <f t="shared" si="28"/>
        <v>40874.196613300002</v>
      </c>
      <c r="H47" s="1118">
        <f t="shared" si="28"/>
        <v>15177.606291499982</v>
      </c>
      <c r="I47" s="1118">
        <f t="shared" si="28"/>
        <v>56636.633024231734</v>
      </c>
      <c r="J47" s="1118">
        <f t="shared" si="28"/>
        <v>20.034417999999999</v>
      </c>
      <c r="K47" s="1118">
        <f t="shared" si="28"/>
        <v>732.15869879999991</v>
      </c>
      <c r="L47" s="1118">
        <f t="shared" si="28"/>
        <v>59559.444594174565</v>
      </c>
      <c r="M47" s="1118">
        <f t="shared" si="28"/>
        <v>13006.987838357143</v>
      </c>
      <c r="N47" s="1118">
        <f t="shared" si="28"/>
        <v>33178.412604923979</v>
      </c>
      <c r="O47" s="1118">
        <f t="shared" si="28"/>
        <v>29.75</v>
      </c>
      <c r="P47" s="1118">
        <f t="shared" si="28"/>
        <v>1629.5151264884803</v>
      </c>
      <c r="Q47" s="1118">
        <f t="shared" si="28"/>
        <v>29781.065569769598</v>
      </c>
      <c r="R47" s="1118">
        <f t="shared" si="28"/>
        <v>18063.599999999999</v>
      </c>
      <c r="S47" s="1118">
        <f>Q47+L47+G47</f>
        <v>130214.70677724417</v>
      </c>
    </row>
    <row r="48" spans="1:19">
      <c r="A48" s="129"/>
      <c r="B48" s="129" t="s">
        <v>885</v>
      </c>
      <c r="C48" s="1118">
        <f>C36</f>
        <v>315.62279319999965</v>
      </c>
      <c r="D48" s="1118">
        <f t="shared" ref="D48:R48" si="29">D36</f>
        <v>8412.8314768000091</v>
      </c>
      <c r="E48" s="1118">
        <f t="shared" si="29"/>
        <v>0</v>
      </c>
      <c r="F48" s="1118">
        <f t="shared" si="29"/>
        <v>0</v>
      </c>
      <c r="G48" s="1118">
        <f t="shared" si="29"/>
        <v>3819.9078303000006</v>
      </c>
      <c r="H48" s="1118">
        <f t="shared" si="29"/>
        <v>4908.5464397000078</v>
      </c>
      <c r="I48" s="1118">
        <f t="shared" si="29"/>
        <v>9019.8050065999923</v>
      </c>
      <c r="J48" s="1118">
        <f t="shared" si="29"/>
        <v>0</v>
      </c>
      <c r="K48" s="1118">
        <f t="shared" si="29"/>
        <v>0</v>
      </c>
      <c r="L48" s="1118">
        <f t="shared" si="29"/>
        <v>13328.351446299999</v>
      </c>
      <c r="M48" s="1118">
        <f t="shared" si="29"/>
        <v>600</v>
      </c>
      <c r="N48" s="1118">
        <f t="shared" si="29"/>
        <v>11013.046200000001</v>
      </c>
      <c r="O48" s="1118">
        <f t="shared" si="29"/>
        <v>0</v>
      </c>
      <c r="P48" s="1118">
        <f t="shared" si="29"/>
        <v>0</v>
      </c>
      <c r="Q48" s="1118">
        <f t="shared" si="29"/>
        <v>9410.4369600000009</v>
      </c>
      <c r="R48" s="1118">
        <f t="shared" si="29"/>
        <v>2202.6092400000002</v>
      </c>
      <c r="S48" s="1118">
        <f t="shared" ref="S48:S49" si="30">Q48+L48+G48</f>
        <v>26558.696236600001</v>
      </c>
    </row>
    <row r="49" spans="2:19">
      <c r="B49" s="129"/>
      <c r="C49" s="1118">
        <f>SUM(C44:C48)</f>
        <v>16470.162345399989</v>
      </c>
      <c r="D49" s="1118">
        <f t="shared" ref="D49:R49" si="31">SUM(D44:D48)</f>
        <v>88700.286038800012</v>
      </c>
      <c r="E49" s="1118">
        <f t="shared" si="31"/>
        <v>89.343846099999993</v>
      </c>
      <c r="F49" s="1118">
        <f t="shared" si="31"/>
        <v>1284.8395090000001</v>
      </c>
      <c r="G49" s="1118">
        <f>SUM(G45:G48)</f>
        <v>64978.665462099998</v>
      </c>
      <c r="H49" s="1118">
        <f t="shared" ref="H49:N49" si="32">SUM(H45:H48)</f>
        <v>41565.966277199979</v>
      </c>
      <c r="I49" s="1118">
        <f t="shared" si="32"/>
        <v>124561.59402016507</v>
      </c>
      <c r="J49" s="1118">
        <f t="shared" si="32"/>
        <v>20.034417999999999</v>
      </c>
      <c r="K49" s="1118">
        <f t="shared" si="32"/>
        <v>732.15869879999991</v>
      </c>
      <c r="L49" s="1118">
        <f t="shared" si="32"/>
        <v>138770.41018288789</v>
      </c>
      <c r="M49" s="1118">
        <f t="shared" si="32"/>
        <v>28109.343231277144</v>
      </c>
      <c r="N49" s="1118">
        <f t="shared" si="32"/>
        <v>71068.908000057301</v>
      </c>
      <c r="O49" s="1118">
        <f t="shared" si="31"/>
        <v>29.75</v>
      </c>
      <c r="P49" s="1118">
        <f t="shared" si="31"/>
        <v>1629.5151264884803</v>
      </c>
      <c r="Q49" s="1118">
        <f t="shared" si="31"/>
        <v>77190.427117822939</v>
      </c>
      <c r="R49" s="1118">
        <f t="shared" si="31"/>
        <v>23647.089240000001</v>
      </c>
      <c r="S49" s="1118">
        <f t="shared" si="30"/>
        <v>280939.50276281085</v>
      </c>
    </row>
    <row r="50" spans="2:19">
      <c r="B50" s="129"/>
      <c r="C50" s="1118"/>
      <c r="D50" s="1118"/>
      <c r="E50" s="1118"/>
      <c r="F50" s="1118"/>
      <c r="G50" s="1118"/>
      <c r="H50" s="129"/>
      <c r="I50" s="128"/>
      <c r="J50" s="128"/>
      <c r="K50" s="128"/>
      <c r="L50" s="128"/>
      <c r="M50" s="128"/>
      <c r="N50" s="128"/>
      <c r="O50" s="128"/>
      <c r="P50" s="128"/>
      <c r="Q50" s="128"/>
      <c r="R50" s="128"/>
      <c r="S50" s="129"/>
    </row>
    <row r="51" spans="2:19">
      <c r="B51" s="1664">
        <v>0.7</v>
      </c>
      <c r="C51" s="1118">
        <f>C47*$B$51</f>
        <v>5098.4134586699929</v>
      </c>
      <c r="D51" s="1118">
        <f t="shared" ref="D51:R51" si="33">D47*$B$51</f>
        <v>33175.920226120004</v>
      </c>
      <c r="E51" s="1118">
        <f t="shared" si="33"/>
        <v>62.540692269999994</v>
      </c>
      <c r="F51" s="1118">
        <f t="shared" si="33"/>
        <v>899.3876563</v>
      </c>
      <c r="G51" s="1118">
        <f t="shared" si="33"/>
        <v>28611.937629309999</v>
      </c>
      <c r="H51" s="1118">
        <f t="shared" si="33"/>
        <v>10624.324404049987</v>
      </c>
      <c r="I51" s="1118">
        <f t="shared" si="33"/>
        <v>39645.643116962208</v>
      </c>
      <c r="J51" s="1118">
        <f t="shared" si="33"/>
        <v>14.024092599999998</v>
      </c>
      <c r="K51" s="1118">
        <f t="shared" si="33"/>
        <v>512.51108915999987</v>
      </c>
      <c r="L51" s="1118">
        <f t="shared" si="33"/>
        <v>41691.611215922196</v>
      </c>
      <c r="M51" s="1118">
        <f t="shared" si="33"/>
        <v>9104.8914868499996</v>
      </c>
      <c r="N51" s="1118">
        <f t="shared" si="33"/>
        <v>23224.888823446785</v>
      </c>
      <c r="O51" s="1118">
        <f t="shared" si="33"/>
        <v>20.824999999999999</v>
      </c>
      <c r="P51" s="1118">
        <f t="shared" si="33"/>
        <v>1140.660588541936</v>
      </c>
      <c r="Q51" s="1118">
        <f t="shared" si="33"/>
        <v>20846.745898838719</v>
      </c>
      <c r="R51" s="1118">
        <f t="shared" si="33"/>
        <v>12644.519999999999</v>
      </c>
      <c r="S51" s="129"/>
    </row>
    <row r="52" spans="2:19">
      <c r="B52" s="1664">
        <v>0.3</v>
      </c>
      <c r="C52" s="1118">
        <f>C47*$B$52</f>
        <v>2185.0343394299971</v>
      </c>
      <c r="D52" s="1118">
        <f t="shared" ref="D52:R52" si="34">D47*$B$52</f>
        <v>14218.251525480002</v>
      </c>
      <c r="E52" s="1118">
        <f t="shared" si="34"/>
        <v>26.803153829999996</v>
      </c>
      <c r="F52" s="1118">
        <f t="shared" si="34"/>
        <v>385.45185270000002</v>
      </c>
      <c r="G52" s="1118">
        <f t="shared" si="34"/>
        <v>12262.258983990001</v>
      </c>
      <c r="H52" s="1118">
        <f t="shared" si="34"/>
        <v>4553.2818874499944</v>
      </c>
      <c r="I52" s="1118">
        <f t="shared" si="34"/>
        <v>16990.989907269519</v>
      </c>
      <c r="J52" s="1118">
        <f t="shared" si="34"/>
        <v>6.0103253999999993</v>
      </c>
      <c r="K52" s="1118">
        <f t="shared" si="34"/>
        <v>219.64760963999996</v>
      </c>
      <c r="L52" s="1118">
        <f t="shared" si="34"/>
        <v>17867.83337825237</v>
      </c>
      <c r="M52" s="1118">
        <f t="shared" si="34"/>
        <v>3902.0963515071426</v>
      </c>
      <c r="N52" s="1118">
        <f t="shared" si="34"/>
        <v>9953.5237814771936</v>
      </c>
      <c r="O52" s="1118">
        <f t="shared" si="34"/>
        <v>8.9249999999999989</v>
      </c>
      <c r="P52" s="1118">
        <f t="shared" si="34"/>
        <v>488.85453794654404</v>
      </c>
      <c r="Q52" s="1118">
        <f t="shared" si="34"/>
        <v>8934.3196709308795</v>
      </c>
      <c r="R52" s="1118">
        <f t="shared" si="34"/>
        <v>5419.079999999999</v>
      </c>
      <c r="S52" s="129"/>
    </row>
    <row r="53" spans="2:19">
      <c r="B53" s="129"/>
      <c r="C53" s="1118"/>
      <c r="D53" s="1118"/>
      <c r="E53" s="1118"/>
      <c r="F53" s="1118"/>
      <c r="G53" s="1118"/>
      <c r="H53" s="129"/>
      <c r="I53" s="128"/>
      <c r="J53" s="128"/>
      <c r="K53" s="128"/>
      <c r="L53" s="128"/>
      <c r="M53" s="128"/>
      <c r="N53" s="128"/>
      <c r="O53" s="128"/>
      <c r="P53" s="128"/>
      <c r="Q53" s="128"/>
      <c r="R53" s="128"/>
      <c r="S53" s="129"/>
    </row>
    <row r="54" spans="2:19">
      <c r="B54" s="129"/>
      <c r="C54" s="1118"/>
      <c r="D54" s="1118"/>
      <c r="E54" s="1118"/>
      <c r="F54" s="1118"/>
      <c r="G54" s="1118"/>
      <c r="H54" s="129"/>
      <c r="I54" s="128"/>
      <c r="J54" s="128"/>
      <c r="K54" s="128"/>
      <c r="L54" s="128"/>
      <c r="M54" s="128"/>
      <c r="N54" s="128"/>
      <c r="O54" s="128"/>
      <c r="P54" s="128"/>
      <c r="Q54" s="128"/>
      <c r="R54" s="128"/>
      <c r="S54" s="129"/>
    </row>
    <row r="55" spans="2:19" hidden="1">
      <c r="B55" s="129"/>
      <c r="C55" s="1118"/>
      <c r="D55" s="1118"/>
      <c r="E55" s="1118"/>
      <c r="F55" s="1118"/>
      <c r="G55" s="1118"/>
      <c r="H55" s="129"/>
      <c r="I55" s="128"/>
      <c r="J55" s="128"/>
      <c r="K55" s="128"/>
      <c r="L55" s="128"/>
      <c r="M55" s="128"/>
      <c r="N55" s="128"/>
      <c r="O55" s="128"/>
      <c r="P55" s="128"/>
      <c r="Q55" s="128"/>
      <c r="R55" s="128"/>
      <c r="S55" s="129"/>
    </row>
    <row r="56" spans="2:19" ht="13.5" hidden="1" thickBot="1">
      <c r="B56" s="129"/>
      <c r="C56" s="1118"/>
      <c r="D56" s="1118"/>
      <c r="E56" s="1118"/>
      <c r="F56" s="1118"/>
      <c r="G56" s="1118"/>
      <c r="H56" s="129"/>
      <c r="I56" s="128"/>
      <c r="J56" s="128"/>
      <c r="K56" s="128"/>
      <c r="L56" s="128"/>
      <c r="M56" s="128"/>
      <c r="N56" s="128"/>
      <c r="O56" s="128"/>
      <c r="P56" s="128"/>
      <c r="Q56" s="128"/>
      <c r="R56" s="128"/>
      <c r="S56" s="129"/>
    </row>
    <row r="57" spans="2:19" hidden="1">
      <c r="B57" s="129"/>
      <c r="C57" s="129"/>
      <c r="D57" s="129"/>
      <c r="E57" s="129"/>
      <c r="F57" s="129"/>
      <c r="G57" s="129"/>
      <c r="H57" s="887"/>
      <c r="I57" s="2513" t="s">
        <v>886</v>
      </c>
      <c r="J57" s="2513"/>
      <c r="K57" s="2513"/>
      <c r="L57" s="2513"/>
      <c r="M57" s="2513" t="s">
        <v>175</v>
      </c>
      <c r="N57" s="2513"/>
      <c r="O57" s="2513"/>
      <c r="P57" s="2513"/>
      <c r="Q57" s="129"/>
      <c r="R57" s="129"/>
      <c r="S57" s="129"/>
    </row>
    <row r="58" spans="2:19" ht="13.5" hidden="1" thickBot="1">
      <c r="B58" s="124" t="s">
        <v>887</v>
      </c>
      <c r="C58" s="124" t="s">
        <v>840</v>
      </c>
      <c r="D58" s="124" t="s">
        <v>841</v>
      </c>
      <c r="E58" s="124" t="s">
        <v>842</v>
      </c>
      <c r="F58" s="129"/>
      <c r="G58" s="129"/>
      <c r="H58" s="849" t="s">
        <v>888</v>
      </c>
      <c r="I58" s="888" t="s">
        <v>889</v>
      </c>
      <c r="J58" s="888" t="s">
        <v>890</v>
      </c>
      <c r="K58" s="888" t="s">
        <v>891</v>
      </c>
      <c r="L58" s="888" t="s">
        <v>892</v>
      </c>
      <c r="M58" s="888" t="s">
        <v>889</v>
      </c>
      <c r="N58" s="888" t="s">
        <v>890</v>
      </c>
      <c r="O58" s="888" t="s">
        <v>891</v>
      </c>
      <c r="P58" s="888" t="s">
        <v>892</v>
      </c>
      <c r="Q58" s="129"/>
      <c r="R58" s="129"/>
      <c r="S58" s="129"/>
    </row>
    <row r="59" spans="2:19" ht="13.5" hidden="1" thickBot="1">
      <c r="B59" s="124" t="s">
        <v>844</v>
      </c>
      <c r="C59" s="307">
        <f>C38/10^2</f>
        <v>164.7016234539999</v>
      </c>
      <c r="D59" s="2401">
        <f>C63+C64</f>
        <v>415.65966277199971</v>
      </c>
      <c r="E59" s="2401">
        <f>D63+D64</f>
        <v>281.09343231277148</v>
      </c>
      <c r="F59" s="129"/>
      <c r="G59" s="129"/>
      <c r="H59" s="889" t="s">
        <v>893</v>
      </c>
      <c r="I59" s="2402">
        <f t="shared" ref="I59:J61" si="35">H18/10^2</f>
        <v>5.1398850459999981</v>
      </c>
      <c r="J59" s="2402">
        <f t="shared" si="35"/>
        <v>10.914456181999999</v>
      </c>
      <c r="K59" s="2402">
        <f>L18/10^2</f>
        <v>9.6874874663999986</v>
      </c>
      <c r="L59" s="2402">
        <f>I59+J59-K59</f>
        <v>6.3668537615999998</v>
      </c>
      <c r="M59" s="2402">
        <f>L59</f>
        <v>6.3668537615999998</v>
      </c>
      <c r="N59" s="2402">
        <f>N18/10^2</f>
        <v>0</v>
      </c>
      <c r="O59" s="2402">
        <f>Q18/10^2</f>
        <v>6.3668537615999989</v>
      </c>
      <c r="P59" s="2402">
        <f>M59+N59-O59</f>
        <v>0</v>
      </c>
      <c r="Q59" s="129"/>
      <c r="R59" s="129"/>
      <c r="S59" s="129"/>
    </row>
    <row r="60" spans="2:19" ht="13.5" hidden="1" thickBot="1">
      <c r="B60" s="124" t="s">
        <v>846</v>
      </c>
      <c r="C60" s="130">
        <f>SUM(D38:F38)/10^2</f>
        <v>900.74469393899994</v>
      </c>
      <c r="D60" s="130">
        <f>SUM(I38+J38+K38)/10^2</f>
        <v>1253.1378713696506</v>
      </c>
      <c r="E60" s="130">
        <f>SUM(N38:P38)/10^2</f>
        <v>727.28173126545778</v>
      </c>
      <c r="F60" s="129"/>
      <c r="G60" s="129"/>
      <c r="H60" s="889" t="s">
        <v>894</v>
      </c>
      <c r="I60" s="2402">
        <f t="shared" si="35"/>
        <v>56.222096037999911</v>
      </c>
      <c r="J60" s="2402">
        <f t="shared" si="35"/>
        <v>91.332705593000071</v>
      </c>
      <c r="K60" s="2402">
        <f>L19/10^2</f>
        <v>104.68447275539998</v>
      </c>
      <c r="L60" s="2402">
        <f>I60+J60-K60</f>
        <v>42.870328875599995</v>
      </c>
      <c r="M60" s="2402">
        <f>L60</f>
        <v>42.870328875599995</v>
      </c>
      <c r="N60" s="2402">
        <f>N19/10^2</f>
        <v>0</v>
      </c>
      <c r="O60" s="2402">
        <f>Q19/10^2</f>
        <v>42.870328875599995</v>
      </c>
      <c r="P60" s="2402">
        <f>M60+N60-O60</f>
        <v>0</v>
      </c>
      <c r="Q60" s="129"/>
      <c r="R60" s="129"/>
      <c r="S60" s="129"/>
    </row>
    <row r="61" spans="2:19" ht="13.5" hidden="1" thickBot="1">
      <c r="B61" s="124" t="s">
        <v>848</v>
      </c>
      <c r="C61" s="2403">
        <f>(C38-H38)/10^2</f>
        <v>-250.95803931799983</v>
      </c>
      <c r="D61" s="2403">
        <f>(H18+H29)/10^2</f>
        <v>86.686082462999948</v>
      </c>
      <c r="E61" s="2401">
        <f>E59-20.01</f>
        <v>261.08343231277149</v>
      </c>
      <c r="F61" s="129"/>
      <c r="G61" s="129"/>
      <c r="H61" s="889" t="s">
        <v>895</v>
      </c>
      <c r="I61" s="2402">
        <f t="shared" si="35"/>
        <v>0.81631389899999973</v>
      </c>
      <c r="J61" s="2402">
        <f t="shared" si="35"/>
        <v>-0.81631389899999973</v>
      </c>
      <c r="K61" s="2402">
        <f>L20/10^2</f>
        <v>0</v>
      </c>
      <c r="L61" s="2402">
        <f>I61+J61-K61</f>
        <v>0</v>
      </c>
      <c r="M61" s="2402">
        <f>L61</f>
        <v>0</v>
      </c>
      <c r="N61" s="2402">
        <f>N20/10^2</f>
        <v>0</v>
      </c>
      <c r="O61" s="2402">
        <f>Q20/10^2</f>
        <v>0</v>
      </c>
      <c r="P61" s="2402">
        <f>M61+N61-O61</f>
        <v>0</v>
      </c>
      <c r="Q61" s="129"/>
      <c r="R61" s="129"/>
      <c r="S61" s="129"/>
    </row>
    <row r="62" spans="2:19" ht="13.5" hidden="1" thickBot="1">
      <c r="B62" s="124" t="s">
        <v>850</v>
      </c>
      <c r="C62" s="2403">
        <f>C60</f>
        <v>900.74469393899994</v>
      </c>
      <c r="D62" s="2403">
        <f>L38/10^2-D61</f>
        <v>1301.0180193658789</v>
      </c>
      <c r="E62" s="2403">
        <f>Q38/10^2-E61</f>
        <v>510.82083886545774</v>
      </c>
      <c r="F62" s="129"/>
      <c r="G62" s="129"/>
      <c r="H62" s="889" t="s">
        <v>896</v>
      </c>
      <c r="I62" s="2402">
        <f>H29/10^2</f>
        <v>81.546197416999959</v>
      </c>
      <c r="J62" s="2402">
        <f>I29/10^2</f>
        <v>-1.2193261419999726</v>
      </c>
      <c r="K62" s="2402">
        <f>L29/10^2</f>
        <v>80.326871274999988</v>
      </c>
      <c r="L62" s="2402">
        <f>I62+J62-K62</f>
        <v>0</v>
      </c>
      <c r="M62" s="2402">
        <f>L62</f>
        <v>0</v>
      </c>
      <c r="N62" s="2402">
        <f>N29/10^2</f>
        <v>0</v>
      </c>
      <c r="O62" s="2402">
        <f>Q29/10^2</f>
        <v>0</v>
      </c>
      <c r="P62" s="2402">
        <f>M62+N62-O62</f>
        <v>0</v>
      </c>
      <c r="Q62" s="129"/>
      <c r="R62" s="129"/>
      <c r="S62" s="129"/>
    </row>
    <row r="63" spans="2:19" ht="13.5" hidden="1" thickBot="1">
      <c r="B63" s="124" t="s">
        <v>852</v>
      </c>
      <c r="C63" s="2401">
        <f t="shared" ref="C63:E64" si="36">C59-C61</f>
        <v>415.65966277199971</v>
      </c>
      <c r="D63" s="2401">
        <f t="shared" si="36"/>
        <v>328.97358030899977</v>
      </c>
      <c r="E63" s="2401">
        <f t="shared" si="36"/>
        <v>20.009999999999991</v>
      </c>
      <c r="F63" s="129"/>
      <c r="G63" s="129"/>
      <c r="H63" s="889" t="s">
        <v>897</v>
      </c>
      <c r="I63" s="2402">
        <f>H32/10^2</f>
        <v>0</v>
      </c>
      <c r="J63" s="2402">
        <f>I32/10^2</f>
        <v>7.8720000000000008</v>
      </c>
      <c r="K63" s="2402">
        <f>L32/10^2</f>
        <v>4.92</v>
      </c>
      <c r="L63" s="2402">
        <f>I63+J63-K63</f>
        <v>2.9520000000000008</v>
      </c>
      <c r="M63" s="2402">
        <f>L63</f>
        <v>2.9520000000000008</v>
      </c>
      <c r="N63" s="2402">
        <f>N32/10^2</f>
        <v>4.4279999999999999</v>
      </c>
      <c r="O63" s="2402">
        <f>Q32/10^2</f>
        <v>4.4279999999999999</v>
      </c>
      <c r="P63" s="2402">
        <f>M63+N63-O63</f>
        <v>2.9520000000000008</v>
      </c>
      <c r="Q63" s="129"/>
      <c r="R63" s="129"/>
      <c r="S63" s="129"/>
    </row>
    <row r="64" spans="2:19" ht="13.5" hidden="1" thickBot="1">
      <c r="B64" s="124" t="s">
        <v>854</v>
      </c>
      <c r="C64" s="130">
        <f t="shared" si="36"/>
        <v>0</v>
      </c>
      <c r="D64" s="130">
        <f t="shared" si="36"/>
        <v>-47.880147996228288</v>
      </c>
      <c r="E64" s="130">
        <f t="shared" si="36"/>
        <v>216.46089240000003</v>
      </c>
      <c r="F64" s="129"/>
      <c r="G64" s="129"/>
      <c r="H64" s="890" t="s">
        <v>239</v>
      </c>
      <c r="I64" s="891">
        <f t="shared" ref="I64:P64" si="37">SUM(I59:I63)</f>
        <v>143.72449239999986</v>
      </c>
      <c r="J64" s="891">
        <f t="shared" si="37"/>
        <v>108.0835217340001</v>
      </c>
      <c r="K64" s="891">
        <f t="shared" si="37"/>
        <v>199.61883149679997</v>
      </c>
      <c r="L64" s="891">
        <f t="shared" si="37"/>
        <v>52.189182637199991</v>
      </c>
      <c r="M64" s="891">
        <f t="shared" si="37"/>
        <v>52.189182637199991</v>
      </c>
      <c r="N64" s="891">
        <f t="shared" si="37"/>
        <v>4.4279999999999999</v>
      </c>
      <c r="O64" s="891">
        <f t="shared" si="37"/>
        <v>53.66518263719999</v>
      </c>
      <c r="P64" s="891">
        <f t="shared" si="37"/>
        <v>2.9520000000000008</v>
      </c>
      <c r="Q64" s="129"/>
      <c r="R64" s="129"/>
      <c r="S64" s="129"/>
    </row>
    <row r="65" spans="7:10" ht="13.5" hidden="1" thickTop="1">
      <c r="G65" s="129"/>
      <c r="H65" s="129"/>
      <c r="I65" s="129"/>
      <c r="J65" s="129"/>
    </row>
    <row r="66" spans="7:10" ht="13.5" hidden="1" thickBot="1">
      <c r="G66" s="129" t="s">
        <v>898</v>
      </c>
      <c r="H66" s="129"/>
      <c r="I66" s="129"/>
      <c r="J66" s="129"/>
    </row>
    <row r="67" spans="7:10" ht="13.5" hidden="1" thickBot="1">
      <c r="G67" s="879" t="s">
        <v>899</v>
      </c>
      <c r="H67" s="880" t="s">
        <v>887</v>
      </c>
      <c r="I67" s="880" t="s">
        <v>900</v>
      </c>
      <c r="J67" s="879" t="s">
        <v>901</v>
      </c>
    </row>
    <row r="68" spans="7:10" ht="39" hidden="1" thickBot="1">
      <c r="G68" s="881">
        <v>1</v>
      </c>
      <c r="H68" s="880" t="s">
        <v>857</v>
      </c>
      <c r="I68" s="882" t="s">
        <v>902</v>
      </c>
      <c r="J68" s="885">
        <f t="shared" ref="J68:J77" si="38">H18/10^2</f>
        <v>5.1398850459999981</v>
      </c>
    </row>
    <row r="69" spans="7:10" ht="51.75" hidden="1" thickBot="1">
      <c r="G69" s="881">
        <v>2</v>
      </c>
      <c r="H69" s="880" t="s">
        <v>858</v>
      </c>
      <c r="I69" s="882" t="s">
        <v>902</v>
      </c>
      <c r="J69" s="885">
        <f t="shared" si="38"/>
        <v>56.222096037999911</v>
      </c>
    </row>
    <row r="70" spans="7:10" ht="26.25" hidden="1" thickBot="1">
      <c r="G70" s="881">
        <v>3</v>
      </c>
      <c r="H70" s="880" t="s">
        <v>903</v>
      </c>
      <c r="I70" s="882" t="s">
        <v>902</v>
      </c>
      <c r="J70" s="885">
        <f t="shared" si="38"/>
        <v>0.81631389899999973</v>
      </c>
    </row>
    <row r="71" spans="7:10" ht="39" hidden="1" thickBot="1">
      <c r="G71" s="881">
        <v>4</v>
      </c>
      <c r="H71" s="880" t="s">
        <v>904</v>
      </c>
      <c r="I71" s="882" t="s">
        <v>902</v>
      </c>
      <c r="J71" s="885">
        <f t="shared" si="38"/>
        <v>6.8766289999999345E-3</v>
      </c>
    </row>
    <row r="72" spans="7:10" ht="13.5" hidden="1" thickBot="1">
      <c r="G72" s="881">
        <v>5</v>
      </c>
      <c r="H72" s="880" t="s">
        <v>905</v>
      </c>
      <c r="I72" s="883" t="s">
        <v>902</v>
      </c>
      <c r="J72" s="885">
        <f t="shared" si="38"/>
        <v>1.7259169799999998</v>
      </c>
    </row>
    <row r="73" spans="7:10" ht="13.5" hidden="1" thickBot="1">
      <c r="G73" s="881">
        <v>6</v>
      </c>
      <c r="H73" s="880" t="s">
        <v>906</v>
      </c>
      <c r="I73" s="2404"/>
      <c r="J73" s="885">
        <f t="shared" si="38"/>
        <v>0.68351061099999921</v>
      </c>
    </row>
    <row r="74" spans="7:10" ht="26.25" hidden="1" thickBot="1">
      <c r="G74" s="881">
        <v>7</v>
      </c>
      <c r="H74" s="880" t="s">
        <v>862</v>
      </c>
      <c r="I74" s="2404"/>
      <c r="J74" s="885">
        <f t="shared" si="38"/>
        <v>5.5588816350000014</v>
      </c>
    </row>
    <row r="75" spans="7:10" ht="13.5" hidden="1" thickBot="1">
      <c r="G75" s="881">
        <v>8</v>
      </c>
      <c r="H75" s="880" t="s">
        <v>907</v>
      </c>
      <c r="I75" s="2404"/>
      <c r="J75" s="885">
        <f t="shared" si="38"/>
        <v>3.7242550939999877</v>
      </c>
    </row>
    <row r="76" spans="7:10" ht="13.5" hidden="1" thickBot="1">
      <c r="G76" s="881">
        <v>9</v>
      </c>
      <c r="H76" s="880" t="s">
        <v>908</v>
      </c>
      <c r="I76" s="2404"/>
      <c r="J76" s="885">
        <f t="shared" si="38"/>
        <v>26.704547975000001</v>
      </c>
    </row>
    <row r="77" spans="7:10" ht="26.25" hidden="1" thickBot="1">
      <c r="G77" s="881">
        <v>10</v>
      </c>
      <c r="H77" s="880" t="s">
        <v>909</v>
      </c>
      <c r="I77" s="2404"/>
      <c r="J77" s="885">
        <f t="shared" si="38"/>
        <v>0.94217477000000016</v>
      </c>
    </row>
    <row r="78" spans="7:10" ht="39" hidden="1" thickBot="1">
      <c r="G78" s="881">
        <v>11</v>
      </c>
      <c r="H78" s="880" t="s">
        <v>896</v>
      </c>
      <c r="I78" s="2404"/>
      <c r="J78" s="885">
        <f>H29/10^2</f>
        <v>81.546197416999959</v>
      </c>
    </row>
    <row r="79" spans="7:10" ht="13.5" hidden="1" thickBot="1">
      <c r="G79" s="881">
        <v>12</v>
      </c>
      <c r="H79" s="880" t="s">
        <v>874</v>
      </c>
      <c r="I79" s="2404"/>
      <c r="J79" s="885">
        <f>H30/10^2</f>
        <v>0.10620688999999998</v>
      </c>
    </row>
    <row r="80" spans="7:10" ht="26.25" hidden="1" thickBot="1">
      <c r="G80" s="881">
        <v>13</v>
      </c>
      <c r="H80" s="880" t="s">
        <v>876</v>
      </c>
      <c r="I80" s="2404"/>
      <c r="J80" s="885">
        <f>H32/10^2</f>
        <v>0</v>
      </c>
    </row>
    <row r="81" spans="7:12" ht="39" hidden="1" thickBot="1">
      <c r="G81" s="881">
        <v>14</v>
      </c>
      <c r="H81" s="880" t="s">
        <v>910</v>
      </c>
      <c r="I81" s="2404"/>
      <c r="J81" s="885">
        <f>H36/10^2</f>
        <v>49.085464397000081</v>
      </c>
      <c r="K81" s="129"/>
      <c r="L81" s="129"/>
    </row>
    <row r="82" spans="7:12" ht="26.25" hidden="1" thickBot="1">
      <c r="G82" s="881">
        <v>15</v>
      </c>
      <c r="H82" s="880" t="s">
        <v>911</v>
      </c>
      <c r="I82" s="2404"/>
      <c r="J82" s="885">
        <f>H37/10^2</f>
        <v>28.660775586000014</v>
      </c>
      <c r="K82" s="129"/>
      <c r="L82" s="129"/>
    </row>
    <row r="83" spans="7:12" ht="13.5" hidden="1" thickBot="1">
      <c r="G83" s="2404"/>
      <c r="H83" s="884" t="s">
        <v>239</v>
      </c>
      <c r="I83" s="2404"/>
      <c r="J83" s="885">
        <f>SUM(J68:J82)</f>
        <v>260.92310296699992</v>
      </c>
      <c r="K83" s="129"/>
      <c r="L83" s="129"/>
    </row>
    <row r="84" spans="7:12" hidden="1">
      <c r="G84" s="129"/>
      <c r="H84" s="129"/>
      <c r="I84" s="129"/>
      <c r="J84" s="129"/>
      <c r="K84" s="129"/>
      <c r="L84" s="129"/>
    </row>
    <row r="85" spans="7:12" hidden="1">
      <c r="G85" s="129"/>
      <c r="H85" s="129"/>
      <c r="I85" s="129"/>
      <c r="J85" s="129"/>
      <c r="K85" s="129"/>
      <c r="L85" s="129"/>
    </row>
    <row r="86" spans="7:12" hidden="1">
      <c r="G86" s="129"/>
      <c r="H86" s="129"/>
      <c r="I86" s="129"/>
      <c r="J86" s="129"/>
      <c r="K86" s="129"/>
      <c r="L86" s="129"/>
    </row>
    <row r="87" spans="7:12" ht="13.5" hidden="1" thickBot="1">
      <c r="G87" s="129"/>
      <c r="H87" s="129"/>
      <c r="I87" s="129"/>
      <c r="J87" s="129"/>
      <c r="K87" s="129"/>
      <c r="L87" s="129"/>
    </row>
    <row r="88" spans="7:12" hidden="1">
      <c r="G88" s="886" t="s">
        <v>912</v>
      </c>
      <c r="H88" s="887" t="s">
        <v>913</v>
      </c>
      <c r="I88" s="886" t="s">
        <v>914</v>
      </c>
      <c r="J88" s="2513" t="s">
        <v>915</v>
      </c>
      <c r="K88" s="2513"/>
      <c r="L88" s="2513"/>
    </row>
    <row r="89" spans="7:12" ht="13.5" hidden="1" thickBot="1">
      <c r="G89" s="2405"/>
      <c r="H89" s="2405"/>
      <c r="I89" s="2405"/>
      <c r="J89" s="888" t="s">
        <v>841</v>
      </c>
      <c r="K89" s="888" t="s">
        <v>842</v>
      </c>
      <c r="L89" s="888" t="s">
        <v>239</v>
      </c>
    </row>
    <row r="90" spans="7:12" ht="13.5" hidden="1" thickBot="1">
      <c r="G90" s="2406">
        <v>1</v>
      </c>
      <c r="H90" s="889" t="s">
        <v>916</v>
      </c>
      <c r="I90" s="889">
        <v>25.11</v>
      </c>
      <c r="J90" s="889">
        <v>5.01</v>
      </c>
      <c r="K90" s="889">
        <v>0</v>
      </c>
      <c r="L90" s="889">
        <f>SUM(J90:K90)</f>
        <v>5.01</v>
      </c>
    </row>
    <row r="91" spans="7:12" hidden="1">
      <c r="G91" s="129"/>
      <c r="H91" s="129"/>
      <c r="I91" s="129"/>
      <c r="J91" s="129"/>
      <c r="K91" s="129"/>
      <c r="L91" s="129"/>
    </row>
  </sheetData>
  <mergeCells count="6">
    <mergeCell ref="C4:H4"/>
    <mergeCell ref="I4:M4"/>
    <mergeCell ref="N4:R4"/>
    <mergeCell ref="J88:L88"/>
    <mergeCell ref="I57:L57"/>
    <mergeCell ref="M57:P57"/>
  </mergeCells>
  <phoneticPr fontId="0" type="noConversion"/>
  <printOptions horizontalCentered="1"/>
  <pageMargins left="0.15748031496062992" right="0.15748031496062992" top="0.59055118110236227" bottom="0.23622047244094491" header="0.51181102362204722" footer="0.15748031496062992"/>
  <pageSetup scale="56" orientation="landscape" blackAndWhite="1"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G25"/>
  <sheetViews>
    <sheetView workbookViewId="0">
      <selection activeCell="C14" sqref="C14"/>
    </sheetView>
  </sheetViews>
  <sheetFormatPr defaultColWidth="9.140625" defaultRowHeight="12.75"/>
  <cols>
    <col min="1" max="1" width="36.85546875" style="728" customWidth="1"/>
    <col min="2" max="2" width="11.5703125" style="728" bestFit="1" customWidth="1"/>
    <col min="3" max="3" width="11.28515625" style="728" bestFit="1" customWidth="1"/>
    <col min="4" max="4" width="2.140625" style="728" customWidth="1"/>
    <col min="5" max="5" width="43.5703125" style="728" bestFit="1" customWidth="1"/>
    <col min="6" max="7" width="10.42578125" style="728" bestFit="1" customWidth="1"/>
    <col min="8" max="16384" width="9.140625" style="728"/>
  </cols>
  <sheetData>
    <row r="1" spans="1:7">
      <c r="A1" s="727" t="s">
        <v>917</v>
      </c>
    </row>
    <row r="2" spans="1:7">
      <c r="A2" s="727" t="s">
        <v>918</v>
      </c>
    </row>
    <row r="3" spans="1:7">
      <c r="A3" s="727" t="s">
        <v>919</v>
      </c>
    </row>
    <row r="4" spans="1:7">
      <c r="B4" s="728" t="s">
        <v>920</v>
      </c>
    </row>
    <row r="5" spans="1:7">
      <c r="A5" s="796" t="s">
        <v>921</v>
      </c>
      <c r="B5" s="797"/>
      <c r="C5" s="798"/>
      <c r="E5" s="796"/>
      <c r="F5" s="797"/>
      <c r="G5" s="798"/>
    </row>
    <row r="6" spans="1:7">
      <c r="A6" s="796" t="s">
        <v>887</v>
      </c>
      <c r="B6" s="797" t="s">
        <v>922</v>
      </c>
      <c r="C6" s="798" t="s">
        <v>923</v>
      </c>
      <c r="E6" s="796"/>
      <c r="F6" s="797"/>
      <c r="G6" s="798"/>
    </row>
    <row r="7" spans="1:7">
      <c r="A7" s="799" t="s">
        <v>916</v>
      </c>
      <c r="B7" s="1143">
        <f>'F-2'!H35</f>
        <v>15177.606291499982</v>
      </c>
      <c r="C7" s="1144">
        <f>B10</f>
        <v>12254.794721557148</v>
      </c>
      <c r="E7" s="799"/>
      <c r="G7" s="800"/>
    </row>
    <row r="8" spans="1:7">
      <c r="A8" s="799" t="s">
        <v>924</v>
      </c>
      <c r="B8" s="1143">
        <f>'F-2'!I35</f>
        <v>56636.633024231734</v>
      </c>
      <c r="C8" s="1144">
        <f>'F-2'!N35</f>
        <v>33178.412604923979</v>
      </c>
      <c r="E8" s="734"/>
      <c r="F8" s="731"/>
      <c r="G8" s="800"/>
    </row>
    <row r="9" spans="1:7">
      <c r="A9" s="799" t="s">
        <v>891</v>
      </c>
      <c r="B9" s="1300">
        <f>'F-2'!L35</f>
        <v>59559.444594174565</v>
      </c>
      <c r="C9" s="1301">
        <f>'F-2'!Q35</f>
        <v>29781.065569769598</v>
      </c>
      <c r="E9" s="734"/>
      <c r="F9" s="731"/>
      <c r="G9" s="800"/>
    </row>
    <row r="10" spans="1:7">
      <c r="A10" s="799" t="s">
        <v>925</v>
      </c>
      <c r="B10" s="1143">
        <f>B7+B8-B9</f>
        <v>12254.794721557148</v>
      </c>
      <c r="C10" s="1144">
        <f>C7+C8-C9</f>
        <v>15652.141756711528</v>
      </c>
      <c r="E10" s="734"/>
      <c r="F10" s="731"/>
      <c r="G10" s="800"/>
    </row>
    <row r="11" spans="1:7">
      <c r="A11" s="801" t="s">
        <v>926</v>
      </c>
      <c r="B11" s="1145">
        <f>+AVERAGE(B7,B10)</f>
        <v>13716.200506528565</v>
      </c>
      <c r="C11" s="1146">
        <f>+AVERAGE(C7,C10)</f>
        <v>13953.468239134338</v>
      </c>
      <c r="E11" s="734"/>
      <c r="F11" s="731"/>
      <c r="G11" s="800"/>
    </row>
    <row r="12" spans="1:7">
      <c r="B12" s="1147"/>
      <c r="C12" s="1147"/>
      <c r="E12" s="734"/>
      <c r="F12" s="731"/>
      <c r="G12" s="800"/>
    </row>
    <row r="13" spans="1:7">
      <c r="A13" s="796" t="s">
        <v>927</v>
      </c>
      <c r="B13" s="1148"/>
      <c r="C13" s="1149"/>
      <c r="E13" s="802"/>
      <c r="F13" s="803"/>
      <c r="G13" s="804"/>
    </row>
    <row r="14" spans="1:7">
      <c r="A14" s="734" t="s">
        <v>928</v>
      </c>
      <c r="B14" s="1147">
        <f>'Interest New'!L7</f>
        <v>32072.971867114997</v>
      </c>
      <c r="C14" s="1150">
        <f>B17</f>
        <v>30027.003768155002</v>
      </c>
    </row>
    <row r="15" spans="1:7">
      <c r="A15" s="734" t="s">
        <v>929</v>
      </c>
      <c r="B15" s="1147">
        <f>B8*70%</f>
        <v>39645.643116962208</v>
      </c>
      <c r="C15" s="1150">
        <f>C8*70%</f>
        <v>23224.888823446785</v>
      </c>
    </row>
    <row r="16" spans="1:7">
      <c r="A16" s="734" t="s">
        <v>930</v>
      </c>
      <c r="B16" s="1147">
        <f>B9*70%</f>
        <v>41691.611215922196</v>
      </c>
      <c r="C16" s="1150">
        <f>C9*70%</f>
        <v>20846.745898838719</v>
      </c>
    </row>
    <row r="17" spans="1:7">
      <c r="A17" s="802" t="s">
        <v>931</v>
      </c>
      <c r="B17" s="1151">
        <f>B14+B15-B16</f>
        <v>30027.003768155002</v>
      </c>
      <c r="C17" s="1152">
        <f>C14+C15-C16</f>
        <v>32405.146692763072</v>
      </c>
      <c r="E17" s="1154"/>
      <c r="F17" s="731"/>
      <c r="G17" s="731"/>
    </row>
    <row r="18" spans="1:7">
      <c r="B18" s="1147"/>
      <c r="C18" s="1147"/>
    </row>
    <row r="19" spans="1:7">
      <c r="A19" s="796" t="s">
        <v>932</v>
      </c>
      <c r="B19" s="1148"/>
      <c r="C19" s="1149"/>
    </row>
    <row r="20" spans="1:7">
      <c r="A20" s="805" t="s">
        <v>928</v>
      </c>
      <c r="B20" s="2407">
        <v>0</v>
      </c>
      <c r="C20" s="1153">
        <f>B23</f>
        <v>0</v>
      </c>
    </row>
    <row r="21" spans="1:7">
      <c r="A21" s="734" t="s">
        <v>933</v>
      </c>
      <c r="B21" s="1147">
        <f>AVERAGE(B14,B17)*'Interest New'!G15</f>
        <v>0</v>
      </c>
      <c r="C21" s="1150">
        <f>AVERAGE(C14,C17)*'Interest New'!H15</f>
        <v>0</v>
      </c>
    </row>
    <row r="22" spans="1:7">
      <c r="A22" s="734" t="s">
        <v>934</v>
      </c>
      <c r="B22" s="1147">
        <f>B21</f>
        <v>0</v>
      </c>
      <c r="C22" s="1147">
        <f>C21</f>
        <v>0</v>
      </c>
    </row>
    <row r="23" spans="1:7">
      <c r="A23" s="802" t="s">
        <v>935</v>
      </c>
      <c r="B23" s="1151">
        <f>B20+B21-B22</f>
        <v>0</v>
      </c>
      <c r="C23" s="1152">
        <f>C20+C21-C22</f>
        <v>0</v>
      </c>
    </row>
    <row r="24" spans="1:7">
      <c r="B24" s="1147"/>
      <c r="C24" s="1147"/>
    </row>
    <row r="25" spans="1:7">
      <c r="B25" s="731"/>
      <c r="C25" s="731"/>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S64"/>
  <sheetViews>
    <sheetView view="pageBreakPreview" topLeftCell="B41" zoomScale="120" zoomScaleNormal="100" zoomScaleSheetLayoutView="120" workbookViewId="0">
      <selection activeCell="B62" sqref="B62"/>
    </sheetView>
  </sheetViews>
  <sheetFormatPr defaultColWidth="9.140625" defaultRowHeight="12.75"/>
  <cols>
    <col min="1" max="1" width="16.85546875" hidden="1" customWidth="1"/>
    <col min="2" max="2" width="27.5703125" customWidth="1"/>
    <col min="3" max="3" width="13.140625" customWidth="1"/>
    <col min="4" max="4" width="13.5703125" customWidth="1"/>
    <col min="5" max="5" width="9.140625" customWidth="1"/>
    <col min="6" max="6" width="43.5703125" bestFit="1" customWidth="1"/>
    <col min="7" max="7" width="13.42578125" customWidth="1"/>
    <col min="8" max="8" width="12" customWidth="1"/>
    <col min="9" max="9" width="11.7109375" customWidth="1"/>
    <col min="10" max="10" width="13.42578125" hidden="1" customWidth="1"/>
    <col min="11" max="11" width="15" hidden="1" customWidth="1"/>
    <col min="12" max="12" width="8.7109375" hidden="1" customWidth="1"/>
    <col min="13" max="13" width="12.5703125" hidden="1" customWidth="1"/>
    <col min="14" max="14" width="13.5703125" hidden="1" customWidth="1"/>
    <col min="15" max="15" width="27.7109375" bestFit="1" customWidth="1"/>
    <col min="16" max="19" width="8.140625" bestFit="1" customWidth="1"/>
    <col min="20" max="20" width="34.85546875" customWidth="1"/>
    <col min="21" max="21" width="12.28515625" customWidth="1"/>
    <col min="22" max="22" width="14.7109375" customWidth="1"/>
    <col min="23" max="23" width="12.5703125" bestFit="1" customWidth="1"/>
    <col min="24" max="24" width="12.42578125" customWidth="1"/>
    <col min="25" max="25" width="12.85546875" bestFit="1" customWidth="1"/>
    <col min="26" max="26" width="11.7109375" customWidth="1"/>
    <col min="27" max="27" width="14.140625" customWidth="1"/>
    <col min="28" max="28" width="11.85546875" customWidth="1"/>
    <col min="29" max="29" width="14.7109375" customWidth="1"/>
    <col min="30" max="30" width="11.42578125" customWidth="1"/>
    <col min="34" max="34" width="11.42578125" customWidth="1"/>
    <col min="36" max="36" width="12" customWidth="1"/>
  </cols>
  <sheetData>
    <row r="1" spans="2:19">
      <c r="F1" s="796" t="s">
        <v>936</v>
      </c>
      <c r="G1" s="797"/>
      <c r="H1" s="798"/>
    </row>
    <row r="2" spans="2:19">
      <c r="F2" s="796" t="s">
        <v>887</v>
      </c>
      <c r="G2" s="797" t="s">
        <v>922</v>
      </c>
      <c r="H2" s="798" t="s">
        <v>923</v>
      </c>
      <c r="L2" s="1120" t="s">
        <v>937</v>
      </c>
      <c r="P2" s="1648" t="s">
        <v>938</v>
      </c>
      <c r="Q2" s="1648" t="s">
        <v>939</v>
      </c>
      <c r="R2" s="1603" t="s">
        <v>940</v>
      </c>
      <c r="S2" s="1603" t="s">
        <v>941</v>
      </c>
    </row>
    <row r="3" spans="2:19">
      <c r="B3" t="s">
        <v>942</v>
      </c>
      <c r="C3" s="1" t="s">
        <v>173</v>
      </c>
      <c r="D3" s="1" t="s">
        <v>171</v>
      </c>
      <c r="F3" s="1657" t="s">
        <v>943</v>
      </c>
      <c r="G3" s="1658">
        <f>'F-2'!L35</f>
        <v>59559.444594174565</v>
      </c>
      <c r="H3" s="1659">
        <f>'F-2'!Q35</f>
        <v>29781.065569769598</v>
      </c>
      <c r="I3" s="653">
        <f t="shared" ref="I3:J8" si="0">G3/10^2</f>
        <v>595.59444594174568</v>
      </c>
      <c r="J3" s="653">
        <f t="shared" si="0"/>
        <v>297.81065569769601</v>
      </c>
      <c r="L3" s="1587">
        <v>4360.1031999999996</v>
      </c>
      <c r="O3" s="1226" t="s">
        <v>943</v>
      </c>
      <c r="P3" s="1649">
        <v>66.402748689999996</v>
      </c>
      <c r="Q3" s="1649">
        <v>408.514077133</v>
      </c>
      <c r="R3" s="1650">
        <v>595.59</v>
      </c>
      <c r="S3" s="1650">
        <v>422.81</v>
      </c>
    </row>
    <row r="4" spans="2:19">
      <c r="B4" t="s">
        <v>944</v>
      </c>
      <c r="C4" s="1091">
        <f>'F-21'!E16*6.75%</f>
        <v>5776.8023956072511</v>
      </c>
      <c r="D4" s="1091">
        <f>'F-21'!F16*6.75%</f>
        <v>6316.8023956072511</v>
      </c>
      <c r="E4" s="827" t="s">
        <v>945</v>
      </c>
      <c r="F4" s="1657" t="s">
        <v>946</v>
      </c>
      <c r="G4" s="1658">
        <f>G3*70%</f>
        <v>41691.611215922196</v>
      </c>
      <c r="H4" s="1659">
        <f>H3*70%</f>
        <v>20846.745898838719</v>
      </c>
      <c r="I4" s="653">
        <f t="shared" si="0"/>
        <v>416.91611215922194</v>
      </c>
      <c r="J4" s="653">
        <f t="shared" si="0"/>
        <v>208.46745898838719</v>
      </c>
      <c r="L4" s="1587">
        <f>'F-2'!G35</f>
        <v>40874.196613300002</v>
      </c>
      <c r="O4" s="1226" t="s">
        <v>946</v>
      </c>
      <c r="P4" s="1651">
        <f>P3*70%</f>
        <v>46.481924082999996</v>
      </c>
      <c r="Q4" s="1651">
        <f t="shared" ref="Q4:S4" si="1">Q3*70%</f>
        <v>285.95985399309996</v>
      </c>
      <c r="R4" s="1651">
        <f t="shared" si="1"/>
        <v>416.91300000000001</v>
      </c>
      <c r="S4" s="1651">
        <f t="shared" si="1"/>
        <v>295.96699999999998</v>
      </c>
    </row>
    <row r="5" spans="2:19" ht="14.25" customHeight="1">
      <c r="B5" s="129" t="s">
        <v>947</v>
      </c>
      <c r="C5" s="653">
        <f>H43</f>
        <v>4735.9717306178609</v>
      </c>
      <c r="D5" s="653">
        <f>I43</f>
        <v>5185.9248975558594</v>
      </c>
      <c r="E5" s="1280"/>
      <c r="F5" s="1657" t="s">
        <v>948</v>
      </c>
      <c r="G5" s="1658">
        <f>G3*30%</f>
        <v>17867.83337825237</v>
      </c>
      <c r="H5" s="1659">
        <f>H3*30%</f>
        <v>8934.3196709308795</v>
      </c>
      <c r="I5" s="653">
        <f t="shared" si="0"/>
        <v>178.67833378252371</v>
      </c>
      <c r="J5" s="653">
        <f t="shared" si="0"/>
        <v>89.343196709308799</v>
      </c>
      <c r="L5" s="1587">
        <f>L4*70%</f>
        <v>28611.937629309999</v>
      </c>
      <c r="M5">
        <f>G5/G4</f>
        <v>0.42857142857142855</v>
      </c>
      <c r="N5">
        <f>H5/H4</f>
        <v>0.42857142857142855</v>
      </c>
      <c r="O5" s="1226" t="s">
        <v>948</v>
      </c>
      <c r="P5" s="1651">
        <f>P3*30%</f>
        <v>19.920824606999997</v>
      </c>
      <c r="Q5" s="1651">
        <f t="shared" ref="Q5:S5" si="2">Q3*30%</f>
        <v>122.55422313989999</v>
      </c>
      <c r="R5" s="1651">
        <f t="shared" si="2"/>
        <v>178.67699999999999</v>
      </c>
      <c r="S5" s="1651">
        <f t="shared" si="2"/>
        <v>126.84299999999999</v>
      </c>
    </row>
    <row r="6" spans="2:19">
      <c r="B6" s="129" t="s">
        <v>949</v>
      </c>
      <c r="C6" s="653">
        <f>G12</f>
        <v>4185.5643817190285</v>
      </c>
      <c r="D6" s="653">
        <f>H12</f>
        <v>6224.715264043175</v>
      </c>
      <c r="E6" s="827"/>
      <c r="F6" s="1657" t="s">
        <v>950</v>
      </c>
      <c r="G6" s="1658">
        <f>Q9*100</f>
        <v>31330.397807609996</v>
      </c>
      <c r="H6" s="1659">
        <f>G9</f>
        <v>67153.469997543594</v>
      </c>
      <c r="I6" s="653">
        <f t="shared" si="0"/>
        <v>313.30397807609995</v>
      </c>
      <c r="J6" s="653">
        <f t="shared" si="0"/>
        <v>671.53469997543596</v>
      </c>
      <c r="L6" s="1588">
        <f>2972.628962195-2000-73.56</f>
        <v>899.06896219500004</v>
      </c>
      <c r="M6" s="653">
        <v>2972.628962195</v>
      </c>
      <c r="O6" s="1226" t="s">
        <v>950</v>
      </c>
      <c r="P6" s="1652">
        <v>0</v>
      </c>
      <c r="Q6" s="1651">
        <f>P9</f>
        <v>43.641924082999992</v>
      </c>
      <c r="R6" s="1651">
        <f t="shared" ref="R6:S6" si="3">Q9</f>
        <v>313.30397807609995</v>
      </c>
      <c r="S6" s="1651">
        <f t="shared" si="3"/>
        <v>671.53697807610001</v>
      </c>
    </row>
    <row r="7" spans="2:19">
      <c r="B7" s="129" t="s">
        <v>951</v>
      </c>
      <c r="C7" s="3">
        <f>'F-2'!J16</f>
        <v>20.034417999999999</v>
      </c>
      <c r="D7" s="3">
        <f>'F-2'!O16</f>
        <v>29.750000000000004</v>
      </c>
      <c r="F7" s="1657" t="s">
        <v>952</v>
      </c>
      <c r="G7" s="1658">
        <f>G4</f>
        <v>41691.611215922196</v>
      </c>
      <c r="H7" s="1659">
        <f>H4</f>
        <v>20846.745898838719</v>
      </c>
      <c r="I7" s="653">
        <f t="shared" si="0"/>
        <v>416.91611215922194</v>
      </c>
      <c r="J7" s="653">
        <f t="shared" si="0"/>
        <v>208.46745898838719</v>
      </c>
      <c r="L7" s="1147">
        <f>L3+L5-L6</f>
        <v>32072.971867114997</v>
      </c>
      <c r="O7" s="1226" t="s">
        <v>952</v>
      </c>
      <c r="P7" s="1651">
        <f>P4</f>
        <v>46.481924082999996</v>
      </c>
      <c r="Q7" s="1651">
        <f t="shared" ref="Q7:S7" si="4">Q4</f>
        <v>285.95985399309996</v>
      </c>
      <c r="R7" s="1651">
        <f t="shared" si="4"/>
        <v>416.91300000000001</v>
      </c>
      <c r="S7" s="1651">
        <f t="shared" si="4"/>
        <v>295.96699999999998</v>
      </c>
    </row>
    <row r="8" spans="2:19">
      <c r="B8" s="1" t="s">
        <v>953</v>
      </c>
      <c r="C8" s="916">
        <f>C6-C7</f>
        <v>4165.5299637190283</v>
      </c>
      <c r="D8" s="916">
        <f>D6-D7</f>
        <v>6194.965264043175</v>
      </c>
      <c r="F8" s="1657" t="s">
        <v>954</v>
      </c>
      <c r="G8" s="1658">
        <f>'F-3'!D8</f>
        <v>5868.5390259885944</v>
      </c>
      <c r="H8" s="1659">
        <f>'F-3'!H8</f>
        <v>8689.7973282041858</v>
      </c>
      <c r="I8" s="653">
        <f t="shared" si="0"/>
        <v>58.685390259885942</v>
      </c>
      <c r="J8" s="653">
        <f t="shared" si="0"/>
        <v>86.89797328204186</v>
      </c>
      <c r="L8" s="1147">
        <f>AVERAGE(L7,L3)</f>
        <v>18216.537533557497</v>
      </c>
      <c r="O8" s="1226" t="s">
        <v>954</v>
      </c>
      <c r="P8" s="1652">
        <v>-2.84</v>
      </c>
      <c r="Q8" s="1652">
        <v>-16.297799999999999</v>
      </c>
      <c r="R8" s="1653">
        <v>-58.68</v>
      </c>
      <c r="S8" s="1653">
        <v>-89.82</v>
      </c>
    </row>
    <row r="9" spans="2:19">
      <c r="C9" s="5">
        <f>C4+C5+C8</f>
        <v>14678.30408994414</v>
      </c>
      <c r="D9" s="5">
        <f>D4+D5+D8</f>
        <v>17697.692557206286</v>
      </c>
      <c r="F9" s="1657" t="s">
        <v>935</v>
      </c>
      <c r="G9" s="1658">
        <f>G6+G7-G8</f>
        <v>67153.469997543594</v>
      </c>
      <c r="H9" s="1659">
        <f>H6+H7-H8</f>
        <v>79310.418568178138</v>
      </c>
      <c r="J9" s="653">
        <f>H14/10^2</f>
        <v>61.949652640431751</v>
      </c>
      <c r="L9" s="1151">
        <f>L8*L10</f>
        <v>1338.9155087164759</v>
      </c>
      <c r="O9" s="1226" t="s">
        <v>935</v>
      </c>
      <c r="P9" s="1651">
        <f>P6+P7+P8</f>
        <v>43.641924082999992</v>
      </c>
      <c r="Q9" s="1651">
        <f t="shared" ref="Q9:S9" si="5">Q6+Q7+Q8</f>
        <v>313.30397807609995</v>
      </c>
      <c r="R9" s="1651">
        <f t="shared" si="5"/>
        <v>671.53697807610001</v>
      </c>
      <c r="S9" s="1651">
        <f t="shared" si="5"/>
        <v>877.68397807609995</v>
      </c>
    </row>
    <row r="10" spans="2:19">
      <c r="B10" t="s">
        <v>955</v>
      </c>
      <c r="C10" s="653">
        <f>C5+C8</f>
        <v>8901.5016943368901</v>
      </c>
      <c r="D10" s="653">
        <f>D5+D8</f>
        <v>11380.890161599034</v>
      </c>
      <c r="F10" s="1657" t="s">
        <v>956</v>
      </c>
      <c r="G10" s="1658">
        <f>(G6+G9)/2</f>
        <v>49241.933902576799</v>
      </c>
      <c r="H10" s="1659">
        <f>(H6+H9)/2</f>
        <v>73231.944282860873</v>
      </c>
      <c r="L10" s="1589">
        <v>7.3499999999999996E-2</v>
      </c>
      <c r="O10" s="1226" t="s">
        <v>956</v>
      </c>
      <c r="P10" s="1651">
        <f>(P6+P9)/2</f>
        <v>21.820962041499996</v>
      </c>
      <c r="Q10" s="1651">
        <f t="shared" ref="Q10:S10" si="6">(Q6+Q9)/2</f>
        <v>178.47295107954997</v>
      </c>
      <c r="R10" s="1651">
        <f t="shared" si="6"/>
        <v>492.42047807609998</v>
      </c>
      <c r="S10" s="1651">
        <f t="shared" si="6"/>
        <v>774.61047807609998</v>
      </c>
    </row>
    <row r="11" spans="2:19">
      <c r="C11" s="653"/>
      <c r="D11" s="653"/>
      <c r="F11" s="1657" t="s">
        <v>957</v>
      </c>
      <c r="G11" s="1660">
        <v>8.5000000000000006E-2</v>
      </c>
      <c r="H11" s="1661">
        <v>8.5000000000000006E-2</v>
      </c>
      <c r="O11" s="1226" t="s">
        <v>957</v>
      </c>
      <c r="P11" s="1654">
        <v>7.0499999999999993E-2</v>
      </c>
      <c r="Q11" s="1654">
        <v>7.0499999999999993E-2</v>
      </c>
      <c r="R11" s="1654">
        <v>8.5000000000000006E-2</v>
      </c>
      <c r="S11" s="1654">
        <v>8.5000000000000006E-2</v>
      </c>
    </row>
    <row r="12" spans="2:19">
      <c r="C12" s="653"/>
      <c r="D12" s="653"/>
      <c r="F12" s="1657" t="s">
        <v>958</v>
      </c>
      <c r="G12" s="1665">
        <f>G10*G11</f>
        <v>4185.5643817190285</v>
      </c>
      <c r="H12" s="1665">
        <f>H10*H11</f>
        <v>6224.715264043175</v>
      </c>
      <c r="O12" s="1226"/>
      <c r="P12" s="1654"/>
      <c r="Q12" s="1654"/>
      <c r="R12" s="1654"/>
      <c r="S12" s="1654"/>
    </row>
    <row r="13" spans="2:19">
      <c r="C13" s="653"/>
      <c r="D13" s="653"/>
      <c r="F13" s="1657" t="s">
        <v>959</v>
      </c>
      <c r="G13" s="1665">
        <f>C7</f>
        <v>20.034417999999999</v>
      </c>
      <c r="H13" s="1665">
        <f>S18*100</f>
        <v>29.750000000000004</v>
      </c>
      <c r="O13" s="1226"/>
      <c r="P13" s="1654"/>
      <c r="Q13" s="1654"/>
      <c r="R13" s="1654"/>
      <c r="S13" s="1654"/>
    </row>
    <row r="14" spans="2:19">
      <c r="B14" t="s">
        <v>960</v>
      </c>
      <c r="C14" s="653">
        <f>'F-29'!D11*100</f>
        <v>4335.9717306178609</v>
      </c>
      <c r="D14" s="653">
        <f>'F-29'!E11*100</f>
        <v>4785.9248975558585</v>
      </c>
      <c r="F14" s="1662" t="s">
        <v>961</v>
      </c>
      <c r="G14" s="1663">
        <f>G12-G13</f>
        <v>4165.5299637190283</v>
      </c>
      <c r="H14" s="1663">
        <f>H12-H13</f>
        <v>6194.965264043175</v>
      </c>
      <c r="I14" s="653">
        <f>G14/10^2</f>
        <v>41.655299637190282</v>
      </c>
      <c r="O14" s="1226" t="s">
        <v>962</v>
      </c>
      <c r="P14" s="1650">
        <f>P10*P11</f>
        <v>1.5383778239257495</v>
      </c>
      <c r="Q14" s="1650">
        <f t="shared" ref="Q14:S14" si="7">Q10*Q11</f>
        <v>12.582343051108271</v>
      </c>
      <c r="R14" s="1650">
        <f t="shared" si="7"/>
        <v>41.855740636468504</v>
      </c>
      <c r="S14" s="1650">
        <f t="shared" si="7"/>
        <v>65.841890636468506</v>
      </c>
    </row>
    <row r="15" spans="2:19">
      <c r="B15" t="s">
        <v>936</v>
      </c>
      <c r="C15" s="653">
        <f>C8</f>
        <v>4165.5299637190283</v>
      </c>
      <c r="D15" s="653">
        <f>D8</f>
        <v>6194.965264043175</v>
      </c>
      <c r="F15" s="1655"/>
      <c r="G15" s="1656"/>
      <c r="H15" s="1656"/>
    </row>
    <row r="16" spans="2:19">
      <c r="C16" s="3">
        <f>SUM(C14:C15)</f>
        <v>8501.5016943368901</v>
      </c>
      <c r="D16" s="3">
        <f>SUM(D14:D15)</f>
        <v>10980.890161599033</v>
      </c>
      <c r="F16" s="1604"/>
      <c r="G16" s="1605"/>
      <c r="H16" s="1605"/>
      <c r="O16" s="1226" t="s">
        <v>963</v>
      </c>
      <c r="R16">
        <v>4</v>
      </c>
      <c r="S16">
        <v>5</v>
      </c>
    </row>
    <row r="17" spans="2:19">
      <c r="B17" t="s">
        <v>964</v>
      </c>
      <c r="F17" s="1604"/>
      <c r="G17" s="1605"/>
      <c r="H17" s="1605"/>
      <c r="O17" s="1664" t="s">
        <v>965</v>
      </c>
      <c r="R17">
        <f>R16*0.7</f>
        <v>2.8</v>
      </c>
      <c r="S17">
        <f>S16*0.7</f>
        <v>3.5</v>
      </c>
    </row>
    <row r="18" spans="2:19">
      <c r="B18" t="s">
        <v>966</v>
      </c>
      <c r="O18" s="1226" t="s">
        <v>967</v>
      </c>
      <c r="R18" s="1091">
        <f>R17*R11</f>
        <v>0.23799999999999999</v>
      </c>
      <c r="S18" s="1091">
        <f>S17*S11</f>
        <v>0.29750000000000004</v>
      </c>
    </row>
    <row r="19" spans="2:19" hidden="1">
      <c r="F19" s="796" t="s">
        <v>968</v>
      </c>
      <c r="G19" s="797"/>
      <c r="H19" s="798"/>
    </row>
    <row r="20" spans="2:19" hidden="1">
      <c r="F20" s="796" t="s">
        <v>887</v>
      </c>
      <c r="G20" s="797" t="s">
        <v>922</v>
      </c>
      <c r="H20" s="798" t="s">
        <v>923</v>
      </c>
    </row>
    <row r="21" spans="2:19" hidden="1">
      <c r="F21" s="1590" t="s">
        <v>928</v>
      </c>
      <c r="G21" s="1591">
        <f>L20</f>
        <v>0</v>
      </c>
      <c r="H21" s="1592" t="e">
        <f>G25</f>
        <v>#REF!</v>
      </c>
      <c r="L21" s="653"/>
    </row>
    <row r="22" spans="2:19" hidden="1">
      <c r="F22" s="734" t="s">
        <v>969</v>
      </c>
      <c r="G22" s="731">
        <f>'F-2'!L42</f>
        <v>-1.4551915228366852E-11</v>
      </c>
      <c r="H22" s="800">
        <f>'F-2'!Q42</f>
        <v>-7.2759576141834259E-12</v>
      </c>
    </row>
    <row r="23" spans="2:19" hidden="1">
      <c r="F23" s="734" t="s">
        <v>970</v>
      </c>
      <c r="G23" s="731" t="e">
        <f>#REF!</f>
        <v>#REF!</v>
      </c>
      <c r="H23" s="800" t="e">
        <f>#REF!</f>
        <v>#REF!</v>
      </c>
    </row>
    <row r="24" spans="2:19" hidden="1">
      <c r="F24" s="734" t="s">
        <v>971</v>
      </c>
      <c r="G24" s="731">
        <f>'F-3'!D19</f>
        <v>0</v>
      </c>
      <c r="H24" s="800" t="e">
        <f>G23/5</f>
        <v>#REF!</v>
      </c>
    </row>
    <row r="25" spans="2:19" hidden="1">
      <c r="F25" s="734" t="s">
        <v>972</v>
      </c>
      <c r="G25" s="731" t="e">
        <f>G21+G23-G24</f>
        <v>#REF!</v>
      </c>
      <c r="H25" s="800" t="e">
        <f>H21+H23-H24</f>
        <v>#REF!</v>
      </c>
    </row>
    <row r="26" spans="2:19" hidden="1">
      <c r="F26" s="734" t="s">
        <v>973</v>
      </c>
      <c r="G26" s="731" t="e">
        <f>AVERAGE(G25,G21)</f>
        <v>#REF!</v>
      </c>
      <c r="H26" s="800" t="e">
        <f>AVERAGE(H25,H21)</f>
        <v>#REF!</v>
      </c>
    </row>
    <row r="27" spans="2:19" hidden="1">
      <c r="F27" s="802" t="s">
        <v>974</v>
      </c>
      <c r="G27" s="803" t="e">
        <f>G26*G28</f>
        <v>#REF!</v>
      </c>
      <c r="H27" s="804" t="e">
        <f>H26*H28</f>
        <v>#REF!</v>
      </c>
    </row>
    <row r="28" spans="2:19" ht="25.5" hidden="1">
      <c r="F28" s="1119" t="s">
        <v>975</v>
      </c>
      <c r="G28" s="50">
        <v>0.09</v>
      </c>
      <c r="H28" s="50">
        <v>9.5000000000000001E-2</v>
      </c>
    </row>
    <row r="29" spans="2:19" hidden="1">
      <c r="E29" s="129" t="s">
        <v>976</v>
      </c>
      <c r="J29" s="653">
        <f>H34/10^2</f>
        <v>73.613682080727983</v>
      </c>
      <c r="K29" s="653">
        <f>I34/10^2</f>
        <v>83.795861219387902</v>
      </c>
    </row>
    <row r="30" spans="2:19">
      <c r="J30" s="653">
        <f>H36/10^2</f>
        <v>309.53766441628727</v>
      </c>
      <c r="K30" s="653">
        <f>I36/10^2</f>
        <v>337.40963716825297</v>
      </c>
    </row>
    <row r="31" spans="2:19">
      <c r="J31" s="653">
        <f>H35/10^2</f>
        <v>4.2852204233668161</v>
      </c>
      <c r="K31" s="653">
        <f>I35/10^2</f>
        <v>5.3574308751757833</v>
      </c>
    </row>
    <row r="32" spans="2:19">
      <c r="B32" t="s">
        <v>977</v>
      </c>
      <c r="C32" s="653">
        <f>G3</f>
        <v>59559.444594174565</v>
      </c>
      <c r="D32" s="653">
        <f>H3</f>
        <v>29781.065569769598</v>
      </c>
      <c r="F32" s="727" t="s">
        <v>978</v>
      </c>
      <c r="G32" s="728"/>
      <c r="H32" s="728"/>
      <c r="I32" s="728"/>
      <c r="J32" s="916">
        <f>SUM(J29:J31)</f>
        <v>387.43656692038206</v>
      </c>
      <c r="K32" s="916">
        <f>SUM(K29:K31)</f>
        <v>426.56292926281668</v>
      </c>
    </row>
    <row r="33" spans="1:19">
      <c r="B33" t="s">
        <v>979</v>
      </c>
      <c r="C33" s="653">
        <f>C32*70%</f>
        <v>41691.611215922196</v>
      </c>
      <c r="D33" s="653">
        <f>D32*70%</f>
        <v>20846.745898838719</v>
      </c>
      <c r="F33" s="1768" t="s">
        <v>887</v>
      </c>
      <c r="G33" s="1769" t="s">
        <v>900</v>
      </c>
      <c r="H33" s="1769" t="s">
        <v>922</v>
      </c>
      <c r="I33" s="1769" t="s">
        <v>923</v>
      </c>
      <c r="J33" s="808">
        <f>7.3%+3%</f>
        <v>0.10299999999999999</v>
      </c>
      <c r="K33" s="808">
        <f>7.45%+3%</f>
        <v>0.1045</v>
      </c>
    </row>
    <row r="34" spans="1:19" ht="13.5" thickBot="1">
      <c r="B34" t="s">
        <v>980</v>
      </c>
      <c r="C34" s="653">
        <f>C32-C33</f>
        <v>17867.83337825237</v>
      </c>
      <c r="D34" s="653">
        <f>D32-D33</f>
        <v>8934.3196709308795</v>
      </c>
      <c r="F34" s="772" t="s">
        <v>981</v>
      </c>
      <c r="G34" s="776" t="s">
        <v>982</v>
      </c>
      <c r="H34" s="776">
        <f>('F-12 New'!L40+'F-12 New'!L65+'F-13 New'!E23+'F-13 New'!E33+'F-14'!E66)/12</f>
        <v>7361.3682080727986</v>
      </c>
      <c r="I34" s="776">
        <f>('F-12 New'!Q40+'F-12 New'!Q65+'F-13 New'!F23+'F-13 New'!F33+'F-14'!F66)/12</f>
        <v>8379.5861219387898</v>
      </c>
      <c r="J34" s="809">
        <f>J33*J32</f>
        <v>39.90596639279935</v>
      </c>
      <c r="K34" s="810">
        <f>K33*K32</f>
        <v>44.575826107964339</v>
      </c>
    </row>
    <row r="35" spans="1:19">
      <c r="F35" s="772" t="s">
        <v>983</v>
      </c>
      <c r="G35" s="773" t="s">
        <v>982</v>
      </c>
      <c r="H35" s="773">
        <f>(('F-13 New'!E23+'F-13 New'!E33)*20%)/12</f>
        <v>428.52204233668164</v>
      </c>
      <c r="I35" s="773">
        <f>(('F-13 New'!F23+'F-13 New'!F33)*20%)/12</f>
        <v>535.74308751757837</v>
      </c>
    </row>
    <row r="36" spans="1:19">
      <c r="F36" s="772" t="s">
        <v>984</v>
      </c>
      <c r="G36" s="776" t="s">
        <v>982</v>
      </c>
      <c r="H36" s="776">
        <f>'F-22'!C4/12</f>
        <v>30953.766441628726</v>
      </c>
      <c r="I36" s="773">
        <f>'F-22'!D4/12</f>
        <v>33740.963716825296</v>
      </c>
    </row>
    <row r="37" spans="1:19">
      <c r="F37" s="1770" t="s">
        <v>239</v>
      </c>
      <c r="G37" s="1771" t="s">
        <v>982</v>
      </c>
      <c r="H37" s="1771">
        <f>SUM(H34:H36)</f>
        <v>38743.656692038203</v>
      </c>
      <c r="I37" s="1771">
        <f>SUM(I34:I36)</f>
        <v>42656.292926281661</v>
      </c>
    </row>
    <row r="38" spans="1:19">
      <c r="F38" s="772" t="s">
        <v>985</v>
      </c>
      <c r="G38" s="776" t="s">
        <v>982</v>
      </c>
      <c r="H38" s="1771">
        <f>'Depreciation New'!AM131</f>
        <v>1039.5546866655002</v>
      </c>
      <c r="I38" s="1771">
        <f>'Depreciation New'!AO131</f>
        <v>1039.5546866655002</v>
      </c>
    </row>
    <row r="39" spans="1:19">
      <c r="F39" s="772" t="s">
        <v>986</v>
      </c>
      <c r="G39" s="1771"/>
      <c r="H39" s="1771">
        <f>H37-H38</f>
        <v>37704.102005372704</v>
      </c>
      <c r="I39" s="1771">
        <f>I37-I38</f>
        <v>41616.738239616163</v>
      </c>
    </row>
    <row r="40" spans="1:19">
      <c r="F40" s="1119" t="s">
        <v>987</v>
      </c>
      <c r="G40" s="1772" t="s">
        <v>469</v>
      </c>
      <c r="H40" s="1772">
        <f>N42</f>
        <v>0.115</v>
      </c>
      <c r="I40" s="1772">
        <f>H40</f>
        <v>0.115</v>
      </c>
      <c r="L40" s="129" t="s">
        <v>988</v>
      </c>
      <c r="N40" s="1605">
        <f>8.5%</f>
        <v>8.5000000000000006E-2</v>
      </c>
    </row>
    <row r="41" spans="1:19">
      <c r="F41" s="772" t="s">
        <v>978</v>
      </c>
      <c r="G41" s="776" t="s">
        <v>982</v>
      </c>
      <c r="H41" s="776">
        <f>H40*H39</f>
        <v>4335.9717306178609</v>
      </c>
      <c r="I41" s="776">
        <f>I40*I39</f>
        <v>4785.9248975558594</v>
      </c>
      <c r="J41" s="653">
        <f t="shared" ref="J41:K43" si="8">H47/10^2</f>
        <v>417.49422313989999</v>
      </c>
      <c r="K41" s="653">
        <f t="shared" si="8"/>
        <v>596.17255692242372</v>
      </c>
      <c r="L41" s="129" t="s">
        <v>989</v>
      </c>
      <c r="N41" s="1605">
        <v>0.03</v>
      </c>
    </row>
    <row r="42" spans="1:19">
      <c r="D42" s="653"/>
      <c r="F42" s="9" t="s">
        <v>990</v>
      </c>
      <c r="G42" s="9"/>
      <c r="H42" s="9">
        <f>4*100</f>
        <v>400</v>
      </c>
      <c r="I42" s="9">
        <f>4*100</f>
        <v>400</v>
      </c>
      <c r="J42" s="653">
        <f t="shared" si="8"/>
        <v>178.67833378252371</v>
      </c>
      <c r="K42" s="653">
        <f t="shared" si="8"/>
        <v>89.343196709308799</v>
      </c>
      <c r="N42" s="1605">
        <f>SUM(N40:N41)</f>
        <v>0.115</v>
      </c>
    </row>
    <row r="43" spans="1:19">
      <c r="F43" s="9" t="s">
        <v>991</v>
      </c>
      <c r="G43" s="9"/>
      <c r="H43" s="1773">
        <f>H41+H42</f>
        <v>4735.9717306178609</v>
      </c>
      <c r="I43" s="1773">
        <f>I41+I42</f>
        <v>5185.9248975558594</v>
      </c>
      <c r="J43" s="653">
        <f t="shared" si="8"/>
        <v>596.17255692242372</v>
      </c>
      <c r="K43" s="653">
        <f t="shared" si="8"/>
        <v>685.51575363173254</v>
      </c>
    </row>
    <row r="44" spans="1:19">
      <c r="J44" s="653"/>
      <c r="K44" s="653"/>
    </row>
    <row r="45" spans="1:19" ht="13.5" thickBot="1">
      <c r="A45" s="3"/>
      <c r="F45" s="727" t="s">
        <v>992</v>
      </c>
      <c r="G45" s="728"/>
      <c r="H45" s="728"/>
      <c r="I45" s="728"/>
      <c r="J45" s="653">
        <f>J41+J43</f>
        <v>1013.6667800623237</v>
      </c>
      <c r="K45" s="653">
        <f>K41+K43</f>
        <v>1281.6883105541563</v>
      </c>
    </row>
    <row r="46" spans="1:19" ht="13.5" thickBot="1">
      <c r="F46" s="806" t="s">
        <v>887</v>
      </c>
      <c r="G46" s="730" t="s">
        <v>900</v>
      </c>
      <c r="H46" s="729" t="s">
        <v>922</v>
      </c>
      <c r="I46" s="1608" t="s">
        <v>923</v>
      </c>
      <c r="J46" s="653">
        <f>J41*16%</f>
        <v>66.799075702384002</v>
      </c>
      <c r="K46" s="653">
        <f>K41*16%</f>
        <v>95.387609107587792</v>
      </c>
      <c r="O46" s="1226"/>
      <c r="P46" s="1603" t="s">
        <v>938</v>
      </c>
      <c r="Q46" s="1603" t="s">
        <v>939</v>
      </c>
      <c r="R46" s="1603" t="s">
        <v>940</v>
      </c>
      <c r="S46" s="1603" t="s">
        <v>941</v>
      </c>
    </row>
    <row r="47" spans="1:19">
      <c r="F47" s="1666" t="s">
        <v>993</v>
      </c>
      <c r="G47" s="1082" t="s">
        <v>982</v>
      </c>
      <c r="H47" s="1609">
        <f>R47*100</f>
        <v>41749.422313989999</v>
      </c>
      <c r="I47" s="1667">
        <f>H49</f>
        <v>59617.255692242368</v>
      </c>
      <c r="J47" s="731">
        <f>J43*16%*4/12</f>
        <v>31.795869702529263</v>
      </c>
      <c r="K47" s="731">
        <f>K43*16%*6/12</f>
        <v>54.841260290538607</v>
      </c>
      <c r="O47" s="1226" t="s">
        <v>993</v>
      </c>
      <c r="P47" s="1601">
        <v>250</v>
      </c>
      <c r="Q47" s="1293">
        <f>P49</f>
        <v>294.94</v>
      </c>
      <c r="R47" s="1293">
        <f>Q49</f>
        <v>417.49422313989999</v>
      </c>
      <c r="S47" s="1293">
        <f>R49</f>
        <v>596.17122313990001</v>
      </c>
    </row>
    <row r="48" spans="1:19" ht="13.5" thickBot="1">
      <c r="F48" s="1666" t="s">
        <v>952</v>
      </c>
      <c r="G48" s="1082" t="s">
        <v>982</v>
      </c>
      <c r="H48" s="1610">
        <f>G5</f>
        <v>17867.83337825237</v>
      </c>
      <c r="I48" s="1668">
        <f>H5</f>
        <v>8934.3196709308795</v>
      </c>
      <c r="J48" s="809">
        <f>J47+J46</f>
        <v>98.594945404913261</v>
      </c>
      <c r="K48" s="809">
        <f>K47+K46</f>
        <v>150.22886939812639</v>
      </c>
      <c r="O48" s="1226" t="s">
        <v>952</v>
      </c>
      <c r="P48" s="1601">
        <v>44.94</v>
      </c>
      <c r="Q48" s="1293">
        <f>Q5</f>
        <v>122.55422313989999</v>
      </c>
      <c r="R48" s="1293">
        <f>R5</f>
        <v>178.67699999999999</v>
      </c>
      <c r="S48" s="1293">
        <f>S5</f>
        <v>126.84299999999999</v>
      </c>
    </row>
    <row r="49" spans="6:19">
      <c r="F49" s="1666" t="s">
        <v>935</v>
      </c>
      <c r="G49" s="1082" t="s">
        <v>982</v>
      </c>
      <c r="H49" s="1609">
        <f>H47+H48</f>
        <v>59617.255692242368</v>
      </c>
      <c r="I49" s="1667">
        <f>I47+I48</f>
        <v>68551.575363173251</v>
      </c>
      <c r="O49" s="1226" t="s">
        <v>935</v>
      </c>
      <c r="P49" s="1601">
        <f>P47+P48</f>
        <v>294.94</v>
      </c>
      <c r="Q49" s="1601">
        <f t="shared" ref="Q49:S49" si="9">Q47+Q48</f>
        <v>417.49422313989999</v>
      </c>
      <c r="R49" s="1601">
        <f t="shared" si="9"/>
        <v>596.17122313990001</v>
      </c>
      <c r="S49" s="1601">
        <f t="shared" si="9"/>
        <v>723.01422313989997</v>
      </c>
    </row>
    <row r="50" spans="6:19">
      <c r="F50" s="1666" t="s">
        <v>994</v>
      </c>
      <c r="G50" s="1082" t="s">
        <v>982</v>
      </c>
      <c r="H50" s="1609">
        <f>(H47+H49)/2</f>
        <v>50683.339003116183</v>
      </c>
      <c r="I50" s="1667">
        <f>(I47+I49)/2</f>
        <v>64084.41552770781</v>
      </c>
      <c r="J50" s="916">
        <f>J48/(1-25.17%)</f>
        <v>131.75857998785682</v>
      </c>
      <c r="K50" s="916">
        <f>K48/(1-25.17%)</f>
        <v>200.76021568639101</v>
      </c>
      <c r="O50" s="1226" t="s">
        <v>994</v>
      </c>
      <c r="P50" s="1293">
        <f>(P47+P49)/2</f>
        <v>272.47000000000003</v>
      </c>
      <c r="Q50" s="1293">
        <f t="shared" ref="Q50:S50" si="10">(Q47+Q49)/2</f>
        <v>356.21711156995002</v>
      </c>
      <c r="R50" s="1293">
        <f t="shared" si="10"/>
        <v>506.8327231399</v>
      </c>
      <c r="S50" s="1293">
        <f t="shared" si="10"/>
        <v>659.59272313990004</v>
      </c>
    </row>
    <row r="51" spans="6:19">
      <c r="F51" s="1666" t="s">
        <v>995</v>
      </c>
      <c r="G51" s="1082" t="s">
        <v>982</v>
      </c>
      <c r="H51" s="1606">
        <v>0.16</v>
      </c>
      <c r="I51" s="1669">
        <v>0.16</v>
      </c>
      <c r="O51" s="1226" t="s">
        <v>995</v>
      </c>
      <c r="P51" s="1606">
        <v>0.16</v>
      </c>
      <c r="Q51" s="1606">
        <v>0.16</v>
      </c>
      <c r="R51" s="1606">
        <v>0.16</v>
      </c>
      <c r="S51" s="1606">
        <v>0.16</v>
      </c>
    </row>
    <row r="52" spans="6:19">
      <c r="F52" s="1670" t="s">
        <v>996</v>
      </c>
      <c r="G52" s="1082" t="s">
        <v>982</v>
      </c>
      <c r="H52" s="1602">
        <f t="shared" ref="H52:I52" si="11">H50*H51</f>
        <v>8109.3342404985897</v>
      </c>
      <c r="I52" s="1671">
        <f t="shared" si="11"/>
        <v>10253.50648443325</v>
      </c>
      <c r="J52" s="653">
        <f>+J50-J48</f>
        <v>33.163634582943558</v>
      </c>
      <c r="K52" s="653">
        <f>+K50-K48</f>
        <v>50.531346288264615</v>
      </c>
      <c r="O52" s="1607" t="s">
        <v>996</v>
      </c>
      <c r="P52" s="1602">
        <f>P50*P51</f>
        <v>43.595200000000006</v>
      </c>
      <c r="Q52" s="1602">
        <f t="shared" ref="Q52:S52" si="12">Q50*Q51</f>
        <v>56.994737851192006</v>
      </c>
      <c r="R52" s="1602">
        <f t="shared" si="12"/>
        <v>81.093235702384007</v>
      </c>
      <c r="S52" s="1602">
        <f t="shared" si="12"/>
        <v>105.53483570238402</v>
      </c>
    </row>
    <row r="53" spans="6:19" ht="13.5" thickBot="1">
      <c r="F53" s="1611" t="s">
        <v>997</v>
      </c>
      <c r="G53" s="1612" t="s">
        <v>982</v>
      </c>
      <c r="H53" s="1613">
        <f>H52</f>
        <v>8109.3342404985897</v>
      </c>
      <c r="I53" s="1672">
        <f>I52</f>
        <v>10253.50648443325</v>
      </c>
      <c r="O53" s="1226" t="s">
        <v>998</v>
      </c>
      <c r="P53" s="1226"/>
      <c r="Q53" s="1293">
        <f>Q52/(1-25.17%)</f>
        <v>76.165625886933057</v>
      </c>
      <c r="R53" s="1293">
        <f t="shared" ref="R53:S53" si="13">R52/(1-25.17%)</f>
        <v>108.36995282959242</v>
      </c>
      <c r="S53" s="1293">
        <f t="shared" si="13"/>
        <v>141.03278859065082</v>
      </c>
    </row>
    <row r="54" spans="6:19">
      <c r="F54" s="1226" t="s">
        <v>998</v>
      </c>
      <c r="H54" s="653">
        <f>H52/(1-25.17%)</f>
        <v>10837.009542293987</v>
      </c>
      <c r="I54" s="653">
        <f>I52/(1-25.17%)</f>
        <v>13702.400754287386</v>
      </c>
      <c r="O54" s="1607" t="s">
        <v>999</v>
      </c>
      <c r="P54" s="1607"/>
      <c r="Q54" s="1602">
        <f>Q53-Q52</f>
        <v>19.170888035741051</v>
      </c>
      <c r="R54" s="1602">
        <f t="shared" ref="R54:S54" si="14">R53-R52</f>
        <v>27.276717127208414</v>
      </c>
      <c r="S54" s="1602">
        <f t="shared" si="14"/>
        <v>35.497952888266809</v>
      </c>
    </row>
    <row r="55" spans="6:19">
      <c r="F55" s="1607" t="s">
        <v>999</v>
      </c>
      <c r="G55" s="1082"/>
      <c r="H55" s="653">
        <f>H54-H53</f>
        <v>2727.675301795397</v>
      </c>
      <c r="I55" s="653">
        <f>I54-I53</f>
        <v>3448.8942698541359</v>
      </c>
    </row>
    <row r="56" spans="6:19">
      <c r="F56" s="653"/>
      <c r="G56" s="1054" t="s">
        <v>1000</v>
      </c>
    </row>
    <row r="57" spans="6:19">
      <c r="F57" s="807" t="s">
        <v>1001</v>
      </c>
      <c r="G57" s="728"/>
    </row>
    <row r="58" spans="6:19">
      <c r="H58" s="653"/>
    </row>
    <row r="59" spans="6:19">
      <c r="H59" s="653"/>
    </row>
    <row r="62" spans="6:19">
      <c r="I62">
        <v>114</v>
      </c>
    </row>
    <row r="64" spans="6:19">
      <c r="I64">
        <f>+I62/5</f>
        <v>22.8</v>
      </c>
    </row>
  </sheetData>
  <pageMargins left="0.75" right="0.75" top="1" bottom="1" header="0.5" footer="0.5"/>
  <pageSetup scale="63" orientation="landscape" r:id="rId1"/>
  <headerFooter alignWithMargins="0"/>
  <colBreaks count="1" manualBreakCount="1">
    <brk id="9" max="50" man="1"/>
  </colBreaks>
  <pictur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S51"/>
  <sheetViews>
    <sheetView zoomScale="85" zoomScaleNormal="85" workbookViewId="0">
      <pane xSplit="2" ySplit="2" topLeftCell="E33" activePane="bottomRight" state="frozen"/>
      <selection pane="bottomRight" activeCell="N1" sqref="N1:N2"/>
      <selection pane="bottomLeft" activeCell="G8" sqref="G8"/>
      <selection pane="topRight" activeCell="G8" sqref="G8"/>
    </sheetView>
  </sheetViews>
  <sheetFormatPr defaultColWidth="9.140625" defaultRowHeight="15"/>
  <cols>
    <col min="1" max="1" width="9.140625" style="654"/>
    <col min="2" max="2" width="14.5703125" style="654" customWidth="1"/>
    <col min="3" max="3" width="58.7109375" style="654" customWidth="1"/>
    <col min="4" max="4" width="27" style="654" customWidth="1"/>
    <col min="5" max="6" width="24.42578125" style="654" customWidth="1"/>
    <col min="7" max="7" width="17.5703125" style="654" customWidth="1"/>
    <col min="8" max="8" width="15.7109375" style="654" customWidth="1"/>
    <col min="9" max="9" width="13.42578125" style="654" customWidth="1"/>
    <col min="10" max="10" width="18.28515625" style="654" bestFit="1" customWidth="1"/>
    <col min="11" max="12" width="9.140625" style="654"/>
    <col min="13" max="13" width="9.85546875" style="654" bestFit="1" customWidth="1"/>
    <col min="14" max="14" width="17.85546875" style="654" customWidth="1"/>
    <col min="15" max="15" width="12.28515625" style="654" customWidth="1"/>
    <col min="16" max="16" width="17.42578125" style="654" customWidth="1"/>
    <col min="17" max="17" width="33.42578125" style="654" bestFit="1" customWidth="1"/>
    <col min="18" max="16384" width="9.140625" style="654"/>
  </cols>
  <sheetData>
    <row r="1" spans="1:19" ht="15" customHeight="1">
      <c r="A1" s="2522" t="s">
        <v>1002</v>
      </c>
      <c r="B1" s="2522" t="s">
        <v>1003</v>
      </c>
      <c r="C1" s="2522" t="s">
        <v>1004</v>
      </c>
      <c r="D1" s="2522" t="s">
        <v>1005</v>
      </c>
      <c r="E1" s="2522" t="s">
        <v>1006</v>
      </c>
      <c r="F1" s="2522" t="s">
        <v>1007</v>
      </c>
      <c r="G1" s="2521" t="s">
        <v>1008</v>
      </c>
      <c r="H1" s="2518" t="s">
        <v>1009</v>
      </c>
      <c r="I1" s="2518" t="s">
        <v>1010</v>
      </c>
      <c r="J1" s="2518" t="s">
        <v>1011</v>
      </c>
      <c r="K1" s="718"/>
      <c r="L1" s="718"/>
      <c r="M1" s="718"/>
      <c r="N1" s="2518" t="s">
        <v>1012</v>
      </c>
      <c r="O1" s="2518" t="s">
        <v>1013</v>
      </c>
      <c r="P1" s="2518" t="s">
        <v>1014</v>
      </c>
      <c r="Q1" s="718"/>
      <c r="R1" s="718"/>
      <c r="S1" s="718"/>
    </row>
    <row r="2" spans="1:19" ht="43.5" customHeight="1">
      <c r="A2" s="2522"/>
      <c r="B2" s="2522"/>
      <c r="C2" s="2522"/>
      <c r="D2" s="2522"/>
      <c r="E2" s="2522"/>
      <c r="F2" s="2522"/>
      <c r="G2" s="2521"/>
      <c r="H2" s="2519"/>
      <c r="I2" s="2519" t="s">
        <v>1010</v>
      </c>
      <c r="J2" s="2519"/>
      <c r="K2" s="718"/>
      <c r="L2" s="718"/>
      <c r="M2" s="718"/>
      <c r="N2" s="2519"/>
      <c r="O2" s="2519"/>
      <c r="P2" s="2519"/>
      <c r="Q2" s="718"/>
      <c r="R2" s="718"/>
      <c r="S2" s="718"/>
    </row>
    <row r="3" spans="1:19">
      <c r="A3" s="2520">
        <v>1</v>
      </c>
      <c r="B3" s="2516" t="s">
        <v>1015</v>
      </c>
      <c r="C3" s="655" t="s">
        <v>1016</v>
      </c>
      <c r="D3" s="656">
        <v>8.51</v>
      </c>
      <c r="E3" s="656">
        <v>7.78</v>
      </c>
      <c r="F3" s="657">
        <v>4.78</v>
      </c>
      <c r="G3" s="657">
        <v>4.78</v>
      </c>
      <c r="H3" s="658">
        <v>1</v>
      </c>
      <c r="I3" s="659">
        <v>6.3299999999999995E-2</v>
      </c>
      <c r="J3" s="654" t="s">
        <v>1017</v>
      </c>
      <c r="L3" s="660">
        <f>F3*10^2</f>
        <v>478</v>
      </c>
      <c r="M3" s="660">
        <f>F3*10^2</f>
        <v>478</v>
      </c>
      <c r="N3" s="654">
        <f>F3-G3</f>
        <v>0</v>
      </c>
      <c r="O3" s="660">
        <f>E3-F3</f>
        <v>3</v>
      </c>
      <c r="Q3" s="9" t="s">
        <v>851</v>
      </c>
    </row>
    <row r="4" spans="1:19">
      <c r="A4" s="2520"/>
      <c r="B4" s="2516"/>
      <c r="C4" s="655" t="s">
        <v>1018</v>
      </c>
      <c r="D4" s="656">
        <v>2.46</v>
      </c>
      <c r="E4" s="656">
        <v>2.46</v>
      </c>
      <c r="F4" s="657">
        <v>1.1000000000000001</v>
      </c>
      <c r="G4" s="657">
        <v>1</v>
      </c>
      <c r="H4" s="661">
        <v>0</v>
      </c>
      <c r="I4" s="659">
        <v>5.28E-2</v>
      </c>
      <c r="M4" s="660">
        <f t="shared" ref="M4:M47" si="0">F4*10^2</f>
        <v>110.00000000000001</v>
      </c>
      <c r="N4" s="654">
        <f t="shared" ref="N4:N45" si="1">F4-G4</f>
        <v>0.10000000000000009</v>
      </c>
      <c r="O4" s="660">
        <f t="shared" ref="O4:O45" si="2">E4-F4</f>
        <v>1.3599999999999999</v>
      </c>
      <c r="Q4" s="124" t="s">
        <v>855</v>
      </c>
    </row>
    <row r="5" spans="1:19">
      <c r="A5" s="2520"/>
      <c r="B5" s="2516"/>
      <c r="C5" s="655" t="s">
        <v>1019</v>
      </c>
      <c r="D5" s="656">
        <v>9.8000000000000007</v>
      </c>
      <c r="E5" s="656">
        <v>9.8000000000000007</v>
      </c>
      <c r="F5" s="657">
        <v>7.1</v>
      </c>
      <c r="G5" s="657">
        <v>6.5</v>
      </c>
      <c r="H5" s="662">
        <v>0</v>
      </c>
      <c r="I5" s="659">
        <v>5.28E-2</v>
      </c>
      <c r="M5" s="660">
        <f t="shared" si="0"/>
        <v>710</v>
      </c>
      <c r="N5" s="654">
        <f t="shared" si="1"/>
        <v>0.59999999999999964</v>
      </c>
      <c r="O5" s="660">
        <f t="shared" si="2"/>
        <v>2.7000000000000011</v>
      </c>
      <c r="Q5" s="124" t="s">
        <v>855</v>
      </c>
    </row>
    <row r="6" spans="1:19">
      <c r="A6" s="2520"/>
      <c r="B6" s="2516"/>
      <c r="C6" s="655" t="s">
        <v>1020</v>
      </c>
      <c r="D6" s="656">
        <v>6.84</v>
      </c>
      <c r="E6" s="656">
        <v>6.24</v>
      </c>
      <c r="F6" s="657">
        <v>6.24</v>
      </c>
      <c r="G6" s="657">
        <v>5.8</v>
      </c>
      <c r="H6" s="663">
        <v>2.34708E-2</v>
      </c>
      <c r="I6" s="659">
        <v>3.3399999999999999E-2</v>
      </c>
      <c r="M6" s="660">
        <f t="shared" si="0"/>
        <v>624</v>
      </c>
      <c r="N6" s="654">
        <f t="shared" si="1"/>
        <v>0.44000000000000039</v>
      </c>
      <c r="O6" s="660">
        <f t="shared" si="2"/>
        <v>0</v>
      </c>
      <c r="Q6" s="124" t="s">
        <v>843</v>
      </c>
    </row>
    <row r="7" spans="1:19">
      <c r="A7" s="2520"/>
      <c r="B7" s="2516"/>
      <c r="C7" s="655" t="s">
        <v>1021</v>
      </c>
      <c r="D7" s="656">
        <v>2.2000000000000002</v>
      </c>
      <c r="E7" s="656">
        <v>2.17</v>
      </c>
      <c r="F7" s="657">
        <v>2.17</v>
      </c>
      <c r="G7" s="657">
        <v>1.95</v>
      </c>
      <c r="H7" s="662">
        <v>0</v>
      </c>
      <c r="I7" s="659">
        <v>5.28E-2</v>
      </c>
      <c r="M7" s="660">
        <f t="shared" si="0"/>
        <v>217</v>
      </c>
      <c r="N7" s="654">
        <f t="shared" si="1"/>
        <v>0.21999999999999997</v>
      </c>
      <c r="O7" s="660">
        <f t="shared" si="2"/>
        <v>0</v>
      </c>
      <c r="Q7" s="124" t="s">
        <v>855</v>
      </c>
    </row>
    <row r="8" spans="1:19">
      <c r="A8" s="2520"/>
      <c r="B8" s="2516"/>
      <c r="C8" s="664" t="s">
        <v>1022</v>
      </c>
      <c r="D8" s="664">
        <v>29.81</v>
      </c>
      <c r="E8" s="664">
        <f>SUM(E3:E7)</f>
        <v>28.450000000000003</v>
      </c>
      <c r="F8" s="664">
        <f>SUM(F3:F7)</f>
        <v>21.39</v>
      </c>
      <c r="G8" s="664">
        <v>20.03</v>
      </c>
      <c r="H8" s="665">
        <v>1.0234707999999999</v>
      </c>
      <c r="I8" s="659"/>
      <c r="M8" s="660">
        <f t="shared" si="0"/>
        <v>2139</v>
      </c>
      <c r="N8" s="664">
        <f>SUM(N3:N7)</f>
        <v>1.36</v>
      </c>
      <c r="O8" s="664">
        <f>SUM(O3:O7)</f>
        <v>7.0600000000000005</v>
      </c>
    </row>
    <row r="9" spans="1:19">
      <c r="A9" s="2516">
        <v>2</v>
      </c>
      <c r="B9" s="2516" t="s">
        <v>1023</v>
      </c>
      <c r="C9" s="655" t="s">
        <v>1024</v>
      </c>
      <c r="D9" s="656">
        <v>0.28000000000000003</v>
      </c>
      <c r="E9" s="656">
        <v>0.16</v>
      </c>
      <c r="F9" s="657">
        <v>0.16</v>
      </c>
      <c r="G9" s="657">
        <v>0.16</v>
      </c>
      <c r="H9" s="662">
        <v>0</v>
      </c>
      <c r="I9" s="659">
        <v>5.28E-2</v>
      </c>
      <c r="M9" s="660">
        <f t="shared" si="0"/>
        <v>16</v>
      </c>
      <c r="N9" s="654">
        <f t="shared" si="1"/>
        <v>0</v>
      </c>
      <c r="O9" s="660">
        <f t="shared" si="2"/>
        <v>0</v>
      </c>
      <c r="Q9" s="124" t="s">
        <v>855</v>
      </c>
    </row>
    <row r="10" spans="1:19">
      <c r="A10" s="2516"/>
      <c r="B10" s="2516"/>
      <c r="C10" s="655" t="s">
        <v>1025</v>
      </c>
      <c r="D10" s="656">
        <v>1.37</v>
      </c>
      <c r="E10" s="656">
        <v>1.37</v>
      </c>
      <c r="F10" s="657">
        <v>0.16</v>
      </c>
      <c r="G10" s="657">
        <v>0.16</v>
      </c>
      <c r="H10" s="663">
        <v>0.66479809999999995</v>
      </c>
      <c r="I10" s="659">
        <v>5.28E-2</v>
      </c>
      <c r="M10" s="660">
        <f t="shared" si="0"/>
        <v>16</v>
      </c>
      <c r="N10" s="654">
        <f t="shared" si="1"/>
        <v>0</v>
      </c>
      <c r="O10" s="660">
        <f t="shared" si="2"/>
        <v>1.2100000000000002</v>
      </c>
      <c r="Q10" s="124" t="s">
        <v>855</v>
      </c>
    </row>
    <row r="11" spans="1:19">
      <c r="A11" s="2516"/>
      <c r="B11" s="2516"/>
      <c r="C11" s="655" t="s">
        <v>1026</v>
      </c>
      <c r="D11" s="656">
        <v>13.56</v>
      </c>
      <c r="E11" s="656">
        <v>13.1</v>
      </c>
      <c r="F11" s="657">
        <v>10.09</v>
      </c>
      <c r="G11" s="657">
        <v>9.17</v>
      </c>
      <c r="H11" s="662">
        <v>0</v>
      </c>
      <c r="I11" s="659">
        <v>5.28E-2</v>
      </c>
      <c r="M11" s="660">
        <f t="shared" si="0"/>
        <v>1009</v>
      </c>
      <c r="N11" s="654">
        <f t="shared" si="1"/>
        <v>0.91999999999999993</v>
      </c>
      <c r="O11" s="660">
        <f t="shared" si="2"/>
        <v>3.01</v>
      </c>
      <c r="Q11" s="124" t="s">
        <v>855</v>
      </c>
    </row>
    <row r="12" spans="1:19">
      <c r="A12" s="2516"/>
      <c r="B12" s="2516"/>
      <c r="C12" s="655" t="s">
        <v>1027</v>
      </c>
      <c r="D12" s="656">
        <v>1.76</v>
      </c>
      <c r="E12" s="656">
        <v>1.76</v>
      </c>
      <c r="F12" s="657">
        <v>1.76</v>
      </c>
      <c r="G12" s="657">
        <v>1.76</v>
      </c>
      <c r="H12" s="662">
        <v>0</v>
      </c>
      <c r="I12" s="659">
        <v>5.28E-2</v>
      </c>
      <c r="M12" s="660">
        <f t="shared" si="0"/>
        <v>176</v>
      </c>
      <c r="N12" s="654">
        <f t="shared" si="1"/>
        <v>0</v>
      </c>
      <c r="O12" s="660">
        <f t="shared" si="2"/>
        <v>0</v>
      </c>
      <c r="Q12" s="124" t="s">
        <v>855</v>
      </c>
    </row>
    <row r="13" spans="1:19">
      <c r="A13" s="2516"/>
      <c r="B13" s="2516"/>
      <c r="C13" s="664" t="s">
        <v>1028</v>
      </c>
      <c r="D13" s="664">
        <v>16.970000000000002</v>
      </c>
      <c r="E13" s="664">
        <f>SUM(E9:E12)</f>
        <v>16.39</v>
      </c>
      <c r="F13" s="664">
        <f>SUM(F9:F12)</f>
        <v>12.17</v>
      </c>
      <c r="G13" s="664">
        <v>11.25</v>
      </c>
      <c r="H13" s="665">
        <v>0.66479809999999995</v>
      </c>
      <c r="I13" s="659"/>
      <c r="M13" s="660">
        <f t="shared" si="0"/>
        <v>1217</v>
      </c>
      <c r="N13" s="664">
        <f>SUM(N9:N12)</f>
        <v>0.91999999999999993</v>
      </c>
      <c r="O13" s="664">
        <f>SUM(O9:O12)</f>
        <v>4.22</v>
      </c>
    </row>
    <row r="14" spans="1:19">
      <c r="A14" s="2516">
        <v>3</v>
      </c>
      <c r="B14" s="2516" t="s">
        <v>1029</v>
      </c>
      <c r="C14" s="655" t="s">
        <v>1030</v>
      </c>
      <c r="D14" s="656">
        <v>22.96</v>
      </c>
      <c r="E14" s="656">
        <v>22.96</v>
      </c>
      <c r="F14" s="656">
        <v>17.68</v>
      </c>
      <c r="G14" s="657">
        <v>14.53</v>
      </c>
      <c r="H14" s="663">
        <v>2.8185700000000001E-2</v>
      </c>
      <c r="I14" s="659">
        <v>5.28E-2</v>
      </c>
      <c r="M14" s="660">
        <f t="shared" si="0"/>
        <v>1768</v>
      </c>
      <c r="N14" s="654">
        <f t="shared" si="1"/>
        <v>3.1500000000000004</v>
      </c>
      <c r="O14" s="660">
        <f t="shared" si="2"/>
        <v>5.2800000000000011</v>
      </c>
      <c r="Q14" s="124" t="s">
        <v>855</v>
      </c>
    </row>
    <row r="15" spans="1:19">
      <c r="A15" s="2516"/>
      <c r="B15" s="2516"/>
      <c r="C15" s="655" t="s">
        <v>1031</v>
      </c>
      <c r="D15" s="656">
        <v>17.5</v>
      </c>
      <c r="E15" s="656">
        <v>16.29</v>
      </c>
      <c r="F15" s="656">
        <v>12.54</v>
      </c>
      <c r="G15" s="657">
        <v>11.4</v>
      </c>
      <c r="H15" s="662">
        <v>0</v>
      </c>
      <c r="I15" s="659">
        <v>5.28E-2</v>
      </c>
      <c r="M15" s="660">
        <f t="shared" si="0"/>
        <v>1254</v>
      </c>
      <c r="N15" s="654">
        <f t="shared" si="1"/>
        <v>1.1399999999999988</v>
      </c>
      <c r="O15" s="660">
        <f t="shared" si="2"/>
        <v>3.75</v>
      </c>
      <c r="Q15" s="124" t="s">
        <v>855</v>
      </c>
    </row>
    <row r="16" spans="1:19">
      <c r="A16" s="2516"/>
      <c r="B16" s="2516"/>
      <c r="C16" s="655" t="s">
        <v>1032</v>
      </c>
      <c r="D16" s="656">
        <v>26.13</v>
      </c>
      <c r="E16" s="666">
        <v>26.13</v>
      </c>
      <c r="F16" s="666">
        <v>20.12</v>
      </c>
      <c r="G16" s="657">
        <v>16.21</v>
      </c>
      <c r="H16" s="662">
        <v>0</v>
      </c>
      <c r="I16" s="659">
        <v>5.28E-2</v>
      </c>
      <c r="M16" s="660">
        <f t="shared" si="0"/>
        <v>2012</v>
      </c>
      <c r="N16" s="654">
        <f t="shared" si="1"/>
        <v>3.91</v>
      </c>
      <c r="O16" s="660">
        <f t="shared" si="2"/>
        <v>6.009999999999998</v>
      </c>
      <c r="Q16" s="124" t="s">
        <v>855</v>
      </c>
    </row>
    <row r="17" spans="1:17" ht="28.5">
      <c r="A17" s="2516"/>
      <c r="B17" s="2516"/>
      <c r="C17" s="655" t="s">
        <v>1033</v>
      </c>
      <c r="D17" s="656">
        <v>8.99</v>
      </c>
      <c r="E17" s="666">
        <v>8.9</v>
      </c>
      <c r="F17" s="666">
        <v>6.85</v>
      </c>
      <c r="G17" s="657">
        <v>6.23</v>
      </c>
      <c r="H17" s="662">
        <v>0</v>
      </c>
      <c r="I17" s="659">
        <v>5.28E-2</v>
      </c>
      <c r="M17" s="660">
        <f t="shared" si="0"/>
        <v>685</v>
      </c>
      <c r="N17" s="654">
        <f t="shared" si="1"/>
        <v>0.61999999999999922</v>
      </c>
      <c r="O17" s="660">
        <f t="shared" si="2"/>
        <v>2.0500000000000007</v>
      </c>
      <c r="Q17" s="124" t="s">
        <v>855</v>
      </c>
    </row>
    <row r="18" spans="1:17">
      <c r="A18" s="2516"/>
      <c r="B18" s="2516"/>
      <c r="C18" s="655" t="s">
        <v>1034</v>
      </c>
      <c r="D18" s="656">
        <v>6.74</v>
      </c>
      <c r="E18" s="666">
        <v>6.49</v>
      </c>
      <c r="F18" s="666">
        <v>5</v>
      </c>
      <c r="G18" s="657">
        <v>4.54</v>
      </c>
      <c r="H18" s="662">
        <v>0</v>
      </c>
      <c r="I18" s="659">
        <v>5.28E-2</v>
      </c>
      <c r="M18" s="660">
        <f t="shared" si="0"/>
        <v>500</v>
      </c>
      <c r="N18" s="654">
        <f t="shared" si="1"/>
        <v>0.45999999999999996</v>
      </c>
      <c r="O18" s="660">
        <f t="shared" si="2"/>
        <v>1.4900000000000002</v>
      </c>
      <c r="Q18" s="124" t="s">
        <v>855</v>
      </c>
    </row>
    <row r="19" spans="1:17">
      <c r="A19" s="2516"/>
      <c r="B19" s="2516"/>
      <c r="C19" s="655" t="s">
        <v>1035</v>
      </c>
      <c r="D19" s="656">
        <v>6.77</v>
      </c>
      <c r="E19" s="656">
        <v>5.07</v>
      </c>
      <c r="F19" s="656">
        <v>3.9</v>
      </c>
      <c r="G19" s="657">
        <v>3.5</v>
      </c>
      <c r="H19" s="662">
        <v>0</v>
      </c>
      <c r="I19" s="659">
        <v>5.28E-2</v>
      </c>
      <c r="M19" s="660">
        <f t="shared" si="0"/>
        <v>390</v>
      </c>
      <c r="N19" s="654">
        <f t="shared" si="1"/>
        <v>0.39999999999999991</v>
      </c>
      <c r="O19" s="660">
        <f t="shared" si="2"/>
        <v>1.1700000000000004</v>
      </c>
      <c r="Q19" s="124" t="s">
        <v>855</v>
      </c>
    </row>
    <row r="20" spans="1:17">
      <c r="A20" s="2516"/>
      <c r="B20" s="2516"/>
      <c r="C20" s="655" t="s">
        <v>1036</v>
      </c>
      <c r="D20" s="656">
        <v>2.34</v>
      </c>
      <c r="E20" s="666">
        <v>1.1499999999999999</v>
      </c>
      <c r="F20" s="666">
        <v>1.1499999999999999</v>
      </c>
      <c r="G20" s="657">
        <v>1.1499999999999999</v>
      </c>
      <c r="H20" s="662">
        <v>0</v>
      </c>
      <c r="I20" s="659">
        <v>5.28E-2</v>
      </c>
      <c r="M20" s="660">
        <f t="shared" si="0"/>
        <v>114.99999999999999</v>
      </c>
      <c r="N20" s="654">
        <f t="shared" si="1"/>
        <v>0</v>
      </c>
      <c r="O20" s="660">
        <f t="shared" si="2"/>
        <v>0</v>
      </c>
      <c r="Q20" s="124" t="s">
        <v>855</v>
      </c>
    </row>
    <row r="21" spans="1:17" ht="28.5">
      <c r="A21" s="2516"/>
      <c r="B21" s="2516"/>
      <c r="C21" s="655" t="s">
        <v>1037</v>
      </c>
      <c r="D21" s="667">
        <v>3</v>
      </c>
      <c r="E21" s="667">
        <v>0</v>
      </c>
      <c r="F21" s="667">
        <v>0</v>
      </c>
      <c r="G21" s="657">
        <v>0</v>
      </c>
      <c r="H21" s="662">
        <v>0</v>
      </c>
      <c r="I21" s="659">
        <v>5.28E-2</v>
      </c>
      <c r="M21" s="660">
        <f t="shared" si="0"/>
        <v>0</v>
      </c>
      <c r="N21" s="654">
        <f t="shared" si="1"/>
        <v>0</v>
      </c>
      <c r="O21" s="660">
        <f t="shared" si="2"/>
        <v>0</v>
      </c>
      <c r="Q21" s="124" t="s">
        <v>855</v>
      </c>
    </row>
    <row r="22" spans="1:17">
      <c r="A22" s="2516"/>
      <c r="B22" s="2516"/>
      <c r="C22" s="655" t="s">
        <v>1038</v>
      </c>
      <c r="D22" s="656">
        <v>6.48</v>
      </c>
      <c r="E22" s="668">
        <v>4.9000000000000004</v>
      </c>
      <c r="F22" s="668">
        <v>4.9000000000000004</v>
      </c>
      <c r="G22" s="657">
        <v>4.9000000000000004</v>
      </c>
      <c r="H22" s="662">
        <v>0</v>
      </c>
      <c r="I22" s="659">
        <v>6.3299999999999995E-2</v>
      </c>
      <c r="M22" s="660">
        <f t="shared" si="0"/>
        <v>490.00000000000006</v>
      </c>
      <c r="N22" s="654">
        <f t="shared" si="1"/>
        <v>0</v>
      </c>
      <c r="O22" s="660">
        <f t="shared" si="2"/>
        <v>0</v>
      </c>
      <c r="Q22" s="9" t="s">
        <v>851</v>
      </c>
    </row>
    <row r="23" spans="1:17" ht="28.5">
      <c r="A23" s="2516"/>
      <c r="B23" s="2516"/>
      <c r="C23" s="655" t="s">
        <v>1039</v>
      </c>
      <c r="D23" s="656">
        <v>0.91</v>
      </c>
      <c r="E23" s="668">
        <v>0.81</v>
      </c>
      <c r="F23" s="668">
        <v>0.90999999999999992</v>
      </c>
      <c r="G23" s="657">
        <v>0.81</v>
      </c>
      <c r="H23" s="662">
        <v>0</v>
      </c>
      <c r="I23" s="659">
        <v>5.28E-2</v>
      </c>
      <c r="M23" s="660">
        <f t="shared" si="0"/>
        <v>90.999999999999986</v>
      </c>
      <c r="N23" s="654">
        <f t="shared" si="1"/>
        <v>9.9999999999999867E-2</v>
      </c>
      <c r="O23" s="660">
        <f t="shared" si="2"/>
        <v>-9.9999999999999867E-2</v>
      </c>
      <c r="Q23" s="124" t="s">
        <v>855</v>
      </c>
    </row>
    <row r="24" spans="1:17">
      <c r="A24" s="2516"/>
      <c r="B24" s="2516"/>
      <c r="C24" s="655" t="s">
        <v>1040</v>
      </c>
      <c r="D24" s="656">
        <v>1.69</v>
      </c>
      <c r="E24" s="668">
        <v>1.65</v>
      </c>
      <c r="F24" s="668">
        <v>1.27</v>
      </c>
      <c r="G24" s="657">
        <v>1.1599999999999999</v>
      </c>
      <c r="H24" s="662">
        <v>0</v>
      </c>
      <c r="I24" s="659">
        <v>5.28E-2</v>
      </c>
      <c r="M24" s="660">
        <f t="shared" si="0"/>
        <v>127</v>
      </c>
      <c r="N24" s="654">
        <f t="shared" si="1"/>
        <v>0.1100000000000001</v>
      </c>
      <c r="O24" s="660">
        <f t="shared" si="2"/>
        <v>0.37999999999999989</v>
      </c>
      <c r="Q24" s="124" t="s">
        <v>855</v>
      </c>
    </row>
    <row r="25" spans="1:17">
      <c r="A25" s="2516"/>
      <c r="B25" s="2516"/>
      <c r="C25" s="664" t="s">
        <v>1041</v>
      </c>
      <c r="D25" s="664">
        <v>103.50999999999999</v>
      </c>
      <c r="E25" s="664">
        <f>SUM(E14:E24)</f>
        <v>94.350000000000023</v>
      </c>
      <c r="F25" s="664">
        <f>SUM(F14:F24)</f>
        <v>74.320000000000007</v>
      </c>
      <c r="G25" s="664">
        <v>64.429999999999993</v>
      </c>
      <c r="H25" s="665">
        <v>2.8185700000000001E-2</v>
      </c>
      <c r="I25" s="659"/>
      <c r="M25" s="660">
        <f t="shared" si="0"/>
        <v>7432.0000000000009</v>
      </c>
      <c r="N25" s="664">
        <f>SUM(N14:N24)</f>
        <v>9.889999999999997</v>
      </c>
      <c r="O25" s="664">
        <f>SUM(O14:O24)</f>
        <v>20.029999999999998</v>
      </c>
    </row>
    <row r="26" spans="1:17" ht="30">
      <c r="A26" s="2514">
        <v>4</v>
      </c>
      <c r="B26" s="2515" t="s">
        <v>1042</v>
      </c>
      <c r="C26" s="669" t="s">
        <v>1043</v>
      </c>
      <c r="D26" s="670">
        <v>8.9600000000000009</v>
      </c>
      <c r="E26" s="656">
        <v>8.6999999999999993</v>
      </c>
      <c r="F26" s="656">
        <v>8.6999999999999993</v>
      </c>
      <c r="G26" s="657">
        <v>8.6999999999999993</v>
      </c>
      <c r="H26" s="662">
        <v>0</v>
      </c>
      <c r="I26" s="659">
        <v>5.28E-2</v>
      </c>
      <c r="M26" s="660">
        <f t="shared" si="0"/>
        <v>869.99999999999989</v>
      </c>
      <c r="N26" s="654">
        <f t="shared" si="1"/>
        <v>0</v>
      </c>
      <c r="O26" s="660">
        <f t="shared" si="2"/>
        <v>0</v>
      </c>
      <c r="Q26" s="124" t="s">
        <v>855</v>
      </c>
    </row>
    <row r="27" spans="1:17" ht="30">
      <c r="A27" s="2514"/>
      <c r="B27" s="2515"/>
      <c r="C27" s="669" t="s">
        <v>1044</v>
      </c>
      <c r="D27" s="670">
        <v>5.19</v>
      </c>
      <c r="E27" s="656">
        <v>5.19</v>
      </c>
      <c r="F27" s="656">
        <v>4</v>
      </c>
      <c r="G27" s="657">
        <v>3.63</v>
      </c>
      <c r="H27" s="662">
        <v>0</v>
      </c>
      <c r="I27" s="659">
        <v>5.28E-2</v>
      </c>
      <c r="M27" s="660">
        <f t="shared" si="0"/>
        <v>400</v>
      </c>
      <c r="N27" s="654">
        <f t="shared" si="1"/>
        <v>0.37000000000000011</v>
      </c>
      <c r="O27" s="660">
        <f t="shared" si="2"/>
        <v>1.1900000000000004</v>
      </c>
      <c r="Q27" s="124" t="s">
        <v>855</v>
      </c>
    </row>
    <row r="28" spans="1:17" ht="30">
      <c r="A28" s="2514"/>
      <c r="B28" s="2515"/>
      <c r="C28" s="669" t="s">
        <v>1045</v>
      </c>
      <c r="D28" s="670">
        <v>4.1100000000000003</v>
      </c>
      <c r="E28" s="656">
        <v>4.08</v>
      </c>
      <c r="F28" s="656">
        <v>3.14</v>
      </c>
      <c r="G28" s="657">
        <v>2.86</v>
      </c>
      <c r="H28" s="662">
        <v>0</v>
      </c>
      <c r="I28" s="659">
        <v>5.28E-2</v>
      </c>
      <c r="M28" s="660">
        <f t="shared" si="0"/>
        <v>314</v>
      </c>
      <c r="N28" s="654">
        <f t="shared" si="1"/>
        <v>0.28000000000000025</v>
      </c>
      <c r="O28" s="660">
        <f t="shared" si="2"/>
        <v>0.94</v>
      </c>
      <c r="Q28" s="124" t="s">
        <v>855</v>
      </c>
    </row>
    <row r="29" spans="1:17">
      <c r="A29" s="2514"/>
      <c r="B29" s="2515"/>
      <c r="C29" s="669" t="s">
        <v>1046</v>
      </c>
      <c r="D29" s="670">
        <v>1.68</v>
      </c>
      <c r="E29" s="668">
        <v>1.68</v>
      </c>
      <c r="F29" s="668">
        <v>1.29</v>
      </c>
      <c r="G29" s="657">
        <v>1.18</v>
      </c>
      <c r="H29" s="662">
        <v>0</v>
      </c>
      <c r="I29" s="659">
        <v>5.28E-2</v>
      </c>
      <c r="M29" s="660">
        <f t="shared" si="0"/>
        <v>129</v>
      </c>
      <c r="N29" s="654">
        <f t="shared" si="1"/>
        <v>0.1100000000000001</v>
      </c>
      <c r="O29" s="660">
        <f t="shared" si="2"/>
        <v>0.3899999999999999</v>
      </c>
      <c r="Q29" s="124" t="s">
        <v>855</v>
      </c>
    </row>
    <row r="30" spans="1:17">
      <c r="A30" s="2514"/>
      <c r="B30" s="2515"/>
      <c r="C30" s="669" t="s">
        <v>1047</v>
      </c>
      <c r="D30" s="670">
        <v>2.06</v>
      </c>
      <c r="E30" s="668">
        <v>2.06</v>
      </c>
      <c r="F30" s="668">
        <v>1.59</v>
      </c>
      <c r="G30" s="657">
        <v>1.44</v>
      </c>
      <c r="H30" s="662">
        <v>0</v>
      </c>
      <c r="I30" s="659">
        <v>5.28E-2</v>
      </c>
      <c r="M30" s="660">
        <f t="shared" si="0"/>
        <v>159</v>
      </c>
      <c r="N30" s="654">
        <f t="shared" si="1"/>
        <v>0.15000000000000013</v>
      </c>
      <c r="O30" s="660">
        <f t="shared" si="2"/>
        <v>0.47</v>
      </c>
      <c r="Q30" s="124" t="s">
        <v>855</v>
      </c>
    </row>
    <row r="31" spans="1:17">
      <c r="A31" s="2514"/>
      <c r="B31" s="2515"/>
      <c r="C31" s="664" t="s">
        <v>239</v>
      </c>
      <c r="D31" s="664">
        <v>22</v>
      </c>
      <c r="E31" s="664">
        <f>SUM(E26:E30)</f>
        <v>21.709999999999997</v>
      </c>
      <c r="F31" s="664">
        <f>SUM(F26:F30)</f>
        <v>18.72</v>
      </c>
      <c r="G31" s="664">
        <v>17.809999999999999</v>
      </c>
      <c r="H31" s="671">
        <v>0</v>
      </c>
      <c r="I31" s="659"/>
      <c r="M31" s="660">
        <f t="shared" si="0"/>
        <v>1872</v>
      </c>
      <c r="N31" s="664">
        <f>SUM(N26:N30)</f>
        <v>0.91000000000000059</v>
      </c>
      <c r="O31" s="664">
        <f>SUM(O26:O30)</f>
        <v>2.99</v>
      </c>
    </row>
    <row r="32" spans="1:17" ht="17.25" customHeight="1">
      <c r="A32" s="2516">
        <v>5</v>
      </c>
      <c r="B32" s="2516" t="s">
        <v>1048</v>
      </c>
      <c r="C32" s="655" t="s">
        <v>1049</v>
      </c>
      <c r="D32" s="656">
        <v>5.39</v>
      </c>
      <c r="E32" s="656">
        <v>5.39</v>
      </c>
      <c r="F32" s="656">
        <v>0.32</v>
      </c>
      <c r="G32" s="657">
        <v>0.32</v>
      </c>
      <c r="H32" s="662">
        <v>0</v>
      </c>
      <c r="I32" s="659">
        <v>0.15</v>
      </c>
      <c r="M32" s="660">
        <f t="shared" si="0"/>
        <v>32</v>
      </c>
      <c r="N32" s="654">
        <f t="shared" si="1"/>
        <v>0</v>
      </c>
      <c r="O32" s="660">
        <f t="shared" si="2"/>
        <v>5.0699999999999994</v>
      </c>
      <c r="Q32" s="9" t="s">
        <v>1050</v>
      </c>
    </row>
    <row r="33" spans="1:17">
      <c r="A33" s="2516"/>
      <c r="B33" s="2516"/>
      <c r="C33" s="655" t="s">
        <v>1051</v>
      </c>
      <c r="D33" s="656">
        <v>5.31</v>
      </c>
      <c r="E33" s="656">
        <v>5.31</v>
      </c>
      <c r="F33" s="656">
        <v>5.67</v>
      </c>
      <c r="G33" s="657">
        <v>5.67</v>
      </c>
      <c r="H33" s="663">
        <v>1.926704</v>
      </c>
      <c r="I33" s="659">
        <v>0.15</v>
      </c>
      <c r="M33" s="660">
        <f t="shared" si="0"/>
        <v>567</v>
      </c>
      <c r="N33" s="654">
        <f t="shared" si="1"/>
        <v>0</v>
      </c>
      <c r="O33" s="660">
        <f t="shared" si="2"/>
        <v>-0.36000000000000032</v>
      </c>
      <c r="Q33" s="9" t="s">
        <v>1050</v>
      </c>
    </row>
    <row r="34" spans="1:17">
      <c r="A34" s="2516"/>
      <c r="B34" s="2516"/>
      <c r="C34" s="655" t="s">
        <v>1052</v>
      </c>
      <c r="D34" s="656">
        <v>16.34</v>
      </c>
      <c r="E34" s="656">
        <v>16.02</v>
      </c>
      <c r="F34" s="656">
        <v>13.221</v>
      </c>
      <c r="G34" s="672">
        <v>13.221</v>
      </c>
      <c r="H34" s="663">
        <v>3.4702147999999999</v>
      </c>
      <c r="I34" s="659">
        <v>0.15</v>
      </c>
      <c r="M34" s="660">
        <f t="shared" si="0"/>
        <v>1322.1</v>
      </c>
      <c r="N34" s="654">
        <f t="shared" si="1"/>
        <v>0</v>
      </c>
      <c r="O34" s="660">
        <f t="shared" si="2"/>
        <v>2.7989999999999995</v>
      </c>
      <c r="Q34" s="9" t="s">
        <v>1050</v>
      </c>
    </row>
    <row r="35" spans="1:17">
      <c r="A35" s="2516"/>
      <c r="B35" s="2516"/>
      <c r="C35" s="655" t="s">
        <v>1053</v>
      </c>
      <c r="D35" s="656">
        <v>15</v>
      </c>
      <c r="E35" s="656">
        <v>15</v>
      </c>
      <c r="F35" s="656">
        <v>14.77</v>
      </c>
      <c r="G35" s="657">
        <v>14.77</v>
      </c>
      <c r="H35" s="663">
        <v>1.8790292</v>
      </c>
      <c r="I35" s="659">
        <v>0.15</v>
      </c>
      <c r="M35" s="660">
        <f t="shared" si="0"/>
        <v>1477</v>
      </c>
      <c r="N35" s="654">
        <f t="shared" si="1"/>
        <v>0</v>
      </c>
      <c r="O35" s="660">
        <f t="shared" si="2"/>
        <v>0.23000000000000043</v>
      </c>
      <c r="Q35" s="9" t="s">
        <v>1050</v>
      </c>
    </row>
    <row r="36" spans="1:17" ht="28.5">
      <c r="A36" s="2516"/>
      <c r="B36" s="2516"/>
      <c r="C36" s="655" t="s">
        <v>1054</v>
      </c>
      <c r="D36" s="656">
        <v>4.9800000000000004</v>
      </c>
      <c r="E36" s="656">
        <v>4.9800000000000004</v>
      </c>
      <c r="F36" s="656">
        <v>2</v>
      </c>
      <c r="G36" s="657">
        <v>2</v>
      </c>
      <c r="H36" s="663">
        <v>0.2484249</v>
      </c>
      <c r="I36" s="659">
        <v>0.15</v>
      </c>
      <c r="M36" s="660">
        <f t="shared" si="0"/>
        <v>200</v>
      </c>
      <c r="N36" s="654">
        <f t="shared" si="1"/>
        <v>0</v>
      </c>
      <c r="O36" s="660">
        <f t="shared" si="2"/>
        <v>2.9800000000000004</v>
      </c>
      <c r="Q36" s="9" t="s">
        <v>1050</v>
      </c>
    </row>
    <row r="37" spans="1:17" ht="28.5">
      <c r="A37" s="2516"/>
      <c r="B37" s="2516"/>
      <c r="C37" s="655" t="s">
        <v>1055</v>
      </c>
      <c r="D37" s="656">
        <v>2.5499999999999998</v>
      </c>
      <c r="E37" s="673">
        <v>2.5499999999999998</v>
      </c>
      <c r="F37" s="673">
        <v>2.5499999999999998</v>
      </c>
      <c r="G37" s="657">
        <v>2.5499999999999998</v>
      </c>
      <c r="H37" s="662">
        <v>0</v>
      </c>
      <c r="I37" s="659">
        <v>0.15</v>
      </c>
      <c r="M37" s="660">
        <f t="shared" si="0"/>
        <v>254.99999999999997</v>
      </c>
      <c r="N37" s="654">
        <f t="shared" si="1"/>
        <v>0</v>
      </c>
      <c r="O37" s="660">
        <f t="shared" si="2"/>
        <v>0</v>
      </c>
      <c r="Q37" s="9" t="s">
        <v>1050</v>
      </c>
    </row>
    <row r="38" spans="1:17" ht="15.75">
      <c r="A38" s="2516"/>
      <c r="B38" s="2516"/>
      <c r="C38" s="655" t="s">
        <v>1056</v>
      </c>
      <c r="D38" s="656">
        <v>7.91</v>
      </c>
      <c r="E38" s="674">
        <v>3</v>
      </c>
      <c r="F38" s="674">
        <v>9.1</v>
      </c>
      <c r="G38" s="657">
        <v>9.1</v>
      </c>
      <c r="H38" s="662">
        <v>0</v>
      </c>
      <c r="I38" s="659">
        <v>0.15</v>
      </c>
      <c r="M38" s="660">
        <f t="shared" si="0"/>
        <v>910</v>
      </c>
      <c r="N38" s="654">
        <f t="shared" si="1"/>
        <v>0</v>
      </c>
      <c r="O38" s="660">
        <f t="shared" si="2"/>
        <v>-6.1</v>
      </c>
      <c r="Q38" s="9" t="s">
        <v>1050</v>
      </c>
    </row>
    <row r="39" spans="1:17" ht="28.5">
      <c r="A39" s="2516"/>
      <c r="B39" s="2516"/>
      <c r="C39" s="655" t="s">
        <v>1057</v>
      </c>
      <c r="D39" s="675">
        <v>10.5</v>
      </c>
      <c r="E39" s="673">
        <v>10.5</v>
      </c>
      <c r="F39" s="673">
        <v>7</v>
      </c>
      <c r="G39" s="657">
        <v>7</v>
      </c>
      <c r="H39" s="662">
        <v>0</v>
      </c>
      <c r="I39" s="659">
        <v>0.15</v>
      </c>
      <c r="M39" s="660">
        <f t="shared" si="0"/>
        <v>700</v>
      </c>
      <c r="N39" s="654">
        <f t="shared" si="1"/>
        <v>0</v>
      </c>
      <c r="O39" s="660">
        <f t="shared" si="2"/>
        <v>3.5</v>
      </c>
      <c r="Q39" s="9" t="s">
        <v>1050</v>
      </c>
    </row>
    <row r="40" spans="1:17">
      <c r="A40" s="2516"/>
      <c r="B40" s="2516"/>
      <c r="C40" s="655" t="s">
        <v>1058</v>
      </c>
      <c r="D40" s="656">
        <v>5</v>
      </c>
      <c r="E40" s="656">
        <v>5</v>
      </c>
      <c r="F40" s="656">
        <v>0</v>
      </c>
      <c r="G40" s="657">
        <v>0</v>
      </c>
      <c r="H40" s="663">
        <v>5.0978000000000004E-3</v>
      </c>
      <c r="I40" s="659">
        <v>0.15</v>
      </c>
      <c r="J40" s="654">
        <v>4.25</v>
      </c>
      <c r="K40" s="659">
        <v>3.3399999999999999E-2</v>
      </c>
      <c r="L40" s="654">
        <v>0.75</v>
      </c>
      <c r="M40" s="660">
        <f t="shared" si="0"/>
        <v>0</v>
      </c>
      <c r="N40" s="654">
        <f t="shared" si="1"/>
        <v>0</v>
      </c>
      <c r="O40" s="660">
        <f t="shared" si="2"/>
        <v>5</v>
      </c>
      <c r="Q40" s="9" t="s">
        <v>1050</v>
      </c>
    </row>
    <row r="41" spans="1:17" ht="42.75">
      <c r="A41" s="2516"/>
      <c r="B41" s="2516"/>
      <c r="C41" s="655" t="s">
        <v>1059</v>
      </c>
      <c r="D41" s="656">
        <v>17.3</v>
      </c>
      <c r="E41" s="656">
        <v>17.3</v>
      </c>
      <c r="F41" s="656">
        <v>14.27</v>
      </c>
      <c r="G41" s="657">
        <v>12.9</v>
      </c>
      <c r="H41" s="663">
        <v>1.5813721000000001</v>
      </c>
      <c r="I41" s="659">
        <v>3.3399999999999999E-2</v>
      </c>
      <c r="M41" s="660">
        <f t="shared" si="0"/>
        <v>1427</v>
      </c>
      <c r="N41" s="654">
        <f t="shared" si="1"/>
        <v>1.3699999999999992</v>
      </c>
      <c r="O41" s="660">
        <f t="shared" si="2"/>
        <v>3.0300000000000011</v>
      </c>
      <c r="Q41" s="124" t="s">
        <v>843</v>
      </c>
    </row>
    <row r="42" spans="1:17">
      <c r="A42" s="2516"/>
      <c r="B42" s="2516"/>
      <c r="C42" s="655" t="s">
        <v>1060</v>
      </c>
      <c r="D42" s="656">
        <v>3.6</v>
      </c>
      <c r="E42" s="656">
        <v>3.6</v>
      </c>
      <c r="F42" s="656">
        <v>0.5</v>
      </c>
      <c r="G42" s="657">
        <v>0</v>
      </c>
      <c r="H42" s="662">
        <v>0</v>
      </c>
      <c r="I42" s="659">
        <v>3.3399999999999999E-2</v>
      </c>
      <c r="J42" s="654">
        <v>2.5</v>
      </c>
      <c r="K42" s="659">
        <v>6.3299999999999995E-2</v>
      </c>
      <c r="L42" s="654">
        <v>1.1000000000000001</v>
      </c>
      <c r="M42" s="660">
        <f t="shared" si="0"/>
        <v>50</v>
      </c>
      <c r="N42" s="654">
        <f t="shared" si="1"/>
        <v>0.5</v>
      </c>
      <c r="O42" s="660">
        <f t="shared" si="2"/>
        <v>3.1</v>
      </c>
      <c r="Q42" s="124" t="s">
        <v>843</v>
      </c>
    </row>
    <row r="43" spans="1:17">
      <c r="A43" s="2516"/>
      <c r="B43" s="2516"/>
      <c r="C43" s="655" t="s">
        <v>1061</v>
      </c>
      <c r="D43" s="656">
        <v>0.75</v>
      </c>
      <c r="E43" s="668">
        <v>0.75</v>
      </c>
      <c r="F43" s="668">
        <v>0.75</v>
      </c>
      <c r="G43" s="657">
        <v>0.75</v>
      </c>
      <c r="H43" s="662">
        <v>0</v>
      </c>
      <c r="I43" s="659">
        <v>5.28E-2</v>
      </c>
      <c r="M43" s="660">
        <f t="shared" si="0"/>
        <v>75</v>
      </c>
      <c r="N43" s="654">
        <f t="shared" si="1"/>
        <v>0</v>
      </c>
      <c r="O43" s="660">
        <f t="shared" si="2"/>
        <v>0</v>
      </c>
      <c r="Q43" s="124" t="s">
        <v>855</v>
      </c>
    </row>
    <row r="44" spans="1:17">
      <c r="A44" s="2516"/>
      <c r="B44" s="2516"/>
      <c r="C44" s="655" t="s">
        <v>1062</v>
      </c>
      <c r="D44" s="656">
        <v>5.23</v>
      </c>
      <c r="E44" s="668">
        <v>5.23</v>
      </c>
      <c r="F44" s="668">
        <v>4.1171000000000006</v>
      </c>
      <c r="G44" s="672">
        <v>3.9093</v>
      </c>
      <c r="H44" s="663">
        <v>0.14427000000000001</v>
      </c>
      <c r="I44" s="659">
        <v>6.3299999999999995E-2</v>
      </c>
      <c r="M44" s="660">
        <f t="shared" si="0"/>
        <v>411.71000000000004</v>
      </c>
      <c r="N44" s="654">
        <f t="shared" si="1"/>
        <v>0.20780000000000065</v>
      </c>
      <c r="O44" s="660">
        <f t="shared" si="2"/>
        <v>1.1128999999999998</v>
      </c>
      <c r="Q44" s="2398" t="s">
        <v>845</v>
      </c>
    </row>
    <row r="45" spans="1:17">
      <c r="A45" s="2516"/>
      <c r="B45" s="2516"/>
      <c r="C45" s="655" t="s">
        <v>1063</v>
      </c>
      <c r="D45" s="656">
        <v>3.25</v>
      </c>
      <c r="E45" s="656">
        <v>3.25</v>
      </c>
      <c r="F45" s="656">
        <v>0.5</v>
      </c>
      <c r="G45" s="657">
        <v>0</v>
      </c>
      <c r="H45" s="662">
        <v>0</v>
      </c>
      <c r="I45" s="659">
        <v>3.3399999999999999E-2</v>
      </c>
      <c r="M45" s="660">
        <f t="shared" si="0"/>
        <v>50</v>
      </c>
      <c r="N45" s="654">
        <f t="shared" si="1"/>
        <v>0.5</v>
      </c>
      <c r="O45" s="660">
        <f t="shared" si="2"/>
        <v>2.75</v>
      </c>
      <c r="Q45" s="124" t="s">
        <v>843</v>
      </c>
    </row>
    <row r="46" spans="1:17" ht="16.5">
      <c r="A46" s="2516"/>
      <c r="B46" s="676"/>
      <c r="C46" s="664" t="s">
        <v>1064</v>
      </c>
      <c r="D46" s="664">
        <v>103.10999999999999</v>
      </c>
      <c r="E46" s="664">
        <f>SUM(E32:E45)</f>
        <v>97.88</v>
      </c>
      <c r="F46" s="664">
        <f>SUM(F32:F45)</f>
        <v>74.768100000000004</v>
      </c>
      <c r="G46" s="665">
        <v>72.190299999999993</v>
      </c>
      <c r="H46" s="665">
        <v>9.2551127999999991</v>
      </c>
      <c r="I46" s="659"/>
      <c r="M46" s="660">
        <f t="shared" si="0"/>
        <v>7476.81</v>
      </c>
      <c r="N46" s="664">
        <f>SUM(N32:N45)</f>
        <v>2.5777999999999999</v>
      </c>
      <c r="O46" s="664">
        <f>SUM(O32:O45)</f>
        <v>23.111900000000002</v>
      </c>
    </row>
    <row r="47" spans="1:17">
      <c r="A47" s="2517" t="s">
        <v>1065</v>
      </c>
      <c r="B47" s="2517"/>
      <c r="C47" s="2517"/>
      <c r="D47" s="677">
        <v>275.39999999999998</v>
      </c>
      <c r="E47" s="677">
        <f>E46+E31+E25+E13+E8</f>
        <v>258.77999999999997</v>
      </c>
      <c r="F47" s="677">
        <f>F46+F31+F25+F13+F8</f>
        <v>201.36810000000003</v>
      </c>
      <c r="G47" s="678">
        <f>G46+G31+G25+G13+G8</f>
        <v>185.71029999999999</v>
      </c>
      <c r="H47" s="678">
        <f t="shared" ref="H47" si="3">H46+H31+H25+H13+H8</f>
        <v>10.9715674</v>
      </c>
      <c r="I47" s="659"/>
      <c r="M47" s="678">
        <f t="shared" si="0"/>
        <v>20136.810000000001</v>
      </c>
      <c r="N47" s="678">
        <f>N46+N31+N25+N13+N8</f>
        <v>15.657799999999996</v>
      </c>
      <c r="O47" s="678">
        <f>O46+O31+O25+O13+O8</f>
        <v>57.411900000000003</v>
      </c>
    </row>
    <row r="48" spans="1:17">
      <c r="O48" s="825"/>
    </row>
    <row r="49" spans="1:6">
      <c r="A49" s="654" t="s">
        <v>1066</v>
      </c>
      <c r="F49" s="654">
        <f>F47*10^2</f>
        <v>20136.810000000001</v>
      </c>
    </row>
    <row r="51" spans="1:6">
      <c r="F51" s="654">
        <f>E47-F47</f>
        <v>57.411899999999946</v>
      </c>
    </row>
  </sheetData>
  <autoFilter ref="A1:L47" xr:uid="{00000000-0009-0000-0000-000016000000}"/>
  <mergeCells count="24">
    <mergeCell ref="A14:A25"/>
    <mergeCell ref="B14:B25"/>
    <mergeCell ref="G1:G2"/>
    <mergeCell ref="H1:H2"/>
    <mergeCell ref="I1:I2"/>
    <mergeCell ref="A1:A2"/>
    <mergeCell ref="B1:B2"/>
    <mergeCell ref="C1:C2"/>
    <mergeCell ref="D1:D2"/>
    <mergeCell ref="E1:E2"/>
    <mergeCell ref="F1:F2"/>
    <mergeCell ref="P1:P2"/>
    <mergeCell ref="A3:A8"/>
    <mergeCell ref="B3:B8"/>
    <mergeCell ref="A9:A13"/>
    <mergeCell ref="B9:B13"/>
    <mergeCell ref="J1:J2"/>
    <mergeCell ref="N1:N2"/>
    <mergeCell ref="O1:O2"/>
    <mergeCell ref="A26:A31"/>
    <mergeCell ref="B26:B31"/>
    <mergeCell ref="A32:A46"/>
    <mergeCell ref="B32:B45"/>
    <mergeCell ref="A47:C4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R56"/>
  <sheetViews>
    <sheetView zoomScale="82" zoomScaleNormal="82" workbookViewId="0">
      <pane xSplit="2" ySplit="6" topLeftCell="D45" activePane="bottomRight" state="frozen"/>
      <selection pane="bottomRight" activeCell="I54" sqref="I54"/>
      <selection pane="bottomLeft" activeCell="A7" sqref="A7"/>
      <selection pane="topRight" activeCell="C1" sqref="C1"/>
    </sheetView>
  </sheetViews>
  <sheetFormatPr defaultColWidth="9.140625" defaultRowHeight="12.75"/>
  <cols>
    <col min="1" max="1" width="9.140625" style="680"/>
    <col min="2" max="2" width="12.140625" style="680" customWidth="1"/>
    <col min="3" max="3" width="56.5703125" style="680" customWidth="1"/>
    <col min="4" max="5" width="11" style="680" customWidth="1"/>
    <col min="6" max="6" width="9.5703125" style="680" customWidth="1"/>
    <col min="7" max="7" width="34" style="680" customWidth="1"/>
    <col min="8" max="8" width="19.140625" style="680" customWidth="1"/>
    <col min="9" max="9" width="14.140625" style="680" customWidth="1"/>
    <col min="10" max="10" width="34" style="680" bestFit="1" customWidth="1"/>
    <col min="11" max="11" width="34" style="726" customWidth="1"/>
    <col min="12" max="12" width="39.140625" style="680" bestFit="1" customWidth="1"/>
    <col min="13" max="14" width="12.5703125" style="680" customWidth="1"/>
    <col min="15" max="15" width="10.7109375" style="680" customWidth="1"/>
    <col min="16" max="16" width="10.5703125" style="680" bestFit="1" customWidth="1"/>
    <col min="17" max="17" width="11.5703125" style="680" bestFit="1" customWidth="1"/>
    <col min="18" max="16384" width="9.140625" style="680"/>
  </cols>
  <sheetData>
    <row r="1" spans="1:18">
      <c r="A1" s="679" t="s">
        <v>917</v>
      </c>
    </row>
    <row r="2" spans="1:18">
      <c r="A2" s="679" t="s">
        <v>918</v>
      </c>
    </row>
    <row r="3" spans="1:18">
      <c r="A3" s="679" t="s">
        <v>1067</v>
      </c>
    </row>
    <row r="5" spans="1:18" ht="15">
      <c r="A5" s="2533" t="s">
        <v>1002</v>
      </c>
      <c r="B5" s="2533" t="s">
        <v>1003</v>
      </c>
      <c r="C5" s="2533" t="s">
        <v>1004</v>
      </c>
      <c r="D5" s="2533" t="s">
        <v>1068</v>
      </c>
      <c r="E5" s="689" t="s">
        <v>890</v>
      </c>
      <c r="F5" s="2524" t="s">
        <v>1069</v>
      </c>
      <c r="G5" s="2527" t="s">
        <v>1070</v>
      </c>
      <c r="H5" s="2527" t="s">
        <v>1071</v>
      </c>
      <c r="I5" s="2524" t="s">
        <v>1072</v>
      </c>
      <c r="J5" s="715"/>
      <c r="K5" s="2529" t="s">
        <v>1072</v>
      </c>
      <c r="L5" s="2528"/>
      <c r="M5" s="2528"/>
      <c r="N5" s="2528"/>
      <c r="O5" s="2532"/>
      <c r="P5" s="2834"/>
      <c r="Q5" s="2834"/>
      <c r="R5" s="2528"/>
    </row>
    <row r="6" spans="1:18">
      <c r="A6" s="2533"/>
      <c r="B6" s="2533"/>
      <c r="C6" s="2533"/>
      <c r="D6" s="2533"/>
      <c r="E6" s="689"/>
      <c r="F6" s="2524"/>
      <c r="G6" s="2527"/>
      <c r="H6" s="2527"/>
      <c r="I6" s="2524"/>
      <c r="J6" s="715"/>
      <c r="K6" s="2529"/>
      <c r="L6" s="2528"/>
      <c r="M6" s="2528"/>
      <c r="N6" s="2528"/>
      <c r="O6" s="681"/>
      <c r="P6" s="681"/>
      <c r="Q6" s="681"/>
      <c r="R6" s="2528"/>
    </row>
    <row r="7" spans="1:18" ht="26.25" thickBot="1">
      <c r="A7" s="2531">
        <v>1</v>
      </c>
      <c r="B7" s="2523" t="s">
        <v>1015</v>
      </c>
      <c r="C7" s="682" t="s">
        <v>1073</v>
      </c>
      <c r="D7" s="683">
        <v>1.8</v>
      </c>
      <c r="E7" s="683">
        <f>D7*75%</f>
        <v>1.35</v>
      </c>
      <c r="F7" s="684" t="s">
        <v>1074</v>
      </c>
      <c r="G7" s="2408" t="s">
        <v>1075</v>
      </c>
      <c r="H7" s="685">
        <v>3.34</v>
      </c>
      <c r="I7" s="683">
        <f>D7*0.7</f>
        <v>1.26</v>
      </c>
      <c r="J7" s="124" t="s">
        <v>843</v>
      </c>
      <c r="K7" s="2409">
        <f>D7*0.7</f>
        <v>1.26</v>
      </c>
      <c r="O7" s="686"/>
      <c r="P7" s="686"/>
    </row>
    <row r="8" spans="1:18" ht="39" thickBot="1">
      <c r="A8" s="2531"/>
      <c r="B8" s="2523"/>
      <c r="C8" s="682" t="s">
        <v>1019</v>
      </c>
      <c r="D8" s="687">
        <v>4.6806045921882342</v>
      </c>
      <c r="E8" s="683">
        <f t="shared" ref="E8:E52" si="0">D8*75%</f>
        <v>3.5104534441411754</v>
      </c>
      <c r="F8" s="685" t="s">
        <v>1076</v>
      </c>
      <c r="G8" s="2410" t="s">
        <v>1077</v>
      </c>
      <c r="H8" s="685">
        <v>5.28</v>
      </c>
      <c r="I8" s="687">
        <f t="shared" ref="I8:I52" si="1">D8*0.7</f>
        <v>3.2764232145317638</v>
      </c>
      <c r="J8" s="124" t="s">
        <v>855</v>
      </c>
      <c r="K8" s="2409">
        <f t="shared" ref="K8:K54" si="2">D8*0.7</f>
        <v>3.2764232145317638</v>
      </c>
      <c r="O8" s="686"/>
      <c r="P8" s="686"/>
    </row>
    <row r="9" spans="1:18" ht="26.25" thickBot="1">
      <c r="A9" s="2531"/>
      <c r="B9" s="2523"/>
      <c r="C9" s="682" t="s">
        <v>1020</v>
      </c>
      <c r="D9" s="685">
        <v>4.95</v>
      </c>
      <c r="E9" s="683">
        <f t="shared" si="0"/>
        <v>3.7125000000000004</v>
      </c>
      <c r="F9" s="684" t="s">
        <v>1074</v>
      </c>
      <c r="G9" s="2408" t="s">
        <v>1078</v>
      </c>
      <c r="H9" s="685">
        <v>3.34</v>
      </c>
      <c r="I9" s="685">
        <f t="shared" si="1"/>
        <v>3.4649999999999999</v>
      </c>
      <c r="J9" s="124" t="s">
        <v>843</v>
      </c>
      <c r="K9" s="2409">
        <f t="shared" si="2"/>
        <v>3.4649999999999999</v>
      </c>
      <c r="O9" s="686"/>
      <c r="P9" s="686"/>
    </row>
    <row r="10" spans="1:18" ht="39" thickBot="1">
      <c r="A10" s="2531"/>
      <c r="B10" s="2523"/>
      <c r="C10" s="688" t="s">
        <v>1079</v>
      </c>
      <c r="D10" s="685">
        <v>3.05</v>
      </c>
      <c r="E10" s="683">
        <f t="shared" si="0"/>
        <v>2.2874999999999996</v>
      </c>
      <c r="F10" s="684" t="s">
        <v>1080</v>
      </c>
      <c r="G10" s="2408" t="s">
        <v>1081</v>
      </c>
      <c r="H10" s="685">
        <v>3.34</v>
      </c>
      <c r="I10" s="685">
        <f t="shared" si="1"/>
        <v>2.1349999999999998</v>
      </c>
      <c r="J10" s="124" t="s">
        <v>843</v>
      </c>
      <c r="K10" s="2409">
        <f t="shared" si="2"/>
        <v>2.1349999999999998</v>
      </c>
      <c r="M10" s="686"/>
      <c r="N10" s="686"/>
      <c r="O10" s="686"/>
      <c r="P10" s="686"/>
    </row>
    <row r="11" spans="1:18" ht="13.5" thickBot="1">
      <c r="A11" s="2531"/>
      <c r="B11" s="2523"/>
      <c r="C11" s="682" t="s">
        <v>1082</v>
      </c>
      <c r="D11" s="685">
        <v>2</v>
      </c>
      <c r="E11" s="683">
        <f t="shared" si="0"/>
        <v>1.5</v>
      </c>
      <c r="F11" s="685" t="s">
        <v>1083</v>
      </c>
      <c r="G11" s="2410" t="s">
        <v>1084</v>
      </c>
      <c r="H11" s="685">
        <v>5.28</v>
      </c>
      <c r="I11" s="685">
        <f t="shared" si="1"/>
        <v>1.4</v>
      </c>
      <c r="J11" s="124" t="s">
        <v>855</v>
      </c>
      <c r="K11" s="2409">
        <f t="shared" si="2"/>
        <v>1.4</v>
      </c>
      <c r="O11" s="686"/>
      <c r="P11" s="686"/>
    </row>
    <row r="12" spans="1:18" ht="13.5" thickBot="1">
      <c r="A12" s="2531"/>
      <c r="B12" s="2523"/>
      <c r="C12" s="682" t="s">
        <v>1085</v>
      </c>
      <c r="D12" s="685">
        <v>38</v>
      </c>
      <c r="E12" s="683">
        <f t="shared" si="0"/>
        <v>28.5</v>
      </c>
      <c r="F12" s="685" t="s">
        <v>1083</v>
      </c>
      <c r="G12" s="2410" t="s">
        <v>1084</v>
      </c>
      <c r="H12" s="685">
        <v>5.28</v>
      </c>
      <c r="I12" s="685">
        <f t="shared" si="1"/>
        <v>26.599999999999998</v>
      </c>
      <c r="J12" s="124" t="s">
        <v>855</v>
      </c>
      <c r="K12" s="2409">
        <f t="shared" si="2"/>
        <v>26.599999999999998</v>
      </c>
      <c r="O12" s="686"/>
      <c r="P12" s="686"/>
    </row>
    <row r="13" spans="1:18" ht="13.5" thickBot="1">
      <c r="A13" s="2531"/>
      <c r="B13" s="2523"/>
      <c r="C13" s="689" t="s">
        <v>1022</v>
      </c>
      <c r="D13" s="690">
        <f>SUM(D7:D12)</f>
        <v>54.480604592188236</v>
      </c>
      <c r="E13" s="690">
        <f>SUM(E7:E12)</f>
        <v>40.860453444141172</v>
      </c>
      <c r="F13" s="690"/>
      <c r="G13" s="2411"/>
      <c r="H13" s="690"/>
      <c r="I13" s="690">
        <f>SUM(I7:I12)</f>
        <v>38.13642321453176</v>
      </c>
      <c r="J13" s="716"/>
      <c r="K13" s="2409">
        <f t="shared" si="2"/>
        <v>38.13642321453176</v>
      </c>
      <c r="L13" s="691"/>
      <c r="M13" s="679"/>
      <c r="N13" s="679"/>
      <c r="O13" s="679"/>
      <c r="P13" s="679"/>
      <c r="Q13" s="679"/>
      <c r="R13" s="679"/>
    </row>
    <row r="14" spans="1:18" ht="26.25" thickBot="1">
      <c r="A14" s="2523">
        <v>2</v>
      </c>
      <c r="B14" s="2523" t="s">
        <v>1023</v>
      </c>
      <c r="C14" s="682" t="s">
        <v>1026</v>
      </c>
      <c r="D14" s="685">
        <v>14.796817086545456</v>
      </c>
      <c r="E14" s="683">
        <f t="shared" si="0"/>
        <v>11.097612814909091</v>
      </c>
      <c r="F14" s="685" t="s">
        <v>1086</v>
      </c>
      <c r="G14" s="2410" t="s">
        <v>1087</v>
      </c>
      <c r="H14" s="685">
        <v>5.28</v>
      </c>
      <c r="I14" s="685">
        <f t="shared" si="1"/>
        <v>10.357771960581818</v>
      </c>
      <c r="J14" s="124" t="s">
        <v>855</v>
      </c>
      <c r="K14" s="2409">
        <f t="shared" si="2"/>
        <v>10.357771960581818</v>
      </c>
      <c r="O14" s="686"/>
      <c r="P14" s="686"/>
      <c r="R14" s="686"/>
    </row>
    <row r="15" spans="1:18" ht="13.5" thickBot="1">
      <c r="A15" s="2523"/>
      <c r="B15" s="2523"/>
      <c r="C15" s="688" t="s">
        <v>1088</v>
      </c>
      <c r="D15" s="692">
        <v>1.19</v>
      </c>
      <c r="E15" s="683">
        <f t="shared" si="0"/>
        <v>0.89249999999999996</v>
      </c>
      <c r="F15" s="685" t="s">
        <v>1083</v>
      </c>
      <c r="G15" s="2410" t="s">
        <v>1084</v>
      </c>
      <c r="H15" s="685">
        <v>5.28</v>
      </c>
      <c r="I15" s="685">
        <f t="shared" si="1"/>
        <v>0.83299999999999996</v>
      </c>
      <c r="J15" s="124" t="s">
        <v>855</v>
      </c>
      <c r="K15" s="2409">
        <f t="shared" si="2"/>
        <v>0.83299999999999996</v>
      </c>
      <c r="O15" s="686"/>
      <c r="P15" s="686"/>
      <c r="R15" s="686"/>
    </row>
    <row r="16" spans="1:18" ht="13.5" thickBot="1">
      <c r="A16" s="2523"/>
      <c r="B16" s="2523"/>
      <c r="C16" s="682" t="s">
        <v>1024</v>
      </c>
      <c r="D16" s="693">
        <v>0.92</v>
      </c>
      <c r="E16" s="683">
        <f t="shared" si="0"/>
        <v>0.69000000000000006</v>
      </c>
      <c r="F16" s="685" t="s">
        <v>1083</v>
      </c>
      <c r="G16" s="2410" t="s">
        <v>1084</v>
      </c>
      <c r="H16" s="685">
        <v>5.28</v>
      </c>
      <c r="I16" s="685">
        <f t="shared" si="1"/>
        <v>0.64400000000000002</v>
      </c>
      <c r="J16" s="124" t="s">
        <v>855</v>
      </c>
      <c r="K16" s="2409">
        <f t="shared" si="2"/>
        <v>0.64400000000000002</v>
      </c>
      <c r="O16" s="686"/>
      <c r="P16" s="686"/>
      <c r="R16" s="686"/>
    </row>
    <row r="17" spans="1:18" ht="13.5" thickBot="1">
      <c r="A17" s="2523"/>
      <c r="B17" s="2523"/>
      <c r="C17" s="682" t="s">
        <v>1025</v>
      </c>
      <c r="D17" s="693">
        <v>0.5</v>
      </c>
      <c r="E17" s="683">
        <f t="shared" si="0"/>
        <v>0.375</v>
      </c>
      <c r="F17" s="685" t="s">
        <v>1083</v>
      </c>
      <c r="G17" s="2410" t="s">
        <v>1084</v>
      </c>
      <c r="H17" s="685">
        <v>5.28</v>
      </c>
      <c r="I17" s="685">
        <f t="shared" si="1"/>
        <v>0.35</v>
      </c>
      <c r="J17" s="124" t="s">
        <v>855</v>
      </c>
      <c r="K17" s="2409">
        <f t="shared" si="2"/>
        <v>0.35</v>
      </c>
      <c r="O17" s="686"/>
      <c r="P17" s="686"/>
      <c r="R17" s="686"/>
    </row>
    <row r="18" spans="1:18" ht="13.5" thickBot="1">
      <c r="A18" s="2523"/>
      <c r="B18" s="2523"/>
      <c r="C18" s="682" t="s">
        <v>1089</v>
      </c>
      <c r="D18" s="685">
        <v>25</v>
      </c>
      <c r="E18" s="683">
        <f t="shared" si="0"/>
        <v>18.75</v>
      </c>
      <c r="F18" s="685" t="s">
        <v>1083</v>
      </c>
      <c r="G18" s="2410" t="s">
        <v>1084</v>
      </c>
      <c r="H18" s="685">
        <v>5.28</v>
      </c>
      <c r="I18" s="685">
        <f t="shared" si="1"/>
        <v>17.5</v>
      </c>
      <c r="J18" s="124" t="s">
        <v>855</v>
      </c>
      <c r="K18" s="2409">
        <f t="shared" si="2"/>
        <v>17.5</v>
      </c>
      <c r="O18" s="686"/>
      <c r="P18" s="686"/>
      <c r="R18" s="686"/>
    </row>
    <row r="19" spans="1:18" ht="13.5" thickBot="1">
      <c r="A19" s="2523"/>
      <c r="B19" s="2523"/>
      <c r="C19" s="682" t="s">
        <v>1090</v>
      </c>
      <c r="D19" s="685">
        <v>1</v>
      </c>
      <c r="E19" s="683">
        <f t="shared" si="0"/>
        <v>0.75</v>
      </c>
      <c r="F19" s="685" t="s">
        <v>1083</v>
      </c>
      <c r="G19" s="2410" t="s">
        <v>1084</v>
      </c>
      <c r="H19" s="685">
        <v>5.28</v>
      </c>
      <c r="I19" s="685">
        <f t="shared" si="1"/>
        <v>0.7</v>
      </c>
      <c r="J19" s="124" t="s">
        <v>855</v>
      </c>
      <c r="K19" s="2409">
        <f t="shared" si="2"/>
        <v>0.7</v>
      </c>
      <c r="L19" s="691"/>
      <c r="M19" s="679"/>
      <c r="N19" s="679"/>
      <c r="O19" s="694"/>
      <c r="P19" s="694"/>
      <c r="Q19" s="694"/>
      <c r="R19" s="694"/>
    </row>
    <row r="20" spans="1:18" ht="13.5" thickBot="1">
      <c r="A20" s="2523"/>
      <c r="B20" s="2523"/>
      <c r="C20" s="689" t="s">
        <v>1028</v>
      </c>
      <c r="D20" s="690">
        <f>SUM(D14:D19)</f>
        <v>43.406817086545459</v>
      </c>
      <c r="E20" s="690">
        <f>SUM(E14:E19)</f>
        <v>32.555112814909094</v>
      </c>
      <c r="F20" s="690"/>
      <c r="G20" s="2411"/>
      <c r="H20" s="690"/>
      <c r="I20" s="690">
        <f>SUM(I14:I19)</f>
        <v>30.384771960581819</v>
      </c>
      <c r="J20" s="716"/>
      <c r="K20" s="2409">
        <f t="shared" si="2"/>
        <v>30.384771960581819</v>
      </c>
      <c r="L20" s="679"/>
      <c r="M20" s="679"/>
      <c r="N20" s="679"/>
      <c r="O20" s="679"/>
      <c r="P20" s="679"/>
      <c r="Q20" s="679"/>
      <c r="R20" s="679"/>
    </row>
    <row r="21" spans="1:18" ht="51.75" thickBot="1">
      <c r="A21" s="2523"/>
      <c r="B21" s="2523"/>
      <c r="C21" s="682" t="s">
        <v>1031</v>
      </c>
      <c r="D21" s="695">
        <v>25</v>
      </c>
      <c r="E21" s="683">
        <f t="shared" si="0"/>
        <v>18.75</v>
      </c>
      <c r="F21" s="685" t="s">
        <v>1091</v>
      </c>
      <c r="G21" s="2410" t="s">
        <v>1092</v>
      </c>
      <c r="H21" s="685">
        <v>5.28</v>
      </c>
      <c r="I21" s="685">
        <f t="shared" si="1"/>
        <v>17.5</v>
      </c>
      <c r="J21" s="124" t="s">
        <v>855</v>
      </c>
      <c r="K21" s="2409">
        <f t="shared" si="2"/>
        <v>17.5</v>
      </c>
    </row>
    <row r="22" spans="1:18" ht="39" thickBot="1">
      <c r="A22" s="2523"/>
      <c r="B22" s="2523"/>
      <c r="C22" s="682" t="s">
        <v>1093</v>
      </c>
      <c r="D22" s="695">
        <v>11.2</v>
      </c>
      <c r="E22" s="683">
        <f t="shared" si="0"/>
        <v>8.3999999999999986</v>
      </c>
      <c r="F22" s="695" t="s">
        <v>1094</v>
      </c>
      <c r="G22" s="2410" t="s">
        <v>1095</v>
      </c>
      <c r="H22" s="685">
        <v>5.28</v>
      </c>
      <c r="I22" s="685">
        <f t="shared" si="1"/>
        <v>7.839999999999999</v>
      </c>
      <c r="J22" s="124" t="s">
        <v>855</v>
      </c>
      <c r="K22" s="2409">
        <f t="shared" si="2"/>
        <v>7.839999999999999</v>
      </c>
    </row>
    <row r="23" spans="1:18" ht="26.25" thickBot="1">
      <c r="A23" s="2523"/>
      <c r="B23" s="2523"/>
      <c r="C23" s="682" t="s">
        <v>1096</v>
      </c>
      <c r="D23" s="683">
        <v>8.8000000000000007</v>
      </c>
      <c r="E23" s="683">
        <f t="shared" si="0"/>
        <v>6.6000000000000005</v>
      </c>
      <c r="F23" s="685" t="s">
        <v>1086</v>
      </c>
      <c r="G23" s="2410" t="s">
        <v>1087</v>
      </c>
      <c r="H23" s="685">
        <v>5.28</v>
      </c>
      <c r="I23" s="685">
        <f t="shared" si="1"/>
        <v>6.16</v>
      </c>
      <c r="J23" s="124" t="s">
        <v>855</v>
      </c>
      <c r="K23" s="2409">
        <f t="shared" si="2"/>
        <v>6.16</v>
      </c>
    </row>
    <row r="24" spans="1:18" ht="51.75" thickBot="1">
      <c r="A24" s="2523"/>
      <c r="B24" s="2523"/>
      <c r="C24" s="682" t="s">
        <v>1033</v>
      </c>
      <c r="D24" s="685">
        <v>4.8</v>
      </c>
      <c r="E24" s="683">
        <f t="shared" si="0"/>
        <v>3.5999999999999996</v>
      </c>
      <c r="F24" s="685" t="s">
        <v>1091</v>
      </c>
      <c r="G24" s="2410" t="s">
        <v>1092</v>
      </c>
      <c r="H24" s="685">
        <v>5.28</v>
      </c>
      <c r="I24" s="685">
        <f t="shared" si="1"/>
        <v>3.36</v>
      </c>
      <c r="J24" s="124" t="s">
        <v>855</v>
      </c>
      <c r="K24" s="2409">
        <f t="shared" si="2"/>
        <v>3.36</v>
      </c>
      <c r="L24" s="2525" t="s">
        <v>1003</v>
      </c>
      <c r="M24" s="2525" t="s">
        <v>1068</v>
      </c>
      <c r="N24" s="2530" t="s">
        <v>1097</v>
      </c>
      <c r="O24" s="2835"/>
      <c r="P24" s="2836"/>
      <c r="Q24" s="2525" t="s">
        <v>239</v>
      </c>
    </row>
    <row r="25" spans="1:18" ht="26.25" thickBot="1">
      <c r="A25" s="2523"/>
      <c r="B25" s="2523"/>
      <c r="C25" s="682" t="s">
        <v>1034</v>
      </c>
      <c r="D25" s="685">
        <v>5.5424281415999994</v>
      </c>
      <c r="E25" s="683">
        <f t="shared" si="0"/>
        <v>4.1568211061999998</v>
      </c>
      <c r="F25" s="685" t="s">
        <v>1098</v>
      </c>
      <c r="G25" s="2410" t="s">
        <v>1099</v>
      </c>
      <c r="H25" s="685">
        <v>5.28</v>
      </c>
      <c r="I25" s="685">
        <f t="shared" si="1"/>
        <v>3.8796996991199992</v>
      </c>
      <c r="J25" s="124" t="s">
        <v>855</v>
      </c>
      <c r="K25" s="2409">
        <f t="shared" si="2"/>
        <v>3.8796996991199992</v>
      </c>
      <c r="L25" s="2526"/>
      <c r="M25" s="2526"/>
      <c r="N25" s="696" t="s">
        <v>842</v>
      </c>
      <c r="O25" s="696" t="s">
        <v>922</v>
      </c>
      <c r="P25" s="696" t="s">
        <v>923</v>
      </c>
      <c r="Q25" s="2526"/>
    </row>
    <row r="26" spans="1:18" ht="26.25" thickBot="1">
      <c r="A26" s="2523"/>
      <c r="B26" s="2523"/>
      <c r="C26" s="682" t="s">
        <v>1035</v>
      </c>
      <c r="D26" s="685">
        <v>21.186093599999996</v>
      </c>
      <c r="E26" s="683">
        <f t="shared" si="0"/>
        <v>15.889570199999998</v>
      </c>
      <c r="F26" s="685" t="s">
        <v>1098</v>
      </c>
      <c r="G26" s="2410" t="s">
        <v>1099</v>
      </c>
      <c r="H26" s="685">
        <v>5.28</v>
      </c>
      <c r="I26" s="685">
        <f t="shared" si="1"/>
        <v>14.830265519999996</v>
      </c>
      <c r="J26" s="124" t="s">
        <v>855</v>
      </c>
      <c r="K26" s="2409">
        <f t="shared" si="2"/>
        <v>14.830265519999996</v>
      </c>
      <c r="L26" s="680" t="s">
        <v>1015</v>
      </c>
      <c r="M26" s="686">
        <f>D13</f>
        <v>54.480604592188236</v>
      </c>
      <c r="N26" s="697">
        <f>M26*0.7</f>
        <v>38.13642321453176</v>
      </c>
      <c r="O26" s="697">
        <f>M26*0.3</f>
        <v>16.344181377656469</v>
      </c>
      <c r="P26" s="697"/>
      <c r="Q26" s="686">
        <f>P26+O26+N26</f>
        <v>54.480604592188229</v>
      </c>
      <c r="R26" s="686">
        <f>Q26-M26</f>
        <v>0</v>
      </c>
    </row>
    <row r="27" spans="1:18" ht="39" thickBot="1">
      <c r="A27" s="2523"/>
      <c r="B27" s="2523"/>
      <c r="C27" s="682" t="s">
        <v>1100</v>
      </c>
      <c r="D27" s="685">
        <v>4.2</v>
      </c>
      <c r="E27" s="683">
        <f t="shared" si="0"/>
        <v>3.1500000000000004</v>
      </c>
      <c r="F27" s="685" t="s">
        <v>1076</v>
      </c>
      <c r="G27" s="2410" t="s">
        <v>1077</v>
      </c>
      <c r="H27" s="685">
        <v>5.28</v>
      </c>
      <c r="I27" s="685">
        <f t="shared" si="1"/>
        <v>2.94</v>
      </c>
      <c r="J27" s="124" t="s">
        <v>855</v>
      </c>
      <c r="K27" s="2409">
        <f t="shared" si="2"/>
        <v>2.94</v>
      </c>
      <c r="L27" s="680" t="s">
        <v>1023</v>
      </c>
      <c r="M27" s="686">
        <f>D20</f>
        <v>43.406817086545459</v>
      </c>
      <c r="N27" s="697">
        <f>M27*0.7</f>
        <v>30.384771960581819</v>
      </c>
      <c r="O27" s="697">
        <f>M27*0.3</f>
        <v>13.022045125963638</v>
      </c>
      <c r="P27" s="697"/>
      <c r="Q27" s="686">
        <f t="shared" ref="Q27:Q30" si="3">P27+O27+N27</f>
        <v>43.406817086545459</v>
      </c>
      <c r="R27" s="686">
        <f>Q27-M27</f>
        <v>0</v>
      </c>
    </row>
    <row r="28" spans="1:18" ht="39" thickBot="1">
      <c r="A28" s="2523"/>
      <c r="B28" s="2523"/>
      <c r="C28" s="682" t="s">
        <v>1036</v>
      </c>
      <c r="D28" s="685">
        <v>2.3384380600000001</v>
      </c>
      <c r="E28" s="683">
        <f t="shared" si="0"/>
        <v>1.7538285450000002</v>
      </c>
      <c r="F28" s="685" t="s">
        <v>1076</v>
      </c>
      <c r="G28" s="2410" t="s">
        <v>1077</v>
      </c>
      <c r="H28" s="685">
        <v>5.28</v>
      </c>
      <c r="I28" s="685">
        <f t="shared" si="1"/>
        <v>1.636906642</v>
      </c>
      <c r="J28" s="124" t="s">
        <v>855</v>
      </c>
      <c r="K28" s="2409">
        <f t="shared" si="2"/>
        <v>1.636906642</v>
      </c>
      <c r="L28" s="680" t="s">
        <v>1029</v>
      </c>
      <c r="M28" s="686">
        <f>D33</f>
        <v>92.017904578581536</v>
      </c>
      <c r="N28" s="697">
        <f>M28*0.7</f>
        <v>64.412533205007065</v>
      </c>
      <c r="O28" s="697">
        <f>M28*0.3</f>
        <v>27.60537137357446</v>
      </c>
      <c r="P28" s="697"/>
      <c r="Q28" s="686">
        <f t="shared" si="3"/>
        <v>92.017904578581522</v>
      </c>
      <c r="R28" s="686">
        <f>Q28-M28</f>
        <v>0</v>
      </c>
    </row>
    <row r="29" spans="1:18" ht="51.75" thickBot="1">
      <c r="A29" s="2523"/>
      <c r="B29" s="2523"/>
      <c r="C29" s="682" t="s">
        <v>1101</v>
      </c>
      <c r="D29" s="685">
        <v>2.595944776981558</v>
      </c>
      <c r="E29" s="683">
        <f t="shared" si="0"/>
        <v>1.9469585827361686</v>
      </c>
      <c r="F29" s="685" t="s">
        <v>1091</v>
      </c>
      <c r="G29" s="2410" t="s">
        <v>1092</v>
      </c>
      <c r="H29" s="685">
        <v>5.28</v>
      </c>
      <c r="I29" s="685">
        <f t="shared" si="1"/>
        <v>1.8171613438870904</v>
      </c>
      <c r="J29" s="124" t="s">
        <v>855</v>
      </c>
      <c r="K29" s="2409">
        <f t="shared" si="2"/>
        <v>1.8171613438870904</v>
      </c>
      <c r="L29" s="680" t="s">
        <v>1042</v>
      </c>
      <c r="M29" s="686">
        <f>D41</f>
        <v>230.33420237990447</v>
      </c>
      <c r="N29" s="697">
        <f>M29*0.7</f>
        <v>161.23394166593312</v>
      </c>
      <c r="O29" s="697">
        <f>M29*0.3</f>
        <v>69.100260713971338</v>
      </c>
      <c r="P29" s="697"/>
      <c r="Q29" s="686">
        <f t="shared" si="3"/>
        <v>230.33420237990447</v>
      </c>
      <c r="R29" s="686">
        <f>Q29-M29</f>
        <v>0</v>
      </c>
    </row>
    <row r="30" spans="1:18" ht="39" thickBot="1">
      <c r="A30" s="2523"/>
      <c r="B30" s="2523"/>
      <c r="C30" s="682" t="s">
        <v>1102</v>
      </c>
      <c r="D30" s="685">
        <v>0.88</v>
      </c>
      <c r="E30" s="683">
        <f t="shared" si="0"/>
        <v>0.66</v>
      </c>
      <c r="F30" s="685" t="s">
        <v>1076</v>
      </c>
      <c r="G30" s="2410" t="s">
        <v>1077</v>
      </c>
      <c r="H30" s="685">
        <v>5.28</v>
      </c>
      <c r="I30" s="685">
        <f t="shared" si="1"/>
        <v>0.61599999999999999</v>
      </c>
      <c r="J30" s="124" t="s">
        <v>855</v>
      </c>
      <c r="K30" s="2409">
        <f t="shared" si="2"/>
        <v>0.61599999999999999</v>
      </c>
      <c r="L30" s="680" t="s">
        <v>1048</v>
      </c>
      <c r="M30" s="686">
        <f>D53</f>
        <v>186.19387059500002</v>
      </c>
      <c r="N30" s="697">
        <f>M30*0.7</f>
        <v>130.33570941650001</v>
      </c>
      <c r="O30" s="697">
        <f>M30*0.2</f>
        <v>37.238774119000006</v>
      </c>
      <c r="P30" s="697">
        <f>M30*0.1</f>
        <v>18.619387059500003</v>
      </c>
      <c r="Q30" s="686">
        <f t="shared" si="3"/>
        <v>186.19387059500002</v>
      </c>
      <c r="R30" s="686">
        <f>Q30-M30</f>
        <v>0</v>
      </c>
    </row>
    <row r="31" spans="1:18" ht="39" thickBot="1">
      <c r="A31" s="2523"/>
      <c r="B31" s="2523"/>
      <c r="C31" s="682" t="s">
        <v>1039</v>
      </c>
      <c r="D31" s="685">
        <v>0.97499999999999998</v>
      </c>
      <c r="E31" s="683">
        <f t="shared" si="0"/>
        <v>0.73124999999999996</v>
      </c>
      <c r="F31" s="685" t="s">
        <v>1076</v>
      </c>
      <c r="G31" s="2410" t="s">
        <v>1077</v>
      </c>
      <c r="H31" s="685">
        <v>5.28</v>
      </c>
      <c r="I31" s="685">
        <f t="shared" si="1"/>
        <v>0.6825</v>
      </c>
      <c r="J31" s="124" t="s">
        <v>855</v>
      </c>
      <c r="K31" s="2409">
        <f t="shared" si="2"/>
        <v>0.6825</v>
      </c>
      <c r="L31" s="689" t="s">
        <v>1103</v>
      </c>
      <c r="M31" s="698">
        <f>SUM(M26:M30)</f>
        <v>606.4333992322197</v>
      </c>
      <c r="N31" s="698">
        <f>SUM(N26:N30)</f>
        <v>424.50337946255377</v>
      </c>
      <c r="O31" s="698">
        <f>SUM(O26:O30)</f>
        <v>163.31063271016592</v>
      </c>
      <c r="P31" s="698">
        <f>SUM(P26:P30)</f>
        <v>18.619387059500003</v>
      </c>
      <c r="Q31" s="699">
        <f>SUM(Q26:Q30)</f>
        <v>606.4333992322197</v>
      </c>
    </row>
    <row r="32" spans="1:18" ht="39" thickBot="1">
      <c r="A32" s="2523"/>
      <c r="B32" s="2523"/>
      <c r="C32" s="682" t="s">
        <v>1104</v>
      </c>
      <c r="D32" s="695">
        <v>4.5</v>
      </c>
      <c r="E32" s="683">
        <f t="shared" si="0"/>
        <v>3.375</v>
      </c>
      <c r="F32" s="695" t="s">
        <v>1094</v>
      </c>
      <c r="G32" s="2410" t="s">
        <v>1095</v>
      </c>
      <c r="H32" s="685">
        <v>5.28</v>
      </c>
      <c r="I32" s="685">
        <f t="shared" si="1"/>
        <v>3.15</v>
      </c>
      <c r="J32" s="124" t="s">
        <v>855</v>
      </c>
      <c r="K32" s="2409">
        <f t="shared" si="2"/>
        <v>3.15</v>
      </c>
      <c r="L32" s="680" t="s">
        <v>1105</v>
      </c>
      <c r="N32" s="686">
        <f>N31*6%</f>
        <v>25.470202767753225</v>
      </c>
      <c r="O32" s="686">
        <f>O31*6%</f>
        <v>9.7986379626099556</v>
      </c>
      <c r="P32" s="680">
        <f>P31*6%</f>
        <v>1.1171632235700002</v>
      </c>
    </row>
    <row r="33" spans="1:17" ht="13.5" thickBot="1">
      <c r="A33" s="2523"/>
      <c r="B33" s="2523"/>
      <c r="C33" s="689" t="s">
        <v>1041</v>
      </c>
      <c r="D33" s="690">
        <f>SUM(D21:D32)</f>
        <v>92.017904578581536</v>
      </c>
      <c r="E33" s="690">
        <f>SUM(E21:E32)</f>
        <v>69.01342843393617</v>
      </c>
      <c r="F33" s="690"/>
      <c r="G33" s="2411"/>
      <c r="H33" s="690"/>
      <c r="I33" s="690">
        <f>SUM(I21:I32)</f>
        <v>64.41253320500708</v>
      </c>
      <c r="J33" s="716"/>
      <c r="K33" s="2409">
        <f t="shared" si="2"/>
        <v>64.412533205007065</v>
      </c>
      <c r="L33" s="680" t="s">
        <v>1106</v>
      </c>
      <c r="N33" s="686" t="e">
        <f>[19]IDC!A40</f>
        <v>#REF!</v>
      </c>
      <c r="O33" s="686" t="e">
        <f>[19]IDC!B40</f>
        <v>#REF!</v>
      </c>
      <c r="P33" s="680">
        <v>0</v>
      </c>
    </row>
    <row r="34" spans="1:17" ht="51.75" thickBot="1">
      <c r="A34" s="2523">
        <v>4</v>
      </c>
      <c r="B34" s="2531" t="s">
        <v>1042</v>
      </c>
      <c r="C34" s="682" t="s">
        <v>1107</v>
      </c>
      <c r="D34" s="685">
        <v>14.936874349579352</v>
      </c>
      <c r="E34" s="683">
        <f t="shared" si="0"/>
        <v>11.202655762184513</v>
      </c>
      <c r="F34" s="685" t="s">
        <v>1091</v>
      </c>
      <c r="G34" s="2410" t="s">
        <v>1092</v>
      </c>
      <c r="H34" s="685">
        <v>5.28</v>
      </c>
      <c r="I34" s="685">
        <f t="shared" si="1"/>
        <v>10.455812044705546</v>
      </c>
      <c r="J34" s="124" t="s">
        <v>855</v>
      </c>
      <c r="K34" s="2409">
        <f t="shared" si="2"/>
        <v>10.455812044705546</v>
      </c>
      <c r="L34" s="689" t="s">
        <v>1108</v>
      </c>
      <c r="M34" s="700">
        <f>M33+M32+M31</f>
        <v>606.4333992322197</v>
      </c>
      <c r="N34" s="700" t="e">
        <f>N33+N32+N31</f>
        <v>#REF!</v>
      </c>
      <c r="O34" s="700" t="e">
        <f>O33+O32+O31</f>
        <v>#REF!</v>
      </c>
      <c r="P34" s="700">
        <f>P33+P32+P31</f>
        <v>19.736550283070002</v>
      </c>
      <c r="Q34" s="701">
        <f>Q33+Q32+Q31</f>
        <v>606.4333992322197</v>
      </c>
    </row>
    <row r="35" spans="1:17" ht="51.75" thickBot="1">
      <c r="A35" s="2523"/>
      <c r="B35" s="2531"/>
      <c r="C35" s="688" t="s">
        <v>1109</v>
      </c>
      <c r="D35" s="685">
        <v>27.746178891165425</v>
      </c>
      <c r="E35" s="683">
        <f t="shared" si="0"/>
        <v>20.809634168374068</v>
      </c>
      <c r="F35" s="685" t="s">
        <v>1091</v>
      </c>
      <c r="G35" s="2410" t="s">
        <v>1092</v>
      </c>
      <c r="H35" s="685">
        <v>5.28</v>
      </c>
      <c r="I35" s="685">
        <f t="shared" si="1"/>
        <v>19.422325223815797</v>
      </c>
      <c r="J35" s="124" t="s">
        <v>855</v>
      </c>
      <c r="K35" s="2409">
        <f t="shared" si="2"/>
        <v>19.422325223815797</v>
      </c>
    </row>
    <row r="36" spans="1:17" ht="26.25" thickBot="1">
      <c r="A36" s="2523"/>
      <c r="B36" s="2531"/>
      <c r="C36" s="682" t="s">
        <v>1110</v>
      </c>
      <c r="D36" s="685">
        <v>17.078214696233697</v>
      </c>
      <c r="E36" s="683">
        <f t="shared" si="0"/>
        <v>12.808661022175272</v>
      </c>
      <c r="F36" s="685" t="s">
        <v>1086</v>
      </c>
      <c r="G36" s="2410" t="s">
        <v>1087</v>
      </c>
      <c r="H36" s="685">
        <v>5.28</v>
      </c>
      <c r="I36" s="685">
        <f t="shared" si="1"/>
        <v>11.954750287363588</v>
      </c>
      <c r="J36" s="124" t="s">
        <v>855</v>
      </c>
      <c r="K36" s="2409">
        <f t="shared" si="2"/>
        <v>11.954750287363588</v>
      </c>
      <c r="L36" s="702" t="s">
        <v>1111</v>
      </c>
      <c r="M36" s="703"/>
      <c r="N36" s="704">
        <v>0</v>
      </c>
      <c r="O36" s="704">
        <f>N31-N36</f>
        <v>424.50337946255377</v>
      </c>
      <c r="P36" s="704"/>
      <c r="Q36" s="705"/>
    </row>
    <row r="37" spans="1:17" ht="26.25" thickBot="1">
      <c r="A37" s="2523"/>
      <c r="B37" s="2531"/>
      <c r="C37" s="682" t="s">
        <v>1112</v>
      </c>
      <c r="D37" s="685">
        <v>50.9440502609568</v>
      </c>
      <c r="E37" s="683">
        <f t="shared" si="0"/>
        <v>38.2080376957176</v>
      </c>
      <c r="F37" s="685" t="s">
        <v>1086</v>
      </c>
      <c r="G37" s="2410" t="s">
        <v>1087</v>
      </c>
      <c r="H37" s="685">
        <v>5.28</v>
      </c>
      <c r="I37" s="685">
        <f t="shared" si="1"/>
        <v>35.660835182669757</v>
      </c>
      <c r="J37" s="124" t="s">
        <v>855</v>
      </c>
      <c r="K37" s="2409">
        <f t="shared" si="2"/>
        <v>35.660835182669757</v>
      </c>
      <c r="L37" s="706" t="s">
        <v>1113</v>
      </c>
      <c r="M37" s="703"/>
      <c r="N37" s="704">
        <v>0</v>
      </c>
      <c r="O37" s="704">
        <f>N31-N37</f>
        <v>424.50337946255377</v>
      </c>
      <c r="P37" s="704"/>
      <c r="Q37" s="705"/>
    </row>
    <row r="38" spans="1:17" ht="39" thickBot="1">
      <c r="A38" s="2523"/>
      <c r="B38" s="2531"/>
      <c r="C38" s="682" t="s">
        <v>1114</v>
      </c>
      <c r="D38" s="685">
        <v>43.477546858190486</v>
      </c>
      <c r="E38" s="683">
        <f t="shared" si="0"/>
        <v>32.608160143642863</v>
      </c>
      <c r="F38" s="695" t="s">
        <v>1094</v>
      </c>
      <c r="G38" s="2410" t="s">
        <v>1095</v>
      </c>
      <c r="H38" s="685">
        <v>5.28</v>
      </c>
      <c r="I38" s="685">
        <f t="shared" si="1"/>
        <v>30.434282800733339</v>
      </c>
      <c r="J38" s="124" t="s">
        <v>855</v>
      </c>
      <c r="K38" s="2409">
        <f t="shared" si="2"/>
        <v>30.434282800733339</v>
      </c>
    </row>
    <row r="39" spans="1:17" ht="51.75" thickBot="1">
      <c r="A39" s="2523"/>
      <c r="B39" s="2531"/>
      <c r="C39" s="682" t="s">
        <v>1115</v>
      </c>
      <c r="D39" s="685">
        <v>31.151337323778694</v>
      </c>
      <c r="E39" s="683">
        <f t="shared" si="0"/>
        <v>23.363502992834022</v>
      </c>
      <c r="F39" s="685" t="s">
        <v>1091</v>
      </c>
      <c r="G39" s="2410" t="s">
        <v>1092</v>
      </c>
      <c r="H39" s="685">
        <v>5.28</v>
      </c>
      <c r="I39" s="685">
        <f t="shared" si="1"/>
        <v>21.805936126645086</v>
      </c>
      <c r="J39" s="124" t="s">
        <v>855</v>
      </c>
      <c r="K39" s="2409">
        <f t="shared" si="2"/>
        <v>21.805936126645086</v>
      </c>
      <c r="L39" s="679"/>
    </row>
    <row r="40" spans="1:17" ht="51.75" thickBot="1">
      <c r="A40" s="2523"/>
      <c r="B40" s="2531"/>
      <c r="C40" s="682" t="s">
        <v>1116</v>
      </c>
      <c r="D40" s="685">
        <v>45</v>
      </c>
      <c r="E40" s="683">
        <f t="shared" si="0"/>
        <v>33.75</v>
      </c>
      <c r="F40" s="685" t="s">
        <v>1091</v>
      </c>
      <c r="G40" s="2410" t="s">
        <v>1092</v>
      </c>
      <c r="H40" s="685">
        <v>5.28</v>
      </c>
      <c r="I40" s="685">
        <f t="shared" si="1"/>
        <v>31.499999999999996</v>
      </c>
      <c r="J40" s="124" t="s">
        <v>855</v>
      </c>
      <c r="K40" s="2409">
        <f t="shared" si="2"/>
        <v>31.499999999999996</v>
      </c>
      <c r="L40" s="679"/>
      <c r="M40" s="707"/>
      <c r="N40" s="707"/>
      <c r="O40" s="707"/>
    </row>
    <row r="41" spans="1:17" ht="13.5" thickBot="1">
      <c r="A41" s="2523"/>
      <c r="B41" s="2531"/>
      <c r="C41" s="689" t="s">
        <v>1041</v>
      </c>
      <c r="D41" s="690">
        <f>SUM(D34:D40)</f>
        <v>230.33420237990447</v>
      </c>
      <c r="E41" s="690">
        <f>SUM(E34:E40)</f>
        <v>172.75065178492832</v>
      </c>
      <c r="F41" s="690"/>
      <c r="G41" s="2411"/>
      <c r="H41" s="690"/>
      <c r="I41" s="690">
        <f>SUM(I34:I40)</f>
        <v>161.23394166593312</v>
      </c>
      <c r="J41" s="716"/>
      <c r="K41" s="2409">
        <f t="shared" si="2"/>
        <v>161.23394166593312</v>
      </c>
      <c r="M41" s="708"/>
      <c r="N41" s="708"/>
    </row>
    <row r="42" spans="1:17" ht="13.5" thickBot="1">
      <c r="A42" s="2523">
        <v>5</v>
      </c>
      <c r="B42" s="2523" t="s">
        <v>1048</v>
      </c>
      <c r="C42" s="682" t="s">
        <v>1117</v>
      </c>
      <c r="D42" s="695">
        <v>7.0597610950000007</v>
      </c>
      <c r="E42" s="683">
        <f t="shared" si="0"/>
        <v>5.294820821250001</v>
      </c>
      <c r="F42" s="695" t="s">
        <v>1118</v>
      </c>
      <c r="G42" s="2410" t="s">
        <v>1119</v>
      </c>
      <c r="H42" s="695">
        <v>15</v>
      </c>
      <c r="I42" s="685">
        <f t="shared" si="1"/>
        <v>4.9418327665000001</v>
      </c>
      <c r="J42" s="9" t="s">
        <v>1050</v>
      </c>
      <c r="K42" s="2409">
        <f t="shared" si="2"/>
        <v>4.9418327665000001</v>
      </c>
      <c r="M42" s="709"/>
    </row>
    <row r="43" spans="1:17" ht="13.5" thickBot="1">
      <c r="A43" s="2523"/>
      <c r="B43" s="2523"/>
      <c r="C43" s="682" t="s">
        <v>1120</v>
      </c>
      <c r="D43" s="695">
        <v>8.9408165000000004</v>
      </c>
      <c r="E43" s="683">
        <f t="shared" si="0"/>
        <v>6.7056123750000003</v>
      </c>
      <c r="F43" s="695" t="s">
        <v>1118</v>
      </c>
      <c r="G43" s="2410" t="s">
        <v>1119</v>
      </c>
      <c r="H43" s="695">
        <v>15</v>
      </c>
      <c r="I43" s="685">
        <f t="shared" si="1"/>
        <v>6.2585715500000001</v>
      </c>
      <c r="J43" s="9" t="s">
        <v>1050</v>
      </c>
      <c r="K43" s="2409">
        <f t="shared" si="2"/>
        <v>6.2585715500000001</v>
      </c>
    </row>
    <row r="44" spans="1:17" ht="13.5" thickBot="1">
      <c r="A44" s="2523"/>
      <c r="B44" s="2523"/>
      <c r="C44" s="682" t="s">
        <v>1121</v>
      </c>
      <c r="D44" s="695">
        <v>7.3017000000000003</v>
      </c>
      <c r="E44" s="683">
        <f t="shared" si="0"/>
        <v>5.4762750000000002</v>
      </c>
      <c r="F44" s="695" t="s">
        <v>1118</v>
      </c>
      <c r="G44" s="2410" t="s">
        <v>1119</v>
      </c>
      <c r="H44" s="695">
        <v>15</v>
      </c>
      <c r="I44" s="685">
        <f t="shared" si="1"/>
        <v>5.1111899999999997</v>
      </c>
      <c r="J44" s="9" t="s">
        <v>1050</v>
      </c>
      <c r="K44" s="2409">
        <f t="shared" si="2"/>
        <v>5.1111899999999997</v>
      </c>
      <c r="L44" s="679"/>
      <c r="M44" s="710"/>
      <c r="N44" s="710"/>
      <c r="O44" s="710"/>
    </row>
    <row r="45" spans="1:17" ht="13.5" thickBot="1">
      <c r="A45" s="2523"/>
      <c r="B45" s="2523"/>
      <c r="C45" s="682" t="s">
        <v>1122</v>
      </c>
      <c r="D45" s="695">
        <v>6.37</v>
      </c>
      <c r="E45" s="683">
        <f t="shared" si="0"/>
        <v>4.7774999999999999</v>
      </c>
      <c r="F45" s="695" t="s">
        <v>1118</v>
      </c>
      <c r="G45" s="2410" t="s">
        <v>1119</v>
      </c>
      <c r="H45" s="695">
        <v>15</v>
      </c>
      <c r="I45" s="685">
        <f t="shared" si="1"/>
        <v>4.4589999999999996</v>
      </c>
      <c r="J45" s="9" t="s">
        <v>1050</v>
      </c>
      <c r="K45" s="2409">
        <f t="shared" si="2"/>
        <v>4.4589999999999996</v>
      </c>
      <c r="M45" s="711"/>
    </row>
    <row r="46" spans="1:17" ht="13.5" thickBot="1">
      <c r="A46" s="2523"/>
      <c r="B46" s="2523"/>
      <c r="C46" s="682" t="s">
        <v>1123</v>
      </c>
      <c r="D46" s="695">
        <v>1.2</v>
      </c>
      <c r="E46" s="683">
        <f t="shared" si="0"/>
        <v>0.89999999999999991</v>
      </c>
      <c r="F46" s="695" t="s">
        <v>1118</v>
      </c>
      <c r="G46" s="2410" t="s">
        <v>1119</v>
      </c>
      <c r="H46" s="695">
        <v>15</v>
      </c>
      <c r="I46" s="685">
        <f t="shared" si="1"/>
        <v>0.84</v>
      </c>
      <c r="J46" s="9" t="s">
        <v>1050</v>
      </c>
      <c r="K46" s="2409">
        <f t="shared" si="2"/>
        <v>0.84</v>
      </c>
      <c r="M46" s="711"/>
    </row>
    <row r="47" spans="1:17" ht="13.5" thickBot="1">
      <c r="A47" s="2523"/>
      <c r="B47" s="2523"/>
      <c r="C47" s="682" t="s">
        <v>1124</v>
      </c>
      <c r="D47" s="695">
        <v>18.247547999999998</v>
      </c>
      <c r="E47" s="683">
        <f t="shared" si="0"/>
        <v>13.685661</v>
      </c>
      <c r="F47" s="695" t="s">
        <v>1118</v>
      </c>
      <c r="G47" s="2410" t="s">
        <v>1119</v>
      </c>
      <c r="H47" s="695">
        <v>15</v>
      </c>
      <c r="I47" s="685">
        <f t="shared" si="1"/>
        <v>12.773283599999997</v>
      </c>
      <c r="J47" s="9" t="s">
        <v>1050</v>
      </c>
      <c r="K47" s="2409">
        <f t="shared" si="2"/>
        <v>12.773283599999997</v>
      </c>
      <c r="M47" s="712"/>
    </row>
    <row r="48" spans="1:17" ht="13.5" thickBot="1">
      <c r="A48" s="2523"/>
      <c r="B48" s="2523"/>
      <c r="C48" s="682" t="s">
        <v>1125</v>
      </c>
      <c r="D48" s="695">
        <v>25.3</v>
      </c>
      <c r="E48" s="683">
        <f t="shared" si="0"/>
        <v>18.975000000000001</v>
      </c>
      <c r="F48" s="695" t="s">
        <v>1118</v>
      </c>
      <c r="G48" s="2410" t="s">
        <v>1119</v>
      </c>
      <c r="H48" s="695">
        <v>15</v>
      </c>
      <c r="I48" s="685">
        <f t="shared" si="1"/>
        <v>17.71</v>
      </c>
      <c r="J48" s="9" t="s">
        <v>1050</v>
      </c>
      <c r="K48" s="2409">
        <f t="shared" si="2"/>
        <v>17.71</v>
      </c>
    </row>
    <row r="49" spans="1:15" ht="13.5" thickBot="1">
      <c r="A49" s="2523"/>
      <c r="B49" s="2523"/>
      <c r="C49" s="682" t="s">
        <v>1126</v>
      </c>
      <c r="D49" s="695">
        <v>81.764044999999996</v>
      </c>
      <c r="E49" s="683">
        <f t="shared" si="0"/>
        <v>61.323033749999993</v>
      </c>
      <c r="F49" s="695" t="s">
        <v>1118</v>
      </c>
      <c r="G49" s="2410" t="s">
        <v>1119</v>
      </c>
      <c r="H49" s="695">
        <v>15</v>
      </c>
      <c r="I49" s="685">
        <f t="shared" si="1"/>
        <v>57.234831499999991</v>
      </c>
      <c r="J49" s="9" t="s">
        <v>1050</v>
      </c>
      <c r="K49" s="2409">
        <f t="shared" si="2"/>
        <v>57.234831499999991</v>
      </c>
      <c r="L49" s="679"/>
      <c r="M49" s="707"/>
      <c r="N49" s="707"/>
      <c r="O49" s="707"/>
    </row>
    <row r="50" spans="1:15" ht="39" thickBot="1">
      <c r="A50" s="2523"/>
      <c r="B50" s="2523"/>
      <c r="C50" s="682" t="s">
        <v>1127</v>
      </c>
      <c r="D50" s="695">
        <v>25.12</v>
      </c>
      <c r="E50" s="683">
        <f t="shared" si="0"/>
        <v>18.84</v>
      </c>
      <c r="F50" s="684" t="s">
        <v>1080</v>
      </c>
      <c r="G50" s="2408" t="s">
        <v>1081</v>
      </c>
      <c r="H50" s="685">
        <v>3.34</v>
      </c>
      <c r="I50" s="685">
        <f t="shared" si="1"/>
        <v>17.584</v>
      </c>
      <c r="J50" s="124" t="s">
        <v>843</v>
      </c>
      <c r="K50" s="2409">
        <f t="shared" si="2"/>
        <v>17.584</v>
      </c>
      <c r="M50" s="708"/>
      <c r="N50" s="708"/>
      <c r="O50" s="708"/>
    </row>
    <row r="51" spans="1:15" ht="26.25" thickBot="1">
      <c r="A51" s="2523"/>
      <c r="B51" s="2523"/>
      <c r="C51" s="682" t="s">
        <v>1128</v>
      </c>
      <c r="D51" s="695">
        <v>0.96</v>
      </c>
      <c r="E51" s="683">
        <f t="shared" si="0"/>
        <v>0.72</v>
      </c>
      <c r="F51" s="695" t="s">
        <v>1129</v>
      </c>
      <c r="G51" s="2410" t="s">
        <v>1130</v>
      </c>
      <c r="H51" s="695">
        <v>6.33</v>
      </c>
      <c r="I51" s="685">
        <f t="shared" si="1"/>
        <v>0.67199999999999993</v>
      </c>
      <c r="J51" s="9" t="s">
        <v>851</v>
      </c>
      <c r="K51" s="2409">
        <f t="shared" si="2"/>
        <v>0.67199999999999993</v>
      </c>
      <c r="M51" s="708"/>
      <c r="N51" s="708"/>
      <c r="O51" s="708"/>
    </row>
    <row r="52" spans="1:15" ht="13.5" thickBot="1">
      <c r="A52" s="2523"/>
      <c r="B52" s="2523"/>
      <c r="C52" s="682" t="s">
        <v>1062</v>
      </c>
      <c r="D52" s="695">
        <v>3.93</v>
      </c>
      <c r="E52" s="683">
        <f t="shared" si="0"/>
        <v>2.9475000000000002</v>
      </c>
      <c r="F52" s="695" t="s">
        <v>1129</v>
      </c>
      <c r="G52" s="2410" t="s">
        <v>1017</v>
      </c>
      <c r="H52" s="695">
        <v>6.33</v>
      </c>
      <c r="I52" s="685">
        <f t="shared" si="1"/>
        <v>2.7509999999999999</v>
      </c>
      <c r="J52" s="9" t="s">
        <v>851</v>
      </c>
      <c r="K52" s="2409">
        <f t="shared" si="2"/>
        <v>2.7509999999999999</v>
      </c>
      <c r="M52" s="708"/>
      <c r="N52" s="708"/>
      <c r="O52" s="708"/>
    </row>
    <row r="53" spans="1:15">
      <c r="A53" s="2523"/>
      <c r="B53" s="2523"/>
      <c r="C53" s="689" t="s">
        <v>1064</v>
      </c>
      <c r="D53" s="690">
        <f>SUM(D42:D52)</f>
        <v>186.19387059500002</v>
      </c>
      <c r="E53" s="690">
        <f>SUM(E42:E52)</f>
        <v>139.64540294624999</v>
      </c>
      <c r="F53" s="690"/>
      <c r="G53" s="690"/>
      <c r="H53" s="690"/>
      <c r="I53" s="690">
        <f>SUM(I42:I52)</f>
        <v>130.33570941649998</v>
      </c>
      <c r="J53" s="716"/>
      <c r="K53" s="2409">
        <f t="shared" si="2"/>
        <v>130.33570941650001</v>
      </c>
    </row>
    <row r="54" spans="1:15">
      <c r="A54" s="713" t="s">
        <v>1065</v>
      </c>
      <c r="B54" s="713"/>
      <c r="C54" s="713"/>
      <c r="D54" s="714">
        <f>D53+D41+D33+D20+D13</f>
        <v>606.4333992322197</v>
      </c>
      <c r="E54" s="714">
        <f>E53+E41+E33+E20+E13</f>
        <v>454.82504942416472</v>
      </c>
      <c r="F54" s="714"/>
      <c r="G54" s="714"/>
      <c r="H54" s="714"/>
      <c r="I54" s="714">
        <f>I53+I41+I33+I20+I13</f>
        <v>424.50337946255377</v>
      </c>
      <c r="J54" s="717"/>
      <c r="K54" s="2409">
        <f t="shared" si="2"/>
        <v>424.50337946255377</v>
      </c>
    </row>
    <row r="55" spans="1:15">
      <c r="I55" s="697"/>
    </row>
    <row r="56" spans="1:15">
      <c r="E56" s="686"/>
    </row>
  </sheetData>
  <autoFilter ref="A6:S54" xr:uid="{00000000-0009-0000-0000-000017000000}"/>
  <mergeCells count="28">
    <mergeCell ref="N5:N6"/>
    <mergeCell ref="O5:Q5"/>
    <mergeCell ref="R5:R6"/>
    <mergeCell ref="A5:A6"/>
    <mergeCell ref="B5:B6"/>
    <mergeCell ref="C5:C6"/>
    <mergeCell ref="D5:D6"/>
    <mergeCell ref="F5:F6"/>
    <mergeCell ref="G5:G6"/>
    <mergeCell ref="N24:P24"/>
    <mergeCell ref="Q24:Q25"/>
    <mergeCell ref="A34:A41"/>
    <mergeCell ref="B34:B41"/>
    <mergeCell ref="A7:A13"/>
    <mergeCell ref="B7:B13"/>
    <mergeCell ref="A14:A20"/>
    <mergeCell ref="B14:B20"/>
    <mergeCell ref="A21:A33"/>
    <mergeCell ref="B21:B33"/>
    <mergeCell ref="A42:A53"/>
    <mergeCell ref="B42:B53"/>
    <mergeCell ref="I5:I6"/>
    <mergeCell ref="L24:L25"/>
    <mergeCell ref="M24:M25"/>
    <mergeCell ref="H5:H6"/>
    <mergeCell ref="L5:L6"/>
    <mergeCell ref="M5:M6"/>
    <mergeCell ref="K5:K6"/>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heetViews>
  <sheetFormatPr defaultRowHeight="12.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L84"/>
  <sheetViews>
    <sheetView zoomScale="70" zoomScaleNormal="70" workbookViewId="0">
      <pane xSplit="2" ySplit="1" topLeftCell="C50" activePane="bottomRight" state="frozen"/>
      <selection pane="bottomRight" activeCell="D63" sqref="D63"/>
      <selection pane="bottomLeft" activeCell="K14" sqref="K14"/>
      <selection pane="topRight" activeCell="K14" sqref="K14"/>
    </sheetView>
  </sheetViews>
  <sheetFormatPr defaultColWidth="9.140625" defaultRowHeight="18.75"/>
  <cols>
    <col min="1" max="1" width="9.28515625" style="1368" customWidth="1"/>
    <col min="2" max="2" width="29.7109375" style="1368" customWidth="1"/>
    <col min="3" max="3" width="63.140625" style="1368" customWidth="1"/>
    <col min="4" max="4" width="16.140625" style="1432" customWidth="1"/>
    <col min="5" max="5" width="18.5703125" style="1368" customWidth="1"/>
    <col min="6" max="6" width="22" style="1368" customWidth="1"/>
    <col min="7" max="7" width="23.42578125" style="1368" customWidth="1"/>
    <col min="8" max="8" width="28.28515625" style="1368" bestFit="1" customWidth="1"/>
    <col min="9" max="9" width="20" style="1368" customWidth="1"/>
    <col min="10" max="10" width="23" style="1368" customWidth="1"/>
    <col min="11" max="11" width="25.28515625" style="1368" bestFit="1" customWidth="1"/>
    <col min="12" max="12" width="24.7109375" style="1368" bestFit="1" customWidth="1"/>
    <col min="13" max="16384" width="9.140625" style="1368"/>
  </cols>
  <sheetData>
    <row r="1" spans="1:10" s="1359" customFormat="1" ht="62.25" customHeight="1">
      <c r="A1" s="1356" t="s">
        <v>1002</v>
      </c>
      <c r="B1" s="1356" t="s">
        <v>1003</v>
      </c>
      <c r="C1" s="1356" t="s">
        <v>1004</v>
      </c>
      <c r="D1" s="1357" t="s">
        <v>1131</v>
      </c>
      <c r="E1" s="1357" t="s">
        <v>1132</v>
      </c>
      <c r="F1" s="1357" t="s">
        <v>1133</v>
      </c>
      <c r="G1" s="1356"/>
      <c r="H1" s="1356" t="s">
        <v>1134</v>
      </c>
      <c r="I1" s="1356" t="s">
        <v>1135</v>
      </c>
      <c r="J1" s="1356" t="s">
        <v>1136</v>
      </c>
    </row>
    <row r="2" spans="1:10">
      <c r="A2" s="2537">
        <v>1</v>
      </c>
      <c r="B2" s="2537" t="s">
        <v>1015</v>
      </c>
      <c r="C2" s="1360" t="s">
        <v>1137</v>
      </c>
      <c r="D2" s="1361">
        <v>11.55</v>
      </c>
      <c r="E2" s="1404">
        <f>D2*0.8</f>
        <v>9.24</v>
      </c>
      <c r="F2" s="1363">
        <f>D2-E2</f>
        <v>2.3100000000000005</v>
      </c>
      <c r="G2" s="1364" t="s">
        <v>1138</v>
      </c>
      <c r="H2" s="1365">
        <v>3.3399999999999999E-2</v>
      </c>
      <c r="I2" s="1464">
        <f>E2*H2</f>
        <v>0.308616</v>
      </c>
      <c r="J2" s="1464">
        <f>F2*H2</f>
        <v>7.7154000000000014E-2</v>
      </c>
    </row>
    <row r="3" spans="1:10">
      <c r="A3" s="2537"/>
      <c r="B3" s="2537"/>
      <c r="C3" s="1360" t="s">
        <v>1139</v>
      </c>
      <c r="D3" s="1361">
        <v>10.73</v>
      </c>
      <c r="E3" s="1404">
        <f t="shared" ref="E3:E63" si="0">D3*0.8</f>
        <v>8.5840000000000014</v>
      </c>
      <c r="F3" s="1363">
        <f t="shared" ref="F3:F62" si="1">D3-E3</f>
        <v>2.145999999999999</v>
      </c>
      <c r="G3" s="1364" t="s">
        <v>1138</v>
      </c>
      <c r="H3" s="1365">
        <v>3.3399999999999999E-2</v>
      </c>
      <c r="I3" s="1464">
        <f t="shared" ref="I3:I62" si="2">E3*H3</f>
        <v>0.28670560000000006</v>
      </c>
      <c r="J3" s="1464">
        <f t="shared" ref="J3:J62" si="3">F3*H3</f>
        <v>7.167639999999996E-2</v>
      </c>
    </row>
    <row r="4" spans="1:10" ht="37.5">
      <c r="A4" s="2537"/>
      <c r="B4" s="2537"/>
      <c r="C4" s="1360" t="s">
        <v>1140</v>
      </c>
      <c r="D4" s="1361">
        <v>8.43</v>
      </c>
      <c r="E4" s="1404">
        <f t="shared" si="0"/>
        <v>6.7439999999999998</v>
      </c>
      <c r="F4" s="1361">
        <f t="shared" si="1"/>
        <v>1.6859999999999999</v>
      </c>
      <c r="G4" s="1371" t="s">
        <v>1141</v>
      </c>
      <c r="H4" s="1372">
        <v>4.6699999999999998E-2</v>
      </c>
      <c r="I4" s="1466">
        <f t="shared" si="2"/>
        <v>0.31494479999999997</v>
      </c>
      <c r="J4" s="1466">
        <f t="shared" si="3"/>
        <v>7.8736199999999992E-2</v>
      </c>
    </row>
    <row r="5" spans="1:10">
      <c r="A5" s="2537"/>
      <c r="B5" s="2537"/>
      <c r="C5" s="1360" t="s">
        <v>1142</v>
      </c>
      <c r="D5" s="1361">
        <v>0.98</v>
      </c>
      <c r="E5" s="1404">
        <f t="shared" si="0"/>
        <v>0.78400000000000003</v>
      </c>
      <c r="F5" s="1363">
        <f t="shared" si="1"/>
        <v>0.19599999999999995</v>
      </c>
      <c r="G5" s="1364" t="s">
        <v>1138</v>
      </c>
      <c r="H5" s="1365">
        <v>3.3399999999999999E-2</v>
      </c>
      <c r="I5" s="1464">
        <f t="shared" si="2"/>
        <v>2.61856E-2</v>
      </c>
      <c r="J5" s="1464">
        <f t="shared" si="3"/>
        <v>6.5463999999999982E-3</v>
      </c>
    </row>
    <row r="6" spans="1:10" ht="37.5">
      <c r="A6" s="2537"/>
      <c r="B6" s="2537"/>
      <c r="C6" s="1360" t="s">
        <v>1143</v>
      </c>
      <c r="D6" s="1361">
        <v>2.09</v>
      </c>
      <c r="E6" s="1404">
        <f t="shared" si="0"/>
        <v>1.6719999999999999</v>
      </c>
      <c r="F6" s="1419">
        <f t="shared" si="1"/>
        <v>0.41799999999999993</v>
      </c>
      <c r="G6" s="1420" t="s">
        <v>1144</v>
      </c>
      <c r="H6" s="1421">
        <v>6.3299999999999995E-2</v>
      </c>
      <c r="I6" s="1549">
        <f t="shared" si="2"/>
        <v>0.10583759999999999</v>
      </c>
      <c r="J6" s="1549">
        <f t="shared" si="3"/>
        <v>2.6459399999999994E-2</v>
      </c>
    </row>
    <row r="7" spans="1:10">
      <c r="A7" s="2537"/>
      <c r="B7" s="2537"/>
      <c r="C7" s="1360" t="s">
        <v>1145</v>
      </c>
      <c r="D7" s="1361">
        <v>1.1399999999999999</v>
      </c>
      <c r="E7" s="1404">
        <f t="shared" si="0"/>
        <v>0.91199999999999992</v>
      </c>
      <c r="F7" s="1363">
        <f t="shared" si="1"/>
        <v>0.22799999999999998</v>
      </c>
      <c r="G7" s="1364" t="s">
        <v>1138</v>
      </c>
      <c r="H7" s="1365">
        <v>3.3399999999999999E-2</v>
      </c>
      <c r="I7" s="1464">
        <f t="shared" si="2"/>
        <v>3.0460799999999996E-2</v>
      </c>
      <c r="J7" s="1464">
        <f t="shared" si="3"/>
        <v>7.6151999999999991E-3</v>
      </c>
    </row>
    <row r="8" spans="1:10">
      <c r="A8" s="2537"/>
      <c r="B8" s="2537"/>
      <c r="C8" s="1360" t="s">
        <v>1146</v>
      </c>
      <c r="D8" s="1361">
        <v>10</v>
      </c>
      <c r="E8" s="1404">
        <f t="shared" si="0"/>
        <v>8</v>
      </c>
      <c r="F8" s="1361">
        <f t="shared" si="1"/>
        <v>2</v>
      </c>
      <c r="G8" s="1371" t="s">
        <v>1147</v>
      </c>
      <c r="H8" s="1372">
        <v>4.6699999999999998E-2</v>
      </c>
      <c r="I8" s="1466">
        <f t="shared" si="2"/>
        <v>0.37359999999999999</v>
      </c>
      <c r="J8" s="1466">
        <f t="shared" si="3"/>
        <v>9.3399999999999997E-2</v>
      </c>
    </row>
    <row r="9" spans="1:10" ht="37.5">
      <c r="A9" s="2537"/>
      <c r="B9" s="2537"/>
      <c r="C9" s="1360" t="s">
        <v>1148</v>
      </c>
      <c r="D9" s="1361">
        <v>4.34</v>
      </c>
      <c r="E9" s="1404">
        <f t="shared" si="0"/>
        <v>3.472</v>
      </c>
      <c r="F9" s="1361">
        <f t="shared" si="1"/>
        <v>0.86799999999999988</v>
      </c>
      <c r="G9" s="1371" t="s">
        <v>1147</v>
      </c>
      <c r="H9" s="1372">
        <v>4.6699999999999998E-2</v>
      </c>
      <c r="I9" s="1466">
        <f t="shared" si="2"/>
        <v>0.16214239999999999</v>
      </c>
      <c r="J9" s="1466">
        <f t="shared" si="3"/>
        <v>4.0535599999999991E-2</v>
      </c>
    </row>
    <row r="10" spans="1:10">
      <c r="A10" s="2537"/>
      <c r="B10" s="2537"/>
      <c r="C10" s="1360" t="s">
        <v>1149</v>
      </c>
      <c r="D10" s="1361">
        <v>0.15</v>
      </c>
      <c r="E10" s="1404">
        <f t="shared" si="0"/>
        <v>0.12</v>
      </c>
      <c r="F10" s="1361">
        <f t="shared" si="1"/>
        <v>0.03</v>
      </c>
      <c r="G10" s="1371" t="s">
        <v>1147</v>
      </c>
      <c r="H10" s="1372">
        <v>4.6699999999999998E-2</v>
      </c>
      <c r="I10" s="1466">
        <f t="shared" si="2"/>
        <v>5.6039999999999996E-3</v>
      </c>
      <c r="J10" s="1466">
        <f t="shared" si="3"/>
        <v>1.4009999999999999E-3</v>
      </c>
    </row>
    <row r="11" spans="1:10" s="1378" customFormat="1">
      <c r="A11" s="2538" t="s">
        <v>1022</v>
      </c>
      <c r="B11" s="2538"/>
      <c r="C11" s="2538"/>
      <c r="D11" s="1375">
        <f>SUM(D2:D10)</f>
        <v>49.410000000000004</v>
      </c>
      <c r="E11" s="1381">
        <f t="shared" si="0"/>
        <v>39.528000000000006</v>
      </c>
      <c r="F11" s="1384">
        <f t="shared" si="1"/>
        <v>9.8819999999999979</v>
      </c>
      <c r="I11" s="1368">
        <f t="shared" si="2"/>
        <v>0</v>
      </c>
      <c r="J11" s="1368">
        <f t="shared" si="3"/>
        <v>0</v>
      </c>
    </row>
    <row r="12" spans="1:10" s="1378" customFormat="1" ht="37.5">
      <c r="A12" s="2537">
        <v>2</v>
      </c>
      <c r="B12" s="2537" t="s">
        <v>1023</v>
      </c>
      <c r="C12" s="1360" t="s">
        <v>1150</v>
      </c>
      <c r="D12" s="1361">
        <v>5.91</v>
      </c>
      <c r="E12" s="1404">
        <f t="shared" si="0"/>
        <v>4.7280000000000006</v>
      </c>
      <c r="F12" s="1361">
        <f t="shared" si="1"/>
        <v>1.1819999999999995</v>
      </c>
      <c r="G12" s="1379" t="s">
        <v>1151</v>
      </c>
      <c r="H12" s="1372">
        <v>4.6699999999999998E-2</v>
      </c>
      <c r="I12" s="1466">
        <f t="shared" si="2"/>
        <v>0.22079760000000001</v>
      </c>
      <c r="J12" s="1466">
        <f t="shared" si="3"/>
        <v>5.5199399999999975E-2</v>
      </c>
    </row>
    <row r="13" spans="1:10" s="1378" customFormat="1">
      <c r="A13" s="2537"/>
      <c r="B13" s="2537"/>
      <c r="C13" s="1360" t="s">
        <v>1152</v>
      </c>
      <c r="D13" s="1361">
        <v>43.35</v>
      </c>
      <c r="E13" s="1404">
        <f t="shared" si="0"/>
        <v>34.68</v>
      </c>
      <c r="F13" s="1361">
        <f t="shared" si="1"/>
        <v>8.6700000000000017</v>
      </c>
      <c r="G13" s="1379" t="s">
        <v>1153</v>
      </c>
      <c r="H13" s="1372">
        <v>4.6699999999999998E-2</v>
      </c>
      <c r="I13" s="1466">
        <f t="shared" si="2"/>
        <v>1.619556</v>
      </c>
      <c r="J13" s="1466">
        <f t="shared" si="3"/>
        <v>0.40488900000000005</v>
      </c>
    </row>
    <row r="14" spans="1:10" s="1378" customFormat="1">
      <c r="A14" s="2537"/>
      <c r="B14" s="2537"/>
      <c r="C14" s="1360" t="s">
        <v>1154</v>
      </c>
      <c r="D14" s="1361">
        <v>2.83</v>
      </c>
      <c r="E14" s="1404">
        <f t="shared" si="0"/>
        <v>2.2640000000000002</v>
      </c>
      <c r="F14" s="1361">
        <f t="shared" si="1"/>
        <v>0.56599999999999984</v>
      </c>
      <c r="G14" s="1379" t="s">
        <v>1151</v>
      </c>
      <c r="H14" s="1372">
        <v>4.6699999999999998E-2</v>
      </c>
      <c r="I14" s="1466">
        <f t="shared" si="2"/>
        <v>0.10572880000000001</v>
      </c>
      <c r="J14" s="1466">
        <f t="shared" si="3"/>
        <v>2.6432199999999993E-2</v>
      </c>
    </row>
    <row r="15" spans="1:10" s="1378" customFormat="1" ht="37.5">
      <c r="A15" s="2537"/>
      <c r="B15" s="2537"/>
      <c r="C15" s="1360" t="s">
        <v>1155</v>
      </c>
      <c r="D15" s="1361">
        <v>0.56000000000000005</v>
      </c>
      <c r="E15" s="1404">
        <f t="shared" si="0"/>
        <v>0.44800000000000006</v>
      </c>
      <c r="F15" s="1361">
        <f t="shared" si="1"/>
        <v>0.11199999999999999</v>
      </c>
      <c r="G15" s="1380" t="s">
        <v>1151</v>
      </c>
      <c r="H15" s="1372">
        <v>4.6699999999999998E-2</v>
      </c>
      <c r="I15" s="1466">
        <f t="shared" si="2"/>
        <v>2.0921600000000002E-2</v>
      </c>
      <c r="J15" s="1466">
        <f t="shared" si="3"/>
        <v>5.2303999999999996E-3</v>
      </c>
    </row>
    <row r="16" spans="1:10" s="1378" customFormat="1" ht="37.5">
      <c r="A16" s="2537"/>
      <c r="B16" s="2537"/>
      <c r="C16" s="1360" t="s">
        <v>1156</v>
      </c>
      <c r="D16" s="1361">
        <v>3.96</v>
      </c>
      <c r="E16" s="1404">
        <f t="shared" si="0"/>
        <v>3.1680000000000001</v>
      </c>
      <c r="F16" s="1361">
        <f t="shared" si="1"/>
        <v>0.79199999999999982</v>
      </c>
      <c r="G16" s="1379" t="s">
        <v>1151</v>
      </c>
      <c r="H16" s="1372">
        <v>4.6699999999999998E-2</v>
      </c>
      <c r="I16" s="1466">
        <f t="shared" si="2"/>
        <v>0.14794560000000001</v>
      </c>
      <c r="J16" s="1466">
        <f t="shared" si="3"/>
        <v>3.6986399999999989E-2</v>
      </c>
    </row>
    <row r="17" spans="1:10" s="1378" customFormat="1">
      <c r="A17" s="2538" t="s">
        <v>1028</v>
      </c>
      <c r="B17" s="2538"/>
      <c r="C17" s="2538"/>
      <c r="D17" s="1375">
        <f>SUM(D12:D16)</f>
        <v>56.610000000000007</v>
      </c>
      <c r="E17" s="1381">
        <f t="shared" si="0"/>
        <v>45.288000000000011</v>
      </c>
      <c r="F17" s="1384">
        <f t="shared" si="1"/>
        <v>11.321999999999996</v>
      </c>
      <c r="I17" s="1368">
        <f t="shared" si="2"/>
        <v>0</v>
      </c>
      <c r="J17" s="1368">
        <f t="shared" si="3"/>
        <v>0</v>
      </c>
    </row>
    <row r="18" spans="1:10" s="1378" customFormat="1" ht="38.25" customHeight="1">
      <c r="A18" s="2537">
        <v>3</v>
      </c>
      <c r="B18" s="2537" t="s">
        <v>1029</v>
      </c>
      <c r="C18" s="1360" t="s">
        <v>1157</v>
      </c>
      <c r="D18" s="1361">
        <v>10.18</v>
      </c>
      <c r="E18" s="1404">
        <f t="shared" si="0"/>
        <v>8.1440000000000001</v>
      </c>
      <c r="F18" s="1361">
        <f t="shared" si="1"/>
        <v>2.0359999999999996</v>
      </c>
      <c r="G18" s="1380" t="s">
        <v>1158</v>
      </c>
      <c r="H18" s="1372">
        <v>4.6699999999999998E-2</v>
      </c>
      <c r="I18" s="1466">
        <f t="shared" si="2"/>
        <v>0.38032480000000002</v>
      </c>
      <c r="J18" s="1466">
        <f t="shared" si="3"/>
        <v>9.5081199999999977E-2</v>
      </c>
    </row>
    <row r="19" spans="1:10" s="1378" customFormat="1">
      <c r="A19" s="2537"/>
      <c r="B19" s="2537"/>
      <c r="C19" s="1360" t="s">
        <v>1159</v>
      </c>
      <c r="D19" s="1361">
        <v>0</v>
      </c>
      <c r="E19" s="1404">
        <f t="shared" si="0"/>
        <v>0</v>
      </c>
      <c r="F19" s="1361">
        <f t="shared" si="1"/>
        <v>0</v>
      </c>
      <c r="G19" s="1380" t="s">
        <v>1160</v>
      </c>
      <c r="H19" s="1372">
        <v>4.6699999999999998E-2</v>
      </c>
      <c r="I19" s="1466">
        <f t="shared" si="2"/>
        <v>0</v>
      </c>
      <c r="J19" s="1466">
        <f t="shared" si="3"/>
        <v>0</v>
      </c>
    </row>
    <row r="20" spans="1:10" s="1378" customFormat="1">
      <c r="A20" s="2537"/>
      <c r="B20" s="2537"/>
      <c r="C20" s="1360" t="s">
        <v>1161</v>
      </c>
      <c r="D20" s="1361">
        <v>15.07</v>
      </c>
      <c r="E20" s="1404">
        <f t="shared" si="0"/>
        <v>12.056000000000001</v>
      </c>
      <c r="F20" s="1361">
        <f t="shared" si="1"/>
        <v>3.0139999999999993</v>
      </c>
      <c r="G20" s="1380" t="s">
        <v>1160</v>
      </c>
      <c r="H20" s="1372">
        <v>4.6699999999999998E-2</v>
      </c>
      <c r="I20" s="1466">
        <f t="shared" si="2"/>
        <v>0.56301520000000005</v>
      </c>
      <c r="J20" s="1466">
        <f t="shared" si="3"/>
        <v>0.14075379999999996</v>
      </c>
    </row>
    <row r="21" spans="1:10" s="1378" customFormat="1" ht="37.5">
      <c r="A21" s="2537"/>
      <c r="B21" s="2537"/>
      <c r="C21" s="1383" t="s">
        <v>1162</v>
      </c>
      <c r="D21" s="1361">
        <v>3.11</v>
      </c>
      <c r="E21" s="1404">
        <f t="shared" si="0"/>
        <v>2.488</v>
      </c>
      <c r="F21" s="1361">
        <f t="shared" si="1"/>
        <v>0.62199999999999989</v>
      </c>
      <c r="G21" s="1380" t="s">
        <v>1163</v>
      </c>
      <c r="H21" s="1372">
        <v>4.6699999999999998E-2</v>
      </c>
      <c r="I21" s="1466">
        <f t="shared" si="2"/>
        <v>0.11618959999999999</v>
      </c>
      <c r="J21" s="1466">
        <f t="shared" si="3"/>
        <v>2.9047399999999994E-2</v>
      </c>
    </row>
    <row r="22" spans="1:10" s="1378" customFormat="1">
      <c r="A22" s="2537"/>
      <c r="B22" s="2537"/>
      <c r="C22" s="1383" t="s">
        <v>1034</v>
      </c>
      <c r="D22" s="1361">
        <v>33.380000000000003</v>
      </c>
      <c r="E22" s="1404">
        <f t="shared" si="0"/>
        <v>26.704000000000004</v>
      </c>
      <c r="F22" s="1361">
        <f t="shared" si="1"/>
        <v>6.6759999999999984</v>
      </c>
      <c r="G22" s="1380" t="s">
        <v>1164</v>
      </c>
      <c r="H22" s="1372">
        <v>4.6699999999999998E-2</v>
      </c>
      <c r="I22" s="1466">
        <f t="shared" si="2"/>
        <v>1.2470768000000001</v>
      </c>
      <c r="J22" s="1466">
        <f t="shared" si="3"/>
        <v>0.31176919999999991</v>
      </c>
    </row>
    <row r="23" spans="1:10" s="1378" customFormat="1">
      <c r="A23" s="2537"/>
      <c r="B23" s="2537"/>
      <c r="C23" s="1383" t="s">
        <v>1165</v>
      </c>
      <c r="D23" s="1361">
        <v>7.52</v>
      </c>
      <c r="E23" s="1404">
        <f t="shared" si="0"/>
        <v>6.016</v>
      </c>
      <c r="F23" s="1361">
        <f t="shared" si="1"/>
        <v>1.5039999999999996</v>
      </c>
      <c r="G23" s="1380" t="s">
        <v>1164</v>
      </c>
      <c r="H23" s="1372">
        <v>4.6699999999999998E-2</v>
      </c>
      <c r="I23" s="1466">
        <f t="shared" si="2"/>
        <v>0.28094720000000001</v>
      </c>
      <c r="J23" s="1466">
        <f t="shared" si="3"/>
        <v>7.0236799999999974E-2</v>
      </c>
    </row>
    <row r="24" spans="1:10" s="1378" customFormat="1">
      <c r="A24" s="2537"/>
      <c r="B24" s="2537"/>
      <c r="C24" s="1383" t="s">
        <v>1166</v>
      </c>
      <c r="D24" s="1361">
        <v>1.86</v>
      </c>
      <c r="E24" s="1404">
        <f t="shared" si="0"/>
        <v>1.4880000000000002</v>
      </c>
      <c r="F24" s="1361">
        <f t="shared" si="1"/>
        <v>0.37199999999999989</v>
      </c>
      <c r="G24" s="1380" t="s">
        <v>1164</v>
      </c>
      <c r="H24" s="1372">
        <v>4.6699999999999998E-2</v>
      </c>
      <c r="I24" s="1466">
        <f t="shared" si="2"/>
        <v>6.9489600000000012E-2</v>
      </c>
      <c r="J24" s="1466">
        <f t="shared" si="3"/>
        <v>1.7372399999999993E-2</v>
      </c>
    </row>
    <row r="25" spans="1:10" s="1378" customFormat="1">
      <c r="A25" s="2537"/>
      <c r="B25" s="2537"/>
      <c r="C25" s="1383" t="s">
        <v>1167</v>
      </c>
      <c r="D25" s="1361">
        <v>25.47</v>
      </c>
      <c r="E25" s="1404">
        <f t="shared" si="0"/>
        <v>20.376000000000001</v>
      </c>
      <c r="F25" s="1361">
        <f t="shared" si="1"/>
        <v>5.0939999999999976</v>
      </c>
      <c r="G25" s="1380" t="s">
        <v>1164</v>
      </c>
      <c r="H25" s="1372">
        <v>4.6699999999999998E-2</v>
      </c>
      <c r="I25" s="1466">
        <f t="shared" si="2"/>
        <v>0.95155920000000005</v>
      </c>
      <c r="J25" s="1466">
        <f t="shared" si="3"/>
        <v>0.23788979999999987</v>
      </c>
    </row>
    <row r="26" spans="1:10" s="1378" customFormat="1">
      <c r="A26" s="2537"/>
      <c r="B26" s="2537"/>
      <c r="C26" s="1360" t="s">
        <v>1168</v>
      </c>
      <c r="D26" s="1361">
        <v>5.01</v>
      </c>
      <c r="E26" s="1404">
        <f t="shared" si="0"/>
        <v>4.008</v>
      </c>
      <c r="F26" s="1361">
        <f t="shared" si="1"/>
        <v>1.0019999999999998</v>
      </c>
      <c r="G26" s="1380" t="s">
        <v>1164</v>
      </c>
      <c r="H26" s="1372">
        <v>4.6699999999999998E-2</v>
      </c>
      <c r="I26" s="1466">
        <f t="shared" si="2"/>
        <v>0.1871736</v>
      </c>
      <c r="J26" s="1466">
        <f t="shared" si="3"/>
        <v>4.6793399999999985E-2</v>
      </c>
    </row>
    <row r="27" spans="1:10" s="1378" customFormat="1">
      <c r="A27" s="2537"/>
      <c r="B27" s="2537"/>
      <c r="C27" s="1360" t="s">
        <v>1169</v>
      </c>
      <c r="D27" s="1361">
        <v>0.72</v>
      </c>
      <c r="E27" s="1404">
        <f t="shared" si="0"/>
        <v>0.57599999999999996</v>
      </c>
      <c r="F27" s="1361">
        <f t="shared" si="1"/>
        <v>0.14400000000000002</v>
      </c>
      <c r="G27" s="1380" t="s">
        <v>1164</v>
      </c>
      <c r="H27" s="1372">
        <v>4.6699999999999998E-2</v>
      </c>
      <c r="I27" s="1466">
        <f t="shared" si="2"/>
        <v>2.6899199999999998E-2</v>
      </c>
      <c r="J27" s="1466">
        <f t="shared" si="3"/>
        <v>6.7248000000000004E-3</v>
      </c>
    </row>
    <row r="28" spans="1:10" s="1378" customFormat="1" ht="21.75" customHeight="1">
      <c r="A28" s="2537"/>
      <c r="B28" s="2537"/>
      <c r="C28" s="1360" t="s">
        <v>1170</v>
      </c>
      <c r="D28" s="1361">
        <v>1.45</v>
      </c>
      <c r="E28" s="1404">
        <f t="shared" si="0"/>
        <v>1.1599999999999999</v>
      </c>
      <c r="F28" s="1361">
        <f t="shared" si="1"/>
        <v>0.29000000000000004</v>
      </c>
      <c r="G28" s="1380" t="s">
        <v>1164</v>
      </c>
      <c r="H28" s="1372">
        <v>4.6699999999999998E-2</v>
      </c>
      <c r="I28" s="1466">
        <f t="shared" si="2"/>
        <v>5.4171999999999998E-2</v>
      </c>
      <c r="J28" s="1466">
        <f t="shared" si="3"/>
        <v>1.3543000000000001E-2</v>
      </c>
    </row>
    <row r="29" spans="1:10" s="1378" customFormat="1">
      <c r="A29" s="2537"/>
      <c r="B29" s="2537"/>
      <c r="C29" s="1383" t="s">
        <v>1171</v>
      </c>
      <c r="D29" s="1361">
        <v>0</v>
      </c>
      <c r="E29" s="1404">
        <f t="shared" si="0"/>
        <v>0</v>
      </c>
      <c r="F29" s="1361">
        <f t="shared" si="1"/>
        <v>0</v>
      </c>
      <c r="G29" s="1380" t="s">
        <v>1164</v>
      </c>
      <c r="H29" s="1372">
        <v>4.6699999999999998E-2</v>
      </c>
      <c r="I29" s="1466">
        <f t="shared" si="2"/>
        <v>0</v>
      </c>
      <c r="J29" s="1466">
        <f t="shared" si="3"/>
        <v>0</v>
      </c>
    </row>
    <row r="30" spans="1:10" s="1378" customFormat="1">
      <c r="A30" s="2537"/>
      <c r="B30" s="2537"/>
      <c r="C30" s="1360" t="s">
        <v>1172</v>
      </c>
      <c r="D30" s="1361">
        <v>14.29</v>
      </c>
      <c r="E30" s="1404">
        <f t="shared" si="0"/>
        <v>11.432</v>
      </c>
      <c r="F30" s="1361">
        <f t="shared" si="1"/>
        <v>2.8579999999999988</v>
      </c>
      <c r="G30" s="1380" t="s">
        <v>1164</v>
      </c>
      <c r="H30" s="1372">
        <v>4.6699999999999998E-2</v>
      </c>
      <c r="I30" s="1466">
        <f t="shared" si="2"/>
        <v>0.53387439999999997</v>
      </c>
      <c r="J30" s="1466">
        <f t="shared" si="3"/>
        <v>0.13346859999999994</v>
      </c>
    </row>
    <row r="31" spans="1:10" s="1378" customFormat="1">
      <c r="A31" s="2538" t="s">
        <v>1041</v>
      </c>
      <c r="B31" s="2538"/>
      <c r="C31" s="2538"/>
      <c r="D31" s="1375">
        <f>SUM(D18:D30)</f>
        <v>118.06</v>
      </c>
      <c r="E31" s="1381">
        <f t="shared" si="0"/>
        <v>94.448000000000008</v>
      </c>
      <c r="F31" s="1384">
        <f t="shared" si="1"/>
        <v>23.611999999999995</v>
      </c>
      <c r="I31" s="1368">
        <f t="shared" si="2"/>
        <v>0</v>
      </c>
      <c r="J31" s="1368">
        <f t="shared" si="3"/>
        <v>0</v>
      </c>
    </row>
    <row r="32" spans="1:10" ht="18.75" customHeight="1">
      <c r="A32" s="2537">
        <v>4</v>
      </c>
      <c r="B32" s="2537" t="s">
        <v>1173</v>
      </c>
      <c r="C32" s="1383" t="s">
        <v>1174</v>
      </c>
      <c r="D32" s="1361">
        <v>2.6</v>
      </c>
      <c r="E32" s="1404">
        <f t="shared" si="0"/>
        <v>2.08</v>
      </c>
      <c r="F32" s="1361">
        <f t="shared" si="1"/>
        <v>0.52</v>
      </c>
      <c r="G32" s="1380" t="s">
        <v>1164</v>
      </c>
      <c r="H32" s="1372">
        <v>4.6699999999999998E-2</v>
      </c>
      <c r="I32" s="1466">
        <f t="shared" si="2"/>
        <v>9.7136E-2</v>
      </c>
      <c r="J32" s="1466">
        <f t="shared" si="3"/>
        <v>2.4284E-2</v>
      </c>
    </row>
    <row r="33" spans="1:10">
      <c r="A33" s="2537"/>
      <c r="B33" s="2537"/>
      <c r="C33" s="1383" t="s">
        <v>1175</v>
      </c>
      <c r="D33" s="1361">
        <v>24.57</v>
      </c>
      <c r="E33" s="1404">
        <f t="shared" si="0"/>
        <v>19.656000000000002</v>
      </c>
      <c r="F33" s="1361">
        <f t="shared" si="1"/>
        <v>4.9139999999999979</v>
      </c>
      <c r="G33" s="1380" t="s">
        <v>1164</v>
      </c>
      <c r="H33" s="1372">
        <v>4.6699999999999998E-2</v>
      </c>
      <c r="I33" s="1466">
        <f t="shared" si="2"/>
        <v>0.91793520000000006</v>
      </c>
      <c r="J33" s="1466">
        <f t="shared" si="3"/>
        <v>0.2294837999999999</v>
      </c>
    </row>
    <row r="34" spans="1:10">
      <c r="A34" s="2537"/>
      <c r="B34" s="2537"/>
      <c r="C34" s="1383" t="s">
        <v>1176</v>
      </c>
      <c r="D34" s="1361">
        <v>0</v>
      </c>
      <c r="E34" s="1404">
        <f t="shared" si="0"/>
        <v>0</v>
      </c>
      <c r="F34" s="1361">
        <f t="shared" si="1"/>
        <v>0</v>
      </c>
      <c r="G34" s="1380" t="s">
        <v>1164</v>
      </c>
      <c r="H34" s="1372">
        <v>4.6699999999999998E-2</v>
      </c>
      <c r="I34" s="1466">
        <f t="shared" si="2"/>
        <v>0</v>
      </c>
      <c r="J34" s="1466">
        <f t="shared" si="3"/>
        <v>0</v>
      </c>
    </row>
    <row r="35" spans="1:10">
      <c r="A35" s="2537"/>
      <c r="B35" s="2537"/>
      <c r="C35" s="1383" t="s">
        <v>1177</v>
      </c>
      <c r="D35" s="1361">
        <v>24.12</v>
      </c>
      <c r="E35" s="1404">
        <f t="shared" si="0"/>
        <v>19.296000000000003</v>
      </c>
      <c r="F35" s="1361">
        <f t="shared" si="1"/>
        <v>4.8239999999999981</v>
      </c>
      <c r="G35" s="1380" t="s">
        <v>1164</v>
      </c>
      <c r="H35" s="1372">
        <v>4.6699999999999998E-2</v>
      </c>
      <c r="I35" s="1466">
        <f t="shared" si="2"/>
        <v>0.90112320000000012</v>
      </c>
      <c r="J35" s="1466">
        <f t="shared" si="3"/>
        <v>0.22528079999999989</v>
      </c>
    </row>
    <row r="36" spans="1:10">
      <c r="A36" s="2537"/>
      <c r="B36" s="2537"/>
      <c r="C36" s="1383" t="s">
        <v>1178</v>
      </c>
      <c r="D36" s="1361">
        <v>9.8000000000000007</v>
      </c>
      <c r="E36" s="1404">
        <f t="shared" si="0"/>
        <v>7.8400000000000007</v>
      </c>
      <c r="F36" s="1361">
        <f t="shared" si="1"/>
        <v>1.96</v>
      </c>
      <c r="G36" s="1380" t="s">
        <v>1164</v>
      </c>
      <c r="H36" s="1372">
        <v>4.6699999999999998E-2</v>
      </c>
      <c r="I36" s="1466">
        <f t="shared" si="2"/>
        <v>0.36612800000000001</v>
      </c>
      <c r="J36" s="1466">
        <f t="shared" si="3"/>
        <v>9.1532000000000002E-2</v>
      </c>
    </row>
    <row r="37" spans="1:10">
      <c r="A37" s="2537"/>
      <c r="B37" s="2537"/>
      <c r="C37" s="1383" t="s">
        <v>1179</v>
      </c>
      <c r="D37" s="1361">
        <v>5.08</v>
      </c>
      <c r="E37" s="1404">
        <f t="shared" si="0"/>
        <v>4.0640000000000001</v>
      </c>
      <c r="F37" s="1361">
        <f t="shared" si="1"/>
        <v>1.016</v>
      </c>
      <c r="G37" s="1380" t="s">
        <v>1164</v>
      </c>
      <c r="H37" s="1372">
        <v>4.6699999999999998E-2</v>
      </c>
      <c r="I37" s="1466">
        <f t="shared" si="2"/>
        <v>0.18978880000000001</v>
      </c>
      <c r="J37" s="1466">
        <f t="shared" si="3"/>
        <v>4.7447200000000002E-2</v>
      </c>
    </row>
    <row r="38" spans="1:10" ht="21" customHeight="1">
      <c r="A38" s="2537"/>
      <c r="B38" s="2537"/>
      <c r="C38" s="1383" t="s">
        <v>1180</v>
      </c>
      <c r="D38" s="1361">
        <v>17.37</v>
      </c>
      <c r="E38" s="1404">
        <f t="shared" si="0"/>
        <v>13.896000000000001</v>
      </c>
      <c r="F38" s="1361">
        <f t="shared" si="1"/>
        <v>3.4740000000000002</v>
      </c>
      <c r="G38" s="1380" t="s">
        <v>1164</v>
      </c>
      <c r="H38" s="1372">
        <v>4.6699999999999998E-2</v>
      </c>
      <c r="I38" s="1466">
        <f t="shared" si="2"/>
        <v>0.64894320000000005</v>
      </c>
      <c r="J38" s="1466">
        <f t="shared" si="3"/>
        <v>0.16223580000000001</v>
      </c>
    </row>
    <row r="39" spans="1:10">
      <c r="A39" s="2537"/>
      <c r="B39" s="2537"/>
      <c r="C39" s="1360" t="s">
        <v>1181</v>
      </c>
      <c r="D39" s="1361">
        <v>0</v>
      </c>
      <c r="E39" s="1404">
        <f t="shared" si="0"/>
        <v>0</v>
      </c>
      <c r="F39" s="1361">
        <f t="shared" si="1"/>
        <v>0</v>
      </c>
      <c r="G39" s="1380" t="s">
        <v>1164</v>
      </c>
      <c r="H39" s="1372">
        <v>4.6699999999999998E-2</v>
      </c>
      <c r="I39" s="1466">
        <f t="shared" si="2"/>
        <v>0</v>
      </c>
      <c r="J39" s="1466">
        <f t="shared" si="3"/>
        <v>0</v>
      </c>
    </row>
    <row r="40" spans="1:10">
      <c r="A40" s="2537"/>
      <c r="B40" s="2537"/>
      <c r="C40" s="1360" t="s">
        <v>1182</v>
      </c>
      <c r="D40" s="1361">
        <v>18.600000000000001</v>
      </c>
      <c r="E40" s="1404">
        <f t="shared" si="0"/>
        <v>14.880000000000003</v>
      </c>
      <c r="F40" s="1361">
        <f t="shared" si="1"/>
        <v>3.7199999999999989</v>
      </c>
      <c r="G40" s="1380" t="s">
        <v>1164</v>
      </c>
      <c r="H40" s="1372">
        <v>4.6699999999999998E-2</v>
      </c>
      <c r="I40" s="1466">
        <f t="shared" si="2"/>
        <v>0.69489600000000007</v>
      </c>
      <c r="J40" s="1466">
        <f t="shared" si="3"/>
        <v>0.17372399999999993</v>
      </c>
    </row>
    <row r="41" spans="1:10">
      <c r="A41" s="2538" t="s">
        <v>1183</v>
      </c>
      <c r="B41" s="2538"/>
      <c r="C41" s="2538"/>
      <c r="D41" s="1375">
        <f>SUM(D32:D40)</f>
        <v>102.14000000000001</v>
      </c>
      <c r="E41" s="1381">
        <f t="shared" si="0"/>
        <v>81.712000000000018</v>
      </c>
      <c r="F41" s="1384">
        <f t="shared" si="1"/>
        <v>20.427999999999997</v>
      </c>
      <c r="I41" s="1368">
        <f t="shared" si="2"/>
        <v>0</v>
      </c>
      <c r="J41" s="1368">
        <f t="shared" si="3"/>
        <v>0</v>
      </c>
    </row>
    <row r="42" spans="1:10" ht="37.5">
      <c r="A42" s="2537">
        <v>5</v>
      </c>
      <c r="B42" s="2537" t="s">
        <v>1184</v>
      </c>
      <c r="C42" s="1383" t="s">
        <v>1185</v>
      </c>
      <c r="D42" s="1361">
        <v>1.5</v>
      </c>
      <c r="E42" s="1404">
        <f t="shared" si="0"/>
        <v>1.2000000000000002</v>
      </c>
      <c r="F42" s="1419">
        <f t="shared" si="1"/>
        <v>0.29999999999999982</v>
      </c>
      <c r="G42" s="1420" t="s">
        <v>1186</v>
      </c>
      <c r="H42" s="1421">
        <v>6.3299999999999995E-2</v>
      </c>
      <c r="I42" s="1549">
        <f t="shared" si="2"/>
        <v>7.596E-2</v>
      </c>
      <c r="J42" s="1549">
        <f t="shared" si="3"/>
        <v>1.8989999999999986E-2</v>
      </c>
    </row>
    <row r="43" spans="1:10" ht="56.25">
      <c r="A43" s="2537"/>
      <c r="B43" s="2537"/>
      <c r="C43" s="1383" t="s">
        <v>1187</v>
      </c>
      <c r="D43" s="1361">
        <v>29.68</v>
      </c>
      <c r="E43" s="1404">
        <f t="shared" si="0"/>
        <v>23.744</v>
      </c>
      <c r="F43" s="1363">
        <v>3</v>
      </c>
      <c r="G43" s="1364" t="s">
        <v>1138</v>
      </c>
      <c r="H43" s="1365">
        <v>3.3399999999999999E-2</v>
      </c>
      <c r="I43" s="1464">
        <f t="shared" si="2"/>
        <v>0.79304960000000002</v>
      </c>
      <c r="J43" s="1464">
        <f t="shared" si="3"/>
        <v>0.1002</v>
      </c>
    </row>
    <row r="44" spans="1:10">
      <c r="A44" s="2537"/>
      <c r="B44" s="2537"/>
      <c r="C44" s="1383"/>
      <c r="D44" s="1361"/>
      <c r="E44" s="1404"/>
      <c r="F44" s="1550">
        <v>2.94</v>
      </c>
      <c r="G44" s="1551" t="s">
        <v>1186</v>
      </c>
      <c r="H44" s="1552">
        <v>6.3299999999999995E-2</v>
      </c>
      <c r="I44" s="1553"/>
      <c r="J44" s="1553">
        <f>F44*H44</f>
        <v>0.18610199999999999</v>
      </c>
    </row>
    <row r="45" spans="1:10">
      <c r="A45" s="2537"/>
      <c r="B45" s="2537"/>
      <c r="C45" s="1397" t="s">
        <v>1188</v>
      </c>
      <c r="D45" s="1361">
        <v>5.75</v>
      </c>
      <c r="E45" s="1404">
        <f t="shared" si="0"/>
        <v>4.6000000000000005</v>
      </c>
      <c r="F45" s="1363">
        <v>1</v>
      </c>
      <c r="G45" s="1364" t="s">
        <v>1138</v>
      </c>
      <c r="H45" s="1365">
        <v>3.3399999999999999E-2</v>
      </c>
      <c r="I45" s="1464">
        <f t="shared" si="2"/>
        <v>0.15364000000000003</v>
      </c>
      <c r="J45" s="1464">
        <f t="shared" si="3"/>
        <v>3.3399999999999999E-2</v>
      </c>
    </row>
    <row r="46" spans="1:10">
      <c r="A46" s="2537"/>
      <c r="B46" s="2537"/>
      <c r="C46" s="1397"/>
      <c r="D46" s="1361"/>
      <c r="E46" s="1404"/>
      <c r="F46" s="1550">
        <v>0.15</v>
      </c>
      <c r="G46" s="1551" t="s">
        <v>1186</v>
      </c>
      <c r="H46" s="1552">
        <v>6.3299999999999995E-2</v>
      </c>
      <c r="I46" s="1553"/>
      <c r="J46" s="1553">
        <f>F46*H46</f>
        <v>9.4949999999999982E-3</v>
      </c>
    </row>
    <row r="47" spans="1:10">
      <c r="A47" s="2537"/>
      <c r="B47" s="2537"/>
      <c r="C47" s="1360" t="s">
        <v>1189</v>
      </c>
      <c r="D47" s="1361">
        <v>12</v>
      </c>
      <c r="E47" s="1404">
        <f t="shared" si="0"/>
        <v>9.6000000000000014</v>
      </c>
      <c r="F47" s="1361">
        <f t="shared" si="1"/>
        <v>2.3999999999999986</v>
      </c>
      <c r="G47" s="1415" t="s">
        <v>1190</v>
      </c>
      <c r="H47" s="1416">
        <v>0.3</v>
      </c>
      <c r="I47" s="1368">
        <f t="shared" si="2"/>
        <v>2.8800000000000003</v>
      </c>
      <c r="J47" s="1368">
        <f t="shared" si="3"/>
        <v>0.71999999999999953</v>
      </c>
    </row>
    <row r="48" spans="1:10">
      <c r="A48" s="2537"/>
      <c r="B48" s="2537"/>
      <c r="C48" s="1360" t="s">
        <v>1191</v>
      </c>
      <c r="D48" s="1361">
        <v>0.88</v>
      </c>
      <c r="E48" s="1404">
        <f t="shared" si="0"/>
        <v>0.70400000000000007</v>
      </c>
      <c r="F48" s="1361">
        <f t="shared" si="1"/>
        <v>0.17599999999999993</v>
      </c>
      <c r="G48" s="1406" t="s">
        <v>1192</v>
      </c>
      <c r="H48" s="1407">
        <v>0.15</v>
      </c>
      <c r="I48" s="1368">
        <f t="shared" si="2"/>
        <v>0.10560000000000001</v>
      </c>
      <c r="J48" s="1368">
        <f t="shared" si="3"/>
        <v>2.6399999999999989E-2</v>
      </c>
    </row>
    <row r="49" spans="1:10">
      <c r="A49" s="2537"/>
      <c r="B49" s="2537"/>
      <c r="C49" s="1360" t="s">
        <v>1193</v>
      </c>
      <c r="D49" s="1361">
        <v>16.82</v>
      </c>
      <c r="E49" s="1404">
        <f t="shared" si="0"/>
        <v>13.456000000000001</v>
      </c>
      <c r="F49" s="1361">
        <f t="shared" si="1"/>
        <v>3.363999999999999</v>
      </c>
      <c r="G49" s="1406" t="s">
        <v>1192</v>
      </c>
      <c r="H49" s="1407">
        <v>0.15</v>
      </c>
      <c r="I49" s="1554">
        <f t="shared" si="2"/>
        <v>2.0184000000000002</v>
      </c>
      <c r="J49" s="1554">
        <f t="shared" si="3"/>
        <v>0.50459999999999983</v>
      </c>
    </row>
    <row r="50" spans="1:10">
      <c r="A50" s="2537"/>
      <c r="B50" s="2537"/>
      <c r="C50" s="1360" t="s">
        <v>1194</v>
      </c>
      <c r="D50" s="1361">
        <v>3.5</v>
      </c>
      <c r="E50" s="1404">
        <f t="shared" si="0"/>
        <v>2.8000000000000003</v>
      </c>
      <c r="F50" s="1361">
        <f t="shared" si="1"/>
        <v>0.69999999999999973</v>
      </c>
      <c r="G50" s="1406" t="s">
        <v>1192</v>
      </c>
      <c r="H50" s="1407">
        <v>0.15</v>
      </c>
      <c r="I50" s="1464">
        <f t="shared" si="2"/>
        <v>0.42000000000000004</v>
      </c>
      <c r="J50" s="1464">
        <f t="shared" si="3"/>
        <v>0.10499999999999995</v>
      </c>
    </row>
    <row r="51" spans="1:10">
      <c r="A51" s="2537"/>
      <c r="B51" s="2537"/>
      <c r="C51" s="1360" t="s">
        <v>1121</v>
      </c>
      <c r="D51" s="1361">
        <v>0.75</v>
      </c>
      <c r="E51" s="1404">
        <f t="shared" si="0"/>
        <v>0.60000000000000009</v>
      </c>
      <c r="F51" s="1361">
        <f t="shared" si="1"/>
        <v>0.14999999999999991</v>
      </c>
      <c r="G51" s="1406" t="s">
        <v>1192</v>
      </c>
      <c r="H51" s="1407">
        <v>0.15</v>
      </c>
      <c r="I51" s="1555">
        <f t="shared" si="2"/>
        <v>9.0000000000000011E-2</v>
      </c>
      <c r="J51" s="1555">
        <f t="shared" si="3"/>
        <v>2.2499999999999985E-2</v>
      </c>
    </row>
    <row r="52" spans="1:10">
      <c r="A52" s="2537"/>
      <c r="B52" s="2537"/>
      <c r="C52" s="1360" t="s">
        <v>1123</v>
      </c>
      <c r="D52" s="1361">
        <v>7.7</v>
      </c>
      <c r="E52" s="1404">
        <f t="shared" si="0"/>
        <v>6.16</v>
      </c>
      <c r="F52" s="1361">
        <f t="shared" si="1"/>
        <v>1.54</v>
      </c>
      <c r="G52" s="1406" t="s">
        <v>1192</v>
      </c>
      <c r="H52" s="1407">
        <v>0.3</v>
      </c>
      <c r="I52" s="1555">
        <f t="shared" si="2"/>
        <v>1.8479999999999999</v>
      </c>
      <c r="J52" s="1555">
        <f t="shared" si="3"/>
        <v>0.46199999999999997</v>
      </c>
    </row>
    <row r="53" spans="1:10">
      <c r="A53" s="2537"/>
      <c r="B53" s="2537"/>
      <c r="C53" s="1360" t="s">
        <v>1195</v>
      </c>
      <c r="D53" s="1361">
        <v>4.01</v>
      </c>
      <c r="E53" s="1404">
        <f t="shared" si="0"/>
        <v>3.2080000000000002</v>
      </c>
      <c r="F53" s="1361">
        <f t="shared" si="1"/>
        <v>0.8019999999999996</v>
      </c>
      <c r="G53" s="1411" t="s">
        <v>1196</v>
      </c>
      <c r="H53" s="1412">
        <v>6.3299999999999995E-2</v>
      </c>
      <c r="I53" s="1433">
        <f t="shared" si="2"/>
        <v>0.20306640000000001</v>
      </c>
      <c r="J53" s="1433">
        <f t="shared" si="3"/>
        <v>5.0766599999999974E-2</v>
      </c>
    </row>
    <row r="54" spans="1:10">
      <c r="A54" s="2537"/>
      <c r="B54" s="2537"/>
      <c r="C54" s="1360" t="s">
        <v>1125</v>
      </c>
      <c r="D54" s="1361">
        <v>10.1</v>
      </c>
      <c r="E54" s="1404">
        <f t="shared" si="0"/>
        <v>8.08</v>
      </c>
      <c r="F54" s="1361">
        <f t="shared" si="1"/>
        <v>2.0199999999999996</v>
      </c>
      <c r="G54" s="1415" t="s">
        <v>1190</v>
      </c>
      <c r="H54" s="1416">
        <v>0.3</v>
      </c>
      <c r="I54" s="1556">
        <f t="shared" si="2"/>
        <v>2.4239999999999999</v>
      </c>
      <c r="J54" s="1556">
        <f t="shared" si="3"/>
        <v>0.60599999999999987</v>
      </c>
    </row>
    <row r="55" spans="1:10" ht="37.5">
      <c r="A55" s="2537"/>
      <c r="B55" s="2537"/>
      <c r="C55" s="1360" t="s">
        <v>1197</v>
      </c>
      <c r="D55" s="1361">
        <v>27.86</v>
      </c>
      <c r="E55" s="1404">
        <f t="shared" si="0"/>
        <v>22.288</v>
      </c>
      <c r="F55" s="1361">
        <f t="shared" si="1"/>
        <v>5.5719999999999992</v>
      </c>
      <c r="G55" s="1415" t="s">
        <v>1190</v>
      </c>
      <c r="H55" s="1416">
        <v>0.3</v>
      </c>
      <c r="I55" s="1556">
        <f t="shared" si="2"/>
        <v>6.6863999999999999</v>
      </c>
      <c r="J55" s="1556">
        <f t="shared" si="3"/>
        <v>1.6715999999999998</v>
      </c>
    </row>
    <row r="56" spans="1:10" ht="37.5">
      <c r="A56" s="2537"/>
      <c r="B56" s="2537"/>
      <c r="C56" s="1360" t="s">
        <v>1198</v>
      </c>
      <c r="D56" s="1361">
        <v>0</v>
      </c>
      <c r="E56" s="1404">
        <f t="shared" si="0"/>
        <v>0</v>
      </c>
      <c r="F56" s="1361">
        <f t="shared" si="1"/>
        <v>0</v>
      </c>
      <c r="G56" s="1415" t="s">
        <v>1190</v>
      </c>
      <c r="H56" s="1416">
        <v>0.3</v>
      </c>
      <c r="I56" s="1556">
        <f t="shared" si="2"/>
        <v>0</v>
      </c>
      <c r="J56" s="1556">
        <f t="shared" si="3"/>
        <v>0</v>
      </c>
    </row>
    <row r="57" spans="1:10">
      <c r="A57" s="2537"/>
      <c r="B57" s="2537"/>
      <c r="C57" s="1360" t="s">
        <v>1199</v>
      </c>
      <c r="D57" s="1361">
        <v>0.75</v>
      </c>
      <c r="E57" s="1404">
        <f t="shared" si="0"/>
        <v>0.60000000000000009</v>
      </c>
      <c r="F57" s="1361">
        <f t="shared" si="1"/>
        <v>0.14999999999999991</v>
      </c>
      <c r="G57" s="1415" t="s">
        <v>1190</v>
      </c>
      <c r="H57" s="1416">
        <v>0.3</v>
      </c>
      <c r="I57" s="1556">
        <f t="shared" si="2"/>
        <v>0.18000000000000002</v>
      </c>
      <c r="J57" s="1556">
        <f t="shared" si="3"/>
        <v>4.4999999999999971E-2</v>
      </c>
    </row>
    <row r="58" spans="1:10">
      <c r="A58" s="2537"/>
      <c r="B58" s="2537"/>
      <c r="C58" s="1360" t="s">
        <v>1200</v>
      </c>
      <c r="D58" s="1361">
        <v>0.3</v>
      </c>
      <c r="E58" s="1404">
        <f t="shared" si="0"/>
        <v>0.24</v>
      </c>
      <c r="F58" s="1361">
        <f t="shared" si="1"/>
        <v>0.06</v>
      </c>
      <c r="G58" s="1406" t="s">
        <v>1192</v>
      </c>
      <c r="H58" s="1407">
        <v>0.15</v>
      </c>
      <c r="I58" s="1555">
        <f t="shared" si="2"/>
        <v>3.5999999999999997E-2</v>
      </c>
      <c r="J58" s="1555">
        <f t="shared" si="3"/>
        <v>8.9999999999999993E-3</v>
      </c>
    </row>
    <row r="59" spans="1:10">
      <c r="A59" s="2538" t="s">
        <v>1064</v>
      </c>
      <c r="B59" s="2538"/>
      <c r="C59" s="2538"/>
      <c r="D59" s="1375">
        <f>SUM(D42:D58)</f>
        <v>121.6</v>
      </c>
      <c r="E59" s="1381">
        <f t="shared" si="0"/>
        <v>97.28</v>
      </c>
      <c r="F59" s="1384">
        <f t="shared" si="1"/>
        <v>24.319999999999993</v>
      </c>
      <c r="I59" s="1368">
        <f t="shared" si="2"/>
        <v>0</v>
      </c>
      <c r="J59" s="1368">
        <f t="shared" si="3"/>
        <v>0</v>
      </c>
    </row>
    <row r="60" spans="1:10" ht="25.5" customHeight="1">
      <c r="A60" s="2537">
        <v>6</v>
      </c>
      <c r="B60" s="2537" t="s">
        <v>1201</v>
      </c>
      <c r="C60" s="1397" t="s">
        <v>1202</v>
      </c>
      <c r="D60" s="1361">
        <v>3.99</v>
      </c>
      <c r="E60" s="1404">
        <f t="shared" si="0"/>
        <v>3.1920000000000002</v>
      </c>
      <c r="F60" s="1361">
        <f t="shared" si="1"/>
        <v>0.79800000000000004</v>
      </c>
      <c r="G60" s="1420" t="s">
        <v>1203</v>
      </c>
      <c r="H60" s="1421">
        <v>9.5000000000000001E-2</v>
      </c>
      <c r="I60" s="1549">
        <f t="shared" si="2"/>
        <v>0.30324000000000001</v>
      </c>
      <c r="J60" s="1549">
        <f t="shared" si="3"/>
        <v>7.5810000000000002E-2</v>
      </c>
    </row>
    <row r="61" spans="1:10" ht="50.25" customHeight="1">
      <c r="A61" s="2537"/>
      <c r="B61" s="2537"/>
      <c r="C61" s="1383" t="s">
        <v>1204</v>
      </c>
      <c r="D61" s="1361">
        <v>0.99</v>
      </c>
      <c r="E61" s="1404">
        <f t="shared" si="0"/>
        <v>0.79200000000000004</v>
      </c>
      <c r="F61" s="1361">
        <f t="shared" si="1"/>
        <v>0.19799999999999995</v>
      </c>
      <c r="G61" s="1426" t="s">
        <v>1205</v>
      </c>
      <c r="H61" s="1427">
        <v>4.6699999999999998E-2</v>
      </c>
      <c r="I61" s="1557">
        <f t="shared" si="2"/>
        <v>3.6986400000000003E-2</v>
      </c>
      <c r="J61" s="1557">
        <f t="shared" si="3"/>
        <v>9.2465999999999972E-3</v>
      </c>
    </row>
    <row r="62" spans="1:10">
      <c r="A62" s="2538" t="s">
        <v>1206</v>
      </c>
      <c r="B62" s="2538"/>
      <c r="C62" s="2538"/>
      <c r="D62" s="1375">
        <f>SUM(D60:D61)</f>
        <v>4.9800000000000004</v>
      </c>
      <c r="E62" s="1381">
        <f t="shared" si="0"/>
        <v>3.9840000000000004</v>
      </c>
      <c r="F62" s="1384">
        <f t="shared" si="1"/>
        <v>0.996</v>
      </c>
      <c r="H62" s="1558"/>
      <c r="I62" s="1368">
        <f t="shared" si="2"/>
        <v>0</v>
      </c>
      <c r="J62" s="1368">
        <f t="shared" si="3"/>
        <v>0</v>
      </c>
    </row>
    <row r="63" spans="1:10">
      <c r="A63" s="2534" t="s">
        <v>1207</v>
      </c>
      <c r="B63" s="2534"/>
      <c r="C63" s="2534"/>
      <c r="D63" s="1430">
        <f>D11+D17+D31+D41+D59+D62</f>
        <v>452.80000000000007</v>
      </c>
      <c r="E63" s="1430">
        <f t="shared" si="0"/>
        <v>362.24000000000007</v>
      </c>
      <c r="F63" s="1430">
        <f>D63-E63</f>
        <v>90.56</v>
      </c>
      <c r="G63" s="1430">
        <f t="shared" ref="G63" si="4">E63-F63</f>
        <v>271.68000000000006</v>
      </c>
      <c r="H63" s="1430"/>
      <c r="I63" s="1430">
        <f>SUM(I2:I62)</f>
        <v>30.210060800000004</v>
      </c>
      <c r="J63" s="1430">
        <f>SUM(J2:J62)</f>
        <v>7.6450397999999975</v>
      </c>
    </row>
    <row r="67" spans="2:12" ht="19.5" thickBot="1"/>
    <row r="68" spans="2:12" ht="19.5" thickBot="1">
      <c r="I68" s="2535" t="s">
        <v>1208</v>
      </c>
      <c r="J68" s="2536"/>
      <c r="K68" s="2535" t="s">
        <v>1209</v>
      </c>
      <c r="L68" s="2536"/>
    </row>
    <row r="69" spans="2:12">
      <c r="B69" s="1435"/>
      <c r="C69" s="1559" t="s">
        <v>1210</v>
      </c>
      <c r="D69" s="1559" t="s">
        <v>1211</v>
      </c>
      <c r="E69" s="1559" t="s">
        <v>1212</v>
      </c>
      <c r="F69" s="1559" t="s">
        <v>1211</v>
      </c>
      <c r="G69" s="1559" t="s">
        <v>1213</v>
      </c>
      <c r="H69" s="1559" t="s">
        <v>1211</v>
      </c>
      <c r="I69" s="1560" t="s">
        <v>1213</v>
      </c>
      <c r="J69" s="1436" t="s">
        <v>1211</v>
      </c>
      <c r="K69" s="1436" t="s">
        <v>1214</v>
      </c>
      <c r="L69" s="1436" t="s">
        <v>1215</v>
      </c>
    </row>
    <row r="70" spans="2:12">
      <c r="B70" s="1435" t="s">
        <v>1216</v>
      </c>
      <c r="C70" s="1561">
        <v>4.42</v>
      </c>
      <c r="D70" s="1561">
        <v>7.0000000000000007E-2</v>
      </c>
      <c r="E70" s="1562">
        <v>15.924325337400001</v>
      </c>
      <c r="F70" s="1561">
        <v>0.53</v>
      </c>
      <c r="G70" s="1561">
        <v>34.024000000000001</v>
      </c>
      <c r="H70" s="1561"/>
      <c r="I70" s="1563">
        <f>C70+E70+G70</f>
        <v>54.368325337400002</v>
      </c>
      <c r="J70" s="1364">
        <v>1.59</v>
      </c>
      <c r="K70" s="1364">
        <v>8.8800000000000008</v>
      </c>
      <c r="L70" s="1364">
        <v>0.28999999999999998</v>
      </c>
    </row>
    <row r="71" spans="2:12">
      <c r="B71" s="1435" t="s">
        <v>1217</v>
      </c>
      <c r="C71" s="1561">
        <v>24.06</v>
      </c>
      <c r="D71" s="1561">
        <v>0.56000000000000005</v>
      </c>
      <c r="E71" s="1562">
        <v>97.948800487800028</v>
      </c>
      <c r="F71" s="1561">
        <v>4.58</v>
      </c>
      <c r="G71" s="1561">
        <v>249.024</v>
      </c>
      <c r="H71" s="1561"/>
      <c r="I71" s="1563">
        <f t="shared" ref="I71:I78" si="5">C71+E71+G71</f>
        <v>371.03280048780005</v>
      </c>
      <c r="J71" s="1371">
        <v>11.19</v>
      </c>
      <c r="K71" s="1371">
        <v>59.95</v>
      </c>
      <c r="L71" s="1371">
        <v>2.79</v>
      </c>
    </row>
    <row r="72" spans="2:12">
      <c r="B72" s="1435" t="s">
        <v>1218</v>
      </c>
      <c r="C72" s="1561"/>
      <c r="D72" s="1561">
        <v>0</v>
      </c>
      <c r="E72" s="1562">
        <v>0</v>
      </c>
      <c r="F72" s="1561">
        <v>0</v>
      </c>
      <c r="G72" s="1561">
        <v>3.1920000000000002</v>
      </c>
      <c r="H72" s="1561"/>
      <c r="I72" s="1563">
        <f t="shared" si="5"/>
        <v>3.1920000000000002</v>
      </c>
      <c r="J72" s="1420">
        <v>0.3</v>
      </c>
      <c r="K72" s="1420">
        <v>0.8</v>
      </c>
      <c r="L72" s="1420">
        <v>7.4999999999999997E-2</v>
      </c>
    </row>
    <row r="73" spans="2:12">
      <c r="B73" s="1435" t="s">
        <v>1219</v>
      </c>
      <c r="C73" s="1561">
        <v>1.02</v>
      </c>
      <c r="D73" s="1561">
        <v>0.03</v>
      </c>
      <c r="E73" s="1562">
        <v>0</v>
      </c>
      <c r="F73" s="1561">
        <v>0</v>
      </c>
      <c r="G73" s="1561">
        <v>4.5999999999999996</v>
      </c>
      <c r="H73" s="1561"/>
      <c r="I73" s="1563">
        <f t="shared" si="5"/>
        <v>5.6199999999999992</v>
      </c>
      <c r="J73" s="1444">
        <v>0.12659999999999999</v>
      </c>
      <c r="K73" s="1411">
        <v>3.09</v>
      </c>
      <c r="L73" s="1444">
        <v>0.19500000000000001</v>
      </c>
    </row>
    <row r="74" spans="2:12">
      <c r="B74" s="1435" t="s">
        <v>1220</v>
      </c>
      <c r="C74" s="1561">
        <v>0</v>
      </c>
      <c r="D74" s="1561">
        <v>0</v>
      </c>
      <c r="E74" s="1562">
        <v>2.0906847661999999</v>
      </c>
      <c r="F74" s="1561">
        <v>0.13</v>
      </c>
      <c r="G74" s="1561">
        <v>2.8719999999999999</v>
      </c>
      <c r="H74" s="1561"/>
      <c r="I74" s="1563">
        <f t="shared" si="5"/>
        <v>4.9626847661999998</v>
      </c>
      <c r="J74" s="1447">
        <v>0.15</v>
      </c>
      <c r="K74" s="1447">
        <v>0.72</v>
      </c>
      <c r="L74" s="1447">
        <v>4.4999999999999998E-2</v>
      </c>
    </row>
    <row r="75" spans="2:12">
      <c r="B75" s="1435" t="s">
        <v>1221</v>
      </c>
      <c r="C75" s="1561">
        <v>0</v>
      </c>
      <c r="D75" s="1561">
        <v>0</v>
      </c>
      <c r="E75" s="1562">
        <v>0</v>
      </c>
      <c r="F75" s="1561">
        <v>0</v>
      </c>
      <c r="G75" s="1561">
        <v>0.79200000000000004</v>
      </c>
      <c r="H75" s="1561"/>
      <c r="I75" s="1563">
        <f t="shared" si="5"/>
        <v>0.79200000000000004</v>
      </c>
      <c r="J75" s="1426">
        <v>0.11</v>
      </c>
      <c r="K75" s="1426">
        <v>0.2</v>
      </c>
      <c r="L75" s="1426">
        <v>8.9999999999999993E-3</v>
      </c>
    </row>
    <row r="76" spans="2:12">
      <c r="B76" s="1435" t="s">
        <v>1222</v>
      </c>
      <c r="C76" s="1561">
        <v>3.76</v>
      </c>
      <c r="D76" s="1561">
        <v>0.56000000000000005</v>
      </c>
      <c r="E76" s="1562">
        <v>36.593415627399999</v>
      </c>
      <c r="F76" s="1561">
        <v>10.98</v>
      </c>
      <c r="G76" s="1561">
        <v>46.728000000000002</v>
      </c>
      <c r="H76" s="1561"/>
      <c r="I76" s="1563">
        <f t="shared" si="5"/>
        <v>87.081415627399991</v>
      </c>
      <c r="J76" s="1415">
        <v>7.33</v>
      </c>
      <c r="K76" s="1415">
        <v>11.68</v>
      </c>
      <c r="L76" s="1415">
        <v>3.504</v>
      </c>
    </row>
    <row r="77" spans="2:12">
      <c r="B77" s="1455" t="s">
        <v>1223</v>
      </c>
      <c r="C77" s="1561">
        <v>1.37</v>
      </c>
      <c r="D77" s="1561">
        <v>0.1</v>
      </c>
      <c r="E77" s="1562">
        <v>0</v>
      </c>
      <c r="F77" s="1561">
        <v>0</v>
      </c>
      <c r="G77" s="1561">
        <v>3.2080000000000002</v>
      </c>
      <c r="H77" s="1561"/>
      <c r="I77" s="1563">
        <f t="shared" si="5"/>
        <v>4.5780000000000003</v>
      </c>
      <c r="J77" s="1456">
        <v>0.5</v>
      </c>
      <c r="K77" s="1456">
        <v>0.8</v>
      </c>
      <c r="L77" s="1456">
        <v>0.05</v>
      </c>
    </row>
    <row r="78" spans="2:12">
      <c r="B78" s="1435" t="s">
        <v>1224</v>
      </c>
      <c r="C78" s="1561">
        <v>4.6900000000000004</v>
      </c>
      <c r="D78" s="1561">
        <v>0.35</v>
      </c>
      <c r="E78" s="1562">
        <v>7.562175972800004</v>
      </c>
      <c r="F78" s="1561">
        <v>1.1299999999999999</v>
      </c>
      <c r="G78" s="1561">
        <v>17.8</v>
      </c>
      <c r="H78" s="1561"/>
      <c r="I78" s="1563">
        <f t="shared" si="5"/>
        <v>30.052175972800004</v>
      </c>
      <c r="J78" s="1435">
        <v>0.2</v>
      </c>
      <c r="K78" s="1435">
        <v>4.45</v>
      </c>
      <c r="L78" s="1435">
        <v>0.66700000000000004</v>
      </c>
    </row>
    <row r="79" spans="2:12">
      <c r="B79" s="1461" t="s">
        <v>1225</v>
      </c>
      <c r="C79" s="1564">
        <f>SUM(C70:C78)</f>
        <v>39.319999999999993</v>
      </c>
      <c r="D79" s="1564">
        <f t="shared" ref="D79:F79" si="6">SUM(D70:D78)</f>
        <v>1.6700000000000004</v>
      </c>
      <c r="E79" s="1564">
        <f t="shared" si="6"/>
        <v>160.11940219160002</v>
      </c>
      <c r="F79" s="1564">
        <f t="shared" si="6"/>
        <v>17.349999999999998</v>
      </c>
      <c r="G79" s="1564">
        <f>SUM(G70:G78)</f>
        <v>362.24000000000007</v>
      </c>
      <c r="H79" s="1564"/>
      <c r="I79" s="1565">
        <f>SUBTOTAL(9,I70:I78)</f>
        <v>561.67940219160005</v>
      </c>
      <c r="J79" s="1461">
        <f>SUBTOTAL(9,J70:J78)</f>
        <v>21.496599999999997</v>
      </c>
      <c r="K79" s="1461">
        <f>SUBTOTAL(9,K70:K78)</f>
        <v>90.57</v>
      </c>
      <c r="L79" s="1461">
        <f>SUBTOTAL(9,L70:L78)</f>
        <v>7.6249999999999991</v>
      </c>
    </row>
    <row r="80" spans="2:12">
      <c r="I80" s="1491"/>
    </row>
    <row r="81" spans="9:9">
      <c r="I81" s="1491">
        <f>I79/0.853</f>
        <v>658.47526634419705</v>
      </c>
    </row>
    <row r="82" spans="9:9">
      <c r="I82" s="1491">
        <f>I81-I79</f>
        <v>96.795864152597005</v>
      </c>
    </row>
    <row r="83" spans="9:9">
      <c r="I83" s="1491"/>
    </row>
    <row r="84" spans="9:9">
      <c r="I84" s="1491"/>
    </row>
  </sheetData>
  <autoFilter ref="A1:J63" xr:uid="{00000000-0009-0000-0000-000019000000}"/>
  <mergeCells count="21">
    <mergeCell ref="A41:C41"/>
    <mergeCell ref="A2:A10"/>
    <mergeCell ref="B2:B10"/>
    <mergeCell ref="A11:C11"/>
    <mergeCell ref="A12:A16"/>
    <mergeCell ref="B12:B16"/>
    <mergeCell ref="A17:C17"/>
    <mergeCell ref="A18:A30"/>
    <mergeCell ref="B18:B30"/>
    <mergeCell ref="A31:C31"/>
    <mergeCell ref="A32:A40"/>
    <mergeCell ref="B32:B40"/>
    <mergeCell ref="A63:C63"/>
    <mergeCell ref="I68:J68"/>
    <mergeCell ref="K68:L68"/>
    <mergeCell ref="A42:A58"/>
    <mergeCell ref="B42:B58"/>
    <mergeCell ref="A59:C59"/>
    <mergeCell ref="A60:A61"/>
    <mergeCell ref="B60:B61"/>
    <mergeCell ref="A62:C62"/>
  </mergeCells>
  <pageMargins left="0.7" right="0.7" top="0.75" bottom="0.75" header="0.3" footer="0.3"/>
  <pageSetup scale="6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M87"/>
  <sheetViews>
    <sheetView zoomScale="70" zoomScaleNormal="70" workbookViewId="0">
      <pane ySplit="1" topLeftCell="A2" activePane="bottomLeft" state="frozen"/>
      <selection pane="bottomLeft" activeCell="C21" sqref="C21"/>
      <selection activeCell="C21" sqref="C21"/>
    </sheetView>
  </sheetViews>
  <sheetFormatPr defaultColWidth="9.140625" defaultRowHeight="18.75"/>
  <cols>
    <col min="1" max="1" width="9.28515625" style="1368" customWidth="1"/>
    <col min="2" max="2" width="19.140625" style="1368" customWidth="1"/>
    <col min="3" max="3" width="63.140625" style="1368" customWidth="1"/>
    <col min="4" max="4" width="16.140625" style="1432" customWidth="1"/>
    <col min="5" max="5" width="31.85546875" style="1368" customWidth="1"/>
    <col min="6" max="6" width="25.28515625" style="1368" customWidth="1"/>
    <col min="7" max="7" width="23" style="1368" customWidth="1"/>
    <col min="8" max="8" width="16.28515625" style="1368" customWidth="1"/>
    <col min="9" max="9" width="23.28515625" style="1368" customWidth="1"/>
    <col min="10" max="10" width="16.42578125" style="1434" customWidth="1"/>
    <col min="11" max="11" width="18.140625" style="1368" customWidth="1"/>
    <col min="12" max="12" width="18.5703125" style="1368" customWidth="1"/>
    <col min="13" max="13" width="24.42578125" style="1368" customWidth="1"/>
    <col min="14" max="16384" width="9.140625" style="1368"/>
  </cols>
  <sheetData>
    <row r="1" spans="1:10" s="1359" customFormat="1" ht="62.25" customHeight="1">
      <c r="A1" s="1356" t="s">
        <v>1002</v>
      </c>
      <c r="B1" s="1356" t="s">
        <v>1003</v>
      </c>
      <c r="C1" s="1356" t="s">
        <v>1004</v>
      </c>
      <c r="D1" s="1357" t="s">
        <v>1226</v>
      </c>
      <c r="E1" s="1357" t="s">
        <v>1227</v>
      </c>
      <c r="F1" s="1357" t="s">
        <v>1228</v>
      </c>
      <c r="G1" s="1357" t="s">
        <v>1229</v>
      </c>
      <c r="H1" s="1357" t="s">
        <v>1230</v>
      </c>
      <c r="I1" s="1357" t="s">
        <v>1231</v>
      </c>
      <c r="J1" s="1358" t="s">
        <v>1232</v>
      </c>
    </row>
    <row r="2" spans="1:10">
      <c r="A2" s="2537">
        <v>1</v>
      </c>
      <c r="B2" s="2537" t="s">
        <v>1015</v>
      </c>
      <c r="C2" s="1360" t="s">
        <v>1137</v>
      </c>
      <c r="D2" s="1361">
        <v>11.55</v>
      </c>
      <c r="E2" s="1362">
        <f>D2*0.8</f>
        <v>9.24</v>
      </c>
      <c r="F2" s="1363">
        <f>D2-E2</f>
        <v>2.3100000000000005</v>
      </c>
      <c r="G2" s="1364" t="s">
        <v>1138</v>
      </c>
      <c r="H2" s="1365">
        <v>3.3399999999999999E-2</v>
      </c>
      <c r="I2" s="1366">
        <f>E2*H2</f>
        <v>0.308616</v>
      </c>
      <c r="J2" s="1367">
        <f>F2*H2</f>
        <v>7.7154000000000014E-2</v>
      </c>
    </row>
    <row r="3" spans="1:10">
      <c r="A3" s="2537"/>
      <c r="B3" s="2537"/>
      <c r="C3" s="1360" t="s">
        <v>1139</v>
      </c>
      <c r="D3" s="1361">
        <v>10.73</v>
      </c>
      <c r="E3" s="1362">
        <f t="shared" ref="E3:E52" si="0">D3*0.8</f>
        <v>8.5840000000000014</v>
      </c>
      <c r="F3" s="1363">
        <f t="shared" ref="F3:F52" si="1">D3-E3</f>
        <v>2.145999999999999</v>
      </c>
      <c r="G3" s="1364" t="s">
        <v>1138</v>
      </c>
      <c r="H3" s="1365">
        <v>3.3399999999999999E-2</v>
      </c>
      <c r="I3" s="1366">
        <f t="shared" ref="I3:I51" si="2">E3*H3</f>
        <v>0.28670560000000006</v>
      </c>
      <c r="J3" s="1367">
        <f t="shared" ref="J3:J50" si="3">F3*H3</f>
        <v>7.167639999999996E-2</v>
      </c>
    </row>
    <row r="4" spans="1:10" ht="37.5">
      <c r="A4" s="2537"/>
      <c r="B4" s="2537"/>
      <c r="C4" s="1360" t="s">
        <v>1140</v>
      </c>
      <c r="D4" s="1361">
        <v>8.43</v>
      </c>
      <c r="E4" s="1369">
        <f t="shared" si="0"/>
        <v>6.7439999999999998</v>
      </c>
      <c r="F4" s="1370">
        <f t="shared" si="1"/>
        <v>1.6859999999999999</v>
      </c>
      <c r="G4" s="1371" t="s">
        <v>1141</v>
      </c>
      <c r="H4" s="1372">
        <v>4.6699999999999998E-2</v>
      </c>
      <c r="I4" s="1373">
        <f t="shared" si="2"/>
        <v>0.31494479999999997</v>
      </c>
      <c r="J4" s="1374">
        <f t="shared" si="3"/>
        <v>7.8736199999999992E-2</v>
      </c>
    </row>
    <row r="5" spans="1:10">
      <c r="A5" s="2537"/>
      <c r="B5" s="2537"/>
      <c r="C5" s="1360" t="s">
        <v>1142</v>
      </c>
      <c r="D5" s="1361">
        <v>0.98</v>
      </c>
      <c r="E5" s="1362">
        <f t="shared" si="0"/>
        <v>0.78400000000000003</v>
      </c>
      <c r="F5" s="1363">
        <f t="shared" si="1"/>
        <v>0.19599999999999995</v>
      </c>
      <c r="G5" s="1364" t="s">
        <v>1138</v>
      </c>
      <c r="H5" s="1365">
        <v>3.3399999999999999E-2</v>
      </c>
      <c r="I5" s="1366">
        <f t="shared" si="2"/>
        <v>2.61856E-2</v>
      </c>
      <c r="J5" s="1367">
        <f t="shared" si="3"/>
        <v>6.5463999999999982E-3</v>
      </c>
    </row>
    <row r="6" spans="1:10">
      <c r="A6" s="2537"/>
      <c r="B6" s="2537"/>
      <c r="C6" s="1360" t="s">
        <v>1145</v>
      </c>
      <c r="D6" s="1361">
        <v>1.1399999999999999</v>
      </c>
      <c r="E6" s="1362">
        <f t="shared" si="0"/>
        <v>0.91199999999999992</v>
      </c>
      <c r="F6" s="1363">
        <f t="shared" si="1"/>
        <v>0.22799999999999998</v>
      </c>
      <c r="G6" s="1364" t="s">
        <v>1138</v>
      </c>
      <c r="H6" s="1365">
        <v>3.3399999999999999E-2</v>
      </c>
      <c r="I6" s="1366">
        <f t="shared" si="2"/>
        <v>3.0460799999999996E-2</v>
      </c>
      <c r="J6" s="1367">
        <f t="shared" si="3"/>
        <v>7.6151999999999991E-3</v>
      </c>
    </row>
    <row r="7" spans="1:10">
      <c r="A7" s="2537"/>
      <c r="B7" s="2537"/>
      <c r="C7" s="1360" t="s">
        <v>1146</v>
      </c>
      <c r="D7" s="1361">
        <v>10</v>
      </c>
      <c r="E7" s="1369">
        <f t="shared" si="0"/>
        <v>8</v>
      </c>
      <c r="F7" s="1370">
        <f t="shared" si="1"/>
        <v>2</v>
      </c>
      <c r="G7" s="1371" t="s">
        <v>1147</v>
      </c>
      <c r="H7" s="1372">
        <v>4.6699999999999998E-2</v>
      </c>
      <c r="I7" s="1373">
        <f t="shared" si="2"/>
        <v>0.37359999999999999</v>
      </c>
      <c r="J7" s="1374">
        <f t="shared" si="3"/>
        <v>9.3399999999999997E-2</v>
      </c>
    </row>
    <row r="8" spans="1:10">
      <c r="A8" s="2537"/>
      <c r="B8" s="2537"/>
      <c r="C8" s="1360" t="s">
        <v>1233</v>
      </c>
      <c r="D8" s="1361">
        <v>4</v>
      </c>
      <c r="E8" s="1369">
        <f t="shared" si="0"/>
        <v>3.2</v>
      </c>
      <c r="F8" s="1370">
        <f t="shared" si="1"/>
        <v>0.79999999999999982</v>
      </c>
      <c r="G8" s="1371" t="s">
        <v>1147</v>
      </c>
      <c r="H8" s="1372">
        <v>4.6699999999999998E-2</v>
      </c>
      <c r="I8" s="1373">
        <f t="shared" si="2"/>
        <v>0.14943999999999999</v>
      </c>
      <c r="J8" s="1374">
        <f t="shared" si="3"/>
        <v>3.735999999999999E-2</v>
      </c>
    </row>
    <row r="9" spans="1:10" s="1378" customFormat="1">
      <c r="A9" s="2538" t="s">
        <v>1022</v>
      </c>
      <c r="B9" s="2538"/>
      <c r="C9" s="2538"/>
      <c r="D9" s="1375">
        <f>SUM(D2:D8)</f>
        <v>46.83</v>
      </c>
      <c r="E9" s="1375">
        <f t="shared" ref="E9:J9" si="4">SUM(E2:E8)</f>
        <v>37.463999999999999</v>
      </c>
      <c r="F9" s="1375">
        <f t="shared" si="4"/>
        <v>9.3659999999999997</v>
      </c>
      <c r="G9" s="1375">
        <f t="shared" si="4"/>
        <v>0</v>
      </c>
      <c r="H9" s="1375"/>
      <c r="I9" s="1376">
        <f t="shared" si="2"/>
        <v>0</v>
      </c>
      <c r="J9" s="1377">
        <f t="shared" si="4"/>
        <v>0.37248819999999994</v>
      </c>
    </row>
    <row r="10" spans="1:10" s="1378" customFormat="1">
      <c r="A10" s="2537">
        <v>2</v>
      </c>
      <c r="B10" s="2537" t="s">
        <v>1023</v>
      </c>
      <c r="C10" s="1360" t="s">
        <v>1234</v>
      </c>
      <c r="D10" s="1361">
        <v>5</v>
      </c>
      <c r="E10" s="1369">
        <f t="shared" si="0"/>
        <v>4</v>
      </c>
      <c r="F10" s="1370">
        <f t="shared" si="1"/>
        <v>1</v>
      </c>
      <c r="G10" s="1379" t="s">
        <v>1235</v>
      </c>
      <c r="H10" s="1372">
        <v>4.6699999999999998E-2</v>
      </c>
      <c r="I10" s="1373">
        <f t="shared" si="2"/>
        <v>0.18679999999999999</v>
      </c>
      <c r="J10" s="1374">
        <f t="shared" si="3"/>
        <v>4.6699999999999998E-2</v>
      </c>
    </row>
    <row r="11" spans="1:10" s="1378" customFormat="1">
      <c r="A11" s="2537"/>
      <c r="B11" s="2537"/>
      <c r="C11" s="1360" t="s">
        <v>1152</v>
      </c>
      <c r="D11" s="1361">
        <v>20</v>
      </c>
      <c r="E11" s="1369">
        <f t="shared" si="0"/>
        <v>16</v>
      </c>
      <c r="F11" s="1370">
        <f t="shared" si="1"/>
        <v>4</v>
      </c>
      <c r="G11" s="1379" t="s">
        <v>1153</v>
      </c>
      <c r="H11" s="1372">
        <v>4.6699999999999998E-2</v>
      </c>
      <c r="I11" s="1373">
        <f t="shared" si="2"/>
        <v>0.74719999999999998</v>
      </c>
      <c r="J11" s="1374">
        <f t="shared" si="3"/>
        <v>0.18679999999999999</v>
      </c>
    </row>
    <row r="12" spans="1:10" s="1378" customFormat="1">
      <c r="A12" s="2537"/>
      <c r="B12" s="2537"/>
      <c r="C12" s="1360" t="s">
        <v>1154</v>
      </c>
      <c r="D12" s="1361">
        <v>3</v>
      </c>
      <c r="E12" s="1369">
        <f t="shared" si="0"/>
        <v>2.4000000000000004</v>
      </c>
      <c r="F12" s="1370">
        <f t="shared" si="1"/>
        <v>0.59999999999999964</v>
      </c>
      <c r="G12" s="1379" t="s">
        <v>1151</v>
      </c>
      <c r="H12" s="1372">
        <v>4.6699999999999998E-2</v>
      </c>
      <c r="I12" s="1373">
        <f t="shared" si="2"/>
        <v>0.11208000000000001</v>
      </c>
      <c r="J12" s="1374">
        <f t="shared" si="3"/>
        <v>2.8019999999999982E-2</v>
      </c>
    </row>
    <row r="13" spans="1:10" s="1378" customFormat="1" ht="37.5">
      <c r="A13" s="2537"/>
      <c r="B13" s="2537"/>
      <c r="C13" s="1360" t="s">
        <v>1155</v>
      </c>
      <c r="D13" s="1361">
        <v>0.56000000000000005</v>
      </c>
      <c r="E13" s="1369">
        <f t="shared" si="0"/>
        <v>0.44800000000000006</v>
      </c>
      <c r="F13" s="1370">
        <f t="shared" si="1"/>
        <v>0.11199999999999999</v>
      </c>
      <c r="G13" s="1380" t="s">
        <v>1151</v>
      </c>
      <c r="H13" s="1372">
        <v>4.6699999999999998E-2</v>
      </c>
      <c r="I13" s="1373">
        <f t="shared" si="2"/>
        <v>2.0921600000000002E-2</v>
      </c>
      <c r="J13" s="1374">
        <f t="shared" si="3"/>
        <v>5.2303999999999996E-3</v>
      </c>
    </row>
    <row r="14" spans="1:10" s="1378" customFormat="1" ht="48" customHeight="1">
      <c r="A14" s="2538" t="s">
        <v>1028</v>
      </c>
      <c r="B14" s="2538"/>
      <c r="C14" s="2538"/>
      <c r="D14" s="1375">
        <f>SUM(D10:D13)</f>
        <v>28.56</v>
      </c>
      <c r="E14" s="1381">
        <f t="shared" si="0"/>
        <v>22.847999999999999</v>
      </c>
      <c r="F14" s="1381">
        <f>E14*0.8</f>
        <v>18.278400000000001</v>
      </c>
      <c r="G14" s="1381">
        <f>F14*0.8</f>
        <v>14.622720000000001</v>
      </c>
      <c r="H14" s="1381"/>
      <c r="I14" s="1376">
        <f t="shared" si="2"/>
        <v>0</v>
      </c>
      <c r="J14" s="1382">
        <f>SUM(J10:J13)</f>
        <v>0.2667504</v>
      </c>
    </row>
    <row r="15" spans="1:10" s="1378" customFormat="1" ht="38.25" customHeight="1">
      <c r="A15" s="2537">
        <v>3</v>
      </c>
      <c r="B15" s="2537" t="s">
        <v>1029</v>
      </c>
      <c r="C15" s="1360" t="s">
        <v>1157</v>
      </c>
      <c r="D15" s="1361">
        <v>8</v>
      </c>
      <c r="E15" s="1369">
        <f t="shared" si="0"/>
        <v>6.4</v>
      </c>
      <c r="F15" s="1370">
        <f t="shared" si="1"/>
        <v>1.5999999999999996</v>
      </c>
      <c r="G15" s="1380" t="s">
        <v>1158</v>
      </c>
      <c r="H15" s="1372">
        <v>4.6699999999999998E-2</v>
      </c>
      <c r="I15" s="1373">
        <f t="shared" si="2"/>
        <v>0.29887999999999998</v>
      </c>
      <c r="J15" s="1374">
        <f t="shared" si="3"/>
        <v>7.4719999999999981E-2</v>
      </c>
    </row>
    <row r="16" spans="1:10" s="1378" customFormat="1">
      <c r="A16" s="2537"/>
      <c r="B16" s="2537"/>
      <c r="C16" s="1360" t="s">
        <v>1159</v>
      </c>
      <c r="D16" s="1361">
        <v>10</v>
      </c>
      <c r="E16" s="1369">
        <f t="shared" si="0"/>
        <v>8</v>
      </c>
      <c r="F16" s="1370">
        <f t="shared" si="1"/>
        <v>2</v>
      </c>
      <c r="G16" s="1380" t="s">
        <v>1160</v>
      </c>
      <c r="H16" s="1372">
        <v>4.6699999999999998E-2</v>
      </c>
      <c r="I16" s="1373">
        <f t="shared" si="2"/>
        <v>0.37359999999999999</v>
      </c>
      <c r="J16" s="1374">
        <f t="shared" si="3"/>
        <v>9.3399999999999997E-2</v>
      </c>
    </row>
    <row r="17" spans="1:10" s="1378" customFormat="1">
      <c r="A17" s="2537"/>
      <c r="B17" s="2537"/>
      <c r="C17" s="1360" t="s">
        <v>1161</v>
      </c>
      <c r="D17" s="1361">
        <v>5</v>
      </c>
      <c r="E17" s="1369">
        <f t="shared" si="0"/>
        <v>4</v>
      </c>
      <c r="F17" s="1370">
        <f t="shared" si="1"/>
        <v>1</v>
      </c>
      <c r="G17" s="1380" t="s">
        <v>1160</v>
      </c>
      <c r="H17" s="1372">
        <v>4.6699999999999998E-2</v>
      </c>
      <c r="I17" s="1373">
        <f t="shared" si="2"/>
        <v>0.18679999999999999</v>
      </c>
      <c r="J17" s="1374">
        <f t="shared" si="3"/>
        <v>4.6699999999999998E-2</v>
      </c>
    </row>
    <row r="18" spans="1:10" s="1378" customFormat="1" ht="37.5">
      <c r="A18" s="2537"/>
      <c r="B18" s="2537"/>
      <c r="C18" s="1383" t="s">
        <v>1162</v>
      </c>
      <c r="D18" s="1361">
        <v>3.11</v>
      </c>
      <c r="E18" s="1369">
        <f t="shared" si="0"/>
        <v>2.488</v>
      </c>
      <c r="F18" s="1370">
        <f t="shared" si="1"/>
        <v>0.62199999999999989</v>
      </c>
      <c r="G18" s="1380" t="s">
        <v>1163</v>
      </c>
      <c r="H18" s="1372">
        <v>4.6699999999999998E-2</v>
      </c>
      <c r="I18" s="1373">
        <f t="shared" si="2"/>
        <v>0.11618959999999999</v>
      </c>
      <c r="J18" s="1374">
        <f t="shared" si="3"/>
        <v>2.9047399999999994E-2</v>
      </c>
    </row>
    <row r="19" spans="1:10" s="1378" customFormat="1">
      <c r="A19" s="2537"/>
      <c r="B19" s="2537"/>
      <c r="C19" s="1383" t="s">
        <v>1034</v>
      </c>
      <c r="D19" s="1361">
        <v>8</v>
      </c>
      <c r="E19" s="1369">
        <f t="shared" si="0"/>
        <v>6.4</v>
      </c>
      <c r="F19" s="1370">
        <f t="shared" si="1"/>
        <v>1.5999999999999996</v>
      </c>
      <c r="G19" s="1380" t="s">
        <v>1164</v>
      </c>
      <c r="H19" s="1372">
        <v>4.6699999999999998E-2</v>
      </c>
      <c r="I19" s="1373">
        <f t="shared" si="2"/>
        <v>0.29887999999999998</v>
      </c>
      <c r="J19" s="1374">
        <f t="shared" si="3"/>
        <v>7.4719999999999981E-2</v>
      </c>
    </row>
    <row r="20" spans="1:10" s="1378" customFormat="1">
      <c r="A20" s="2537"/>
      <c r="B20" s="2537"/>
      <c r="C20" s="1383" t="s">
        <v>1165</v>
      </c>
      <c r="D20" s="1361">
        <v>3</v>
      </c>
      <c r="E20" s="1369">
        <f t="shared" si="0"/>
        <v>2.4000000000000004</v>
      </c>
      <c r="F20" s="1370">
        <f t="shared" si="1"/>
        <v>0.59999999999999964</v>
      </c>
      <c r="G20" s="1380" t="s">
        <v>1164</v>
      </c>
      <c r="H20" s="1372">
        <v>4.6699999999999998E-2</v>
      </c>
      <c r="I20" s="1373">
        <f t="shared" si="2"/>
        <v>0.11208000000000001</v>
      </c>
      <c r="J20" s="1374">
        <f t="shared" si="3"/>
        <v>2.8019999999999982E-2</v>
      </c>
    </row>
    <row r="21" spans="1:10" s="1378" customFormat="1">
      <c r="A21" s="2537"/>
      <c r="B21" s="2537"/>
      <c r="C21" s="1383" t="s">
        <v>1166</v>
      </c>
      <c r="D21" s="1361">
        <v>1.86</v>
      </c>
      <c r="E21" s="1369">
        <f t="shared" si="0"/>
        <v>1.4880000000000002</v>
      </c>
      <c r="F21" s="1370">
        <f t="shared" si="1"/>
        <v>0.37199999999999989</v>
      </c>
      <c r="G21" s="1380" t="s">
        <v>1164</v>
      </c>
      <c r="H21" s="1372">
        <v>4.6699999999999998E-2</v>
      </c>
      <c r="I21" s="1373">
        <f t="shared" si="2"/>
        <v>6.9489600000000012E-2</v>
      </c>
      <c r="J21" s="1374">
        <f t="shared" si="3"/>
        <v>1.7372399999999993E-2</v>
      </c>
    </row>
    <row r="22" spans="1:10" s="1378" customFormat="1">
      <c r="A22" s="2537"/>
      <c r="B22" s="2537"/>
      <c r="C22" s="1383" t="s">
        <v>1167</v>
      </c>
      <c r="D22" s="1361">
        <v>10</v>
      </c>
      <c r="E22" s="1369">
        <f t="shared" si="0"/>
        <v>8</v>
      </c>
      <c r="F22" s="1370">
        <f t="shared" si="1"/>
        <v>2</v>
      </c>
      <c r="G22" s="1380" t="s">
        <v>1164</v>
      </c>
      <c r="H22" s="1372">
        <v>4.6699999999999998E-2</v>
      </c>
      <c r="I22" s="1373">
        <f t="shared" si="2"/>
        <v>0.37359999999999999</v>
      </c>
      <c r="J22" s="1374">
        <f t="shared" si="3"/>
        <v>9.3399999999999997E-2</v>
      </c>
    </row>
    <row r="23" spans="1:10" s="1378" customFormat="1">
      <c r="A23" s="2537"/>
      <c r="B23" s="2537"/>
      <c r="C23" s="1360" t="s">
        <v>1168</v>
      </c>
      <c r="D23" s="1361">
        <v>3</v>
      </c>
      <c r="E23" s="1369">
        <f t="shared" si="0"/>
        <v>2.4000000000000004</v>
      </c>
      <c r="F23" s="1370">
        <f t="shared" si="1"/>
        <v>0.59999999999999964</v>
      </c>
      <c r="G23" s="1380" t="s">
        <v>1164</v>
      </c>
      <c r="H23" s="1372">
        <v>4.6699999999999998E-2</v>
      </c>
      <c r="I23" s="1373">
        <f t="shared" si="2"/>
        <v>0.11208000000000001</v>
      </c>
      <c r="J23" s="1374">
        <f t="shared" si="3"/>
        <v>2.8019999999999982E-2</v>
      </c>
    </row>
    <row r="24" spans="1:10" s="1378" customFormat="1" ht="21.75" customHeight="1">
      <c r="A24" s="2537"/>
      <c r="B24" s="2537"/>
      <c r="C24" s="1360" t="s">
        <v>1170</v>
      </c>
      <c r="D24" s="1361">
        <v>1.45</v>
      </c>
      <c r="E24" s="1369">
        <f t="shared" si="0"/>
        <v>1.1599999999999999</v>
      </c>
      <c r="F24" s="1370">
        <f t="shared" si="1"/>
        <v>0.29000000000000004</v>
      </c>
      <c r="G24" s="1380" t="s">
        <v>1164</v>
      </c>
      <c r="H24" s="1372">
        <v>4.6699999999999998E-2</v>
      </c>
      <c r="I24" s="1373">
        <f t="shared" si="2"/>
        <v>5.4171999999999998E-2</v>
      </c>
      <c r="J24" s="1374">
        <f t="shared" si="3"/>
        <v>1.3543000000000001E-2</v>
      </c>
    </row>
    <row r="25" spans="1:10" s="1378" customFormat="1">
      <c r="A25" s="2537"/>
      <c r="B25" s="2537"/>
      <c r="C25" s="1383" t="s">
        <v>1171</v>
      </c>
      <c r="D25" s="1361">
        <v>0</v>
      </c>
      <c r="E25" s="1369">
        <f t="shared" si="0"/>
        <v>0</v>
      </c>
      <c r="F25" s="1370">
        <f t="shared" si="1"/>
        <v>0</v>
      </c>
      <c r="G25" s="1380" t="s">
        <v>1164</v>
      </c>
      <c r="H25" s="1372">
        <v>4.6699999999999998E-2</v>
      </c>
      <c r="I25" s="1373">
        <f t="shared" si="2"/>
        <v>0</v>
      </c>
      <c r="J25" s="1374">
        <f t="shared" si="3"/>
        <v>0</v>
      </c>
    </row>
    <row r="26" spans="1:10" s="1378" customFormat="1">
      <c r="A26" s="2537"/>
      <c r="B26" s="2537"/>
      <c r="C26" s="1360" t="s">
        <v>1172</v>
      </c>
      <c r="D26" s="1361">
        <v>5</v>
      </c>
      <c r="E26" s="1369">
        <f t="shared" si="0"/>
        <v>4</v>
      </c>
      <c r="F26" s="1370">
        <f t="shared" si="1"/>
        <v>1</v>
      </c>
      <c r="G26" s="1380" t="s">
        <v>1164</v>
      </c>
      <c r="H26" s="1372">
        <v>4.6699999999999998E-2</v>
      </c>
      <c r="I26" s="1373">
        <f t="shared" si="2"/>
        <v>0.18679999999999999</v>
      </c>
      <c r="J26" s="1374">
        <f t="shared" si="3"/>
        <v>4.6699999999999998E-2</v>
      </c>
    </row>
    <row r="27" spans="1:10" s="1378" customFormat="1">
      <c r="A27" s="2538" t="s">
        <v>1041</v>
      </c>
      <c r="B27" s="2538"/>
      <c r="C27" s="2538"/>
      <c r="D27" s="1375">
        <f>SUM(D15:D26)</f>
        <v>58.42</v>
      </c>
      <c r="E27" s="1381">
        <f t="shared" si="0"/>
        <v>46.736000000000004</v>
      </c>
      <c r="F27" s="1384">
        <f t="shared" si="1"/>
        <v>11.683999999999997</v>
      </c>
      <c r="G27" s="1384">
        <f>E27-F27</f>
        <v>35.052000000000007</v>
      </c>
      <c r="H27" s="1384"/>
      <c r="I27" s="1376">
        <f t="shared" si="2"/>
        <v>0</v>
      </c>
      <c r="J27" s="1385">
        <f>SUM(J15:J26)</f>
        <v>0.54564279999999998</v>
      </c>
    </row>
    <row r="28" spans="1:10" ht="18.75" customHeight="1">
      <c r="A28" s="2537">
        <v>4</v>
      </c>
      <c r="B28" s="2537" t="s">
        <v>1173</v>
      </c>
      <c r="C28" s="1383" t="s">
        <v>1174</v>
      </c>
      <c r="D28" s="1361">
        <v>2.6</v>
      </c>
      <c r="E28" s="1369">
        <f t="shared" si="0"/>
        <v>2.08</v>
      </c>
      <c r="F28" s="1370">
        <f t="shared" si="1"/>
        <v>0.52</v>
      </c>
      <c r="G28" s="1371" t="s">
        <v>1236</v>
      </c>
      <c r="H28" s="1372">
        <v>4.6699999999999998E-2</v>
      </c>
      <c r="I28" s="1373">
        <f t="shared" si="2"/>
        <v>9.7136E-2</v>
      </c>
      <c r="J28" s="1374">
        <f t="shared" si="3"/>
        <v>2.4284E-2</v>
      </c>
    </row>
    <row r="29" spans="1:10">
      <c r="A29" s="2537"/>
      <c r="B29" s="2537"/>
      <c r="C29" s="1383" t="s">
        <v>1175</v>
      </c>
      <c r="D29" s="1361">
        <v>10</v>
      </c>
      <c r="E29" s="1369">
        <f t="shared" si="0"/>
        <v>8</v>
      </c>
      <c r="F29" s="1370">
        <f t="shared" si="1"/>
        <v>2</v>
      </c>
      <c r="G29" s="1371" t="s">
        <v>1236</v>
      </c>
      <c r="H29" s="1372">
        <v>4.6699999999999998E-2</v>
      </c>
      <c r="I29" s="1373">
        <f t="shared" si="2"/>
        <v>0.37359999999999999</v>
      </c>
      <c r="J29" s="1374">
        <f t="shared" si="3"/>
        <v>9.3399999999999997E-2</v>
      </c>
    </row>
    <row r="30" spans="1:10">
      <c r="A30" s="2537"/>
      <c r="B30" s="2537"/>
      <c r="C30" s="1383" t="s">
        <v>1177</v>
      </c>
      <c r="D30" s="1361">
        <v>10</v>
      </c>
      <c r="E30" s="1369">
        <f t="shared" si="0"/>
        <v>8</v>
      </c>
      <c r="F30" s="1370">
        <f t="shared" si="1"/>
        <v>2</v>
      </c>
      <c r="G30" s="1371" t="s">
        <v>1236</v>
      </c>
      <c r="H30" s="1372">
        <v>4.6699999999999998E-2</v>
      </c>
      <c r="I30" s="1373">
        <f t="shared" si="2"/>
        <v>0.37359999999999999</v>
      </c>
      <c r="J30" s="1374">
        <f t="shared" si="3"/>
        <v>9.3399999999999997E-2</v>
      </c>
    </row>
    <row r="31" spans="1:10" ht="37.5">
      <c r="A31" s="2537"/>
      <c r="B31" s="2537"/>
      <c r="C31" s="1383" t="s">
        <v>1237</v>
      </c>
      <c r="D31" s="1361">
        <v>20</v>
      </c>
      <c r="E31" s="1369">
        <f t="shared" si="0"/>
        <v>16</v>
      </c>
      <c r="F31" s="1370">
        <f t="shared" si="1"/>
        <v>4</v>
      </c>
      <c r="G31" s="1371" t="s">
        <v>1236</v>
      </c>
      <c r="H31" s="1372">
        <v>4.6699999999999998E-2</v>
      </c>
      <c r="I31" s="1373">
        <f t="shared" si="2"/>
        <v>0.74719999999999998</v>
      </c>
      <c r="J31" s="1374">
        <f t="shared" si="3"/>
        <v>0.18679999999999999</v>
      </c>
    </row>
    <row r="32" spans="1:10">
      <c r="A32" s="2537"/>
      <c r="B32" s="2537"/>
      <c r="C32" s="1383" t="s">
        <v>1179</v>
      </c>
      <c r="D32" s="1361">
        <v>5.08</v>
      </c>
      <c r="E32" s="1369">
        <f t="shared" si="0"/>
        <v>4.0640000000000001</v>
      </c>
      <c r="F32" s="1370">
        <f t="shared" si="1"/>
        <v>1.016</v>
      </c>
      <c r="G32" s="1371" t="s">
        <v>1236</v>
      </c>
      <c r="H32" s="1372">
        <v>4.6699999999999998E-2</v>
      </c>
      <c r="I32" s="1373">
        <f t="shared" si="2"/>
        <v>0.18978880000000001</v>
      </c>
      <c r="J32" s="1374">
        <f t="shared" si="3"/>
        <v>4.7447200000000002E-2</v>
      </c>
    </row>
    <row r="33" spans="1:10" ht="21" customHeight="1">
      <c r="A33" s="2537"/>
      <c r="B33" s="2537"/>
      <c r="C33" s="1383" t="s">
        <v>1180</v>
      </c>
      <c r="D33" s="1361">
        <v>7</v>
      </c>
      <c r="E33" s="1369">
        <f t="shared" si="0"/>
        <v>5.6000000000000005</v>
      </c>
      <c r="F33" s="1370">
        <f t="shared" si="1"/>
        <v>1.3999999999999995</v>
      </c>
      <c r="G33" s="1371" t="s">
        <v>1236</v>
      </c>
      <c r="H33" s="1372">
        <v>4.6699999999999998E-2</v>
      </c>
      <c r="I33" s="1373">
        <f t="shared" si="2"/>
        <v>0.26152000000000003</v>
      </c>
      <c r="J33" s="1374">
        <f t="shared" si="3"/>
        <v>6.537999999999998E-2</v>
      </c>
    </row>
    <row r="34" spans="1:10">
      <c r="A34" s="2537"/>
      <c r="B34" s="2537"/>
      <c r="C34" s="1360" t="s">
        <v>1181</v>
      </c>
      <c r="D34" s="1361">
        <v>0</v>
      </c>
      <c r="E34" s="1369">
        <f t="shared" si="0"/>
        <v>0</v>
      </c>
      <c r="F34" s="1370">
        <f t="shared" si="1"/>
        <v>0</v>
      </c>
      <c r="G34" s="1371" t="s">
        <v>1236</v>
      </c>
      <c r="H34" s="1372">
        <v>4.6699999999999998E-2</v>
      </c>
      <c r="I34" s="1373">
        <f t="shared" si="2"/>
        <v>0</v>
      </c>
      <c r="J34" s="1374">
        <f t="shared" si="3"/>
        <v>0</v>
      </c>
    </row>
    <row r="35" spans="1:10">
      <c r="A35" s="2537"/>
      <c r="B35" s="2537"/>
      <c r="C35" s="1360" t="s">
        <v>1182</v>
      </c>
      <c r="D35" s="1361">
        <v>18.5</v>
      </c>
      <c r="E35" s="1369">
        <f t="shared" si="0"/>
        <v>14.8</v>
      </c>
      <c r="F35" s="1370">
        <f t="shared" si="1"/>
        <v>3.6999999999999993</v>
      </c>
      <c r="G35" s="1371" t="s">
        <v>1236</v>
      </c>
      <c r="H35" s="1372">
        <v>4.6699999999999998E-2</v>
      </c>
      <c r="I35" s="1373">
        <f t="shared" si="2"/>
        <v>0.69116</v>
      </c>
      <c r="J35" s="1374">
        <f t="shared" si="3"/>
        <v>0.17278999999999997</v>
      </c>
    </row>
    <row r="36" spans="1:10">
      <c r="A36" s="2538" t="s">
        <v>1183</v>
      </c>
      <c r="B36" s="2538"/>
      <c r="C36" s="2538"/>
      <c r="D36" s="1375">
        <f>SUM(D28:D35)</f>
        <v>73.180000000000007</v>
      </c>
      <c r="E36" s="1381">
        <f t="shared" si="0"/>
        <v>58.544000000000011</v>
      </c>
      <c r="F36" s="1384">
        <f t="shared" si="1"/>
        <v>14.635999999999996</v>
      </c>
      <c r="G36" s="1384">
        <f>E36-F36</f>
        <v>43.908000000000015</v>
      </c>
      <c r="H36" s="1384"/>
      <c r="I36" s="1376">
        <f t="shared" si="2"/>
        <v>0</v>
      </c>
      <c r="J36" s="1385">
        <f>SUM(J28:J35)</f>
        <v>0.68350120000000003</v>
      </c>
    </row>
    <row r="37" spans="1:10" ht="56.25">
      <c r="A37" s="2537">
        <v>5</v>
      </c>
      <c r="B37" s="2537" t="s">
        <v>1184</v>
      </c>
      <c r="C37" s="1383" t="s">
        <v>1187</v>
      </c>
      <c r="D37" s="1361">
        <v>21</v>
      </c>
      <c r="E37" s="1386">
        <f>D37*0.8-2</f>
        <v>14.8</v>
      </c>
      <c r="F37" s="1387">
        <v>2.2000000000000002</v>
      </c>
      <c r="G37" s="1388" t="s">
        <v>1238</v>
      </c>
      <c r="H37" s="1389">
        <v>3.3399999999999999E-2</v>
      </c>
      <c r="I37" s="1366">
        <f t="shared" si="2"/>
        <v>0.49432000000000004</v>
      </c>
      <c r="J37" s="1367">
        <f t="shared" si="3"/>
        <v>7.3480000000000004E-2</v>
      </c>
    </row>
    <row r="38" spans="1:10">
      <c r="A38" s="2537"/>
      <c r="B38" s="2537"/>
      <c r="C38" s="1383"/>
      <c r="D38" s="1390"/>
      <c r="E38" s="1391">
        <v>2</v>
      </c>
      <c r="F38" s="1392">
        <v>2</v>
      </c>
      <c r="G38" s="1393" t="s">
        <v>1239</v>
      </c>
      <c r="H38" s="1394">
        <v>6.3299999999999995E-2</v>
      </c>
      <c r="I38" s="1395">
        <f t="shared" si="2"/>
        <v>0.12659999999999999</v>
      </c>
      <c r="J38" s="1396">
        <f t="shared" si="3"/>
        <v>0.12659999999999999</v>
      </c>
    </row>
    <row r="39" spans="1:10">
      <c r="A39" s="2537"/>
      <c r="B39" s="2537"/>
      <c r="C39" s="1397" t="s">
        <v>1188</v>
      </c>
      <c r="D39" s="1390">
        <v>3</v>
      </c>
      <c r="E39" s="1391">
        <f t="shared" si="0"/>
        <v>2.4000000000000004</v>
      </c>
      <c r="F39" s="1392">
        <f t="shared" si="1"/>
        <v>0.59999999999999964</v>
      </c>
      <c r="G39" s="1393" t="s">
        <v>1239</v>
      </c>
      <c r="H39" s="1394">
        <v>6.3299999999999995E-2</v>
      </c>
      <c r="I39" s="1395">
        <f t="shared" si="2"/>
        <v>0.15192</v>
      </c>
      <c r="J39" s="1396">
        <f t="shared" si="3"/>
        <v>3.7979999999999972E-2</v>
      </c>
    </row>
    <row r="40" spans="1:10">
      <c r="A40" s="2537"/>
      <c r="B40" s="2537"/>
      <c r="C40" s="1360" t="s">
        <v>1189</v>
      </c>
      <c r="D40" s="1361">
        <v>6</v>
      </c>
      <c r="E40" s="1398">
        <f t="shared" si="0"/>
        <v>4.8000000000000007</v>
      </c>
      <c r="F40" s="1399">
        <f t="shared" si="1"/>
        <v>1.1999999999999993</v>
      </c>
      <c r="G40" s="1400" t="s">
        <v>1240</v>
      </c>
      <c r="H40" s="1401">
        <v>6.3299999999999995E-2</v>
      </c>
      <c r="I40" s="1402">
        <f t="shared" si="2"/>
        <v>0.30384</v>
      </c>
      <c r="J40" s="1403">
        <f t="shared" si="3"/>
        <v>7.5959999999999944E-2</v>
      </c>
    </row>
    <row r="41" spans="1:10">
      <c r="A41" s="2537"/>
      <c r="B41" s="2537"/>
      <c r="C41" s="1360" t="s">
        <v>1191</v>
      </c>
      <c r="D41" s="1361">
        <v>0.88</v>
      </c>
      <c r="E41" s="1404">
        <f t="shared" si="0"/>
        <v>0.70400000000000007</v>
      </c>
      <c r="F41" s="1405">
        <f t="shared" si="1"/>
        <v>0.17599999999999993</v>
      </c>
      <c r="G41" s="1406" t="s">
        <v>1192</v>
      </c>
      <c r="H41" s="1407">
        <v>0.15</v>
      </c>
      <c r="I41" s="1376">
        <f t="shared" si="2"/>
        <v>0.10560000000000001</v>
      </c>
      <c r="J41" s="1408">
        <f t="shared" si="3"/>
        <v>2.6399999999999989E-2</v>
      </c>
    </row>
    <row r="42" spans="1:10">
      <c r="A42" s="2537"/>
      <c r="B42" s="2537"/>
      <c r="C42" s="1360" t="s">
        <v>1121</v>
      </c>
      <c r="D42" s="1361">
        <v>0.75</v>
      </c>
      <c r="E42" s="1404">
        <f t="shared" si="0"/>
        <v>0.60000000000000009</v>
      </c>
      <c r="F42" s="1405">
        <f t="shared" si="1"/>
        <v>0.14999999999999991</v>
      </c>
      <c r="G42" s="1406" t="s">
        <v>1192</v>
      </c>
      <c r="H42" s="1407">
        <v>0.15</v>
      </c>
      <c r="I42" s="1376">
        <f t="shared" si="2"/>
        <v>9.0000000000000011E-2</v>
      </c>
      <c r="J42" s="1408">
        <f t="shared" si="3"/>
        <v>2.2499999999999985E-2</v>
      </c>
    </row>
    <row r="43" spans="1:10">
      <c r="A43" s="2537"/>
      <c r="B43" s="2537"/>
      <c r="C43" s="1360" t="s">
        <v>1123</v>
      </c>
      <c r="D43" s="1361">
        <v>7.7</v>
      </c>
      <c r="E43" s="1404">
        <f t="shared" si="0"/>
        <v>6.16</v>
      </c>
      <c r="F43" s="1405">
        <f t="shared" si="1"/>
        <v>1.54</v>
      </c>
      <c r="G43" s="1406" t="s">
        <v>1192</v>
      </c>
      <c r="H43" s="1407">
        <v>0.3</v>
      </c>
      <c r="I43" s="1376">
        <f t="shared" si="2"/>
        <v>1.8479999999999999</v>
      </c>
      <c r="J43" s="1408">
        <f t="shared" si="3"/>
        <v>0.46199999999999997</v>
      </c>
    </row>
    <row r="44" spans="1:10">
      <c r="A44" s="2537"/>
      <c r="B44" s="2537"/>
      <c r="C44" s="1360" t="s">
        <v>1195</v>
      </c>
      <c r="D44" s="1361">
        <v>4.01</v>
      </c>
      <c r="E44" s="1409">
        <f t="shared" si="0"/>
        <v>3.2080000000000002</v>
      </c>
      <c r="F44" s="1410">
        <f t="shared" si="1"/>
        <v>0.8019999999999996</v>
      </c>
      <c r="G44" s="1411" t="s">
        <v>1196</v>
      </c>
      <c r="H44" s="1412">
        <v>6.3299999999999995E-2</v>
      </c>
      <c r="I44" s="1402">
        <f t="shared" si="2"/>
        <v>0.20306640000000001</v>
      </c>
      <c r="J44" s="1403">
        <f t="shared" si="3"/>
        <v>5.0766599999999974E-2</v>
      </c>
    </row>
    <row r="45" spans="1:10">
      <c r="A45" s="2537"/>
      <c r="B45" s="2537"/>
      <c r="C45" s="1360" t="s">
        <v>1125</v>
      </c>
      <c r="D45" s="1361">
        <v>10.1</v>
      </c>
      <c r="E45" s="1413">
        <f t="shared" si="0"/>
        <v>8.08</v>
      </c>
      <c r="F45" s="1414">
        <f t="shared" si="1"/>
        <v>2.0199999999999996</v>
      </c>
      <c r="G45" s="1415" t="s">
        <v>1190</v>
      </c>
      <c r="H45" s="1416">
        <v>0.3</v>
      </c>
      <c r="I45" s="1417">
        <f t="shared" si="2"/>
        <v>2.4239999999999999</v>
      </c>
      <c r="J45" s="1408">
        <f t="shared" si="3"/>
        <v>0.60599999999999987</v>
      </c>
    </row>
    <row r="46" spans="1:10" ht="37.5">
      <c r="A46" s="2537"/>
      <c r="B46" s="2537"/>
      <c r="C46" s="1360" t="s">
        <v>1197</v>
      </c>
      <c r="D46" s="1361">
        <v>12</v>
      </c>
      <c r="E46" s="1413">
        <f t="shared" si="0"/>
        <v>9.6000000000000014</v>
      </c>
      <c r="F46" s="1414">
        <f t="shared" si="1"/>
        <v>2.3999999999999986</v>
      </c>
      <c r="G46" s="1415" t="s">
        <v>1190</v>
      </c>
      <c r="H46" s="1416">
        <v>0.3</v>
      </c>
      <c r="I46" s="1417">
        <f t="shared" si="2"/>
        <v>2.8800000000000003</v>
      </c>
      <c r="J46" s="1408">
        <f t="shared" si="3"/>
        <v>0.71999999999999953</v>
      </c>
    </row>
    <row r="47" spans="1:10">
      <c r="A47" s="2537"/>
      <c r="B47" s="2537"/>
      <c r="C47" s="1360" t="s">
        <v>1199</v>
      </c>
      <c r="D47" s="1361">
        <v>0.75</v>
      </c>
      <c r="E47" s="1413">
        <f t="shared" si="0"/>
        <v>0.60000000000000009</v>
      </c>
      <c r="F47" s="1414">
        <f t="shared" si="1"/>
        <v>0.14999999999999991</v>
      </c>
      <c r="G47" s="1415" t="s">
        <v>1190</v>
      </c>
      <c r="H47" s="1416">
        <v>0.3</v>
      </c>
      <c r="I47" s="1417">
        <f t="shared" si="2"/>
        <v>0.18000000000000002</v>
      </c>
      <c r="J47" s="1408">
        <f t="shared" si="3"/>
        <v>4.4999999999999971E-2</v>
      </c>
    </row>
    <row r="48" spans="1:10">
      <c r="A48" s="2538" t="s">
        <v>1064</v>
      </c>
      <c r="B48" s="2538"/>
      <c r="C48" s="2538"/>
      <c r="D48" s="1375">
        <f>SUM(D37:D47)</f>
        <v>66.19</v>
      </c>
      <c r="E48" s="1381">
        <f t="shared" si="0"/>
        <v>52.951999999999998</v>
      </c>
      <c r="F48" s="1384">
        <f t="shared" si="1"/>
        <v>13.238</v>
      </c>
      <c r="G48" s="1384">
        <f>E48-F48</f>
        <v>39.713999999999999</v>
      </c>
      <c r="H48" s="1384"/>
      <c r="I48" s="1376">
        <f t="shared" si="2"/>
        <v>0</v>
      </c>
      <c r="J48" s="1385">
        <f>SUM(J37:J47)</f>
        <v>2.2466865999999994</v>
      </c>
    </row>
    <row r="49" spans="1:13" ht="25.5" customHeight="1">
      <c r="A49" s="2547">
        <v>6</v>
      </c>
      <c r="B49" s="2547" t="s">
        <v>1201</v>
      </c>
      <c r="C49" s="1397" t="s">
        <v>1202</v>
      </c>
      <c r="D49" s="1361">
        <v>2</v>
      </c>
      <c r="E49" s="1418">
        <f t="shared" si="0"/>
        <v>1.6</v>
      </c>
      <c r="F49" s="1419">
        <f t="shared" si="1"/>
        <v>0.39999999999999991</v>
      </c>
      <c r="G49" s="1420" t="s">
        <v>1203</v>
      </c>
      <c r="H49" s="1421">
        <v>9.5000000000000001E-2</v>
      </c>
      <c r="I49" s="1422">
        <f t="shared" si="2"/>
        <v>0.15200000000000002</v>
      </c>
      <c r="J49" s="1423">
        <f t="shared" si="3"/>
        <v>3.7999999999999992E-2</v>
      </c>
    </row>
    <row r="50" spans="1:13" ht="50.25" customHeight="1">
      <c r="A50" s="2548"/>
      <c r="B50" s="2548"/>
      <c r="C50" s="1383" t="s">
        <v>1204</v>
      </c>
      <c r="D50" s="1361">
        <v>3</v>
      </c>
      <c r="E50" s="1424">
        <f t="shared" si="0"/>
        <v>2.4000000000000004</v>
      </c>
      <c r="F50" s="1425">
        <f t="shared" si="1"/>
        <v>0.59999999999999964</v>
      </c>
      <c r="G50" s="1426" t="s">
        <v>1205</v>
      </c>
      <c r="H50" s="1427">
        <v>4.6699999999999998E-2</v>
      </c>
      <c r="I50" s="1428">
        <f t="shared" si="2"/>
        <v>0.11208000000000001</v>
      </c>
      <c r="J50" s="1429">
        <f t="shared" si="3"/>
        <v>2.8019999999999982E-2</v>
      </c>
    </row>
    <row r="51" spans="1:13">
      <c r="A51" s="2538" t="s">
        <v>1206</v>
      </c>
      <c r="B51" s="2538"/>
      <c r="C51" s="2538"/>
      <c r="D51" s="1375">
        <f>SUM(D49:D50)</f>
        <v>5</v>
      </c>
      <c r="E51" s="1381">
        <f t="shared" si="0"/>
        <v>4</v>
      </c>
      <c r="F51" s="1384">
        <f t="shared" si="1"/>
        <v>1</v>
      </c>
      <c r="G51" s="1384">
        <f>E51-F51</f>
        <v>3</v>
      </c>
      <c r="H51" s="1384"/>
      <c r="I51" s="1376">
        <f t="shared" si="2"/>
        <v>0</v>
      </c>
      <c r="J51" s="1385">
        <f>SUM(J49:J50)</f>
        <v>6.6019999999999968E-2</v>
      </c>
    </row>
    <row r="52" spans="1:13">
      <c r="A52" s="2534" t="s">
        <v>1207</v>
      </c>
      <c r="B52" s="2534"/>
      <c r="C52" s="2534"/>
      <c r="D52" s="1430">
        <f>D9+D14+D27+D36+D48+D51</f>
        <v>278.18</v>
      </c>
      <c r="E52" s="1430">
        <f t="shared" si="0"/>
        <v>222.54400000000001</v>
      </c>
      <c r="F52" s="1430">
        <f t="shared" si="1"/>
        <v>55.635999999999996</v>
      </c>
      <c r="G52" s="1430"/>
      <c r="H52" s="1430"/>
      <c r="I52" s="1430">
        <f>SUM(I2:I51)</f>
        <v>16.544956799999998</v>
      </c>
      <c r="J52" s="1431">
        <f>J51+J48+J36+J27+J14+J9</f>
        <v>4.1810891999999997</v>
      </c>
    </row>
    <row r="54" spans="1:13">
      <c r="E54" s="1433"/>
    </row>
    <row r="57" spans="1:13" ht="19.5" thickBot="1">
      <c r="F57" s="2539" t="s">
        <v>1241</v>
      </c>
      <c r="G57" s="2539"/>
      <c r="H57" s="2539"/>
      <c r="I57" s="2539"/>
      <c r="J57" s="2539" t="s">
        <v>1242</v>
      </c>
      <c r="K57" s="2539"/>
      <c r="L57" s="2540" t="s">
        <v>1225</v>
      </c>
      <c r="M57" s="2541"/>
    </row>
    <row r="58" spans="1:13" ht="19.5" thickBot="1">
      <c r="F58" s="2542" t="s">
        <v>1243</v>
      </c>
      <c r="G58" s="2543"/>
      <c r="H58" s="2543" t="s">
        <v>1244</v>
      </c>
      <c r="I58" s="2544"/>
      <c r="J58" s="2542" t="s">
        <v>1209</v>
      </c>
      <c r="K58" s="2545"/>
      <c r="L58" s="2535" t="s">
        <v>1209</v>
      </c>
      <c r="M58" s="2546"/>
    </row>
    <row r="59" spans="1:13">
      <c r="E59" s="1435"/>
      <c r="F59" s="1436" t="s">
        <v>1214</v>
      </c>
      <c r="G59" s="1436" t="s">
        <v>1215</v>
      </c>
      <c r="H59" s="1436" t="s">
        <v>1245</v>
      </c>
      <c r="I59" s="1436" t="s">
        <v>1246</v>
      </c>
      <c r="J59" s="1436" t="s">
        <v>1214</v>
      </c>
      <c r="K59" s="1437" t="s">
        <v>1215</v>
      </c>
      <c r="L59" s="1438" t="s">
        <v>1214</v>
      </c>
      <c r="M59" s="1438" t="s">
        <v>1215</v>
      </c>
    </row>
    <row r="60" spans="1:13">
      <c r="E60" s="1435" t="s">
        <v>1216</v>
      </c>
      <c r="F60" s="1364">
        <v>34.32</v>
      </c>
      <c r="G60" s="1364">
        <v>1.1499999999999999</v>
      </c>
      <c r="H60" s="1364">
        <v>7.08</v>
      </c>
      <c r="I60" s="1364">
        <v>0.23599999999999999</v>
      </c>
      <c r="J60" s="1364">
        <v>8.8800000000000008</v>
      </c>
      <c r="K60" s="1439">
        <v>0.28999999999999998</v>
      </c>
      <c r="L60" s="1440">
        <f>F60+J60</f>
        <v>43.2</v>
      </c>
      <c r="M60" s="1441">
        <f>G60+K60</f>
        <v>1.44</v>
      </c>
    </row>
    <row r="61" spans="1:13">
      <c r="E61" s="1435" t="s">
        <v>1217</v>
      </c>
      <c r="F61" s="1371">
        <v>146.072</v>
      </c>
      <c r="G61" s="1371">
        <v>6.82</v>
      </c>
      <c r="H61" s="1371">
        <v>36.520000000000003</v>
      </c>
      <c r="I61" s="1371">
        <v>1.7050000000000001</v>
      </c>
      <c r="J61" s="1371">
        <v>59.95</v>
      </c>
      <c r="K61" s="1442">
        <v>2.79</v>
      </c>
      <c r="L61" s="1440">
        <f t="shared" ref="L61:M68" si="5">F61+J61</f>
        <v>206.02199999999999</v>
      </c>
      <c r="M61" s="1441">
        <f t="shared" si="5"/>
        <v>9.61</v>
      </c>
    </row>
    <row r="62" spans="1:13">
      <c r="E62" s="1435" t="s">
        <v>1218</v>
      </c>
      <c r="F62" s="1420">
        <v>1.6</v>
      </c>
      <c r="G62" s="1420">
        <v>0.15</v>
      </c>
      <c r="H62" s="1420">
        <v>0.4</v>
      </c>
      <c r="I62" s="1420">
        <v>3.7999999999999999E-2</v>
      </c>
      <c r="J62" s="1420">
        <v>0.8</v>
      </c>
      <c r="K62" s="1443">
        <v>7.4999999999999997E-2</v>
      </c>
      <c r="L62" s="1440">
        <f t="shared" si="5"/>
        <v>2.4000000000000004</v>
      </c>
      <c r="M62" s="1441">
        <f t="shared" si="5"/>
        <v>0.22499999999999998</v>
      </c>
    </row>
    <row r="63" spans="1:13">
      <c r="E63" s="1435" t="s">
        <v>1219</v>
      </c>
      <c r="F63" s="1411">
        <v>2</v>
      </c>
      <c r="G63" s="1444">
        <v>0.12659999999999999</v>
      </c>
      <c r="H63" s="1445">
        <v>2</v>
      </c>
      <c r="I63" s="1444">
        <f>J38</f>
        <v>0.12659999999999999</v>
      </c>
      <c r="J63" s="1411">
        <v>3.09</v>
      </c>
      <c r="K63" s="1446">
        <v>0.19500000000000001</v>
      </c>
      <c r="L63" s="1440">
        <f t="shared" si="5"/>
        <v>5.09</v>
      </c>
      <c r="M63" s="1441">
        <f t="shared" si="5"/>
        <v>0.3216</v>
      </c>
    </row>
    <row r="64" spans="1:13">
      <c r="E64" s="1435" t="s">
        <v>1220</v>
      </c>
      <c r="F64" s="1447">
        <v>2.4</v>
      </c>
      <c r="G64" s="1447">
        <v>0.15</v>
      </c>
      <c r="H64" s="1448">
        <f>F39</f>
        <v>0.59999999999999964</v>
      </c>
      <c r="I64" s="1449">
        <f>J39</f>
        <v>3.7979999999999972E-2</v>
      </c>
      <c r="J64" s="1447">
        <v>0.72</v>
      </c>
      <c r="K64" s="1450">
        <v>4.4999999999999998E-2</v>
      </c>
      <c r="L64" s="1438">
        <f t="shared" si="5"/>
        <v>3.12</v>
      </c>
      <c r="M64" s="1441">
        <f t="shared" si="5"/>
        <v>0.19500000000000001</v>
      </c>
    </row>
    <row r="65" spans="5:13">
      <c r="E65" s="1435" t="s">
        <v>1221</v>
      </c>
      <c r="F65" s="1426">
        <v>2.4</v>
      </c>
      <c r="G65" s="1426">
        <v>0.11</v>
      </c>
      <c r="H65" s="1451">
        <f>F50</f>
        <v>0.59999999999999964</v>
      </c>
      <c r="I65" s="1426">
        <v>2.8000000000000001E-2</v>
      </c>
      <c r="J65" s="1426">
        <v>0.2</v>
      </c>
      <c r="K65" s="1452">
        <v>8.9999999999999993E-3</v>
      </c>
      <c r="L65" s="1438">
        <f t="shared" si="5"/>
        <v>2.6</v>
      </c>
      <c r="M65" s="1441">
        <f t="shared" si="5"/>
        <v>0.11899999999999999</v>
      </c>
    </row>
    <row r="66" spans="5:13">
      <c r="E66" s="1435" t="s">
        <v>1222</v>
      </c>
      <c r="F66" s="1415">
        <v>24.44</v>
      </c>
      <c r="G66" s="1415">
        <v>7.33</v>
      </c>
      <c r="H66" s="1453">
        <v>6.11</v>
      </c>
      <c r="I66" s="1415">
        <v>1.833</v>
      </c>
      <c r="J66" s="1415">
        <v>11.68</v>
      </c>
      <c r="K66" s="1454">
        <v>3.504</v>
      </c>
      <c r="L66" s="1440">
        <f t="shared" si="5"/>
        <v>36.120000000000005</v>
      </c>
      <c r="M66" s="1441">
        <f t="shared" si="5"/>
        <v>10.834</v>
      </c>
    </row>
    <row r="67" spans="5:13">
      <c r="E67" s="1455" t="s">
        <v>1223</v>
      </c>
      <c r="F67" s="1456">
        <v>8.01</v>
      </c>
      <c r="G67" s="1456">
        <v>0.5</v>
      </c>
      <c r="H67" s="1457">
        <v>2</v>
      </c>
      <c r="I67" s="1458">
        <v>0.127</v>
      </c>
      <c r="J67" s="1456">
        <v>0.8</v>
      </c>
      <c r="K67" s="1459">
        <v>0.05</v>
      </c>
      <c r="L67" s="1438">
        <f t="shared" si="5"/>
        <v>8.81</v>
      </c>
      <c r="M67" s="1441">
        <f t="shared" si="5"/>
        <v>0.55000000000000004</v>
      </c>
    </row>
    <row r="68" spans="5:13">
      <c r="E68" s="1435" t="s">
        <v>1224</v>
      </c>
      <c r="F68" s="1435">
        <v>1.3</v>
      </c>
      <c r="G68" s="1435">
        <v>0.2</v>
      </c>
      <c r="H68" s="1435">
        <v>0.33</v>
      </c>
      <c r="I68" s="1435">
        <v>4.9000000000000002E-2</v>
      </c>
      <c r="J68" s="1435">
        <v>4.45</v>
      </c>
      <c r="K68" s="1460">
        <v>0.66700000000000004</v>
      </c>
      <c r="L68" s="1440">
        <f t="shared" si="5"/>
        <v>5.75</v>
      </c>
      <c r="M68" s="1441">
        <f t="shared" si="5"/>
        <v>0.86699999999999999</v>
      </c>
    </row>
    <row r="69" spans="5:13" ht="24" customHeight="1">
      <c r="E69" s="1461" t="s">
        <v>1225</v>
      </c>
      <c r="F69" s="1461">
        <f>SUBTOTAL(9,F60:F68)</f>
        <v>222.542</v>
      </c>
      <c r="G69" s="1461">
        <f>SUBTOTAL(9,G60:G68)</f>
        <v>16.5366</v>
      </c>
      <c r="H69" s="1461">
        <f>SUM(H60:H68)</f>
        <v>55.64</v>
      </c>
      <c r="I69" s="1462">
        <f>SUM(I60:I68)</f>
        <v>4.18058</v>
      </c>
      <c r="J69" s="1461">
        <f>SUBTOTAL(9,J60:J68)</f>
        <v>90.57</v>
      </c>
      <c r="K69" s="1463">
        <f>SUBTOTAL(9,K60:K68)</f>
        <v>7.6249999999999991</v>
      </c>
      <c r="L69" s="1441">
        <f>SUM(L60:L68)</f>
        <v>313.11200000000002</v>
      </c>
      <c r="M69" s="1438">
        <f>SUM(M60:M68)</f>
        <v>24.1616</v>
      </c>
    </row>
    <row r="70" spans="5:13">
      <c r="J70" s="1368"/>
      <c r="L70" s="1434"/>
    </row>
    <row r="71" spans="5:13">
      <c r="L71" s="1368">
        <f>L69/0.835</f>
        <v>374.98443113772458</v>
      </c>
    </row>
    <row r="72" spans="5:13">
      <c r="L72" s="1368">
        <f>L71-L69</f>
        <v>61.872431137724561</v>
      </c>
    </row>
    <row r="73" spans="5:13">
      <c r="E73" s="517" t="s">
        <v>1247</v>
      </c>
      <c r="F73" s="1368">
        <v>0</v>
      </c>
    </row>
    <row r="74" spans="5:13">
      <c r="E74" s="517"/>
    </row>
    <row r="75" spans="5:13">
      <c r="E75" s="517" t="s">
        <v>1216</v>
      </c>
      <c r="F75" s="1368">
        <f>L60</f>
        <v>43.2</v>
      </c>
    </row>
    <row r="76" spans="5:13">
      <c r="E76" s="517"/>
    </row>
    <row r="77" spans="5:13">
      <c r="E77" s="517" t="s">
        <v>1248</v>
      </c>
      <c r="F77" s="1368">
        <f>L61+L65</f>
        <v>208.62199999999999</v>
      </c>
    </row>
    <row r="78" spans="5:13">
      <c r="E78" s="517"/>
    </row>
    <row r="79" spans="5:13">
      <c r="E79" s="517" t="s">
        <v>1249</v>
      </c>
      <c r="F79" s="1368">
        <f>L63</f>
        <v>5.09</v>
      </c>
    </row>
    <row r="80" spans="5:13">
      <c r="E80" s="517"/>
    </row>
    <row r="81" spans="5:6">
      <c r="E81" s="517" t="s">
        <v>1218</v>
      </c>
      <c r="F81" s="1368">
        <f>L62</f>
        <v>2.4000000000000004</v>
      </c>
    </row>
    <row r="82" spans="5:6">
      <c r="E82" s="517"/>
    </row>
    <row r="83" spans="5:6">
      <c r="E83" s="517" t="s">
        <v>849</v>
      </c>
      <c r="F83" s="1368">
        <f>L68+L66</f>
        <v>41.870000000000005</v>
      </c>
    </row>
    <row r="84" spans="5:6">
      <c r="E84" s="517"/>
    </row>
    <row r="85" spans="5:6">
      <c r="E85" s="517" t="s">
        <v>851</v>
      </c>
      <c r="F85" s="1368">
        <f>L67+L64</f>
        <v>11.93</v>
      </c>
    </row>
    <row r="87" spans="5:6">
      <c r="F87" s="1368">
        <f>SUM(F73:F85)</f>
        <v>313.11199999999997</v>
      </c>
    </row>
  </sheetData>
  <autoFilter ref="A1:L52" xr:uid="{00000000-0009-0000-0000-00001A000000}"/>
  <mergeCells count="26">
    <mergeCell ref="A14:C14"/>
    <mergeCell ref="A2:A8"/>
    <mergeCell ref="B2:B8"/>
    <mergeCell ref="A9:C9"/>
    <mergeCell ref="A10:A13"/>
    <mergeCell ref="B10:B13"/>
    <mergeCell ref="A51:C51"/>
    <mergeCell ref="A15:A26"/>
    <mergeCell ref="B15:B26"/>
    <mergeCell ref="A27:C27"/>
    <mergeCell ref="A28:A35"/>
    <mergeCell ref="B28:B35"/>
    <mergeCell ref="A36:C36"/>
    <mergeCell ref="A37:A47"/>
    <mergeCell ref="B37:B47"/>
    <mergeCell ref="A48:C48"/>
    <mergeCell ref="A49:A50"/>
    <mergeCell ref="B49:B50"/>
    <mergeCell ref="A52:C52"/>
    <mergeCell ref="F57:I57"/>
    <mergeCell ref="J57:K57"/>
    <mergeCell ref="L57:M57"/>
    <mergeCell ref="F58:G58"/>
    <mergeCell ref="H58:I58"/>
    <mergeCell ref="J58:K58"/>
    <mergeCell ref="L58:M58"/>
  </mergeCells>
  <pageMargins left="0.7" right="0.7" top="0.75" bottom="0.75" header="0.3" footer="0.3"/>
  <pageSetup scale="6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N83"/>
  <sheetViews>
    <sheetView zoomScale="68" zoomScaleNormal="68" workbookViewId="0">
      <pane xSplit="3" ySplit="1" topLeftCell="D2" activePane="bottomRight" state="frozen"/>
      <selection pane="bottomRight" activeCell="D58" sqref="D58"/>
      <selection pane="bottomLeft" activeCell="C21" sqref="C21"/>
      <selection pane="topRight" activeCell="C21" sqref="C21"/>
    </sheetView>
  </sheetViews>
  <sheetFormatPr defaultColWidth="9.140625" defaultRowHeight="18.75"/>
  <cols>
    <col min="1" max="1" width="9.28515625" style="1368" customWidth="1"/>
    <col min="2" max="2" width="19.140625" style="1368" customWidth="1"/>
    <col min="3" max="3" width="63.140625" style="1368" customWidth="1"/>
    <col min="4" max="4" width="16.140625" style="1432" customWidth="1"/>
    <col min="5" max="5" width="18.5703125" style="1368" customWidth="1"/>
    <col min="6" max="6" width="34" style="1368" customWidth="1"/>
    <col min="7" max="7" width="25.5703125" style="1368" customWidth="1"/>
    <col min="8" max="8" width="22.140625" style="1368" customWidth="1"/>
    <col min="9" max="9" width="19.7109375" style="1368" hidden="1" customWidth="1"/>
    <col min="10" max="10" width="18.7109375" style="1368" hidden="1" customWidth="1"/>
    <col min="11" max="11" width="10.85546875" style="1368" customWidth="1"/>
    <col min="12" max="12" width="22.5703125" style="1368" hidden="1" customWidth="1"/>
    <col min="13" max="13" width="20.85546875" style="1368" customWidth="1"/>
    <col min="14" max="14" width="22.5703125" style="1368" customWidth="1"/>
    <col min="15" max="16384" width="9.140625" style="1368"/>
  </cols>
  <sheetData>
    <row r="1" spans="1:10" s="1359" customFormat="1" ht="62.25" customHeight="1">
      <c r="A1" s="1356" t="s">
        <v>1002</v>
      </c>
      <c r="B1" s="1356" t="s">
        <v>1003</v>
      </c>
      <c r="C1" s="1356" t="s">
        <v>1004</v>
      </c>
      <c r="D1" s="1357" t="s">
        <v>1250</v>
      </c>
      <c r="E1" s="1357" t="s">
        <v>1251</v>
      </c>
      <c r="F1" s="1357" t="s">
        <v>1252</v>
      </c>
      <c r="G1" s="1357" t="s">
        <v>1229</v>
      </c>
      <c r="H1" s="1357" t="s">
        <v>1230</v>
      </c>
      <c r="I1" s="1357" t="s">
        <v>1253</v>
      </c>
      <c r="J1" s="1358" t="s">
        <v>1254</v>
      </c>
    </row>
    <row r="2" spans="1:10">
      <c r="A2" s="2537">
        <v>1</v>
      </c>
      <c r="B2" s="2537" t="s">
        <v>1015</v>
      </c>
      <c r="C2" s="1360" t="s">
        <v>1137</v>
      </c>
      <c r="D2" s="1361">
        <v>8.5</v>
      </c>
      <c r="E2" s="1404">
        <f>D2*0.8</f>
        <v>6.8000000000000007</v>
      </c>
      <c r="F2" s="1363">
        <f>D2-E2</f>
        <v>1.6999999999999993</v>
      </c>
      <c r="G2" s="1364" t="s">
        <v>1138</v>
      </c>
      <c r="H2" s="1365">
        <v>3.3399999999999999E-2</v>
      </c>
      <c r="I2" s="1366">
        <f>E2*H2</f>
        <v>0.22712000000000002</v>
      </c>
      <c r="J2" s="1464">
        <f>F2*H2</f>
        <v>5.6779999999999976E-2</v>
      </c>
    </row>
    <row r="3" spans="1:10">
      <c r="A3" s="2537"/>
      <c r="B3" s="2537"/>
      <c r="C3" s="1360" t="s">
        <v>1139</v>
      </c>
      <c r="D3" s="1361">
        <v>5</v>
      </c>
      <c r="E3" s="1404">
        <f t="shared" ref="E3:E45" si="0">D3*0.8</f>
        <v>4</v>
      </c>
      <c r="F3" s="1363">
        <f t="shared" ref="F3:F45" si="1">D3-E3</f>
        <v>1</v>
      </c>
      <c r="G3" s="1364" t="s">
        <v>1138</v>
      </c>
      <c r="H3" s="1365">
        <v>3.3399999999999999E-2</v>
      </c>
      <c r="I3" s="1366">
        <f t="shared" ref="I3:I44" si="2">E3*H3</f>
        <v>0.1336</v>
      </c>
      <c r="J3" s="1464">
        <f t="shared" ref="J3:J44" si="3">F3*H3</f>
        <v>3.3399999999999999E-2</v>
      </c>
    </row>
    <row r="4" spans="1:10" ht="37.5">
      <c r="A4" s="2537"/>
      <c r="B4" s="2537"/>
      <c r="C4" s="1360" t="s">
        <v>1140</v>
      </c>
      <c r="D4" s="1361">
        <v>8.43</v>
      </c>
      <c r="E4" s="1369">
        <f t="shared" si="0"/>
        <v>6.7439999999999998</v>
      </c>
      <c r="F4" s="1465">
        <f t="shared" si="1"/>
        <v>1.6859999999999999</v>
      </c>
      <c r="G4" s="1371" t="s">
        <v>1141</v>
      </c>
      <c r="H4" s="1372">
        <v>4.6699999999999998E-2</v>
      </c>
      <c r="I4" s="1373">
        <f t="shared" si="2"/>
        <v>0.31494479999999997</v>
      </c>
      <c r="J4" s="1466">
        <f t="shared" si="3"/>
        <v>7.8736199999999992E-2</v>
      </c>
    </row>
    <row r="5" spans="1:10">
      <c r="A5" s="2537"/>
      <c r="B5" s="2537"/>
      <c r="C5" s="1360" t="s">
        <v>1142</v>
      </c>
      <c r="D5" s="1361">
        <v>0.98</v>
      </c>
      <c r="E5" s="1404">
        <f t="shared" si="0"/>
        <v>0.78400000000000003</v>
      </c>
      <c r="F5" s="1363">
        <f t="shared" si="1"/>
        <v>0.19599999999999995</v>
      </c>
      <c r="G5" s="1364" t="s">
        <v>1138</v>
      </c>
      <c r="H5" s="1365">
        <v>3.3399999999999999E-2</v>
      </c>
      <c r="I5" s="1366">
        <f t="shared" si="2"/>
        <v>2.61856E-2</v>
      </c>
      <c r="J5" s="1464">
        <f t="shared" si="3"/>
        <v>6.5463999999999982E-3</v>
      </c>
    </row>
    <row r="6" spans="1:10">
      <c r="A6" s="2537"/>
      <c r="B6" s="2537"/>
      <c r="C6" s="1360" t="s">
        <v>1145</v>
      </c>
      <c r="D6" s="1361">
        <v>1.1399999999999999</v>
      </c>
      <c r="E6" s="1404">
        <f t="shared" si="0"/>
        <v>0.91199999999999992</v>
      </c>
      <c r="F6" s="1363">
        <f t="shared" si="1"/>
        <v>0.22799999999999998</v>
      </c>
      <c r="G6" s="1364" t="s">
        <v>1138</v>
      </c>
      <c r="H6" s="1365">
        <v>3.3399999999999999E-2</v>
      </c>
      <c r="I6" s="1366">
        <f t="shared" si="2"/>
        <v>3.0460799999999996E-2</v>
      </c>
      <c r="J6" s="1464">
        <f t="shared" si="3"/>
        <v>7.6151999999999991E-3</v>
      </c>
    </row>
    <row r="7" spans="1:10">
      <c r="A7" s="2537"/>
      <c r="B7" s="2537"/>
      <c r="C7" s="1360" t="s">
        <v>1146</v>
      </c>
      <c r="D7" s="1361">
        <v>10</v>
      </c>
      <c r="E7" s="1369">
        <f t="shared" si="0"/>
        <v>8</v>
      </c>
      <c r="F7" s="1465">
        <f t="shared" si="1"/>
        <v>2</v>
      </c>
      <c r="G7" s="1371" t="s">
        <v>1147</v>
      </c>
      <c r="H7" s="1372">
        <v>4.6699999999999998E-2</v>
      </c>
      <c r="I7" s="1373">
        <f t="shared" si="2"/>
        <v>0.37359999999999999</v>
      </c>
      <c r="J7" s="1466">
        <f t="shared" si="3"/>
        <v>9.3399999999999997E-2</v>
      </c>
    </row>
    <row r="8" spans="1:10">
      <c r="A8" s="2537"/>
      <c r="B8" s="2537"/>
      <c r="C8" s="1360" t="s">
        <v>1233</v>
      </c>
      <c r="D8" s="1361">
        <v>4</v>
      </c>
      <c r="E8" s="1369">
        <f t="shared" si="0"/>
        <v>3.2</v>
      </c>
      <c r="F8" s="1465">
        <f t="shared" si="1"/>
        <v>0.79999999999999982</v>
      </c>
      <c r="G8" s="1371" t="s">
        <v>1147</v>
      </c>
      <c r="H8" s="1372">
        <v>4.6699999999999998E-2</v>
      </c>
      <c r="I8" s="1373">
        <f t="shared" si="2"/>
        <v>0.14943999999999999</v>
      </c>
      <c r="J8" s="1466">
        <f t="shared" si="3"/>
        <v>3.735999999999999E-2</v>
      </c>
    </row>
    <row r="9" spans="1:10" s="1378" customFormat="1">
      <c r="A9" s="2538" t="s">
        <v>1022</v>
      </c>
      <c r="B9" s="2538"/>
      <c r="C9" s="2538"/>
      <c r="D9" s="1375">
        <f>SUM(D2:D8)</f>
        <v>38.049999999999997</v>
      </c>
      <c r="E9" s="1381">
        <f t="shared" si="0"/>
        <v>30.439999999999998</v>
      </c>
      <c r="F9" s="1384">
        <f t="shared" si="1"/>
        <v>7.6099999999999994</v>
      </c>
      <c r="I9" s="1366">
        <f t="shared" si="2"/>
        <v>0</v>
      </c>
      <c r="J9" s="1368">
        <f t="shared" si="3"/>
        <v>0</v>
      </c>
    </row>
    <row r="10" spans="1:10" s="1378" customFormat="1">
      <c r="A10" s="2537">
        <v>2</v>
      </c>
      <c r="B10" s="2537" t="s">
        <v>1023</v>
      </c>
      <c r="C10" s="1360" t="s">
        <v>1234</v>
      </c>
      <c r="D10" s="1361">
        <v>5</v>
      </c>
      <c r="E10" s="1369">
        <f t="shared" si="0"/>
        <v>4</v>
      </c>
      <c r="F10" s="1465">
        <f t="shared" si="1"/>
        <v>1</v>
      </c>
      <c r="G10" s="1379" t="s">
        <v>1235</v>
      </c>
      <c r="H10" s="1372">
        <v>4.6699999999999998E-2</v>
      </c>
      <c r="I10" s="1373">
        <f t="shared" si="2"/>
        <v>0.18679999999999999</v>
      </c>
      <c r="J10" s="1466">
        <f t="shared" si="3"/>
        <v>4.6699999999999998E-2</v>
      </c>
    </row>
    <row r="11" spans="1:10" s="1378" customFormat="1">
      <c r="A11" s="2537"/>
      <c r="B11" s="2537"/>
      <c r="C11" s="1360" t="s">
        <v>1152</v>
      </c>
      <c r="D11" s="1361">
        <v>12</v>
      </c>
      <c r="E11" s="1369">
        <f t="shared" si="0"/>
        <v>9.6000000000000014</v>
      </c>
      <c r="F11" s="1465">
        <f t="shared" si="1"/>
        <v>2.3999999999999986</v>
      </c>
      <c r="G11" s="1379" t="s">
        <v>1153</v>
      </c>
      <c r="H11" s="1372">
        <v>4.6699999999999998E-2</v>
      </c>
      <c r="I11" s="1373">
        <f t="shared" si="2"/>
        <v>0.44832000000000005</v>
      </c>
      <c r="J11" s="1466">
        <f t="shared" si="3"/>
        <v>0.11207999999999993</v>
      </c>
    </row>
    <row r="12" spans="1:10" s="1378" customFormat="1">
      <c r="A12" s="2537"/>
      <c r="B12" s="2537"/>
      <c r="C12" s="1360" t="s">
        <v>1154</v>
      </c>
      <c r="D12" s="1361">
        <v>2.83</v>
      </c>
      <c r="E12" s="1369">
        <f t="shared" si="0"/>
        <v>2.2640000000000002</v>
      </c>
      <c r="F12" s="1465">
        <f t="shared" si="1"/>
        <v>0.56599999999999984</v>
      </c>
      <c r="G12" s="1379" t="s">
        <v>1151</v>
      </c>
      <c r="H12" s="1372">
        <v>4.6699999999999998E-2</v>
      </c>
      <c r="I12" s="1373">
        <f t="shared" si="2"/>
        <v>0.10572880000000001</v>
      </c>
      <c r="J12" s="1466">
        <f t="shared" si="3"/>
        <v>2.6432199999999993E-2</v>
      </c>
    </row>
    <row r="13" spans="1:10" s="1378" customFormat="1">
      <c r="A13" s="2538" t="s">
        <v>1028</v>
      </c>
      <c r="B13" s="2538"/>
      <c r="C13" s="2538"/>
      <c r="D13" s="1375">
        <f>SUM(D10:D12)</f>
        <v>19.829999999999998</v>
      </c>
      <c r="E13" s="1381">
        <f t="shared" si="0"/>
        <v>15.863999999999999</v>
      </c>
      <c r="F13" s="1384">
        <f t="shared" si="1"/>
        <v>3.9659999999999993</v>
      </c>
      <c r="I13" s="1366">
        <f t="shared" si="2"/>
        <v>0</v>
      </c>
      <c r="J13" s="1368">
        <f t="shared" si="3"/>
        <v>0</v>
      </c>
    </row>
    <row r="14" spans="1:10" s="1378" customFormat="1" ht="38.25" customHeight="1">
      <c r="A14" s="2537">
        <v>3</v>
      </c>
      <c r="B14" s="2537" t="s">
        <v>1029</v>
      </c>
      <c r="C14" s="1360" t="s">
        <v>1157</v>
      </c>
      <c r="D14" s="1361">
        <v>5</v>
      </c>
      <c r="E14" s="1369">
        <f t="shared" si="0"/>
        <v>4</v>
      </c>
      <c r="F14" s="1465">
        <f t="shared" si="1"/>
        <v>1</v>
      </c>
      <c r="G14" s="1380" t="s">
        <v>1158</v>
      </c>
      <c r="H14" s="1372">
        <v>4.6699999999999998E-2</v>
      </c>
      <c r="I14" s="1373">
        <f t="shared" si="2"/>
        <v>0.18679999999999999</v>
      </c>
      <c r="J14" s="1466">
        <f t="shared" si="3"/>
        <v>4.6699999999999998E-2</v>
      </c>
    </row>
    <row r="15" spans="1:10" s="1378" customFormat="1">
      <c r="A15" s="2537"/>
      <c r="B15" s="2537"/>
      <c r="C15" s="1360" t="s">
        <v>1159</v>
      </c>
      <c r="D15" s="1361">
        <v>5</v>
      </c>
      <c r="E15" s="1369">
        <f t="shared" si="0"/>
        <v>4</v>
      </c>
      <c r="F15" s="1465">
        <f t="shared" si="1"/>
        <v>1</v>
      </c>
      <c r="G15" s="1380" t="s">
        <v>1160</v>
      </c>
      <c r="H15" s="1372">
        <v>4.6699999999999998E-2</v>
      </c>
      <c r="I15" s="1373">
        <f t="shared" si="2"/>
        <v>0.18679999999999999</v>
      </c>
      <c r="J15" s="1466">
        <f t="shared" si="3"/>
        <v>4.6699999999999998E-2</v>
      </c>
    </row>
    <row r="16" spans="1:10" s="1378" customFormat="1">
      <c r="A16" s="2537"/>
      <c r="B16" s="2537"/>
      <c r="C16" s="1360" t="s">
        <v>1161</v>
      </c>
      <c r="D16" s="1361">
        <v>12</v>
      </c>
      <c r="E16" s="1369">
        <f t="shared" si="0"/>
        <v>9.6000000000000014</v>
      </c>
      <c r="F16" s="1465">
        <f t="shared" si="1"/>
        <v>2.3999999999999986</v>
      </c>
      <c r="G16" s="1380" t="s">
        <v>1160</v>
      </c>
      <c r="H16" s="1372">
        <v>4.6699999999999998E-2</v>
      </c>
      <c r="I16" s="1373">
        <f t="shared" si="2"/>
        <v>0.44832000000000005</v>
      </c>
      <c r="J16" s="1466">
        <f t="shared" si="3"/>
        <v>0.11207999999999993</v>
      </c>
    </row>
    <row r="17" spans="1:10" s="1378" customFormat="1" ht="37.5">
      <c r="A17" s="2537"/>
      <c r="B17" s="2537"/>
      <c r="C17" s="1383" t="s">
        <v>1162</v>
      </c>
      <c r="D17" s="1361">
        <v>3.11</v>
      </c>
      <c r="E17" s="1369">
        <f t="shared" si="0"/>
        <v>2.488</v>
      </c>
      <c r="F17" s="1465">
        <f t="shared" si="1"/>
        <v>0.62199999999999989</v>
      </c>
      <c r="G17" s="1380" t="s">
        <v>1163</v>
      </c>
      <c r="H17" s="1372">
        <v>4.6699999999999998E-2</v>
      </c>
      <c r="I17" s="1373">
        <f t="shared" si="2"/>
        <v>0.11618959999999999</v>
      </c>
      <c r="J17" s="1466">
        <f t="shared" si="3"/>
        <v>2.9047399999999994E-2</v>
      </c>
    </row>
    <row r="18" spans="1:10" s="1378" customFormat="1">
      <c r="A18" s="2537"/>
      <c r="B18" s="2537"/>
      <c r="C18" s="1383" t="s">
        <v>1034</v>
      </c>
      <c r="D18" s="1361">
        <v>8</v>
      </c>
      <c r="E18" s="1369">
        <f t="shared" si="0"/>
        <v>6.4</v>
      </c>
      <c r="F18" s="1465">
        <f t="shared" si="1"/>
        <v>1.5999999999999996</v>
      </c>
      <c r="G18" s="1380" t="s">
        <v>1164</v>
      </c>
      <c r="H18" s="1372">
        <v>4.6699999999999998E-2</v>
      </c>
      <c r="I18" s="1373">
        <f t="shared" si="2"/>
        <v>0.29887999999999998</v>
      </c>
      <c r="J18" s="1466">
        <f t="shared" si="3"/>
        <v>7.4719999999999981E-2</v>
      </c>
    </row>
    <row r="19" spans="1:10" s="1378" customFormat="1">
      <c r="A19" s="2537"/>
      <c r="B19" s="2537"/>
      <c r="C19" s="1383" t="s">
        <v>1165</v>
      </c>
      <c r="D19" s="1361">
        <v>5</v>
      </c>
      <c r="E19" s="1369">
        <f t="shared" si="0"/>
        <v>4</v>
      </c>
      <c r="F19" s="1465">
        <f t="shared" si="1"/>
        <v>1</v>
      </c>
      <c r="G19" s="1380" t="s">
        <v>1164</v>
      </c>
      <c r="H19" s="1372">
        <v>4.6699999999999998E-2</v>
      </c>
      <c r="I19" s="1373">
        <f t="shared" si="2"/>
        <v>0.18679999999999999</v>
      </c>
      <c r="J19" s="1466">
        <f t="shared" si="3"/>
        <v>4.6699999999999998E-2</v>
      </c>
    </row>
    <row r="20" spans="1:10" s="1378" customFormat="1">
      <c r="A20" s="2537"/>
      <c r="B20" s="2537"/>
      <c r="C20" s="1383" t="s">
        <v>1166</v>
      </c>
      <c r="D20" s="1361">
        <v>1.86</v>
      </c>
      <c r="E20" s="1369">
        <f t="shared" si="0"/>
        <v>1.4880000000000002</v>
      </c>
      <c r="F20" s="1465">
        <f t="shared" si="1"/>
        <v>0.37199999999999989</v>
      </c>
      <c r="G20" s="1380" t="s">
        <v>1164</v>
      </c>
      <c r="H20" s="1372">
        <v>4.6699999999999998E-2</v>
      </c>
      <c r="I20" s="1373">
        <f t="shared" si="2"/>
        <v>6.9489600000000012E-2</v>
      </c>
      <c r="J20" s="1466">
        <f t="shared" si="3"/>
        <v>1.7372399999999993E-2</v>
      </c>
    </row>
    <row r="21" spans="1:10" s="1378" customFormat="1">
      <c r="A21" s="2537"/>
      <c r="B21" s="2537"/>
      <c r="C21" s="1383" t="s">
        <v>1167</v>
      </c>
      <c r="D21" s="1361">
        <v>5</v>
      </c>
      <c r="E21" s="1369">
        <f t="shared" si="0"/>
        <v>4</v>
      </c>
      <c r="F21" s="1465">
        <f t="shared" si="1"/>
        <v>1</v>
      </c>
      <c r="G21" s="1380" t="s">
        <v>1164</v>
      </c>
      <c r="H21" s="1372">
        <v>4.6699999999999998E-2</v>
      </c>
      <c r="I21" s="1373">
        <f t="shared" si="2"/>
        <v>0.18679999999999999</v>
      </c>
      <c r="J21" s="1466">
        <f t="shared" si="3"/>
        <v>4.6699999999999998E-2</v>
      </c>
    </row>
    <row r="22" spans="1:10" s="1378" customFormat="1">
      <c r="A22" s="2537"/>
      <c r="B22" s="2537"/>
      <c r="C22" s="1360" t="s">
        <v>1168</v>
      </c>
      <c r="D22" s="1361">
        <v>5.01</v>
      </c>
      <c r="E22" s="1369">
        <f t="shared" si="0"/>
        <v>4.008</v>
      </c>
      <c r="F22" s="1465">
        <f t="shared" si="1"/>
        <v>1.0019999999999998</v>
      </c>
      <c r="G22" s="1380" t="s">
        <v>1164</v>
      </c>
      <c r="H22" s="1372">
        <v>4.6699999999999998E-2</v>
      </c>
      <c r="I22" s="1373">
        <f t="shared" si="2"/>
        <v>0.1871736</v>
      </c>
      <c r="J22" s="1466">
        <f t="shared" si="3"/>
        <v>4.6793399999999985E-2</v>
      </c>
    </row>
    <row r="23" spans="1:10" s="1378" customFormat="1">
      <c r="A23" s="2537"/>
      <c r="B23" s="2537"/>
      <c r="C23" s="1360" t="s">
        <v>1169</v>
      </c>
      <c r="D23" s="1361">
        <v>0.72</v>
      </c>
      <c r="E23" s="1369">
        <f t="shared" si="0"/>
        <v>0.57599999999999996</v>
      </c>
      <c r="F23" s="1465">
        <f t="shared" si="1"/>
        <v>0.14400000000000002</v>
      </c>
      <c r="G23" s="1380" t="s">
        <v>1164</v>
      </c>
      <c r="H23" s="1372">
        <v>4.6699999999999998E-2</v>
      </c>
      <c r="I23" s="1373">
        <f t="shared" si="2"/>
        <v>2.6899199999999998E-2</v>
      </c>
      <c r="J23" s="1466">
        <f t="shared" si="3"/>
        <v>6.7248000000000004E-3</v>
      </c>
    </row>
    <row r="24" spans="1:10" s="1378" customFormat="1">
      <c r="A24" s="2537"/>
      <c r="B24" s="2537"/>
      <c r="C24" s="1360" t="s">
        <v>1172</v>
      </c>
      <c r="D24" s="1361">
        <v>5</v>
      </c>
      <c r="E24" s="1369">
        <f t="shared" si="0"/>
        <v>4</v>
      </c>
      <c r="F24" s="1465">
        <f t="shared" si="1"/>
        <v>1</v>
      </c>
      <c r="G24" s="1380" t="s">
        <v>1164</v>
      </c>
      <c r="H24" s="1372">
        <v>4.6699999999999998E-2</v>
      </c>
      <c r="I24" s="1373">
        <f t="shared" si="2"/>
        <v>0.18679999999999999</v>
      </c>
      <c r="J24" s="1466">
        <f t="shared" si="3"/>
        <v>4.6699999999999998E-2</v>
      </c>
    </row>
    <row r="25" spans="1:10" s="1378" customFormat="1">
      <c r="A25" s="2538" t="s">
        <v>1041</v>
      </c>
      <c r="B25" s="2538"/>
      <c r="C25" s="2538"/>
      <c r="D25" s="1375">
        <f>SUM(D14:D24)</f>
        <v>55.699999999999996</v>
      </c>
      <c r="E25" s="1381">
        <f t="shared" si="0"/>
        <v>44.56</v>
      </c>
      <c r="F25" s="1384">
        <f t="shared" si="1"/>
        <v>11.139999999999993</v>
      </c>
      <c r="I25" s="1366">
        <f t="shared" si="2"/>
        <v>0</v>
      </c>
      <c r="J25" s="1368">
        <f t="shared" si="3"/>
        <v>0</v>
      </c>
    </row>
    <row r="26" spans="1:10" ht="18.75" customHeight="1">
      <c r="A26" s="2537">
        <v>4</v>
      </c>
      <c r="B26" s="2537" t="s">
        <v>1173</v>
      </c>
      <c r="C26" s="1383" t="s">
        <v>1174</v>
      </c>
      <c r="D26" s="1361">
        <v>3</v>
      </c>
      <c r="E26" s="1369">
        <f t="shared" si="0"/>
        <v>2.4000000000000004</v>
      </c>
      <c r="F26" s="1465">
        <f t="shared" si="1"/>
        <v>0.59999999999999964</v>
      </c>
      <c r="G26" s="1371" t="s">
        <v>1236</v>
      </c>
      <c r="H26" s="1372">
        <v>4.6699999999999998E-2</v>
      </c>
      <c r="I26" s="1373">
        <f t="shared" si="2"/>
        <v>0.11208000000000001</v>
      </c>
      <c r="J26" s="1466">
        <f t="shared" si="3"/>
        <v>2.8019999999999982E-2</v>
      </c>
    </row>
    <row r="27" spans="1:10">
      <c r="A27" s="2537"/>
      <c r="B27" s="2537"/>
      <c r="C27" s="1383" t="s">
        <v>1175</v>
      </c>
      <c r="D27" s="1361">
        <v>10</v>
      </c>
      <c r="E27" s="1369">
        <f t="shared" si="0"/>
        <v>8</v>
      </c>
      <c r="F27" s="1465">
        <f t="shared" si="1"/>
        <v>2</v>
      </c>
      <c r="G27" s="1371" t="s">
        <v>1236</v>
      </c>
      <c r="H27" s="1372">
        <v>4.6699999999999998E-2</v>
      </c>
      <c r="I27" s="1373">
        <f t="shared" si="2"/>
        <v>0.37359999999999999</v>
      </c>
      <c r="J27" s="1466">
        <f t="shared" si="3"/>
        <v>9.3399999999999997E-2</v>
      </c>
    </row>
    <row r="28" spans="1:10">
      <c r="A28" s="2537"/>
      <c r="B28" s="2537"/>
      <c r="C28" s="1383" t="s">
        <v>1176</v>
      </c>
      <c r="D28" s="1361">
        <v>4</v>
      </c>
      <c r="E28" s="1369">
        <f t="shared" si="0"/>
        <v>3.2</v>
      </c>
      <c r="F28" s="1465">
        <f t="shared" si="1"/>
        <v>0.79999999999999982</v>
      </c>
      <c r="G28" s="1371" t="s">
        <v>1236</v>
      </c>
      <c r="H28" s="1372">
        <v>4.6699999999999998E-2</v>
      </c>
      <c r="I28" s="1373">
        <f t="shared" si="2"/>
        <v>0.14943999999999999</v>
      </c>
      <c r="J28" s="1466">
        <f t="shared" si="3"/>
        <v>3.735999999999999E-2</v>
      </c>
    </row>
    <row r="29" spans="1:10">
      <c r="A29" s="2537"/>
      <c r="B29" s="2537"/>
      <c r="C29" s="1383" t="s">
        <v>1255</v>
      </c>
      <c r="D29" s="1361">
        <v>20</v>
      </c>
      <c r="E29" s="1369">
        <f t="shared" si="0"/>
        <v>16</v>
      </c>
      <c r="F29" s="1465">
        <f t="shared" si="1"/>
        <v>4</v>
      </c>
      <c r="G29" s="1371" t="s">
        <v>1236</v>
      </c>
      <c r="H29" s="1372">
        <v>4.6699999999999998E-2</v>
      </c>
      <c r="I29" s="1373">
        <f t="shared" si="2"/>
        <v>0.74719999999999998</v>
      </c>
      <c r="J29" s="1466">
        <f t="shared" si="3"/>
        <v>0.18679999999999999</v>
      </c>
    </row>
    <row r="30" spans="1:10">
      <c r="A30" s="2537"/>
      <c r="B30" s="2537"/>
      <c r="C30" s="1383" t="s">
        <v>1178</v>
      </c>
      <c r="D30" s="1361">
        <v>6</v>
      </c>
      <c r="E30" s="1369">
        <f t="shared" si="0"/>
        <v>4.8000000000000007</v>
      </c>
      <c r="F30" s="1465">
        <f t="shared" si="1"/>
        <v>1.1999999999999993</v>
      </c>
      <c r="G30" s="1371" t="s">
        <v>1236</v>
      </c>
      <c r="H30" s="1372">
        <v>4.6699999999999998E-2</v>
      </c>
      <c r="I30" s="1373">
        <f t="shared" si="2"/>
        <v>0.22416000000000003</v>
      </c>
      <c r="J30" s="1466">
        <f t="shared" si="3"/>
        <v>5.6039999999999965E-2</v>
      </c>
    </row>
    <row r="31" spans="1:10">
      <c r="A31" s="2537"/>
      <c r="B31" s="2537"/>
      <c r="C31" s="1383" t="s">
        <v>1179</v>
      </c>
      <c r="D31" s="1361">
        <v>5.08</v>
      </c>
      <c r="E31" s="1369">
        <f t="shared" si="0"/>
        <v>4.0640000000000001</v>
      </c>
      <c r="F31" s="1465">
        <f t="shared" si="1"/>
        <v>1.016</v>
      </c>
      <c r="G31" s="1371" t="s">
        <v>1236</v>
      </c>
      <c r="H31" s="1372">
        <v>4.6699999999999998E-2</v>
      </c>
      <c r="I31" s="1373">
        <f t="shared" si="2"/>
        <v>0.18978880000000001</v>
      </c>
      <c r="J31" s="1466">
        <f t="shared" si="3"/>
        <v>4.7447200000000002E-2</v>
      </c>
    </row>
    <row r="32" spans="1:10" ht="40.5" customHeight="1">
      <c r="A32" s="2537"/>
      <c r="B32" s="2537"/>
      <c r="C32" s="1383" t="s">
        <v>1180</v>
      </c>
      <c r="D32" s="1361">
        <v>7</v>
      </c>
      <c r="E32" s="1369">
        <f t="shared" si="0"/>
        <v>5.6000000000000005</v>
      </c>
      <c r="F32" s="1465">
        <f t="shared" si="1"/>
        <v>1.3999999999999995</v>
      </c>
      <c r="G32" s="1371" t="s">
        <v>1236</v>
      </c>
      <c r="H32" s="1372">
        <v>4.6699999999999998E-2</v>
      </c>
      <c r="I32" s="1373">
        <f t="shared" si="2"/>
        <v>0.26152000000000003</v>
      </c>
      <c r="J32" s="1466">
        <f t="shared" si="3"/>
        <v>6.537999999999998E-2</v>
      </c>
    </row>
    <row r="33" spans="1:10">
      <c r="A33" s="2537"/>
      <c r="B33" s="2537"/>
      <c r="C33" s="1360" t="s">
        <v>1181</v>
      </c>
      <c r="D33" s="1361">
        <v>5</v>
      </c>
      <c r="E33" s="1369">
        <f t="shared" si="0"/>
        <v>4</v>
      </c>
      <c r="F33" s="1465">
        <f t="shared" si="1"/>
        <v>1</v>
      </c>
      <c r="G33" s="1371" t="s">
        <v>1236</v>
      </c>
      <c r="H33" s="1372">
        <v>4.6699999999999998E-2</v>
      </c>
      <c r="I33" s="1373">
        <f t="shared" si="2"/>
        <v>0.18679999999999999</v>
      </c>
      <c r="J33" s="1466">
        <f t="shared" si="3"/>
        <v>4.6699999999999998E-2</v>
      </c>
    </row>
    <row r="34" spans="1:10">
      <c r="A34" s="2538" t="s">
        <v>1183</v>
      </c>
      <c r="B34" s="2538"/>
      <c r="C34" s="2538"/>
      <c r="D34" s="1375">
        <f>SUM(D26:D33)</f>
        <v>60.08</v>
      </c>
      <c r="E34" s="1381">
        <f t="shared" si="0"/>
        <v>48.064</v>
      </c>
      <c r="F34" s="1384">
        <f t="shared" si="1"/>
        <v>12.015999999999998</v>
      </c>
      <c r="I34" s="1366">
        <f t="shared" si="2"/>
        <v>0</v>
      </c>
      <c r="J34" s="1368">
        <f t="shared" si="3"/>
        <v>0</v>
      </c>
    </row>
    <row r="35" spans="1:10" ht="56.25">
      <c r="A35" s="2537">
        <v>5</v>
      </c>
      <c r="B35" s="2537" t="s">
        <v>1184</v>
      </c>
      <c r="C35" s="1383" t="s">
        <v>1187</v>
      </c>
      <c r="D35" s="1361">
        <v>25</v>
      </c>
      <c r="E35" s="1404">
        <f>D35*0.8-2.5</f>
        <v>17.5</v>
      </c>
      <c r="F35" s="1363">
        <v>2.5</v>
      </c>
      <c r="G35" s="1364" t="s">
        <v>1238</v>
      </c>
      <c r="H35" s="1365">
        <v>3.3399999999999999E-2</v>
      </c>
      <c r="I35" s="1366">
        <f t="shared" si="2"/>
        <v>0.58450000000000002</v>
      </c>
      <c r="J35" s="1464">
        <f t="shared" si="3"/>
        <v>8.3499999999999991E-2</v>
      </c>
    </row>
    <row r="36" spans="1:10">
      <c r="A36" s="2537"/>
      <c r="B36" s="2537"/>
      <c r="C36" s="1383"/>
      <c r="D36" s="1361"/>
      <c r="E36" s="1467">
        <v>2.5</v>
      </c>
      <c r="F36" s="1468">
        <v>2.5</v>
      </c>
      <c r="G36" s="1447" t="s">
        <v>1239</v>
      </c>
      <c r="H36" s="1469">
        <v>6.3299999999999995E-2</v>
      </c>
      <c r="I36" s="1470">
        <f t="shared" si="2"/>
        <v>0.15825</v>
      </c>
      <c r="J36" s="1471">
        <f t="shared" si="3"/>
        <v>0.15825</v>
      </c>
    </row>
    <row r="37" spans="1:10">
      <c r="A37" s="2537"/>
      <c r="B37" s="2537"/>
      <c r="C37" s="1397" t="s">
        <v>1188</v>
      </c>
      <c r="D37" s="1361">
        <v>3</v>
      </c>
      <c r="E37" s="1467">
        <f t="shared" si="0"/>
        <v>2.4000000000000004</v>
      </c>
      <c r="F37" s="1468">
        <f t="shared" si="1"/>
        <v>0.59999999999999964</v>
      </c>
      <c r="G37" s="1447" t="s">
        <v>1239</v>
      </c>
      <c r="H37" s="1469">
        <v>6.3299999999999995E-2</v>
      </c>
      <c r="I37" s="1470">
        <f t="shared" si="2"/>
        <v>0.15192</v>
      </c>
      <c r="J37" s="1471">
        <f t="shared" si="3"/>
        <v>3.7979999999999972E-2</v>
      </c>
    </row>
    <row r="38" spans="1:10">
      <c r="A38" s="2537"/>
      <c r="B38" s="2537"/>
      <c r="C38" s="1360" t="s">
        <v>1189</v>
      </c>
      <c r="D38" s="1361">
        <v>10</v>
      </c>
      <c r="E38" s="1404">
        <f t="shared" si="0"/>
        <v>8</v>
      </c>
      <c r="F38" s="1361">
        <f t="shared" si="1"/>
        <v>2</v>
      </c>
      <c r="G38" s="1406" t="s">
        <v>1240</v>
      </c>
      <c r="H38" s="1472">
        <v>6.3299999999999995E-2</v>
      </c>
      <c r="I38" s="1366">
        <f t="shared" si="2"/>
        <v>0.50639999999999996</v>
      </c>
      <c r="J38" s="1368">
        <f t="shared" si="3"/>
        <v>0.12659999999999999</v>
      </c>
    </row>
    <row r="39" spans="1:10">
      <c r="A39" s="2537"/>
      <c r="B39" s="2537"/>
      <c r="C39" s="1360" t="s">
        <v>1121</v>
      </c>
      <c r="D39" s="1361">
        <v>0.75</v>
      </c>
      <c r="E39" s="1404">
        <f t="shared" si="0"/>
        <v>0.60000000000000009</v>
      </c>
      <c r="F39" s="1361">
        <f t="shared" si="1"/>
        <v>0.14999999999999991</v>
      </c>
      <c r="G39" s="1406" t="s">
        <v>1192</v>
      </c>
      <c r="H39" s="1407">
        <v>0.15</v>
      </c>
      <c r="I39" s="1366">
        <f t="shared" si="2"/>
        <v>9.0000000000000011E-2</v>
      </c>
      <c r="J39" s="1368">
        <f t="shared" si="3"/>
        <v>2.2499999999999985E-2</v>
      </c>
    </row>
    <row r="40" spans="1:10">
      <c r="A40" s="2537"/>
      <c r="B40" s="2537"/>
      <c r="C40" s="1360" t="s">
        <v>1195</v>
      </c>
      <c r="D40" s="1361">
        <v>4.01</v>
      </c>
      <c r="E40" s="1404">
        <f t="shared" si="0"/>
        <v>3.2080000000000002</v>
      </c>
      <c r="F40" s="1361">
        <f t="shared" si="1"/>
        <v>0.8019999999999996</v>
      </c>
      <c r="G40" s="1406" t="s">
        <v>1196</v>
      </c>
      <c r="H40" s="1472">
        <v>6.3299999999999995E-2</v>
      </c>
      <c r="I40" s="1366">
        <f t="shared" si="2"/>
        <v>0.20306640000000001</v>
      </c>
      <c r="J40" s="1368">
        <f t="shared" si="3"/>
        <v>5.0766599999999974E-2</v>
      </c>
    </row>
    <row r="41" spans="1:10">
      <c r="A41" s="2537"/>
      <c r="B41" s="2537"/>
      <c r="C41" s="1360" t="s">
        <v>1199</v>
      </c>
      <c r="D41" s="1361">
        <v>0.75</v>
      </c>
      <c r="E41" s="1404">
        <f t="shared" si="0"/>
        <v>0.60000000000000009</v>
      </c>
      <c r="F41" s="1361">
        <f t="shared" si="1"/>
        <v>0.14999999999999991</v>
      </c>
      <c r="G41" s="1406" t="s">
        <v>1190</v>
      </c>
      <c r="H41" s="1407">
        <v>0.3</v>
      </c>
      <c r="I41" s="1366">
        <f t="shared" si="2"/>
        <v>0.18000000000000002</v>
      </c>
      <c r="J41" s="1368">
        <f t="shared" si="3"/>
        <v>4.4999999999999971E-2</v>
      </c>
    </row>
    <row r="42" spans="1:10">
      <c r="A42" s="2538" t="s">
        <v>1064</v>
      </c>
      <c r="B42" s="2538"/>
      <c r="C42" s="2538"/>
      <c r="D42" s="1375">
        <f>SUM(D35:D41)</f>
        <v>43.51</v>
      </c>
      <c r="E42" s="1381">
        <f t="shared" si="0"/>
        <v>34.808</v>
      </c>
      <c r="F42" s="1384">
        <f t="shared" si="1"/>
        <v>8.7019999999999982</v>
      </c>
      <c r="I42" s="1366">
        <f t="shared" si="2"/>
        <v>0</v>
      </c>
      <c r="J42" s="1368">
        <f t="shared" si="3"/>
        <v>0</v>
      </c>
    </row>
    <row r="43" spans="1:10" ht="50.25" customHeight="1">
      <c r="A43" s="1473"/>
      <c r="B43" s="1473" t="s">
        <v>1201</v>
      </c>
      <c r="C43" s="1383" t="s">
        <v>1204</v>
      </c>
      <c r="D43" s="1361">
        <v>3</v>
      </c>
      <c r="E43" s="1404">
        <f t="shared" si="0"/>
        <v>2.4000000000000004</v>
      </c>
      <c r="F43" s="1361">
        <f t="shared" si="1"/>
        <v>0.59999999999999964</v>
      </c>
      <c r="G43" s="1426" t="s">
        <v>1205</v>
      </c>
      <c r="H43" s="1427">
        <v>4.6699999999999998E-2</v>
      </c>
      <c r="I43" s="1366">
        <f t="shared" si="2"/>
        <v>0.11208000000000001</v>
      </c>
      <c r="J43" s="1368">
        <f t="shared" si="3"/>
        <v>2.8019999999999982E-2</v>
      </c>
    </row>
    <row r="44" spans="1:10">
      <c r="A44" s="2538" t="s">
        <v>1206</v>
      </c>
      <c r="B44" s="2538"/>
      <c r="C44" s="2538"/>
      <c r="D44" s="1375">
        <f>SUM(D43:D43)</f>
        <v>3</v>
      </c>
      <c r="E44" s="1381">
        <f t="shared" si="0"/>
        <v>2.4000000000000004</v>
      </c>
      <c r="F44" s="1384">
        <f t="shared" si="1"/>
        <v>0.59999999999999964</v>
      </c>
      <c r="I44" s="1366">
        <f t="shared" si="2"/>
        <v>0</v>
      </c>
      <c r="J44" s="1368">
        <f t="shared" si="3"/>
        <v>0</v>
      </c>
    </row>
    <row r="45" spans="1:10">
      <c r="A45" s="2534" t="s">
        <v>1207</v>
      </c>
      <c r="B45" s="2534"/>
      <c r="C45" s="2534"/>
      <c r="D45" s="1430">
        <f>D9+D13+D25+D34+D42+D44</f>
        <v>220.16999999999996</v>
      </c>
      <c r="E45" s="1430">
        <f t="shared" si="0"/>
        <v>176.13599999999997</v>
      </c>
      <c r="F45" s="1430">
        <f t="shared" si="1"/>
        <v>44.033999999999992</v>
      </c>
      <c r="I45" s="1376">
        <f>SUM(I2:I44)</f>
        <v>8.3079572000000006</v>
      </c>
      <c r="J45" s="1368">
        <f>SUM(J2:J44)</f>
        <v>2.1330517999999992</v>
      </c>
    </row>
    <row r="49" spans="6:14" ht="19.5" thickBot="1"/>
    <row r="50" spans="6:14">
      <c r="G50" s="2539" t="s">
        <v>1256</v>
      </c>
      <c r="H50" s="2539"/>
      <c r="I50" s="2539"/>
      <c r="J50" s="2539"/>
      <c r="K50" s="2540" t="s">
        <v>1241</v>
      </c>
      <c r="L50" s="2541"/>
      <c r="M50" s="2549" t="s">
        <v>1257</v>
      </c>
      <c r="N50" s="2550"/>
    </row>
    <row r="51" spans="6:14">
      <c r="G51" s="2539" t="s">
        <v>1244</v>
      </c>
      <c r="H51" s="2539"/>
      <c r="I51" s="2539" t="s">
        <v>1258</v>
      </c>
      <c r="J51" s="2539"/>
      <c r="K51" s="2539" t="s">
        <v>1244</v>
      </c>
      <c r="L51" s="2540"/>
      <c r="M51" s="2551" t="s">
        <v>1244</v>
      </c>
      <c r="N51" s="2552"/>
    </row>
    <row r="52" spans="6:14">
      <c r="F52" s="1435"/>
      <c r="G52" s="1435" t="s">
        <v>1245</v>
      </c>
      <c r="H52" s="1435" t="s">
        <v>1259</v>
      </c>
      <c r="I52" s="1435" t="s">
        <v>1260</v>
      </c>
      <c r="J52" s="1460" t="s">
        <v>1261</v>
      </c>
      <c r="K52" s="1435" t="s">
        <v>1245</v>
      </c>
      <c r="L52" s="1460" t="s">
        <v>1259</v>
      </c>
      <c r="M52" s="1474" t="s">
        <v>1245</v>
      </c>
      <c r="N52" s="1475" t="s">
        <v>1259</v>
      </c>
    </row>
    <row r="53" spans="6:14">
      <c r="F53" s="1435" t="s">
        <v>1216</v>
      </c>
      <c r="G53" s="1435">
        <v>29.995999999999999</v>
      </c>
      <c r="H53" s="1435">
        <v>1</v>
      </c>
      <c r="I53" s="1476">
        <v>5.62</v>
      </c>
      <c r="J53" s="1477">
        <v>0.188</v>
      </c>
      <c r="K53" s="1476">
        <f>'Capex plan 24-25'!H60</f>
        <v>7.08</v>
      </c>
      <c r="L53" s="1477">
        <f>'Capex plan 24-25'!I60</f>
        <v>0.23599999999999999</v>
      </c>
      <c r="M53" s="1474">
        <f>G53+K53</f>
        <v>37.076000000000001</v>
      </c>
      <c r="N53" s="1475">
        <f>H53+L53</f>
        <v>1.236</v>
      </c>
    </row>
    <row r="54" spans="6:14">
      <c r="F54" s="1435" t="s">
        <v>1217</v>
      </c>
      <c r="G54" s="1435">
        <v>126.432</v>
      </c>
      <c r="H54" s="1435">
        <v>5.9</v>
      </c>
      <c r="I54" s="1478">
        <v>31.61</v>
      </c>
      <c r="J54" s="1479">
        <v>1.47</v>
      </c>
      <c r="K54" s="1476">
        <f>'Capex plan 24-25'!H61</f>
        <v>36.520000000000003</v>
      </c>
      <c r="L54" s="1477">
        <f>'Capex plan 24-25'!I61</f>
        <v>1.7050000000000001</v>
      </c>
      <c r="M54" s="1474">
        <f t="shared" ref="M54:N62" si="4">G54+K54</f>
        <v>162.952</v>
      </c>
      <c r="N54" s="1475">
        <f t="shared" si="4"/>
        <v>7.6050000000000004</v>
      </c>
    </row>
    <row r="55" spans="6:14">
      <c r="F55" s="1435" t="s">
        <v>1218</v>
      </c>
      <c r="G55" s="1435"/>
      <c r="H55" s="1435"/>
      <c r="I55" s="1480">
        <v>0</v>
      </c>
      <c r="J55" s="1481">
        <v>0</v>
      </c>
      <c r="K55" s="1476">
        <f>'Capex plan 24-25'!H62</f>
        <v>0.4</v>
      </c>
      <c r="L55" s="1477">
        <f>'Capex plan 24-25'!I62</f>
        <v>3.7999999999999999E-2</v>
      </c>
      <c r="M55" s="1474">
        <f t="shared" si="4"/>
        <v>0.4</v>
      </c>
      <c r="N55" s="1475">
        <f t="shared" si="4"/>
        <v>3.7999999999999999E-2</v>
      </c>
    </row>
    <row r="56" spans="6:14">
      <c r="F56" s="1435" t="s">
        <v>1219</v>
      </c>
      <c r="G56" s="1447">
        <v>4.9000000000000004</v>
      </c>
      <c r="H56" s="1447">
        <v>0.31</v>
      </c>
      <c r="I56" s="1482">
        <v>3.1</v>
      </c>
      <c r="J56" s="1483">
        <v>0.19600000000000001</v>
      </c>
      <c r="K56" s="1476">
        <f>'Capex plan 24-25'!H63</f>
        <v>2</v>
      </c>
      <c r="L56" s="1477">
        <f>'Capex plan 24-25'!I63</f>
        <v>0.12659999999999999</v>
      </c>
      <c r="M56" s="1474">
        <f t="shared" si="4"/>
        <v>6.9</v>
      </c>
      <c r="N56" s="1475">
        <f t="shared" si="4"/>
        <v>0.43659999999999999</v>
      </c>
    </row>
    <row r="57" spans="6:14">
      <c r="F57" s="1435" t="s">
        <v>1220</v>
      </c>
      <c r="G57" s="1435"/>
      <c r="H57" s="1435"/>
      <c r="I57" s="1482">
        <v>0</v>
      </c>
      <c r="J57" s="1483">
        <v>0</v>
      </c>
      <c r="K57" s="1476">
        <f>'Capex plan 24-25'!H64</f>
        <v>0.59999999999999964</v>
      </c>
      <c r="L57" s="1477">
        <f>'Capex plan 24-25'!I64</f>
        <v>3.7979999999999972E-2</v>
      </c>
      <c r="M57" s="1474">
        <f t="shared" si="4"/>
        <v>0.59999999999999964</v>
      </c>
      <c r="N57" s="1475">
        <f t="shared" si="4"/>
        <v>3.7979999999999972E-2</v>
      </c>
    </row>
    <row r="58" spans="6:14">
      <c r="F58" s="1435" t="s">
        <v>1221</v>
      </c>
      <c r="G58" s="1435">
        <v>2.4</v>
      </c>
      <c r="H58" s="1435">
        <v>0.11</v>
      </c>
      <c r="I58" s="1484">
        <f>F43</f>
        <v>0.59999999999999964</v>
      </c>
      <c r="J58" s="1485">
        <f>J43</f>
        <v>2.8019999999999982E-2</v>
      </c>
      <c r="K58" s="1476">
        <f>'Capex plan 24-25'!H65</f>
        <v>0.59999999999999964</v>
      </c>
      <c r="L58" s="1477">
        <f>'Capex plan 24-25'!I65</f>
        <v>2.8000000000000001E-2</v>
      </c>
      <c r="M58" s="1474">
        <f t="shared" si="4"/>
        <v>2.9999999999999996</v>
      </c>
      <c r="N58" s="1475">
        <f t="shared" si="4"/>
        <v>0.13800000000000001</v>
      </c>
    </row>
    <row r="59" spans="6:14" ht="37.5">
      <c r="F59" s="1455" t="s">
        <v>1262</v>
      </c>
      <c r="G59" s="1455">
        <v>0.6</v>
      </c>
      <c r="H59" s="1455">
        <v>0.18</v>
      </c>
      <c r="I59" s="1486">
        <v>0.15</v>
      </c>
      <c r="J59" s="1487">
        <v>4.4999999999999998E-2</v>
      </c>
      <c r="K59" s="1476">
        <f>'Capex plan 24-25'!H66</f>
        <v>6.11</v>
      </c>
      <c r="L59" s="1477">
        <f>'Capex plan 24-25'!I66</f>
        <v>1.833</v>
      </c>
      <c r="M59" s="1474">
        <f t="shared" si="4"/>
        <v>6.71</v>
      </c>
      <c r="N59" s="1475">
        <f t="shared" si="4"/>
        <v>2.0129999999999999</v>
      </c>
    </row>
    <row r="60" spans="6:14">
      <c r="F60" s="1455" t="s">
        <v>1223</v>
      </c>
      <c r="G60" s="1455">
        <v>11.208</v>
      </c>
      <c r="H60" s="1455">
        <v>0.71</v>
      </c>
      <c r="I60" s="1435">
        <v>2.8</v>
      </c>
      <c r="J60" s="1460">
        <v>0.17699999999999999</v>
      </c>
      <c r="K60" s="1476">
        <f>'Capex plan 24-25'!H67</f>
        <v>2</v>
      </c>
      <c r="L60" s="1477">
        <f>'Capex plan 24-25'!I67</f>
        <v>0.127</v>
      </c>
      <c r="M60" s="1474">
        <f t="shared" si="4"/>
        <v>13.208</v>
      </c>
      <c r="N60" s="1475">
        <f t="shared" si="4"/>
        <v>0.83699999999999997</v>
      </c>
    </row>
    <row r="61" spans="6:14">
      <c r="F61" s="1435" t="s">
        <v>1224</v>
      </c>
      <c r="G61" s="1435">
        <v>0.6</v>
      </c>
      <c r="H61" s="1435">
        <v>0.09</v>
      </c>
      <c r="I61" s="1435">
        <v>0.15</v>
      </c>
      <c r="J61" s="1460">
        <v>2.2499999999999999E-2</v>
      </c>
      <c r="K61" s="1476">
        <f>'Capex plan 24-25'!H68</f>
        <v>0.33</v>
      </c>
      <c r="L61" s="1477">
        <f>'Capex plan 24-25'!I68</f>
        <v>4.9000000000000002E-2</v>
      </c>
      <c r="M61" s="1474">
        <f t="shared" si="4"/>
        <v>0.92999999999999994</v>
      </c>
      <c r="N61" s="1475">
        <f t="shared" si="4"/>
        <v>0.13900000000000001</v>
      </c>
    </row>
    <row r="62" spans="6:14" ht="19.5" thickBot="1">
      <c r="F62" s="1461" t="s">
        <v>1225</v>
      </c>
      <c r="G62" s="1461">
        <f>SUM(G53:G61)</f>
        <v>176.136</v>
      </c>
      <c r="H62" s="1461">
        <f>SUM(H53:H61)</f>
        <v>8.3000000000000007</v>
      </c>
      <c r="I62" s="1488">
        <f>SUM(I53:I61)</f>
        <v>44.029999999999994</v>
      </c>
      <c r="J62" s="1488">
        <f>SUM(J53:J61)</f>
        <v>2.1265199999999997</v>
      </c>
      <c r="K62" s="1476">
        <f>'Capex plan 24-25'!H69</f>
        <v>55.64</v>
      </c>
      <c r="L62" s="1477">
        <f>'Capex plan 24-25'!I69</f>
        <v>4.18058</v>
      </c>
      <c r="M62" s="1489">
        <f t="shared" si="4"/>
        <v>231.77600000000001</v>
      </c>
      <c r="N62" s="1490">
        <f t="shared" si="4"/>
        <v>12.48058</v>
      </c>
    </row>
    <row r="66" spans="6:13">
      <c r="F66" s="517" t="s">
        <v>1247</v>
      </c>
      <c r="G66" s="1368">
        <v>0</v>
      </c>
      <c r="M66" s="1368">
        <v>0</v>
      </c>
    </row>
    <row r="67" spans="6:13">
      <c r="F67" s="517"/>
    </row>
    <row r="68" spans="6:13">
      <c r="F68" s="517" t="s">
        <v>1216</v>
      </c>
      <c r="G68" s="1368">
        <f>M53</f>
        <v>37.076000000000001</v>
      </c>
    </row>
    <row r="69" spans="6:13">
      <c r="F69" s="517"/>
    </row>
    <row r="70" spans="6:13">
      <c r="F70" s="517" t="s">
        <v>1248</v>
      </c>
      <c r="G70" s="1368">
        <f>M54+M58</f>
        <v>165.952</v>
      </c>
    </row>
    <row r="71" spans="6:13">
      <c r="F71" s="517"/>
    </row>
    <row r="72" spans="6:13">
      <c r="F72" s="517" t="s">
        <v>1249</v>
      </c>
      <c r="G72" s="1368">
        <f>M56</f>
        <v>6.9</v>
      </c>
    </row>
    <row r="73" spans="6:13">
      <c r="F73" s="517"/>
    </row>
    <row r="74" spans="6:13">
      <c r="F74" s="517" t="s">
        <v>1218</v>
      </c>
      <c r="G74" s="1368">
        <f>M55</f>
        <v>0.4</v>
      </c>
    </row>
    <row r="75" spans="6:13">
      <c r="F75" s="517"/>
    </row>
    <row r="76" spans="6:13">
      <c r="F76" s="517" t="s">
        <v>849</v>
      </c>
      <c r="G76" s="1368">
        <f>M61+M59</f>
        <v>7.64</v>
      </c>
    </row>
    <row r="77" spans="6:13">
      <c r="F77" s="517"/>
    </row>
    <row r="78" spans="6:13">
      <c r="F78" s="517" t="s">
        <v>851</v>
      </c>
      <c r="G78" s="1368">
        <f>M60+M57</f>
        <v>13.808</v>
      </c>
    </row>
    <row r="80" spans="6:13">
      <c r="G80" s="1368">
        <f>SUBTOTAL(9,G66:G79)</f>
        <v>231.77599999999998</v>
      </c>
    </row>
    <row r="82" spans="7:7">
      <c r="G82" s="1491">
        <f>G80/0.835</f>
        <v>277.57604790419163</v>
      </c>
    </row>
    <row r="83" spans="7:7">
      <c r="G83" s="1491">
        <f>G82-G80</f>
        <v>45.800047904191644</v>
      </c>
    </row>
  </sheetData>
  <autoFilter ref="A1:J45" xr:uid="{00000000-0009-0000-0000-00001B000000}"/>
  <mergeCells count="24">
    <mergeCell ref="A34:C34"/>
    <mergeCell ref="A2:A8"/>
    <mergeCell ref="B2:B8"/>
    <mergeCell ref="A9:C9"/>
    <mergeCell ref="A10:A12"/>
    <mergeCell ref="B10:B12"/>
    <mergeCell ref="A13:C13"/>
    <mergeCell ref="A14:A24"/>
    <mergeCell ref="B14:B24"/>
    <mergeCell ref="A25:C25"/>
    <mergeCell ref="A26:A33"/>
    <mergeCell ref="B26:B33"/>
    <mergeCell ref="A35:A41"/>
    <mergeCell ref="B35:B41"/>
    <mergeCell ref="A42:C42"/>
    <mergeCell ref="A44:C44"/>
    <mergeCell ref="A45:C45"/>
    <mergeCell ref="K50:L50"/>
    <mergeCell ref="M50:N50"/>
    <mergeCell ref="G51:H51"/>
    <mergeCell ref="I51:J51"/>
    <mergeCell ref="K51:L51"/>
    <mergeCell ref="M51:N51"/>
    <mergeCell ref="G50:J50"/>
  </mergeCells>
  <pageMargins left="0.7" right="0.7" top="0.75" bottom="0.75" header="0.3" footer="0.3"/>
  <pageSetup scale="6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R65"/>
  <sheetViews>
    <sheetView zoomScale="70" zoomScaleNormal="70" workbookViewId="0">
      <selection activeCell="C21" sqref="C21"/>
    </sheetView>
  </sheetViews>
  <sheetFormatPr defaultColWidth="9.140625" defaultRowHeight="18.75"/>
  <cols>
    <col min="1" max="1" width="9.28515625" style="1368" customWidth="1"/>
    <col min="2" max="2" width="19.140625" style="1368" customWidth="1"/>
    <col min="3" max="3" width="63.140625" style="1368" customWidth="1"/>
    <col min="4" max="4" width="17.5703125" style="1432" customWidth="1"/>
    <col min="5" max="5" width="18.5703125" style="1368" customWidth="1"/>
    <col min="6" max="6" width="22" style="1368" customWidth="1"/>
    <col min="7" max="7" width="21.28515625" style="1368" customWidth="1"/>
    <col min="8" max="8" width="24.140625" style="1368" customWidth="1"/>
    <col min="9" max="9" width="19.28515625" style="1368" customWidth="1"/>
    <col min="10" max="10" width="21.85546875" style="1368" customWidth="1"/>
    <col min="11" max="11" width="24.85546875" style="1368" customWidth="1"/>
    <col min="12" max="12" width="23.28515625" style="1368" customWidth="1"/>
    <col min="13" max="13" width="26.7109375" style="1368" customWidth="1"/>
    <col min="14" max="14" width="27.140625" style="1368" customWidth="1"/>
    <col min="15" max="15" width="9.140625" style="1368"/>
    <col min="16" max="16" width="28.5703125" style="1368" customWidth="1"/>
    <col min="17" max="16384" width="9.140625" style="1368"/>
  </cols>
  <sheetData>
    <row r="1" spans="1:10" s="1359" customFormat="1" ht="62.25" customHeight="1">
      <c r="A1" s="1356" t="s">
        <v>1002</v>
      </c>
      <c r="B1" s="1356" t="s">
        <v>1003</v>
      </c>
      <c r="C1" s="1356" t="s">
        <v>1004</v>
      </c>
      <c r="D1" s="1492" t="s">
        <v>1263</v>
      </c>
      <c r="E1" s="1492" t="s">
        <v>1264</v>
      </c>
      <c r="F1" s="1492" t="s">
        <v>1265</v>
      </c>
      <c r="G1" s="1492" t="s">
        <v>1229</v>
      </c>
      <c r="H1" s="1492" t="s">
        <v>1230</v>
      </c>
      <c r="I1" s="1492" t="s">
        <v>1266</v>
      </c>
      <c r="J1" s="1493" t="s">
        <v>1267</v>
      </c>
    </row>
    <row r="2" spans="1:10" s="1495" customFormat="1">
      <c r="A2" s="2559">
        <v>1</v>
      </c>
      <c r="B2" s="2559" t="s">
        <v>1015</v>
      </c>
      <c r="C2" s="1494" t="s">
        <v>1137</v>
      </c>
      <c r="D2" s="1363">
        <v>8</v>
      </c>
      <c r="E2" s="1362">
        <f>D2*0.8</f>
        <v>6.4</v>
      </c>
      <c r="F2" s="1363">
        <f>D2-E2</f>
        <v>1.5999999999999996</v>
      </c>
      <c r="G2" s="1364" t="s">
        <v>1138</v>
      </c>
      <c r="H2" s="1365">
        <v>3.3399999999999999E-2</v>
      </c>
      <c r="I2" s="1366">
        <f>E2*H2</f>
        <v>0.21376000000000001</v>
      </c>
      <c r="J2" s="1366">
        <f>F2*H2</f>
        <v>5.3439999999999988E-2</v>
      </c>
    </row>
    <row r="3" spans="1:10" s="1495" customFormat="1">
      <c r="A3" s="2559"/>
      <c r="B3" s="2559"/>
      <c r="C3" s="1494" t="s">
        <v>1139</v>
      </c>
      <c r="D3" s="1363">
        <v>3</v>
      </c>
      <c r="E3" s="1362">
        <f t="shared" ref="E3:E45" si="0">D3*0.8</f>
        <v>2.4000000000000004</v>
      </c>
      <c r="F3" s="1363">
        <f t="shared" ref="F3:F45" si="1">D3-E3</f>
        <v>0.59999999999999964</v>
      </c>
      <c r="G3" s="1364" t="s">
        <v>1138</v>
      </c>
      <c r="H3" s="1365">
        <v>3.3399999999999999E-2</v>
      </c>
      <c r="I3" s="1366">
        <f t="shared" ref="I3:I43" si="2">E3*H3</f>
        <v>8.0160000000000009E-2</v>
      </c>
      <c r="J3" s="1366">
        <f t="shared" ref="J3:J43" si="3">F3*H3</f>
        <v>2.0039999999999988E-2</v>
      </c>
    </row>
    <row r="4" spans="1:10" s="1495" customFormat="1" ht="37.5">
      <c r="A4" s="2559"/>
      <c r="B4" s="2559"/>
      <c r="C4" s="1494" t="s">
        <v>1140</v>
      </c>
      <c r="D4" s="1465">
        <v>6</v>
      </c>
      <c r="E4" s="1369">
        <f t="shared" si="0"/>
        <v>4.8000000000000007</v>
      </c>
      <c r="F4" s="1465">
        <f t="shared" si="1"/>
        <v>1.1999999999999993</v>
      </c>
      <c r="G4" s="1371" t="s">
        <v>1141</v>
      </c>
      <c r="H4" s="1372">
        <v>4.6699999999999998E-2</v>
      </c>
      <c r="I4" s="1373">
        <f t="shared" si="2"/>
        <v>0.22416000000000003</v>
      </c>
      <c r="J4" s="1373">
        <f t="shared" si="3"/>
        <v>5.6039999999999965E-2</v>
      </c>
    </row>
    <row r="5" spans="1:10" s="1495" customFormat="1">
      <c r="A5" s="2559"/>
      <c r="B5" s="2559"/>
      <c r="C5" s="1494" t="s">
        <v>1142</v>
      </c>
      <c r="D5" s="1363">
        <v>0.98</v>
      </c>
      <c r="E5" s="1362">
        <f t="shared" si="0"/>
        <v>0.78400000000000003</v>
      </c>
      <c r="F5" s="1363">
        <f t="shared" si="1"/>
        <v>0.19599999999999995</v>
      </c>
      <c r="G5" s="1364" t="s">
        <v>1138</v>
      </c>
      <c r="H5" s="1365">
        <v>3.3399999999999999E-2</v>
      </c>
      <c r="I5" s="1366">
        <f t="shared" si="2"/>
        <v>2.61856E-2</v>
      </c>
      <c r="J5" s="1366">
        <f t="shared" si="3"/>
        <v>6.5463999999999982E-3</v>
      </c>
    </row>
    <row r="6" spans="1:10" s="1495" customFormat="1">
      <c r="A6" s="2559"/>
      <c r="B6" s="2559"/>
      <c r="C6" s="1494" t="s">
        <v>1145</v>
      </c>
      <c r="D6" s="1363">
        <v>1.1399999999999999</v>
      </c>
      <c r="E6" s="1362">
        <f t="shared" si="0"/>
        <v>0.91199999999999992</v>
      </c>
      <c r="F6" s="1363">
        <f t="shared" si="1"/>
        <v>0.22799999999999998</v>
      </c>
      <c r="G6" s="1364" t="s">
        <v>1138</v>
      </c>
      <c r="H6" s="1365">
        <v>3.3399999999999999E-2</v>
      </c>
      <c r="I6" s="1366">
        <f t="shared" si="2"/>
        <v>3.0460799999999996E-2</v>
      </c>
      <c r="J6" s="1366">
        <f t="shared" si="3"/>
        <v>7.6151999999999991E-3</v>
      </c>
    </row>
    <row r="7" spans="1:10" s="1495" customFormat="1">
      <c r="A7" s="2559"/>
      <c r="B7" s="2559"/>
      <c r="C7" s="1494" t="s">
        <v>1146</v>
      </c>
      <c r="D7" s="1465">
        <v>10</v>
      </c>
      <c r="E7" s="1369">
        <f t="shared" si="0"/>
        <v>8</v>
      </c>
      <c r="F7" s="1465">
        <f t="shared" si="1"/>
        <v>2</v>
      </c>
      <c r="G7" s="1371" t="s">
        <v>1147</v>
      </c>
      <c r="H7" s="1372">
        <v>4.6699999999999998E-2</v>
      </c>
      <c r="I7" s="1373">
        <f t="shared" si="2"/>
        <v>0.37359999999999999</v>
      </c>
      <c r="J7" s="1373">
        <f t="shared" si="3"/>
        <v>9.3399999999999997E-2</v>
      </c>
    </row>
    <row r="8" spans="1:10" s="1495" customFormat="1">
      <c r="A8" s="2559"/>
      <c r="B8" s="2559"/>
      <c r="C8" s="1494" t="s">
        <v>1268</v>
      </c>
      <c r="D8" s="1465">
        <v>4</v>
      </c>
      <c r="E8" s="1369">
        <f t="shared" si="0"/>
        <v>3.2</v>
      </c>
      <c r="F8" s="1465">
        <f t="shared" si="1"/>
        <v>0.79999999999999982</v>
      </c>
      <c r="G8" s="1371" t="s">
        <v>1147</v>
      </c>
      <c r="H8" s="1372">
        <v>4.6699999999999998E-2</v>
      </c>
      <c r="I8" s="1373">
        <f t="shared" si="2"/>
        <v>0.14943999999999999</v>
      </c>
      <c r="J8" s="1373">
        <f t="shared" si="3"/>
        <v>3.735999999999999E-2</v>
      </c>
    </row>
    <row r="9" spans="1:10" s="1499" customFormat="1">
      <c r="A9" s="2560" t="s">
        <v>1022</v>
      </c>
      <c r="B9" s="2560"/>
      <c r="C9" s="2560"/>
      <c r="D9" s="1496">
        <f>SUM(D2:D8)</f>
        <v>33.120000000000005</v>
      </c>
      <c r="E9" s="1497"/>
      <c r="F9" s="1498"/>
      <c r="I9" s="1500"/>
      <c r="J9" s="1500"/>
    </row>
    <row r="10" spans="1:10" s="1499" customFormat="1">
      <c r="A10" s="2559">
        <v>2</v>
      </c>
      <c r="B10" s="2559" t="s">
        <v>1023</v>
      </c>
      <c r="C10" s="1494" t="s">
        <v>1234</v>
      </c>
      <c r="D10" s="1465">
        <v>5</v>
      </c>
      <c r="E10" s="1369">
        <f t="shared" si="0"/>
        <v>4</v>
      </c>
      <c r="F10" s="1465">
        <f t="shared" si="1"/>
        <v>1</v>
      </c>
      <c r="G10" s="1379" t="s">
        <v>1235</v>
      </c>
      <c r="H10" s="1372">
        <v>4.6699999999999998E-2</v>
      </c>
      <c r="I10" s="1373">
        <f t="shared" si="2"/>
        <v>0.18679999999999999</v>
      </c>
      <c r="J10" s="1373">
        <f t="shared" si="3"/>
        <v>4.6699999999999998E-2</v>
      </c>
    </row>
    <row r="11" spans="1:10" s="1499" customFormat="1">
      <c r="A11" s="2559"/>
      <c r="B11" s="2559"/>
      <c r="C11" s="1494" t="s">
        <v>1152</v>
      </c>
      <c r="D11" s="1465">
        <v>10</v>
      </c>
      <c r="E11" s="1369">
        <f t="shared" si="0"/>
        <v>8</v>
      </c>
      <c r="F11" s="1465">
        <f t="shared" si="1"/>
        <v>2</v>
      </c>
      <c r="G11" s="1379" t="s">
        <v>1153</v>
      </c>
      <c r="H11" s="1372">
        <v>4.6699999999999998E-2</v>
      </c>
      <c r="I11" s="1373">
        <f t="shared" si="2"/>
        <v>0.37359999999999999</v>
      </c>
      <c r="J11" s="1373">
        <f t="shared" si="3"/>
        <v>9.3399999999999997E-2</v>
      </c>
    </row>
    <row r="12" spans="1:10" s="1499" customFormat="1">
      <c r="A12" s="2559"/>
      <c r="B12" s="2559"/>
      <c r="C12" s="1494" t="s">
        <v>1269</v>
      </c>
      <c r="D12" s="1465">
        <v>4.5</v>
      </c>
      <c r="E12" s="1369">
        <f t="shared" si="0"/>
        <v>3.6</v>
      </c>
      <c r="F12" s="1465">
        <f t="shared" si="1"/>
        <v>0.89999999999999991</v>
      </c>
      <c r="G12" s="1379" t="s">
        <v>1151</v>
      </c>
      <c r="H12" s="1372">
        <v>4.6699999999999998E-2</v>
      </c>
      <c r="I12" s="1373">
        <f t="shared" si="2"/>
        <v>0.16811999999999999</v>
      </c>
      <c r="J12" s="1373">
        <f t="shared" si="3"/>
        <v>4.2029999999999998E-2</v>
      </c>
    </row>
    <row r="13" spans="1:10" s="1499" customFormat="1">
      <c r="A13" s="2560" t="s">
        <v>1028</v>
      </c>
      <c r="B13" s="2560"/>
      <c r="C13" s="2560"/>
      <c r="D13" s="1496">
        <f>SUM(D10:D12)</f>
        <v>19.5</v>
      </c>
      <c r="E13" s="1497"/>
      <c r="F13" s="1498"/>
      <c r="I13" s="1500"/>
      <c r="J13" s="1500"/>
    </row>
    <row r="14" spans="1:10" s="1499" customFormat="1" ht="38.25" customHeight="1">
      <c r="A14" s="2559">
        <v>3</v>
      </c>
      <c r="B14" s="2559" t="s">
        <v>1029</v>
      </c>
      <c r="C14" s="1494" t="s">
        <v>1157</v>
      </c>
      <c r="D14" s="1465">
        <v>5</v>
      </c>
      <c r="E14" s="1369">
        <f t="shared" si="0"/>
        <v>4</v>
      </c>
      <c r="F14" s="1465">
        <f t="shared" si="1"/>
        <v>1</v>
      </c>
      <c r="G14" s="1380" t="s">
        <v>1158</v>
      </c>
      <c r="H14" s="1372">
        <v>4.6699999999999998E-2</v>
      </c>
      <c r="I14" s="1373">
        <f t="shared" si="2"/>
        <v>0.18679999999999999</v>
      </c>
      <c r="J14" s="1373">
        <f t="shared" si="3"/>
        <v>4.6699999999999998E-2</v>
      </c>
    </row>
    <row r="15" spans="1:10" s="1499" customFormat="1">
      <c r="A15" s="2559"/>
      <c r="B15" s="2559"/>
      <c r="C15" s="1494" t="s">
        <v>1159</v>
      </c>
      <c r="D15" s="1465">
        <v>8</v>
      </c>
      <c r="E15" s="1369">
        <f t="shared" si="0"/>
        <v>6.4</v>
      </c>
      <c r="F15" s="1465">
        <f t="shared" si="1"/>
        <v>1.5999999999999996</v>
      </c>
      <c r="G15" s="1380" t="s">
        <v>1160</v>
      </c>
      <c r="H15" s="1372">
        <v>4.6699999999999998E-2</v>
      </c>
      <c r="I15" s="1373">
        <f t="shared" si="2"/>
        <v>0.29887999999999998</v>
      </c>
      <c r="J15" s="1373">
        <f t="shared" si="3"/>
        <v>7.4719999999999981E-2</v>
      </c>
    </row>
    <row r="16" spans="1:10" s="1499" customFormat="1">
      <c r="A16" s="2559"/>
      <c r="B16" s="2559"/>
      <c r="C16" s="1494" t="s">
        <v>1161</v>
      </c>
      <c r="D16" s="1465">
        <v>10</v>
      </c>
      <c r="E16" s="1369">
        <f t="shared" si="0"/>
        <v>8</v>
      </c>
      <c r="F16" s="1465">
        <f t="shared" si="1"/>
        <v>2</v>
      </c>
      <c r="G16" s="1380" t="s">
        <v>1160</v>
      </c>
      <c r="H16" s="1372">
        <v>4.6699999999999998E-2</v>
      </c>
      <c r="I16" s="1373">
        <f t="shared" si="2"/>
        <v>0.37359999999999999</v>
      </c>
      <c r="J16" s="1373">
        <f t="shared" si="3"/>
        <v>9.3399999999999997E-2</v>
      </c>
    </row>
    <row r="17" spans="1:10" s="1499" customFormat="1" ht="37.5">
      <c r="A17" s="2559"/>
      <c r="B17" s="2559"/>
      <c r="C17" s="1501" t="s">
        <v>1162</v>
      </c>
      <c r="D17" s="1465">
        <v>3.11</v>
      </c>
      <c r="E17" s="1369">
        <f t="shared" si="0"/>
        <v>2.488</v>
      </c>
      <c r="F17" s="1465">
        <f t="shared" si="1"/>
        <v>0.62199999999999989</v>
      </c>
      <c r="G17" s="1380" t="s">
        <v>1163</v>
      </c>
      <c r="H17" s="1372">
        <v>4.6699999999999998E-2</v>
      </c>
      <c r="I17" s="1373">
        <f t="shared" si="2"/>
        <v>0.11618959999999999</v>
      </c>
      <c r="J17" s="1373">
        <f t="shared" si="3"/>
        <v>2.9047399999999994E-2</v>
      </c>
    </row>
    <row r="18" spans="1:10" s="1499" customFormat="1">
      <c r="A18" s="2559"/>
      <c r="B18" s="2559"/>
      <c r="C18" s="1501" t="s">
        <v>1034</v>
      </c>
      <c r="D18" s="1465">
        <v>10</v>
      </c>
      <c r="E18" s="1369">
        <f t="shared" si="0"/>
        <v>8</v>
      </c>
      <c r="F18" s="1465">
        <f t="shared" si="1"/>
        <v>2</v>
      </c>
      <c r="G18" s="1380" t="s">
        <v>1164</v>
      </c>
      <c r="H18" s="1372">
        <v>4.6699999999999998E-2</v>
      </c>
      <c r="I18" s="1373">
        <f t="shared" si="2"/>
        <v>0.37359999999999999</v>
      </c>
      <c r="J18" s="1373">
        <f t="shared" si="3"/>
        <v>9.3399999999999997E-2</v>
      </c>
    </row>
    <row r="19" spans="1:10" s="1499" customFormat="1">
      <c r="A19" s="2559"/>
      <c r="B19" s="2559"/>
      <c r="C19" s="1501" t="s">
        <v>1165</v>
      </c>
      <c r="D19" s="1465">
        <v>4</v>
      </c>
      <c r="E19" s="1369">
        <f t="shared" si="0"/>
        <v>3.2</v>
      </c>
      <c r="F19" s="1465">
        <f t="shared" si="1"/>
        <v>0.79999999999999982</v>
      </c>
      <c r="G19" s="1380" t="s">
        <v>1164</v>
      </c>
      <c r="H19" s="1372">
        <v>4.6699999999999998E-2</v>
      </c>
      <c r="I19" s="1373">
        <f t="shared" si="2"/>
        <v>0.14943999999999999</v>
      </c>
      <c r="J19" s="1373">
        <f t="shared" si="3"/>
        <v>3.735999999999999E-2</v>
      </c>
    </row>
    <row r="20" spans="1:10" s="1499" customFormat="1">
      <c r="A20" s="2559"/>
      <c r="B20" s="2559"/>
      <c r="C20" s="1501" t="s">
        <v>1166</v>
      </c>
      <c r="D20" s="1465">
        <v>1.86</v>
      </c>
      <c r="E20" s="1369">
        <f t="shared" si="0"/>
        <v>1.4880000000000002</v>
      </c>
      <c r="F20" s="1465">
        <f t="shared" si="1"/>
        <v>0.37199999999999989</v>
      </c>
      <c r="G20" s="1380" t="s">
        <v>1164</v>
      </c>
      <c r="H20" s="1372">
        <v>4.6699999999999998E-2</v>
      </c>
      <c r="I20" s="1373">
        <f t="shared" si="2"/>
        <v>6.9489600000000012E-2</v>
      </c>
      <c r="J20" s="1373">
        <f t="shared" si="3"/>
        <v>1.7372399999999993E-2</v>
      </c>
    </row>
    <row r="21" spans="1:10" s="1499" customFormat="1">
      <c r="A21" s="2559"/>
      <c r="B21" s="2559"/>
      <c r="C21" s="1501" t="s">
        <v>1167</v>
      </c>
      <c r="D21" s="1465">
        <v>5</v>
      </c>
      <c r="E21" s="1369">
        <f t="shared" si="0"/>
        <v>4</v>
      </c>
      <c r="F21" s="1465">
        <f t="shared" si="1"/>
        <v>1</v>
      </c>
      <c r="G21" s="1380" t="s">
        <v>1164</v>
      </c>
      <c r="H21" s="1372">
        <v>4.6699999999999998E-2</v>
      </c>
      <c r="I21" s="1373">
        <f t="shared" si="2"/>
        <v>0.18679999999999999</v>
      </c>
      <c r="J21" s="1373">
        <f t="shared" si="3"/>
        <v>4.6699999999999998E-2</v>
      </c>
    </row>
    <row r="22" spans="1:10" s="1499" customFormat="1">
      <c r="A22" s="2559"/>
      <c r="B22" s="2559"/>
      <c r="C22" s="1501" t="s">
        <v>1171</v>
      </c>
      <c r="D22" s="1465">
        <v>4</v>
      </c>
      <c r="E22" s="1369">
        <f t="shared" si="0"/>
        <v>3.2</v>
      </c>
      <c r="F22" s="1465">
        <f t="shared" si="1"/>
        <v>0.79999999999999982</v>
      </c>
      <c r="G22" s="1380" t="s">
        <v>1164</v>
      </c>
      <c r="H22" s="1372">
        <v>4.6699999999999998E-2</v>
      </c>
      <c r="I22" s="1373">
        <f t="shared" si="2"/>
        <v>0.14943999999999999</v>
      </c>
      <c r="J22" s="1373">
        <f t="shared" si="3"/>
        <v>3.735999999999999E-2</v>
      </c>
    </row>
    <row r="23" spans="1:10" s="1499" customFormat="1">
      <c r="A23" s="2559"/>
      <c r="B23" s="2559"/>
      <c r="C23" s="1494" t="s">
        <v>1172</v>
      </c>
      <c r="D23" s="1465">
        <v>14.29</v>
      </c>
      <c r="E23" s="1369">
        <f t="shared" si="0"/>
        <v>11.432</v>
      </c>
      <c r="F23" s="1465">
        <f t="shared" si="1"/>
        <v>2.8579999999999988</v>
      </c>
      <c r="G23" s="1380" t="s">
        <v>1164</v>
      </c>
      <c r="H23" s="1372">
        <v>4.6699999999999998E-2</v>
      </c>
      <c r="I23" s="1373">
        <f t="shared" si="2"/>
        <v>0.53387439999999997</v>
      </c>
      <c r="J23" s="1373">
        <f t="shared" si="3"/>
        <v>0.13346859999999994</v>
      </c>
    </row>
    <row r="24" spans="1:10" s="1499" customFormat="1">
      <c r="A24" s="2560" t="s">
        <v>1041</v>
      </c>
      <c r="B24" s="2560"/>
      <c r="C24" s="2560"/>
      <c r="D24" s="1496">
        <f>SUM(D14:D23)</f>
        <v>65.259999999999991</v>
      </c>
      <c r="E24" s="1497"/>
      <c r="F24" s="1498"/>
      <c r="G24" s="1502"/>
      <c r="H24" s="1503"/>
      <c r="I24" s="1500"/>
      <c r="J24" s="1500"/>
    </row>
    <row r="25" spans="1:10" s="1495" customFormat="1" ht="18.75" customHeight="1">
      <c r="A25" s="2559">
        <v>4</v>
      </c>
      <c r="B25" s="2559" t="s">
        <v>1173</v>
      </c>
      <c r="C25" s="1501" t="s">
        <v>1174</v>
      </c>
      <c r="D25" s="1465">
        <v>2.6</v>
      </c>
      <c r="E25" s="1369">
        <f t="shared" si="0"/>
        <v>2.08</v>
      </c>
      <c r="F25" s="1465">
        <f t="shared" si="1"/>
        <v>0.52</v>
      </c>
      <c r="G25" s="1371" t="s">
        <v>1236</v>
      </c>
      <c r="H25" s="1372">
        <v>4.6699999999999998E-2</v>
      </c>
      <c r="I25" s="1373">
        <f t="shared" si="2"/>
        <v>9.7136E-2</v>
      </c>
      <c r="J25" s="1373">
        <f t="shared" si="3"/>
        <v>2.4284E-2</v>
      </c>
    </row>
    <row r="26" spans="1:10" s="1495" customFormat="1">
      <c r="A26" s="2559"/>
      <c r="B26" s="2559"/>
      <c r="C26" s="1501" t="s">
        <v>1175</v>
      </c>
      <c r="D26" s="1465">
        <v>10</v>
      </c>
      <c r="E26" s="1369">
        <f t="shared" si="0"/>
        <v>8</v>
      </c>
      <c r="F26" s="1465">
        <f t="shared" si="1"/>
        <v>2</v>
      </c>
      <c r="G26" s="1371" t="s">
        <v>1236</v>
      </c>
      <c r="H26" s="1372">
        <v>4.6699999999999998E-2</v>
      </c>
      <c r="I26" s="1373">
        <f t="shared" si="2"/>
        <v>0.37359999999999999</v>
      </c>
      <c r="J26" s="1373">
        <f t="shared" si="3"/>
        <v>9.3399999999999997E-2</v>
      </c>
    </row>
    <row r="27" spans="1:10" s="1495" customFormat="1">
      <c r="A27" s="2559"/>
      <c r="B27" s="2559"/>
      <c r="C27" s="1501" t="s">
        <v>1177</v>
      </c>
      <c r="D27" s="1465">
        <v>10</v>
      </c>
      <c r="E27" s="1369">
        <f t="shared" si="0"/>
        <v>8</v>
      </c>
      <c r="F27" s="1465">
        <f t="shared" si="1"/>
        <v>2</v>
      </c>
      <c r="G27" s="1371" t="s">
        <v>1236</v>
      </c>
      <c r="H27" s="1372">
        <v>4.6699999999999998E-2</v>
      </c>
      <c r="I27" s="1373">
        <f t="shared" si="2"/>
        <v>0.37359999999999999</v>
      </c>
      <c r="J27" s="1373">
        <f t="shared" si="3"/>
        <v>9.3399999999999997E-2</v>
      </c>
    </row>
    <row r="28" spans="1:10" s="1495" customFormat="1">
      <c r="A28" s="2559"/>
      <c r="B28" s="2559"/>
      <c r="C28" s="1501" t="s">
        <v>1178</v>
      </c>
      <c r="D28" s="1465">
        <v>9.8000000000000007</v>
      </c>
      <c r="E28" s="1369">
        <f t="shared" si="0"/>
        <v>7.8400000000000007</v>
      </c>
      <c r="F28" s="1465">
        <f t="shared" si="1"/>
        <v>1.96</v>
      </c>
      <c r="G28" s="1371" t="s">
        <v>1236</v>
      </c>
      <c r="H28" s="1372">
        <v>4.6699999999999998E-2</v>
      </c>
      <c r="I28" s="1373">
        <f t="shared" si="2"/>
        <v>0.36612800000000001</v>
      </c>
      <c r="J28" s="1373">
        <f t="shared" si="3"/>
        <v>9.1532000000000002E-2</v>
      </c>
    </row>
    <row r="29" spans="1:10" s="1495" customFormat="1">
      <c r="A29" s="2559"/>
      <c r="B29" s="2559"/>
      <c r="C29" s="1501" t="s">
        <v>1179</v>
      </c>
      <c r="D29" s="1465">
        <v>5.08</v>
      </c>
      <c r="E29" s="1369">
        <f t="shared" si="0"/>
        <v>4.0640000000000001</v>
      </c>
      <c r="F29" s="1465">
        <f t="shared" si="1"/>
        <v>1.016</v>
      </c>
      <c r="G29" s="1371" t="s">
        <v>1236</v>
      </c>
      <c r="H29" s="1372">
        <v>4.6699999999999998E-2</v>
      </c>
      <c r="I29" s="1373">
        <f t="shared" si="2"/>
        <v>0.18978880000000001</v>
      </c>
      <c r="J29" s="1373">
        <f t="shared" si="3"/>
        <v>4.7447200000000002E-2</v>
      </c>
    </row>
    <row r="30" spans="1:10" s="1495" customFormat="1" ht="21" customHeight="1">
      <c r="A30" s="2559"/>
      <c r="B30" s="2559"/>
      <c r="C30" s="1501" t="s">
        <v>1180</v>
      </c>
      <c r="D30" s="1465">
        <v>8</v>
      </c>
      <c r="E30" s="1369">
        <f t="shared" si="0"/>
        <v>6.4</v>
      </c>
      <c r="F30" s="1465">
        <f t="shared" si="1"/>
        <v>1.5999999999999996</v>
      </c>
      <c r="G30" s="1371" t="s">
        <v>1236</v>
      </c>
      <c r="H30" s="1372">
        <v>4.6699999999999998E-2</v>
      </c>
      <c r="I30" s="1373">
        <f t="shared" si="2"/>
        <v>0.29887999999999998</v>
      </c>
      <c r="J30" s="1373">
        <f t="shared" si="3"/>
        <v>7.4719999999999981E-2</v>
      </c>
    </row>
    <row r="31" spans="1:10" s="1495" customFormat="1">
      <c r="A31" s="2559"/>
      <c r="B31" s="2559"/>
      <c r="C31" s="1494" t="s">
        <v>1181</v>
      </c>
      <c r="D31" s="1465">
        <v>2</v>
      </c>
      <c r="E31" s="1369">
        <f t="shared" si="0"/>
        <v>1.6</v>
      </c>
      <c r="F31" s="1465">
        <f t="shared" si="1"/>
        <v>0.39999999999999991</v>
      </c>
      <c r="G31" s="1371" t="s">
        <v>1236</v>
      </c>
      <c r="H31" s="1372">
        <v>4.6699999999999998E-2</v>
      </c>
      <c r="I31" s="1373">
        <f t="shared" si="2"/>
        <v>7.4719999999999995E-2</v>
      </c>
      <c r="J31" s="1373">
        <f t="shared" si="3"/>
        <v>1.8679999999999995E-2</v>
      </c>
    </row>
    <row r="32" spans="1:10" s="1495" customFormat="1">
      <c r="A32" s="2559"/>
      <c r="B32" s="2559"/>
      <c r="C32" s="1494" t="s">
        <v>1182</v>
      </c>
      <c r="D32" s="1465">
        <v>8</v>
      </c>
      <c r="E32" s="1369">
        <f t="shared" si="0"/>
        <v>6.4</v>
      </c>
      <c r="F32" s="1465">
        <f t="shared" si="1"/>
        <v>1.5999999999999996</v>
      </c>
      <c r="G32" s="1371" t="s">
        <v>1236</v>
      </c>
      <c r="H32" s="1372">
        <v>4.6699999999999998E-2</v>
      </c>
      <c r="I32" s="1373">
        <f t="shared" si="2"/>
        <v>0.29887999999999998</v>
      </c>
      <c r="J32" s="1373">
        <f t="shared" si="3"/>
        <v>7.4719999999999981E-2</v>
      </c>
    </row>
    <row r="33" spans="1:12" s="1495" customFormat="1">
      <c r="A33" s="2560" t="s">
        <v>1183</v>
      </c>
      <c r="B33" s="2560"/>
      <c r="C33" s="2560"/>
      <c r="D33" s="1496">
        <f>SUM(D25:D32)</f>
        <v>55.480000000000004</v>
      </c>
      <c r="E33" s="1497"/>
      <c r="F33" s="1498"/>
      <c r="I33" s="1500"/>
      <c r="J33" s="1500"/>
    </row>
    <row r="34" spans="1:12" s="1495" customFormat="1" ht="56.25">
      <c r="A34" s="2559"/>
      <c r="B34" s="2559"/>
      <c r="C34" s="1501" t="s">
        <v>1187</v>
      </c>
      <c r="D34" s="1363">
        <v>15</v>
      </c>
      <c r="E34" s="1362">
        <f t="shared" si="0"/>
        <v>12</v>
      </c>
      <c r="F34" s="1363">
        <v>1.5</v>
      </c>
      <c r="G34" s="1364" t="s">
        <v>1238</v>
      </c>
      <c r="H34" s="1365">
        <v>3.3399999999999999E-2</v>
      </c>
      <c r="I34" s="1366">
        <f t="shared" si="2"/>
        <v>0.40079999999999999</v>
      </c>
      <c r="J34" s="1366">
        <f t="shared" si="3"/>
        <v>5.0099999999999999E-2</v>
      </c>
      <c r="L34" s="1500">
        <f>I34+I2+I3+I5+I6</f>
        <v>0.75136639999999999</v>
      </c>
    </row>
    <row r="35" spans="1:12" s="1495" customFormat="1">
      <c r="A35" s="2559"/>
      <c r="B35" s="2559"/>
      <c r="C35" s="1501"/>
      <c r="D35" s="1498"/>
      <c r="E35" s="1497"/>
      <c r="F35" s="1498">
        <v>1.5</v>
      </c>
      <c r="G35" s="1504" t="s">
        <v>1239</v>
      </c>
      <c r="H35" s="1503">
        <v>6.3299999999999995E-2</v>
      </c>
      <c r="I35" s="1500">
        <v>0</v>
      </c>
      <c r="J35" s="1500">
        <f t="shared" si="3"/>
        <v>9.4949999999999993E-2</v>
      </c>
      <c r="L35" s="1495" t="s">
        <v>1270</v>
      </c>
    </row>
    <row r="36" spans="1:12" s="1495" customFormat="1">
      <c r="A36" s="2559"/>
      <c r="B36" s="2559"/>
      <c r="C36" s="1505" t="s">
        <v>1188</v>
      </c>
      <c r="D36" s="1498">
        <v>3</v>
      </c>
      <c r="E36" s="1497">
        <f t="shared" si="0"/>
        <v>2.4000000000000004</v>
      </c>
      <c r="F36" s="1498">
        <f t="shared" si="1"/>
        <v>0.59999999999999964</v>
      </c>
      <c r="G36" s="1504" t="s">
        <v>1239</v>
      </c>
      <c r="H36" s="1503">
        <v>6.3299999999999995E-2</v>
      </c>
      <c r="I36" s="1500">
        <f t="shared" si="2"/>
        <v>0.15192</v>
      </c>
      <c r="J36" s="1500">
        <f t="shared" si="3"/>
        <v>3.7979999999999972E-2</v>
      </c>
    </row>
    <row r="37" spans="1:12" s="1495" customFormat="1">
      <c r="A37" s="2559"/>
      <c r="B37" s="2559"/>
      <c r="C37" s="1494" t="s">
        <v>1189</v>
      </c>
      <c r="D37" s="1468">
        <v>6.5</v>
      </c>
      <c r="E37" s="1467">
        <f t="shared" si="0"/>
        <v>5.2</v>
      </c>
      <c r="F37" s="1468">
        <f t="shared" si="1"/>
        <v>1.2999999999999998</v>
      </c>
      <c r="G37" s="1447" t="s">
        <v>1240</v>
      </c>
      <c r="H37" s="1469">
        <v>6.3299999999999995E-2</v>
      </c>
      <c r="I37" s="1470">
        <f t="shared" si="2"/>
        <v>0.32916000000000001</v>
      </c>
      <c r="J37" s="1470">
        <f t="shared" si="3"/>
        <v>8.2289999999999988E-2</v>
      </c>
    </row>
    <row r="38" spans="1:12" s="1495" customFormat="1">
      <c r="A38" s="2559"/>
      <c r="B38" s="2559"/>
      <c r="C38" s="1494" t="s">
        <v>1121</v>
      </c>
      <c r="D38" s="1405">
        <v>0.75</v>
      </c>
      <c r="E38" s="1506">
        <f t="shared" si="0"/>
        <v>0.60000000000000009</v>
      </c>
      <c r="F38" s="1405">
        <f t="shared" si="1"/>
        <v>0.14999999999999991</v>
      </c>
      <c r="G38" s="1406" t="s">
        <v>1192</v>
      </c>
      <c r="H38" s="1407">
        <v>0.15</v>
      </c>
      <c r="I38" s="1507">
        <f t="shared" si="2"/>
        <v>9.0000000000000011E-2</v>
      </c>
      <c r="J38" s="1507">
        <f t="shared" si="3"/>
        <v>2.2499999999999985E-2</v>
      </c>
    </row>
    <row r="39" spans="1:12" s="1495" customFormat="1">
      <c r="A39" s="2559"/>
      <c r="B39" s="2559"/>
      <c r="C39" s="1494" t="s">
        <v>1123</v>
      </c>
      <c r="D39" s="1508">
        <v>7.7</v>
      </c>
      <c r="E39" s="1509">
        <f t="shared" si="0"/>
        <v>6.16</v>
      </c>
      <c r="F39" s="1508">
        <f t="shared" si="1"/>
        <v>1.54</v>
      </c>
      <c r="G39" s="1510" t="s">
        <v>1192</v>
      </c>
      <c r="H39" s="1511">
        <v>0.3</v>
      </c>
      <c r="I39" s="1512">
        <f t="shared" si="2"/>
        <v>1.8479999999999999</v>
      </c>
      <c r="J39" s="1512">
        <f t="shared" si="3"/>
        <v>0.46199999999999997</v>
      </c>
    </row>
    <row r="40" spans="1:12" s="1495" customFormat="1">
      <c r="A40" s="2559"/>
      <c r="B40" s="2559"/>
      <c r="C40" s="1494" t="s">
        <v>1195</v>
      </c>
      <c r="D40" s="1468">
        <v>2</v>
      </c>
      <c r="E40" s="1467">
        <f t="shared" si="0"/>
        <v>1.6</v>
      </c>
      <c r="F40" s="1468">
        <f t="shared" si="1"/>
        <v>0.39999999999999991</v>
      </c>
      <c r="G40" s="1447" t="s">
        <v>1196</v>
      </c>
      <c r="H40" s="1469">
        <v>6.3299999999999995E-2</v>
      </c>
      <c r="I40" s="1470">
        <f t="shared" si="2"/>
        <v>0.10128</v>
      </c>
      <c r="J40" s="1470">
        <f t="shared" si="3"/>
        <v>2.5319999999999992E-2</v>
      </c>
    </row>
    <row r="41" spans="1:12" s="1495" customFormat="1">
      <c r="A41" s="2559"/>
      <c r="B41" s="2559"/>
      <c r="C41" s="1494" t="s">
        <v>1199</v>
      </c>
      <c r="D41" s="1508">
        <v>0.75</v>
      </c>
      <c r="E41" s="1509">
        <f t="shared" si="0"/>
        <v>0.60000000000000009</v>
      </c>
      <c r="F41" s="1508">
        <f t="shared" si="1"/>
        <v>0.14999999999999991</v>
      </c>
      <c r="G41" s="1510" t="s">
        <v>1190</v>
      </c>
      <c r="H41" s="1511">
        <v>0.3</v>
      </c>
      <c r="I41" s="1512">
        <f t="shared" si="2"/>
        <v>0.18000000000000002</v>
      </c>
      <c r="J41" s="1512">
        <f t="shared" si="3"/>
        <v>4.4999999999999971E-2</v>
      </c>
    </row>
    <row r="42" spans="1:12" s="1495" customFormat="1">
      <c r="A42" s="2560" t="s">
        <v>1064</v>
      </c>
      <c r="B42" s="2560"/>
      <c r="C42" s="2560"/>
      <c r="D42" s="1496">
        <f>SUM(D34:D41)</f>
        <v>35.700000000000003</v>
      </c>
      <c r="E42" s="1497"/>
      <c r="F42" s="1498"/>
      <c r="I42" s="1500"/>
      <c r="J42" s="1500"/>
    </row>
    <row r="43" spans="1:12" s="1495" customFormat="1" ht="38.25" customHeight="1">
      <c r="A43" s="1513">
        <v>6</v>
      </c>
      <c r="B43" s="1513" t="s">
        <v>1201</v>
      </c>
      <c r="C43" s="1501" t="s">
        <v>1204</v>
      </c>
      <c r="D43" s="1425">
        <v>1.2</v>
      </c>
      <c r="E43" s="1424">
        <f t="shared" si="0"/>
        <v>0.96</v>
      </c>
      <c r="F43" s="1425">
        <f t="shared" si="1"/>
        <v>0.24</v>
      </c>
      <c r="G43" s="1426" t="s">
        <v>1205</v>
      </c>
      <c r="H43" s="1427">
        <v>4.6699999999999998E-2</v>
      </c>
      <c r="I43" s="1428">
        <f t="shared" si="2"/>
        <v>4.4831999999999997E-2</v>
      </c>
      <c r="J43" s="1428">
        <f t="shared" si="3"/>
        <v>1.1207999999999999E-2</v>
      </c>
    </row>
    <row r="44" spans="1:12" s="1495" customFormat="1">
      <c r="A44" s="2560" t="s">
        <v>1206</v>
      </c>
      <c r="B44" s="2560"/>
      <c r="C44" s="2560"/>
      <c r="D44" s="1496">
        <f>SUM(D43:D43)</f>
        <v>1.2</v>
      </c>
      <c r="E44" s="1497"/>
      <c r="F44" s="1498"/>
      <c r="I44" s="1500"/>
      <c r="J44" s="1500"/>
    </row>
    <row r="45" spans="1:12">
      <c r="A45" s="2534" t="s">
        <v>1207</v>
      </c>
      <c r="B45" s="2534"/>
      <c r="C45" s="2534"/>
      <c r="D45" s="1430">
        <f>D9+D13+D24+D33+D42+D44</f>
        <v>210.26</v>
      </c>
      <c r="E45" s="1430">
        <f t="shared" si="0"/>
        <v>168.208</v>
      </c>
      <c r="F45" s="1430">
        <f t="shared" si="1"/>
        <v>42.051999999999992</v>
      </c>
      <c r="G45" s="1364"/>
      <c r="H45" s="1364"/>
      <c r="I45" s="1514">
        <f>SUM(I2:I44)</f>
        <v>9.4831247999999952</v>
      </c>
      <c r="J45" s="1514">
        <f>SUM(J2:J44)</f>
        <v>2.4156311999999986</v>
      </c>
    </row>
    <row r="48" spans="1:12" ht="19.5" thickBot="1"/>
    <row r="49" spans="6:18" ht="19.5" thickBot="1">
      <c r="G49" s="2555" t="s">
        <v>1271</v>
      </c>
      <c r="H49" s="2553"/>
      <c r="I49" s="2553"/>
      <c r="J49" s="2553"/>
      <c r="K49" s="2553" t="s">
        <v>1272</v>
      </c>
      <c r="L49" s="2554"/>
      <c r="M49" s="2555" t="s">
        <v>1273</v>
      </c>
      <c r="N49" s="2554"/>
    </row>
    <row r="50" spans="6:18">
      <c r="G50" s="2556" t="s">
        <v>1258</v>
      </c>
      <c r="H50" s="2556"/>
      <c r="I50" s="2556" t="s">
        <v>1274</v>
      </c>
      <c r="J50" s="2556"/>
      <c r="K50" s="2556" t="s">
        <v>1258</v>
      </c>
      <c r="L50" s="2556"/>
      <c r="M50" s="2557" t="s">
        <v>1258</v>
      </c>
      <c r="N50" s="2558"/>
      <c r="P50" s="517" t="s">
        <v>1247</v>
      </c>
      <c r="R50" s="1368">
        <f>0</f>
        <v>0</v>
      </c>
    </row>
    <row r="51" spans="6:18">
      <c r="F51" s="1435"/>
      <c r="G51" s="1435" t="s">
        <v>1260</v>
      </c>
      <c r="H51" s="1435" t="s">
        <v>1261</v>
      </c>
      <c r="I51" s="1435" t="s">
        <v>1275</v>
      </c>
      <c r="J51" s="1435" t="s">
        <v>1276</v>
      </c>
      <c r="K51" s="1435" t="s">
        <v>1260</v>
      </c>
      <c r="L51" s="1435" t="s">
        <v>1261</v>
      </c>
      <c r="M51" s="1435" t="s">
        <v>1260</v>
      </c>
      <c r="N51" s="1435" t="s">
        <v>1261</v>
      </c>
      <c r="P51" s="517"/>
    </row>
    <row r="52" spans="6:18">
      <c r="F52" s="1435" t="s">
        <v>1216</v>
      </c>
      <c r="G52" s="1435">
        <v>22.495999999999999</v>
      </c>
      <c r="H52" s="1435">
        <v>0.75</v>
      </c>
      <c r="I52" s="1514">
        <f>F2+F3+F5+F6+F34</f>
        <v>4.1239999999999988</v>
      </c>
      <c r="J52" s="1514">
        <f>J2+J3+J5+J6+J34</f>
        <v>0.13774159999999996</v>
      </c>
      <c r="K52" s="1514">
        <f>'Capex plan 25-26'!I53</f>
        <v>5.62</v>
      </c>
      <c r="L52" s="1514">
        <f>'Capex plan 25-26'!J53</f>
        <v>0.188</v>
      </c>
      <c r="M52" s="1515">
        <f>G52+K52</f>
        <v>28.116</v>
      </c>
      <c r="N52" s="1515">
        <f>H52+L52</f>
        <v>0.93799999999999994</v>
      </c>
      <c r="P52" s="517" t="s">
        <v>1216</v>
      </c>
      <c r="R52" s="1376">
        <f>M52</f>
        <v>28.116</v>
      </c>
    </row>
    <row r="53" spans="6:18">
      <c r="F53" s="1435" t="s">
        <v>1217</v>
      </c>
      <c r="G53" s="1435">
        <v>128.19200000000001</v>
      </c>
      <c r="H53" s="1435">
        <v>5.99</v>
      </c>
      <c r="I53" s="1371">
        <v>32.049999999999997</v>
      </c>
      <c r="J53" s="1371">
        <v>1.5</v>
      </c>
      <c r="K53" s="1514">
        <f>'Capex plan 25-26'!I54</f>
        <v>31.61</v>
      </c>
      <c r="L53" s="1514">
        <f>'Capex plan 25-26'!J54</f>
        <v>1.47</v>
      </c>
      <c r="M53" s="1515">
        <f t="shared" ref="M53:N63" si="4">G53+K53</f>
        <v>159.80200000000002</v>
      </c>
      <c r="N53" s="1515">
        <f t="shared" si="4"/>
        <v>7.46</v>
      </c>
      <c r="P53" s="517"/>
    </row>
    <row r="54" spans="6:18">
      <c r="F54" s="1435" t="s">
        <v>1218</v>
      </c>
      <c r="G54" s="1435"/>
      <c r="H54" s="1435"/>
      <c r="I54" s="1420">
        <v>0</v>
      </c>
      <c r="J54" s="1420">
        <v>0</v>
      </c>
      <c r="K54" s="1514">
        <f>'Capex plan 25-26'!I55</f>
        <v>0</v>
      </c>
      <c r="L54" s="1514">
        <f>'Capex plan 25-26'!J55</f>
        <v>0</v>
      </c>
      <c r="M54" s="1515">
        <f t="shared" si="4"/>
        <v>0</v>
      </c>
      <c r="N54" s="1515">
        <f t="shared" si="4"/>
        <v>0</v>
      </c>
      <c r="P54" s="517" t="s">
        <v>1248</v>
      </c>
      <c r="R54" s="1376">
        <f>M53+M57</f>
        <v>161.36200000000002</v>
      </c>
    </row>
    <row r="55" spans="6:18">
      <c r="F55" s="1435" t="s">
        <v>1219</v>
      </c>
      <c r="G55" s="1435"/>
      <c r="H55" s="1435"/>
      <c r="I55" s="1516">
        <f>F35</f>
        <v>1.5</v>
      </c>
      <c r="J55" s="1444">
        <f>J35</f>
        <v>9.4949999999999993E-2</v>
      </c>
      <c r="K55" s="1514">
        <f>'Capex plan 25-26'!I56</f>
        <v>3.1</v>
      </c>
      <c r="L55" s="1514">
        <f>'Capex plan 25-26'!J56</f>
        <v>0.19600000000000001</v>
      </c>
      <c r="M55" s="1515">
        <f t="shared" si="4"/>
        <v>3.1</v>
      </c>
      <c r="N55" s="1515">
        <f t="shared" si="4"/>
        <v>0.19600000000000001</v>
      </c>
      <c r="P55" s="517"/>
    </row>
    <row r="56" spans="6:18">
      <c r="F56" s="1435" t="s">
        <v>1220</v>
      </c>
      <c r="G56" s="1435">
        <v>2.4</v>
      </c>
      <c r="H56" s="1435">
        <v>0.15</v>
      </c>
      <c r="I56" s="1448">
        <f>F36</f>
        <v>0.59999999999999964</v>
      </c>
      <c r="J56" s="1449">
        <f>J36</f>
        <v>3.7979999999999972E-2</v>
      </c>
      <c r="K56" s="1514">
        <f>'Capex plan 25-26'!I57</f>
        <v>0</v>
      </c>
      <c r="L56" s="1514">
        <f>'Capex plan 25-26'!J57</f>
        <v>0</v>
      </c>
      <c r="M56" s="1515">
        <f t="shared" si="4"/>
        <v>2.4</v>
      </c>
      <c r="N56" s="1515">
        <f t="shared" si="4"/>
        <v>0.15</v>
      </c>
      <c r="P56" s="517" t="s">
        <v>1249</v>
      </c>
      <c r="R56" s="1376">
        <f>M55</f>
        <v>3.1</v>
      </c>
    </row>
    <row r="57" spans="6:18">
      <c r="F57" s="1435" t="s">
        <v>1221</v>
      </c>
      <c r="G57" s="1426">
        <v>0.96</v>
      </c>
      <c r="H57" s="1426">
        <v>0.04</v>
      </c>
      <c r="I57" s="1451">
        <f>F43</f>
        <v>0.24</v>
      </c>
      <c r="J57" s="1451">
        <f>J43</f>
        <v>1.1207999999999999E-2</v>
      </c>
      <c r="K57" s="1514">
        <f>'Capex plan 25-26'!I58</f>
        <v>0.59999999999999964</v>
      </c>
      <c r="L57" s="1514">
        <f>'Capex plan 25-26'!J58</f>
        <v>2.8019999999999982E-2</v>
      </c>
      <c r="M57" s="1515">
        <f t="shared" si="4"/>
        <v>1.5599999999999996</v>
      </c>
      <c r="N57" s="1515">
        <f t="shared" si="4"/>
        <v>6.8019999999999983E-2</v>
      </c>
      <c r="P57" s="517"/>
    </row>
    <row r="58" spans="6:18">
      <c r="F58" s="1455" t="s">
        <v>1222</v>
      </c>
      <c r="G58" s="1517">
        <v>6.76</v>
      </c>
      <c r="H58" s="1517">
        <v>2.0299999999999998</v>
      </c>
      <c r="I58" s="1518">
        <v>1.69</v>
      </c>
      <c r="J58" s="1519">
        <v>0.51</v>
      </c>
      <c r="K58" s="1514">
        <f>'Capex plan 25-26'!I59</f>
        <v>0.15</v>
      </c>
      <c r="L58" s="1514">
        <f>'Capex plan 25-26'!J59</f>
        <v>4.4999999999999998E-2</v>
      </c>
      <c r="M58" s="1515">
        <f t="shared" si="4"/>
        <v>6.91</v>
      </c>
      <c r="N58" s="1515">
        <f t="shared" si="4"/>
        <v>2.0749999999999997</v>
      </c>
      <c r="P58" s="517" t="s">
        <v>1218</v>
      </c>
      <c r="R58" s="1376">
        <f>M54</f>
        <v>0</v>
      </c>
    </row>
    <row r="59" spans="6:18">
      <c r="F59" s="1455" t="s">
        <v>1223</v>
      </c>
      <c r="G59" s="1520">
        <v>6.8</v>
      </c>
      <c r="H59" s="1520">
        <v>0.43</v>
      </c>
      <c r="I59" s="1448">
        <v>1.7</v>
      </c>
      <c r="J59" s="1449">
        <v>0.11</v>
      </c>
      <c r="K59" s="1514">
        <f>'Capex plan 25-26'!I60</f>
        <v>2.8</v>
      </c>
      <c r="L59" s="1514">
        <f>'Capex plan 25-26'!J60</f>
        <v>0.17699999999999999</v>
      </c>
      <c r="M59" s="1515">
        <f t="shared" si="4"/>
        <v>9.6</v>
      </c>
      <c r="N59" s="1515">
        <f t="shared" si="4"/>
        <v>0.60699999999999998</v>
      </c>
      <c r="P59" s="517"/>
    </row>
    <row r="60" spans="6:18">
      <c r="F60" s="1435" t="s">
        <v>1224</v>
      </c>
      <c r="G60" s="1406">
        <v>0.6</v>
      </c>
      <c r="H60" s="1406">
        <v>0.09</v>
      </c>
      <c r="I60" s="1457">
        <v>0.15</v>
      </c>
      <c r="J60" s="1458">
        <v>0.02</v>
      </c>
      <c r="K60" s="1514">
        <f>'Capex plan 25-26'!I61</f>
        <v>0.15</v>
      </c>
      <c r="L60" s="1514">
        <f>'Capex plan 25-26'!J61</f>
        <v>2.2499999999999999E-2</v>
      </c>
      <c r="M60" s="1515">
        <f t="shared" si="4"/>
        <v>0.75</v>
      </c>
      <c r="N60" s="1515">
        <f t="shared" si="4"/>
        <v>0.11249999999999999</v>
      </c>
      <c r="P60" s="517" t="s">
        <v>849</v>
      </c>
      <c r="R60" s="1376">
        <f>M60+M58</f>
        <v>7.66</v>
      </c>
    </row>
    <row r="61" spans="6:18" ht="19.5" thickBot="1">
      <c r="F61" s="1521"/>
      <c r="G61" s="1521"/>
      <c r="H61" s="1521"/>
      <c r="I61" s="1521"/>
      <c r="J61" s="1521"/>
      <c r="K61" s="1522"/>
      <c r="L61" s="1522"/>
      <c r="M61" s="1523">
        <f t="shared" si="4"/>
        <v>0</v>
      </c>
      <c r="N61" s="1523">
        <f t="shared" si="4"/>
        <v>0</v>
      </c>
      <c r="P61" s="517"/>
    </row>
    <row r="62" spans="6:18" ht="19.5" thickBot="1">
      <c r="F62" s="1524" t="s">
        <v>1225</v>
      </c>
      <c r="G62" s="1525">
        <f t="shared" ref="G62:L62" si="5">SUM(G52:G61)</f>
        <v>168.20800000000003</v>
      </c>
      <c r="H62" s="1525">
        <f t="shared" si="5"/>
        <v>9.48</v>
      </c>
      <c r="I62" s="1525">
        <f t="shared" si="5"/>
        <v>42.053999999999995</v>
      </c>
      <c r="J62" s="1525">
        <f t="shared" si="5"/>
        <v>2.4218796</v>
      </c>
      <c r="K62" s="1526">
        <f t="shared" si="5"/>
        <v>44.029999999999994</v>
      </c>
      <c r="L62" s="1526">
        <f t="shared" si="5"/>
        <v>2.1265199999999997</v>
      </c>
      <c r="M62" s="1527">
        <f t="shared" si="4"/>
        <v>212.23800000000003</v>
      </c>
      <c r="N62" s="1528">
        <f t="shared" si="4"/>
        <v>11.60652</v>
      </c>
      <c r="P62" s="517" t="s">
        <v>851</v>
      </c>
      <c r="R62" s="1376">
        <f>M59+M56</f>
        <v>12</v>
      </c>
    </row>
    <row r="63" spans="6:18">
      <c r="M63" s="1376">
        <f t="shared" si="4"/>
        <v>0</v>
      </c>
      <c r="N63" s="1376">
        <f t="shared" si="4"/>
        <v>0</v>
      </c>
      <c r="R63" s="1368">
        <f>SUM(R50:R62)</f>
        <v>212.238</v>
      </c>
    </row>
    <row r="64" spans="6:18">
      <c r="M64" s="1368">
        <f>M62/0.835</f>
        <v>254.17724550898208</v>
      </c>
    </row>
    <row r="65" spans="13:13">
      <c r="M65" s="1368">
        <f>M64-M62</f>
        <v>41.939245508982054</v>
      </c>
    </row>
  </sheetData>
  <autoFilter ref="A1:J45" xr:uid="{00000000-0009-0000-0000-00001C000000}"/>
  <mergeCells count="24">
    <mergeCell ref="A33:C33"/>
    <mergeCell ref="A2:A8"/>
    <mergeCell ref="B2:B8"/>
    <mergeCell ref="A9:C9"/>
    <mergeCell ref="A10:A12"/>
    <mergeCell ref="B10:B12"/>
    <mergeCell ref="A13:C13"/>
    <mergeCell ref="A14:A23"/>
    <mergeCell ref="B14:B23"/>
    <mergeCell ref="A24:C24"/>
    <mergeCell ref="A25:A32"/>
    <mergeCell ref="B25:B32"/>
    <mergeCell ref="A34:A41"/>
    <mergeCell ref="B34:B41"/>
    <mergeCell ref="A42:C42"/>
    <mergeCell ref="A44:C44"/>
    <mergeCell ref="A45:C45"/>
    <mergeCell ref="K49:L49"/>
    <mergeCell ref="M49:N49"/>
    <mergeCell ref="G50:H50"/>
    <mergeCell ref="I50:J50"/>
    <mergeCell ref="K50:L50"/>
    <mergeCell ref="M50:N50"/>
    <mergeCell ref="G49:J49"/>
  </mergeCell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4"/>
  <sheetViews>
    <sheetView view="pageBreakPreview" zoomScale="85" zoomScaleNormal="85" workbookViewId="0">
      <selection activeCell="F11" sqref="F11"/>
    </sheetView>
  </sheetViews>
  <sheetFormatPr defaultColWidth="9.140625" defaultRowHeight="14.25"/>
  <cols>
    <col min="1" max="1" width="19.85546875" style="78" customWidth="1"/>
    <col min="2" max="2" width="78.42578125" style="78" customWidth="1"/>
    <col min="3" max="3" width="13.28515625" style="78" customWidth="1"/>
    <col min="4" max="16384" width="9.140625" style="78"/>
  </cols>
  <sheetData>
    <row r="1" spans="1:3" ht="19.5" customHeight="1">
      <c r="A1" s="2470" t="s">
        <v>176</v>
      </c>
      <c r="B1" s="2470"/>
      <c r="C1" s="2470"/>
    </row>
    <row r="2" spans="1:3" ht="21.75" customHeight="1">
      <c r="A2" s="2469" t="s">
        <v>177</v>
      </c>
      <c r="B2" s="2469"/>
      <c r="C2" s="2469"/>
    </row>
    <row r="3" spans="1:3" ht="20.45" customHeight="1">
      <c r="A3" s="1791" t="s">
        <v>178</v>
      </c>
      <c r="B3" s="1791" t="s">
        <v>179</v>
      </c>
      <c r="C3" s="1791" t="s">
        <v>180</v>
      </c>
    </row>
    <row r="4" spans="1:3" ht="20.45" customHeight="1">
      <c r="A4" s="299" t="s">
        <v>8</v>
      </c>
      <c r="B4" s="301" t="s">
        <v>9</v>
      </c>
      <c r="C4" s="582" t="s">
        <v>181</v>
      </c>
    </row>
    <row r="5" spans="1:3" ht="20.45" customHeight="1">
      <c r="A5" s="299" t="s">
        <v>11</v>
      </c>
      <c r="B5" s="301" t="s">
        <v>12</v>
      </c>
      <c r="C5" s="304" t="s">
        <v>182</v>
      </c>
    </row>
    <row r="6" spans="1:3" ht="20.45" customHeight="1">
      <c r="A6" s="299" t="s">
        <v>14</v>
      </c>
      <c r="B6" s="301" t="s">
        <v>15</v>
      </c>
      <c r="C6" s="304" t="s">
        <v>183</v>
      </c>
    </row>
    <row r="7" spans="1:3" ht="20.45" customHeight="1">
      <c r="A7" s="299" t="s">
        <v>17</v>
      </c>
      <c r="B7" s="301" t="s">
        <v>18</v>
      </c>
      <c r="C7" s="304" t="s">
        <v>184</v>
      </c>
    </row>
    <row r="8" spans="1:3" ht="20.45" customHeight="1">
      <c r="A8" s="299" t="s">
        <v>20</v>
      </c>
      <c r="B8" s="301" t="s">
        <v>21</v>
      </c>
      <c r="C8" s="299">
        <v>9</v>
      </c>
    </row>
    <row r="9" spans="1:3" ht="20.45" customHeight="1">
      <c r="A9" s="299" t="s">
        <v>23</v>
      </c>
      <c r="B9" s="301" t="s">
        <v>24</v>
      </c>
      <c r="C9" s="304" t="s">
        <v>185</v>
      </c>
    </row>
    <row r="10" spans="1:3" ht="20.45" customHeight="1">
      <c r="A10" s="299" t="s">
        <v>26</v>
      </c>
      <c r="B10" s="301" t="s">
        <v>27</v>
      </c>
      <c r="C10" s="304" t="s">
        <v>186</v>
      </c>
    </row>
    <row r="11" spans="1:3" ht="20.45" customHeight="1">
      <c r="A11" s="299" t="s">
        <v>29</v>
      </c>
      <c r="B11" s="301" t="s">
        <v>30</v>
      </c>
      <c r="C11" s="304" t="s">
        <v>187</v>
      </c>
    </row>
    <row r="12" spans="1:3" ht="20.45" customHeight="1">
      <c r="A12" s="299" t="s">
        <v>32</v>
      </c>
      <c r="B12" s="301" t="s">
        <v>33</v>
      </c>
      <c r="C12" s="304" t="s">
        <v>188</v>
      </c>
    </row>
    <row r="13" spans="1:3" ht="20.45" customHeight="1">
      <c r="A13" s="2469" t="s">
        <v>189</v>
      </c>
      <c r="B13" s="2469"/>
      <c r="C13" s="2469"/>
    </row>
    <row r="14" spans="1:3" ht="20.45" customHeight="1">
      <c r="A14" s="1791" t="s">
        <v>178</v>
      </c>
      <c r="B14" s="1791" t="s">
        <v>179</v>
      </c>
      <c r="C14" s="1791" t="s">
        <v>180</v>
      </c>
    </row>
    <row r="15" spans="1:3" ht="20.45" customHeight="1">
      <c r="A15" s="299" t="s">
        <v>190</v>
      </c>
      <c r="B15" s="301" t="s">
        <v>38</v>
      </c>
      <c r="C15" s="299" t="s">
        <v>191</v>
      </c>
    </row>
    <row r="16" spans="1:3" ht="20.45" customHeight="1">
      <c r="A16" s="299" t="s">
        <v>40</v>
      </c>
      <c r="B16" s="301" t="s">
        <v>41</v>
      </c>
      <c r="C16" s="299">
        <v>28</v>
      </c>
    </row>
    <row r="17" spans="1:3" ht="20.45" customHeight="1">
      <c r="A17" s="299" t="s">
        <v>43</v>
      </c>
      <c r="B17" s="301" t="s">
        <v>44</v>
      </c>
      <c r="C17" s="299">
        <v>29</v>
      </c>
    </row>
    <row r="18" spans="1:3" ht="20.45" customHeight="1">
      <c r="A18" s="299" t="s">
        <v>46</v>
      </c>
      <c r="B18" s="301" t="s">
        <v>47</v>
      </c>
      <c r="C18" s="299">
        <v>30</v>
      </c>
    </row>
    <row r="19" spans="1:3" ht="20.45" customHeight="1">
      <c r="A19" s="299" t="s">
        <v>49</v>
      </c>
      <c r="B19" s="301" t="s">
        <v>50</v>
      </c>
      <c r="C19" s="299">
        <v>31</v>
      </c>
    </row>
    <row r="20" spans="1:3" ht="20.45" customHeight="1">
      <c r="A20" s="299" t="s">
        <v>52</v>
      </c>
      <c r="B20" s="301" t="s">
        <v>53</v>
      </c>
      <c r="C20" s="299">
        <v>32</v>
      </c>
    </row>
    <row r="21" spans="1:3" ht="30.75" customHeight="1">
      <c r="A21" s="299" t="s">
        <v>55</v>
      </c>
      <c r="B21" s="301" t="s">
        <v>56</v>
      </c>
      <c r="C21" s="299">
        <v>33</v>
      </c>
    </row>
    <row r="22" spans="1:3" ht="33.75" customHeight="1">
      <c r="A22" s="299" t="s">
        <v>58</v>
      </c>
      <c r="B22" s="301" t="s">
        <v>59</v>
      </c>
      <c r="C22" s="299">
        <v>34</v>
      </c>
    </row>
    <row r="23" spans="1:3" ht="20.45" customHeight="1">
      <c r="A23" s="299" t="s">
        <v>192</v>
      </c>
      <c r="B23" s="301" t="s">
        <v>62</v>
      </c>
      <c r="C23" s="299" t="s">
        <v>193</v>
      </c>
    </row>
    <row r="24" spans="1:3" ht="20.45" customHeight="1">
      <c r="A24" s="299" t="s">
        <v>64</v>
      </c>
      <c r="B24" s="301" t="s">
        <v>65</v>
      </c>
      <c r="C24" s="299">
        <v>37</v>
      </c>
    </row>
    <row r="25" spans="1:3" ht="20.45" customHeight="1">
      <c r="A25" s="299" t="s">
        <v>67</v>
      </c>
      <c r="B25" s="301" t="s">
        <v>68</v>
      </c>
      <c r="C25" s="304">
        <v>38</v>
      </c>
    </row>
    <row r="26" spans="1:3" ht="20.45" customHeight="1">
      <c r="A26" s="299" t="s">
        <v>194</v>
      </c>
      <c r="B26" s="301" t="s">
        <v>71</v>
      </c>
      <c r="C26" s="304" t="s">
        <v>195</v>
      </c>
    </row>
    <row r="27" spans="1:3" ht="20.45" customHeight="1">
      <c r="A27" s="233" t="s">
        <v>196</v>
      </c>
      <c r="B27" s="301" t="s">
        <v>74</v>
      </c>
      <c r="C27" s="299">
        <v>41</v>
      </c>
    </row>
    <row r="28" spans="1:3" ht="20.45" customHeight="1">
      <c r="A28" s="299" t="s">
        <v>76</v>
      </c>
      <c r="B28" s="301" t="s">
        <v>77</v>
      </c>
      <c r="C28" s="299">
        <v>42</v>
      </c>
    </row>
    <row r="29" spans="1:3" ht="20.45" customHeight="1">
      <c r="A29" s="299" t="s">
        <v>79</v>
      </c>
      <c r="B29" s="301" t="s">
        <v>80</v>
      </c>
      <c r="C29" s="299">
        <v>43</v>
      </c>
    </row>
    <row r="30" spans="1:3" ht="20.45" customHeight="1">
      <c r="A30" s="299" t="s">
        <v>82</v>
      </c>
      <c r="B30" s="301" t="s">
        <v>83</v>
      </c>
      <c r="C30" s="299">
        <v>44</v>
      </c>
    </row>
    <row r="31" spans="1:3" ht="20.45" customHeight="1">
      <c r="A31" s="299" t="s">
        <v>85</v>
      </c>
      <c r="B31" s="301" t="s">
        <v>86</v>
      </c>
      <c r="C31" s="299">
        <v>45</v>
      </c>
    </row>
    <row r="32" spans="1:3" ht="20.45" customHeight="1">
      <c r="A32" s="299" t="s">
        <v>88</v>
      </c>
      <c r="B32" s="301" t="s">
        <v>89</v>
      </c>
      <c r="C32" s="299">
        <v>46</v>
      </c>
    </row>
    <row r="33" spans="1:3" ht="20.45" customHeight="1">
      <c r="A33" s="299" t="s">
        <v>197</v>
      </c>
      <c r="B33" s="301" t="s">
        <v>92</v>
      </c>
      <c r="C33" s="299">
        <v>47</v>
      </c>
    </row>
    <row r="34" spans="1:3" ht="20.45" customHeight="1">
      <c r="A34" s="299" t="s">
        <v>94</v>
      </c>
      <c r="B34" s="301" t="s">
        <v>95</v>
      </c>
      <c r="C34" s="299">
        <v>48</v>
      </c>
    </row>
    <row r="35" spans="1:3" ht="20.45" customHeight="1">
      <c r="A35" s="299" t="s">
        <v>97</v>
      </c>
      <c r="B35" s="301" t="s">
        <v>98</v>
      </c>
      <c r="C35" s="299">
        <v>49</v>
      </c>
    </row>
    <row r="36" spans="1:3" ht="20.45" customHeight="1">
      <c r="A36" s="299" t="s">
        <v>100</v>
      </c>
      <c r="B36" s="301" t="s">
        <v>101</v>
      </c>
      <c r="C36" s="299">
        <v>50</v>
      </c>
    </row>
    <row r="37" spans="1:3" ht="20.45" customHeight="1">
      <c r="A37" s="1791" t="s">
        <v>178</v>
      </c>
      <c r="B37" s="1791" t="s">
        <v>179</v>
      </c>
      <c r="C37" s="1791" t="s">
        <v>180</v>
      </c>
    </row>
    <row r="38" spans="1:3" ht="20.45" customHeight="1">
      <c r="A38" s="299" t="s">
        <v>103</v>
      </c>
      <c r="B38" s="301" t="s">
        <v>104</v>
      </c>
      <c r="C38" s="299">
        <v>51</v>
      </c>
    </row>
    <row r="39" spans="1:3" ht="20.45" customHeight="1">
      <c r="A39" s="299" t="s">
        <v>106</v>
      </c>
      <c r="B39" s="301" t="s">
        <v>107</v>
      </c>
      <c r="C39" s="299">
        <v>52</v>
      </c>
    </row>
    <row r="40" spans="1:3" ht="20.45" customHeight="1">
      <c r="A40" s="299" t="s">
        <v>109</v>
      </c>
      <c r="B40" s="301" t="s">
        <v>110</v>
      </c>
      <c r="C40" s="299" t="s">
        <v>198</v>
      </c>
    </row>
    <row r="41" spans="1:3" ht="20.45" customHeight="1">
      <c r="A41" s="299" t="s">
        <v>112</v>
      </c>
      <c r="B41" s="301" t="s">
        <v>113</v>
      </c>
      <c r="C41" s="299">
        <v>55</v>
      </c>
    </row>
    <row r="42" spans="1:3" ht="20.45" customHeight="1">
      <c r="A42" s="299" t="s">
        <v>115</v>
      </c>
      <c r="B42" s="301" t="s">
        <v>116</v>
      </c>
      <c r="C42" s="299">
        <v>56</v>
      </c>
    </row>
    <row r="43" spans="1:3" ht="20.45" customHeight="1">
      <c r="A43" s="299"/>
      <c r="B43" s="301" t="s">
        <v>199</v>
      </c>
      <c r="C43" s="299" t="s">
        <v>200</v>
      </c>
    </row>
    <row r="44" spans="1:3" ht="20.45" customHeight="1">
      <c r="A44" s="299"/>
      <c r="B44" s="301" t="s">
        <v>201</v>
      </c>
      <c r="C44" s="299">
        <v>59</v>
      </c>
    </row>
    <row r="45" spans="1:3" ht="15">
      <c r="A45" s="2469" t="s">
        <v>202</v>
      </c>
      <c r="B45" s="2469"/>
      <c r="C45" s="2469"/>
    </row>
    <row r="46" spans="1:3" ht="24" customHeight="1">
      <c r="A46" s="1791" t="s">
        <v>178</v>
      </c>
      <c r="B46" s="1791" t="s">
        <v>179</v>
      </c>
      <c r="C46" s="1791" t="s">
        <v>180</v>
      </c>
    </row>
    <row r="47" spans="1:3" ht="19.5" customHeight="1">
      <c r="A47" s="299" t="s">
        <v>120</v>
      </c>
      <c r="B47" s="301" t="s">
        <v>121</v>
      </c>
      <c r="C47" s="299">
        <v>1</v>
      </c>
    </row>
    <row r="48" spans="1:3" ht="19.5" customHeight="1">
      <c r="A48" s="299" t="s">
        <v>123</v>
      </c>
      <c r="B48" s="301" t="s">
        <v>124</v>
      </c>
      <c r="C48" s="299">
        <v>2</v>
      </c>
    </row>
    <row r="49" spans="1:3" ht="19.5" customHeight="1">
      <c r="A49" s="299" t="s">
        <v>126</v>
      </c>
      <c r="B49" s="301" t="s">
        <v>127</v>
      </c>
      <c r="C49" s="299">
        <v>3</v>
      </c>
    </row>
    <row r="50" spans="1:3" ht="19.5" customHeight="1">
      <c r="A50" s="299" t="s">
        <v>129</v>
      </c>
      <c r="B50" s="301" t="s">
        <v>130</v>
      </c>
      <c r="C50" s="299">
        <v>4</v>
      </c>
    </row>
    <row r="51" spans="1:3" ht="19.5" customHeight="1">
      <c r="A51" s="299" t="s">
        <v>132</v>
      </c>
      <c r="B51" s="301" t="s">
        <v>133</v>
      </c>
      <c r="C51" s="299">
        <v>5</v>
      </c>
    </row>
    <row r="52" spans="1:3" ht="19.5" customHeight="1">
      <c r="A52" s="299" t="s">
        <v>135</v>
      </c>
      <c r="B52" s="301" t="s">
        <v>136</v>
      </c>
      <c r="C52" s="299">
        <v>6</v>
      </c>
    </row>
    <row r="53" spans="1:3" ht="19.5" customHeight="1">
      <c r="A53" s="299" t="s">
        <v>138</v>
      </c>
      <c r="B53" s="301" t="s">
        <v>139</v>
      </c>
      <c r="C53" s="299">
        <v>7</v>
      </c>
    </row>
    <row r="54" spans="1:3" ht="19.5" customHeight="1">
      <c r="A54" s="299" t="s">
        <v>141</v>
      </c>
      <c r="B54" s="301" t="s">
        <v>142</v>
      </c>
      <c r="C54" s="303" t="s">
        <v>203</v>
      </c>
    </row>
    <row r="55" spans="1:3" ht="37.5" customHeight="1">
      <c r="A55" s="299" t="s">
        <v>144</v>
      </c>
      <c r="B55" s="301" t="s">
        <v>145</v>
      </c>
      <c r="C55" s="299" t="s">
        <v>204</v>
      </c>
    </row>
    <row r="56" spans="1:3" ht="19.5" customHeight="1">
      <c r="A56" s="299" t="s">
        <v>147</v>
      </c>
      <c r="B56" s="301" t="s">
        <v>148</v>
      </c>
      <c r="C56" s="299">
        <v>442</v>
      </c>
    </row>
    <row r="57" spans="1:3" ht="19.5" customHeight="1">
      <c r="A57" s="299" t="s">
        <v>150</v>
      </c>
      <c r="B57" s="301" t="s">
        <v>151</v>
      </c>
      <c r="C57" s="299" t="s">
        <v>205</v>
      </c>
    </row>
    <row r="58" spans="1:3" ht="19.5" customHeight="1">
      <c r="A58" s="299" t="s">
        <v>153</v>
      </c>
      <c r="B58" s="301" t="s">
        <v>154</v>
      </c>
      <c r="C58" s="299">
        <v>483</v>
      </c>
    </row>
    <row r="59" spans="1:3" ht="19.5" customHeight="1">
      <c r="A59" s="299" t="s">
        <v>156</v>
      </c>
      <c r="B59" s="301" t="s">
        <v>157</v>
      </c>
      <c r="C59" s="299">
        <v>484</v>
      </c>
    </row>
    <row r="60" spans="1:3" ht="19.5" customHeight="1">
      <c r="A60" s="299" t="s">
        <v>159</v>
      </c>
      <c r="B60" s="301" t="s">
        <v>160</v>
      </c>
      <c r="C60" s="299">
        <v>485</v>
      </c>
    </row>
    <row r="61" spans="1:3" ht="19.5" customHeight="1">
      <c r="A61" s="299" t="s">
        <v>162</v>
      </c>
      <c r="B61" s="301" t="s">
        <v>163</v>
      </c>
      <c r="C61" s="299">
        <v>486</v>
      </c>
    </row>
    <row r="62" spans="1:3" ht="19.5" customHeight="1">
      <c r="A62" s="299" t="s">
        <v>165</v>
      </c>
      <c r="B62" s="301" t="s">
        <v>166</v>
      </c>
      <c r="C62" s="299">
        <v>487</v>
      </c>
    </row>
    <row r="63" spans="1:3" ht="19.5" customHeight="1">
      <c r="A63" s="299" t="s">
        <v>168</v>
      </c>
      <c r="B63" s="301" t="s">
        <v>169</v>
      </c>
      <c r="C63" s="299" t="s">
        <v>206</v>
      </c>
    </row>
    <row r="64" spans="1:3" ht="19.5" customHeight="1">
      <c r="A64" s="299"/>
      <c r="B64" s="301" t="s">
        <v>207</v>
      </c>
      <c r="C64" s="299" t="s">
        <v>208</v>
      </c>
    </row>
  </sheetData>
  <mergeCells count="4">
    <mergeCell ref="A1:C1"/>
    <mergeCell ref="A2:C2"/>
    <mergeCell ref="A13:C13"/>
    <mergeCell ref="A45:C45"/>
  </mergeCells>
  <printOptions horizontalCentered="1"/>
  <pageMargins left="0.16" right="0.22" top="0.43307086614173201" bottom="0.62992125984252001" header="0.27559055118110198" footer="0.35433070866141703"/>
  <pageSetup paperSize="9" scale="91" orientation="portrait" r:id="rId1"/>
  <headerFooter alignWithMargins="0"/>
  <rowBreaks count="1" manualBreakCount="1">
    <brk id="3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P66"/>
  <sheetViews>
    <sheetView zoomScale="70" zoomScaleNormal="70" workbookViewId="0">
      <pane xSplit="3" ySplit="1" topLeftCell="D26" activePane="bottomRight" state="frozen"/>
      <selection pane="bottomRight" activeCell="M14" sqref="M14"/>
      <selection pane="bottomLeft" activeCell="E19" sqref="E19"/>
      <selection pane="topRight" activeCell="E19" sqref="E19"/>
    </sheetView>
  </sheetViews>
  <sheetFormatPr defaultColWidth="9.140625" defaultRowHeight="18.75"/>
  <cols>
    <col min="1" max="1" width="9.28515625" style="1368" customWidth="1"/>
    <col min="2" max="2" width="19.140625" style="1368" customWidth="1"/>
    <col min="3" max="3" width="63.140625" style="1368" customWidth="1"/>
    <col min="4" max="4" width="16.140625" style="1432" customWidth="1"/>
    <col min="5" max="5" width="22.28515625" style="1368" customWidth="1"/>
    <col min="6" max="6" width="22" style="1368" hidden="1" customWidth="1"/>
    <col min="7" max="7" width="15.85546875" style="1368" hidden="1" customWidth="1"/>
    <col min="8" max="9" width="18.28515625" style="1368" hidden="1" customWidth="1"/>
    <col min="10" max="10" width="19.140625" style="1368" hidden="1" customWidth="1"/>
    <col min="11" max="11" width="16.85546875" style="1368" hidden="1" customWidth="1"/>
    <col min="12" max="12" width="22.85546875" style="1368" customWidth="1"/>
    <col min="13" max="13" width="21.5703125" style="1368" customWidth="1"/>
    <col min="14" max="14" width="9.140625" style="1368"/>
    <col min="15" max="15" width="31.42578125" style="1368" customWidth="1"/>
    <col min="16" max="16384" width="9.140625" style="1368"/>
  </cols>
  <sheetData>
    <row r="1" spans="1:10" s="1359" customFormat="1" ht="62.25" customHeight="1">
      <c r="A1" s="1356" t="s">
        <v>1002</v>
      </c>
      <c r="B1" s="1356" t="s">
        <v>1003</v>
      </c>
      <c r="C1" s="1356" t="s">
        <v>1004</v>
      </c>
      <c r="D1" s="1357" t="s">
        <v>1277</v>
      </c>
      <c r="E1" s="1357" t="s">
        <v>1278</v>
      </c>
      <c r="F1" s="1357" t="s">
        <v>1279</v>
      </c>
      <c r="G1" s="1357" t="s">
        <v>1229</v>
      </c>
      <c r="H1" s="1357" t="s">
        <v>1230</v>
      </c>
      <c r="I1" s="1357" t="s">
        <v>1276</v>
      </c>
      <c r="J1" s="1358" t="s">
        <v>1280</v>
      </c>
    </row>
    <row r="2" spans="1:10">
      <c r="A2" s="2537">
        <v>1</v>
      </c>
      <c r="B2" s="2537" t="s">
        <v>1015</v>
      </c>
      <c r="C2" s="1360" t="s">
        <v>1137</v>
      </c>
      <c r="D2" s="1361">
        <v>8</v>
      </c>
      <c r="E2" s="1404">
        <f>D2*0.8</f>
        <v>6.4</v>
      </c>
      <c r="F2" s="1529">
        <f>D2-E2</f>
        <v>1.5999999999999996</v>
      </c>
      <c r="G2" s="1530" t="s">
        <v>1138</v>
      </c>
      <c r="H2" s="1531">
        <v>3.3399999999999999E-2</v>
      </c>
      <c r="I2" s="1532">
        <f>E2*H2</f>
        <v>0.21376000000000001</v>
      </c>
      <c r="J2" s="1533">
        <f>F2*H2</f>
        <v>5.3439999999999988E-2</v>
      </c>
    </row>
    <row r="3" spans="1:10">
      <c r="A3" s="2537"/>
      <c r="B3" s="2537"/>
      <c r="C3" s="1360" t="s">
        <v>1139</v>
      </c>
      <c r="D3" s="1361">
        <v>2</v>
      </c>
      <c r="E3" s="1404">
        <f t="shared" ref="E3:E47" si="0">D3*0.8</f>
        <v>1.6</v>
      </c>
      <c r="F3" s="1529">
        <f t="shared" ref="F3:F47" si="1">D3-E3</f>
        <v>0.39999999999999991</v>
      </c>
      <c r="G3" s="1530" t="s">
        <v>1138</v>
      </c>
      <c r="H3" s="1531">
        <v>3.3399999999999999E-2</v>
      </c>
      <c r="I3" s="1532">
        <f t="shared" ref="I3:I45" si="2">E3*H3</f>
        <v>5.3440000000000001E-2</v>
      </c>
      <c r="J3" s="1533">
        <f t="shared" ref="J3:J46" si="3">F3*H3</f>
        <v>1.3359999999999997E-2</v>
      </c>
    </row>
    <row r="4" spans="1:10" ht="37.5">
      <c r="A4" s="2537"/>
      <c r="B4" s="2537"/>
      <c r="C4" s="1360" t="s">
        <v>1140</v>
      </c>
      <c r="D4" s="1361">
        <v>5</v>
      </c>
      <c r="E4" s="1404">
        <f t="shared" si="0"/>
        <v>4</v>
      </c>
      <c r="F4" s="1508">
        <f t="shared" si="1"/>
        <v>1</v>
      </c>
      <c r="G4" s="1510" t="s">
        <v>1141</v>
      </c>
      <c r="H4" s="1534">
        <v>4.6699999999999998E-2</v>
      </c>
      <c r="I4" s="1512">
        <f t="shared" si="2"/>
        <v>0.18679999999999999</v>
      </c>
      <c r="J4" s="1535">
        <f t="shared" si="3"/>
        <v>4.6699999999999998E-2</v>
      </c>
    </row>
    <row r="5" spans="1:10">
      <c r="A5" s="2537"/>
      <c r="B5" s="2537"/>
      <c r="C5" s="1360" t="s">
        <v>1142</v>
      </c>
      <c r="D5" s="1361">
        <v>0.98</v>
      </c>
      <c r="E5" s="1404">
        <f t="shared" si="0"/>
        <v>0.78400000000000003</v>
      </c>
      <c r="F5" s="1529">
        <f t="shared" si="1"/>
        <v>0.19599999999999995</v>
      </c>
      <c r="G5" s="1530" t="s">
        <v>1138</v>
      </c>
      <c r="H5" s="1531">
        <v>3.3399999999999999E-2</v>
      </c>
      <c r="I5" s="1532">
        <f t="shared" si="2"/>
        <v>2.61856E-2</v>
      </c>
      <c r="J5" s="1533">
        <f t="shared" si="3"/>
        <v>6.5463999999999982E-3</v>
      </c>
    </row>
    <row r="6" spans="1:10">
      <c r="A6" s="2537"/>
      <c r="B6" s="2537"/>
      <c r="C6" s="1360" t="s">
        <v>1145</v>
      </c>
      <c r="D6" s="1361">
        <v>1.1399999999999999</v>
      </c>
      <c r="E6" s="1404">
        <f t="shared" si="0"/>
        <v>0.91199999999999992</v>
      </c>
      <c r="F6" s="1529">
        <f t="shared" si="1"/>
        <v>0.22799999999999998</v>
      </c>
      <c r="G6" s="1530" t="s">
        <v>1138</v>
      </c>
      <c r="H6" s="1531">
        <v>3.3399999999999999E-2</v>
      </c>
      <c r="I6" s="1532">
        <f t="shared" si="2"/>
        <v>3.0460799999999996E-2</v>
      </c>
      <c r="J6" s="1533">
        <f t="shared" si="3"/>
        <v>7.6151999999999991E-3</v>
      </c>
    </row>
    <row r="7" spans="1:10">
      <c r="A7" s="2537"/>
      <c r="B7" s="2537"/>
      <c r="C7" s="1360" t="s">
        <v>1146</v>
      </c>
      <c r="D7" s="1361">
        <v>10</v>
      </c>
      <c r="E7" s="1404">
        <f t="shared" si="0"/>
        <v>8</v>
      </c>
      <c r="F7" s="1508">
        <f t="shared" si="1"/>
        <v>2</v>
      </c>
      <c r="G7" s="1510" t="s">
        <v>1147</v>
      </c>
      <c r="H7" s="1534">
        <v>4.6699999999999998E-2</v>
      </c>
      <c r="I7" s="1512">
        <f t="shared" si="2"/>
        <v>0.37359999999999999</v>
      </c>
      <c r="J7" s="1535">
        <f t="shared" si="3"/>
        <v>9.3399999999999997E-2</v>
      </c>
    </row>
    <row r="8" spans="1:10">
      <c r="A8" s="2537"/>
      <c r="B8" s="2537"/>
      <c r="C8" s="1360" t="s">
        <v>1268</v>
      </c>
      <c r="D8" s="1361">
        <v>4</v>
      </c>
      <c r="E8" s="1404">
        <f t="shared" si="0"/>
        <v>3.2</v>
      </c>
      <c r="F8" s="1508">
        <f t="shared" si="1"/>
        <v>0.79999999999999982</v>
      </c>
      <c r="G8" s="1510" t="s">
        <v>1147</v>
      </c>
      <c r="H8" s="1534">
        <v>4.6699999999999998E-2</v>
      </c>
      <c r="I8" s="1512">
        <f t="shared" si="2"/>
        <v>0.14943999999999999</v>
      </c>
      <c r="J8" s="1535">
        <f t="shared" si="3"/>
        <v>3.735999999999999E-2</v>
      </c>
    </row>
    <row r="9" spans="1:10" s="1378" customFormat="1">
      <c r="A9" s="2538" t="s">
        <v>1022</v>
      </c>
      <c r="B9" s="2538"/>
      <c r="C9" s="2538"/>
      <c r="D9" s="1375">
        <f>SUM(D2:D8)</f>
        <v>31.12</v>
      </c>
      <c r="E9" s="1381">
        <f t="shared" si="0"/>
        <v>24.896000000000001</v>
      </c>
      <c r="F9" s="1384">
        <f t="shared" si="1"/>
        <v>6.2240000000000002</v>
      </c>
      <c r="I9" s="1532">
        <f t="shared" si="2"/>
        <v>0</v>
      </c>
      <c r="J9" s="1536">
        <f t="shared" si="3"/>
        <v>0</v>
      </c>
    </row>
    <row r="10" spans="1:10" s="1378" customFormat="1">
      <c r="A10" s="2537">
        <v>2</v>
      </c>
      <c r="B10" s="2537" t="s">
        <v>1023</v>
      </c>
      <c r="C10" s="1360" t="s">
        <v>1234</v>
      </c>
      <c r="D10" s="1361">
        <v>5</v>
      </c>
      <c r="E10" s="1404">
        <f t="shared" si="0"/>
        <v>4</v>
      </c>
      <c r="F10" s="1508">
        <f t="shared" si="1"/>
        <v>1</v>
      </c>
      <c r="G10" s="1537" t="s">
        <v>1235</v>
      </c>
      <c r="H10" s="1534">
        <v>4.6699999999999998E-2</v>
      </c>
      <c r="I10" s="1512">
        <f t="shared" si="2"/>
        <v>0.18679999999999999</v>
      </c>
      <c r="J10" s="1535">
        <f t="shared" si="3"/>
        <v>4.6699999999999998E-2</v>
      </c>
    </row>
    <row r="11" spans="1:10" s="1378" customFormat="1">
      <c r="A11" s="2537"/>
      <c r="B11" s="2537"/>
      <c r="C11" s="1360" t="s">
        <v>1152</v>
      </c>
      <c r="D11" s="1361">
        <v>10</v>
      </c>
      <c r="E11" s="1404">
        <f t="shared" si="0"/>
        <v>8</v>
      </c>
      <c r="F11" s="1508">
        <f t="shared" si="1"/>
        <v>2</v>
      </c>
      <c r="G11" s="1537" t="s">
        <v>1153</v>
      </c>
      <c r="H11" s="1534">
        <v>4.6699999999999998E-2</v>
      </c>
      <c r="I11" s="1512">
        <f t="shared" si="2"/>
        <v>0.37359999999999999</v>
      </c>
      <c r="J11" s="1535">
        <f t="shared" si="3"/>
        <v>9.3399999999999997E-2</v>
      </c>
    </row>
    <row r="12" spans="1:10" s="1378" customFormat="1">
      <c r="A12" s="2537"/>
      <c r="B12" s="2537"/>
      <c r="C12" s="1360" t="s">
        <v>1269</v>
      </c>
      <c r="D12" s="1361">
        <v>4.5</v>
      </c>
      <c r="E12" s="1404">
        <f t="shared" si="0"/>
        <v>3.6</v>
      </c>
      <c r="F12" s="1508">
        <f t="shared" si="1"/>
        <v>0.89999999999999991</v>
      </c>
      <c r="G12" s="1537" t="s">
        <v>1151</v>
      </c>
      <c r="H12" s="1534">
        <v>4.6699999999999998E-2</v>
      </c>
      <c r="I12" s="1512">
        <f t="shared" si="2"/>
        <v>0.16811999999999999</v>
      </c>
      <c r="J12" s="1535">
        <f t="shared" si="3"/>
        <v>4.2029999999999998E-2</v>
      </c>
    </row>
    <row r="13" spans="1:10" s="1378" customFormat="1">
      <c r="A13" s="2538" t="s">
        <v>1028</v>
      </c>
      <c r="B13" s="2538"/>
      <c r="C13" s="2538"/>
      <c r="D13" s="1375">
        <f>SUM(D10:D12)</f>
        <v>19.5</v>
      </c>
      <c r="E13" s="1381">
        <f t="shared" si="0"/>
        <v>15.600000000000001</v>
      </c>
      <c r="F13" s="1384">
        <f t="shared" si="1"/>
        <v>3.8999999999999986</v>
      </c>
      <c r="I13" s="1532">
        <f t="shared" si="2"/>
        <v>0</v>
      </c>
      <c r="J13" s="1536">
        <f t="shared" si="3"/>
        <v>0</v>
      </c>
    </row>
    <row r="14" spans="1:10" s="1378" customFormat="1" ht="38.25" customHeight="1">
      <c r="A14" s="2537">
        <v>3</v>
      </c>
      <c r="B14" s="2537" t="s">
        <v>1029</v>
      </c>
      <c r="C14" s="1360" t="s">
        <v>1157</v>
      </c>
      <c r="D14" s="1361">
        <v>5</v>
      </c>
      <c r="E14" s="1404">
        <f t="shared" si="0"/>
        <v>4</v>
      </c>
      <c r="F14" s="1508">
        <f t="shared" si="1"/>
        <v>1</v>
      </c>
      <c r="G14" s="1538" t="s">
        <v>1158</v>
      </c>
      <c r="H14" s="1534">
        <v>4.6699999999999998E-2</v>
      </c>
      <c r="I14" s="1512">
        <f t="shared" si="2"/>
        <v>0.18679999999999999</v>
      </c>
      <c r="J14" s="1535">
        <f t="shared" si="3"/>
        <v>4.6699999999999998E-2</v>
      </c>
    </row>
    <row r="15" spans="1:10" s="1378" customFormat="1">
      <c r="A15" s="2537"/>
      <c r="B15" s="2537"/>
      <c r="C15" s="1360" t="s">
        <v>1159</v>
      </c>
      <c r="D15" s="1361">
        <v>5</v>
      </c>
      <c r="E15" s="1404">
        <f t="shared" si="0"/>
        <v>4</v>
      </c>
      <c r="F15" s="1508">
        <f t="shared" si="1"/>
        <v>1</v>
      </c>
      <c r="G15" s="1538" t="s">
        <v>1160</v>
      </c>
      <c r="H15" s="1534">
        <v>4.6699999999999998E-2</v>
      </c>
      <c r="I15" s="1512">
        <f t="shared" si="2"/>
        <v>0.18679999999999999</v>
      </c>
      <c r="J15" s="1535">
        <f t="shared" si="3"/>
        <v>4.6699999999999998E-2</v>
      </c>
    </row>
    <row r="16" spans="1:10" s="1378" customFormat="1">
      <c r="A16" s="2537"/>
      <c r="B16" s="2537"/>
      <c r="C16" s="1360" t="s">
        <v>1161</v>
      </c>
      <c r="D16" s="1361">
        <v>10</v>
      </c>
      <c r="E16" s="1404">
        <f t="shared" si="0"/>
        <v>8</v>
      </c>
      <c r="F16" s="1508">
        <f t="shared" si="1"/>
        <v>2</v>
      </c>
      <c r="G16" s="1538" t="s">
        <v>1160</v>
      </c>
      <c r="H16" s="1534">
        <v>4.6699999999999998E-2</v>
      </c>
      <c r="I16" s="1512">
        <f t="shared" si="2"/>
        <v>0.37359999999999999</v>
      </c>
      <c r="J16" s="1535">
        <f t="shared" si="3"/>
        <v>9.3399999999999997E-2</v>
      </c>
    </row>
    <row r="17" spans="1:10" s="1378" customFormat="1" ht="37.5">
      <c r="A17" s="2537"/>
      <c r="B17" s="2537"/>
      <c r="C17" s="1383" t="s">
        <v>1162</v>
      </c>
      <c r="D17" s="1361">
        <v>3.11</v>
      </c>
      <c r="E17" s="1404">
        <f t="shared" si="0"/>
        <v>2.488</v>
      </c>
      <c r="F17" s="1508">
        <f t="shared" si="1"/>
        <v>0.62199999999999989</v>
      </c>
      <c r="G17" s="1538" t="s">
        <v>1163</v>
      </c>
      <c r="H17" s="1534">
        <v>4.6699999999999998E-2</v>
      </c>
      <c r="I17" s="1512">
        <f t="shared" si="2"/>
        <v>0.11618959999999999</v>
      </c>
      <c r="J17" s="1535">
        <f t="shared" si="3"/>
        <v>2.9047399999999994E-2</v>
      </c>
    </row>
    <row r="18" spans="1:10" s="1378" customFormat="1">
      <c r="A18" s="2537"/>
      <c r="B18" s="2537"/>
      <c r="C18" s="1383" t="s">
        <v>1034</v>
      </c>
      <c r="D18" s="1361">
        <v>10</v>
      </c>
      <c r="E18" s="1404">
        <f t="shared" si="0"/>
        <v>8</v>
      </c>
      <c r="F18" s="1508">
        <f t="shared" si="1"/>
        <v>2</v>
      </c>
      <c r="G18" s="1538" t="s">
        <v>1164</v>
      </c>
      <c r="H18" s="1534">
        <v>4.6699999999999998E-2</v>
      </c>
      <c r="I18" s="1512">
        <f t="shared" si="2"/>
        <v>0.37359999999999999</v>
      </c>
      <c r="J18" s="1535">
        <f t="shared" si="3"/>
        <v>9.3399999999999997E-2</v>
      </c>
    </row>
    <row r="19" spans="1:10" s="1378" customFormat="1">
      <c r="A19" s="2537"/>
      <c r="B19" s="2537"/>
      <c r="C19" s="1383" t="s">
        <v>1165</v>
      </c>
      <c r="D19" s="1361">
        <v>3</v>
      </c>
      <c r="E19" s="1404">
        <f t="shared" si="0"/>
        <v>2.4000000000000004</v>
      </c>
      <c r="F19" s="1508">
        <f t="shared" si="1"/>
        <v>0.59999999999999964</v>
      </c>
      <c r="G19" s="1538" t="s">
        <v>1164</v>
      </c>
      <c r="H19" s="1534">
        <v>4.6699999999999998E-2</v>
      </c>
      <c r="I19" s="1512">
        <f t="shared" si="2"/>
        <v>0.11208000000000001</v>
      </c>
      <c r="J19" s="1535">
        <f t="shared" si="3"/>
        <v>2.8019999999999982E-2</v>
      </c>
    </row>
    <row r="20" spans="1:10" s="1378" customFormat="1">
      <c r="A20" s="2537"/>
      <c r="B20" s="2537"/>
      <c r="C20" s="1383" t="s">
        <v>1166</v>
      </c>
      <c r="D20" s="1361">
        <v>1.86</v>
      </c>
      <c r="E20" s="1404">
        <f t="shared" si="0"/>
        <v>1.4880000000000002</v>
      </c>
      <c r="F20" s="1508">
        <f t="shared" si="1"/>
        <v>0.37199999999999989</v>
      </c>
      <c r="G20" s="1538" t="s">
        <v>1164</v>
      </c>
      <c r="H20" s="1534">
        <v>4.6699999999999998E-2</v>
      </c>
      <c r="I20" s="1512">
        <f t="shared" si="2"/>
        <v>6.9489600000000012E-2</v>
      </c>
      <c r="J20" s="1535">
        <f t="shared" si="3"/>
        <v>1.7372399999999993E-2</v>
      </c>
    </row>
    <row r="21" spans="1:10" s="1378" customFormat="1">
      <c r="A21" s="2537"/>
      <c r="B21" s="2537"/>
      <c r="C21" s="1383" t="s">
        <v>1167</v>
      </c>
      <c r="D21" s="1361">
        <v>5</v>
      </c>
      <c r="E21" s="1404">
        <f t="shared" si="0"/>
        <v>4</v>
      </c>
      <c r="F21" s="1508">
        <f t="shared" si="1"/>
        <v>1</v>
      </c>
      <c r="G21" s="1538" t="s">
        <v>1164</v>
      </c>
      <c r="H21" s="1534">
        <v>4.6699999999999998E-2</v>
      </c>
      <c r="I21" s="1512">
        <f t="shared" si="2"/>
        <v>0.18679999999999999</v>
      </c>
      <c r="J21" s="1535">
        <f t="shared" si="3"/>
        <v>4.6699999999999998E-2</v>
      </c>
    </row>
    <row r="22" spans="1:10" s="1378" customFormat="1">
      <c r="A22" s="2537"/>
      <c r="B22" s="2537"/>
      <c r="C22" s="1360" t="s">
        <v>1169</v>
      </c>
      <c r="D22" s="1361">
        <v>0.72</v>
      </c>
      <c r="E22" s="1404">
        <f t="shared" si="0"/>
        <v>0.57599999999999996</v>
      </c>
      <c r="F22" s="1508">
        <f t="shared" si="1"/>
        <v>0.14400000000000002</v>
      </c>
      <c r="G22" s="1538" t="s">
        <v>1164</v>
      </c>
      <c r="H22" s="1534">
        <v>4.6699999999999998E-2</v>
      </c>
      <c r="I22" s="1512">
        <f t="shared" si="2"/>
        <v>2.6899199999999998E-2</v>
      </c>
      <c r="J22" s="1535">
        <f t="shared" si="3"/>
        <v>6.7248000000000004E-3</v>
      </c>
    </row>
    <row r="23" spans="1:10" s="1378" customFormat="1">
      <c r="A23" s="2537"/>
      <c r="B23" s="2537"/>
      <c r="C23" s="1383" t="s">
        <v>1171</v>
      </c>
      <c r="D23" s="1361">
        <v>4</v>
      </c>
      <c r="E23" s="1404">
        <f t="shared" si="0"/>
        <v>3.2</v>
      </c>
      <c r="F23" s="1508">
        <f t="shared" si="1"/>
        <v>0.79999999999999982</v>
      </c>
      <c r="G23" s="1538" t="s">
        <v>1164</v>
      </c>
      <c r="H23" s="1534">
        <v>4.6699999999999998E-2</v>
      </c>
      <c r="I23" s="1512">
        <f t="shared" si="2"/>
        <v>0.14943999999999999</v>
      </c>
      <c r="J23" s="1535">
        <f t="shared" si="3"/>
        <v>3.735999999999999E-2</v>
      </c>
    </row>
    <row r="24" spans="1:10" s="1378" customFormat="1">
      <c r="A24" s="2537"/>
      <c r="B24" s="2537"/>
      <c r="C24" s="1360" t="s">
        <v>1172</v>
      </c>
      <c r="D24" s="1361">
        <v>5</v>
      </c>
      <c r="E24" s="1404">
        <f t="shared" si="0"/>
        <v>4</v>
      </c>
      <c r="F24" s="1508">
        <f t="shared" si="1"/>
        <v>1</v>
      </c>
      <c r="G24" s="1538" t="s">
        <v>1164</v>
      </c>
      <c r="H24" s="1534">
        <v>4.6699999999999998E-2</v>
      </c>
      <c r="I24" s="1512">
        <f t="shared" si="2"/>
        <v>0.18679999999999999</v>
      </c>
      <c r="J24" s="1535">
        <f t="shared" si="3"/>
        <v>4.6699999999999998E-2</v>
      </c>
    </row>
    <row r="25" spans="1:10" s="1378" customFormat="1">
      <c r="A25" s="2538" t="s">
        <v>1041</v>
      </c>
      <c r="B25" s="2538"/>
      <c r="C25" s="2538"/>
      <c r="D25" s="1375">
        <f>SUM(D14:D24)</f>
        <v>52.69</v>
      </c>
      <c r="E25" s="1381">
        <f t="shared" si="0"/>
        <v>42.152000000000001</v>
      </c>
      <c r="F25" s="1384">
        <f t="shared" si="1"/>
        <v>10.537999999999997</v>
      </c>
      <c r="I25" s="1532">
        <f t="shared" si="2"/>
        <v>0</v>
      </c>
      <c r="J25" s="1536">
        <f t="shared" si="3"/>
        <v>0</v>
      </c>
    </row>
    <row r="26" spans="1:10" ht="18.75" customHeight="1">
      <c r="A26" s="2537">
        <v>4</v>
      </c>
      <c r="B26" s="2537" t="s">
        <v>1173</v>
      </c>
      <c r="C26" s="1383" t="s">
        <v>1174</v>
      </c>
      <c r="D26" s="1361">
        <v>4.5</v>
      </c>
      <c r="E26" s="1404">
        <f t="shared" si="0"/>
        <v>3.6</v>
      </c>
      <c r="F26" s="1508">
        <f t="shared" si="1"/>
        <v>0.89999999999999991</v>
      </c>
      <c r="G26" s="1510" t="s">
        <v>1236</v>
      </c>
      <c r="H26" s="1534">
        <v>4.6699999999999998E-2</v>
      </c>
      <c r="I26" s="1512">
        <f t="shared" si="2"/>
        <v>0.16811999999999999</v>
      </c>
      <c r="J26" s="1535">
        <f t="shared" si="3"/>
        <v>4.2029999999999998E-2</v>
      </c>
    </row>
    <row r="27" spans="1:10">
      <c r="A27" s="2537"/>
      <c r="B27" s="2537"/>
      <c r="C27" s="1383" t="s">
        <v>1175</v>
      </c>
      <c r="D27" s="1361">
        <v>8</v>
      </c>
      <c r="E27" s="1404">
        <f t="shared" si="0"/>
        <v>6.4</v>
      </c>
      <c r="F27" s="1508">
        <f t="shared" si="1"/>
        <v>1.5999999999999996</v>
      </c>
      <c r="G27" s="1510" t="s">
        <v>1236</v>
      </c>
      <c r="H27" s="1534">
        <v>4.6699999999999998E-2</v>
      </c>
      <c r="I27" s="1512">
        <f t="shared" si="2"/>
        <v>0.29887999999999998</v>
      </c>
      <c r="J27" s="1535">
        <f t="shared" si="3"/>
        <v>7.4719999999999981E-2</v>
      </c>
    </row>
    <row r="28" spans="1:10">
      <c r="A28" s="2537"/>
      <c r="B28" s="2537"/>
      <c r="C28" s="1383" t="s">
        <v>1176</v>
      </c>
      <c r="D28" s="1361">
        <v>3</v>
      </c>
      <c r="E28" s="1404">
        <f t="shared" si="0"/>
        <v>2.4000000000000004</v>
      </c>
      <c r="F28" s="1508">
        <f t="shared" si="1"/>
        <v>0.59999999999999964</v>
      </c>
      <c r="G28" s="1510" t="s">
        <v>1236</v>
      </c>
      <c r="H28" s="1534">
        <v>4.6699999999999998E-2</v>
      </c>
      <c r="I28" s="1512">
        <f t="shared" si="2"/>
        <v>0.11208000000000001</v>
      </c>
      <c r="J28" s="1535">
        <f t="shared" si="3"/>
        <v>2.8019999999999982E-2</v>
      </c>
    </row>
    <row r="29" spans="1:10">
      <c r="A29" s="2537"/>
      <c r="B29" s="2537"/>
      <c r="C29" s="1383" t="s">
        <v>1177</v>
      </c>
      <c r="D29" s="1361">
        <v>24.12</v>
      </c>
      <c r="E29" s="1404">
        <f t="shared" si="0"/>
        <v>19.296000000000003</v>
      </c>
      <c r="F29" s="1508">
        <f t="shared" si="1"/>
        <v>4.8239999999999981</v>
      </c>
      <c r="G29" s="1510" t="s">
        <v>1236</v>
      </c>
      <c r="H29" s="1534">
        <v>4.6699999999999998E-2</v>
      </c>
      <c r="I29" s="1512">
        <f t="shared" si="2"/>
        <v>0.90112320000000012</v>
      </c>
      <c r="J29" s="1535">
        <f t="shared" si="3"/>
        <v>0.22528079999999989</v>
      </c>
    </row>
    <row r="30" spans="1:10">
      <c r="A30" s="2537"/>
      <c r="B30" s="2537"/>
      <c r="C30" s="1383" t="s">
        <v>1178</v>
      </c>
      <c r="D30" s="1361">
        <v>9.8000000000000007</v>
      </c>
      <c r="E30" s="1404">
        <f t="shared" si="0"/>
        <v>7.8400000000000007</v>
      </c>
      <c r="F30" s="1508">
        <f t="shared" si="1"/>
        <v>1.96</v>
      </c>
      <c r="G30" s="1510" t="s">
        <v>1236</v>
      </c>
      <c r="H30" s="1534">
        <v>4.6699999999999998E-2</v>
      </c>
      <c r="I30" s="1512">
        <f t="shared" si="2"/>
        <v>0.36612800000000001</v>
      </c>
      <c r="J30" s="1535">
        <f t="shared" si="3"/>
        <v>9.1532000000000002E-2</v>
      </c>
    </row>
    <row r="31" spans="1:10">
      <c r="A31" s="2537"/>
      <c r="B31" s="2537"/>
      <c r="C31" s="1383" t="s">
        <v>1179</v>
      </c>
      <c r="D31" s="1361">
        <v>5.08</v>
      </c>
      <c r="E31" s="1404">
        <f t="shared" si="0"/>
        <v>4.0640000000000001</v>
      </c>
      <c r="F31" s="1508">
        <f t="shared" si="1"/>
        <v>1.016</v>
      </c>
      <c r="G31" s="1510" t="s">
        <v>1236</v>
      </c>
      <c r="H31" s="1534">
        <v>4.6699999999999998E-2</v>
      </c>
      <c r="I31" s="1512">
        <f t="shared" si="2"/>
        <v>0.18978880000000001</v>
      </c>
      <c r="J31" s="1535">
        <f t="shared" si="3"/>
        <v>4.7447200000000002E-2</v>
      </c>
    </row>
    <row r="32" spans="1:10" ht="21" customHeight="1">
      <c r="A32" s="2537"/>
      <c r="B32" s="2537"/>
      <c r="C32" s="1383" t="s">
        <v>1180</v>
      </c>
      <c r="D32" s="1361">
        <v>8</v>
      </c>
      <c r="E32" s="1404">
        <f t="shared" si="0"/>
        <v>6.4</v>
      </c>
      <c r="F32" s="1508">
        <f t="shared" si="1"/>
        <v>1.5999999999999996</v>
      </c>
      <c r="G32" s="1510" t="s">
        <v>1236</v>
      </c>
      <c r="H32" s="1534">
        <v>4.6699999999999998E-2</v>
      </c>
      <c r="I32" s="1512">
        <f t="shared" si="2"/>
        <v>0.29887999999999998</v>
      </c>
      <c r="J32" s="1535">
        <f t="shared" si="3"/>
        <v>7.4719999999999981E-2</v>
      </c>
    </row>
    <row r="33" spans="1:10">
      <c r="A33" s="2537"/>
      <c r="B33" s="2537"/>
      <c r="C33" s="1360" t="s">
        <v>1181</v>
      </c>
      <c r="D33" s="1361">
        <v>3</v>
      </c>
      <c r="E33" s="1404">
        <f t="shared" si="0"/>
        <v>2.4000000000000004</v>
      </c>
      <c r="F33" s="1508">
        <f t="shared" si="1"/>
        <v>0.59999999999999964</v>
      </c>
      <c r="G33" s="1510" t="s">
        <v>1236</v>
      </c>
      <c r="H33" s="1534">
        <v>4.6699999999999998E-2</v>
      </c>
      <c r="I33" s="1512">
        <f t="shared" si="2"/>
        <v>0.11208000000000001</v>
      </c>
      <c r="J33" s="1535">
        <f t="shared" si="3"/>
        <v>2.8019999999999982E-2</v>
      </c>
    </row>
    <row r="34" spans="1:10">
      <c r="A34" s="2538" t="s">
        <v>1183</v>
      </c>
      <c r="B34" s="2538"/>
      <c r="C34" s="2538"/>
      <c r="D34" s="1375">
        <f>SUM(D26:D33)</f>
        <v>65.5</v>
      </c>
      <c r="E34" s="1381">
        <f t="shared" si="0"/>
        <v>52.400000000000006</v>
      </c>
      <c r="F34" s="1384">
        <f t="shared" si="1"/>
        <v>13.099999999999994</v>
      </c>
      <c r="I34" s="1532">
        <f t="shared" si="2"/>
        <v>0</v>
      </c>
      <c r="J34" s="1536">
        <f t="shared" si="3"/>
        <v>0</v>
      </c>
    </row>
    <row r="35" spans="1:10" ht="56.25">
      <c r="A35" s="2537"/>
      <c r="B35" s="2537"/>
      <c r="C35" s="1383" t="s">
        <v>1281</v>
      </c>
      <c r="D35" s="1361">
        <v>15</v>
      </c>
      <c r="E35" s="1404">
        <f t="shared" si="0"/>
        <v>12</v>
      </c>
      <c r="F35" s="1529">
        <v>1.5</v>
      </c>
      <c r="G35" s="1530" t="s">
        <v>1238</v>
      </c>
      <c r="H35" s="1531">
        <v>3.3399999999999999E-2</v>
      </c>
      <c r="I35" s="1532">
        <f t="shared" si="2"/>
        <v>0.40079999999999999</v>
      </c>
      <c r="J35" s="1533">
        <f t="shared" si="3"/>
        <v>5.0099999999999999E-2</v>
      </c>
    </row>
    <row r="36" spans="1:10">
      <c r="A36" s="2537"/>
      <c r="B36" s="2537"/>
      <c r="C36" s="1383"/>
      <c r="D36" s="1361"/>
      <c r="E36" s="1404"/>
      <c r="F36" s="1361">
        <v>1.5</v>
      </c>
      <c r="G36" s="1445" t="s">
        <v>1239</v>
      </c>
      <c r="H36" s="1539">
        <v>6.3299999999999995E-2</v>
      </c>
      <c r="I36" s="1532">
        <f t="shared" si="2"/>
        <v>0</v>
      </c>
      <c r="J36" s="1536">
        <f t="shared" si="3"/>
        <v>9.4949999999999993E-2</v>
      </c>
    </row>
    <row r="37" spans="1:10">
      <c r="A37" s="2537"/>
      <c r="B37" s="2537"/>
      <c r="C37" s="1397" t="s">
        <v>1188</v>
      </c>
      <c r="D37" s="1361">
        <v>2.5</v>
      </c>
      <c r="E37" s="1404">
        <f t="shared" si="0"/>
        <v>2</v>
      </c>
      <c r="F37" s="1361">
        <f t="shared" si="1"/>
        <v>0.5</v>
      </c>
      <c r="G37" s="1447" t="s">
        <v>1239</v>
      </c>
      <c r="H37" s="1469">
        <v>6.3299999999999995E-2</v>
      </c>
      <c r="I37" s="1532">
        <f t="shared" si="2"/>
        <v>0.12659999999999999</v>
      </c>
      <c r="J37" s="1536">
        <f t="shared" si="3"/>
        <v>3.1649999999999998E-2</v>
      </c>
    </row>
    <row r="38" spans="1:10">
      <c r="A38" s="2537"/>
      <c r="B38" s="2537"/>
      <c r="C38" s="1360" t="s">
        <v>1189</v>
      </c>
      <c r="D38" s="1361">
        <v>6</v>
      </c>
      <c r="E38" s="1404">
        <f t="shared" si="0"/>
        <v>4.8000000000000007</v>
      </c>
      <c r="F38" s="1361">
        <f t="shared" si="1"/>
        <v>1.1999999999999993</v>
      </c>
      <c r="G38" s="1406" t="s">
        <v>1240</v>
      </c>
      <c r="H38" s="1472">
        <v>6.3299999999999995E-2</v>
      </c>
      <c r="I38" s="1532">
        <f t="shared" si="2"/>
        <v>0.30384</v>
      </c>
      <c r="J38" s="1536">
        <f t="shared" si="3"/>
        <v>7.5959999999999944E-2</v>
      </c>
    </row>
    <row r="39" spans="1:10">
      <c r="A39" s="2537"/>
      <c r="B39" s="2537"/>
      <c r="C39" s="1360" t="s">
        <v>1194</v>
      </c>
      <c r="D39" s="1361">
        <v>3.5</v>
      </c>
      <c r="E39" s="1404">
        <f t="shared" si="0"/>
        <v>2.8000000000000003</v>
      </c>
      <c r="F39" s="1361">
        <f t="shared" si="1"/>
        <v>0.69999999999999973</v>
      </c>
      <c r="G39" s="1406" t="s">
        <v>1192</v>
      </c>
      <c r="H39" s="1407">
        <v>0.15</v>
      </c>
      <c r="I39" s="1532">
        <f t="shared" si="2"/>
        <v>0.42000000000000004</v>
      </c>
      <c r="J39" s="1536">
        <f t="shared" si="3"/>
        <v>0.10499999999999995</v>
      </c>
    </row>
    <row r="40" spans="1:10">
      <c r="A40" s="2537"/>
      <c r="B40" s="2537"/>
      <c r="C40" s="1360" t="s">
        <v>1121</v>
      </c>
      <c r="D40" s="1361">
        <v>0.75</v>
      </c>
      <c r="E40" s="1404">
        <f t="shared" si="0"/>
        <v>0.60000000000000009</v>
      </c>
      <c r="F40" s="1361">
        <f t="shared" si="1"/>
        <v>0.14999999999999991</v>
      </c>
      <c r="G40" s="1406" t="s">
        <v>1192</v>
      </c>
      <c r="H40" s="1407">
        <v>0.15</v>
      </c>
      <c r="I40" s="1532">
        <f t="shared" si="2"/>
        <v>9.0000000000000011E-2</v>
      </c>
      <c r="J40" s="1536">
        <f t="shared" si="3"/>
        <v>2.2499999999999985E-2</v>
      </c>
    </row>
    <row r="41" spans="1:10">
      <c r="A41" s="2537"/>
      <c r="B41" s="2537"/>
      <c r="C41" s="1360" t="s">
        <v>1123</v>
      </c>
      <c r="D41" s="1361">
        <v>7.7</v>
      </c>
      <c r="E41" s="1404">
        <f t="shared" si="0"/>
        <v>6.16</v>
      </c>
      <c r="F41" s="1361">
        <f t="shared" si="1"/>
        <v>1.54</v>
      </c>
      <c r="G41" s="1406" t="s">
        <v>1192</v>
      </c>
      <c r="H41" s="1407">
        <v>0.3</v>
      </c>
      <c r="I41" s="1532">
        <f t="shared" si="2"/>
        <v>1.8479999999999999</v>
      </c>
      <c r="J41" s="1536">
        <f t="shared" si="3"/>
        <v>0.46199999999999997</v>
      </c>
    </row>
    <row r="42" spans="1:10">
      <c r="A42" s="2537"/>
      <c r="B42" s="2537"/>
      <c r="C42" s="1360" t="s">
        <v>1195</v>
      </c>
      <c r="D42" s="1361">
        <v>4.01</v>
      </c>
      <c r="E42" s="1404">
        <f t="shared" si="0"/>
        <v>3.2080000000000002</v>
      </c>
      <c r="F42" s="1361">
        <f t="shared" si="1"/>
        <v>0.8019999999999996</v>
      </c>
      <c r="G42" s="1406" t="s">
        <v>1196</v>
      </c>
      <c r="H42" s="1472">
        <v>6.3299999999999995E-2</v>
      </c>
      <c r="I42" s="1532">
        <f t="shared" si="2"/>
        <v>0.20306640000000001</v>
      </c>
      <c r="J42" s="1536">
        <f t="shared" si="3"/>
        <v>5.0766599999999974E-2</v>
      </c>
    </row>
    <row r="43" spans="1:10">
      <c r="A43" s="2537"/>
      <c r="B43" s="2537"/>
      <c r="C43" s="1360" t="s">
        <v>1199</v>
      </c>
      <c r="D43" s="1361">
        <v>0.75</v>
      </c>
      <c r="E43" s="1404">
        <f t="shared" si="0"/>
        <v>0.60000000000000009</v>
      </c>
      <c r="F43" s="1361">
        <f t="shared" si="1"/>
        <v>0.14999999999999991</v>
      </c>
      <c r="G43" s="1406" t="s">
        <v>1190</v>
      </c>
      <c r="H43" s="1407">
        <v>0.3</v>
      </c>
      <c r="I43" s="1532">
        <f t="shared" si="2"/>
        <v>0.18000000000000002</v>
      </c>
      <c r="J43" s="1536">
        <f t="shared" si="3"/>
        <v>4.4999999999999971E-2</v>
      </c>
    </row>
    <row r="44" spans="1:10" ht="24" customHeight="1">
      <c r="A44" s="2538" t="s">
        <v>1064</v>
      </c>
      <c r="B44" s="2538"/>
      <c r="C44" s="2538"/>
      <c r="D44" s="1375">
        <f>SUM(D35:D43)</f>
        <v>40.21</v>
      </c>
      <c r="E44" s="1381">
        <f t="shared" si="0"/>
        <v>32.167999999999999</v>
      </c>
      <c r="F44" s="1384">
        <f t="shared" si="1"/>
        <v>8.0420000000000016</v>
      </c>
      <c r="I44" s="1532">
        <f t="shared" si="2"/>
        <v>0</v>
      </c>
      <c r="J44" s="1536">
        <f t="shared" si="3"/>
        <v>0</v>
      </c>
    </row>
    <row r="45" spans="1:10" ht="42.75" customHeight="1">
      <c r="A45" s="1540">
        <v>6</v>
      </c>
      <c r="B45" s="1540" t="s">
        <v>1201</v>
      </c>
      <c r="C45" s="1383" t="s">
        <v>1204</v>
      </c>
      <c r="D45" s="1361">
        <v>0.99</v>
      </c>
      <c r="E45" s="1404">
        <f t="shared" si="0"/>
        <v>0.79200000000000004</v>
      </c>
      <c r="F45" s="1361">
        <f t="shared" si="1"/>
        <v>0.19799999999999995</v>
      </c>
      <c r="G45" s="1426" t="s">
        <v>1205</v>
      </c>
      <c r="H45" s="1427">
        <v>4.6699999999999998E-2</v>
      </c>
      <c r="I45" s="1532">
        <f t="shared" si="2"/>
        <v>3.6986400000000003E-2</v>
      </c>
      <c r="J45" s="1536">
        <f t="shared" si="3"/>
        <v>9.2465999999999972E-3</v>
      </c>
    </row>
    <row r="46" spans="1:10">
      <c r="A46" s="2538" t="s">
        <v>1206</v>
      </c>
      <c r="B46" s="2538"/>
      <c r="C46" s="2538"/>
      <c r="D46" s="1375">
        <f>SUM(D45:D45)</f>
        <v>0.99</v>
      </c>
      <c r="E46" s="1381">
        <f t="shared" si="0"/>
        <v>0.79200000000000004</v>
      </c>
      <c r="F46" s="1384">
        <f t="shared" si="1"/>
        <v>0.19799999999999995</v>
      </c>
      <c r="I46" s="1376"/>
      <c r="J46" s="1536">
        <f t="shared" si="3"/>
        <v>0</v>
      </c>
    </row>
    <row r="47" spans="1:10">
      <c r="A47" s="2534" t="s">
        <v>1207</v>
      </c>
      <c r="B47" s="2534"/>
      <c r="C47" s="2534"/>
      <c r="D47" s="1430">
        <f>D9+D13+D25+D34+D44+D46</f>
        <v>210.01000000000002</v>
      </c>
      <c r="E47" s="1430">
        <f t="shared" si="0"/>
        <v>168.00800000000004</v>
      </c>
      <c r="F47" s="1430">
        <f t="shared" si="1"/>
        <v>42.001999999999981</v>
      </c>
      <c r="G47" s="1364"/>
      <c r="H47" s="1364"/>
      <c r="I47" s="1514">
        <f>SUM(I2:I46)</f>
        <v>9.7870775999999982</v>
      </c>
      <c r="J47" s="1514">
        <f>SUM(J2:J46)</f>
        <v>2.4916193999999989</v>
      </c>
    </row>
    <row r="49" spans="5:16" ht="19.5" thickBot="1"/>
    <row r="50" spans="5:16">
      <c r="L50" s="2561" t="s">
        <v>1282</v>
      </c>
      <c r="M50" s="2562"/>
    </row>
    <row r="51" spans="5:16">
      <c r="F51" s="2539" t="s">
        <v>1274</v>
      </c>
      <c r="G51" s="2539"/>
      <c r="H51" s="2539" t="s">
        <v>1283</v>
      </c>
      <c r="I51" s="2539"/>
      <c r="J51" s="2539" t="s">
        <v>1274</v>
      </c>
      <c r="K51" s="2540"/>
      <c r="L51" s="2551" t="s">
        <v>1274</v>
      </c>
      <c r="M51" s="2552"/>
    </row>
    <row r="52" spans="5:16">
      <c r="E52" s="1435"/>
      <c r="F52" s="1435" t="s">
        <v>1284</v>
      </c>
      <c r="G52" s="1435" t="s">
        <v>1285</v>
      </c>
      <c r="H52" s="1435" t="s">
        <v>1284</v>
      </c>
      <c r="I52" s="1435" t="s">
        <v>1285</v>
      </c>
      <c r="J52" s="1435" t="s">
        <v>1284</v>
      </c>
      <c r="K52" s="1460" t="s">
        <v>1285</v>
      </c>
      <c r="L52" s="1474" t="s">
        <v>1284</v>
      </c>
      <c r="M52" s="1475" t="s">
        <v>1285</v>
      </c>
      <c r="O52" s="517" t="s">
        <v>1247</v>
      </c>
      <c r="P52" s="1368">
        <v>0</v>
      </c>
    </row>
    <row r="53" spans="5:16">
      <c r="E53" s="1435" t="s">
        <v>1216</v>
      </c>
      <c r="F53" s="1435">
        <v>21.696000000000002</v>
      </c>
      <c r="G53" s="1435">
        <v>0.72</v>
      </c>
      <c r="H53" s="1541">
        <f>F2+F3+F5+F6+F35</f>
        <v>3.9239999999999995</v>
      </c>
      <c r="I53" s="1542">
        <f>J2+J3+J5+J6+J35</f>
        <v>0.13106159999999997</v>
      </c>
      <c r="J53" s="1515">
        <f>'Capex plan 26-27'!I52</f>
        <v>4.1239999999999988</v>
      </c>
      <c r="K53" s="1543">
        <f>'Capex plan 26-27'!J52</f>
        <v>0.13774159999999996</v>
      </c>
      <c r="L53" s="1544">
        <f>J53+F53</f>
        <v>25.82</v>
      </c>
      <c r="M53" s="1545">
        <f>K53+G53</f>
        <v>0.85774159999999999</v>
      </c>
      <c r="O53" s="517"/>
      <c r="P53" s="1376"/>
    </row>
    <row r="54" spans="5:16">
      <c r="E54" s="1435" t="s">
        <v>1217</v>
      </c>
      <c r="F54" s="1510">
        <v>125.352</v>
      </c>
      <c r="G54" s="1510">
        <v>5.85</v>
      </c>
      <c r="H54" s="1510">
        <v>31.34</v>
      </c>
      <c r="I54" s="1510">
        <v>1.4630000000000001</v>
      </c>
      <c r="J54" s="1515">
        <f>'Capex plan 26-27'!I53</f>
        <v>32.049999999999997</v>
      </c>
      <c r="K54" s="1543">
        <f>'Capex plan 26-27'!J53</f>
        <v>1.5</v>
      </c>
      <c r="L54" s="1544">
        <f t="shared" ref="L54:M63" si="4">J54+F54</f>
        <v>157.40199999999999</v>
      </c>
      <c r="M54" s="1545">
        <f t="shared" si="4"/>
        <v>7.35</v>
      </c>
      <c r="O54" s="517" t="s">
        <v>1216</v>
      </c>
      <c r="P54" s="1376">
        <f>L53</f>
        <v>25.82</v>
      </c>
    </row>
    <row r="55" spans="5:16">
      <c r="E55" s="1435" t="s">
        <v>1218</v>
      </c>
      <c r="F55" s="1435"/>
      <c r="G55" s="1435"/>
      <c r="H55" s="1420">
        <v>0</v>
      </c>
      <c r="I55" s="1420">
        <v>0</v>
      </c>
      <c r="J55" s="1515">
        <f>'Capex plan 26-27'!I54</f>
        <v>0</v>
      </c>
      <c r="K55" s="1543">
        <f>'Capex plan 26-27'!J54</f>
        <v>0</v>
      </c>
      <c r="L55" s="1544">
        <f t="shared" si="4"/>
        <v>0</v>
      </c>
      <c r="M55" s="1545">
        <f t="shared" si="4"/>
        <v>0</v>
      </c>
      <c r="O55" s="517"/>
    </row>
    <row r="56" spans="5:16">
      <c r="E56" s="1435" t="s">
        <v>1219</v>
      </c>
      <c r="F56" s="1435"/>
      <c r="G56" s="1435"/>
      <c r="H56" s="1516">
        <f>F36</f>
        <v>1.5</v>
      </c>
      <c r="I56" s="1444">
        <f>J36</f>
        <v>9.4949999999999993E-2</v>
      </c>
      <c r="J56" s="1515">
        <f>'Capex plan 26-27'!I55</f>
        <v>1.5</v>
      </c>
      <c r="K56" s="1543">
        <f>'Capex plan 26-27'!J55</f>
        <v>9.4949999999999993E-2</v>
      </c>
      <c r="L56" s="1544">
        <f t="shared" si="4"/>
        <v>1.5</v>
      </c>
      <c r="M56" s="1545">
        <f t="shared" si="4"/>
        <v>9.4949999999999993E-2</v>
      </c>
      <c r="O56" s="517" t="s">
        <v>1248</v>
      </c>
      <c r="P56" s="1376">
        <f>L54+L58</f>
        <v>158.434</v>
      </c>
    </row>
    <row r="57" spans="5:16">
      <c r="E57" s="1435" t="s">
        <v>1220</v>
      </c>
      <c r="F57" s="1435">
        <v>2</v>
      </c>
      <c r="G57" s="1435">
        <v>0.13</v>
      </c>
      <c r="H57" s="1448">
        <f>F37</f>
        <v>0.5</v>
      </c>
      <c r="I57" s="1449">
        <f>J37</f>
        <v>3.1649999999999998E-2</v>
      </c>
      <c r="J57" s="1515">
        <f>'Capex plan 26-27'!I56</f>
        <v>0.59999999999999964</v>
      </c>
      <c r="K57" s="1543">
        <f>'Capex plan 26-27'!J56</f>
        <v>3.7979999999999972E-2</v>
      </c>
      <c r="L57" s="1544">
        <f t="shared" si="4"/>
        <v>2.5999999999999996</v>
      </c>
      <c r="M57" s="1545">
        <f t="shared" si="4"/>
        <v>0.16797999999999996</v>
      </c>
      <c r="O57" s="517"/>
    </row>
    <row r="58" spans="5:16">
      <c r="E58" s="1435" t="s">
        <v>1221</v>
      </c>
      <c r="F58" s="1435">
        <v>0.79200000000000004</v>
      </c>
      <c r="G58" s="1435">
        <v>0.04</v>
      </c>
      <c r="H58" s="1451">
        <f>F45</f>
        <v>0.19799999999999995</v>
      </c>
      <c r="I58" s="1546">
        <f>J45</f>
        <v>9.2465999999999972E-3</v>
      </c>
      <c r="J58" s="1515">
        <f>'Capex plan 26-27'!I57</f>
        <v>0.24</v>
      </c>
      <c r="K58" s="1543">
        <f>'Capex plan 26-27'!J57</f>
        <v>1.1207999999999999E-2</v>
      </c>
      <c r="L58" s="1544">
        <f t="shared" si="4"/>
        <v>1.032</v>
      </c>
      <c r="M58" s="1545">
        <f t="shared" si="4"/>
        <v>5.1208000000000004E-2</v>
      </c>
      <c r="O58" s="517" t="s">
        <v>1249</v>
      </c>
      <c r="P58" s="1376">
        <f>L56</f>
        <v>1.5</v>
      </c>
    </row>
    <row r="59" spans="5:16">
      <c r="E59" s="1455" t="s">
        <v>1222</v>
      </c>
      <c r="F59" s="1455">
        <v>6.76</v>
      </c>
      <c r="G59" s="1455">
        <v>2.0299999999999998</v>
      </c>
      <c r="H59" s="1457">
        <v>1.69</v>
      </c>
      <c r="I59" s="1458">
        <v>0.50700000000000001</v>
      </c>
      <c r="J59" s="1515">
        <f>'Capex plan 26-27'!I58</f>
        <v>1.69</v>
      </c>
      <c r="K59" s="1543">
        <f>'Capex plan 26-27'!J58</f>
        <v>0.51</v>
      </c>
      <c r="L59" s="1544">
        <f t="shared" si="4"/>
        <v>8.4499999999999993</v>
      </c>
      <c r="M59" s="1545">
        <f t="shared" si="4"/>
        <v>2.54</v>
      </c>
      <c r="O59" s="517"/>
    </row>
    <row r="60" spans="5:16">
      <c r="E60" s="1455" t="s">
        <v>1223</v>
      </c>
      <c r="F60" s="1455">
        <v>8.0079999999999991</v>
      </c>
      <c r="G60" s="1455">
        <v>0.51</v>
      </c>
      <c r="H60" s="1457">
        <v>2</v>
      </c>
      <c r="I60" s="1458">
        <v>0.127</v>
      </c>
      <c r="J60" s="1515">
        <f>'Capex plan 26-27'!I59</f>
        <v>1.7</v>
      </c>
      <c r="K60" s="1543">
        <f>'Capex plan 26-27'!J59</f>
        <v>0.11</v>
      </c>
      <c r="L60" s="1544">
        <f t="shared" si="4"/>
        <v>9.7079999999999984</v>
      </c>
      <c r="M60" s="1545">
        <f t="shared" si="4"/>
        <v>0.62</v>
      </c>
      <c r="O60" s="517" t="s">
        <v>1218</v>
      </c>
      <c r="P60" s="1376">
        <f>L55</f>
        <v>0</v>
      </c>
    </row>
    <row r="61" spans="5:16">
      <c r="E61" s="1435" t="s">
        <v>1224</v>
      </c>
      <c r="F61" s="1435">
        <v>3.4</v>
      </c>
      <c r="G61" s="1435">
        <v>0.51</v>
      </c>
      <c r="H61" s="1457">
        <v>0.85</v>
      </c>
      <c r="I61" s="1458">
        <v>0.128</v>
      </c>
      <c r="J61" s="1515">
        <f>'Capex plan 26-27'!I60</f>
        <v>0.15</v>
      </c>
      <c r="K61" s="1543">
        <f>'Capex plan 26-27'!J60</f>
        <v>0.02</v>
      </c>
      <c r="L61" s="1544">
        <f t="shared" si="4"/>
        <v>3.55</v>
      </c>
      <c r="M61" s="1545">
        <f t="shared" si="4"/>
        <v>0.53</v>
      </c>
      <c r="O61" s="517"/>
    </row>
    <row r="62" spans="5:16">
      <c r="E62" s="1435"/>
      <c r="F62" s="1435"/>
      <c r="G62" s="1435"/>
      <c r="H62" s="1435"/>
      <c r="I62" s="1435"/>
      <c r="J62" s="1515">
        <f>'Capex plan 26-27'!I61</f>
        <v>0</v>
      </c>
      <c r="K62" s="1543">
        <f>'Capex plan 26-27'!J61</f>
        <v>0</v>
      </c>
      <c r="L62" s="1544">
        <f t="shared" si="4"/>
        <v>0</v>
      </c>
      <c r="M62" s="1545">
        <f t="shared" si="4"/>
        <v>0</v>
      </c>
      <c r="O62" s="517" t="s">
        <v>849</v>
      </c>
      <c r="P62" s="1376">
        <f>L61+L59</f>
        <v>12</v>
      </c>
    </row>
    <row r="63" spans="5:16" ht="19.5" thickBot="1">
      <c r="E63" s="1435" t="s">
        <v>1225</v>
      </c>
      <c r="F63" s="1435">
        <f>SUM(F53:F62)</f>
        <v>168.00800000000001</v>
      </c>
      <c r="G63" s="1435">
        <f>SUM(G53:G62)</f>
        <v>9.7899999999999991</v>
      </c>
      <c r="H63" s="1435">
        <f>SUM(H53:H62)</f>
        <v>42.001999999999995</v>
      </c>
      <c r="I63" s="1435">
        <f>SUM(I53:I62)</f>
        <v>2.4919082000000001</v>
      </c>
      <c r="J63" s="1515">
        <f>'Capex plan 26-27'!I62</f>
        <v>42.053999999999995</v>
      </c>
      <c r="K63" s="1543">
        <f>'Capex plan 26-27'!J62</f>
        <v>2.4218796</v>
      </c>
      <c r="L63" s="1547">
        <f t="shared" si="4"/>
        <v>210.06200000000001</v>
      </c>
      <c r="M63" s="1548">
        <f t="shared" si="4"/>
        <v>12.2118796</v>
      </c>
      <c r="O63" s="517"/>
    </row>
    <row r="64" spans="5:16">
      <c r="O64" s="517" t="s">
        <v>851</v>
      </c>
      <c r="P64" s="1376">
        <f>L60+L57</f>
        <v>12.307999999999998</v>
      </c>
    </row>
    <row r="65" spans="12:16">
      <c r="L65" s="1368">
        <f>L63/0.835</f>
        <v>251.57125748502997</v>
      </c>
      <c r="P65" s="1368">
        <f>SUM(P52:P64)</f>
        <v>210.06199999999998</v>
      </c>
    </row>
    <row r="66" spans="12:16">
      <c r="L66" s="1368">
        <f>L65-L63</f>
        <v>41.509257485029963</v>
      </c>
    </row>
  </sheetData>
  <autoFilter ref="A1:J47" xr:uid="{00000000-0009-0000-0000-00001D000000}"/>
  <mergeCells count="22">
    <mergeCell ref="A34:C34"/>
    <mergeCell ref="A2:A8"/>
    <mergeCell ref="B2:B8"/>
    <mergeCell ref="A9:C9"/>
    <mergeCell ref="A10:A12"/>
    <mergeCell ref="B10:B12"/>
    <mergeCell ref="A13:C13"/>
    <mergeCell ref="A14:A24"/>
    <mergeCell ref="B14:B24"/>
    <mergeCell ref="A25:C25"/>
    <mergeCell ref="A26:A33"/>
    <mergeCell ref="B26:B33"/>
    <mergeCell ref="F51:G51"/>
    <mergeCell ref="H51:I51"/>
    <mergeCell ref="J51:K51"/>
    <mergeCell ref="L51:M51"/>
    <mergeCell ref="A35:A43"/>
    <mergeCell ref="B35:B43"/>
    <mergeCell ref="A44:C44"/>
    <mergeCell ref="A46:C46"/>
    <mergeCell ref="A47:C47"/>
    <mergeCell ref="L50:M50"/>
  </mergeCells>
  <pageMargins left="0.7" right="0.7" top="0.75" bottom="0.75" header="0.3" footer="0.3"/>
  <pageSetup scale="6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8000"/>
  </sheetPr>
  <dimension ref="A1:G33"/>
  <sheetViews>
    <sheetView workbookViewId="0">
      <selection activeCell="I17" sqref="I17"/>
    </sheetView>
  </sheetViews>
  <sheetFormatPr defaultColWidth="9.140625" defaultRowHeight="15"/>
  <cols>
    <col min="1" max="1" width="27.140625" style="720" bestFit="1" customWidth="1"/>
    <col min="2" max="2" width="17.140625" style="720" customWidth="1"/>
    <col min="3" max="3" width="24" style="720" customWidth="1"/>
    <col min="4" max="4" width="29.7109375" style="720" customWidth="1"/>
    <col min="5" max="5" width="23.42578125" style="720" customWidth="1"/>
    <col min="6" max="16384" width="9.140625" style="720"/>
  </cols>
  <sheetData>
    <row r="1" spans="1:7">
      <c r="A1" s="719" t="s">
        <v>1286</v>
      </c>
    </row>
    <row r="2" spans="1:7">
      <c r="A2" s="719"/>
      <c r="D2" s="720" t="s">
        <v>1287</v>
      </c>
    </row>
    <row r="3" spans="1:7" ht="44.25" customHeight="1">
      <c r="A3" s="1571" t="s">
        <v>887</v>
      </c>
      <c r="B3" s="1572" t="s">
        <v>1288</v>
      </c>
      <c r="C3" s="1572" t="s">
        <v>1289</v>
      </c>
      <c r="D3" s="1572" t="s">
        <v>1290</v>
      </c>
      <c r="E3" s="1572" t="s">
        <v>1291</v>
      </c>
    </row>
    <row r="4" spans="1:7">
      <c r="A4" s="721" t="s">
        <v>1292</v>
      </c>
      <c r="B4" s="722">
        <v>264.31</v>
      </c>
      <c r="C4" s="723">
        <f>326.25</f>
        <v>326.25</v>
      </c>
      <c r="D4" s="722"/>
      <c r="E4" s="721"/>
    </row>
    <row r="5" spans="1:7">
      <c r="A5" s="721" t="s">
        <v>1293</v>
      </c>
      <c r="B5" s="722">
        <v>425.07</v>
      </c>
      <c r="C5" s="723">
        <f>470.15</f>
        <v>470.15</v>
      </c>
      <c r="D5" s="722"/>
      <c r="E5" s="721"/>
    </row>
    <row r="6" spans="1:7">
      <c r="A6" s="721" t="s">
        <v>1294</v>
      </c>
      <c r="B6" s="722">
        <v>784.25</v>
      </c>
      <c r="C6" s="723">
        <f>B6+15</f>
        <v>799.25</v>
      </c>
      <c r="D6" s="722"/>
      <c r="E6" s="721"/>
    </row>
    <row r="7" spans="1:7">
      <c r="A7" s="721" t="s">
        <v>907</v>
      </c>
      <c r="B7" s="722">
        <v>628.79999999999995</v>
      </c>
      <c r="C7" s="723">
        <f>760</f>
        <v>760</v>
      </c>
      <c r="D7" s="722"/>
      <c r="E7" s="721"/>
    </row>
    <row r="8" spans="1:7">
      <c r="A8" s="721" t="s">
        <v>1295</v>
      </c>
      <c r="B8" s="722">
        <v>52.64</v>
      </c>
      <c r="C8" s="723">
        <f>54.29</f>
        <v>54.29</v>
      </c>
      <c r="D8" s="722"/>
      <c r="E8" s="721"/>
    </row>
    <row r="9" spans="1:7">
      <c r="A9" s="721" t="s">
        <v>906</v>
      </c>
      <c r="B9" s="722">
        <v>145.12</v>
      </c>
      <c r="C9" s="723">
        <f>B9</f>
        <v>145.12</v>
      </c>
      <c r="D9" s="722"/>
      <c r="E9" s="721"/>
    </row>
    <row r="10" spans="1:7">
      <c r="A10" s="721" t="s">
        <v>1296</v>
      </c>
      <c r="B10" s="722">
        <v>20.100000000000001</v>
      </c>
      <c r="C10" s="723">
        <f>B10</f>
        <v>20.100000000000001</v>
      </c>
      <c r="D10" s="722"/>
      <c r="E10" s="721"/>
    </row>
    <row r="11" spans="1:7">
      <c r="A11" s="721"/>
      <c r="B11" s="1298">
        <f>SUM(B4:B10)</f>
        <v>2320.29</v>
      </c>
      <c r="C11" s="1298">
        <f>SUM(C4:C10)</f>
        <v>2575.16</v>
      </c>
      <c r="D11" s="1298">
        <f t="shared" ref="D11:E11" si="0">SUM(D4:D10)</f>
        <v>0</v>
      </c>
      <c r="E11" s="1298">
        <f t="shared" si="0"/>
        <v>0</v>
      </c>
    </row>
    <row r="12" spans="1:7">
      <c r="D12" s="720" t="s">
        <v>1287</v>
      </c>
    </row>
    <row r="13" spans="1:7">
      <c r="A13" s="719" t="s">
        <v>1297</v>
      </c>
    </row>
    <row r="14" spans="1:7" ht="60">
      <c r="A14" s="1571" t="s">
        <v>887</v>
      </c>
      <c r="B14" s="1572" t="s">
        <v>1298</v>
      </c>
      <c r="C14" s="1572" t="s">
        <v>1299</v>
      </c>
      <c r="D14" s="1572" t="s">
        <v>1300</v>
      </c>
      <c r="E14" s="1572" t="s">
        <v>1301</v>
      </c>
    </row>
    <row r="15" spans="1:7">
      <c r="A15" s="586" t="s">
        <v>857</v>
      </c>
      <c r="B15" s="724"/>
      <c r="C15" s="724">
        <v>4.0709071999999997</v>
      </c>
      <c r="D15" s="724">
        <v>972.81965383999989</v>
      </c>
      <c r="E15" s="2412">
        <v>1609.5050299999998</v>
      </c>
      <c r="G15" s="725"/>
    </row>
    <row r="16" spans="1:7">
      <c r="A16" s="586" t="s">
        <v>858</v>
      </c>
      <c r="B16" s="724">
        <f>639.79782</f>
        <v>639.79782</v>
      </c>
      <c r="C16" s="724">
        <v>2135.1354155000008</v>
      </c>
      <c r="D16" s="724">
        <v>12603.582691039999</v>
      </c>
      <c r="E16" s="2412">
        <v>16890.615578599998</v>
      </c>
      <c r="G16" s="725"/>
    </row>
    <row r="17" spans="1:7">
      <c r="A17" s="586" t="s">
        <v>859</v>
      </c>
      <c r="B17" s="724">
        <v>249.50552999999999</v>
      </c>
      <c r="C17" s="724">
        <v>249.50552999999999</v>
      </c>
      <c r="D17" s="724">
        <v>249.50552999999999</v>
      </c>
      <c r="E17" s="2412">
        <v>249.50552999999999</v>
      </c>
      <c r="G17" s="725"/>
    </row>
    <row r="18" spans="1:7">
      <c r="A18" s="586" t="s">
        <v>860</v>
      </c>
      <c r="B18" s="724"/>
      <c r="C18" s="724">
        <v>0</v>
      </c>
      <c r="D18" s="724">
        <v>0</v>
      </c>
      <c r="E18" s="2412">
        <v>0</v>
      </c>
      <c r="G18" s="725"/>
    </row>
    <row r="19" spans="1:7">
      <c r="A19" s="586" t="s">
        <v>861</v>
      </c>
      <c r="B19" s="724"/>
      <c r="C19" s="724">
        <v>159.69477929999999</v>
      </c>
      <c r="D19" s="724">
        <v>6359.0562517199996</v>
      </c>
      <c r="E19" s="2412">
        <v>10491.963899999999</v>
      </c>
      <c r="G19" s="725"/>
    </row>
    <row r="20" spans="1:7">
      <c r="A20" s="586" t="s">
        <v>862</v>
      </c>
      <c r="B20" s="724"/>
      <c r="C20" s="724">
        <v>0</v>
      </c>
      <c r="D20" s="724">
        <v>15.809958</v>
      </c>
      <c r="E20" s="2412">
        <v>26.349930000000001</v>
      </c>
      <c r="G20" s="725"/>
    </row>
    <row r="21" spans="1:7">
      <c r="A21" s="1344" t="s">
        <v>863</v>
      </c>
      <c r="B21" s="724">
        <v>336.39397000000002</v>
      </c>
      <c r="C21" s="724">
        <v>336.39397000000002</v>
      </c>
      <c r="D21" s="724">
        <v>1090.5800512000001</v>
      </c>
      <c r="E21" s="2412">
        <v>1593.370772</v>
      </c>
      <c r="G21" s="725"/>
    </row>
    <row r="22" spans="1:7">
      <c r="A22" s="1344" t="s">
        <v>864</v>
      </c>
      <c r="B22" s="724"/>
      <c r="C22" s="724">
        <v>0</v>
      </c>
      <c r="D22" s="724">
        <v>450.69301999999857</v>
      </c>
      <c r="E22" s="2412">
        <v>450.69301999999857</v>
      </c>
      <c r="G22" s="725"/>
    </row>
    <row r="23" spans="1:7">
      <c r="A23" s="1344" t="s">
        <v>865</v>
      </c>
      <c r="B23" s="724"/>
      <c r="C23" s="724">
        <v>0</v>
      </c>
      <c r="D23" s="724">
        <v>2847.5226841999975</v>
      </c>
      <c r="E23" s="2412">
        <v>2847.5226841999975</v>
      </c>
      <c r="G23" s="725"/>
    </row>
    <row r="24" spans="1:7">
      <c r="A24" s="1344" t="s">
        <v>866</v>
      </c>
      <c r="B24" s="724"/>
      <c r="C24" s="724">
        <v>0</v>
      </c>
      <c r="D24" s="724">
        <v>78.288985839999995</v>
      </c>
      <c r="E24" s="2412">
        <v>109.76044060000001</v>
      </c>
      <c r="G24" s="725"/>
    </row>
    <row r="25" spans="1:7">
      <c r="A25" s="1344" t="s">
        <v>867</v>
      </c>
      <c r="B25" s="724">
        <v>62.613536699999997</v>
      </c>
      <c r="C25" s="724">
        <v>62.613536699999997</v>
      </c>
      <c r="D25" s="724">
        <v>395.10643800000008</v>
      </c>
      <c r="E25" s="2412">
        <v>395.10643800000008</v>
      </c>
      <c r="G25" s="725"/>
    </row>
    <row r="26" spans="1:7">
      <c r="A26" s="1344" t="s">
        <v>868</v>
      </c>
      <c r="B26" s="724"/>
      <c r="C26" s="724">
        <v>0</v>
      </c>
      <c r="D26" s="724">
        <v>8032.6871274999985</v>
      </c>
      <c r="E26" s="2412">
        <v>8032.6871274999985</v>
      </c>
      <c r="G26" s="725"/>
    </row>
    <row r="27" spans="1:7">
      <c r="A27" s="586" t="s">
        <v>869</v>
      </c>
      <c r="B27" s="724"/>
      <c r="C27" s="724">
        <v>0</v>
      </c>
      <c r="D27" s="724">
        <v>0</v>
      </c>
      <c r="E27" s="2412">
        <v>0</v>
      </c>
      <c r="G27" s="725"/>
    </row>
    <row r="28" spans="1:7">
      <c r="A28" s="1344" t="s">
        <v>870</v>
      </c>
      <c r="B28" s="724"/>
      <c r="C28" s="724">
        <v>0</v>
      </c>
      <c r="D28" s="724">
        <v>682.8</v>
      </c>
      <c r="E28" s="2412">
        <v>1297.32</v>
      </c>
      <c r="G28" s="725"/>
    </row>
    <row r="29" spans="1:7">
      <c r="A29" s="1344" t="s">
        <v>871</v>
      </c>
      <c r="B29" s="724"/>
      <c r="C29" s="724">
        <v>0</v>
      </c>
      <c r="D29" s="724">
        <v>492</v>
      </c>
      <c r="E29" s="2412">
        <v>934.8</v>
      </c>
      <c r="G29" s="725"/>
    </row>
    <row r="30" spans="1:7">
      <c r="A30" s="1344" t="s">
        <v>872</v>
      </c>
      <c r="B30" s="724"/>
      <c r="C30" s="724">
        <v>0</v>
      </c>
      <c r="D30" s="724">
        <v>4460</v>
      </c>
      <c r="E30" s="2412">
        <v>8474</v>
      </c>
      <c r="G30" s="725"/>
    </row>
    <row r="31" spans="1:7" ht="31.5">
      <c r="A31" s="1345" t="s">
        <v>873</v>
      </c>
      <c r="B31" s="724"/>
      <c r="C31" s="724">
        <v>0</v>
      </c>
      <c r="D31" s="724">
        <v>145.43932799999999</v>
      </c>
      <c r="E31" s="2412">
        <v>242.39888000000002</v>
      </c>
      <c r="G31" s="725"/>
    </row>
    <row r="32" spans="1:7">
      <c r="B32" s="1573">
        <f>SUM(B15:B31)</f>
        <v>1288.3108566999999</v>
      </c>
      <c r="C32" s="1573">
        <f>SUM(C15:C31)</f>
        <v>2947.4141387000009</v>
      </c>
      <c r="D32" s="1573">
        <f>SUM(D15:D31)</f>
        <v>38875.891719339998</v>
      </c>
      <c r="E32" s="1573">
        <f>SUM(E15:E31)</f>
        <v>53645.599330900004</v>
      </c>
    </row>
    <row r="33" spans="4:4">
      <c r="D33" s="725"/>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P69"/>
  <sheetViews>
    <sheetView workbookViewId="0">
      <pane xSplit="2" ySplit="6" topLeftCell="D28" activePane="bottomRight" state="frozen"/>
      <selection pane="bottomRight" activeCell="E23" sqref="E23"/>
      <selection pane="bottomLeft" activeCell="C15" sqref="C15"/>
      <selection pane="topRight" activeCell="C15" sqref="C15"/>
    </sheetView>
  </sheetViews>
  <sheetFormatPr defaultColWidth="9.140625" defaultRowHeight="12.75"/>
  <cols>
    <col min="1" max="2" width="9.140625" style="728"/>
    <col min="3" max="3" width="56.5703125" style="728" customWidth="1"/>
    <col min="4" max="4" width="15" style="728" customWidth="1"/>
    <col min="5" max="5" width="11" style="728" customWidth="1"/>
    <col min="6" max="6" width="12" style="728" customWidth="1"/>
    <col min="7" max="7" width="13.140625" style="728" customWidth="1"/>
    <col min="8" max="8" width="11" style="728" customWidth="1"/>
    <col min="9" max="9" width="2.7109375" style="728" customWidth="1"/>
    <col min="10" max="10" width="39.140625" style="728" bestFit="1" customWidth="1"/>
    <col min="11" max="12" width="12.5703125" style="728" customWidth="1"/>
    <col min="13" max="13" width="10.7109375" style="728" customWidth="1"/>
    <col min="14" max="15" width="10.42578125" style="728" bestFit="1" customWidth="1"/>
    <col min="16" max="16384" width="9.140625" style="728"/>
  </cols>
  <sheetData>
    <row r="1" spans="1:16">
      <c r="A1" s="727" t="s">
        <v>917</v>
      </c>
    </row>
    <row r="2" spans="1:16">
      <c r="A2" s="727" t="s">
        <v>918</v>
      </c>
    </row>
    <row r="3" spans="1:16">
      <c r="A3" s="727" t="s">
        <v>1067</v>
      </c>
    </row>
    <row r="4" spans="1:16" ht="13.5" thickBot="1"/>
    <row r="5" spans="1:16" ht="15" customHeight="1" thickBot="1">
      <c r="A5" s="2563" t="s">
        <v>1002</v>
      </c>
      <c r="B5" s="2563" t="s">
        <v>1003</v>
      </c>
      <c r="C5" s="2563" t="s">
        <v>1004</v>
      </c>
      <c r="D5" s="2563" t="s">
        <v>1302</v>
      </c>
      <c r="E5" s="2563" t="s">
        <v>1303</v>
      </c>
      <c r="F5" s="2563" t="s">
        <v>1304</v>
      </c>
      <c r="G5" s="2563" t="s">
        <v>1305</v>
      </c>
      <c r="H5" s="2563" t="s">
        <v>1068</v>
      </c>
      <c r="J5" s="2563" t="s">
        <v>1003</v>
      </c>
      <c r="K5" s="2563" t="s">
        <v>1306</v>
      </c>
      <c r="L5" s="2563" t="s">
        <v>1303</v>
      </c>
      <c r="M5" s="2575" t="s">
        <v>1097</v>
      </c>
      <c r="N5" s="2837"/>
      <c r="O5" s="2838"/>
      <c r="P5" s="2563" t="s">
        <v>239</v>
      </c>
    </row>
    <row r="6" spans="1:16" ht="24" customHeight="1" thickBot="1">
      <c r="A6" s="2576"/>
      <c r="B6" s="2576"/>
      <c r="C6" s="2576"/>
      <c r="D6" s="2576"/>
      <c r="E6" s="2576"/>
      <c r="F6" s="2576"/>
      <c r="G6" s="2576"/>
      <c r="H6" s="2576"/>
      <c r="J6" s="2564"/>
      <c r="K6" s="2564"/>
      <c r="L6" s="2564"/>
      <c r="M6" s="735" t="s">
        <v>841</v>
      </c>
      <c r="N6" s="735" t="s">
        <v>842</v>
      </c>
      <c r="O6" s="735" t="s">
        <v>922</v>
      </c>
      <c r="P6" s="2564"/>
    </row>
    <row r="7" spans="1:16" ht="20.100000000000001" customHeight="1">
      <c r="A7" s="2570">
        <v>1</v>
      </c>
      <c r="B7" s="2573" t="s">
        <v>1015</v>
      </c>
      <c r="C7" s="2414" t="s">
        <v>1016</v>
      </c>
      <c r="D7" s="2413">
        <v>8.51</v>
      </c>
      <c r="E7" s="2415">
        <v>7.78</v>
      </c>
      <c r="F7" s="2415">
        <f>'[20]Capitalization Plan FY 21-22'!I3+'[20]Capitalization Plan FY 21-22'!J3</f>
        <v>4.78</v>
      </c>
      <c r="G7" s="2415">
        <f>'[20]Capitalization Plan FY 21-22'!K3+'[20]Capitalization Plan FY 21-22'!L3</f>
        <v>4.78</v>
      </c>
      <c r="H7" s="2416">
        <v>0</v>
      </c>
      <c r="J7" s="728" t="str">
        <f>B7</f>
        <v>Statutory &amp; Safety</v>
      </c>
      <c r="K7" s="728">
        <f>D15</f>
        <v>29.81</v>
      </c>
      <c r="L7" s="728">
        <f>E15</f>
        <v>28.450000000000003</v>
      </c>
      <c r="M7" s="732">
        <f>G15</f>
        <v>20.03</v>
      </c>
      <c r="N7" s="732">
        <f>L7-M7</f>
        <v>8.4200000000000017</v>
      </c>
      <c r="O7" s="728">
        <v>0</v>
      </c>
      <c r="P7" s="728">
        <f>SUM(M7:O7)</f>
        <v>28.450000000000003</v>
      </c>
    </row>
    <row r="8" spans="1:16" ht="20.100000000000001" customHeight="1">
      <c r="A8" s="2571"/>
      <c r="B8" s="2574"/>
      <c r="C8" s="736" t="s">
        <v>1073</v>
      </c>
      <c r="D8" s="737">
        <v>0</v>
      </c>
      <c r="E8" s="738">
        <v>0</v>
      </c>
      <c r="F8" s="738">
        <v>0</v>
      </c>
      <c r="G8" s="738">
        <v>0</v>
      </c>
      <c r="H8" s="739">
        <f>[21]Capex!$D$7</f>
        <v>1.8</v>
      </c>
      <c r="J8" s="728" t="str">
        <f>B16</f>
        <v>Loss Reduction</v>
      </c>
      <c r="K8" s="728">
        <f>D22</f>
        <v>16.970000000000002</v>
      </c>
      <c r="L8" s="728">
        <f>E22</f>
        <v>16.39</v>
      </c>
      <c r="M8" s="732">
        <f>G22</f>
        <v>11.25</v>
      </c>
      <c r="N8" s="732">
        <f>L8-M8</f>
        <v>5.1400000000000006</v>
      </c>
      <c r="O8" s="728">
        <v>0</v>
      </c>
      <c r="P8" s="728">
        <f>SUM(M8:O8)</f>
        <v>16.39</v>
      </c>
    </row>
    <row r="9" spans="1:16" ht="20.100000000000001" customHeight="1">
      <c r="A9" s="2572"/>
      <c r="B9" s="2567"/>
      <c r="C9" s="736" t="s">
        <v>1018</v>
      </c>
      <c r="D9" s="740">
        <v>2.46</v>
      </c>
      <c r="E9" s="741">
        <f t="shared" ref="E9:E10" si="0">D9</f>
        <v>2.46</v>
      </c>
      <c r="F9" s="741">
        <f>'[20]Capitalization Plan FY 21-22'!I4+'[20]Capitalization Plan FY 21-22'!J4</f>
        <v>1.1000000000000001</v>
      </c>
      <c r="G9" s="741">
        <f>'[20]Capitalization Plan FY 21-22'!K4+'[20]Capitalization Plan FY 21-22'!L4</f>
        <v>1</v>
      </c>
      <c r="H9" s="742">
        <v>0</v>
      </c>
      <c r="J9" s="728" t="str">
        <f>B23</f>
        <v>Reliability</v>
      </c>
      <c r="K9" s="728">
        <f>D38</f>
        <v>103.50999999999999</v>
      </c>
      <c r="L9" s="728">
        <f>E38</f>
        <v>94.350000000000023</v>
      </c>
      <c r="M9" s="732">
        <f>G38</f>
        <v>64.430000000000007</v>
      </c>
      <c r="N9" s="732">
        <f>L9-M9</f>
        <v>29.920000000000016</v>
      </c>
      <c r="O9" s="728">
        <v>0</v>
      </c>
      <c r="P9" s="728">
        <f>SUM(M9:O9)</f>
        <v>94.350000000000023</v>
      </c>
    </row>
    <row r="10" spans="1:16" ht="20.100000000000001" customHeight="1">
      <c r="A10" s="2572"/>
      <c r="B10" s="2567"/>
      <c r="C10" s="736" t="s">
        <v>1019</v>
      </c>
      <c r="D10" s="740">
        <v>9.8000000000000007</v>
      </c>
      <c r="E10" s="741">
        <f t="shared" si="0"/>
        <v>9.8000000000000007</v>
      </c>
      <c r="F10" s="741">
        <f>'[20]Capitalization Plan FY 21-22'!I5+'[20]Capitalization Plan FY 21-22'!J5</f>
        <v>7.1</v>
      </c>
      <c r="G10" s="741">
        <f>'[20]Capitalization Plan FY 21-22'!K5+'[20]Capitalization Plan FY 21-22'!L5</f>
        <v>6.5</v>
      </c>
      <c r="H10" s="743">
        <f>[21]Capex!$D$8</f>
        <v>4.6806045921882342</v>
      </c>
      <c r="J10" s="728" t="str">
        <f>B39</f>
        <v>Load Growth</v>
      </c>
      <c r="K10" s="732">
        <f>D47</f>
        <v>22</v>
      </c>
      <c r="L10" s="732">
        <f>E47</f>
        <v>21.709999999999997</v>
      </c>
      <c r="M10" s="732">
        <f>G47</f>
        <v>17.809999999999999</v>
      </c>
      <c r="N10" s="732">
        <f>L10-M10</f>
        <v>3.8999999999999986</v>
      </c>
      <c r="O10" s="728">
        <v>0</v>
      </c>
      <c r="P10" s="728">
        <f>SUM(M10:O10)</f>
        <v>21.709999999999997</v>
      </c>
    </row>
    <row r="11" spans="1:16" ht="20.100000000000001" customHeight="1">
      <c r="A11" s="2572"/>
      <c r="B11" s="2567"/>
      <c r="C11" s="744" t="s">
        <v>1079</v>
      </c>
      <c r="D11" s="737">
        <v>0</v>
      </c>
      <c r="E11" s="738">
        <v>0</v>
      </c>
      <c r="F11" s="738">
        <v>0</v>
      </c>
      <c r="G11" s="738">
        <v>0</v>
      </c>
      <c r="H11" s="743">
        <f>[21]Capex!$D$10</f>
        <v>3.05</v>
      </c>
      <c r="J11" s="728" t="str">
        <f>B48</f>
        <v>Technology &amp; Civil Infrastructure</v>
      </c>
      <c r="K11" s="728">
        <f>D68</f>
        <v>103.10999999999999</v>
      </c>
      <c r="L11" s="728">
        <f>E68</f>
        <v>97.88</v>
      </c>
      <c r="M11" s="732">
        <f>G68</f>
        <v>72.190299999999993</v>
      </c>
      <c r="N11" s="732">
        <f t="shared" ref="N11" si="1">L11-M11</f>
        <v>25.689700000000002</v>
      </c>
      <c r="O11" s="728">
        <v>0</v>
      </c>
      <c r="P11" s="728">
        <f>SUM(M11:O11)</f>
        <v>97.88</v>
      </c>
    </row>
    <row r="12" spans="1:16" ht="20.100000000000001" customHeight="1">
      <c r="A12" s="2572"/>
      <c r="B12" s="2567"/>
      <c r="C12" s="736" t="s">
        <v>1020</v>
      </c>
      <c r="D12" s="740">
        <v>6.84</v>
      </c>
      <c r="E12" s="741">
        <v>6.24</v>
      </c>
      <c r="F12" s="741">
        <f>'[20]Capitalization Plan FY 21-22'!I6+'[20]Capitalization Plan FY 21-22'!J6</f>
        <v>6.24</v>
      </c>
      <c r="G12" s="741">
        <f>'[20]Capitalization Plan FY 21-22'!K6+'[20]Capitalization Plan FY 21-22'!L6</f>
        <v>5.8</v>
      </c>
      <c r="H12" s="743">
        <f>[21]Capex!$D$9</f>
        <v>4.95</v>
      </c>
      <c r="J12" s="745" t="s">
        <v>1103</v>
      </c>
      <c r="K12" s="746">
        <f>SUM(K7:K11)</f>
        <v>275.39999999999998</v>
      </c>
      <c r="L12" s="746">
        <f t="shared" ref="L12:P12" si="2">SUM(L7:L11)</f>
        <v>258.78000000000003</v>
      </c>
      <c r="M12" s="747">
        <f t="shared" si="2"/>
        <v>185.71030000000002</v>
      </c>
      <c r="N12" s="747">
        <f t="shared" si="2"/>
        <v>73.069700000000012</v>
      </c>
      <c r="O12" s="746">
        <f t="shared" si="2"/>
        <v>0</v>
      </c>
      <c r="P12" s="746">
        <f t="shared" si="2"/>
        <v>258.78000000000003</v>
      </c>
    </row>
    <row r="13" spans="1:16" ht="20.100000000000001" customHeight="1">
      <c r="A13" s="2572"/>
      <c r="B13" s="2567"/>
      <c r="C13" s="736" t="s">
        <v>1085</v>
      </c>
      <c r="D13" s="737">
        <v>0</v>
      </c>
      <c r="E13" s="738">
        <v>0</v>
      </c>
      <c r="F13" s="738">
        <v>0</v>
      </c>
      <c r="G13" s="738">
        <v>0</v>
      </c>
      <c r="H13" s="743">
        <f>[21]Capex!$D$12</f>
        <v>38</v>
      </c>
      <c r="K13" s="732"/>
      <c r="L13" s="732"/>
      <c r="M13" s="732"/>
      <c r="N13" s="732"/>
    </row>
    <row r="14" spans="1:16" ht="20.100000000000001" customHeight="1">
      <c r="A14" s="2572"/>
      <c r="B14" s="2567"/>
      <c r="C14" s="736" t="s">
        <v>1021</v>
      </c>
      <c r="D14" s="740">
        <v>2.2000000000000002</v>
      </c>
      <c r="E14" s="741">
        <v>2.17</v>
      </c>
      <c r="F14" s="741">
        <f>'[20]Capitalization Plan FY 21-22'!I7+'[20]Capitalization Plan FY 21-22'!J7</f>
        <v>2.17</v>
      </c>
      <c r="G14" s="741">
        <f>'[20]Capitalization Plan FY 21-22'!K7+'[20]Capitalization Plan FY 21-22'!L7</f>
        <v>1.95</v>
      </c>
      <c r="H14" s="743">
        <f>[21]Capex!$D$11</f>
        <v>2</v>
      </c>
      <c r="J14" s="728" t="s">
        <v>1105</v>
      </c>
      <c r="M14" s="732">
        <f>M12*6%</f>
        <v>11.142618000000001</v>
      </c>
      <c r="N14" s="732">
        <f>N12*6%</f>
        <v>4.3841820000000009</v>
      </c>
      <c r="O14" s="728">
        <f>O12*6%</f>
        <v>0</v>
      </c>
      <c r="P14" s="732">
        <f>SUM(M14:O14)</f>
        <v>15.526800000000001</v>
      </c>
    </row>
    <row r="15" spans="1:16" ht="20.100000000000001" customHeight="1">
      <c r="A15" s="2572"/>
      <c r="B15" s="2567"/>
      <c r="C15" s="745" t="s">
        <v>1022</v>
      </c>
      <c r="D15" s="745">
        <f>SUM(D7:D14)</f>
        <v>29.81</v>
      </c>
      <c r="E15" s="745">
        <f>SUM(E7:E14)</f>
        <v>28.450000000000003</v>
      </c>
      <c r="F15" s="745">
        <f>SUM(F7:F14)</f>
        <v>21.39</v>
      </c>
      <c r="G15" s="745">
        <f>SUM(G7:G14)</f>
        <v>20.03</v>
      </c>
      <c r="H15" s="748">
        <f>SUM(H7:H14)</f>
        <v>54.480604592188229</v>
      </c>
      <c r="J15" s="728" t="s">
        <v>1106</v>
      </c>
      <c r="M15" s="732">
        <f>IDC!B22/100</f>
        <v>0</v>
      </c>
      <c r="N15" s="732">
        <f>IDC!C22/100</f>
        <v>0</v>
      </c>
      <c r="O15" s="728">
        <v>0</v>
      </c>
      <c r="P15" s="732">
        <f>SUM(M15:O15)</f>
        <v>0</v>
      </c>
    </row>
    <row r="16" spans="1:16" ht="20.100000000000001" customHeight="1">
      <c r="A16" s="2565">
        <v>2</v>
      </c>
      <c r="B16" s="2567" t="s">
        <v>1023</v>
      </c>
      <c r="C16" s="736" t="s">
        <v>1024</v>
      </c>
      <c r="D16" s="740">
        <v>0.28000000000000003</v>
      </c>
      <c r="E16" s="741">
        <v>0.16</v>
      </c>
      <c r="F16" s="741">
        <f>'[20]Capitalization Plan FY 21-22'!I9+'[20]Capitalization Plan FY 21-22'!J9</f>
        <v>0.16</v>
      </c>
      <c r="G16" s="741">
        <f>'[20]Capitalization Plan FY 21-22'!K9+'[20]Capitalization Plan FY 21-22'!L9</f>
        <v>0.16</v>
      </c>
      <c r="H16" s="743">
        <f>[21]Capex!$D$16</f>
        <v>0.92</v>
      </c>
      <c r="J16" s="745" t="s">
        <v>1108</v>
      </c>
      <c r="K16" s="746">
        <f t="shared" ref="K16:P16" si="3">K15+K14+K12</f>
        <v>275.39999999999998</v>
      </c>
      <c r="L16" s="746">
        <f t="shared" si="3"/>
        <v>258.78000000000003</v>
      </c>
      <c r="M16" s="749">
        <f t="shared" si="3"/>
        <v>196.85291800000002</v>
      </c>
      <c r="N16" s="749">
        <f t="shared" si="3"/>
        <v>77.453882000000007</v>
      </c>
      <c r="O16" s="749">
        <f t="shared" si="3"/>
        <v>0</v>
      </c>
      <c r="P16" s="750">
        <f t="shared" si="3"/>
        <v>274.30680000000001</v>
      </c>
    </row>
    <row r="17" spans="1:16" ht="20.100000000000001" customHeight="1">
      <c r="A17" s="2565"/>
      <c r="B17" s="2567"/>
      <c r="C17" s="744" t="s">
        <v>1088</v>
      </c>
      <c r="D17" s="740">
        <v>0</v>
      </c>
      <c r="E17" s="741">
        <v>0</v>
      </c>
      <c r="F17" s="741">
        <v>0</v>
      </c>
      <c r="G17" s="741">
        <v>0</v>
      </c>
      <c r="H17" s="743">
        <f>[21]Capex!$D$15</f>
        <v>1.19</v>
      </c>
      <c r="J17" s="751"/>
      <c r="K17" s="727"/>
      <c r="L17" s="727"/>
      <c r="M17" s="752"/>
      <c r="N17" s="752"/>
      <c r="O17" s="752"/>
      <c r="P17" s="752"/>
    </row>
    <row r="18" spans="1:16" ht="20.100000000000001" customHeight="1">
      <c r="A18" s="2565"/>
      <c r="B18" s="2567"/>
      <c r="C18" s="736" t="s">
        <v>1025</v>
      </c>
      <c r="D18" s="740">
        <v>1.37</v>
      </c>
      <c r="E18" s="741">
        <f>D18</f>
        <v>1.37</v>
      </c>
      <c r="F18" s="741">
        <f>'[20]Capitalization Plan FY 21-22'!I10+'[20]Capitalization Plan FY 21-22'!J10</f>
        <v>0.16</v>
      </c>
      <c r="G18" s="741">
        <f>'[20]Capitalization Plan FY 21-22'!K10+'[20]Capitalization Plan FY 21-22'!L10</f>
        <v>0.16</v>
      </c>
      <c r="H18" s="743">
        <f>[21]Capex!$D$17</f>
        <v>0.5</v>
      </c>
      <c r="J18" s="753" t="s">
        <v>1111</v>
      </c>
      <c r="K18" s="754"/>
      <c r="L18" s="754"/>
      <c r="M18" s="755">
        <f>F69</f>
        <v>201.36810000000003</v>
      </c>
      <c r="N18" s="756">
        <f>L16-M18</f>
        <v>57.411900000000003</v>
      </c>
      <c r="O18" s="754"/>
      <c r="P18" s="757"/>
    </row>
    <row r="19" spans="1:16" ht="20.100000000000001" customHeight="1">
      <c r="A19" s="2565"/>
      <c r="B19" s="2567"/>
      <c r="C19" s="736" t="s">
        <v>1026</v>
      </c>
      <c r="D19" s="740">
        <v>13.56</v>
      </c>
      <c r="E19" s="741">
        <v>13.1</v>
      </c>
      <c r="F19" s="741">
        <f>'[20]Capitalization Plan FY 21-22'!I11+'[20]Capitalization Plan FY 21-22'!J11</f>
        <v>10.09</v>
      </c>
      <c r="G19" s="741">
        <f>'[20]Capitalization Plan FY 21-22'!K11+'[20]Capitalization Plan FY 21-22'!L11</f>
        <v>9.17</v>
      </c>
      <c r="H19" s="743">
        <f>[21]Capex!$D$14</f>
        <v>14.796817086545456</v>
      </c>
      <c r="J19" s="758" t="s">
        <v>1113</v>
      </c>
      <c r="K19" s="759"/>
      <c r="L19" s="759"/>
      <c r="M19" s="760">
        <f>G69</f>
        <v>185.71029999999999</v>
      </c>
      <c r="N19" s="761">
        <f>L16-M19</f>
        <v>73.06970000000004</v>
      </c>
      <c r="O19" s="759"/>
      <c r="P19" s="762"/>
    </row>
    <row r="20" spans="1:16" ht="20.100000000000001" customHeight="1">
      <c r="A20" s="2565"/>
      <c r="B20" s="2567"/>
      <c r="C20" s="736" t="s">
        <v>1089</v>
      </c>
      <c r="D20" s="740">
        <v>0</v>
      </c>
      <c r="E20" s="741">
        <v>0</v>
      </c>
      <c r="F20" s="741">
        <v>0</v>
      </c>
      <c r="G20" s="741">
        <v>0</v>
      </c>
      <c r="H20" s="743">
        <f>[21]Capex!$D$18</f>
        <v>25</v>
      </c>
    </row>
    <row r="21" spans="1:16" ht="20.100000000000001" customHeight="1">
      <c r="A21" s="2565"/>
      <c r="B21" s="2567"/>
      <c r="C21" s="736" t="s">
        <v>1027</v>
      </c>
      <c r="D21" s="740">
        <v>1.76</v>
      </c>
      <c r="E21" s="741">
        <f>D21</f>
        <v>1.76</v>
      </c>
      <c r="F21" s="741">
        <f>'[20]Capitalization Plan FY 21-22'!I12+'[20]Capitalization Plan FY 21-22'!J12</f>
        <v>1.76</v>
      </c>
      <c r="G21" s="741">
        <f>'[20]Capitalization Plan FY 21-22'!K12+'[20]Capitalization Plan FY 21-22'!L12</f>
        <v>1.76</v>
      </c>
      <c r="H21" s="743">
        <f>[21]Capex!$D$19</f>
        <v>1</v>
      </c>
      <c r="J21" s="728" t="s">
        <v>1307</v>
      </c>
    </row>
    <row r="22" spans="1:16" ht="20.100000000000001" customHeight="1">
      <c r="A22" s="2565"/>
      <c r="B22" s="2567"/>
      <c r="C22" s="745" t="s">
        <v>1028</v>
      </c>
      <c r="D22" s="745">
        <f>SUM(D16:D21)</f>
        <v>16.970000000000002</v>
      </c>
      <c r="E22" s="745">
        <f>SUM(E16:E21)</f>
        <v>16.39</v>
      </c>
      <c r="F22" s="745">
        <f t="shared" ref="F22:G22" si="4">SUM(F16:F21)</f>
        <v>12.17</v>
      </c>
      <c r="G22" s="745">
        <f t="shared" si="4"/>
        <v>11.25</v>
      </c>
      <c r="H22" s="748">
        <f>SUM(H16:H21)</f>
        <v>43.406817086545459</v>
      </c>
      <c r="J22" s="728" t="s">
        <v>1308</v>
      </c>
    </row>
    <row r="23" spans="1:16" ht="20.100000000000001" customHeight="1" thickBot="1">
      <c r="A23" s="2565">
        <v>3</v>
      </c>
      <c r="B23" s="2567" t="s">
        <v>1029</v>
      </c>
      <c r="C23" s="736" t="s">
        <v>1030</v>
      </c>
      <c r="D23" s="740">
        <v>22.96</v>
      </c>
      <c r="E23" s="741">
        <f>D23</f>
        <v>22.96</v>
      </c>
      <c r="F23" s="741">
        <f>'[20]Capitalization Plan FY 21-22'!I14+'[20]Capitalization Plan FY 21-22'!J14</f>
        <v>17.68</v>
      </c>
      <c r="G23" s="741">
        <f>'[20]Capitalization Plan FY 21-22'!K14+'[20]Capitalization Plan FY 21-22'!L14</f>
        <v>14.53</v>
      </c>
      <c r="H23" s="743">
        <f>[21]Capex!$D$22</f>
        <v>11.2</v>
      </c>
    </row>
    <row r="24" spans="1:16" ht="20.100000000000001" customHeight="1" thickBot="1">
      <c r="A24" s="2565"/>
      <c r="B24" s="2567"/>
      <c r="C24" s="736" t="s">
        <v>1031</v>
      </c>
      <c r="D24" s="740">
        <v>17.5</v>
      </c>
      <c r="E24" s="741">
        <v>16.29</v>
      </c>
      <c r="F24" s="741">
        <f>'[20]Capitalization Plan FY 21-22'!I15+'[20]Capitalization Plan FY 21-22'!J15</f>
        <v>12.54</v>
      </c>
      <c r="G24" s="741">
        <f>'[20]Capitalization Plan FY 21-22'!K15+'[20]Capitalization Plan FY 21-22'!L15</f>
        <v>11.4</v>
      </c>
      <c r="H24" s="743">
        <f>[21]Capex!$D$21</f>
        <v>25</v>
      </c>
      <c r="J24" s="2563" t="s">
        <v>1003</v>
      </c>
      <c r="K24" s="2563" t="s">
        <v>1068</v>
      </c>
      <c r="L24" s="2575" t="s">
        <v>1097</v>
      </c>
      <c r="M24" s="2837"/>
      <c r="N24" s="2838"/>
      <c r="O24" s="2563" t="s">
        <v>239</v>
      </c>
    </row>
    <row r="25" spans="1:16" ht="20.100000000000001" customHeight="1" thickBot="1">
      <c r="A25" s="2565"/>
      <c r="B25" s="2567"/>
      <c r="C25" s="736" t="s">
        <v>1032</v>
      </c>
      <c r="D25" s="740">
        <v>26.13</v>
      </c>
      <c r="E25" s="741">
        <f t="shared" ref="E25:E46" si="5">D25</f>
        <v>26.13</v>
      </c>
      <c r="F25" s="741">
        <f>'[20]Capitalization Plan FY 21-22'!I16+'[20]Capitalization Plan FY 21-22'!J16</f>
        <v>20.12</v>
      </c>
      <c r="G25" s="741">
        <f>'[20]Capitalization Plan FY 21-22'!K16+'[20]Capitalization Plan FY 21-22'!L16</f>
        <v>16.21</v>
      </c>
      <c r="H25" s="743">
        <f>[21]Capex!$D$23</f>
        <v>8.8000000000000007</v>
      </c>
      <c r="J25" s="2564"/>
      <c r="K25" s="2564"/>
      <c r="L25" s="735" t="s">
        <v>842</v>
      </c>
      <c r="M25" s="735" t="s">
        <v>922</v>
      </c>
      <c r="N25" s="735" t="s">
        <v>923</v>
      </c>
      <c r="O25" s="2564"/>
    </row>
    <row r="26" spans="1:16" ht="20.100000000000001" customHeight="1">
      <c r="A26" s="2565"/>
      <c r="B26" s="2567"/>
      <c r="C26" s="736" t="s">
        <v>1033</v>
      </c>
      <c r="D26" s="740">
        <v>8.99</v>
      </c>
      <c r="E26" s="741">
        <v>8.9</v>
      </c>
      <c r="F26" s="741">
        <f>'[20]Capitalization Plan FY 21-22'!I17+'[20]Capitalization Plan FY 21-22'!J17</f>
        <v>6.85</v>
      </c>
      <c r="G26" s="741">
        <f>'[20]Capitalization Plan FY 21-22'!K17+'[20]Capitalization Plan FY 21-22'!L17</f>
        <v>6.23</v>
      </c>
      <c r="H26" s="743">
        <f>[21]Capex!$D$24</f>
        <v>4.8</v>
      </c>
      <c r="J26" s="728" t="str">
        <f>J7</f>
        <v>Statutory &amp; Safety</v>
      </c>
      <c r="K26" s="732">
        <f>H15</f>
        <v>54.480604592188229</v>
      </c>
      <c r="L26" s="763">
        <f>K26*70%</f>
        <v>38.13642321453176</v>
      </c>
      <c r="M26" s="731">
        <f>K26*30%</f>
        <v>16.344181377656469</v>
      </c>
      <c r="O26" s="731">
        <f>N26+M26+L26</f>
        <v>54.480604592188229</v>
      </c>
    </row>
    <row r="27" spans="1:16" ht="20.100000000000001" customHeight="1">
      <c r="A27" s="2565"/>
      <c r="B27" s="2567"/>
      <c r="C27" s="736" t="s">
        <v>1034</v>
      </c>
      <c r="D27" s="740">
        <v>6.74</v>
      </c>
      <c r="E27" s="741">
        <v>6.49</v>
      </c>
      <c r="F27" s="741">
        <f>'[20]Capitalization Plan FY 21-22'!I18+'[20]Capitalization Plan FY 21-22'!J18</f>
        <v>5</v>
      </c>
      <c r="G27" s="741">
        <f>'[20]Capitalization Plan FY 21-22'!K18+'[20]Capitalization Plan FY 21-22'!L18</f>
        <v>4.54</v>
      </c>
      <c r="H27" s="743">
        <f>[21]Capex!$D$25</f>
        <v>5.5424281415999994</v>
      </c>
      <c r="J27" s="728" t="str">
        <f>J8</f>
        <v>Loss Reduction</v>
      </c>
      <c r="K27" s="732">
        <f>H22</f>
        <v>43.406817086545459</v>
      </c>
      <c r="L27" s="763">
        <f t="shared" ref="L27:L29" si="6">K27*70%</f>
        <v>30.384771960581819</v>
      </c>
      <c r="M27" s="731">
        <f>K27*30%</f>
        <v>13.022045125963638</v>
      </c>
      <c r="O27" s="731">
        <f>N27+M27+L27</f>
        <v>43.406817086545459</v>
      </c>
    </row>
    <row r="28" spans="1:16" ht="20.100000000000001" customHeight="1">
      <c r="A28" s="2565"/>
      <c r="B28" s="2567"/>
      <c r="C28" s="736" t="s">
        <v>1035</v>
      </c>
      <c r="D28" s="740">
        <v>6.77</v>
      </c>
      <c r="E28" s="741">
        <v>5.07</v>
      </c>
      <c r="F28" s="741">
        <f>'[20]Capitalization Plan FY 21-22'!I19+'[20]Capitalization Plan FY 21-22'!J19</f>
        <v>3.9</v>
      </c>
      <c r="G28" s="741">
        <f>'[20]Capitalization Plan FY 21-22'!K19+'[20]Capitalization Plan FY 21-22'!L19</f>
        <v>3.5</v>
      </c>
      <c r="H28" s="743">
        <f>[21]Capex!$D$26</f>
        <v>21.186093599999996</v>
      </c>
      <c r="J28" s="728" t="str">
        <f>J9</f>
        <v>Reliability</v>
      </c>
      <c r="K28" s="732">
        <f>H38</f>
        <v>92.017904578581536</v>
      </c>
      <c r="L28" s="763">
        <f t="shared" si="6"/>
        <v>64.412533205007065</v>
      </c>
      <c r="M28" s="731">
        <f t="shared" ref="M28:M29" si="7">K28*30%</f>
        <v>27.60537137357446</v>
      </c>
      <c r="O28" s="731">
        <f t="shared" ref="O28:O29" si="8">N28+M28+L28</f>
        <v>92.017904578581522</v>
      </c>
    </row>
    <row r="29" spans="1:16" ht="20.100000000000001" customHeight="1">
      <c r="A29" s="2565"/>
      <c r="B29" s="2567"/>
      <c r="C29" s="736" t="s">
        <v>1036</v>
      </c>
      <c r="D29" s="740">
        <v>2.34</v>
      </c>
      <c r="E29" s="741">
        <v>1.1499999999999999</v>
      </c>
      <c r="F29" s="741">
        <f>'[20]Capitalization Plan FY 21-22'!I20+'[20]Capitalization Plan FY 21-22'!J20</f>
        <v>1.1499999999999999</v>
      </c>
      <c r="G29" s="741">
        <f>'[20]Capitalization Plan FY 21-22'!K20+'[20]Capitalization Plan FY 21-22'!L20</f>
        <v>1.1499999999999999</v>
      </c>
      <c r="H29" s="743">
        <f>[21]Capex!$D$28</f>
        <v>2.3384380600000001</v>
      </c>
      <c r="J29" s="728" t="str">
        <f>J10</f>
        <v>Load Growth</v>
      </c>
      <c r="K29" s="732">
        <f>H47</f>
        <v>230.33420237990447</v>
      </c>
      <c r="L29" s="763">
        <f t="shared" si="6"/>
        <v>161.23394166593312</v>
      </c>
      <c r="M29" s="731">
        <f t="shared" si="7"/>
        <v>69.100260713971338</v>
      </c>
      <c r="O29" s="731">
        <f t="shared" si="8"/>
        <v>230.33420237990447</v>
      </c>
    </row>
    <row r="30" spans="1:16" ht="20.100000000000001" customHeight="1">
      <c r="A30" s="2565"/>
      <c r="B30" s="2567"/>
      <c r="C30" s="736" t="s">
        <v>1037</v>
      </c>
      <c r="D30" s="740">
        <v>3</v>
      </c>
      <c r="E30" s="741">
        <v>0</v>
      </c>
      <c r="F30" s="741">
        <f>'[20]Capitalization Plan FY 21-22'!I21+'[20]Capitalization Plan FY 21-22'!J21</f>
        <v>0</v>
      </c>
      <c r="G30" s="741">
        <f>'[20]Capitalization Plan FY 21-22'!K21+'[20]Capitalization Plan FY 21-22'!L21</f>
        <v>0</v>
      </c>
      <c r="H30" s="742">
        <v>0</v>
      </c>
      <c r="J30" s="728" t="str">
        <f>J11</f>
        <v>Technology &amp; Civil Infrastructure</v>
      </c>
      <c r="K30" s="732">
        <f>H68</f>
        <v>186.19387059500002</v>
      </c>
      <c r="L30" s="763">
        <f>K30*70%</f>
        <v>130.33570941650001</v>
      </c>
      <c r="M30" s="763">
        <f>K30*20%</f>
        <v>37.238774119000006</v>
      </c>
      <c r="N30" s="732">
        <f>K30-L30-M30</f>
        <v>18.619387059500006</v>
      </c>
      <c r="O30" s="731">
        <f>N30+M30+L30</f>
        <v>186.19387059500002</v>
      </c>
    </row>
    <row r="31" spans="1:16" ht="20.100000000000001" customHeight="1">
      <c r="A31" s="2565"/>
      <c r="B31" s="2567"/>
      <c r="C31" s="736" t="s">
        <v>1038</v>
      </c>
      <c r="D31" s="740">
        <v>6.48</v>
      </c>
      <c r="E31" s="741">
        <v>4.9000000000000004</v>
      </c>
      <c r="F31" s="741">
        <f>'[20]Capitalization Plan FY 21-22'!I22+'[20]Capitalization Plan FY 21-22'!J22</f>
        <v>4.9000000000000004</v>
      </c>
      <c r="G31" s="741">
        <f>'[20]Capitalization Plan FY 21-22'!K22+'[20]Capitalization Plan FY 21-22'!L22</f>
        <v>4.9000000000000004</v>
      </c>
      <c r="H31" s="742">
        <v>0</v>
      </c>
      <c r="J31" s="745" t="s">
        <v>1103</v>
      </c>
      <c r="K31" s="749">
        <f>SUM(K26:K30)</f>
        <v>606.4333992322197</v>
      </c>
      <c r="L31" s="749">
        <f t="shared" ref="L31:O31" si="9">SUM(L26:L30)</f>
        <v>424.50337946255377</v>
      </c>
      <c r="M31" s="749">
        <f t="shared" si="9"/>
        <v>163.31063271016592</v>
      </c>
      <c r="N31" s="749">
        <f t="shared" si="9"/>
        <v>18.619387059500006</v>
      </c>
      <c r="O31" s="749">
        <f t="shared" si="9"/>
        <v>606.4333992322197</v>
      </c>
    </row>
    <row r="32" spans="1:16" ht="20.100000000000001" customHeight="1">
      <c r="A32" s="2565"/>
      <c r="B32" s="2567"/>
      <c r="C32" s="736" t="s">
        <v>1039</v>
      </c>
      <c r="D32" s="740">
        <v>0.91</v>
      </c>
      <c r="E32" s="741">
        <v>0.81</v>
      </c>
      <c r="F32" s="741">
        <f>'[20]Capitalization Plan FY 21-22'!I23+'[20]Capitalization Plan FY 21-22'!J23</f>
        <v>0.90999999999999992</v>
      </c>
      <c r="G32" s="741">
        <f>'[20]Capitalization Plan FY 21-22'!K23+'[20]Capitalization Plan FY 21-22'!L23</f>
        <v>0.81</v>
      </c>
      <c r="H32" s="743">
        <f>[21]Capex!$D$31</f>
        <v>0.97499999999999998</v>
      </c>
    </row>
    <row r="33" spans="1:15" ht="20.100000000000001" customHeight="1">
      <c r="A33" s="2565"/>
      <c r="B33" s="2567"/>
      <c r="C33" s="736" t="s">
        <v>1100</v>
      </c>
      <c r="D33" s="740">
        <v>0</v>
      </c>
      <c r="E33" s="740">
        <v>0</v>
      </c>
      <c r="F33" s="740">
        <v>0</v>
      </c>
      <c r="G33" s="740">
        <v>0</v>
      </c>
      <c r="H33" s="743">
        <f>[21]Capex!$D$27</f>
        <v>4.2</v>
      </c>
      <c r="J33" s="728" t="s">
        <v>1105</v>
      </c>
      <c r="L33" s="732">
        <f>L31*6%</f>
        <v>25.470202767753225</v>
      </c>
      <c r="M33" s="732">
        <f>M31*6%</f>
        <v>9.7986379626099556</v>
      </c>
      <c r="N33" s="763">
        <f>N31*6%</f>
        <v>1.1171632235700004</v>
      </c>
      <c r="O33" s="731">
        <f>N33+M33+L33</f>
        <v>36.386003953933184</v>
      </c>
    </row>
    <row r="34" spans="1:15" ht="20.100000000000001" customHeight="1">
      <c r="A34" s="2565"/>
      <c r="B34" s="2567"/>
      <c r="C34" s="736" t="s">
        <v>1101</v>
      </c>
      <c r="D34" s="740">
        <v>0</v>
      </c>
      <c r="E34" s="740">
        <v>0</v>
      </c>
      <c r="F34" s="740">
        <v>0</v>
      </c>
      <c r="G34" s="740">
        <v>0</v>
      </c>
      <c r="H34" s="743">
        <f>[21]Capex!$D$29</f>
        <v>2.595944776981558</v>
      </c>
      <c r="J34" s="728" t="s">
        <v>1106</v>
      </c>
      <c r="L34" s="732">
        <f>IDC!C22/100</f>
        <v>0</v>
      </c>
      <c r="M34" s="732"/>
      <c r="O34" s="731">
        <f>N34+M34+L34</f>
        <v>0</v>
      </c>
    </row>
    <row r="35" spans="1:15" ht="20.100000000000001" customHeight="1">
      <c r="A35" s="2565"/>
      <c r="B35" s="2567"/>
      <c r="C35" s="736" t="s">
        <v>1102</v>
      </c>
      <c r="D35" s="740">
        <v>0</v>
      </c>
      <c r="E35" s="740">
        <v>0</v>
      </c>
      <c r="F35" s="740">
        <v>0</v>
      </c>
      <c r="G35" s="740">
        <v>0</v>
      </c>
      <c r="H35" s="743">
        <f>[21]Capex!$D$30</f>
        <v>0.88</v>
      </c>
    </row>
    <row r="36" spans="1:15" ht="20.100000000000001" customHeight="1">
      <c r="A36" s="2565"/>
      <c r="B36" s="2567"/>
      <c r="C36" s="736" t="s">
        <v>1309</v>
      </c>
      <c r="D36" s="740">
        <v>0</v>
      </c>
      <c r="E36" s="740">
        <v>0</v>
      </c>
      <c r="F36" s="740">
        <v>0</v>
      </c>
      <c r="G36" s="740">
        <v>0</v>
      </c>
      <c r="H36" s="743">
        <f>[21]Capex!$D$32</f>
        <v>4.5</v>
      </c>
      <c r="J36" s="745" t="s">
        <v>1108</v>
      </c>
      <c r="K36" s="749">
        <f>K34+K33+K31</f>
        <v>606.4333992322197</v>
      </c>
      <c r="L36" s="749">
        <f>L34+L33+L31</f>
        <v>449.97358223030699</v>
      </c>
      <c r="M36" s="749">
        <f>M34+M33+M31</f>
        <v>173.10927067277586</v>
      </c>
      <c r="N36" s="749">
        <f>N34+N33+N31</f>
        <v>19.736550283070006</v>
      </c>
      <c r="O36" s="750">
        <f>O34+O33+O31</f>
        <v>642.81940318615284</v>
      </c>
    </row>
    <row r="37" spans="1:15" ht="20.100000000000001" customHeight="1">
      <c r="A37" s="2565"/>
      <c r="B37" s="2567"/>
      <c r="C37" s="736" t="s">
        <v>1040</v>
      </c>
      <c r="D37" s="740">
        <v>1.69</v>
      </c>
      <c r="E37" s="741">
        <v>1.65</v>
      </c>
      <c r="F37" s="741">
        <f>'[20]Capitalization Plan FY 21-22'!I24+'[20]Capitalization Plan FY 21-22'!J24</f>
        <v>1.27</v>
      </c>
      <c r="G37" s="741">
        <f>'[20]Capitalization Plan FY 21-22'!K24+'[20]Capitalization Plan FY 21-22'!L24</f>
        <v>1.1599999999999999</v>
      </c>
      <c r="H37" s="742">
        <v>0</v>
      </c>
    </row>
    <row r="38" spans="1:15" ht="20.100000000000001" customHeight="1">
      <c r="A38" s="2565"/>
      <c r="B38" s="2567"/>
      <c r="C38" s="745" t="s">
        <v>1041</v>
      </c>
      <c r="D38" s="745">
        <f>SUM(D23:D37)</f>
        <v>103.50999999999999</v>
      </c>
      <c r="E38" s="745">
        <f>SUM(E23:E37)</f>
        <v>94.350000000000023</v>
      </c>
      <c r="F38" s="745">
        <f t="shared" ref="F38:G38" si="10">SUM(F23:F37)</f>
        <v>74.320000000000007</v>
      </c>
      <c r="G38" s="745">
        <f t="shared" si="10"/>
        <v>64.430000000000007</v>
      </c>
      <c r="H38" s="764">
        <f>SUM(H23:H37)</f>
        <v>92.017904578581536</v>
      </c>
      <c r="J38" s="753" t="s">
        <v>1111</v>
      </c>
      <c r="K38" s="765"/>
      <c r="L38" s="766">
        <f>K31*75%</f>
        <v>454.82504942416477</v>
      </c>
      <c r="M38" s="767">
        <f>K31-L38</f>
        <v>151.60834980805492</v>
      </c>
      <c r="N38" s="765"/>
      <c r="O38" s="768"/>
    </row>
    <row r="39" spans="1:15" ht="20.100000000000001" customHeight="1">
      <c r="A39" s="2565">
        <v>4</v>
      </c>
      <c r="B39" s="2566" t="s">
        <v>1042</v>
      </c>
      <c r="C39" s="736" t="s">
        <v>1043</v>
      </c>
      <c r="D39" s="769">
        <v>8.9600000000000009</v>
      </c>
      <c r="E39" s="741">
        <v>8.6999999999999993</v>
      </c>
      <c r="F39" s="741">
        <f>'[20]Capitalization Plan FY 21-22'!I26+'[20]Capitalization Plan FY 21-22'!J26</f>
        <v>8.6999999999999993</v>
      </c>
      <c r="G39" s="741">
        <f>'[20]Capitalization Plan FY 21-22'!K26+'[20]Capitalization Plan FY 21-22'!L26</f>
        <v>8.6999999999999993</v>
      </c>
      <c r="H39" s="743">
        <f>[21]Capex!$D$34</f>
        <v>14.936874349579352</v>
      </c>
      <c r="J39" s="758" t="s">
        <v>1113</v>
      </c>
      <c r="K39" s="765"/>
      <c r="L39" s="766">
        <f>L31</f>
        <v>424.50337946255377</v>
      </c>
      <c r="M39" s="767">
        <f>M31</f>
        <v>163.31063271016592</v>
      </c>
      <c r="N39" s="767">
        <f>N31</f>
        <v>18.619387059500006</v>
      </c>
      <c r="O39" s="768"/>
    </row>
    <row r="40" spans="1:15" ht="20.100000000000001" customHeight="1">
      <c r="A40" s="2565"/>
      <c r="B40" s="2566"/>
      <c r="C40" s="736" t="s">
        <v>1044</v>
      </c>
      <c r="D40" s="769">
        <v>5.19</v>
      </c>
      <c r="E40" s="741">
        <f t="shared" si="5"/>
        <v>5.19</v>
      </c>
      <c r="F40" s="741">
        <f>'[20]Capitalization Plan FY 21-22'!I27+'[20]Capitalization Plan FY 21-22'!J27</f>
        <v>4</v>
      </c>
      <c r="G40" s="741">
        <f>'[20]Capitalization Plan FY 21-22'!K27+'[20]Capitalization Plan FY 21-22'!L27</f>
        <v>3.63</v>
      </c>
      <c r="H40" s="743">
        <f>[21]Capex!$D$35</f>
        <v>27.746178891165425</v>
      </c>
    </row>
    <row r="41" spans="1:15" ht="20.100000000000001" customHeight="1">
      <c r="A41" s="2565"/>
      <c r="B41" s="2566"/>
      <c r="C41" s="736" t="s">
        <v>1045</v>
      </c>
      <c r="D41" s="769">
        <v>4.1100000000000003</v>
      </c>
      <c r="E41" s="741">
        <v>4.08</v>
      </c>
      <c r="F41" s="741">
        <f>'[20]Capitalization Plan FY 21-22'!I28+'[20]Capitalization Plan FY 21-22'!J28</f>
        <v>3.14</v>
      </c>
      <c r="G41" s="741">
        <f>'[20]Capitalization Plan FY 21-22'!K28+'[20]Capitalization Plan FY 21-22'!L28</f>
        <v>2.86</v>
      </c>
      <c r="H41" s="742">
        <v>0</v>
      </c>
    </row>
    <row r="42" spans="1:15" ht="20.100000000000001" customHeight="1" thickBot="1">
      <c r="A42" s="2565"/>
      <c r="B42" s="2566"/>
      <c r="C42" s="736" t="s">
        <v>1046</v>
      </c>
      <c r="D42" s="769">
        <v>1.68</v>
      </c>
      <c r="E42" s="741">
        <f t="shared" si="5"/>
        <v>1.68</v>
      </c>
      <c r="F42" s="741">
        <f>'[20]Capitalization Plan FY 21-22'!I29+'[20]Capitalization Plan FY 21-22'!J29</f>
        <v>1.29</v>
      </c>
      <c r="G42" s="741">
        <f>'[20]Capitalization Plan FY 21-22'!K29+'[20]Capitalization Plan FY 21-22'!L29</f>
        <v>1.18</v>
      </c>
      <c r="H42" s="743">
        <f>[21]Capex!$D$37</f>
        <v>50.9440502609568</v>
      </c>
      <c r="J42" s="727" t="s">
        <v>1310</v>
      </c>
    </row>
    <row r="43" spans="1:15" ht="20.100000000000001" customHeight="1" thickBot="1">
      <c r="A43" s="2565"/>
      <c r="B43" s="2566"/>
      <c r="C43" s="736" t="s">
        <v>1110</v>
      </c>
      <c r="D43" s="769">
        <v>0</v>
      </c>
      <c r="E43" s="741">
        <v>0</v>
      </c>
      <c r="F43" s="741">
        <v>0</v>
      </c>
      <c r="G43" s="741">
        <v>0</v>
      </c>
      <c r="H43" s="743">
        <f>[21]Capex!$D$36</f>
        <v>17.078214696233697</v>
      </c>
      <c r="J43" s="2417" t="s">
        <v>887</v>
      </c>
      <c r="K43" s="2418" t="s">
        <v>841</v>
      </c>
      <c r="L43" s="770" t="s">
        <v>842</v>
      </c>
      <c r="M43" s="770" t="s">
        <v>922</v>
      </c>
    </row>
    <row r="44" spans="1:15" ht="20.100000000000001" customHeight="1">
      <c r="A44" s="2565"/>
      <c r="B44" s="2566"/>
      <c r="C44" s="736" t="s">
        <v>1115</v>
      </c>
      <c r="D44" s="769">
        <v>0</v>
      </c>
      <c r="E44" s="741">
        <v>0</v>
      </c>
      <c r="F44" s="741">
        <v>0</v>
      </c>
      <c r="G44" s="741">
        <v>0</v>
      </c>
      <c r="H44" s="743">
        <f>[21]Capex!$D$39</f>
        <v>31.151337323778694</v>
      </c>
      <c r="J44" s="2419" t="s">
        <v>1311</v>
      </c>
      <c r="K44" s="2420">
        <f>M16</f>
        <v>196.85291800000002</v>
      </c>
      <c r="L44" s="2420">
        <f>N16</f>
        <v>77.453882000000007</v>
      </c>
      <c r="M44" s="2421"/>
      <c r="N44" s="731"/>
    </row>
    <row r="45" spans="1:15" ht="20.100000000000001" customHeight="1">
      <c r="A45" s="2565"/>
      <c r="B45" s="2566"/>
      <c r="C45" s="736" t="s">
        <v>1116</v>
      </c>
      <c r="D45" s="769">
        <v>0</v>
      </c>
      <c r="E45" s="741">
        <v>0</v>
      </c>
      <c r="F45" s="741">
        <v>0</v>
      </c>
      <c r="G45" s="741">
        <v>0</v>
      </c>
      <c r="H45" s="743">
        <f>[21]Capex!$D$40</f>
        <v>45</v>
      </c>
      <c r="J45" s="771" t="s">
        <v>1312</v>
      </c>
      <c r="K45" s="772"/>
      <c r="L45" s="773">
        <f>L36</f>
        <v>449.97358223030699</v>
      </c>
      <c r="M45" s="774">
        <f>M36</f>
        <v>173.10927067277586</v>
      </c>
    </row>
    <row r="46" spans="1:15" ht="20.100000000000001" customHeight="1">
      <c r="A46" s="2565"/>
      <c r="B46" s="2566"/>
      <c r="C46" s="736" t="s">
        <v>1047</v>
      </c>
      <c r="D46" s="769">
        <v>2.06</v>
      </c>
      <c r="E46" s="741">
        <f t="shared" si="5"/>
        <v>2.06</v>
      </c>
      <c r="F46" s="741">
        <f>'[20]Capitalization Plan FY 21-22'!I30+'[20]Capitalization Plan FY 21-22'!J30</f>
        <v>1.59</v>
      </c>
      <c r="G46" s="741">
        <f>'[20]Capitalization Plan FY 21-22'!K30+'[20]Capitalization Plan FY 21-22'!L30</f>
        <v>1.44</v>
      </c>
      <c r="H46" s="743">
        <f>[21]Capex!$D$38</f>
        <v>43.477546858190486</v>
      </c>
      <c r="J46" s="775" t="s">
        <v>1313</v>
      </c>
      <c r="K46" s="776">
        <f>(K45+K44)*$K$52</f>
        <v>33.924242609613131</v>
      </c>
      <c r="L46" s="776">
        <f>(L45+L44)*$K$52</f>
        <v>90.893126895492529</v>
      </c>
      <c r="M46" s="777"/>
    </row>
    <row r="47" spans="1:15" ht="20.100000000000001" customHeight="1" thickBot="1">
      <c r="A47" s="2565"/>
      <c r="B47" s="2566"/>
      <c r="C47" s="745" t="s">
        <v>1041</v>
      </c>
      <c r="D47" s="778">
        <f>SUM(D39:D46)</f>
        <v>22</v>
      </c>
      <c r="E47" s="778">
        <f>SUM(E39:E46)</f>
        <v>21.709999999999997</v>
      </c>
      <c r="F47" s="778">
        <f t="shared" ref="F47:H47" si="11">SUM(F39:F46)</f>
        <v>18.72</v>
      </c>
      <c r="G47" s="778">
        <f t="shared" si="11"/>
        <v>17.809999999999999</v>
      </c>
      <c r="H47" s="778">
        <f t="shared" si="11"/>
        <v>230.33420237990447</v>
      </c>
      <c r="J47" s="779" t="s">
        <v>1314</v>
      </c>
      <c r="K47" s="780">
        <f>251106458/10^7</f>
        <v>25.1106458</v>
      </c>
      <c r="L47" s="781">
        <v>0</v>
      </c>
      <c r="M47" s="782"/>
    </row>
    <row r="48" spans="1:15" ht="20.100000000000001" customHeight="1">
      <c r="A48" s="2565">
        <v>5</v>
      </c>
      <c r="B48" s="2567" t="s">
        <v>1048</v>
      </c>
      <c r="C48" s="736" t="s">
        <v>1049</v>
      </c>
      <c r="D48" s="740">
        <v>5.39</v>
      </c>
      <c r="E48" s="741">
        <f>D48</f>
        <v>5.39</v>
      </c>
      <c r="F48" s="741">
        <f>'[20]Capitalization Plan FY 21-22'!I32+'[20]Capitalization Plan FY 21-22'!J32</f>
        <v>0.32</v>
      </c>
      <c r="G48" s="741">
        <f>'[20]Capitalization Plan FY 21-22'!K32+'[20]Capitalization Plan FY 21-22'!L32</f>
        <v>0.32</v>
      </c>
      <c r="H48" s="742"/>
    </row>
    <row r="49" spans="1:16" ht="20.100000000000001" customHeight="1" thickBot="1">
      <c r="A49" s="2565"/>
      <c r="B49" s="2567"/>
      <c r="C49" s="736" t="s">
        <v>1051</v>
      </c>
      <c r="D49" s="740">
        <v>5.31</v>
      </c>
      <c r="E49" s="741">
        <f>D49</f>
        <v>5.31</v>
      </c>
      <c r="F49" s="741">
        <f>'[20]Capitalization Plan FY 21-22'!I33+'[20]Capitalization Plan FY 21-22'!J33</f>
        <v>5.67</v>
      </c>
      <c r="G49" s="741">
        <f>'[20]Capitalization Plan FY 21-22'!K33+'[20]Capitalization Plan FY 21-22'!L33</f>
        <v>5.67</v>
      </c>
      <c r="H49" s="742"/>
      <c r="J49" s="783" t="s">
        <v>1315</v>
      </c>
      <c r="K49" s="784">
        <f>SUM(K44:K47)</f>
        <v>255.88780640961312</v>
      </c>
      <c r="L49" s="784">
        <f>SUM(L44:L47)</f>
        <v>618.32059112579952</v>
      </c>
      <c r="M49" s="784">
        <f>SUM(M44:M47)</f>
        <v>173.10927067277586</v>
      </c>
    </row>
    <row r="50" spans="1:16" ht="20.100000000000001" customHeight="1" thickTop="1">
      <c r="A50" s="2565"/>
      <c r="B50" s="2567"/>
      <c r="C50" s="736" t="s">
        <v>1052</v>
      </c>
      <c r="D50" s="740">
        <v>16.34</v>
      </c>
      <c r="E50" s="741">
        <v>16.02</v>
      </c>
      <c r="F50" s="741">
        <f>'[20]Capitalization Plan FY 21-22'!I34+'[20]Capitalization Plan FY 21-22'!J34</f>
        <v>13.221</v>
      </c>
      <c r="G50" s="741">
        <f>'[20]Capitalization Plan FY 21-22'!K34+'[20]Capitalization Plan FY 21-22'!L34</f>
        <v>13.221</v>
      </c>
      <c r="H50" s="743">
        <f>[21]Capex!$D$44</f>
        <v>7.3017000000000003</v>
      </c>
      <c r="J50" s="728" t="s">
        <v>1316</v>
      </c>
      <c r="K50" s="785">
        <f>0.3*0.49</f>
        <v>0.14699999999999999</v>
      </c>
    </row>
    <row r="51" spans="1:16" ht="20.100000000000001" customHeight="1">
      <c r="A51" s="2565"/>
      <c r="B51" s="2567"/>
      <c r="C51" s="736" t="s">
        <v>1053</v>
      </c>
      <c r="D51" s="740">
        <v>15</v>
      </c>
      <c r="E51" s="741">
        <f>D51</f>
        <v>15</v>
      </c>
      <c r="F51" s="741">
        <f>'[20]Capitalization Plan FY 21-22'!I35+'[20]Capitalization Plan FY 21-22'!J35</f>
        <v>14.77</v>
      </c>
      <c r="G51" s="741">
        <f>'[20]Capitalization Plan FY 21-22'!K35+'[20]Capitalization Plan FY 21-22'!L35</f>
        <v>14.77</v>
      </c>
      <c r="H51" s="743">
        <f>[21]Capex!$D$43</f>
        <v>8.9408165000000004</v>
      </c>
      <c r="J51" s="728" t="s">
        <v>1317</v>
      </c>
      <c r="K51" s="785">
        <f>1-K50</f>
        <v>0.85299999999999998</v>
      </c>
    </row>
    <row r="52" spans="1:16" ht="20.100000000000001" customHeight="1">
      <c r="A52" s="2565"/>
      <c r="B52" s="2567"/>
      <c r="C52" s="736" t="s">
        <v>1054</v>
      </c>
      <c r="D52" s="740">
        <v>4.9800000000000004</v>
      </c>
      <c r="E52" s="741">
        <f t="shared" ref="E52:E53" si="12">D52</f>
        <v>4.9800000000000004</v>
      </c>
      <c r="F52" s="741">
        <f>'[20]Capitalization Plan FY 21-22'!I36+'[20]Capitalization Plan FY 21-22'!J36</f>
        <v>2</v>
      </c>
      <c r="G52" s="741">
        <f>'[20]Capitalization Plan FY 21-22'!K36+'[20]Capitalization Plan FY 21-22'!L36</f>
        <v>2</v>
      </c>
      <c r="H52" s="742"/>
      <c r="J52" s="728" t="s">
        <v>1318</v>
      </c>
      <c r="K52" s="786">
        <f>K50/K51</f>
        <v>0.17233294255568582</v>
      </c>
      <c r="P52" s="728">
        <f>0.3*0.49</f>
        <v>0.14699999999999999</v>
      </c>
    </row>
    <row r="53" spans="1:16" ht="20.100000000000001" customHeight="1" thickBot="1">
      <c r="A53" s="2565"/>
      <c r="B53" s="2567"/>
      <c r="C53" s="736" t="s">
        <v>1055</v>
      </c>
      <c r="D53" s="740">
        <v>2.5499999999999998</v>
      </c>
      <c r="E53" s="741">
        <f t="shared" si="12"/>
        <v>2.5499999999999998</v>
      </c>
      <c r="F53" s="741">
        <f>'[20]Capitalization Plan FY 21-22'!I37+'[20]Capitalization Plan FY 21-22'!J37</f>
        <v>2.5499999999999998</v>
      </c>
      <c r="G53" s="741">
        <f>'[20]Capitalization Plan FY 21-22'!K37+'[20]Capitalization Plan FY 21-22'!L37</f>
        <v>2.5499999999999998</v>
      </c>
      <c r="H53" s="742"/>
      <c r="P53" s="728">
        <f>1-P52</f>
        <v>0.85299999999999998</v>
      </c>
    </row>
    <row r="54" spans="1:16" ht="20.100000000000001" customHeight="1" thickBot="1">
      <c r="A54" s="2565"/>
      <c r="B54" s="2567"/>
      <c r="C54" s="736" t="s">
        <v>1056</v>
      </c>
      <c r="D54" s="740">
        <v>7.91</v>
      </c>
      <c r="E54" s="741">
        <v>3</v>
      </c>
      <c r="F54" s="741">
        <f>'[20]Capitalization Plan FY 21-22'!I38+'[20]Capitalization Plan FY 21-22'!J38</f>
        <v>9.1</v>
      </c>
      <c r="G54" s="741">
        <f>'[20]Capitalization Plan FY 21-22'!K38+'[20]Capitalization Plan FY 21-22'!L38</f>
        <v>9.1</v>
      </c>
      <c r="H54" s="743">
        <f>[21]Capex!$D$49</f>
        <v>81.764044999999996</v>
      </c>
      <c r="J54" s="787" t="s">
        <v>1319</v>
      </c>
      <c r="K54" s="788" t="s">
        <v>841</v>
      </c>
      <c r="L54" s="788" t="s">
        <v>842</v>
      </c>
      <c r="M54" s="2422" t="s">
        <v>922</v>
      </c>
    </row>
    <row r="55" spans="1:16" ht="24.75" customHeight="1">
      <c r="A55" s="2565"/>
      <c r="B55" s="2567"/>
      <c r="C55" s="736" t="s">
        <v>1057</v>
      </c>
      <c r="D55" s="769">
        <v>10.5</v>
      </c>
      <c r="E55" s="741">
        <f>D55</f>
        <v>10.5</v>
      </c>
      <c r="F55" s="741">
        <f>'[20]Capitalization Plan FY 21-22'!I39+'[20]Capitalization Plan FY 21-22'!J39</f>
        <v>7</v>
      </c>
      <c r="G55" s="741">
        <f>'[20]Capitalization Plan FY 21-22'!K39+'[20]Capitalization Plan FY 21-22'!L39</f>
        <v>7</v>
      </c>
      <c r="H55" s="742"/>
      <c r="J55" s="2423" t="s">
        <v>1320</v>
      </c>
      <c r="K55" s="2420">
        <f>K47</f>
        <v>25.1106458</v>
      </c>
      <c r="L55" s="2420">
        <f>L47</f>
        <v>0</v>
      </c>
      <c r="M55" s="2424">
        <f>M47</f>
        <v>0</v>
      </c>
    </row>
    <row r="56" spans="1:16" ht="20.100000000000001" customHeight="1">
      <c r="A56" s="2565"/>
      <c r="B56" s="2567"/>
      <c r="C56" s="736" t="s">
        <v>1058</v>
      </c>
      <c r="D56" s="740">
        <v>5</v>
      </c>
      <c r="E56" s="741">
        <f>D56</f>
        <v>5</v>
      </c>
      <c r="F56" s="741">
        <f>'[20]Capitalization Plan FY 21-22'!I40+'[20]Capitalization Plan FY 21-22'!J40</f>
        <v>0</v>
      </c>
      <c r="G56" s="741">
        <f>'[20]Capitalization Plan FY 21-22'!K40+'[20]Capitalization Plan FY 21-22'!L40</f>
        <v>0</v>
      </c>
      <c r="H56" s="742"/>
      <c r="J56" s="775" t="s">
        <v>1321</v>
      </c>
      <c r="K56" s="776">
        <f>($K$49-$K$47)*70%</f>
        <v>161.54401242672918</v>
      </c>
      <c r="L56" s="776">
        <f>($L$49-$L$47)*70%</f>
        <v>432.82441378805964</v>
      </c>
      <c r="M56" s="789">
        <f>($M$49-$M$47)*70%</f>
        <v>121.1764894709431</v>
      </c>
    </row>
    <row r="57" spans="1:16" ht="28.5" customHeight="1" thickBot="1">
      <c r="A57" s="2565"/>
      <c r="B57" s="2567"/>
      <c r="C57" s="736" t="s">
        <v>1059</v>
      </c>
      <c r="D57" s="740">
        <v>17.3</v>
      </c>
      <c r="E57" s="741">
        <f>D57</f>
        <v>17.3</v>
      </c>
      <c r="F57" s="741">
        <f>'[20]Capitalization Plan FY 21-22'!I41+'[20]Capitalization Plan FY 21-22'!J41</f>
        <v>14.27</v>
      </c>
      <c r="G57" s="741">
        <f>'[20]Capitalization Plan FY 21-22'!K41+'[20]Capitalization Plan FY 21-22'!L41</f>
        <v>12.9</v>
      </c>
      <c r="H57" s="743">
        <f>[21]Capex!$D$50</f>
        <v>25.12</v>
      </c>
      <c r="J57" s="779" t="s">
        <v>1322</v>
      </c>
      <c r="K57" s="790">
        <f>($K$49-$K$47)*30%</f>
        <v>69.233148182883937</v>
      </c>
      <c r="L57" s="790">
        <f>($L$49-$L$47)*30%</f>
        <v>185.49617733773985</v>
      </c>
      <c r="M57" s="791">
        <f>($M$49-$M$47)*30%</f>
        <v>51.932781201832761</v>
      </c>
    </row>
    <row r="58" spans="1:16" ht="20.100000000000001" customHeight="1">
      <c r="A58" s="2565"/>
      <c r="B58" s="2567"/>
      <c r="C58" s="736" t="s">
        <v>1060</v>
      </c>
      <c r="D58" s="740">
        <v>3.6</v>
      </c>
      <c r="E58" s="741">
        <f>D58</f>
        <v>3.6</v>
      </c>
      <c r="F58" s="741">
        <f>'[20]Capitalization Plan FY 21-22'!I42+'[20]Capitalization Plan FY 21-22'!J42</f>
        <v>0.5</v>
      </c>
      <c r="G58" s="741">
        <f>'[20]Capitalization Plan FY 21-22'!K42+'[20]Capitalization Plan FY 21-22'!L42</f>
        <v>0</v>
      </c>
      <c r="H58" s="742"/>
    </row>
    <row r="59" spans="1:16" ht="20.100000000000001" customHeight="1" thickBot="1">
      <c r="A59" s="2565"/>
      <c r="B59" s="2567"/>
      <c r="C59" s="736" t="s">
        <v>1061</v>
      </c>
      <c r="D59" s="740">
        <v>0.75</v>
      </c>
      <c r="E59" s="741">
        <f t="shared" ref="E59:E60" si="13">D59</f>
        <v>0.75</v>
      </c>
      <c r="F59" s="741">
        <f>'[20]Capitalization Plan FY 21-22'!I43+'[20]Capitalization Plan FY 21-22'!J43</f>
        <v>0.75</v>
      </c>
      <c r="G59" s="741">
        <f>'[20]Capitalization Plan FY 21-22'!K43+'[20]Capitalization Plan FY 21-22'!L43</f>
        <v>0.75</v>
      </c>
      <c r="H59" s="742"/>
      <c r="J59" s="783" t="s">
        <v>239</v>
      </c>
      <c r="K59" s="784">
        <f>K57+K56+K55</f>
        <v>255.88780640961312</v>
      </c>
      <c r="L59" s="784">
        <f>L57+L56+L55</f>
        <v>618.32059112579952</v>
      </c>
      <c r="M59" s="784">
        <f>M57+M56+M55</f>
        <v>173.10927067277586</v>
      </c>
    </row>
    <row r="60" spans="1:16" ht="20.100000000000001" customHeight="1" thickTop="1">
      <c r="A60" s="2565"/>
      <c r="B60" s="2567"/>
      <c r="C60" s="736" t="s">
        <v>1062</v>
      </c>
      <c r="D60" s="740">
        <v>5.23</v>
      </c>
      <c r="E60" s="741">
        <f t="shared" si="13"/>
        <v>5.23</v>
      </c>
      <c r="F60" s="741">
        <f>'[20]Capitalization Plan FY 21-22'!I44+'[20]Capitalization Plan FY 21-22'!J44</f>
        <v>4.1171000000000006</v>
      </c>
      <c r="G60" s="741">
        <f>'[20]Capitalization Plan FY 21-22'!K44+'[20]Capitalization Plan FY 21-22'!L44</f>
        <v>3.9093</v>
      </c>
      <c r="H60" s="743">
        <f>[21]Capex!$D$52</f>
        <v>3.93</v>
      </c>
    </row>
    <row r="61" spans="1:16" ht="20.100000000000001" customHeight="1">
      <c r="A61" s="2565"/>
      <c r="B61" s="2567"/>
      <c r="C61" s="736" t="s">
        <v>1117</v>
      </c>
      <c r="D61" s="740">
        <v>0</v>
      </c>
      <c r="E61" s="741">
        <v>0</v>
      </c>
      <c r="F61" s="741">
        <v>0</v>
      </c>
      <c r="G61" s="741">
        <v>0</v>
      </c>
      <c r="H61" s="743">
        <f>[21]Capex!$D$42</f>
        <v>7.0597610950000007</v>
      </c>
    </row>
    <row r="62" spans="1:16" ht="20.100000000000001" customHeight="1">
      <c r="A62" s="2565"/>
      <c r="B62" s="2567"/>
      <c r="C62" s="736" t="s">
        <v>1122</v>
      </c>
      <c r="D62" s="740">
        <v>0</v>
      </c>
      <c r="E62" s="741">
        <v>0</v>
      </c>
      <c r="F62" s="741">
        <v>0</v>
      </c>
      <c r="G62" s="741">
        <v>0</v>
      </c>
      <c r="H62" s="743">
        <f>[21]Capex!D45</f>
        <v>6.37</v>
      </c>
    </row>
    <row r="63" spans="1:16" ht="20.100000000000001" customHeight="1">
      <c r="A63" s="2565"/>
      <c r="B63" s="2567"/>
      <c r="C63" s="736" t="s">
        <v>1123</v>
      </c>
      <c r="D63" s="740">
        <v>0</v>
      </c>
      <c r="E63" s="741">
        <v>0</v>
      </c>
      <c r="F63" s="741">
        <v>0</v>
      </c>
      <c r="G63" s="741">
        <v>0</v>
      </c>
      <c r="H63" s="743">
        <f>[21]Capex!D46</f>
        <v>1.2</v>
      </c>
    </row>
    <row r="64" spans="1:16" ht="20.100000000000001" customHeight="1">
      <c r="A64" s="2565"/>
      <c r="B64" s="2567"/>
      <c r="C64" s="736" t="s">
        <v>1124</v>
      </c>
      <c r="D64" s="740">
        <v>0</v>
      </c>
      <c r="E64" s="741">
        <v>0</v>
      </c>
      <c r="F64" s="741">
        <v>0</v>
      </c>
      <c r="G64" s="741">
        <v>0</v>
      </c>
      <c r="H64" s="743">
        <f>[21]Capex!D47</f>
        <v>18.247547999999998</v>
      </c>
    </row>
    <row r="65" spans="1:8" ht="20.100000000000001" customHeight="1">
      <c r="A65" s="2565"/>
      <c r="B65" s="2567"/>
      <c r="C65" s="736" t="s">
        <v>1125</v>
      </c>
      <c r="D65" s="740">
        <v>0</v>
      </c>
      <c r="E65" s="741">
        <v>0</v>
      </c>
      <c r="F65" s="741">
        <v>0</v>
      </c>
      <c r="G65" s="741">
        <v>0</v>
      </c>
      <c r="H65" s="743">
        <f>[21]Capex!D48</f>
        <v>25.3</v>
      </c>
    </row>
    <row r="66" spans="1:8" ht="20.100000000000001" customHeight="1">
      <c r="A66" s="2565"/>
      <c r="B66" s="2567"/>
      <c r="C66" s="736" t="s">
        <v>1128</v>
      </c>
      <c r="D66" s="740">
        <v>0</v>
      </c>
      <c r="E66" s="741">
        <v>0</v>
      </c>
      <c r="F66" s="741">
        <v>0</v>
      </c>
      <c r="G66" s="741">
        <v>0</v>
      </c>
      <c r="H66" s="743">
        <f>[21]Capex!$D$51</f>
        <v>0.96</v>
      </c>
    </row>
    <row r="67" spans="1:8" ht="20.100000000000001" customHeight="1">
      <c r="A67" s="2565"/>
      <c r="B67" s="2567"/>
      <c r="C67" s="736" t="s">
        <v>1063</v>
      </c>
      <c r="D67" s="740">
        <v>3.25</v>
      </c>
      <c r="E67" s="741">
        <f>D67</f>
        <v>3.25</v>
      </c>
      <c r="F67" s="741">
        <f>'[20]Capitalization Plan FY 21-22'!I45+'[20]Capitalization Plan FY 21-22'!J45</f>
        <v>0.5</v>
      </c>
      <c r="G67" s="741">
        <f>'[20]Capitalization Plan FY 21-22'!K45+'[20]Capitalization Plan FY 21-22'!L45</f>
        <v>0</v>
      </c>
      <c r="H67" s="742"/>
    </row>
    <row r="68" spans="1:8" ht="20.100000000000001" customHeight="1">
      <c r="A68" s="2565"/>
      <c r="B68" s="736"/>
      <c r="C68" s="745" t="s">
        <v>1064</v>
      </c>
      <c r="D68" s="745">
        <f>SUM(D48:D67)</f>
        <v>103.10999999999999</v>
      </c>
      <c r="E68" s="745">
        <f>SUM(E48:E67)</f>
        <v>97.88</v>
      </c>
      <c r="F68" s="792">
        <f t="shared" ref="F68:G68" si="14">SUM(F48:F67)</f>
        <v>74.768100000000004</v>
      </c>
      <c r="G68" s="792">
        <f t="shared" si="14"/>
        <v>72.190299999999993</v>
      </c>
      <c r="H68" s="748">
        <f>SUM(H48:H67)</f>
        <v>186.19387059500002</v>
      </c>
    </row>
    <row r="69" spans="1:8" ht="20.100000000000001" customHeight="1" thickBot="1">
      <c r="A69" s="2568" t="s">
        <v>1065</v>
      </c>
      <c r="B69" s="2569"/>
      <c r="C69" s="2569"/>
      <c r="D69" s="793">
        <f>D68+D47+D38+D22+D15</f>
        <v>275.39999999999998</v>
      </c>
      <c r="E69" s="793">
        <f>E68+E47+E38+E22+E15</f>
        <v>258.77999999999997</v>
      </c>
      <c r="F69" s="794">
        <f t="shared" ref="F69:G69" si="15">F68+F47+F38+F22+F15</f>
        <v>201.36810000000003</v>
      </c>
      <c r="G69" s="794">
        <f t="shared" si="15"/>
        <v>185.71029999999999</v>
      </c>
      <c r="H69" s="795">
        <f>H68+H47+H38+H22+H15</f>
        <v>606.4333992322197</v>
      </c>
    </row>
  </sheetData>
  <mergeCells count="28">
    <mergeCell ref="M5:O5"/>
    <mergeCell ref="A5:A6"/>
    <mergeCell ref="B5:B6"/>
    <mergeCell ref="C5:C6"/>
    <mergeCell ref="D5:D6"/>
    <mergeCell ref="E5:E6"/>
    <mergeCell ref="F5:F6"/>
    <mergeCell ref="A69:C69"/>
    <mergeCell ref="P5:P6"/>
    <mergeCell ref="A7:A15"/>
    <mergeCell ref="B7:B15"/>
    <mergeCell ref="A16:A22"/>
    <mergeCell ref="B16:B22"/>
    <mergeCell ref="A23:A38"/>
    <mergeCell ref="B23:B38"/>
    <mergeCell ref="J24:J25"/>
    <mergeCell ref="K24:K25"/>
    <mergeCell ref="L24:N24"/>
    <mergeCell ref="G5:G6"/>
    <mergeCell ref="H5:H6"/>
    <mergeCell ref="J5:J6"/>
    <mergeCell ref="K5:K6"/>
    <mergeCell ref="L5:L6"/>
    <mergeCell ref="O24:O25"/>
    <mergeCell ref="A39:A47"/>
    <mergeCell ref="B39:B47"/>
    <mergeCell ref="A48:A68"/>
    <mergeCell ref="B48:B67"/>
  </mergeCell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J40"/>
  <sheetViews>
    <sheetView workbookViewId="0">
      <pane ySplit="5" topLeftCell="A30" activePane="bottomLeft" state="frozen"/>
      <selection pane="bottomLeft" activeCell="O45" sqref="O45:O48"/>
    </sheetView>
  </sheetViews>
  <sheetFormatPr defaultColWidth="9.140625" defaultRowHeight="12.75"/>
  <cols>
    <col min="1" max="1" width="38" style="728" bestFit="1" customWidth="1"/>
    <col min="2" max="2" width="12" style="728" hidden="1" customWidth="1"/>
    <col min="3" max="4" width="10.28515625" style="728" hidden="1" customWidth="1"/>
    <col min="5" max="5" width="11.42578125" style="728" customWidth="1"/>
    <col min="6" max="6" width="10.28515625" style="728" bestFit="1" customWidth="1"/>
    <col min="7" max="7" width="10.28515625" style="728" hidden="1" customWidth="1"/>
    <col min="8" max="8" width="0" style="728" hidden="1" customWidth="1"/>
    <col min="9" max="10" width="10.28515625" style="728" hidden="1" customWidth="1"/>
    <col min="11" max="11" width="0" style="728" hidden="1" customWidth="1"/>
    <col min="12" max="16384" width="9.140625" style="728"/>
  </cols>
  <sheetData>
    <row r="1" spans="1:10">
      <c r="A1" s="2577" t="s">
        <v>917</v>
      </c>
      <c r="B1" s="2577"/>
      <c r="C1" s="2577"/>
      <c r="D1" s="2577"/>
      <c r="E1" s="2577"/>
      <c r="F1" s="2577"/>
    </row>
    <row r="2" spans="1:10">
      <c r="A2" s="2577" t="s">
        <v>918</v>
      </c>
      <c r="B2" s="2577"/>
      <c r="C2" s="2577"/>
      <c r="D2" s="2577"/>
      <c r="E2" s="2577"/>
      <c r="F2" s="2577"/>
    </row>
    <row r="3" spans="1:10">
      <c r="A3" s="2577" t="s">
        <v>1323</v>
      </c>
      <c r="B3" s="2577"/>
      <c r="C3" s="2577"/>
      <c r="D3" s="2577"/>
      <c r="E3" s="2577"/>
      <c r="F3" s="2577"/>
    </row>
    <row r="4" spans="1:10">
      <c r="A4" s="2578" t="s">
        <v>1324</v>
      </c>
      <c r="B4" s="2578"/>
      <c r="C4" s="2578"/>
      <c r="D4" s="2578"/>
      <c r="E4" s="2578"/>
      <c r="F4" s="2578"/>
    </row>
    <row r="5" spans="1:10">
      <c r="A5" s="1768" t="s">
        <v>887</v>
      </c>
      <c r="B5" s="1768" t="s">
        <v>1325</v>
      </c>
      <c r="C5" s="1774" t="s">
        <v>173</v>
      </c>
      <c r="D5" s="1775" t="s">
        <v>171</v>
      </c>
      <c r="E5" s="1774" t="s">
        <v>173</v>
      </c>
      <c r="F5" s="1775" t="s">
        <v>171</v>
      </c>
    </row>
    <row r="6" spans="1:10">
      <c r="A6" s="2376" t="s">
        <v>1326</v>
      </c>
      <c r="B6" s="1768"/>
      <c r="C6" s="1774"/>
      <c r="D6" s="1775"/>
      <c r="E6" s="1774">
        <v>69.010000000000005</v>
      </c>
      <c r="F6" s="1775">
        <v>69.010000000000005</v>
      </c>
    </row>
    <row r="7" spans="1:10">
      <c r="A7" s="772" t="s">
        <v>1327</v>
      </c>
      <c r="B7" s="2072">
        <v>4.72</v>
      </c>
      <c r="C7" s="2073">
        <f t="shared" ref="C7:C19" si="0">B7*2</f>
        <v>9.44</v>
      </c>
      <c r="D7" s="1777">
        <f t="shared" ref="D7:D19" si="1">C7</f>
        <v>9.44</v>
      </c>
      <c r="E7" s="1777">
        <f t="shared" ref="E7:E11" si="2">C7*10^2</f>
        <v>944</v>
      </c>
      <c r="F7" s="1777">
        <f t="shared" ref="F7:F11" si="3">D7*10^2</f>
        <v>944</v>
      </c>
      <c r="G7" s="728" t="s">
        <v>1328</v>
      </c>
      <c r="J7" s="728">
        <f>IFERROR(VLOOKUP(A7,'F-28'!$A$5:$D$35,4,0),0)</f>
        <v>9.44</v>
      </c>
    </row>
    <row r="8" spans="1:10">
      <c r="A8" s="772" t="s">
        <v>1329</v>
      </c>
      <c r="B8" s="2072">
        <v>0</v>
      </c>
      <c r="C8" s="2073">
        <f t="shared" si="0"/>
        <v>0</v>
      </c>
      <c r="D8" s="1777">
        <f t="shared" si="1"/>
        <v>0</v>
      </c>
      <c r="E8" s="1777">
        <f t="shared" si="2"/>
        <v>0</v>
      </c>
      <c r="F8" s="1777">
        <f t="shared" si="3"/>
        <v>0</v>
      </c>
      <c r="G8" s="728" t="s">
        <v>1328</v>
      </c>
      <c r="J8" s="728">
        <f>IFERROR(VLOOKUP(A8,'F-28'!$A$5:$D$35,4,0),0)</f>
        <v>0</v>
      </c>
    </row>
    <row r="9" spans="1:10" s="1086" customFormat="1">
      <c r="A9" s="1776" t="s">
        <v>1330</v>
      </c>
      <c r="B9" s="2072">
        <v>13.15</v>
      </c>
      <c r="C9" s="2073">
        <f t="shared" si="0"/>
        <v>26.3</v>
      </c>
      <c r="D9" s="1777">
        <f t="shared" si="1"/>
        <v>26.3</v>
      </c>
      <c r="E9" s="1777">
        <f t="shared" si="2"/>
        <v>2630</v>
      </c>
      <c r="F9" s="1777">
        <f t="shared" si="3"/>
        <v>2630</v>
      </c>
      <c r="G9" s="1086" t="s">
        <v>1328</v>
      </c>
      <c r="J9" s="728">
        <f>IFERROR(VLOOKUP(A9,'F-28'!$A$5:$D$35,4,0),0)</f>
        <v>26.3</v>
      </c>
    </row>
    <row r="10" spans="1:10">
      <c r="A10" s="772" t="s">
        <v>1331</v>
      </c>
      <c r="B10" s="2072">
        <v>0.44700000000000001</v>
      </c>
      <c r="C10" s="2073">
        <f t="shared" si="0"/>
        <v>0.89400000000000002</v>
      </c>
      <c r="D10" s="1777">
        <f t="shared" si="1"/>
        <v>0.89400000000000002</v>
      </c>
      <c r="E10" s="1777">
        <f t="shared" si="2"/>
        <v>89.4</v>
      </c>
      <c r="F10" s="1777">
        <f t="shared" si="3"/>
        <v>89.4</v>
      </c>
      <c r="G10" s="728" t="s">
        <v>1332</v>
      </c>
      <c r="J10" s="728">
        <f>IFERROR(VLOOKUP(A10,'F-28'!$A$5:$D$35,4,0),0)</f>
        <v>0.89400000000000002</v>
      </c>
    </row>
    <row r="11" spans="1:10">
      <c r="A11" s="772" t="s">
        <v>1333</v>
      </c>
      <c r="B11" s="2072">
        <v>8.4580000000000002</v>
      </c>
      <c r="C11" s="2073">
        <f t="shared" si="0"/>
        <v>16.916</v>
      </c>
      <c r="D11" s="1777">
        <f t="shared" si="1"/>
        <v>16.916</v>
      </c>
      <c r="E11" s="1777">
        <f t="shared" si="2"/>
        <v>1691.6000000000001</v>
      </c>
      <c r="F11" s="1777">
        <f t="shared" si="3"/>
        <v>1691.6000000000001</v>
      </c>
      <c r="G11" s="728" t="s">
        <v>1332</v>
      </c>
      <c r="J11" s="728">
        <f>IFERROR(VLOOKUP(A11,'F-28'!$A$5:$D$35,4,0),0)</f>
        <v>16.916</v>
      </c>
    </row>
    <row r="12" spans="1:10">
      <c r="A12" s="1770" t="s">
        <v>1334</v>
      </c>
      <c r="B12" s="2074">
        <f>SUM(B13:B19)</f>
        <v>9.2729999999999979</v>
      </c>
      <c r="C12" s="2075">
        <f>SUM(C13:C19)</f>
        <v>18.458374999999997</v>
      </c>
      <c r="D12" s="2075">
        <f>SUM(D13:D19)</f>
        <v>18.458374999999997</v>
      </c>
      <c r="E12" s="2075">
        <f>SUM(E13:E19)</f>
        <v>1845.8374999999996</v>
      </c>
      <c r="F12" s="2075">
        <f>SUM(F13:F19)</f>
        <v>1845.8374999999996</v>
      </c>
      <c r="J12" s="728">
        <f>IFERROR(VLOOKUP(A12,'F-28'!$A$5:$D$35,4,0),0)</f>
        <v>18.458374999999997</v>
      </c>
    </row>
    <row r="13" spans="1:10">
      <c r="A13" s="772" t="s">
        <v>1335</v>
      </c>
      <c r="B13" s="2073">
        <v>0</v>
      </c>
      <c r="C13" s="2073">
        <f t="shared" si="0"/>
        <v>0</v>
      </c>
      <c r="D13" s="1777">
        <f t="shared" si="1"/>
        <v>0</v>
      </c>
      <c r="E13" s="1777">
        <f t="shared" ref="E13:E19" si="4">C13*10^2</f>
        <v>0</v>
      </c>
      <c r="F13" s="1777">
        <f t="shared" ref="F13:F19" si="5">D13*10^2</f>
        <v>0</v>
      </c>
      <c r="G13" s="728" t="s">
        <v>1332</v>
      </c>
      <c r="J13" s="728">
        <f>IFERROR(VLOOKUP(A13,'F-28'!$A$5:$D$35,4,0),0)</f>
        <v>0</v>
      </c>
    </row>
    <row r="14" spans="1:10">
      <c r="A14" s="772" t="s">
        <v>1336</v>
      </c>
      <c r="B14" s="2073">
        <f>'F-28'!B13</f>
        <v>0.1</v>
      </c>
      <c r="C14" s="2073">
        <f>'F-28'!C13</f>
        <v>0.11237499999999999</v>
      </c>
      <c r="D14" s="2073">
        <f>'F-28'!D13</f>
        <v>0.11237499999999999</v>
      </c>
      <c r="E14" s="1777">
        <f t="shared" si="4"/>
        <v>11.237499999999999</v>
      </c>
      <c r="F14" s="1777">
        <f t="shared" si="5"/>
        <v>11.237499999999999</v>
      </c>
      <c r="G14" s="728" t="s">
        <v>1328</v>
      </c>
      <c r="J14" s="728">
        <f>IFERROR(VLOOKUP(A14,'F-28'!$A$5:$D$35,4,0),0)</f>
        <v>0.11237499999999999</v>
      </c>
    </row>
    <row r="15" spans="1:10">
      <c r="A15" s="772" t="s">
        <v>1337</v>
      </c>
      <c r="B15" s="2073">
        <v>0.185</v>
      </c>
      <c r="C15" s="2073">
        <f t="shared" si="0"/>
        <v>0.37</v>
      </c>
      <c r="D15" s="1777">
        <f t="shared" si="1"/>
        <v>0.37</v>
      </c>
      <c r="E15" s="1777">
        <f t="shared" si="4"/>
        <v>37</v>
      </c>
      <c r="F15" s="1777">
        <f t="shared" si="5"/>
        <v>37</v>
      </c>
      <c r="G15" s="728" t="s">
        <v>1328</v>
      </c>
      <c r="J15" s="728">
        <f>IFERROR(VLOOKUP(A15,'F-28'!$A$5:$D$35,4,0),0)</f>
        <v>0.37</v>
      </c>
    </row>
    <row r="16" spans="1:10" hidden="1">
      <c r="A16" s="772" t="s">
        <v>1338</v>
      </c>
      <c r="B16" s="2073">
        <v>0</v>
      </c>
      <c r="C16" s="2073">
        <f t="shared" si="0"/>
        <v>0</v>
      </c>
      <c r="D16" s="1777">
        <f t="shared" si="1"/>
        <v>0</v>
      </c>
      <c r="E16" s="1777">
        <f t="shared" si="4"/>
        <v>0</v>
      </c>
      <c r="F16" s="1777">
        <f t="shared" si="5"/>
        <v>0</v>
      </c>
      <c r="G16" s="728" t="s">
        <v>1328</v>
      </c>
      <c r="J16" s="728">
        <f>IFERROR(VLOOKUP(A16,'F-28'!$A$5:$D$35,4,0),0)</f>
        <v>0</v>
      </c>
    </row>
    <row r="17" spans="1:10">
      <c r="A17" s="772" t="s">
        <v>1339</v>
      </c>
      <c r="B17" s="2073">
        <v>7.4999999999999997E-2</v>
      </c>
      <c r="C17" s="2073">
        <f t="shared" si="0"/>
        <v>0.15</v>
      </c>
      <c r="D17" s="1777">
        <f t="shared" si="1"/>
        <v>0.15</v>
      </c>
      <c r="E17" s="1777">
        <f t="shared" si="4"/>
        <v>15</v>
      </c>
      <c r="F17" s="1777">
        <f t="shared" si="5"/>
        <v>15</v>
      </c>
      <c r="G17" s="728" t="s">
        <v>1328</v>
      </c>
      <c r="J17" s="728">
        <f>IFERROR(VLOOKUP(A17,'F-28'!$A$5:$D$35,4,0),0)</f>
        <v>0.15</v>
      </c>
    </row>
    <row r="18" spans="1:10">
      <c r="A18" s="772" t="s">
        <v>1340</v>
      </c>
      <c r="B18" s="2073">
        <v>8.8699999999999992</v>
      </c>
      <c r="C18" s="2073">
        <f>B18*2</f>
        <v>17.739999999999998</v>
      </c>
      <c r="D18" s="1777">
        <f t="shared" si="1"/>
        <v>17.739999999999998</v>
      </c>
      <c r="E18" s="1777">
        <f t="shared" si="4"/>
        <v>1773.9999999999998</v>
      </c>
      <c r="F18" s="1777">
        <f t="shared" si="5"/>
        <v>1773.9999999999998</v>
      </c>
      <c r="G18" s="728" t="s">
        <v>1328</v>
      </c>
      <c r="J18" s="728">
        <f>IFERROR(VLOOKUP(A18,'F-28'!$A$5:$D$35,4,0),0)</f>
        <v>17.739999999999998</v>
      </c>
    </row>
    <row r="19" spans="1:10">
      <c r="A19" s="772" t="s">
        <v>1341</v>
      </c>
      <c r="B19" s="2073">
        <v>4.2999999999999997E-2</v>
      </c>
      <c r="C19" s="2073">
        <f t="shared" si="0"/>
        <v>8.5999999999999993E-2</v>
      </c>
      <c r="D19" s="1777">
        <f t="shared" si="1"/>
        <v>8.5999999999999993E-2</v>
      </c>
      <c r="E19" s="1777">
        <f t="shared" si="4"/>
        <v>8.6</v>
      </c>
      <c r="F19" s="1777">
        <f t="shared" si="5"/>
        <v>8.6</v>
      </c>
      <c r="H19" s="731">
        <f>F19/2</f>
        <v>4.3</v>
      </c>
      <c r="I19" s="731">
        <f>F19/2</f>
        <v>4.3</v>
      </c>
      <c r="J19" s="728">
        <f>IFERROR(VLOOKUP(A19,'F-28'!$A$5:$D$35,4,0),0)</f>
        <v>8.5999999999999993E-2</v>
      </c>
    </row>
    <row r="20" spans="1:10">
      <c r="A20" s="1770" t="s">
        <v>239</v>
      </c>
      <c r="B20" s="2075">
        <f>SUM(B7:B12)</f>
        <v>36.047999999999995</v>
      </c>
      <c r="C20" s="2075">
        <f>SUM(C7:C12)</f>
        <v>72.008375000000001</v>
      </c>
      <c r="D20" s="2075">
        <f>SUM(D7:D12)</f>
        <v>72.008375000000001</v>
      </c>
      <c r="E20" s="2075">
        <f>SUM(E6:E12)</f>
        <v>7269.8474999999999</v>
      </c>
      <c r="F20" s="2075">
        <f>SUM(F6:F12)</f>
        <v>7269.8474999999999</v>
      </c>
      <c r="J20" s="728">
        <f>IFERROR(VLOOKUP(A20,'F-28'!$A$5:$D$35,4,0),0)</f>
        <v>72.698475000000002</v>
      </c>
    </row>
    <row r="21" spans="1:10">
      <c r="A21" s="772"/>
      <c r="B21" s="1776"/>
      <c r="C21" s="1776"/>
      <c r="D21" s="1776"/>
      <c r="E21" s="1776"/>
      <c r="F21" s="1776"/>
      <c r="J21" s="728">
        <f>IFERROR(VLOOKUP(A21,'F-28'!$A$5:$D$35,4,0),0)</f>
        <v>0</v>
      </c>
    </row>
    <row r="22" spans="1:10">
      <c r="A22" s="772" t="s">
        <v>1342</v>
      </c>
      <c r="B22" s="2073">
        <v>39.630000000000003</v>
      </c>
      <c r="C22" s="2073">
        <f t="shared" ref="C22:C32" si="6">B22*2</f>
        <v>79.260000000000005</v>
      </c>
      <c r="D22" s="1777">
        <f t="shared" ref="D22:D31" si="7">C22</f>
        <v>79.260000000000005</v>
      </c>
      <c r="E22" s="1777">
        <f t="shared" ref="E22:E32" si="8">C22*10^2</f>
        <v>7926.0000000000009</v>
      </c>
      <c r="F22" s="1777">
        <f t="shared" ref="F22:F32" si="9">D22*10^2</f>
        <v>7926.0000000000009</v>
      </c>
      <c r="G22" s="728" t="s">
        <v>1328</v>
      </c>
      <c r="J22" s="728">
        <f>IFERROR(VLOOKUP(A22,'F-28'!$A$5:$D$35,4,0),0)</f>
        <v>79.260000000000005</v>
      </c>
    </row>
    <row r="23" spans="1:10" hidden="1">
      <c r="A23" s="772" t="s">
        <v>1343</v>
      </c>
      <c r="B23" s="2073">
        <v>0</v>
      </c>
      <c r="C23" s="2073">
        <f t="shared" si="6"/>
        <v>0</v>
      </c>
      <c r="D23" s="1777"/>
      <c r="E23" s="1777"/>
      <c r="F23" s="1777"/>
      <c r="J23" s="728">
        <f>IFERROR(VLOOKUP(A23,'F-28'!$A$5:$D$35,4,0),0)</f>
        <v>0</v>
      </c>
    </row>
    <row r="24" spans="1:10">
      <c r="A24" s="772" t="s">
        <v>1344</v>
      </c>
      <c r="B24" s="2073">
        <v>0.1</v>
      </c>
      <c r="C24" s="2073">
        <f>B24*2*50%</f>
        <v>0.1</v>
      </c>
      <c r="D24" s="1777">
        <f t="shared" si="7"/>
        <v>0.1</v>
      </c>
      <c r="E24" s="1777">
        <f>C24*10^2</f>
        <v>10</v>
      </c>
      <c r="F24" s="1777">
        <f>E24</f>
        <v>10</v>
      </c>
      <c r="J24" s="728">
        <f>IFERROR(VLOOKUP(A24,'F-28'!$A$5:$D$35,4,0),0)</f>
        <v>0.1</v>
      </c>
    </row>
    <row r="25" spans="1:10">
      <c r="A25" s="772" t="s">
        <v>1345</v>
      </c>
      <c r="B25" s="2073">
        <v>7.92</v>
      </c>
      <c r="C25" s="2073">
        <f t="shared" si="6"/>
        <v>15.84</v>
      </c>
      <c r="D25" s="1777">
        <f t="shared" si="7"/>
        <v>15.84</v>
      </c>
      <c r="E25" s="1777">
        <f>C25*10^2</f>
        <v>1584</v>
      </c>
      <c r="F25" s="1777">
        <f>E25</f>
        <v>1584</v>
      </c>
      <c r="G25" s="728" t="s">
        <v>1328</v>
      </c>
      <c r="J25" s="728">
        <f>IFERROR(VLOOKUP(A25,'F-28'!$A$5:$D$35,4,0),0)</f>
        <v>15.84</v>
      </c>
    </row>
    <row r="26" spans="1:10" hidden="1">
      <c r="A26" s="772" t="s">
        <v>1346</v>
      </c>
      <c r="B26" s="2073">
        <v>0</v>
      </c>
      <c r="C26" s="2073">
        <f t="shared" si="6"/>
        <v>0</v>
      </c>
      <c r="D26" s="1777">
        <f t="shared" si="7"/>
        <v>0</v>
      </c>
      <c r="E26" s="1777">
        <f t="shared" si="8"/>
        <v>0</v>
      </c>
      <c r="F26" s="1777">
        <f t="shared" si="9"/>
        <v>0</v>
      </c>
      <c r="G26" s="728" t="s">
        <v>1328</v>
      </c>
      <c r="J26" s="728">
        <f>IFERROR(VLOOKUP(A26,'F-28'!$A$5:$D$35,4,0),0)</f>
        <v>0</v>
      </c>
    </row>
    <row r="27" spans="1:10" hidden="1">
      <c r="A27" s="772" t="s">
        <v>1347</v>
      </c>
      <c r="B27" s="2073">
        <v>0</v>
      </c>
      <c r="C27" s="2073">
        <f t="shared" si="6"/>
        <v>0</v>
      </c>
      <c r="D27" s="1777">
        <f t="shared" si="7"/>
        <v>0</v>
      </c>
      <c r="E27" s="1777">
        <f t="shared" si="8"/>
        <v>0</v>
      </c>
      <c r="F27" s="1777">
        <f t="shared" si="9"/>
        <v>0</v>
      </c>
      <c r="G27" s="728" t="s">
        <v>1328</v>
      </c>
      <c r="J27" s="728">
        <f>IFERROR(VLOOKUP(A27,'F-28'!$A$5:$D$35,4,0),0)</f>
        <v>0</v>
      </c>
    </row>
    <row r="28" spans="1:10" hidden="1">
      <c r="A28" s="772" t="s">
        <v>1348</v>
      </c>
      <c r="B28" s="2073">
        <v>0</v>
      </c>
      <c r="C28" s="2073">
        <f t="shared" si="6"/>
        <v>0</v>
      </c>
      <c r="D28" s="1777">
        <f t="shared" si="7"/>
        <v>0</v>
      </c>
      <c r="E28" s="1777">
        <f t="shared" si="8"/>
        <v>0</v>
      </c>
      <c r="F28" s="1777">
        <f t="shared" si="9"/>
        <v>0</v>
      </c>
      <c r="G28" s="728" t="s">
        <v>1328</v>
      </c>
      <c r="J28" s="728">
        <f>IFERROR(VLOOKUP(A28,'F-28'!$A$5:$D$35,4,0),0)</f>
        <v>0</v>
      </c>
    </row>
    <row r="29" spans="1:10" hidden="1">
      <c r="A29" s="772" t="s">
        <v>1349</v>
      </c>
      <c r="B29" s="2073">
        <v>0</v>
      </c>
      <c r="C29" s="2073">
        <f t="shared" si="6"/>
        <v>0</v>
      </c>
      <c r="D29" s="1777">
        <f t="shared" si="7"/>
        <v>0</v>
      </c>
      <c r="E29" s="1777">
        <f t="shared" si="8"/>
        <v>0</v>
      </c>
      <c r="F29" s="1777">
        <f t="shared" si="9"/>
        <v>0</v>
      </c>
      <c r="G29" s="728" t="s">
        <v>1328</v>
      </c>
      <c r="J29" s="728">
        <f>IFERROR(VLOOKUP(A29,'F-28'!$A$5:$D$35,4,0),0)</f>
        <v>0</v>
      </c>
    </row>
    <row r="30" spans="1:10">
      <c r="A30" s="772" t="s">
        <v>1350</v>
      </c>
      <c r="B30" s="2073">
        <v>0.09</v>
      </c>
      <c r="C30" s="2073">
        <f t="shared" si="6"/>
        <v>0.18</v>
      </c>
      <c r="D30" s="1777">
        <f t="shared" si="7"/>
        <v>0.18</v>
      </c>
      <c r="E30" s="1777">
        <f t="shared" si="8"/>
        <v>18</v>
      </c>
      <c r="F30" s="1777">
        <f t="shared" si="9"/>
        <v>18</v>
      </c>
      <c r="H30" s="731">
        <f>F30/2</f>
        <v>9</v>
      </c>
      <c r="I30" s="970">
        <f>F30/2</f>
        <v>9</v>
      </c>
      <c r="J30" s="728">
        <f>IFERROR(VLOOKUP(A30,'F-28'!$A$5:$D$35,4,0),0)</f>
        <v>0.18</v>
      </c>
    </row>
    <row r="31" spans="1:10">
      <c r="A31" s="772" t="s">
        <v>1351</v>
      </c>
      <c r="B31" s="2073">
        <v>0.159</v>
      </c>
      <c r="C31" s="2073">
        <f t="shared" si="6"/>
        <v>0.318</v>
      </c>
      <c r="D31" s="1777">
        <f t="shared" si="7"/>
        <v>0.318</v>
      </c>
      <c r="E31" s="1777">
        <f t="shared" si="8"/>
        <v>31.8</v>
      </c>
      <c r="F31" s="1777">
        <f t="shared" si="9"/>
        <v>31.8</v>
      </c>
      <c r="H31" s="731">
        <f>F31/2</f>
        <v>15.9</v>
      </c>
      <c r="I31" s="970">
        <f>F31/2</f>
        <v>15.9</v>
      </c>
      <c r="J31" s="728">
        <f>IFERROR(VLOOKUP(A31,'F-28'!$A$5:$D$35,4,0),0)</f>
        <v>0.318</v>
      </c>
    </row>
    <row r="32" spans="1:10">
      <c r="A32" s="772" t="s">
        <v>1352</v>
      </c>
      <c r="B32" s="2073">
        <v>6.0220000000000002</v>
      </c>
      <c r="C32" s="2073">
        <f t="shared" si="6"/>
        <v>12.044</v>
      </c>
      <c r="D32" s="1777">
        <f>C32*80%</f>
        <v>9.6352000000000011</v>
      </c>
      <c r="E32" s="1777">
        <f t="shared" si="8"/>
        <v>1204.4000000000001</v>
      </c>
      <c r="F32" s="1777">
        <f t="shared" si="9"/>
        <v>963.5200000000001</v>
      </c>
      <c r="G32" s="728" t="s">
        <v>1332</v>
      </c>
      <c r="J32" s="728">
        <f>IFERROR(VLOOKUP(A32,'F-28'!$A$5:$D$35,4,0),0)</f>
        <v>12.044</v>
      </c>
    </row>
    <row r="33" spans="1:10">
      <c r="A33" s="1770" t="s">
        <v>239</v>
      </c>
      <c r="B33" s="2076">
        <f>SUM(B22:B32)</f>
        <v>53.921000000000006</v>
      </c>
      <c r="C33" s="2076">
        <f t="shared" ref="C33:F33" si="10">SUM(C22:C32)</f>
        <v>107.742</v>
      </c>
      <c r="D33" s="2076">
        <f t="shared" si="10"/>
        <v>105.33320000000001</v>
      </c>
      <c r="E33" s="2076">
        <f t="shared" si="10"/>
        <v>10774.199999999999</v>
      </c>
      <c r="F33" s="2076">
        <f t="shared" si="10"/>
        <v>10533.32</v>
      </c>
      <c r="J33" s="728">
        <f>IFERROR(VLOOKUP(A33,'F-28'!$A$5:$D$35,4,0),0)</f>
        <v>72.698475000000002</v>
      </c>
    </row>
    <row r="34" spans="1:10">
      <c r="A34" s="1770" t="s">
        <v>1353</v>
      </c>
      <c r="B34" s="2076">
        <f>B33+B20</f>
        <v>89.968999999999994</v>
      </c>
      <c r="C34" s="2076">
        <f t="shared" ref="C34:F34" si="11">C33+C20</f>
        <v>179.75037500000002</v>
      </c>
      <c r="D34" s="2076">
        <f t="shared" si="11"/>
        <v>177.34157500000001</v>
      </c>
      <c r="E34" s="2076">
        <f t="shared" si="11"/>
        <v>18044.047500000001</v>
      </c>
      <c r="F34" s="2076">
        <f t="shared" si="11"/>
        <v>17803.1675</v>
      </c>
      <c r="J34" s="728">
        <f>IFERROR(VLOOKUP(A34,'F-28'!$A$5:$D$35,4,0),0)</f>
        <v>180.44047499999999</v>
      </c>
    </row>
    <row r="35" spans="1:10">
      <c r="A35" s="772" t="s">
        <v>1354</v>
      </c>
      <c r="B35" s="2072">
        <v>12.1</v>
      </c>
      <c r="C35" s="2081">
        <f>'F-22'!C9/100*1%</f>
        <v>27.718752559999999</v>
      </c>
      <c r="D35" s="2078">
        <f>'F-22'!D9*1%</f>
        <v>2930.991595</v>
      </c>
      <c r="E35" s="1777">
        <f>C35*100</f>
        <v>2771.8752559999998</v>
      </c>
      <c r="F35" s="1777">
        <f>D35</f>
        <v>2930.991595</v>
      </c>
      <c r="J35" s="728">
        <f>IFERROR(VLOOKUP(A35,'F-28'!$A$5:$D$35,4,0),0)</f>
        <v>27.718752559999999</v>
      </c>
    </row>
    <row r="36" spans="1:10">
      <c r="A36" s="1770" t="s">
        <v>1355</v>
      </c>
      <c r="B36" s="2082"/>
      <c r="C36" s="2076">
        <f>C34+C35</f>
        <v>207.46912756</v>
      </c>
      <c r="D36" s="2082"/>
      <c r="E36" s="2076">
        <f>E34+E35</f>
        <v>20815.922756</v>
      </c>
      <c r="F36" s="2076">
        <f>F34+F35</f>
        <v>20734.159094999999</v>
      </c>
      <c r="J36" s="728">
        <f>IFERROR(VLOOKUP(A36,'F-28'!$A$5:$D$35,4,0),0)</f>
        <v>0</v>
      </c>
    </row>
    <row r="37" spans="1:10" hidden="1">
      <c r="A37" s="772" t="s">
        <v>1356</v>
      </c>
      <c r="B37" s="2073">
        <v>10.25</v>
      </c>
      <c r="C37" s="2077">
        <f>[22]FS!$O$5</f>
        <v>15</v>
      </c>
      <c r="D37" s="2079">
        <f>C37*1.1</f>
        <v>16.5</v>
      </c>
      <c r="E37" s="1776"/>
      <c r="F37" s="1776" t="s">
        <v>1332</v>
      </c>
      <c r="G37" s="731">
        <f>F10+F11+F13+F32+H19+H30+H31</f>
        <v>2773.7200000000007</v>
      </c>
      <c r="J37" s="728">
        <f>IFERROR(VLOOKUP(A37,'F-28'!$A$5:$D$35,4,0),0)</f>
        <v>0</v>
      </c>
    </row>
    <row r="38" spans="1:10" hidden="1">
      <c r="B38" s="1086"/>
      <c r="C38" s="1658">
        <f>C34+C37</f>
        <v>194.75037500000002</v>
      </c>
      <c r="D38" s="1658">
        <f>D34+D37</f>
        <v>193.84157500000001</v>
      </c>
      <c r="E38" s="1086"/>
      <c r="F38" s="1086" t="s">
        <v>1328</v>
      </c>
      <c r="G38" s="731">
        <f>F36-G37</f>
        <v>17960.439094999998</v>
      </c>
    </row>
    <row r="39" spans="1:10" hidden="1">
      <c r="B39" s="1086"/>
      <c r="C39" s="1086"/>
      <c r="D39" s="1086"/>
      <c r="E39" s="1086"/>
      <c r="F39" s="1086"/>
      <c r="G39" s="733">
        <f>G37+G38</f>
        <v>20734.159094999999</v>
      </c>
    </row>
    <row r="40" spans="1:10" hidden="1">
      <c r="B40" s="1086" t="s">
        <v>1357</v>
      </c>
      <c r="C40" s="2080">
        <f>C38*10^2</f>
        <v>19475.037500000002</v>
      </c>
      <c r="D40" s="2080">
        <f>D38*10^2</f>
        <v>19384.157500000001</v>
      </c>
      <c r="E40" s="1086"/>
      <c r="F40" s="1086"/>
    </row>
  </sheetData>
  <mergeCells count="4">
    <mergeCell ref="A1:F1"/>
    <mergeCell ref="A2:F2"/>
    <mergeCell ref="A3:F3"/>
    <mergeCell ref="A4:F4"/>
  </mergeCell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Z80"/>
  <sheetViews>
    <sheetView topLeftCell="B6" workbookViewId="0">
      <selection activeCell="I24" sqref="I24"/>
    </sheetView>
  </sheetViews>
  <sheetFormatPr defaultRowHeight="12.75"/>
  <cols>
    <col min="1" max="1" width="28" bestFit="1" customWidth="1"/>
    <col min="2" max="2" width="23.5703125" customWidth="1"/>
    <col min="3" max="3" width="17.5703125" customWidth="1"/>
    <col min="6" max="6" width="41.140625" bestFit="1" customWidth="1"/>
    <col min="7" max="7" width="17.5703125" customWidth="1"/>
    <col min="8" max="8" width="16.5703125" customWidth="1"/>
    <col min="9" max="9" width="19.7109375" customWidth="1"/>
    <col min="10" max="10" width="17" customWidth="1"/>
    <col min="11" max="11" width="16.140625" bestFit="1" customWidth="1"/>
    <col min="12" max="12" width="10.42578125" bestFit="1" customWidth="1"/>
    <col min="13" max="14" width="9.28515625" bestFit="1" customWidth="1"/>
    <col min="15" max="15" width="10.28515625" bestFit="1" customWidth="1"/>
    <col min="19" max="20" width="10.28515625" bestFit="1" customWidth="1"/>
    <col min="23" max="23" width="32.7109375" customWidth="1"/>
    <col min="24" max="24" width="11.5703125" bestFit="1" customWidth="1"/>
    <col min="26" max="26" width="13.7109375" customWidth="1"/>
  </cols>
  <sheetData>
    <row r="1" spans="1:13" ht="13.5" thickBot="1">
      <c r="A1" s="849" t="s">
        <v>1358</v>
      </c>
      <c r="B1" s="842"/>
      <c r="C1" s="854" t="s">
        <v>1359</v>
      </c>
    </row>
    <row r="2" spans="1:13">
      <c r="A2" s="852" t="s">
        <v>1360</v>
      </c>
      <c r="B2" s="853" t="s">
        <v>175</v>
      </c>
      <c r="C2" s="853" t="s">
        <v>173</v>
      </c>
    </row>
    <row r="3" spans="1:13">
      <c r="A3" s="832" t="s">
        <v>1361</v>
      </c>
      <c r="B3" s="833">
        <f>SUM('F-2'!C18:C34)</f>
        <v>6239.8084700999989</v>
      </c>
      <c r="C3" s="833">
        <f>B37</f>
        <v>18613.735987399985</v>
      </c>
    </row>
    <row r="4" spans="1:13">
      <c r="A4" s="834" t="s">
        <v>1362</v>
      </c>
      <c r="B4" s="833">
        <f>'F-2'!C37</f>
        <v>2631.2832840000015</v>
      </c>
      <c r="C4" s="833">
        <f>B38</f>
        <v>2866.0775586000018</v>
      </c>
    </row>
    <row r="5" spans="1:13">
      <c r="A5" s="832" t="s">
        <v>1363</v>
      </c>
      <c r="B5" s="833">
        <f>'F-2'!C35</f>
        <v>7283.44779809999</v>
      </c>
      <c r="C5" s="833">
        <f>B39</f>
        <v>15177.606291499986</v>
      </c>
    </row>
    <row r="6" spans="1:13">
      <c r="A6" s="1355" t="s">
        <v>1364</v>
      </c>
      <c r="B6" s="833">
        <f>'F-2'!C36</f>
        <v>315.62279319999965</v>
      </c>
      <c r="C6" s="833">
        <f>B40</f>
        <v>4908.5464397000087</v>
      </c>
    </row>
    <row r="7" spans="1:13">
      <c r="A7" s="832"/>
      <c r="B7" s="835">
        <f>SUM(B3:B6)</f>
        <v>16470.162345399989</v>
      </c>
      <c r="C7" s="835">
        <f>SUM(C3:C6)</f>
        <v>41565.966277199979</v>
      </c>
      <c r="D7" s="831">
        <f>C7-'F-2'!M38</f>
        <v>13456.623045922835</v>
      </c>
    </row>
    <row r="8" spans="1:13">
      <c r="A8" s="840" t="s">
        <v>890</v>
      </c>
      <c r="B8" s="841"/>
      <c r="C8" s="841"/>
      <c r="F8" s="1" t="s">
        <v>1365</v>
      </c>
      <c r="K8" s="855" t="s">
        <v>1366</v>
      </c>
    </row>
    <row r="9" spans="1:13">
      <c r="A9" s="832" t="s">
        <v>1367</v>
      </c>
      <c r="B9" s="836">
        <f>SUM('F-2'!D18:D34)</f>
        <v>14345.149865999987</v>
      </c>
      <c r="C9" s="836">
        <f>SUM('F-2'!I18:I34)</f>
        <v>30394.009204800004</v>
      </c>
      <c r="F9" s="847" t="s">
        <v>1360</v>
      </c>
      <c r="G9" s="1341" t="s">
        <v>1368</v>
      </c>
      <c r="H9" s="1341" t="s">
        <v>1369</v>
      </c>
      <c r="I9" s="1341" t="s">
        <v>1370</v>
      </c>
      <c r="J9" s="1341" t="s">
        <v>1371</v>
      </c>
      <c r="K9" s="1341" t="s">
        <v>1372</v>
      </c>
    </row>
    <row r="10" spans="1:13">
      <c r="A10" s="832" t="s">
        <v>1373</v>
      </c>
      <c r="B10" s="836">
        <f>'F-2'!D37</f>
        <v>18548.132944399997</v>
      </c>
      <c r="C10" s="836">
        <f>'F-2'!I37</f>
        <v>28511.146784533328</v>
      </c>
      <c r="F10" s="307" t="s">
        <v>839</v>
      </c>
      <c r="G10" s="848"/>
      <c r="H10" s="848"/>
      <c r="I10" s="848"/>
      <c r="J10" s="848"/>
      <c r="K10" s="848"/>
    </row>
    <row r="11" spans="1:13">
      <c r="A11" s="832" t="s">
        <v>874</v>
      </c>
      <c r="B11" s="836">
        <f>'F-2'!D35</f>
        <v>47394.171751600006</v>
      </c>
      <c r="C11" s="836">
        <f>'F-2'!I35</f>
        <v>56636.633024231734</v>
      </c>
      <c r="F11" s="307" t="s">
        <v>843</v>
      </c>
      <c r="G11" s="848">
        <f>'Depreciation New'!G124</f>
        <v>7004.7802882000005</v>
      </c>
      <c r="H11" s="848">
        <f>'F-2'!L9</f>
        <v>5081.7055796999975</v>
      </c>
      <c r="I11" s="848">
        <f>G11+H11</f>
        <v>12086.485867899999</v>
      </c>
      <c r="J11" s="848">
        <f>'F-2'!Q9</f>
        <v>4911.2</v>
      </c>
      <c r="K11" s="848">
        <f>I11+J11</f>
        <v>16997.6858679</v>
      </c>
    </row>
    <row r="12" spans="1:13">
      <c r="A12" s="1355" t="s">
        <v>875</v>
      </c>
      <c r="B12" s="836">
        <f>'F-2'!D36</f>
        <v>8412.8314768000091</v>
      </c>
      <c r="C12" s="836">
        <f>'F-2'!I36</f>
        <v>9019.8050065999923</v>
      </c>
      <c r="D12" s="3">
        <f>C13-'F-2'!N38</f>
        <v>53492.686020107765</v>
      </c>
      <c r="F12" s="307" t="s">
        <v>845</v>
      </c>
      <c r="G12" s="848">
        <f>'Depreciation New'!G126</f>
        <v>829.228077500003</v>
      </c>
      <c r="H12" s="848">
        <f>'F-2'!L10</f>
        <v>421.74776460000027</v>
      </c>
      <c r="I12" s="848">
        <f t="shared" ref="I12:I17" si="0">G12+H12</f>
        <v>1250.9758421000033</v>
      </c>
      <c r="J12" s="848">
        <f>'F-2'!Q10</f>
        <v>118.5</v>
      </c>
      <c r="K12" s="848">
        <f t="shared" ref="K12:K17" si="1">I12+J12</f>
        <v>1369.4758421000033</v>
      </c>
    </row>
    <row r="13" spans="1:13">
      <c r="A13" s="832"/>
      <c r="B13" s="837">
        <f>SUM(B9:B12)</f>
        <v>88700.286038800012</v>
      </c>
      <c r="C13" s="837">
        <f>SUM(C9:C12)</f>
        <v>124561.59402016507</v>
      </c>
      <c r="F13" s="307" t="s">
        <v>847</v>
      </c>
      <c r="G13" s="848">
        <f>'Depreciation New'!G127</f>
        <v>204.39639099999999</v>
      </c>
      <c r="H13" s="848">
        <f>'F-2'!L11</f>
        <v>127.2111</v>
      </c>
      <c r="I13" s="848">
        <f t="shared" si="0"/>
        <v>331.60749099999998</v>
      </c>
      <c r="J13" s="848">
        <f>'F-2'!Q11</f>
        <v>160</v>
      </c>
      <c r="K13" s="848">
        <f t="shared" si="1"/>
        <v>491.60749099999998</v>
      </c>
    </row>
    <row r="14" spans="1:13">
      <c r="A14" s="832"/>
      <c r="B14" s="832"/>
      <c r="C14" s="832"/>
      <c r="F14" s="848" t="s">
        <v>1050</v>
      </c>
      <c r="G14" s="848">
        <f>'Depreciation New'!G128+'Depreciation New'!G129</f>
        <v>9749.4681151999703</v>
      </c>
      <c r="H14" s="848">
        <f>'F-2'!L12</f>
        <v>9139.0883518000101</v>
      </c>
      <c r="I14" s="848">
        <f t="shared" si="0"/>
        <v>18888.55646699998</v>
      </c>
      <c r="J14" s="848">
        <f>'F-2'!Q12</f>
        <v>5915.3</v>
      </c>
      <c r="K14" s="848">
        <f t="shared" si="1"/>
        <v>24803.85646699998</v>
      </c>
      <c r="M14" s="826">
        <f>J14/I23</f>
        <v>0.19862620382544505</v>
      </c>
    </row>
    <row r="15" spans="1:13">
      <c r="A15" s="840" t="s">
        <v>1374</v>
      </c>
      <c r="B15" s="841"/>
      <c r="C15" s="841"/>
      <c r="F15" s="848" t="s">
        <v>851</v>
      </c>
      <c r="G15" s="848">
        <f>'Depreciation New'!G130</f>
        <v>1397.4358623999819</v>
      </c>
      <c r="H15" s="848">
        <f>'F-2'!L13</f>
        <v>1114.3890495000001</v>
      </c>
      <c r="I15" s="848">
        <f t="shared" si="0"/>
        <v>2511.824911899982</v>
      </c>
      <c r="J15" s="848">
        <f>'F-2'!Q13</f>
        <v>407.4</v>
      </c>
      <c r="K15" s="848">
        <f t="shared" si="1"/>
        <v>2919.2249118999821</v>
      </c>
    </row>
    <row r="16" spans="1:13">
      <c r="A16" s="832" t="s">
        <v>1367</v>
      </c>
      <c r="B16" s="836">
        <v>0</v>
      </c>
      <c r="C16" s="836">
        <v>0</v>
      </c>
      <c r="F16" s="307" t="s">
        <v>853</v>
      </c>
      <c r="G16" s="848">
        <f>'Depreciation New'!G113+'Depreciation New'!G101+'Depreciation New'!G89</f>
        <v>200739.4364396304</v>
      </c>
      <c r="H16" s="848">
        <f>'F-2'!L14</f>
        <v>65882.614142413309</v>
      </c>
      <c r="I16" s="848">
        <f t="shared" si="0"/>
        <v>266622.05058204371</v>
      </c>
      <c r="J16" s="848">
        <f>'F-2'!Q14</f>
        <v>37998.92458805332</v>
      </c>
      <c r="K16" s="848">
        <f t="shared" si="1"/>
        <v>304620.97517009702</v>
      </c>
    </row>
    <row r="17" spans="1:20">
      <c r="A17" s="832" t="s">
        <v>1373</v>
      </c>
      <c r="B17" s="836">
        <v>0</v>
      </c>
      <c r="C17" s="836">
        <v>0</v>
      </c>
      <c r="F17" s="307" t="s">
        <v>855</v>
      </c>
      <c r="G17" s="848">
        <f>'Depreciation New'!G125</f>
        <v>83052.779624769828</v>
      </c>
      <c r="H17" s="848">
        <f>'F-2'!L15</f>
        <v>57003.654194874543</v>
      </c>
      <c r="I17" s="848">
        <f t="shared" si="0"/>
        <v>140056.43381964439</v>
      </c>
      <c r="J17" s="848">
        <f>'F-2'!Q15</f>
        <v>27679.102529769603</v>
      </c>
      <c r="K17" s="848">
        <f t="shared" si="1"/>
        <v>167735.53634941397</v>
      </c>
    </row>
    <row r="18" spans="1:20">
      <c r="A18" s="832" t="s">
        <v>874</v>
      </c>
      <c r="B18" s="836">
        <f>'F-2'!E35</f>
        <v>89.343846099999993</v>
      </c>
      <c r="C18" s="836">
        <f>'F-2'!J35</f>
        <v>20.034417999999999</v>
      </c>
      <c r="D18" s="3">
        <f>C20-'F-2'!O38</f>
        <v>-9.7155820000000013</v>
      </c>
      <c r="F18" s="847" t="s">
        <v>274</v>
      </c>
      <c r="G18" s="847">
        <f>SUM(G10:G17)</f>
        <v>302977.52479870018</v>
      </c>
      <c r="H18" s="847">
        <f>SUM(H10:H17)</f>
        <v>138770.41018288786</v>
      </c>
      <c r="I18" s="847">
        <f>SUM(I10:I17)</f>
        <v>441747.93498158804</v>
      </c>
      <c r="J18" s="847">
        <f>SUM(J10:J17)</f>
        <v>77190.427117822925</v>
      </c>
      <c r="K18" s="847">
        <f>SUM(K10:K17)</f>
        <v>518938.36209941097</v>
      </c>
    </row>
    <row r="19" spans="1:20" ht="13.5" thickBot="1">
      <c r="A19" s="1355" t="s">
        <v>875</v>
      </c>
      <c r="B19" s="836">
        <f>'F-2'!E36</f>
        <v>0</v>
      </c>
      <c r="C19" s="836"/>
      <c r="H19" s="3"/>
      <c r="I19" s="3"/>
      <c r="J19" s="854" t="s">
        <v>1366</v>
      </c>
      <c r="K19" s="3"/>
      <c r="M19" s="653">
        <f>J14*15%</f>
        <v>887.29499999999996</v>
      </c>
    </row>
    <row r="20" spans="1:20" ht="25.5">
      <c r="A20" s="832"/>
      <c r="B20" s="837">
        <f>SUM(B16:B19)</f>
        <v>89.343846099999993</v>
      </c>
      <c r="C20" s="837">
        <f>SUM(C16:C19)</f>
        <v>20.034417999999999</v>
      </c>
      <c r="F20" s="51" t="s">
        <v>1375</v>
      </c>
      <c r="G20" s="11"/>
      <c r="H20" s="13">
        <f>(H23/117.23)*17.23</f>
        <v>8753.8107170317126</v>
      </c>
      <c r="I20" s="11"/>
      <c r="J20" s="13">
        <f>(I23/117.23)*17.23</f>
        <v>4377.1027874019464</v>
      </c>
    </row>
    <row r="21" spans="1:20" ht="13.5" thickBot="1">
      <c r="A21" s="832"/>
      <c r="B21" s="832"/>
      <c r="C21" s="832"/>
      <c r="I21" s="854" t="s">
        <v>1366</v>
      </c>
    </row>
    <row r="22" spans="1:20">
      <c r="A22" s="840" t="s">
        <v>1376</v>
      </c>
      <c r="B22" s="841"/>
      <c r="C22" s="841"/>
      <c r="F22" s="844" t="s">
        <v>1377</v>
      </c>
      <c r="G22" s="851" t="s">
        <v>1378</v>
      </c>
      <c r="H22" s="1341" t="s">
        <v>173</v>
      </c>
      <c r="I22" s="1341" t="s">
        <v>171</v>
      </c>
    </row>
    <row r="23" spans="1:20">
      <c r="A23" s="832" t="s">
        <v>1367</v>
      </c>
      <c r="B23" s="836">
        <v>0</v>
      </c>
      <c r="C23" s="836">
        <v>0</v>
      </c>
      <c r="F23" s="124" t="s">
        <v>874</v>
      </c>
      <c r="G23" s="1349">
        <v>0</v>
      </c>
      <c r="H23" s="1347">
        <f>'F-2'!L35</f>
        <v>59559.444594174565</v>
      </c>
      <c r="I23" s="1347">
        <f>'F-2'!Q35</f>
        <v>29781.065569769598</v>
      </c>
      <c r="J23" s="653"/>
      <c r="K23" s="653"/>
    </row>
    <row r="24" spans="1:20">
      <c r="A24" s="832" t="s">
        <v>1373</v>
      </c>
      <c r="B24" s="836">
        <v>0</v>
      </c>
      <c r="C24" s="836">
        <v>0</v>
      </c>
      <c r="D24" s="3">
        <f>C27-'F-2'!P38</f>
        <v>-897.35642768848038</v>
      </c>
      <c r="F24" s="124" t="s">
        <v>1379</v>
      </c>
      <c r="G24" s="1349"/>
      <c r="H24" s="1347">
        <f>'F-2'!L37</f>
        <v>29954.136561773332</v>
      </c>
      <c r="I24" s="1347">
        <f>'F-2'!Q37</f>
        <v>23229.216976493324</v>
      </c>
    </row>
    <row r="25" spans="1:20">
      <c r="A25" s="832" t="s">
        <v>874</v>
      </c>
      <c r="B25" s="836">
        <f>'F-2'!F35</f>
        <v>1284.8395090000001</v>
      </c>
      <c r="C25" s="836">
        <f>'F-2'!K35</f>
        <v>732.15869879999991</v>
      </c>
      <c r="F25" s="124" t="s">
        <v>1380</v>
      </c>
      <c r="G25" s="1349"/>
      <c r="H25" s="1347">
        <f>'F-2'!L20</f>
        <v>0</v>
      </c>
      <c r="I25" s="1347">
        <v>0</v>
      </c>
      <c r="L25" s="653"/>
    </row>
    <row r="26" spans="1:20">
      <c r="A26" s="1355" t="s">
        <v>875</v>
      </c>
      <c r="B26" s="836">
        <f>'F-2'!F36</f>
        <v>0</v>
      </c>
      <c r="C26" s="836">
        <f>'F-2'!K36</f>
        <v>0</v>
      </c>
      <c r="F26" s="124" t="s">
        <v>1367</v>
      </c>
      <c r="G26" s="1349"/>
      <c r="H26" s="1347">
        <f>SUM('F-2'!L18:L34)</f>
        <v>35928.477580639992</v>
      </c>
      <c r="I26" s="1347">
        <f>'F-2'!Q18+'F-2'!Q19-0.07</f>
        <v>4923.6482637199997</v>
      </c>
    </row>
    <row r="27" spans="1:20">
      <c r="A27" s="832"/>
      <c r="B27" s="837">
        <f>SUM(B23:B25)</f>
        <v>1284.8395090000001</v>
      </c>
      <c r="C27" s="837">
        <f>SUM(C23:C26)</f>
        <v>732.15869879999991</v>
      </c>
      <c r="F27" s="11" t="s">
        <v>274</v>
      </c>
      <c r="G27" s="1348">
        <v>176359.23079093039</v>
      </c>
      <c r="H27" s="1348">
        <f>SUM(H23:H26)</f>
        <v>125442.0587365879</v>
      </c>
      <c r="I27" s="1348">
        <f>SUM(I23:I26)</f>
        <v>57933.930809982929</v>
      </c>
    </row>
    <row r="28" spans="1:20">
      <c r="A28" s="832"/>
      <c r="B28" s="832"/>
      <c r="C28" s="832"/>
      <c r="F28" s="124" t="s">
        <v>1381</v>
      </c>
      <c r="G28" s="850">
        <v>0</v>
      </c>
      <c r="H28" s="13"/>
      <c r="I28" s="13"/>
    </row>
    <row r="29" spans="1:20">
      <c r="A29" s="840" t="s">
        <v>1382</v>
      </c>
      <c r="B29" s="841"/>
      <c r="C29" s="841"/>
      <c r="F29" s="844" t="s">
        <v>274</v>
      </c>
      <c r="G29" s="845">
        <f>G27+G28</f>
        <v>176359.23079093039</v>
      </c>
      <c r="H29" s="845">
        <f>H27+H28</f>
        <v>125442.0587365879</v>
      </c>
      <c r="I29" s="845">
        <f>I27+I28</f>
        <v>57933.930809982929</v>
      </c>
    </row>
    <row r="30" spans="1:20" ht="13.5" thickBot="1">
      <c r="A30" s="832" t="s">
        <v>1367</v>
      </c>
      <c r="B30" s="836">
        <f>SUM('F-2'!G18:G34)</f>
        <v>1971.2223487000006</v>
      </c>
      <c r="C30" s="836">
        <f>SUM('F-2'!L18:L34)</f>
        <v>35928.477580639992</v>
      </c>
      <c r="F30" s="1" t="s">
        <v>1383</v>
      </c>
      <c r="O30" s="855" t="s">
        <v>1366</v>
      </c>
    </row>
    <row r="31" spans="1:20">
      <c r="A31" s="832"/>
      <c r="B31" s="836"/>
      <c r="C31" s="836"/>
      <c r="D31" s="3">
        <f>C35-'F-2'!Q38</f>
        <v>61579.983065064967</v>
      </c>
      <c r="F31" s="2586" t="s">
        <v>887</v>
      </c>
      <c r="G31" s="2588" t="s">
        <v>1384</v>
      </c>
      <c r="H31" s="2588" t="s">
        <v>1385</v>
      </c>
      <c r="I31" s="2584" t="s">
        <v>886</v>
      </c>
      <c r="J31" s="2584"/>
      <c r="K31" s="2584"/>
      <c r="L31" s="2584" t="s">
        <v>175</v>
      </c>
      <c r="M31" s="2584"/>
      <c r="N31" s="2584"/>
      <c r="O31" s="2585"/>
      <c r="Q31" s="873">
        <v>5.28E-2</v>
      </c>
    </row>
    <row r="32" spans="1:20" ht="38.25">
      <c r="A32" s="832" t="s">
        <v>1373</v>
      </c>
      <c r="B32" s="836">
        <f>'F-2'!G37</f>
        <v>18313.338669799996</v>
      </c>
      <c r="C32" s="836">
        <f>'F-2'!L37</f>
        <v>29954.136561773332</v>
      </c>
      <c r="F32" s="2587"/>
      <c r="G32" s="2589"/>
      <c r="H32" s="2589"/>
      <c r="I32" s="846" t="s">
        <v>1386</v>
      </c>
      <c r="J32" s="846" t="s">
        <v>1387</v>
      </c>
      <c r="K32" s="846" t="s">
        <v>239</v>
      </c>
      <c r="L32" s="846" t="s">
        <v>1386</v>
      </c>
      <c r="M32" s="846" t="s">
        <v>1388</v>
      </c>
      <c r="N32" s="846" t="s">
        <v>1389</v>
      </c>
      <c r="O32" s="865" t="s">
        <v>239</v>
      </c>
      <c r="Q32" s="846" t="s">
        <v>1388</v>
      </c>
      <c r="R32" s="846" t="s">
        <v>1389</v>
      </c>
      <c r="S32" s="872" t="s">
        <v>239</v>
      </c>
      <c r="T32" s="872" t="s">
        <v>1390</v>
      </c>
    </row>
    <row r="33" spans="1:20">
      <c r="A33" s="832" t="s">
        <v>874</v>
      </c>
      <c r="B33" s="836">
        <f>'F-2'!G35</f>
        <v>40874.196613300002</v>
      </c>
      <c r="C33" s="836">
        <f>'F-2'!L35</f>
        <v>59559.444594174565</v>
      </c>
      <c r="F33" s="829" t="s">
        <v>843</v>
      </c>
      <c r="G33" s="1350">
        <v>1.7999999999999999E-2</v>
      </c>
      <c r="H33" s="1350">
        <v>3.3399999999999999E-2</v>
      </c>
      <c r="I33" s="848">
        <f t="shared" ref="I33:I39" si="2">G11*G33</f>
        <v>126.08604518760001</v>
      </c>
      <c r="J33" s="848">
        <f t="shared" ref="J33:J39" si="3">(H33*H11)/2</f>
        <v>84.86448318098995</v>
      </c>
      <c r="K33" s="848">
        <f>I33+J33</f>
        <v>210.95052836858997</v>
      </c>
      <c r="L33" s="848">
        <f>I33</f>
        <v>126.08604518760001</v>
      </c>
      <c r="M33" s="848">
        <f>H11*H33</f>
        <v>169.7289663619799</v>
      </c>
      <c r="N33" s="848">
        <f t="shared" ref="N33:N39" si="4">(J11*H33)/2</f>
        <v>82.017039999999994</v>
      </c>
      <c r="O33" s="860">
        <f>SUM(L33:N33)</f>
        <v>377.83205154957994</v>
      </c>
      <c r="Q33" s="653">
        <f>H11*$Q$31</f>
        <v>268.31405460815989</v>
      </c>
      <c r="R33" s="653">
        <f>J11*$Q$31/2</f>
        <v>129.65567999999999</v>
      </c>
      <c r="S33" s="653">
        <f>L33+SUM(Q33:R33)</f>
        <v>524.05577979575992</v>
      </c>
      <c r="T33" s="653">
        <f>O33-S33</f>
        <v>-146.22372824617997</v>
      </c>
    </row>
    <row r="34" spans="1:20">
      <c r="A34" s="517" t="s">
        <v>875</v>
      </c>
      <c r="B34" s="836">
        <f>'F-2'!G36</f>
        <v>3819.9078303000006</v>
      </c>
      <c r="C34" s="836">
        <f>'F-2'!L36</f>
        <v>13328.351446299999</v>
      </c>
      <c r="F34" s="2425" t="s">
        <v>845</v>
      </c>
      <c r="G34" s="1350">
        <v>4.5499999999999999E-2</v>
      </c>
      <c r="H34" s="1350">
        <v>6.3299999999999995E-2</v>
      </c>
      <c r="I34" s="848">
        <f t="shared" si="2"/>
        <v>37.729877526250135</v>
      </c>
      <c r="J34" s="848">
        <f t="shared" si="3"/>
        <v>13.348316749590007</v>
      </c>
      <c r="K34" s="848">
        <f t="shared" ref="K34:K42" si="5">I34+J34</f>
        <v>51.07819427584014</v>
      </c>
      <c r="L34" s="848">
        <f t="shared" ref="L34:L39" si="6">I34</f>
        <v>37.729877526250135</v>
      </c>
      <c r="M34" s="848">
        <f t="shared" ref="M34:M39" si="7">H12*H34</f>
        <v>26.696633499180013</v>
      </c>
      <c r="N34" s="848">
        <f t="shared" si="4"/>
        <v>3.7505249999999997</v>
      </c>
      <c r="O34" s="860">
        <f t="shared" ref="O34:O42" si="8">SUM(L34:N34)</f>
        <v>68.177036025430141</v>
      </c>
      <c r="Q34" s="653">
        <f t="shared" ref="Q34:Q39" si="9">H12*$Q$31</f>
        <v>22.268281970880015</v>
      </c>
      <c r="R34" s="653">
        <f t="shared" ref="R34:R39" si="10">J12*$Q$31/2</f>
        <v>3.1284000000000001</v>
      </c>
      <c r="S34" s="653">
        <f t="shared" ref="S34:S39" si="11">L34+SUM(Q34:R34)</f>
        <v>63.126559497130145</v>
      </c>
      <c r="T34" s="653">
        <f t="shared" ref="T34:T42" si="12">O34-S34</f>
        <v>5.0504765282999955</v>
      </c>
    </row>
    <row r="35" spans="1:20">
      <c r="A35" s="832"/>
      <c r="B35" s="837">
        <f>SUM(B30:B34)</f>
        <v>64978.665462099998</v>
      </c>
      <c r="C35" s="837">
        <f>SUM(C30:C34)</f>
        <v>138770.41018288789</v>
      </c>
      <c r="F35" s="2425" t="s">
        <v>847</v>
      </c>
      <c r="G35" s="1350">
        <v>0.12859999999999999</v>
      </c>
      <c r="H35" s="1350">
        <v>9.5000000000000001E-2</v>
      </c>
      <c r="I35" s="848">
        <f t="shared" si="2"/>
        <v>26.285375882599997</v>
      </c>
      <c r="J35" s="848">
        <f t="shared" si="3"/>
        <v>6.04252725</v>
      </c>
      <c r="K35" s="848">
        <f t="shared" si="5"/>
        <v>32.327903132599999</v>
      </c>
      <c r="L35" s="848">
        <f t="shared" si="6"/>
        <v>26.285375882599997</v>
      </c>
      <c r="M35" s="848">
        <f t="shared" si="7"/>
        <v>12.0850545</v>
      </c>
      <c r="N35" s="848">
        <f t="shared" si="4"/>
        <v>7.6</v>
      </c>
      <c r="O35" s="860">
        <f t="shared" si="8"/>
        <v>45.9704303826</v>
      </c>
      <c r="Q35" s="653">
        <f t="shared" si="9"/>
        <v>6.7167460800000001</v>
      </c>
      <c r="R35" s="653">
        <f t="shared" si="10"/>
        <v>4.2240000000000002</v>
      </c>
      <c r="S35" s="653">
        <f t="shared" si="11"/>
        <v>37.226121962599997</v>
      </c>
      <c r="T35" s="653">
        <f t="shared" si="12"/>
        <v>8.744308420000003</v>
      </c>
    </row>
    <row r="36" spans="1:20">
      <c r="A36" s="832"/>
      <c r="B36" s="832"/>
      <c r="C36" s="832"/>
      <c r="D36" s="831">
        <f>C41-'F-2'!R38</f>
        <v>4462.2539912771463</v>
      </c>
      <c r="F36" s="828" t="s">
        <v>1050</v>
      </c>
      <c r="G36" s="843">
        <v>0</v>
      </c>
      <c r="H36" s="1031">
        <v>0.15</v>
      </c>
      <c r="I36" s="848">
        <f t="shared" si="2"/>
        <v>0</v>
      </c>
      <c r="J36" s="848">
        <f t="shared" si="3"/>
        <v>685.43162638500075</v>
      </c>
      <c r="K36" s="848">
        <f t="shared" si="5"/>
        <v>685.43162638500075</v>
      </c>
      <c r="L36" s="848">
        <f t="shared" si="6"/>
        <v>0</v>
      </c>
      <c r="M36" s="848">
        <f t="shared" si="7"/>
        <v>1370.8632527700015</v>
      </c>
      <c r="N36" s="848">
        <f t="shared" si="4"/>
        <v>443.64749999999998</v>
      </c>
      <c r="O36" s="860">
        <f t="shared" si="8"/>
        <v>1814.5107527700015</v>
      </c>
      <c r="Q36" s="653">
        <f t="shared" si="9"/>
        <v>482.54386497504055</v>
      </c>
      <c r="R36" s="653">
        <f t="shared" si="10"/>
        <v>156.16391999999999</v>
      </c>
      <c r="S36" s="653">
        <f t="shared" si="11"/>
        <v>638.70778497504057</v>
      </c>
      <c r="T36" s="653">
        <f t="shared" si="12"/>
        <v>1175.802967794961</v>
      </c>
    </row>
    <row r="37" spans="1:20">
      <c r="A37" s="834" t="s">
        <v>1391</v>
      </c>
      <c r="B37" s="833">
        <f>B3+B9+B16+B23-B30</f>
        <v>18613.735987399985</v>
      </c>
      <c r="C37" s="833">
        <f>C3+C9+C16+C23-C30</f>
        <v>13079.267611559997</v>
      </c>
      <c r="F37" s="828" t="s">
        <v>851</v>
      </c>
      <c r="G37" s="1350">
        <v>0.09</v>
      </c>
      <c r="H37" s="1350">
        <v>6.3299999999999995E-2</v>
      </c>
      <c r="I37" s="848">
        <f t="shared" si="2"/>
        <v>125.76922761599837</v>
      </c>
      <c r="J37" s="848">
        <f t="shared" si="3"/>
        <v>35.270413416674998</v>
      </c>
      <c r="K37" s="848">
        <f t="shared" si="5"/>
        <v>161.03964103267339</v>
      </c>
      <c r="L37" s="848">
        <f t="shared" si="6"/>
        <v>125.76922761599837</v>
      </c>
      <c r="M37" s="848">
        <f t="shared" si="7"/>
        <v>70.540826833349996</v>
      </c>
      <c r="N37" s="848">
        <f t="shared" si="4"/>
        <v>12.894209999999998</v>
      </c>
      <c r="O37" s="860">
        <f t="shared" si="8"/>
        <v>209.20426444934836</v>
      </c>
      <c r="Q37" s="653">
        <f t="shared" si="9"/>
        <v>58.8397418136</v>
      </c>
      <c r="R37" s="653">
        <f t="shared" si="10"/>
        <v>10.75536</v>
      </c>
      <c r="S37" s="653">
        <f t="shared" si="11"/>
        <v>195.36432942959837</v>
      </c>
      <c r="T37" s="653">
        <f t="shared" si="12"/>
        <v>13.839935019749987</v>
      </c>
    </row>
    <row r="38" spans="1:20">
      <c r="A38" s="834" t="s">
        <v>1392</v>
      </c>
      <c r="B38" s="833">
        <f t="shared" ref="B38:C40" si="13">B4+B10+B17+B24-B32</f>
        <v>2866.0775586000018</v>
      </c>
      <c r="C38" s="833">
        <f t="shared" si="13"/>
        <v>1423.0877813599982</v>
      </c>
      <c r="F38" s="829" t="s">
        <v>853</v>
      </c>
      <c r="G38" s="1350">
        <v>3.7999999999999999E-2</v>
      </c>
      <c r="H38" s="1350">
        <v>5.28E-2</v>
      </c>
      <c r="I38" s="848">
        <f t="shared" si="2"/>
        <v>7628.0985847059546</v>
      </c>
      <c r="J38" s="848">
        <f t="shared" si="3"/>
        <v>1739.3010133597113</v>
      </c>
      <c r="K38" s="848">
        <f t="shared" si="5"/>
        <v>9367.3995980656655</v>
      </c>
      <c r="L38" s="848">
        <f t="shared" si="6"/>
        <v>7628.0985847059546</v>
      </c>
      <c r="M38" s="848">
        <f t="shared" si="7"/>
        <v>3478.6020267194226</v>
      </c>
      <c r="N38" s="848">
        <f t="shared" si="4"/>
        <v>1003.1716091246076</v>
      </c>
      <c r="O38" s="860">
        <f t="shared" si="8"/>
        <v>12109.872220549985</v>
      </c>
      <c r="Q38" s="653">
        <f t="shared" si="9"/>
        <v>3478.6020267194226</v>
      </c>
      <c r="R38" s="653">
        <f t="shared" si="10"/>
        <v>1003.1716091246076</v>
      </c>
      <c r="S38" s="653">
        <f t="shared" si="11"/>
        <v>12109.872220549985</v>
      </c>
      <c r="T38" s="653">
        <f t="shared" si="12"/>
        <v>0</v>
      </c>
    </row>
    <row r="39" spans="1:20">
      <c r="A39" s="834" t="s">
        <v>1393</v>
      </c>
      <c r="B39" s="833">
        <f t="shared" si="13"/>
        <v>15177.606291499986</v>
      </c>
      <c r="C39" s="833">
        <f t="shared" si="13"/>
        <v>13006.987838357149</v>
      </c>
      <c r="F39" s="829" t="s">
        <v>855</v>
      </c>
      <c r="G39" s="1350">
        <v>3.7999999999999999E-2</v>
      </c>
      <c r="H39" s="1351">
        <v>5.28E-2</v>
      </c>
      <c r="I39" s="848">
        <f t="shared" si="2"/>
        <v>3156.0056257412534</v>
      </c>
      <c r="J39" s="848">
        <f t="shared" si="3"/>
        <v>1504.896470744688</v>
      </c>
      <c r="K39" s="848">
        <f t="shared" si="5"/>
        <v>4660.902096485941</v>
      </c>
      <c r="L39" s="848">
        <f t="shared" si="6"/>
        <v>3156.0056257412534</v>
      </c>
      <c r="M39" s="848">
        <f t="shared" si="7"/>
        <v>3009.7929414893761</v>
      </c>
      <c r="N39" s="848">
        <f t="shared" si="4"/>
        <v>730.72830678591754</v>
      </c>
      <c r="O39" s="860">
        <f t="shared" si="8"/>
        <v>6896.5268740165466</v>
      </c>
      <c r="Q39" s="653">
        <f t="shared" si="9"/>
        <v>3009.7929414893761</v>
      </c>
      <c r="R39" s="653">
        <f t="shared" si="10"/>
        <v>730.72830678591754</v>
      </c>
      <c r="S39" s="653">
        <f t="shared" si="11"/>
        <v>6896.5268740165466</v>
      </c>
      <c r="T39" s="653">
        <f t="shared" si="12"/>
        <v>0</v>
      </c>
    </row>
    <row r="40" spans="1:20">
      <c r="A40" s="1355" t="s">
        <v>1394</v>
      </c>
      <c r="B40" s="833">
        <f t="shared" si="13"/>
        <v>4908.5464397000087</v>
      </c>
      <c r="C40" s="833">
        <f t="shared" si="13"/>
        <v>600.00000000000182</v>
      </c>
      <c r="F40" s="866" t="s">
        <v>1395</v>
      </c>
      <c r="G40" s="9"/>
      <c r="H40" s="9"/>
      <c r="I40" s="1346">
        <f t="shared" ref="I40:T40" si="14">SUM(I33:I39)</f>
        <v>11099.974736659657</v>
      </c>
      <c r="J40" s="1346">
        <f t="shared" si="14"/>
        <v>4069.1548510866551</v>
      </c>
      <c r="K40" s="1346">
        <f t="shared" si="14"/>
        <v>15169.129587746311</v>
      </c>
      <c r="L40" s="1346">
        <f t="shared" si="14"/>
        <v>11099.974736659657</v>
      </c>
      <c r="M40" s="1346">
        <f t="shared" si="14"/>
        <v>8138.3097021733101</v>
      </c>
      <c r="N40" s="1346">
        <f t="shared" si="14"/>
        <v>2283.8091909105251</v>
      </c>
      <c r="O40" s="1352">
        <f t="shared" si="14"/>
        <v>21522.093629743489</v>
      </c>
      <c r="P40" s="3"/>
      <c r="Q40" s="13">
        <f t="shared" si="14"/>
        <v>7327.0776576564795</v>
      </c>
      <c r="R40" s="13">
        <f t="shared" si="14"/>
        <v>2037.827275910525</v>
      </c>
      <c r="S40" s="13">
        <f t="shared" si="14"/>
        <v>20464.879670226663</v>
      </c>
      <c r="T40" s="13">
        <f t="shared" si="14"/>
        <v>1057.213959516831</v>
      </c>
    </row>
    <row r="41" spans="1:20" ht="51.75" thickBot="1">
      <c r="A41" s="838"/>
      <c r="B41" s="839">
        <f>SUM(B37:B40)</f>
        <v>41565.966277199979</v>
      </c>
      <c r="C41" s="839">
        <f>SUM(C37:C40)</f>
        <v>28109.343231277147</v>
      </c>
      <c r="F41" s="867" t="s">
        <v>1396</v>
      </c>
      <c r="G41" s="9"/>
      <c r="H41" s="9"/>
      <c r="I41" s="848">
        <f>G24*G38</f>
        <v>0</v>
      </c>
      <c r="J41" s="848">
        <f>((H24+H26)*H38)/2</f>
        <v>1739.3010133597118</v>
      </c>
      <c r="K41" s="848">
        <f t="shared" si="5"/>
        <v>1739.3010133597118</v>
      </c>
      <c r="L41" s="848">
        <f>I41</f>
        <v>0</v>
      </c>
      <c r="M41" s="848">
        <f>(H24+H26)*H38</f>
        <v>3478.6020267194235</v>
      </c>
      <c r="N41" s="848">
        <f>(I24+I26)*H38/2</f>
        <v>743.23564234163177</v>
      </c>
      <c r="O41" s="860">
        <f t="shared" si="8"/>
        <v>4221.8376690610548</v>
      </c>
      <c r="P41" s="3"/>
      <c r="Q41">
        <f>(H24+H26)*Q31</f>
        <v>3478.6020267194235</v>
      </c>
      <c r="R41">
        <f>(I24+I26)*Q31/2</f>
        <v>743.23564234163177</v>
      </c>
      <c r="S41" s="653">
        <f t="shared" ref="S41:S42" si="15">L41+SUM(Q41:R41)</f>
        <v>4221.8376690610548</v>
      </c>
      <c r="T41" s="653">
        <f t="shared" si="12"/>
        <v>0</v>
      </c>
    </row>
    <row r="42" spans="1:20">
      <c r="F42" s="829" t="s">
        <v>1397</v>
      </c>
      <c r="G42" s="9"/>
      <c r="H42" s="9"/>
      <c r="I42" s="848"/>
      <c r="J42" s="848">
        <f>(H20*H38)/2</f>
        <v>231.1006029296372</v>
      </c>
      <c r="K42" s="848">
        <f t="shared" si="5"/>
        <v>231.1006029296372</v>
      </c>
      <c r="L42" s="848"/>
      <c r="M42" s="848">
        <f>H20*H38</f>
        <v>462.20120585927441</v>
      </c>
      <c r="N42" s="848">
        <f>(J20*H39)/2</f>
        <v>115.55551358741138</v>
      </c>
      <c r="O42" s="860">
        <f t="shared" si="8"/>
        <v>577.75671944668579</v>
      </c>
      <c r="P42" s="3"/>
      <c r="Q42">
        <f>H20*5.28%</f>
        <v>462.20120585927441</v>
      </c>
      <c r="R42">
        <f>J20*5.28%/2</f>
        <v>115.55551358741138</v>
      </c>
      <c r="S42" s="653">
        <f t="shared" si="15"/>
        <v>577.75671944668579</v>
      </c>
      <c r="T42" s="653">
        <f t="shared" si="12"/>
        <v>0</v>
      </c>
    </row>
    <row r="43" spans="1:20" ht="13.5" thickBot="1">
      <c r="F43" s="868" t="s">
        <v>1398</v>
      </c>
      <c r="G43" s="869"/>
      <c r="H43" s="869"/>
      <c r="I43" s="1353">
        <f>I40-I41+I42</f>
        <v>11099.974736659657</v>
      </c>
      <c r="J43" s="1353">
        <f>J40-J41+J42</f>
        <v>2560.9544406565806</v>
      </c>
      <c r="K43" s="1353">
        <f>K40-K41+K42</f>
        <v>13660.929177316237</v>
      </c>
      <c r="L43" s="1353">
        <f>L40-L41+L42</f>
        <v>11099.974736659657</v>
      </c>
      <c r="M43" s="1353">
        <f t="shared" ref="M43:T43" si="16">M40-M41+M42</f>
        <v>5121.9088813131611</v>
      </c>
      <c r="N43" s="1353">
        <f t="shared" si="16"/>
        <v>1656.1290621563048</v>
      </c>
      <c r="O43" s="1354">
        <f t="shared" si="16"/>
        <v>17878.012680129123</v>
      </c>
      <c r="Q43" s="870">
        <f t="shared" si="16"/>
        <v>4310.6768367963305</v>
      </c>
      <c r="R43" s="870">
        <f t="shared" si="16"/>
        <v>1410.1471471563045</v>
      </c>
      <c r="S43" s="870">
        <f t="shared" si="16"/>
        <v>16820.798720612293</v>
      </c>
      <c r="T43" s="870">
        <f t="shared" si="16"/>
        <v>1057.213959516831</v>
      </c>
    </row>
    <row r="44" spans="1:20">
      <c r="K44" s="3"/>
    </row>
    <row r="45" spans="1:20" ht="13.5" thickBot="1">
      <c r="F45" s="849" t="s">
        <v>1399</v>
      </c>
      <c r="H45" s="855" t="s">
        <v>1366</v>
      </c>
      <c r="K45" s="3"/>
      <c r="L45" s="653"/>
      <c r="O45" s="3"/>
      <c r="Q45" s="653">
        <v>37.706264211755773</v>
      </c>
      <c r="R45" s="653">
        <v>60.874633650934662</v>
      </c>
    </row>
    <row r="46" spans="1:20">
      <c r="F46" s="856" t="s">
        <v>1360</v>
      </c>
      <c r="G46" s="857" t="s">
        <v>173</v>
      </c>
      <c r="H46" s="858" t="s">
        <v>171</v>
      </c>
      <c r="Q46" s="653">
        <f>K43/10^2-Q45</f>
        <v>98.903027561406589</v>
      </c>
      <c r="R46" s="653">
        <f>S43/10^2-R45</f>
        <v>107.33335355518827</v>
      </c>
    </row>
    <row r="47" spans="1:20">
      <c r="F47" s="829" t="s">
        <v>1322</v>
      </c>
      <c r="G47" s="848">
        <f>'F-21'!E7</f>
        <v>17867.83337825237</v>
      </c>
      <c r="H47" s="860">
        <f>'F-21'!F7</f>
        <v>8934.3196709308795</v>
      </c>
    </row>
    <row r="48" spans="1:20">
      <c r="F48" s="829" t="s">
        <v>1321</v>
      </c>
      <c r="G48" s="848">
        <f>'F-3'!C8</f>
        <v>41691.611215922196</v>
      </c>
      <c r="H48" s="860">
        <f>'F-3'!G8</f>
        <v>20846.745898838719</v>
      </c>
    </row>
    <row r="49" spans="6:26">
      <c r="F49" s="829" t="s">
        <v>1379</v>
      </c>
      <c r="G49" s="848">
        <f>H24</f>
        <v>29954.136561773332</v>
      </c>
      <c r="H49" s="860">
        <f>I24</f>
        <v>23229.216976493324</v>
      </c>
    </row>
    <row r="50" spans="6:26">
      <c r="F50" s="829" t="s">
        <v>1400</v>
      </c>
      <c r="G50" s="848">
        <f>H26</f>
        <v>35928.477580639992</v>
      </c>
      <c r="H50" s="860">
        <f>I26</f>
        <v>4923.6482637199997</v>
      </c>
    </row>
    <row r="51" spans="6:26" ht="13.5" customHeight="1">
      <c r="F51" s="829" t="s">
        <v>1401</v>
      </c>
      <c r="G51" s="848">
        <f>H25</f>
        <v>0</v>
      </c>
      <c r="H51" s="860">
        <v>0</v>
      </c>
    </row>
    <row r="52" spans="6:26">
      <c r="F52" s="859" t="s">
        <v>274</v>
      </c>
      <c r="G52" s="861">
        <f>SUM(G47:G51)</f>
        <v>125442.0587365879</v>
      </c>
      <c r="H52" s="862">
        <f>SUM(H47:H51)</f>
        <v>57933.930809982929</v>
      </c>
    </row>
    <row r="53" spans="6:26">
      <c r="F53" s="828"/>
      <c r="G53" s="848"/>
      <c r="H53" s="860"/>
    </row>
    <row r="54" spans="6:26">
      <c r="F54" s="829" t="s">
        <v>1402</v>
      </c>
      <c r="G54" s="848">
        <f>H18</f>
        <v>138770.41018288786</v>
      </c>
      <c r="H54" s="860">
        <f>J18</f>
        <v>77190.427117822925</v>
      </c>
    </row>
    <row r="55" spans="6:26" ht="13.5" thickBot="1">
      <c r="F55" s="830" t="s">
        <v>1403</v>
      </c>
      <c r="G55" s="863">
        <f>H20</f>
        <v>8753.8107170317126</v>
      </c>
      <c r="H55" s="864">
        <f>J20</f>
        <v>4377.1027874019464</v>
      </c>
    </row>
    <row r="56" spans="6:26">
      <c r="F56" s="859" t="s">
        <v>274</v>
      </c>
      <c r="G56" s="861">
        <f>G54+G55</f>
        <v>147524.22089991957</v>
      </c>
      <c r="H56" s="861">
        <f>H54+H55</f>
        <v>81567.529905224874</v>
      </c>
    </row>
    <row r="57" spans="6:26">
      <c r="G57" s="653">
        <f>G47-G55</f>
        <v>9114.022661220657</v>
      </c>
      <c r="H57" s="653">
        <f>H47-H55</f>
        <v>4557.2168835289331</v>
      </c>
    </row>
    <row r="58" spans="6:26" ht="13.5" thickBot="1">
      <c r="L58" s="2590"/>
      <c r="M58" s="2592"/>
      <c r="N58" s="2579"/>
      <c r="O58" s="2580"/>
      <c r="P58" s="2581"/>
      <c r="Q58" s="2582"/>
    </row>
    <row r="59" spans="6:26" ht="13.5" thickBot="1">
      <c r="L59" s="2591"/>
      <c r="M59" s="2593"/>
      <c r="N59" s="943"/>
      <c r="O59" s="943"/>
      <c r="P59" s="943"/>
      <c r="Q59" s="2583"/>
    </row>
    <row r="60" spans="6:26" ht="15.75" thickBot="1">
      <c r="F60" s="910" t="s">
        <v>887</v>
      </c>
      <c r="G60" s="911" t="s">
        <v>922</v>
      </c>
      <c r="H60" s="911" t="s">
        <v>923</v>
      </c>
      <c r="L60" s="946"/>
      <c r="M60" s="944"/>
      <c r="N60" s="944"/>
      <c r="O60" s="944"/>
      <c r="P60" s="945"/>
      <c r="Q60" s="947"/>
      <c r="V60" s="955" t="s">
        <v>899</v>
      </c>
      <c r="W60" s="956" t="s">
        <v>887</v>
      </c>
      <c r="X60" s="957"/>
      <c r="Y60" s="958" t="s">
        <v>1404</v>
      </c>
      <c r="Z60" s="957"/>
    </row>
    <row r="61" spans="6:26" ht="15.75" thickBot="1">
      <c r="F61" s="902" t="s">
        <v>891</v>
      </c>
      <c r="G61" s="903">
        <f>G56/10^2</f>
        <v>1475.2422089991958</v>
      </c>
      <c r="H61" s="903">
        <f>H56/10^2</f>
        <v>815.67529905224876</v>
      </c>
      <c r="L61" s="946"/>
      <c r="M61" s="944"/>
      <c r="N61" s="944"/>
      <c r="O61" s="944"/>
      <c r="P61" s="945"/>
      <c r="Q61" s="947"/>
      <c r="V61" s="892"/>
      <c r="W61" s="892"/>
      <c r="X61" s="893" t="s">
        <v>841</v>
      </c>
      <c r="Y61" s="892"/>
      <c r="Z61" s="893" t="s">
        <v>842</v>
      </c>
    </row>
    <row r="62" spans="6:26" ht="15.75" thickBot="1">
      <c r="F62" s="904" t="s">
        <v>1405</v>
      </c>
      <c r="G62" s="905"/>
      <c r="H62" s="905"/>
      <c r="L62" s="946"/>
      <c r="M62" s="944"/>
      <c r="N62" s="944"/>
      <c r="O62" s="944"/>
      <c r="P62" s="945"/>
      <c r="Q62" s="947"/>
      <c r="V62" s="894">
        <v>1</v>
      </c>
      <c r="W62" s="895" t="s">
        <v>1311</v>
      </c>
      <c r="X62" s="900">
        <f>H23/10^2</f>
        <v>595.59444594174568</v>
      </c>
      <c r="Y62" s="896"/>
      <c r="Z62" s="900">
        <f>Z74</f>
        <v>73.069699999999997</v>
      </c>
    </row>
    <row r="63" spans="6:26" ht="15.75" thickBot="1">
      <c r="F63" s="905" t="str">
        <f>F49</f>
        <v>Consumer Contribution</v>
      </c>
      <c r="G63" s="906">
        <f>G49/10^2</f>
        <v>299.54136561773333</v>
      </c>
      <c r="H63" s="906">
        <f>H49/10^2</f>
        <v>232.29216976493325</v>
      </c>
      <c r="L63" s="946"/>
      <c r="M63" s="944"/>
      <c r="N63" s="944"/>
      <c r="O63" s="944"/>
      <c r="P63" s="945"/>
      <c r="Q63" s="947"/>
      <c r="V63" s="894">
        <v>2</v>
      </c>
      <c r="W63" s="895" t="s">
        <v>1312</v>
      </c>
      <c r="X63" s="900">
        <v>0</v>
      </c>
      <c r="Y63" s="896"/>
      <c r="Z63" s="900">
        <f>Z79-Z62</f>
        <v>441.09603072743857</v>
      </c>
    </row>
    <row r="64" spans="6:26" ht="15.75" thickBot="1">
      <c r="F64" s="907" t="s">
        <v>1406</v>
      </c>
      <c r="G64" s="906">
        <f>(G50+G51)/10^2</f>
        <v>359.28477580639992</v>
      </c>
      <c r="H64" s="906">
        <f>(H50+H51)/10^2</f>
        <v>49.236482637199998</v>
      </c>
      <c r="L64" s="946"/>
      <c r="M64" s="944"/>
      <c r="N64" s="944"/>
      <c r="O64" s="944"/>
      <c r="P64" s="944"/>
      <c r="Q64" s="947"/>
      <c r="V64" s="894">
        <v>3</v>
      </c>
      <c r="W64" s="895" t="s">
        <v>1407</v>
      </c>
      <c r="X64" s="900">
        <v>5.0999999999999996</v>
      </c>
      <c r="Y64" s="896"/>
      <c r="Z64" s="900">
        <v>0</v>
      </c>
    </row>
    <row r="65" spans="6:26" ht="15.75" thickBot="1">
      <c r="F65" s="907" t="s">
        <v>1321</v>
      </c>
      <c r="G65" s="906">
        <f>G48/10^2</f>
        <v>416.91611215922194</v>
      </c>
      <c r="H65" s="906">
        <f>H48/10^2</f>
        <v>208.46745898838719</v>
      </c>
      <c r="L65" s="948"/>
      <c r="M65" s="943"/>
      <c r="N65" s="943"/>
      <c r="O65" s="943"/>
      <c r="P65" s="943"/>
      <c r="Q65" s="949"/>
      <c r="V65" s="894">
        <v>4</v>
      </c>
      <c r="W65" s="895" t="s">
        <v>1408</v>
      </c>
      <c r="X65" s="900">
        <f>(H26+H25)/10^2-X64</f>
        <v>354.1847758063999</v>
      </c>
      <c r="Y65" s="896"/>
      <c r="Z65" s="900">
        <f>I26/10^2</f>
        <v>49.236482637199998</v>
      </c>
    </row>
    <row r="66" spans="6:26" ht="15.75" thickBot="1">
      <c r="F66" s="908" t="s">
        <v>1409</v>
      </c>
      <c r="G66" s="909">
        <f>G47/10^2</f>
        <v>178.67833378252371</v>
      </c>
      <c r="H66" s="909">
        <f>H47/10^2</f>
        <v>89.343196709308799</v>
      </c>
      <c r="L66" s="946"/>
      <c r="M66" s="945"/>
      <c r="N66" s="945"/>
      <c r="O66" s="945"/>
      <c r="P66" s="945"/>
      <c r="Q66" s="947"/>
      <c r="V66" s="894">
        <v>5</v>
      </c>
      <c r="W66" s="895" t="s">
        <v>1410</v>
      </c>
      <c r="X66" s="900">
        <f>H24/10^2</f>
        <v>299.54136561773333</v>
      </c>
      <c r="Y66" s="896"/>
      <c r="Z66" s="900">
        <f>I24/10^2</f>
        <v>232.29216976493325</v>
      </c>
    </row>
    <row r="67" spans="6:26" ht="30.75" thickBot="1">
      <c r="L67" s="946"/>
      <c r="M67" s="945"/>
      <c r="N67" s="944"/>
      <c r="O67" s="944"/>
      <c r="P67" s="944"/>
      <c r="Q67" s="947"/>
      <c r="V67" s="894">
        <v>6</v>
      </c>
      <c r="W67" s="895" t="s">
        <v>1411</v>
      </c>
      <c r="X67" s="900">
        <f>(X62+X63)*17.23%</f>
        <v>102.62092303576279</v>
      </c>
      <c r="Y67" s="896"/>
      <c r="Z67" s="900">
        <f>(Z62+Z63)*17.23%</f>
        <v>88.590755404337671</v>
      </c>
    </row>
    <row r="68" spans="6:26" ht="15.75" thickBot="1">
      <c r="L68" s="946"/>
      <c r="M68" s="945"/>
      <c r="N68" s="944"/>
      <c r="O68" s="945"/>
      <c r="P68" s="945"/>
      <c r="Q68" s="947"/>
      <c r="V68" s="898">
        <v>7</v>
      </c>
      <c r="W68" s="899" t="s">
        <v>1315</v>
      </c>
      <c r="X68" s="901">
        <f>SUM(X62:X67)</f>
        <v>1357.0415104016417</v>
      </c>
      <c r="Y68" s="897"/>
      <c r="Z68" s="901">
        <f>SUM(Z62:Z67)</f>
        <v>884.2851385339095</v>
      </c>
    </row>
    <row r="69" spans="6:26" ht="13.5" thickBot="1">
      <c r="L69" s="946"/>
      <c r="M69" s="945"/>
      <c r="N69" s="945"/>
      <c r="O69" s="945"/>
      <c r="P69" s="945"/>
      <c r="Q69" s="947"/>
    </row>
    <row r="70" spans="6:26" ht="13.5" thickBot="1">
      <c r="L70" s="948"/>
      <c r="M70" s="943"/>
      <c r="N70" s="943"/>
      <c r="O70" s="943"/>
      <c r="P70" s="943"/>
      <c r="Q70" s="949"/>
      <c r="X70" s="653">
        <f>X68-G52/10^2</f>
        <v>102.62092303576264</v>
      </c>
      <c r="Z70" s="653"/>
    </row>
    <row r="71" spans="6:26" ht="13.5" thickBot="1">
      <c r="L71" s="946"/>
      <c r="M71" s="945"/>
      <c r="N71" s="945"/>
      <c r="O71" s="945"/>
      <c r="P71" s="945"/>
      <c r="Q71" s="947"/>
    </row>
    <row r="72" spans="6:26" ht="15.75" thickBot="1">
      <c r="L72" s="950"/>
      <c r="M72" s="945"/>
      <c r="N72" s="944"/>
      <c r="O72" s="944"/>
      <c r="P72" s="945"/>
      <c r="Q72" s="947"/>
      <c r="V72" s="955" t="s">
        <v>899</v>
      </c>
      <c r="W72" s="956" t="s">
        <v>887</v>
      </c>
      <c r="X72" s="957"/>
      <c r="Y72" s="958" t="s">
        <v>1404</v>
      </c>
      <c r="Z72" s="957"/>
    </row>
    <row r="73" spans="6:26" ht="15.75" thickBot="1">
      <c r="L73" s="951"/>
      <c r="M73" s="952"/>
      <c r="N73" s="953"/>
      <c r="O73" s="953"/>
      <c r="P73" s="953"/>
      <c r="Q73" s="954"/>
      <c r="V73" s="892"/>
      <c r="W73" s="892"/>
      <c r="X73" s="893" t="s">
        <v>841</v>
      </c>
      <c r="Y73" s="892"/>
      <c r="Z73" s="893" t="s">
        <v>842</v>
      </c>
    </row>
    <row r="74" spans="6:26" ht="15.75" thickBot="1">
      <c r="V74" s="959">
        <v>1</v>
      </c>
      <c r="W74" s="960" t="s">
        <v>1412</v>
      </c>
      <c r="X74" s="961">
        <f>'Capex Plan 2122'!G47</f>
        <v>185.71029999999999</v>
      </c>
      <c r="Y74" s="962"/>
      <c r="Z74" s="961">
        <f>'Capex Plan 2122'!N47+'Capex Plan 2122'!O47</f>
        <v>73.069699999999997</v>
      </c>
    </row>
    <row r="75" spans="6:26" ht="15.75" thickBot="1">
      <c r="V75" s="959">
        <v>2</v>
      </c>
      <c r="W75" s="960" t="s">
        <v>1312</v>
      </c>
      <c r="X75" s="961"/>
      <c r="Y75" s="962"/>
      <c r="Z75" s="961">
        <f>'Capex Plan 2223'!I54</f>
        <v>424.50337946255377</v>
      </c>
    </row>
    <row r="76" spans="6:26" ht="15.75" thickBot="1">
      <c r="V76" s="963">
        <v>3</v>
      </c>
      <c r="W76" s="964" t="s">
        <v>1413</v>
      </c>
      <c r="X76" s="965">
        <f>X74+X75</f>
        <v>185.71029999999999</v>
      </c>
      <c r="Y76" s="884"/>
      <c r="Z76" s="965">
        <f>Z74+Z75</f>
        <v>497.57307946255378</v>
      </c>
    </row>
    <row r="77" spans="6:26" ht="15.75" thickBot="1">
      <c r="V77" s="959">
        <v>4</v>
      </c>
      <c r="W77" s="960" t="s">
        <v>1414</v>
      </c>
      <c r="X77" s="961">
        <f>'F-2'!K35/10^2</f>
        <v>7.3215869879999991</v>
      </c>
      <c r="Y77" s="962"/>
      <c r="Z77" s="961">
        <f>'F-2'!P35/10^2</f>
        <v>16.295151264884804</v>
      </c>
    </row>
    <row r="78" spans="6:26" ht="15.75" thickBot="1">
      <c r="V78" s="959">
        <v>5</v>
      </c>
      <c r="W78" s="960" t="s">
        <v>1415</v>
      </c>
      <c r="X78" s="961">
        <f>'F-2'!J35/10^2</f>
        <v>0.20034417999999998</v>
      </c>
      <c r="Y78" s="962"/>
      <c r="Z78" s="961">
        <f>'F-2'!O35/10^2</f>
        <v>0.29749999999999999</v>
      </c>
    </row>
    <row r="79" spans="6:26" ht="15.75" thickBot="1">
      <c r="V79" s="966">
        <v>6</v>
      </c>
      <c r="W79" s="967" t="s">
        <v>1416</v>
      </c>
      <c r="X79" s="968">
        <f>X76+X77+X78</f>
        <v>193.232231168</v>
      </c>
      <c r="Y79" s="969"/>
      <c r="Z79" s="968">
        <f>Z76+Z77+Z78</f>
        <v>514.16573072743859</v>
      </c>
    </row>
    <row r="80" spans="6:26" ht="13.5" thickTop="1"/>
  </sheetData>
  <mergeCells count="9">
    <mergeCell ref="N58:P58"/>
    <mergeCell ref="Q58:Q59"/>
    <mergeCell ref="I31:K31"/>
    <mergeCell ref="L31:O31"/>
    <mergeCell ref="F31:F32"/>
    <mergeCell ref="G31:G32"/>
    <mergeCell ref="H31:H32"/>
    <mergeCell ref="L58:L59"/>
    <mergeCell ref="M58:M59"/>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2:K42"/>
  <sheetViews>
    <sheetView workbookViewId="0">
      <selection activeCell="D6" sqref="D6"/>
    </sheetView>
  </sheetViews>
  <sheetFormatPr defaultColWidth="9.140625" defaultRowHeight="12.75"/>
  <cols>
    <col min="1" max="1" width="9.140625" style="54"/>
    <col min="2" max="2" width="38" style="54" customWidth="1"/>
    <col min="3" max="3" width="13.140625" style="54" customWidth="1"/>
    <col min="4" max="4" width="14.7109375" style="54" customWidth="1"/>
    <col min="5" max="6" width="9.140625" style="54"/>
    <col min="7" max="7" width="36.42578125" style="54" customWidth="1"/>
    <col min="8" max="8" width="15.42578125" style="54" customWidth="1"/>
    <col min="9" max="9" width="19.42578125" style="54" customWidth="1"/>
    <col min="10" max="16384" width="9.140625" style="54"/>
  </cols>
  <sheetData>
    <row r="2" spans="1:9">
      <c r="A2" s="184" t="s">
        <v>1417</v>
      </c>
      <c r="F2" s="184" t="s">
        <v>1418</v>
      </c>
    </row>
    <row r="3" spans="1:9">
      <c r="A3" s="1072" t="s">
        <v>1419</v>
      </c>
    </row>
    <row r="4" spans="1:9">
      <c r="A4" s="1000" t="s">
        <v>899</v>
      </c>
      <c r="B4" s="1001" t="s">
        <v>887</v>
      </c>
      <c r="C4" s="1000" t="s">
        <v>841</v>
      </c>
      <c r="D4" s="1000" t="s">
        <v>842</v>
      </c>
      <c r="F4" s="1000" t="s">
        <v>899</v>
      </c>
      <c r="G4" s="1001" t="s">
        <v>887</v>
      </c>
      <c r="H4" s="1000" t="s">
        <v>841</v>
      </c>
      <c r="I4" s="1000" t="s">
        <v>842</v>
      </c>
    </row>
    <row r="5" spans="1:9">
      <c r="A5" s="996">
        <v>1</v>
      </c>
      <c r="B5" s="1002" t="s">
        <v>1420</v>
      </c>
      <c r="C5" s="1003">
        <f>'Capex Plan 2122'!G47</f>
        <v>185.71029999999999</v>
      </c>
      <c r="D5" s="1003">
        <f>'Capex Plan 2122'!N47+'Capex Plan 2122'!O47</f>
        <v>73.069699999999997</v>
      </c>
      <c r="F5" s="996">
        <v>1</v>
      </c>
      <c r="G5" s="1002" t="s">
        <v>1420</v>
      </c>
      <c r="H5" s="1003">
        <f>C5</f>
        <v>185.71029999999999</v>
      </c>
      <c r="I5" s="1003">
        <f>D5</f>
        <v>73.069699999999997</v>
      </c>
    </row>
    <row r="6" spans="1:9">
      <c r="A6" s="996">
        <v>2</v>
      </c>
      <c r="B6" s="1002" t="s">
        <v>1312</v>
      </c>
      <c r="C6" s="1003">
        <v>0</v>
      </c>
      <c r="D6" s="1003">
        <f>'Capex Plan 2223'!I54</f>
        <v>424.50337946255377</v>
      </c>
      <c r="F6" s="996">
        <v>2</v>
      </c>
      <c r="G6" s="1002" t="s">
        <v>1312</v>
      </c>
      <c r="H6" s="1003">
        <f>C6</f>
        <v>0</v>
      </c>
      <c r="I6" s="1003">
        <f>D6</f>
        <v>424.50337946255377</v>
      </c>
    </row>
    <row r="7" spans="1:9">
      <c r="A7" s="997">
        <v>3</v>
      </c>
      <c r="B7" s="1004" t="s">
        <v>1413</v>
      </c>
      <c r="C7" s="998">
        <f>SUM(C5:C6)</f>
        <v>185.71029999999999</v>
      </c>
      <c r="D7" s="998">
        <f>SUM(D5:D6)</f>
        <v>497.57307946255378</v>
      </c>
      <c r="F7" s="997">
        <v>3</v>
      </c>
      <c r="G7" s="1004" t="s">
        <v>1413</v>
      </c>
      <c r="H7" s="998">
        <f>SUM(H5:H6)</f>
        <v>185.71029999999999</v>
      </c>
      <c r="I7" s="998">
        <f>SUM(I5:I6)</f>
        <v>497.57307946255378</v>
      </c>
    </row>
    <row r="8" spans="1:9">
      <c r="A8" s="996">
        <v>4</v>
      </c>
      <c r="B8" s="1002" t="s">
        <v>1414</v>
      </c>
      <c r="C8" s="999">
        <f>'F-2'!K30/10^2</f>
        <v>0</v>
      </c>
      <c r="D8" s="1003">
        <f>'F-2'!P30/10^2</f>
        <v>0</v>
      </c>
      <c r="F8" s="996">
        <v>4</v>
      </c>
      <c r="G8" s="1002" t="s">
        <v>1414</v>
      </c>
      <c r="H8" s="999">
        <f>C8</f>
        <v>0</v>
      </c>
      <c r="I8" s="1003">
        <f>D8</f>
        <v>0</v>
      </c>
    </row>
    <row r="9" spans="1:9">
      <c r="A9" s="996">
        <v>5</v>
      </c>
      <c r="B9" s="1002" t="s">
        <v>1415</v>
      </c>
      <c r="C9" s="999">
        <f>'F-2'!J30/10^2</f>
        <v>0</v>
      </c>
      <c r="D9" s="1003">
        <f>'F-2'!O30/10^2</f>
        <v>0</v>
      </c>
      <c r="F9" s="996">
        <v>5</v>
      </c>
      <c r="G9" s="1002" t="s">
        <v>1415</v>
      </c>
      <c r="H9" s="999">
        <f>C9</f>
        <v>0</v>
      </c>
      <c r="I9" s="1003">
        <f>D9</f>
        <v>0</v>
      </c>
    </row>
    <row r="10" spans="1:9">
      <c r="A10" s="997">
        <v>6</v>
      </c>
      <c r="B10" s="1004" t="s">
        <v>1416</v>
      </c>
      <c r="C10" s="998">
        <f>SUM(C7:C9)</f>
        <v>185.71029999999999</v>
      </c>
      <c r="D10" s="998">
        <f>SUM(D7:D9)</f>
        <v>497.57307946255378</v>
      </c>
      <c r="F10" s="997">
        <v>6</v>
      </c>
      <c r="G10" s="1004" t="s">
        <v>1416</v>
      </c>
      <c r="H10" s="998">
        <f>SUM(H7:H9)</f>
        <v>185.71029999999999</v>
      </c>
      <c r="I10" s="998">
        <f>SUM(I7:I9)</f>
        <v>497.57307946255378</v>
      </c>
    </row>
    <row r="11" spans="1:9">
      <c r="F11" s="305">
        <v>7</v>
      </c>
      <c r="G11" s="269" t="s">
        <v>1421</v>
      </c>
      <c r="H11" s="998">
        <f>'CAPITALISATION SUMMARY'!H20/10^2</f>
        <v>87.538107170317119</v>
      </c>
      <c r="I11" s="1005">
        <f>'CAPITALISATION SUMMARY'!J20/10^2</f>
        <v>43.771027874019467</v>
      </c>
    </row>
    <row r="12" spans="1:9">
      <c r="F12" s="183">
        <v>8</v>
      </c>
      <c r="G12" s="1004" t="s">
        <v>1422</v>
      </c>
      <c r="H12" s="1006">
        <f>H10+H11</f>
        <v>273.24840717031714</v>
      </c>
      <c r="I12" s="1006">
        <f>I10+I11</f>
        <v>541.34410733657319</v>
      </c>
    </row>
    <row r="16" spans="1:9">
      <c r="G16" s="184" t="s">
        <v>1423</v>
      </c>
    </row>
    <row r="18" spans="7:11">
      <c r="G18" s="2594" t="s">
        <v>1003</v>
      </c>
      <c r="H18" s="2594" t="s">
        <v>1306</v>
      </c>
      <c r="I18" s="2594" t="s">
        <v>1303</v>
      </c>
      <c r="J18" s="2595" t="s">
        <v>1097</v>
      </c>
      <c r="K18" s="2595"/>
    </row>
    <row r="19" spans="7:11">
      <c r="G19" s="2594"/>
      <c r="H19" s="2594"/>
      <c r="I19" s="2594"/>
      <c r="J19" s="269" t="s">
        <v>841</v>
      </c>
      <c r="K19" s="269" t="s">
        <v>842</v>
      </c>
    </row>
    <row r="20" spans="7:11">
      <c r="G20" s="268" t="s">
        <v>1015</v>
      </c>
      <c r="H20" s="1007">
        <v>29.81</v>
      </c>
      <c r="I20" s="271">
        <v>28.450000000000003</v>
      </c>
      <c r="J20" s="1007">
        <v>20.03</v>
      </c>
      <c r="K20" s="1007">
        <v>8.4200000000000017</v>
      </c>
    </row>
    <row r="21" spans="7:11">
      <c r="G21" s="268" t="s">
        <v>1023</v>
      </c>
      <c r="H21" s="1007">
        <v>16.970000000000002</v>
      </c>
      <c r="I21" s="271">
        <v>16.39</v>
      </c>
      <c r="J21" s="1007">
        <v>11.25</v>
      </c>
      <c r="K21" s="1007">
        <v>5.1400000000000006</v>
      </c>
    </row>
    <row r="22" spans="7:11">
      <c r="G22" s="268" t="s">
        <v>1029</v>
      </c>
      <c r="H22" s="1007">
        <v>103.50999999999999</v>
      </c>
      <c r="I22" s="271">
        <v>94.350000000000023</v>
      </c>
      <c r="J22" s="1007">
        <v>64.430000000000007</v>
      </c>
      <c r="K22" s="1007">
        <v>29.920000000000016</v>
      </c>
    </row>
    <row r="23" spans="7:11">
      <c r="G23" s="268" t="s">
        <v>1042</v>
      </c>
      <c r="H23" s="1007">
        <v>22</v>
      </c>
      <c r="I23" s="271">
        <v>21.709999999999997</v>
      </c>
      <c r="J23" s="1007">
        <v>17.809999999999999</v>
      </c>
      <c r="K23" s="1007">
        <v>3.8999999999999986</v>
      </c>
    </row>
    <row r="24" spans="7:11">
      <c r="G24" s="268" t="s">
        <v>1048</v>
      </c>
      <c r="H24" s="1007">
        <v>103.10999999999999</v>
      </c>
      <c r="I24" s="271">
        <v>97.88</v>
      </c>
      <c r="J24" s="1007">
        <v>72.190299999999993</v>
      </c>
      <c r="K24" s="1007">
        <v>25.689700000000002</v>
      </c>
    </row>
    <row r="25" spans="7:11">
      <c r="G25" s="269" t="s">
        <v>1103</v>
      </c>
      <c r="H25" s="1008">
        <f>SUM(H20:H24)</f>
        <v>275.39999999999998</v>
      </c>
      <c r="I25" s="1008">
        <f>SUM(I20:I24)</f>
        <v>258.78000000000003</v>
      </c>
      <c r="J25" s="1008">
        <f>SUM(J20:J24)</f>
        <v>185.71030000000002</v>
      </c>
      <c r="K25" s="1008">
        <f>SUM(K20:K24)</f>
        <v>73.069700000000012</v>
      </c>
    </row>
    <row r="28" spans="7:11">
      <c r="G28" s="2594" t="s">
        <v>1003</v>
      </c>
      <c r="H28" s="2596" t="s">
        <v>1068</v>
      </c>
      <c r="I28" s="305" t="s">
        <v>1097</v>
      </c>
    </row>
    <row r="29" spans="7:11">
      <c r="G29" s="2594"/>
      <c r="H29" s="2596"/>
      <c r="I29" s="269" t="s">
        <v>842</v>
      </c>
    </row>
    <row r="30" spans="7:11">
      <c r="G30" s="268" t="s">
        <v>1015</v>
      </c>
      <c r="H30" s="1009">
        <v>54.480604592188229</v>
      </c>
      <c r="I30" s="1009">
        <v>38.13642321453176</v>
      </c>
    </row>
    <row r="31" spans="7:11">
      <c r="G31" s="268" t="s">
        <v>1023</v>
      </c>
      <c r="H31" s="1009">
        <v>43.406817086545459</v>
      </c>
      <c r="I31" s="1009">
        <v>30.384771960581819</v>
      </c>
    </row>
    <row r="32" spans="7:11">
      <c r="G32" s="268" t="s">
        <v>1029</v>
      </c>
      <c r="H32" s="1009">
        <v>92.017904578581536</v>
      </c>
      <c r="I32" s="1009">
        <v>64.412533205007065</v>
      </c>
    </row>
    <row r="33" spans="7:9">
      <c r="G33" s="268" t="s">
        <v>1042</v>
      </c>
      <c r="H33" s="1009">
        <v>230.33420237990447</v>
      </c>
      <c r="I33" s="1009">
        <v>161.23394166593312</v>
      </c>
    </row>
    <row r="34" spans="7:9">
      <c r="G34" s="268" t="s">
        <v>1048</v>
      </c>
      <c r="H34" s="1009">
        <v>186.19387059500002</v>
      </c>
      <c r="I34" s="1009">
        <v>130.33570941650001</v>
      </c>
    </row>
    <row r="35" spans="7:9">
      <c r="G35" s="269" t="s">
        <v>1103</v>
      </c>
      <c r="H35" s="1010">
        <f>SUM(H30:H34)</f>
        <v>606.4333992322197</v>
      </c>
      <c r="I35" s="1010">
        <f>SUM(I30:I34)</f>
        <v>424.50337946255377</v>
      </c>
    </row>
    <row r="37" spans="7:9" ht="13.5" thickBot="1">
      <c r="G37" s="184" t="s">
        <v>1424</v>
      </c>
    </row>
    <row r="38" spans="7:9" ht="13.5" thickBot="1">
      <c r="G38" s="910" t="s">
        <v>887</v>
      </c>
      <c r="H38" s="911" t="s">
        <v>841</v>
      </c>
      <c r="I38" s="911" t="s">
        <v>842</v>
      </c>
    </row>
    <row r="39" spans="7:9">
      <c r="G39" s="902" t="s">
        <v>891</v>
      </c>
      <c r="H39" s="1011">
        <f>H12</f>
        <v>273.24840717031714</v>
      </c>
      <c r="I39" s="1011">
        <f>I12</f>
        <v>541.34410733657319</v>
      </c>
    </row>
    <row r="40" spans="7:9">
      <c r="G40" s="904" t="s">
        <v>1405</v>
      </c>
      <c r="H40" s="1012"/>
      <c r="I40" s="1012"/>
    </row>
    <row r="41" spans="7:9">
      <c r="G41" s="907" t="s">
        <v>1321</v>
      </c>
      <c r="H41" s="1012">
        <f>H39*70%</f>
        <v>191.27388501922198</v>
      </c>
      <c r="I41" s="1012">
        <f>I39*70%</f>
        <v>378.94087513560123</v>
      </c>
    </row>
    <row r="42" spans="7:9" ht="13.5" thickBot="1">
      <c r="G42" s="908" t="s">
        <v>1409</v>
      </c>
      <c r="H42" s="1013">
        <f>H39*30%</f>
        <v>81.974522151095144</v>
      </c>
      <c r="I42" s="1013">
        <f>I39*30%</f>
        <v>162.40323220097196</v>
      </c>
    </row>
  </sheetData>
  <mergeCells count="6">
    <mergeCell ref="G18:G19"/>
    <mergeCell ref="H18:H19"/>
    <mergeCell ref="I18:I19"/>
    <mergeCell ref="J18:K18"/>
    <mergeCell ref="G28:G29"/>
    <mergeCell ref="H28:H29"/>
  </mergeCells>
  <pageMargins left="0.7" right="0.7" top="0.75" bottom="0.75" header="0.3" footer="0.3"/>
  <pageSetup paperSize="9" orientation="portrait"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92D050"/>
  </sheetPr>
  <dimension ref="A1:K18"/>
  <sheetViews>
    <sheetView showZeros="0" view="pageBreakPreview" topLeftCell="A4" zoomScaleSheetLayoutView="100" workbookViewId="0">
      <selection activeCell="H13" sqref="H13"/>
    </sheetView>
  </sheetViews>
  <sheetFormatPr defaultColWidth="14.7109375" defaultRowHeight="12.75"/>
  <cols>
    <col min="1" max="1" width="34.7109375" customWidth="1"/>
    <col min="2" max="2" width="14.28515625" customWidth="1"/>
    <col min="3" max="3" width="15" customWidth="1"/>
    <col min="4" max="4" width="13.28515625" customWidth="1"/>
    <col min="5" max="6" width="14" customWidth="1"/>
    <col min="7" max="7" width="12.7109375" customWidth="1"/>
    <col min="8" max="8" width="14.42578125" customWidth="1"/>
    <col min="9" max="9" width="13.85546875" customWidth="1"/>
    <col min="10" max="10" width="10.5703125" customWidth="1"/>
  </cols>
  <sheetData>
    <row r="1" spans="1:11" ht="24.95" customHeight="1">
      <c r="A1" s="28" t="s">
        <v>774</v>
      </c>
      <c r="H1" s="8" t="s">
        <v>1425</v>
      </c>
      <c r="I1" s="7"/>
    </row>
    <row r="2" spans="1:11" ht="20.25">
      <c r="A2" s="28"/>
      <c r="B2" s="10"/>
      <c r="C2" s="10"/>
      <c r="D2" s="10"/>
      <c r="E2" s="10"/>
      <c r="F2" s="10"/>
      <c r="G2" s="10"/>
      <c r="H2" s="10"/>
      <c r="I2" s="10"/>
      <c r="J2" s="10"/>
    </row>
    <row r="3" spans="1:11">
      <c r="A3" s="1" t="s">
        <v>1426</v>
      </c>
    </row>
    <row r="5" spans="1:11" ht="99.95" customHeight="1">
      <c r="A5" s="125" t="s">
        <v>1427</v>
      </c>
      <c r="B5" s="125" t="s">
        <v>1428</v>
      </c>
      <c r="C5" s="125" t="s">
        <v>1429</v>
      </c>
      <c r="D5" s="125" t="s">
        <v>1430</v>
      </c>
      <c r="E5" s="125" t="s">
        <v>1431</v>
      </c>
      <c r="F5" s="125" t="s">
        <v>1432</v>
      </c>
      <c r="G5" s="125" t="s">
        <v>1433</v>
      </c>
      <c r="H5" s="125" t="s">
        <v>1434</v>
      </c>
      <c r="I5" s="125" t="s">
        <v>1435</v>
      </c>
      <c r="J5" s="125" t="s">
        <v>1436</v>
      </c>
    </row>
    <row r="6" spans="1:11">
      <c r="A6" s="12"/>
      <c r="B6" s="12"/>
      <c r="C6" s="12"/>
      <c r="D6" s="12"/>
      <c r="E6" s="12"/>
      <c r="F6" s="12"/>
      <c r="G6" s="12"/>
      <c r="H6" s="12"/>
      <c r="I6" s="12"/>
      <c r="J6" s="12"/>
    </row>
    <row r="7" spans="1:11">
      <c r="A7" s="12"/>
      <c r="B7" s="12"/>
      <c r="C7" s="12"/>
      <c r="D7" s="12"/>
      <c r="E7" s="12"/>
      <c r="F7" s="12"/>
      <c r="G7" s="12"/>
      <c r="H7" s="12"/>
      <c r="I7" s="12"/>
      <c r="J7" s="12"/>
    </row>
    <row r="8" spans="1:11">
      <c r="A8" s="11" t="s">
        <v>1437</v>
      </c>
      <c r="B8" s="1734">
        <f>'Interest New'!Q9*100</f>
        <v>31330.397807609996</v>
      </c>
      <c r="C8" s="21">
        <f>'Interest New'!G7</f>
        <v>41691.611215922196</v>
      </c>
      <c r="D8" s="1735">
        <f>'F-23 New '!D39</f>
        <v>5868.5390259885944</v>
      </c>
      <c r="E8" s="21">
        <f>B8+C8-D8</f>
        <v>67153.469997543594</v>
      </c>
      <c r="F8" s="21">
        <f>E8</f>
        <v>67153.469997543594</v>
      </c>
      <c r="G8" s="21">
        <f>'F-23 New '!E16</f>
        <v>20846.745898838719</v>
      </c>
      <c r="H8" s="1735">
        <f>'F-23 New '!E39</f>
        <v>8689.7973282041858</v>
      </c>
      <c r="I8" s="21">
        <f>F8+G8-H8</f>
        <v>79310.418568178138</v>
      </c>
      <c r="J8" s="12"/>
    </row>
    <row r="9" spans="1:11" hidden="1">
      <c r="A9" s="9"/>
      <c r="B9" s="9"/>
      <c r="C9" s="9"/>
      <c r="D9" s="9"/>
      <c r="E9" s="9"/>
      <c r="F9" s="9"/>
      <c r="G9" s="9"/>
      <c r="H9" s="9"/>
      <c r="I9" s="9"/>
      <c r="J9" s="9"/>
    </row>
    <row r="10" spans="1:11">
      <c r="A10" s="11"/>
      <c r="B10" s="21"/>
      <c r="C10" s="21"/>
      <c r="D10" s="21"/>
      <c r="E10" s="21"/>
      <c r="F10" s="21"/>
      <c r="G10" s="21"/>
      <c r="H10" s="21"/>
      <c r="I10" s="21"/>
      <c r="J10" s="9"/>
      <c r="K10" s="3"/>
    </row>
    <row r="11" spans="1:11" hidden="1">
      <c r="A11" s="11"/>
      <c r="B11" s="21">
        <v>0</v>
      </c>
      <c r="C11" s="21"/>
      <c r="D11" s="21"/>
      <c r="E11" s="21">
        <f>B11+C11-D11</f>
        <v>0</v>
      </c>
      <c r="F11" s="21">
        <f>E11</f>
        <v>0</v>
      </c>
      <c r="G11" s="21"/>
      <c r="H11" s="21"/>
      <c r="I11" s="21">
        <f>E11+G11-H11</f>
        <v>0</v>
      </c>
      <c r="J11" s="50">
        <v>0</v>
      </c>
    </row>
    <row r="12" spans="1:11" hidden="1">
      <c r="A12" s="11"/>
      <c r="B12" s="21"/>
      <c r="C12" s="21"/>
      <c r="D12" s="21"/>
      <c r="E12" s="21"/>
      <c r="F12" s="21"/>
      <c r="G12" s="21"/>
      <c r="H12" s="21"/>
      <c r="I12" s="21"/>
      <c r="J12" s="9"/>
    </row>
    <row r="13" spans="1:11">
      <c r="A13" s="11"/>
      <c r="B13" s="21"/>
      <c r="C13" s="21"/>
      <c r="D13" s="21"/>
      <c r="E13" s="21"/>
      <c r="F13" s="21"/>
      <c r="G13" s="21"/>
      <c r="H13" s="21"/>
      <c r="I13" s="21"/>
    </row>
    <row r="14" spans="1:11">
      <c r="A14" s="24" t="s">
        <v>239</v>
      </c>
      <c r="B14" s="13">
        <f t="shared" ref="B14:I14" si="0">SUM(B6:B13)</f>
        <v>31330.397807609996</v>
      </c>
      <c r="C14" s="13">
        <f t="shared" si="0"/>
        <v>41691.611215922196</v>
      </c>
      <c r="D14" s="13">
        <f t="shared" si="0"/>
        <v>5868.5390259885944</v>
      </c>
      <c r="E14" s="13">
        <f t="shared" si="0"/>
        <v>67153.469997543594</v>
      </c>
      <c r="F14" s="13">
        <f t="shared" si="0"/>
        <v>67153.469997543594</v>
      </c>
      <c r="G14" s="13">
        <f t="shared" si="0"/>
        <v>20846.745898838719</v>
      </c>
      <c r="H14" s="13">
        <f t="shared" si="0"/>
        <v>8689.7973282041858</v>
      </c>
      <c r="I14" s="13">
        <f t="shared" si="0"/>
        <v>79310.418568178138</v>
      </c>
      <c r="J14" s="13"/>
    </row>
    <row r="15" spans="1:11" ht="14.25">
      <c r="B15" s="81"/>
      <c r="C15" s="3"/>
    </row>
    <row r="16" spans="1:11" ht="14.25">
      <c r="A16" s="27" t="s">
        <v>1438</v>
      </c>
    </row>
    <row r="18" spans="3:3">
      <c r="C18" s="3"/>
    </row>
  </sheetData>
  <phoneticPr fontId="0" type="noConversion"/>
  <printOptions horizontalCentered="1"/>
  <pageMargins left="0.15748031496062992" right="0.15748031496062992" top="0.47244094488188981" bottom="0.6692913385826772" header="0.35433070866141736" footer="0.51181102362204722"/>
  <pageSetup paperSize="9" scale="85" orientation="landscape"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008000"/>
  </sheetPr>
  <dimension ref="A1:L72"/>
  <sheetViews>
    <sheetView view="pageBreakPreview" workbookViewId="0">
      <pane ySplit="5" topLeftCell="A33" activePane="bottomLeft" state="frozen"/>
      <selection pane="bottomLeft" activeCell="F41" sqref="F41"/>
    </sheetView>
  </sheetViews>
  <sheetFormatPr defaultColWidth="14.7109375" defaultRowHeight="14.25"/>
  <cols>
    <col min="1" max="1" width="4.7109375" style="248" customWidth="1"/>
    <col min="2" max="2" width="40.5703125" style="229" customWidth="1"/>
    <col min="3" max="10" width="13.42578125" style="229" customWidth="1"/>
    <col min="11" max="11" width="15.42578125" style="229" customWidth="1"/>
    <col min="12" max="16384" width="14.7109375" style="229"/>
  </cols>
  <sheetData>
    <row r="1" spans="1:10" ht="24.95" customHeight="1">
      <c r="A1" s="250" t="s">
        <v>774</v>
      </c>
      <c r="H1" s="2599" t="s">
        <v>1439</v>
      </c>
      <c r="I1" s="2599"/>
      <c r="J1" s="2599"/>
    </row>
    <row r="2" spans="1:10" ht="15" customHeight="1">
      <c r="A2" s="2600" t="s">
        <v>1440</v>
      </c>
      <c r="B2" s="2600"/>
      <c r="C2" s="2600"/>
      <c r="D2" s="2600"/>
      <c r="E2" s="2600"/>
      <c r="F2" s="2600"/>
      <c r="G2" s="2600"/>
      <c r="H2" s="2600"/>
      <c r="I2" s="2600"/>
      <c r="J2" s="2600"/>
    </row>
    <row r="4" spans="1:10" ht="32.25" customHeight="1">
      <c r="A4" s="233"/>
      <c r="B4" s="240"/>
      <c r="C4" s="2597" t="s">
        <v>1441</v>
      </c>
      <c r="D4" s="2598"/>
      <c r="E4" s="2597" t="s">
        <v>1442</v>
      </c>
      <c r="F4" s="2597"/>
      <c r="G4" s="2597" t="s">
        <v>1443</v>
      </c>
      <c r="H4" s="2598"/>
      <c r="I4" s="2597" t="s">
        <v>1444</v>
      </c>
      <c r="J4" s="2598"/>
    </row>
    <row r="5" spans="1:10" ht="15">
      <c r="A5" s="232" t="s">
        <v>1445</v>
      </c>
      <c r="B5" s="231" t="s">
        <v>1446</v>
      </c>
      <c r="C5" s="232" t="s">
        <v>460</v>
      </c>
      <c r="D5" s="233" t="s">
        <v>469</v>
      </c>
      <c r="E5" s="232" t="s">
        <v>460</v>
      </c>
      <c r="F5" s="233" t="s">
        <v>469</v>
      </c>
      <c r="G5" s="232" t="s">
        <v>460</v>
      </c>
      <c r="H5" s="233" t="s">
        <v>469</v>
      </c>
      <c r="I5" s="232" t="s">
        <v>460</v>
      </c>
      <c r="J5" s="233" t="s">
        <v>469</v>
      </c>
    </row>
    <row r="6" spans="1:10">
      <c r="A6" s="249">
        <v>1</v>
      </c>
      <c r="B6" s="234" t="s">
        <v>231</v>
      </c>
      <c r="C6" s="235">
        <f>'T-1'!F15</f>
        <v>1447.3590000000002</v>
      </c>
      <c r="D6" s="236">
        <f>C6/$C$44*100</f>
        <v>26.753143962387053</v>
      </c>
      <c r="E6" s="235">
        <f>'T-1'!I15</f>
        <v>943.69200000000001</v>
      </c>
      <c r="F6" s="236">
        <f>E6/$E$44*100</f>
        <v>28.839653285569383</v>
      </c>
      <c r="G6" s="235">
        <f>'T-1'!K15</f>
        <v>1665.777</v>
      </c>
      <c r="H6" s="236">
        <f t="shared" ref="H6:H43" si="0">G6/$G$44*100</f>
        <v>25.771217184679202</v>
      </c>
      <c r="I6" s="235">
        <f>'T-1'!O15</f>
        <v>1715.5170000000001</v>
      </c>
      <c r="J6" s="236">
        <f>I6/$I$44*100</f>
        <v>24.482525458434488</v>
      </c>
    </row>
    <row r="7" spans="1:10">
      <c r="A7" s="249">
        <v>2</v>
      </c>
      <c r="B7" s="237" t="s">
        <v>1447</v>
      </c>
      <c r="C7" s="235">
        <f>'T-1'!F20</f>
        <v>385.149</v>
      </c>
      <c r="D7" s="236">
        <f t="shared" ref="D7:D44" si="1">C7/$C$44*100</f>
        <v>7.1191367476689695</v>
      </c>
      <c r="E7" s="235">
        <f>'T-1'!I20</f>
        <v>233.75400000000002</v>
      </c>
      <c r="F7" s="236">
        <f t="shared" ref="F7:F44" si="2">E7/$E$44*100</f>
        <v>7.143627702804503</v>
      </c>
      <c r="G7" s="235">
        <f>'T-1'!K20</f>
        <v>465.07799999999997</v>
      </c>
      <c r="H7" s="236">
        <f t="shared" si="0"/>
        <v>7.1952164940542653</v>
      </c>
      <c r="I7" s="235">
        <f>'T-1'!O20</f>
        <v>515.88699999999994</v>
      </c>
      <c r="J7" s="236">
        <f t="shared" ref="J7:J44" si="3">I7/$I$44*100</f>
        <v>7.3623383569940666</v>
      </c>
    </row>
    <row r="8" spans="1:10">
      <c r="A8" s="249">
        <v>3</v>
      </c>
      <c r="B8" s="234" t="s">
        <v>1448</v>
      </c>
      <c r="C8" s="235">
        <f>'T-1'!F21</f>
        <v>84.522999999999996</v>
      </c>
      <c r="D8" s="236">
        <f t="shared" si="1"/>
        <v>1.5623324877468832</v>
      </c>
      <c r="E8" s="235">
        <f>'T-1'!I21</f>
        <v>31.108999999999995</v>
      </c>
      <c r="F8" s="236">
        <f t="shared" si="2"/>
        <v>0.95070507544916982</v>
      </c>
      <c r="G8" s="235">
        <f>'T-1'!K21</f>
        <v>86.043000000000006</v>
      </c>
      <c r="H8" s="236">
        <f t="shared" si="0"/>
        <v>1.3311702828297862</v>
      </c>
      <c r="I8" s="235">
        <f>'T-1'!O21</f>
        <v>133.52500000000001</v>
      </c>
      <c r="J8" s="236">
        <f t="shared" si="3"/>
        <v>1.905565034818929</v>
      </c>
    </row>
    <row r="9" spans="1:10">
      <c r="A9" s="249">
        <v>4</v>
      </c>
      <c r="B9" s="238" t="s">
        <v>1449</v>
      </c>
      <c r="C9" s="235">
        <f>'T-1'!F22</f>
        <v>38.568999999999996</v>
      </c>
      <c r="D9" s="236">
        <f t="shared" si="1"/>
        <v>0.7129136651551593</v>
      </c>
      <c r="E9" s="235">
        <f>'T-1'!I22</f>
        <v>27.725000000000001</v>
      </c>
      <c r="F9" s="236">
        <f t="shared" si="2"/>
        <v>0.84728850868971162</v>
      </c>
      <c r="G9" s="235">
        <f>'T-1'!K22</f>
        <v>60.427999999999997</v>
      </c>
      <c r="H9" s="236">
        <f t="shared" si="0"/>
        <v>0.93488090664944645</v>
      </c>
      <c r="I9" s="235">
        <f>'T-1'!O22</f>
        <v>81.510000000000005</v>
      </c>
      <c r="J9" s="236">
        <f t="shared" si="3"/>
        <v>1.1632473768065226</v>
      </c>
    </row>
    <row r="10" spans="1:10">
      <c r="A10" s="249">
        <v>5</v>
      </c>
      <c r="B10" s="238" t="s">
        <v>247</v>
      </c>
      <c r="C10" s="235">
        <f>'T-1'!F23</f>
        <v>0.97000000000000031</v>
      </c>
      <c r="D10" s="236">
        <f t="shared" si="1"/>
        <v>1.7929587368106636E-2</v>
      </c>
      <c r="E10" s="235">
        <f>'T-1'!I23</f>
        <v>0.80800000000000005</v>
      </c>
      <c r="F10" s="236">
        <f t="shared" si="2"/>
        <v>2.4692844545402593E-2</v>
      </c>
      <c r="G10" s="235">
        <f>'T-1'!K23</f>
        <v>1.734</v>
      </c>
      <c r="H10" s="236">
        <f t="shared" si="0"/>
        <v>2.6826694448436817E-2</v>
      </c>
      <c r="I10" s="235">
        <f>'T-1'!O23</f>
        <v>2.0659999999999998</v>
      </c>
      <c r="J10" s="236">
        <f t="shared" si="3"/>
        <v>2.948434646647375E-2</v>
      </c>
    </row>
    <row r="11" spans="1:10">
      <c r="A11" s="249">
        <v>6</v>
      </c>
      <c r="B11" s="234" t="s">
        <v>248</v>
      </c>
      <c r="C11" s="235">
        <f>'T-1'!F24</f>
        <v>23.964000000000002</v>
      </c>
      <c r="D11" s="236">
        <f t="shared" si="1"/>
        <v>0.44295322854567765</v>
      </c>
      <c r="E11" s="235">
        <f>'T-1'!I24</f>
        <v>14.563000000000001</v>
      </c>
      <c r="F11" s="236">
        <f t="shared" si="2"/>
        <v>0.4450518503894777</v>
      </c>
      <c r="G11" s="235">
        <f>'T-1'!K24</f>
        <v>29.614000000000001</v>
      </c>
      <c r="H11" s="236">
        <f t="shared" si="0"/>
        <v>0.45815786008997</v>
      </c>
      <c r="I11" s="235">
        <f>'T-1'!O24</f>
        <v>36.634</v>
      </c>
      <c r="J11" s="236">
        <f t="shared" si="3"/>
        <v>0.52281197892197451</v>
      </c>
    </row>
    <row r="12" spans="1:10">
      <c r="A12" s="249">
        <v>7</v>
      </c>
      <c r="B12" s="234" t="s">
        <v>1450</v>
      </c>
      <c r="C12" s="235">
        <f>'T-1'!F25</f>
        <v>19.751000000000001</v>
      </c>
      <c r="D12" s="236">
        <f t="shared" si="1"/>
        <v>0.36507967021389076</v>
      </c>
      <c r="E12" s="235">
        <f>'T-1'!I25</f>
        <v>9.73</v>
      </c>
      <c r="F12" s="236">
        <f t="shared" si="2"/>
        <v>0.2973531898846129</v>
      </c>
      <c r="G12" s="235">
        <f>'T-1'!K25</f>
        <v>22.155999999999999</v>
      </c>
      <c r="H12" s="236">
        <f t="shared" si="0"/>
        <v>0.34277522618198736</v>
      </c>
      <c r="I12" s="235">
        <f>'T-1'!O25</f>
        <v>22.963999999999999</v>
      </c>
      <c r="J12" s="236">
        <f t="shared" si="3"/>
        <v>0.3277243621762358</v>
      </c>
    </row>
    <row r="13" spans="1:10">
      <c r="A13" s="249">
        <v>8</v>
      </c>
      <c r="B13" s="234" t="s">
        <v>1451</v>
      </c>
      <c r="C13" s="235">
        <f>'T-1'!F26</f>
        <v>37.713000000000001</v>
      </c>
      <c r="D13" s="236">
        <f t="shared" si="1"/>
        <v>0.69709126640557251</v>
      </c>
      <c r="E13" s="235">
        <f>'T-1'!I26</f>
        <v>20.934999999999999</v>
      </c>
      <c r="F13" s="236">
        <f t="shared" si="2"/>
        <v>0.63978304524505358</v>
      </c>
      <c r="G13" s="235">
        <f>'T-1'!K26</f>
        <v>42.741999999999997</v>
      </c>
      <c r="H13" s="236">
        <f t="shared" si="0"/>
        <v>0.66126100006637045</v>
      </c>
      <c r="I13" s="235">
        <f>'T-1'!O26</f>
        <v>45.781999999999996</v>
      </c>
      <c r="J13" s="236">
        <f t="shared" si="3"/>
        <v>0.65336512581224637</v>
      </c>
    </row>
    <row r="14" spans="1:10">
      <c r="A14" s="249">
        <v>9</v>
      </c>
      <c r="B14" s="239" t="s">
        <v>1452</v>
      </c>
      <c r="C14" s="235">
        <f>'T-1'!F27</f>
        <v>41.929000000000002</v>
      </c>
      <c r="D14" s="236">
        <f t="shared" si="1"/>
        <v>0.77502027706942567</v>
      </c>
      <c r="E14" s="235">
        <f>'T-1'!I27</f>
        <v>21.722999999999999</v>
      </c>
      <c r="F14" s="236">
        <f t="shared" si="2"/>
        <v>0.66386468076705507</v>
      </c>
      <c r="G14" s="235">
        <f>'T-1'!K27</f>
        <v>49.100999999999999</v>
      </c>
      <c r="H14" s="236">
        <f t="shared" si="0"/>
        <v>0.75964101736603007</v>
      </c>
      <c r="I14" s="235">
        <f>'T-1'!O27</f>
        <v>58.494999999999997</v>
      </c>
      <c r="J14" s="236">
        <f t="shared" si="3"/>
        <v>0.83479518226349558</v>
      </c>
    </row>
    <row r="15" spans="1:10" ht="16.5" customHeight="1">
      <c r="A15" s="249">
        <v>10</v>
      </c>
      <c r="B15" s="239" t="s">
        <v>1453</v>
      </c>
      <c r="C15" s="235">
        <f>'T-1'!F28</f>
        <v>52.777000000000001</v>
      </c>
      <c r="D15" s="236">
        <f t="shared" si="1"/>
        <v>0.97553590982119953</v>
      </c>
      <c r="E15" s="235">
        <f>'T-1'!I28</f>
        <v>29.75</v>
      </c>
      <c r="F15" s="236">
        <f t="shared" si="2"/>
        <v>0.90917342230906817</v>
      </c>
      <c r="G15" s="235">
        <f>'T-1'!K28</f>
        <v>60.904000000000003</v>
      </c>
      <c r="H15" s="236">
        <f t="shared" si="0"/>
        <v>0.94224509728235062</v>
      </c>
      <c r="I15" s="235">
        <f>'T-1'!O28</f>
        <v>66.402000000000001</v>
      </c>
      <c r="J15" s="236">
        <f t="shared" si="3"/>
        <v>0.94763774156185376</v>
      </c>
    </row>
    <row r="16" spans="1:10">
      <c r="A16" s="249"/>
      <c r="B16" s="234" t="s">
        <v>1454</v>
      </c>
      <c r="C16" s="235">
        <f>'T-1'!F29</f>
        <v>0</v>
      </c>
      <c r="D16" s="236">
        <f t="shared" si="1"/>
        <v>0</v>
      </c>
      <c r="E16" s="235">
        <f>'T-1'!I29</f>
        <v>0</v>
      </c>
      <c r="F16" s="236">
        <f t="shared" si="2"/>
        <v>0</v>
      </c>
      <c r="G16" s="235">
        <f>'T-1'!K29</f>
        <v>0</v>
      </c>
      <c r="H16" s="236">
        <f t="shared" si="0"/>
        <v>0</v>
      </c>
      <c r="I16" s="235">
        <f>'T-1'!O29</f>
        <v>0</v>
      </c>
      <c r="J16" s="236">
        <f t="shared" si="3"/>
        <v>0</v>
      </c>
    </row>
    <row r="17" spans="1:10">
      <c r="A17" s="249">
        <v>11</v>
      </c>
      <c r="B17" s="234" t="s">
        <v>1455</v>
      </c>
      <c r="C17" s="235">
        <f>'T-1'!F30</f>
        <v>0</v>
      </c>
      <c r="D17" s="236">
        <f t="shared" si="1"/>
        <v>0</v>
      </c>
      <c r="E17" s="235">
        <f>'T-1'!I30</f>
        <v>0</v>
      </c>
      <c r="F17" s="236">
        <f t="shared" si="2"/>
        <v>0</v>
      </c>
      <c r="G17" s="235">
        <f>'T-1'!K30</f>
        <v>0</v>
      </c>
      <c r="H17" s="236">
        <f t="shared" si="0"/>
        <v>0</v>
      </c>
      <c r="I17" s="235">
        <f>'T-1'!O30</f>
        <v>0</v>
      </c>
      <c r="J17" s="236">
        <f t="shared" si="3"/>
        <v>0</v>
      </c>
    </row>
    <row r="18" spans="1:10">
      <c r="A18" s="249">
        <v>12</v>
      </c>
      <c r="B18" s="234" t="s">
        <v>255</v>
      </c>
      <c r="C18" s="235">
        <f>'T-1'!F31</f>
        <v>0</v>
      </c>
      <c r="D18" s="236">
        <f t="shared" si="1"/>
        <v>0</v>
      </c>
      <c r="E18" s="235">
        <f>'T-1'!I31</f>
        <v>0</v>
      </c>
      <c r="F18" s="236">
        <f t="shared" si="2"/>
        <v>0</v>
      </c>
      <c r="G18" s="235">
        <f>'T-1'!K31</f>
        <v>0</v>
      </c>
      <c r="H18" s="236">
        <f t="shared" si="0"/>
        <v>0</v>
      </c>
      <c r="I18" s="235">
        <f>'T-1'!O31</f>
        <v>0</v>
      </c>
      <c r="J18" s="236">
        <f t="shared" si="3"/>
        <v>0</v>
      </c>
    </row>
    <row r="19" spans="1:10">
      <c r="A19" s="249">
        <v>13</v>
      </c>
      <c r="B19" s="234" t="s">
        <v>258</v>
      </c>
      <c r="C19" s="235">
        <f>+'T-1'!F34</f>
        <v>17.201999999999998</v>
      </c>
      <c r="D19" s="236">
        <f t="shared" si="1"/>
        <v>0.31796367206821674</v>
      </c>
      <c r="E19" s="235">
        <f>+'T-1'!I34</f>
        <v>8.8210000000000015</v>
      </c>
      <c r="F19" s="236">
        <f t="shared" si="2"/>
        <v>0.26957373977103505</v>
      </c>
      <c r="G19" s="235">
        <f>+'T-1'!K34</f>
        <v>16.71</v>
      </c>
      <c r="H19" s="236">
        <f t="shared" si="0"/>
        <v>0.2585202215878773</v>
      </c>
      <c r="I19" s="235">
        <f>+'T-1'!O34</f>
        <v>16.989000000000001</v>
      </c>
      <c r="J19" s="236">
        <f t="shared" si="3"/>
        <v>0.2424538054786653</v>
      </c>
    </row>
    <row r="20" spans="1:10">
      <c r="A20" s="249">
        <v>14</v>
      </c>
      <c r="B20" s="234" t="s">
        <v>1448</v>
      </c>
      <c r="C20" s="235">
        <f>+'T-1'!F35</f>
        <v>0.82400000000000007</v>
      </c>
      <c r="D20" s="236">
        <f t="shared" si="1"/>
        <v>1.5230907207546251E-2</v>
      </c>
      <c r="E20" s="235">
        <f>+'T-1'!I35</f>
        <v>1.5489999999999997</v>
      </c>
      <c r="F20" s="236">
        <f t="shared" si="2"/>
        <v>4.7338138862411644E-2</v>
      </c>
      <c r="G20" s="235">
        <f>+'T-1'!K35</f>
        <v>4.5270000000000001</v>
      </c>
      <c r="H20" s="236">
        <f t="shared" si="0"/>
        <v>7.0037165956213079E-2</v>
      </c>
      <c r="I20" s="235">
        <f>+'T-1'!O35</f>
        <v>6.2210000000000001</v>
      </c>
      <c r="J20" s="236">
        <f t="shared" si="3"/>
        <v>8.8781277525621094E-2</v>
      </c>
    </row>
    <row r="21" spans="1:10">
      <c r="A21" s="249">
        <v>15</v>
      </c>
      <c r="B21" s="234" t="s">
        <v>1449</v>
      </c>
      <c r="C21" s="235">
        <f>+'T-1'!F36</f>
        <v>17.382999999999999</v>
      </c>
      <c r="D21" s="236">
        <f t="shared" si="1"/>
        <v>0.32130929610288406</v>
      </c>
      <c r="E21" s="235">
        <f>+'T-1'!I36</f>
        <v>11.758000000000001</v>
      </c>
      <c r="F21" s="236">
        <f t="shared" si="2"/>
        <v>0.35932978485747979</v>
      </c>
      <c r="G21" s="235">
        <f>+'T-1'!K36</f>
        <v>21.719000000000001</v>
      </c>
      <c r="H21" s="236">
        <f t="shared" si="0"/>
        <v>0.33601440410934214</v>
      </c>
      <c r="I21" s="235">
        <f>+'T-1'!O36</f>
        <v>24.324000000000002</v>
      </c>
      <c r="J21" s="236">
        <f t="shared" si="3"/>
        <v>0.34713322529066193</v>
      </c>
    </row>
    <row r="22" spans="1:10">
      <c r="A22" s="249">
        <v>16</v>
      </c>
      <c r="B22" s="234" t="s">
        <v>247</v>
      </c>
      <c r="C22" s="235">
        <f>+'T-1'!F37</f>
        <v>31.821999999999999</v>
      </c>
      <c r="D22" s="236">
        <f t="shared" si="1"/>
        <v>0.58820137033802999</v>
      </c>
      <c r="E22" s="235">
        <f>+'T-1'!I37</f>
        <v>21.412999999999997</v>
      </c>
      <c r="F22" s="236">
        <f t="shared" si="2"/>
        <v>0.65439094090433869</v>
      </c>
      <c r="G22" s="235">
        <f>+'T-1'!K37</f>
        <v>42.414000000000001</v>
      </c>
      <c r="H22" s="236">
        <f t="shared" si="0"/>
        <v>0.65618651576470544</v>
      </c>
      <c r="I22" s="235">
        <f>+'T-1'!O37</f>
        <v>47.619</v>
      </c>
      <c r="J22" s="236">
        <f t="shared" si="3"/>
        <v>0.67958136223959997</v>
      </c>
    </row>
    <row r="23" spans="1:10" ht="28.5">
      <c r="A23" s="249">
        <v>17</v>
      </c>
      <c r="B23" s="239" t="s">
        <v>1456</v>
      </c>
      <c r="C23" s="235">
        <f>+'T-1'!F38</f>
        <v>12.153</v>
      </c>
      <c r="D23" s="236">
        <f t="shared" si="1"/>
        <v>0.22463739720061843</v>
      </c>
      <c r="E23" s="235">
        <f>+'T-1'!I38</f>
        <v>8.5250000000000004</v>
      </c>
      <c r="F23" s="236">
        <f t="shared" si="2"/>
        <v>0.26052784622469943</v>
      </c>
      <c r="G23" s="235">
        <f>+'T-1'!K38</f>
        <v>16.690999999999999</v>
      </c>
      <c r="H23" s="236">
        <f t="shared" si="0"/>
        <v>0.25822627280211008</v>
      </c>
      <c r="I23" s="235">
        <f>+'T-1'!O38</f>
        <v>25.443000000000001</v>
      </c>
      <c r="J23" s="236">
        <f t="shared" si="3"/>
        <v>0.36310272369142865</v>
      </c>
    </row>
    <row r="24" spans="1:10">
      <c r="A24" s="249">
        <v>18</v>
      </c>
      <c r="B24" s="234" t="s">
        <v>1457</v>
      </c>
      <c r="C24" s="235">
        <f>+'T-1'!F39</f>
        <v>0</v>
      </c>
      <c r="D24" s="236">
        <f t="shared" si="1"/>
        <v>0</v>
      </c>
      <c r="E24" s="235">
        <f>+'T-1'!I39</f>
        <v>0</v>
      </c>
      <c r="F24" s="236">
        <f t="shared" si="2"/>
        <v>0</v>
      </c>
      <c r="G24" s="235">
        <f>+'T-1'!K39</f>
        <v>0</v>
      </c>
      <c r="H24" s="236">
        <f t="shared" si="0"/>
        <v>0</v>
      </c>
      <c r="I24" s="235">
        <f>+'T-1'!O39</f>
        <v>0</v>
      </c>
      <c r="J24" s="236">
        <f t="shared" si="3"/>
        <v>0</v>
      </c>
    </row>
    <row r="25" spans="1:10">
      <c r="A25" s="249">
        <v>19</v>
      </c>
      <c r="B25" s="234" t="s">
        <v>1458</v>
      </c>
      <c r="C25" s="235">
        <f>+'T-1'!F40</f>
        <v>54.703000000000003</v>
      </c>
      <c r="D25" s="236">
        <f t="shared" si="1"/>
        <v>1.0111363070077701</v>
      </c>
      <c r="E25" s="235">
        <f>+'T-1'!I40</f>
        <v>32.544000000000004</v>
      </c>
      <c r="F25" s="236">
        <f t="shared" si="2"/>
        <v>0.9945593228781956</v>
      </c>
      <c r="G25" s="235">
        <f>+'T-1'!K40</f>
        <v>59.686</v>
      </c>
      <c r="H25" s="236">
        <f t="shared" si="0"/>
        <v>0.92340143301580158</v>
      </c>
      <c r="I25" s="235">
        <f>+'T-1'!O40</f>
        <v>69.808999999999997</v>
      </c>
      <c r="J25" s="236">
        <f t="shared" si="3"/>
        <v>0.99625979790806674</v>
      </c>
    </row>
    <row r="26" spans="1:10">
      <c r="A26" s="249">
        <v>20</v>
      </c>
      <c r="B26" s="234" t="s">
        <v>270</v>
      </c>
      <c r="C26" s="235">
        <f>+'T-1'!F41</f>
        <v>0</v>
      </c>
      <c r="D26" s="236">
        <f t="shared" si="1"/>
        <v>0</v>
      </c>
      <c r="E26" s="235">
        <f>+'T-1'!I41</f>
        <v>0</v>
      </c>
      <c r="F26" s="236">
        <f t="shared" si="2"/>
        <v>0</v>
      </c>
      <c r="G26" s="235">
        <f>+'T-1'!K41</f>
        <v>0</v>
      </c>
      <c r="H26" s="236">
        <f t="shared" si="0"/>
        <v>0</v>
      </c>
      <c r="I26" s="235">
        <f>+'T-1'!O41</f>
        <v>0</v>
      </c>
      <c r="J26" s="236">
        <f t="shared" si="3"/>
        <v>0</v>
      </c>
    </row>
    <row r="27" spans="1:10">
      <c r="A27" s="249">
        <v>21</v>
      </c>
      <c r="B27" s="234" t="s">
        <v>262</v>
      </c>
      <c r="C27" s="235">
        <f>+'T-1'!F42</f>
        <v>10.523999999999999</v>
      </c>
      <c r="D27" s="236">
        <f t="shared" si="1"/>
        <v>0.19452678088861253</v>
      </c>
      <c r="E27" s="235">
        <f>+'T-1'!I42</f>
        <v>6.8209999999999997</v>
      </c>
      <c r="F27" s="236">
        <f t="shared" si="2"/>
        <v>0.20845283743092954</v>
      </c>
      <c r="G27" s="235">
        <f>+'T-1'!K42</f>
        <v>14.752000000000001</v>
      </c>
      <c r="H27" s="236">
        <f t="shared" si="0"/>
        <v>0.22822802566513262</v>
      </c>
      <c r="I27" s="235">
        <f>+'T-1'!O42</f>
        <v>18.518000000000001</v>
      </c>
      <c r="J27" s="236">
        <f t="shared" si="3"/>
        <v>0.2642745052595164</v>
      </c>
    </row>
    <row r="28" spans="1:10">
      <c r="A28" s="249">
        <v>22</v>
      </c>
      <c r="B28" s="234" t="s">
        <v>255</v>
      </c>
      <c r="C28" s="235">
        <f>+'T-1'!F43</f>
        <v>470.03200000000004</v>
      </c>
      <c r="D28" s="236">
        <f t="shared" si="1"/>
        <v>8.6881235152638094</v>
      </c>
      <c r="E28" s="235">
        <f>+'T-1'!I43</f>
        <v>241.35000000000002</v>
      </c>
      <c r="F28" s="236">
        <f t="shared" si="2"/>
        <v>7.3757648898922241</v>
      </c>
      <c r="G28" s="235">
        <f>+'T-1'!K43</f>
        <v>482.03399999999999</v>
      </c>
      <c r="H28" s="236">
        <f t="shared" si="0"/>
        <v>7.4575425788683924</v>
      </c>
      <c r="I28" s="235">
        <f>+'T-1'!O43</f>
        <v>538.78499999999997</v>
      </c>
      <c r="J28" s="236">
        <f t="shared" si="3"/>
        <v>7.6891208184603377</v>
      </c>
    </row>
    <row r="29" spans="1:10">
      <c r="A29" s="249">
        <v>23</v>
      </c>
      <c r="B29" s="234" t="s">
        <v>263</v>
      </c>
      <c r="C29" s="235">
        <f>+'T-1'!F44</f>
        <v>10.631999999999998</v>
      </c>
      <c r="D29" s="236">
        <f t="shared" si="1"/>
        <v>0.19652306484299964</v>
      </c>
      <c r="E29" s="235">
        <f>+'T-1'!I44</f>
        <v>0.36899999999999999</v>
      </c>
      <c r="F29" s="236">
        <f t="shared" si="2"/>
        <v>1.1276806481749451E-2</v>
      </c>
      <c r="G29" s="235">
        <f>+'T-1'!K44</f>
        <v>6.6639999999999997</v>
      </c>
      <c r="H29" s="236">
        <f t="shared" si="0"/>
        <v>0.10309866886065915</v>
      </c>
      <c r="I29" s="235">
        <f>+'T-1'!O44</f>
        <v>25.32</v>
      </c>
      <c r="J29" s="236">
        <f t="shared" si="3"/>
        <v>0.36134736327740336</v>
      </c>
    </row>
    <row r="30" spans="1:10">
      <c r="A30" s="249">
        <v>24</v>
      </c>
      <c r="B30" s="234" t="s">
        <v>264</v>
      </c>
      <c r="C30" s="235">
        <f>+'T-1'!F45</f>
        <v>0</v>
      </c>
      <c r="D30" s="236">
        <f t="shared" si="1"/>
        <v>0</v>
      </c>
      <c r="E30" s="235">
        <f>+'T-1'!I45</f>
        <v>0</v>
      </c>
      <c r="F30" s="236">
        <f t="shared" si="2"/>
        <v>0</v>
      </c>
      <c r="G30" s="235">
        <f>+'T-1'!K45</f>
        <v>0</v>
      </c>
      <c r="H30" s="236">
        <f t="shared" si="0"/>
        <v>0</v>
      </c>
      <c r="I30" s="235">
        <f>+'T-1'!O45</f>
        <v>0</v>
      </c>
      <c r="J30" s="236">
        <f t="shared" si="3"/>
        <v>0</v>
      </c>
    </row>
    <row r="31" spans="1:10">
      <c r="A31" s="249">
        <v>25</v>
      </c>
      <c r="B31" s="234" t="s">
        <v>265</v>
      </c>
      <c r="C31" s="235">
        <f>+'T-1'!F46</f>
        <v>0</v>
      </c>
      <c r="D31" s="236">
        <f t="shared" si="1"/>
        <v>0</v>
      </c>
      <c r="E31" s="235">
        <f>+'T-1'!I46</f>
        <v>0</v>
      </c>
      <c r="F31" s="236">
        <f t="shared" si="2"/>
        <v>0</v>
      </c>
      <c r="G31" s="235">
        <f>+'T-1'!K46</f>
        <v>0</v>
      </c>
      <c r="H31" s="236">
        <f t="shared" si="0"/>
        <v>0</v>
      </c>
      <c r="I31" s="235">
        <f>+'T-1'!O46</f>
        <v>0</v>
      </c>
      <c r="J31" s="236">
        <f t="shared" si="3"/>
        <v>0</v>
      </c>
    </row>
    <row r="32" spans="1:10">
      <c r="A32" s="249">
        <v>26</v>
      </c>
      <c r="B32" s="234" t="s">
        <v>280</v>
      </c>
      <c r="C32" s="235">
        <f>+'T-1'!F47</f>
        <v>0.14200000000000002</v>
      </c>
      <c r="D32" s="236">
        <f t="shared" si="1"/>
        <v>2.6247437178053006E-3</v>
      </c>
      <c r="E32" s="235">
        <f>+'T-1'!I47</f>
        <v>0.36299999999999999</v>
      </c>
      <c r="F32" s="236">
        <f t="shared" si="2"/>
        <v>1.1093443774729135E-2</v>
      </c>
      <c r="G32" s="235">
        <f>+'T-1'!K47</f>
        <v>0.371</v>
      </c>
      <c r="H32" s="236">
        <f t="shared" si="0"/>
        <v>5.7397368168224105E-3</v>
      </c>
      <c r="I32" s="235">
        <f>+'T-1'!O47</f>
        <v>1.7999999999999999E-2</v>
      </c>
      <c r="J32" s="236">
        <f t="shared" si="3"/>
        <v>2.5688201180858053E-4</v>
      </c>
    </row>
    <row r="33" spans="1:12">
      <c r="A33" s="249">
        <v>27</v>
      </c>
      <c r="B33" s="234" t="s">
        <v>267</v>
      </c>
      <c r="C33" s="235">
        <f>+'T-1'!H48</f>
        <v>0</v>
      </c>
      <c r="D33" s="236">
        <f t="shared" si="1"/>
        <v>0</v>
      </c>
      <c r="E33" s="235">
        <f>+'T-1'!K48</f>
        <v>0</v>
      </c>
      <c r="F33" s="236">
        <f t="shared" si="2"/>
        <v>0</v>
      </c>
      <c r="G33" s="235">
        <v>0</v>
      </c>
      <c r="H33" s="236">
        <f t="shared" si="0"/>
        <v>0</v>
      </c>
      <c r="I33" s="235">
        <v>0</v>
      </c>
      <c r="J33" s="236">
        <f t="shared" si="3"/>
        <v>0</v>
      </c>
    </row>
    <row r="34" spans="1:12">
      <c r="A34" s="249">
        <v>28</v>
      </c>
      <c r="B34" s="234" t="s">
        <v>1459</v>
      </c>
      <c r="C34" s="235">
        <v>0</v>
      </c>
      <c r="D34" s="236">
        <f t="shared" si="1"/>
        <v>0</v>
      </c>
      <c r="E34" s="235">
        <v>0</v>
      </c>
      <c r="F34" s="236">
        <f t="shared" si="2"/>
        <v>0</v>
      </c>
      <c r="G34" s="235">
        <v>0</v>
      </c>
      <c r="H34" s="236">
        <f t="shared" si="0"/>
        <v>0</v>
      </c>
      <c r="I34" s="235">
        <v>0</v>
      </c>
      <c r="J34" s="236">
        <f t="shared" si="3"/>
        <v>0</v>
      </c>
    </row>
    <row r="35" spans="1:12">
      <c r="A35" s="249">
        <v>29</v>
      </c>
      <c r="B35" s="234" t="s">
        <v>270</v>
      </c>
      <c r="C35" s="235">
        <f>+'T-1'!F51</f>
        <v>85.942999999999998</v>
      </c>
      <c r="D35" s="236">
        <f t="shared" si="1"/>
        <v>1.5885799249249359</v>
      </c>
      <c r="E35" s="235">
        <f>+'T-1'!I51</f>
        <v>42.305</v>
      </c>
      <c r="F35" s="236">
        <f t="shared" si="2"/>
        <v>1.2928598867490801</v>
      </c>
      <c r="G35" s="235">
        <f>+'T-1'!K51</f>
        <v>91.807000000000002</v>
      </c>
      <c r="H35" s="236">
        <f t="shared" si="0"/>
        <v>1.4203450618383155</v>
      </c>
      <c r="I35" s="235">
        <f>+'T-1'!O51</f>
        <v>93.081999999999994</v>
      </c>
      <c r="J35" s="236">
        <f t="shared" si="3"/>
        <v>1.3283939679536831</v>
      </c>
    </row>
    <row r="36" spans="1:12">
      <c r="A36" s="249">
        <v>30</v>
      </c>
      <c r="B36" s="234" t="s">
        <v>255</v>
      </c>
      <c r="C36" s="235">
        <f>+'T-1'!F52</f>
        <v>1758.4170000000004</v>
      </c>
      <c r="D36" s="236">
        <f t="shared" si="1"/>
        <v>32.502774465014397</v>
      </c>
      <c r="E36" s="235">
        <f>+'T-1'!I52</f>
        <v>1078.3170000000002</v>
      </c>
      <c r="F36" s="236">
        <f t="shared" si="2"/>
        <v>32.953854024337744</v>
      </c>
      <c r="G36" s="235">
        <f>+'T-1'!K52</f>
        <v>2246.2269999999999</v>
      </c>
      <c r="H36" s="236">
        <f t="shared" si="0"/>
        <v>34.751352589866713</v>
      </c>
      <c r="I36" s="235">
        <f>+'T-1'!O52</f>
        <v>2417.232</v>
      </c>
      <c r="J36" s="236">
        <f t="shared" si="3"/>
        <v>34.496856620448824</v>
      </c>
    </row>
    <row r="37" spans="1:12">
      <c r="A37" s="249">
        <v>31</v>
      </c>
      <c r="B37" s="234" t="s">
        <v>265</v>
      </c>
      <c r="C37" s="235">
        <f>+'T-1'!F53</f>
        <v>463.17399999999998</v>
      </c>
      <c r="D37" s="236">
        <f t="shared" si="1"/>
        <v>8.5613594841602261</v>
      </c>
      <c r="E37" s="235">
        <f>+'T-1'!I53</f>
        <v>230.82900000000001</v>
      </c>
      <c r="F37" s="236">
        <f t="shared" si="2"/>
        <v>7.0542383831320983</v>
      </c>
      <c r="G37" s="235">
        <f>+'T-1'!K53</f>
        <v>470.77600000000001</v>
      </c>
      <c r="H37" s="236">
        <f t="shared" si="0"/>
        <v>7.2833701878069732</v>
      </c>
      <c r="I37" s="235">
        <f>+'T-1'!O53</f>
        <v>477.31400000000002</v>
      </c>
      <c r="J37" s="236">
        <f t="shared" si="3"/>
        <v>6.811854476911158</v>
      </c>
    </row>
    <row r="38" spans="1:12">
      <c r="A38" s="249">
        <v>32</v>
      </c>
      <c r="B38" s="234" t="s">
        <v>276</v>
      </c>
      <c r="C38" s="235">
        <f>+'T-1'!F54</f>
        <v>139.803</v>
      </c>
      <c r="D38" s="236">
        <f t="shared" si="1"/>
        <v>2.5841341266220734</v>
      </c>
      <c r="E38" s="235">
        <f>+'T-1'!I54</f>
        <v>175.11799999999999</v>
      </c>
      <c r="F38" s="236">
        <f t="shared" si="2"/>
        <v>5.351685087997291</v>
      </c>
      <c r="G38" s="235">
        <f>+'T-1'!K54</f>
        <v>374.166</v>
      </c>
      <c r="H38" s="236">
        <f t="shared" si="0"/>
        <v>5.788717967124458</v>
      </c>
      <c r="I38" s="235">
        <f>+'T-1'!O54</f>
        <v>434.55099999999999</v>
      </c>
      <c r="J38" s="236">
        <f t="shared" si="3"/>
        <v>6.2015741729683613</v>
      </c>
    </row>
    <row r="39" spans="1:12">
      <c r="A39" s="249">
        <v>33</v>
      </c>
      <c r="B39" s="234" t="s">
        <v>263</v>
      </c>
      <c r="C39" s="235">
        <f>+'T-1'!F55</f>
        <v>203.44499999999999</v>
      </c>
      <c r="D39" s="236">
        <f t="shared" si="1"/>
        <v>3.760499899076756</v>
      </c>
      <c r="E39" s="235">
        <f>+'T-1'!I55</f>
        <v>77.984000000000009</v>
      </c>
      <c r="F39" s="236">
        <f t="shared" si="2"/>
        <v>2.3832262240453912</v>
      </c>
      <c r="G39" s="235">
        <f>+'T-1'!K55</f>
        <v>131.20699999999999</v>
      </c>
      <c r="H39" s="236">
        <f t="shared" si="0"/>
        <v>2.0299020175871103</v>
      </c>
      <c r="I39" s="235">
        <f>+'T-1'!O55</f>
        <v>133.029</v>
      </c>
      <c r="J39" s="236">
        <f t="shared" si="3"/>
        <v>1.8984865082713149</v>
      </c>
    </row>
    <row r="40" spans="1:12">
      <c r="A40" s="249">
        <v>34</v>
      </c>
      <c r="B40" s="234" t="s">
        <v>264</v>
      </c>
      <c r="C40" s="235">
        <f>+'T-1'!F56</f>
        <v>0</v>
      </c>
      <c r="D40" s="236">
        <f t="shared" si="1"/>
        <v>0</v>
      </c>
      <c r="E40" s="235">
        <f>+'T-1'!I56</f>
        <v>0</v>
      </c>
      <c r="F40" s="236">
        <f t="shared" si="2"/>
        <v>0</v>
      </c>
      <c r="G40" s="235">
        <f>+'T-1'!K56</f>
        <v>0</v>
      </c>
      <c r="H40" s="236">
        <f t="shared" si="0"/>
        <v>0</v>
      </c>
      <c r="I40" s="235">
        <f>+'T-1'!O56</f>
        <v>0</v>
      </c>
      <c r="J40" s="236">
        <f t="shared" si="3"/>
        <v>0</v>
      </c>
    </row>
    <row r="41" spans="1:12">
      <c r="A41" s="249">
        <v>35</v>
      </c>
      <c r="B41" s="234" t="s">
        <v>280</v>
      </c>
      <c r="C41" s="235">
        <f>+'T-1'!F57</f>
        <v>1.149</v>
      </c>
      <c r="D41" s="236">
        <f t="shared" si="1"/>
        <v>2.1238243181396409E-2</v>
      </c>
      <c r="E41" s="235">
        <f>+'T-1'!I57</f>
        <v>0.34800000000000003</v>
      </c>
      <c r="F41" s="236">
        <f t="shared" si="2"/>
        <v>1.0635037007178345E-2</v>
      </c>
      <c r="G41" s="235">
        <f>+'T-1'!K57</f>
        <v>0.38300000000000001</v>
      </c>
      <c r="H41" s="236">
        <f t="shared" si="0"/>
        <v>5.9253886815174754E-3</v>
      </c>
      <c r="I41" s="235">
        <f>+'T-1'!O57</f>
        <v>7.1999999999999995E-2</v>
      </c>
      <c r="J41" s="236">
        <f t="shared" si="3"/>
        <v>1.0275280472343221E-3</v>
      </c>
    </row>
    <row r="42" spans="1:12">
      <c r="A42" s="249">
        <v>36</v>
      </c>
      <c r="B42" s="234" t="s">
        <v>267</v>
      </c>
      <c r="C42" s="235">
        <f>+'T-1'!F58</f>
        <v>0</v>
      </c>
      <c r="D42" s="236">
        <f t="shared" si="1"/>
        <v>0</v>
      </c>
      <c r="E42" s="235">
        <f>+'T-1'!I58</f>
        <v>0</v>
      </c>
      <c r="F42" s="236">
        <f t="shared" si="2"/>
        <v>0</v>
      </c>
      <c r="G42" s="235">
        <f>+'T-1'!K58</f>
        <v>0</v>
      </c>
      <c r="H42" s="236">
        <f t="shared" si="0"/>
        <v>0</v>
      </c>
      <c r="I42" s="235">
        <f>+'T-1'!O58</f>
        <v>0</v>
      </c>
      <c r="J42" s="236">
        <f t="shared" si="3"/>
        <v>0</v>
      </c>
    </row>
    <row r="43" spans="1:12">
      <c r="A43" s="249">
        <v>37</v>
      </c>
      <c r="B43" s="234" t="s">
        <v>1459</v>
      </c>
      <c r="C43" s="235">
        <v>0</v>
      </c>
      <c r="D43" s="236">
        <f t="shared" si="1"/>
        <v>0</v>
      </c>
      <c r="E43" s="235">
        <v>0</v>
      </c>
      <c r="F43" s="236">
        <f t="shared" si="2"/>
        <v>0</v>
      </c>
      <c r="G43" s="235">
        <v>0</v>
      </c>
      <c r="H43" s="236">
        <f t="shared" si="0"/>
        <v>0</v>
      </c>
      <c r="I43" s="235">
        <v>0</v>
      </c>
      <c r="J43" s="236">
        <f t="shared" si="3"/>
        <v>0</v>
      </c>
    </row>
    <row r="44" spans="1:12" ht="15">
      <c r="A44" s="233">
        <v>38</v>
      </c>
      <c r="B44" s="241" t="s">
        <v>1460</v>
      </c>
      <c r="C44" s="242">
        <f>SUM(C6:C43)</f>
        <v>5410.0519999999997</v>
      </c>
      <c r="D44" s="243">
        <f t="shared" si="1"/>
        <v>100</v>
      </c>
      <c r="E44" s="242">
        <f>SUM(E6:E43)</f>
        <v>3272.203</v>
      </c>
      <c r="F44" s="243">
        <f t="shared" si="2"/>
        <v>100</v>
      </c>
      <c r="G44" s="242">
        <f>SUM(G6:G43)</f>
        <v>6463.7110000000002</v>
      </c>
      <c r="H44" s="244">
        <f>SUM(H6:H43)</f>
        <v>100</v>
      </c>
      <c r="I44" s="242">
        <f>SUM(I6:I43)</f>
        <v>7007.108000000002</v>
      </c>
      <c r="J44" s="236">
        <f t="shared" si="3"/>
        <v>100</v>
      </c>
    </row>
    <row r="45" spans="1:12" ht="15">
      <c r="A45" s="233">
        <v>39</v>
      </c>
      <c r="B45" s="230" t="s">
        <v>1461</v>
      </c>
      <c r="C45" s="235">
        <f>C46-C44</f>
        <v>1063.2710000000006</v>
      </c>
      <c r="D45" s="245">
        <f>C45/C46</f>
        <v>0.16425427867572814</v>
      </c>
      <c r="E45" s="235">
        <f>E46-E44</f>
        <v>570.61999999999989</v>
      </c>
      <c r="F45" s="245">
        <f>E45/E46</f>
        <v>0.14848979513238053</v>
      </c>
      <c r="G45" s="235">
        <f>G46-G44</f>
        <v>1254.1529999999993</v>
      </c>
      <c r="H45" s="245">
        <f>G45/G46</f>
        <v>0.16250001295695277</v>
      </c>
      <c r="I45" s="235">
        <f>I46-I44</f>
        <v>1153.976999999998</v>
      </c>
      <c r="J45" s="245">
        <f>I45/I46</f>
        <v>0.14139994865878716</v>
      </c>
    </row>
    <row r="46" spans="1:12" ht="15">
      <c r="A46" s="233">
        <v>40</v>
      </c>
      <c r="B46" s="230" t="s">
        <v>1462</v>
      </c>
      <c r="C46" s="235">
        <f>+'T-1'!F62</f>
        <v>6473.3230000000003</v>
      </c>
      <c r="D46" s="230"/>
      <c r="E46" s="235">
        <f>+'T-1'!I62</f>
        <v>3842.8229999999999</v>
      </c>
      <c r="F46" s="240"/>
      <c r="G46" s="235">
        <f>'T-1'!K62</f>
        <v>7717.8639999999996</v>
      </c>
      <c r="H46" s="235"/>
      <c r="I46" s="235">
        <f>'T-1'!O62</f>
        <v>8161.085</v>
      </c>
      <c r="J46" s="240"/>
    </row>
    <row r="47" spans="1:12" ht="15">
      <c r="A47" s="232" t="s">
        <v>1463</v>
      </c>
      <c r="B47" s="230" t="s">
        <v>1464</v>
      </c>
      <c r="C47" s="235"/>
      <c r="D47" s="240"/>
      <c r="E47" s="235"/>
      <c r="F47" s="240"/>
      <c r="G47" s="235"/>
      <c r="H47" s="235"/>
      <c r="I47" s="240"/>
      <c r="J47" s="240"/>
    </row>
    <row r="48" spans="1:12" ht="15">
      <c r="A48" s="233">
        <v>1</v>
      </c>
      <c r="B48" s="240" t="s">
        <v>1465</v>
      </c>
      <c r="C48" s="242">
        <f>C46</f>
        <v>6473.3230000000003</v>
      </c>
      <c r="D48" s="240"/>
      <c r="E48" s="242">
        <f>E46</f>
        <v>3842.8229999999999</v>
      </c>
      <c r="F48" s="230"/>
      <c r="G48" s="242">
        <f>G46</f>
        <v>7717.8639999999996</v>
      </c>
      <c r="H48" s="235"/>
      <c r="I48" s="242">
        <f>I46</f>
        <v>8161.085</v>
      </c>
      <c r="J48" s="233"/>
      <c r="K48" s="2426"/>
      <c r="L48" s="623">
        <f>G50-E50</f>
        <v>3875.0409999999997</v>
      </c>
    </row>
    <row r="49" spans="1:12">
      <c r="A49" s="233">
        <v>2</v>
      </c>
      <c r="B49" s="240" t="s">
        <v>1466</v>
      </c>
      <c r="C49" s="2265"/>
      <c r="D49" s="290"/>
      <c r="E49" s="2265"/>
      <c r="F49" s="290"/>
      <c r="G49" s="2265"/>
      <c r="H49" s="2265"/>
      <c r="I49" s="2266"/>
      <c r="J49" s="290"/>
      <c r="K49" s="2426"/>
      <c r="L49" s="229">
        <f>3.163+0.25+0.0017</f>
        <v>3.4146999999999998</v>
      </c>
    </row>
    <row r="50" spans="1:12" ht="15">
      <c r="A50" s="233">
        <v>3</v>
      </c>
      <c r="B50" s="230" t="s">
        <v>1467</v>
      </c>
      <c r="C50" s="2267">
        <f>SUM(C48:C49)*0+5327.09</f>
        <v>5327.09</v>
      </c>
      <c r="D50" s="2268"/>
      <c r="E50" s="2267">
        <f>SUM(E48:E49)</f>
        <v>3842.8229999999999</v>
      </c>
      <c r="F50" s="290"/>
      <c r="G50" s="2267">
        <f>SUM(G48:G49)</f>
        <v>7717.8639999999996</v>
      </c>
      <c r="H50" s="2267"/>
      <c r="I50" s="2267">
        <f>SUM(I48:I49)</f>
        <v>8161.085</v>
      </c>
      <c r="J50" s="290"/>
      <c r="L50" s="229">
        <f>L48*L49*10</f>
        <v>132321.02502699997</v>
      </c>
    </row>
    <row r="51" spans="1:12">
      <c r="A51" s="233">
        <v>4</v>
      </c>
      <c r="B51" s="240" t="s">
        <v>1468</v>
      </c>
      <c r="C51" s="2269">
        <f>D51/C50/10</f>
        <v>3.48312642721636</v>
      </c>
      <c r="D51" s="2270">
        <v>185549.2795916</v>
      </c>
      <c r="E51" s="2271">
        <v>3.59</v>
      </c>
      <c r="F51" s="2269">
        <f>E48*E51*10</f>
        <v>137957.34569999998</v>
      </c>
      <c r="G51" s="2271">
        <v>3.59</v>
      </c>
      <c r="H51" s="2269">
        <f>G48*G51*10</f>
        <v>277071.31759999995</v>
      </c>
      <c r="I51" s="2271">
        <v>3.59</v>
      </c>
      <c r="J51" s="2269">
        <f>I48*I51*10</f>
        <v>292982.95149999997</v>
      </c>
    </row>
    <row r="52" spans="1:12">
      <c r="A52" s="233">
        <v>5</v>
      </c>
      <c r="B52" s="240" t="s">
        <v>1469</v>
      </c>
      <c r="C52" s="290"/>
      <c r="D52" s="290"/>
      <c r="E52" s="290"/>
      <c r="F52" s="290"/>
      <c r="G52" s="292"/>
      <c r="H52" s="292"/>
      <c r="I52" s="290"/>
      <c r="J52" s="290"/>
    </row>
    <row r="53" spans="1:12" ht="15">
      <c r="A53" s="232" t="s">
        <v>1470</v>
      </c>
      <c r="B53" s="230" t="s">
        <v>1471</v>
      </c>
      <c r="C53" s="290"/>
      <c r="D53" s="2272">
        <f>SUM(D51:D52)</f>
        <v>185549.2795916</v>
      </c>
      <c r="E53" s="290"/>
      <c r="F53" s="2272">
        <f>SUM(F51:F52)</f>
        <v>137957.34569999998</v>
      </c>
      <c r="G53" s="290"/>
      <c r="H53" s="2272">
        <f>SUM(H51:H52)</f>
        <v>277071.31759999995</v>
      </c>
      <c r="I53" s="290"/>
      <c r="J53" s="2272">
        <f>SUM(J51:J52)</f>
        <v>292982.95149999997</v>
      </c>
      <c r="L53" s="247">
        <f>L50+F51</f>
        <v>270278.37072699994</v>
      </c>
    </row>
    <row r="54" spans="1:12">
      <c r="G54" s="229">
        <f>G50*3.26*10</f>
        <v>251602.36639999994</v>
      </c>
      <c r="H54" s="247">
        <f>H53-'F-22'!C9</f>
        <v>-116.20800000004238</v>
      </c>
      <c r="I54" s="229">
        <f>I50*3.26*10</f>
        <v>266051.37099999998</v>
      </c>
      <c r="J54" s="247">
        <f>J53-'F-22'!D9</f>
        <v>-116.20800000004238</v>
      </c>
      <c r="L54" s="229">
        <f>L53/G50/10</f>
        <v>3.5019841076106024</v>
      </c>
    </row>
    <row r="55" spans="1:12">
      <c r="F55" s="229">
        <v>172277.60130000004</v>
      </c>
      <c r="G55" s="229">
        <f>G54+84.24</f>
        <v>251686.60639999993</v>
      </c>
      <c r="I55" s="229">
        <f>I54+84.24</f>
        <v>266135.61099999998</v>
      </c>
    </row>
    <row r="56" spans="1:12">
      <c r="D56" s="229">
        <v>15522317477.4</v>
      </c>
      <c r="F56" s="247">
        <f>F51+H51</f>
        <v>415028.6632999999</v>
      </c>
      <c r="G56" s="229">
        <f>G55/G50/10</f>
        <v>3.2610914937086215</v>
      </c>
      <c r="I56" s="229">
        <f>I55/I50/10</f>
        <v>3.261032215691908</v>
      </c>
    </row>
    <row r="57" spans="1:12">
      <c r="D57" s="229">
        <f>D56/10^5</f>
        <v>155223.17477399998</v>
      </c>
      <c r="G57" s="229">
        <f>G58/G50</f>
        <v>23.875890712767159</v>
      </c>
      <c r="H57" s="229">
        <f>+G57/10</f>
        <v>2.3875890712767158</v>
      </c>
      <c r="J57" s="229">
        <f>J58/I48</f>
        <v>23.854972420946481</v>
      </c>
      <c r="K57" s="229">
        <f>+J57/10</f>
        <v>2.3854972420946483</v>
      </c>
    </row>
    <row r="58" spans="1:12">
      <c r="F58" s="229">
        <f>(E48+G48)*3.15*10</f>
        <v>364161.64049999998</v>
      </c>
      <c r="G58" s="229">
        <v>184270.8774</v>
      </c>
      <c r="J58" s="229">
        <v>194682.45760000002</v>
      </c>
    </row>
    <row r="60" spans="1:12">
      <c r="G60" s="229">
        <f>+G48*3.22</f>
        <v>24851.522079999999</v>
      </c>
      <c r="H60" s="1020" t="e">
        <f>+H53-#REF!</f>
        <v>#REF!</v>
      </c>
    </row>
    <row r="61" spans="1:12">
      <c r="E61" s="1142">
        <f>1-(F61*0.99)</f>
        <v>0.13831217417782071</v>
      </c>
      <c r="F61" s="1141">
        <f>'T-7_Ensuing_Year'!D65/'F-4'!I48</f>
        <v>0.87039174325472657</v>
      </c>
      <c r="G61" s="229">
        <v>84.72</v>
      </c>
    </row>
    <row r="62" spans="1:12">
      <c r="G62" s="229">
        <f>+G60+G61</f>
        <v>24936.24208</v>
      </c>
    </row>
    <row r="63" spans="1:12">
      <c r="G63" s="229">
        <f>+G62/G48</f>
        <v>3.2309771304599306</v>
      </c>
      <c r="I63" s="229">
        <f>100.155/G50/10</f>
        <v>1.2977036133313572E-3</v>
      </c>
    </row>
    <row r="64" spans="1:12">
      <c r="I64" s="229">
        <v>0.25</v>
      </c>
    </row>
    <row r="65" spans="7:9">
      <c r="I65" s="247">
        <f>G51-I64-I63</f>
        <v>3.3387022963866686</v>
      </c>
    </row>
    <row r="66" spans="7:9">
      <c r="H66" s="247" t="e">
        <f>+H53-#REF!</f>
        <v>#REF!</v>
      </c>
    </row>
    <row r="67" spans="7:9">
      <c r="G67" s="229">
        <v>101.53200000000001</v>
      </c>
    </row>
    <row r="69" spans="7:9">
      <c r="G69" s="229">
        <f>+G67/G48/10</f>
        <v>1.3155453374146008E-3</v>
      </c>
    </row>
    <row r="71" spans="7:9">
      <c r="G71" s="229">
        <v>3.48</v>
      </c>
    </row>
    <row r="72" spans="7:9">
      <c r="G72" s="229">
        <f>+G71+G69</f>
        <v>3.4813155453374147</v>
      </c>
    </row>
  </sheetData>
  <mergeCells count="6">
    <mergeCell ref="C4:D4"/>
    <mergeCell ref="E4:F4"/>
    <mergeCell ref="G4:H4"/>
    <mergeCell ref="I4:J4"/>
    <mergeCell ref="H1:J1"/>
    <mergeCell ref="A2:J2"/>
  </mergeCells>
  <phoneticPr fontId="0" type="noConversion"/>
  <printOptions horizontalCentered="1" verticalCentered="1"/>
  <pageMargins left="0.15748031496062992" right="0.23622047244094491" top="0.28999999999999998" bottom="0.23" header="0.22" footer="0.15"/>
  <pageSetup paperSize="9" scale="71" orientation="landscape"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8000"/>
  </sheetPr>
  <dimension ref="A1:Q27"/>
  <sheetViews>
    <sheetView view="pageBreakPreview" zoomScaleNormal="78" zoomScaleSheetLayoutView="100" workbookViewId="0">
      <selection activeCell="K11" sqref="K11"/>
    </sheetView>
  </sheetViews>
  <sheetFormatPr defaultColWidth="9.140625" defaultRowHeight="14.25"/>
  <cols>
    <col min="1" max="1" width="4" style="248" customWidth="1"/>
    <col min="2" max="2" width="45.28515625" style="229" bestFit="1" customWidth="1"/>
    <col min="3" max="3" width="9.140625" style="248"/>
    <col min="4" max="4" width="9.85546875" style="229" bestFit="1" customWidth="1"/>
    <col min="5" max="5" width="9.28515625" style="229" customWidth="1"/>
    <col min="6" max="6" width="10.42578125" style="229" bestFit="1" customWidth="1"/>
    <col min="7" max="7" width="10.5703125" style="229" customWidth="1"/>
    <col min="8" max="10" width="10.42578125" style="229" bestFit="1" customWidth="1"/>
    <col min="11" max="11" width="11.140625" style="229" bestFit="1" customWidth="1"/>
    <col min="12" max="13" width="10.42578125" style="229" bestFit="1" customWidth="1"/>
    <col min="14" max="14" width="11.140625" style="229" bestFit="1" customWidth="1"/>
    <col min="15" max="15" width="10.42578125" style="229" customWidth="1"/>
    <col min="16" max="16" width="9.28515625" style="229" bestFit="1" customWidth="1"/>
    <col min="17" max="16384" width="9.140625" style="229"/>
  </cols>
  <sheetData>
    <row r="1" spans="1:17" ht="30.75" customHeight="1">
      <c r="A1" s="2599" t="s">
        <v>1472</v>
      </c>
      <c r="B1" s="2599"/>
      <c r="C1" s="2599"/>
      <c r="D1" s="2599"/>
      <c r="E1" s="2599"/>
      <c r="F1" s="2599"/>
      <c r="G1" s="2599"/>
      <c r="H1" s="2599"/>
      <c r="I1" s="2599"/>
      <c r="J1" s="2599"/>
      <c r="K1" s="2599"/>
      <c r="L1" s="2599"/>
      <c r="M1" s="2599"/>
      <c r="N1" s="2599"/>
      <c r="O1" s="2599"/>
    </row>
    <row r="2" spans="1:17" ht="18.75" customHeight="1">
      <c r="A2" s="2602" t="s">
        <v>1473</v>
      </c>
      <c r="B2" s="2602"/>
      <c r="C2" s="2602"/>
      <c r="D2" s="2602"/>
      <c r="E2" s="2602"/>
      <c r="F2" s="2602"/>
      <c r="G2" s="2602"/>
      <c r="H2" s="2602"/>
      <c r="I2" s="2602"/>
      <c r="J2" s="2602"/>
      <c r="K2" s="2602"/>
      <c r="L2" s="2602"/>
      <c r="M2" s="2602"/>
      <c r="N2" s="2602"/>
      <c r="O2" s="2603"/>
    </row>
    <row r="3" spans="1:17" ht="21" customHeight="1">
      <c r="A3" s="233"/>
      <c r="B3" s="240"/>
      <c r="C3" s="233"/>
      <c r="D3" s="2597" t="s">
        <v>1474</v>
      </c>
      <c r="E3" s="2597"/>
      <c r="F3" s="2597"/>
      <c r="G3" s="2597"/>
      <c r="H3" s="2597" t="s">
        <v>1443</v>
      </c>
      <c r="I3" s="2597"/>
      <c r="J3" s="2597"/>
      <c r="K3" s="2597"/>
      <c r="L3" s="2597" t="s">
        <v>1444</v>
      </c>
      <c r="M3" s="2597"/>
      <c r="N3" s="2597"/>
      <c r="O3" s="2597"/>
    </row>
    <row r="4" spans="1:17" ht="24.75" customHeight="1">
      <c r="A4" s="233">
        <v>1</v>
      </c>
      <c r="B4" s="240" t="s">
        <v>1475</v>
      </c>
      <c r="C4" s="233"/>
      <c r="D4" s="251" t="s">
        <v>271</v>
      </c>
      <c r="E4" s="251" t="s">
        <v>1476</v>
      </c>
      <c r="F4" s="251" t="s">
        <v>232</v>
      </c>
      <c r="G4" s="251" t="s">
        <v>274</v>
      </c>
      <c r="H4" s="251" t="s">
        <v>271</v>
      </c>
      <c r="I4" s="251" t="s">
        <v>1476</v>
      </c>
      <c r="J4" s="251" t="s">
        <v>232</v>
      </c>
      <c r="K4" s="251" t="s">
        <v>274</v>
      </c>
      <c r="L4" s="251" t="s">
        <v>271</v>
      </c>
      <c r="M4" s="251" t="s">
        <v>1476</v>
      </c>
      <c r="N4" s="251" t="s">
        <v>232</v>
      </c>
      <c r="O4" s="251" t="s">
        <v>274</v>
      </c>
    </row>
    <row r="5" spans="1:17" ht="24.75" customHeight="1">
      <c r="A5" s="233"/>
      <c r="B5" s="230" t="s">
        <v>1477</v>
      </c>
      <c r="C5" s="233"/>
      <c r="D5" s="240"/>
      <c r="E5" s="240"/>
      <c r="F5" s="240"/>
      <c r="G5" s="240"/>
      <c r="H5" s="240"/>
      <c r="I5" s="240"/>
      <c r="J5" s="240">
        <f>+K5-'F-6 New'!I7</f>
        <v>-233851.27920000002</v>
      </c>
      <c r="K5" s="240">
        <f>+K6*3.2</f>
        <v>24697.164799999999</v>
      </c>
      <c r="L5" s="240"/>
      <c r="M5" s="240"/>
      <c r="N5" s="240">
        <f>+O5-'F-6 New'!M7</f>
        <v>-247280.87550000002</v>
      </c>
      <c r="O5" s="240">
        <f>+O6*3.2</f>
        <v>26115.472000000002</v>
      </c>
    </row>
    <row r="6" spans="1:17" ht="24.75" customHeight="1">
      <c r="A6" s="233">
        <v>2</v>
      </c>
      <c r="B6" s="240" t="s">
        <v>1478</v>
      </c>
      <c r="C6" s="233" t="s">
        <v>1445</v>
      </c>
      <c r="D6" s="253">
        <f>'F-4'!C46</f>
        <v>6473.3230000000003</v>
      </c>
      <c r="E6" s="253">
        <f>D9-D10</f>
        <v>3821.3919999999998</v>
      </c>
      <c r="F6" s="253">
        <f>E9-E10</f>
        <v>2890.2636399999997</v>
      </c>
      <c r="G6" s="253">
        <f>'F-4'!C46</f>
        <v>6473.3230000000003</v>
      </c>
      <c r="H6" s="254">
        <f>'F-4'!G48</f>
        <v>7717.8639999999996</v>
      </c>
      <c r="I6" s="254">
        <f>H9-H10</f>
        <v>4403.2980000000007</v>
      </c>
      <c r="J6" s="254">
        <f>I9-I10</f>
        <v>3385.4661600000009</v>
      </c>
      <c r="K6" s="254">
        <f>'F-4'!G46</f>
        <v>7717.8639999999996</v>
      </c>
      <c r="L6" s="254">
        <f>'F-4'!I46</f>
        <v>8161.085</v>
      </c>
      <c r="M6" s="254">
        <f>L9-L10</f>
        <v>4605.8050000000003</v>
      </c>
      <c r="N6" s="254">
        <f>M9-M10</f>
        <v>3464.2946000000002</v>
      </c>
      <c r="O6" s="254">
        <f>'F-4'!I48</f>
        <v>8161.085</v>
      </c>
      <c r="P6" s="229">
        <f>'F-6 New'!I10/'F-5'!K6</f>
        <v>35.915057015775353</v>
      </c>
      <c r="Q6" s="623">
        <f>O6-K6</f>
        <v>443.22100000000046</v>
      </c>
    </row>
    <row r="7" spans="1:17" ht="24.75" customHeight="1">
      <c r="A7" s="233">
        <v>3</v>
      </c>
      <c r="B7" s="240" t="s">
        <v>1479</v>
      </c>
      <c r="C7" s="233" t="s">
        <v>1463</v>
      </c>
      <c r="D7" s="255">
        <v>0</v>
      </c>
      <c r="E7" s="1167">
        <v>0.08</v>
      </c>
      <c r="F7" s="1167">
        <f>F8/F6</f>
        <v>0.2621074525921101</v>
      </c>
      <c r="G7" s="1168">
        <f>G8/G6</f>
        <v>0.164254278675728</v>
      </c>
      <c r="H7" s="1167">
        <v>0</v>
      </c>
      <c r="I7" s="1167">
        <v>0.08</v>
      </c>
      <c r="J7" s="1167">
        <f>J8/J6</f>
        <v>0.26640028798870063</v>
      </c>
      <c r="K7" s="1168">
        <f>K8/K6</f>
        <v>0.16250001295695291</v>
      </c>
      <c r="L7" s="1167">
        <v>0</v>
      </c>
      <c r="M7" s="1167">
        <v>0.08</v>
      </c>
      <c r="N7" s="256">
        <f>N8/N6</f>
        <v>0.22674532356457214</v>
      </c>
      <c r="O7" s="256">
        <f>O8/O6</f>
        <v>0.14139994865878738</v>
      </c>
    </row>
    <row r="8" spans="1:17" ht="24.75" customHeight="1">
      <c r="A8" s="233">
        <v>4</v>
      </c>
      <c r="B8" s="240" t="s">
        <v>1480</v>
      </c>
      <c r="C8" s="248" t="s">
        <v>1470</v>
      </c>
      <c r="D8" s="253">
        <f>D6*D7</f>
        <v>0</v>
      </c>
      <c r="E8" s="253">
        <f>E6*E7</f>
        <v>305.71136000000001</v>
      </c>
      <c r="F8" s="253">
        <f>F6-F9</f>
        <v>757.55963999999949</v>
      </c>
      <c r="G8" s="254">
        <f>G6-G9</f>
        <v>1063.2709999999997</v>
      </c>
      <c r="H8" s="253">
        <f>H6*H7</f>
        <v>0</v>
      </c>
      <c r="I8" s="253">
        <f>I6*I7</f>
        <v>352.26384000000007</v>
      </c>
      <c r="J8" s="253">
        <f>J6-J10</f>
        <v>901.88916000000063</v>
      </c>
      <c r="K8" s="254">
        <f>K6-K10</f>
        <v>1254.1530000000002</v>
      </c>
      <c r="L8" s="253">
        <f>L6*L7</f>
        <v>0</v>
      </c>
      <c r="M8" s="253">
        <f>M6*M7</f>
        <v>368.46440000000001</v>
      </c>
      <c r="N8" s="253">
        <f>N6-N10</f>
        <v>785.51260000000002</v>
      </c>
      <c r="O8" s="254">
        <f>O6-O10</f>
        <v>1153.9769999999999</v>
      </c>
    </row>
    <row r="9" spans="1:17" ht="24.75" customHeight="1">
      <c r="A9" s="233">
        <v>5</v>
      </c>
      <c r="B9" s="240" t="s">
        <v>1481</v>
      </c>
      <c r="C9" s="233" t="s">
        <v>1482</v>
      </c>
      <c r="D9" s="253">
        <f>D6-D8</f>
        <v>6473.3230000000003</v>
      </c>
      <c r="E9" s="253">
        <f>E6-E8</f>
        <v>3515.6806399999996</v>
      </c>
      <c r="F9" s="253">
        <f>F10</f>
        <v>2132.7040000000002</v>
      </c>
      <c r="G9" s="253">
        <f>G10</f>
        <v>5410.0520000000006</v>
      </c>
      <c r="H9" s="253">
        <f t="shared" ref="H9:O9" si="0">H6-H8</f>
        <v>7717.8639999999996</v>
      </c>
      <c r="I9" s="253">
        <f t="shared" si="0"/>
        <v>4051.0341600000006</v>
      </c>
      <c r="J9" s="253">
        <f t="shared" si="0"/>
        <v>2483.5770000000002</v>
      </c>
      <c r="K9" s="253">
        <f t="shared" si="0"/>
        <v>6463.7109999999993</v>
      </c>
      <c r="L9" s="253">
        <f t="shared" si="0"/>
        <v>8161.085</v>
      </c>
      <c r="M9" s="253">
        <f t="shared" si="0"/>
        <v>4237.3406000000004</v>
      </c>
      <c r="N9" s="253">
        <f t="shared" si="0"/>
        <v>2678.7820000000002</v>
      </c>
      <c r="O9" s="253">
        <f t="shared" si="0"/>
        <v>7007.1080000000002</v>
      </c>
    </row>
    <row r="10" spans="1:17" ht="24.75" customHeight="1">
      <c r="A10" s="233">
        <v>6</v>
      </c>
      <c r="B10" s="240" t="s">
        <v>1483</v>
      </c>
      <c r="C10" s="248" t="s">
        <v>1484</v>
      </c>
      <c r="D10" s="254">
        <f>'T-1'!F59</f>
        <v>2651.9310000000005</v>
      </c>
      <c r="E10" s="254">
        <f>'T-1'!F49</f>
        <v>625.41700000000003</v>
      </c>
      <c r="F10" s="254">
        <f>'T-1'!F32</f>
        <v>2132.7040000000002</v>
      </c>
      <c r="G10" s="253">
        <f>SUM(D10:F10)</f>
        <v>5410.0520000000006</v>
      </c>
      <c r="H10" s="254">
        <f>'T-1'!K59</f>
        <v>3314.5659999999993</v>
      </c>
      <c r="I10" s="253">
        <f>'T-1'!K49</f>
        <v>665.56799999999998</v>
      </c>
      <c r="J10" s="253">
        <f>'T-1'!K32</f>
        <v>2483.5770000000002</v>
      </c>
      <c r="K10" s="253">
        <f>SUM(H10:J10)</f>
        <v>6463.7109999999993</v>
      </c>
      <c r="L10" s="254">
        <f>'T-1'!O59</f>
        <v>3555.2799999999997</v>
      </c>
      <c r="M10" s="253">
        <f>'T-1'!O49</f>
        <v>773.04600000000005</v>
      </c>
      <c r="N10" s="253">
        <f>'T-1'!O32</f>
        <v>2678.7820000000002</v>
      </c>
      <c r="O10" s="253">
        <f>SUM(L10:N10)</f>
        <v>7007.1080000000002</v>
      </c>
    </row>
    <row r="11" spans="1:17" ht="24.75" customHeight="1">
      <c r="A11" s="233"/>
      <c r="B11" s="241" t="s">
        <v>1485</v>
      </c>
      <c r="C11" s="251"/>
      <c r="D11" s="240"/>
      <c r="E11" s="240"/>
      <c r="F11" s="240"/>
      <c r="G11" s="240"/>
      <c r="H11" s="240"/>
      <c r="I11" s="240"/>
      <c r="J11" s="240"/>
      <c r="K11" s="240"/>
      <c r="L11" s="240"/>
      <c r="M11" s="240"/>
      <c r="N11" s="240"/>
      <c r="O11" s="240"/>
    </row>
    <row r="12" spans="1:17" ht="34.5" customHeight="1">
      <c r="A12" s="233">
        <v>7</v>
      </c>
      <c r="B12" s="257" t="s">
        <v>1486</v>
      </c>
      <c r="C12" s="233" t="s">
        <v>1487</v>
      </c>
      <c r="D12" s="246">
        <f>'F-4'!C51</f>
        <v>3.48312642721636</v>
      </c>
      <c r="E12" s="246">
        <f>D12</f>
        <v>3.48312642721636</v>
      </c>
      <c r="F12" s="246">
        <f>E12</f>
        <v>3.48312642721636</v>
      </c>
      <c r="G12" s="246">
        <f>F12</f>
        <v>3.48312642721636</v>
      </c>
      <c r="H12" s="246">
        <f>+'F-4'!G51</f>
        <v>3.59</v>
      </c>
      <c r="I12" s="246">
        <f>+H12</f>
        <v>3.59</v>
      </c>
      <c r="J12" s="246">
        <f>+I12</f>
        <v>3.59</v>
      </c>
      <c r="K12" s="246">
        <f>+J12</f>
        <v>3.59</v>
      </c>
      <c r="L12" s="246">
        <f>'F-4'!I51</f>
        <v>3.59</v>
      </c>
      <c r="M12" s="246">
        <f>+L12</f>
        <v>3.59</v>
      </c>
      <c r="N12" s="246">
        <f>+M12</f>
        <v>3.59</v>
      </c>
      <c r="O12" s="246">
        <f>+N12</f>
        <v>3.59</v>
      </c>
    </row>
    <row r="13" spans="1:17" ht="26.25" customHeight="1">
      <c r="A13" s="233">
        <v>8</v>
      </c>
      <c r="B13" s="240" t="s">
        <v>1488</v>
      </c>
      <c r="C13" s="233" t="s">
        <v>1083</v>
      </c>
      <c r="D13" s="292">
        <f>'F-6 New'!B28-'F-6 New'!B19-'F-6 New'!B10</f>
        <v>12083.69974656211</v>
      </c>
      <c r="E13" s="292">
        <f>'F-6 New'!C28-'F-6 New'!C19-'F-6 New'!C10</f>
        <v>29646.216059027538</v>
      </c>
      <c r="F13" s="292">
        <f>'F-6 New'!D28-'F-6 New'!D19-'F-6 New'!D10</f>
        <v>50765.331584386353</v>
      </c>
      <c r="G13" s="292">
        <f>'F-6 New'!E28-'F-6 New'!E19-'F-6 New'!E10</f>
        <v>95994.247389975993</v>
      </c>
      <c r="H13" s="292">
        <f>'F-6 New'!F28-'F-6 New'!F19-'F-6 New'!F10</f>
        <v>19079.228201771301</v>
      </c>
      <c r="I13" s="292">
        <f>'F-6 New'!G28-'F-6 New'!G19-'F-6 New'!G10</f>
        <v>37345.394275417857</v>
      </c>
      <c r="J13" s="292">
        <f>'F-6 New'!H28-'F-6 New'!H19-'F-6 New'!H10</f>
        <v>58648.983473082539</v>
      </c>
      <c r="K13" s="292">
        <f>'F-6 New'!I28-'F-6 New'!I19-'F-6 New'!I10</f>
        <v>115073.60595027165</v>
      </c>
      <c r="L13" s="292">
        <f>'F-6 New'!J28-'F-6 New'!J19-'F-6 New'!J10</f>
        <v>22433.86516526925</v>
      </c>
      <c r="M13" s="292">
        <f>'F-6 New'!K28-'F-6 New'!K19-'F-6 New'!K10</f>
        <v>46075.409861942557</v>
      </c>
      <c r="N13" s="292">
        <f>'F-6 New'!L28-'F-6 New'!L19-'F-6 New'!L10</f>
        <v>66195.309816376044</v>
      </c>
      <c r="O13" s="292">
        <f>'F-6 New'!M28-'F-6 New'!M19-'F-6 New'!M10</f>
        <v>134704.58484358783</v>
      </c>
      <c r="P13" s="247"/>
    </row>
    <row r="14" spans="1:17" ht="26.25" customHeight="1">
      <c r="A14" s="233">
        <v>9</v>
      </c>
      <c r="B14" s="240" t="s">
        <v>1489</v>
      </c>
      <c r="C14" s="233" t="s">
        <v>1490</v>
      </c>
      <c r="D14" s="253">
        <f>D12*D8*10</f>
        <v>0</v>
      </c>
      <c r="E14" s="253">
        <f>E8*D17*10</f>
        <v>11218.982097053184</v>
      </c>
      <c r="F14" s="253">
        <f>F8*E17*10</f>
        <v>36606.532397568597</v>
      </c>
      <c r="G14" s="253">
        <f>G12*G8*10</f>
        <v>37035.073193927659</v>
      </c>
      <c r="H14" s="253">
        <f>H12*H8*10</f>
        <v>0</v>
      </c>
      <c r="I14" s="253">
        <f>I8*H17*10</f>
        <v>13517.098575749438</v>
      </c>
      <c r="J14" s="253">
        <f>J8*I17*10</f>
        <v>45930.978961289155</v>
      </c>
      <c r="K14" s="253">
        <f>K12*K8*10</f>
        <v>45024.092700000008</v>
      </c>
      <c r="L14" s="253">
        <f>L12*L8*10</f>
        <v>0</v>
      </c>
      <c r="M14" s="253">
        <f>M8*L17*10</f>
        <v>14240.737365494715</v>
      </c>
      <c r="N14" s="253">
        <f>N8*M17*10</f>
        <v>41540.511971189298</v>
      </c>
      <c r="O14" s="253">
        <f>O12*O8*10</f>
        <v>41427.77429999999</v>
      </c>
    </row>
    <row r="15" spans="1:17" ht="26.25" customHeight="1">
      <c r="A15" s="233">
        <v>10</v>
      </c>
      <c r="B15" s="240" t="s">
        <v>1491</v>
      </c>
      <c r="C15" s="233" t="s">
        <v>1492</v>
      </c>
      <c r="D15" s="253">
        <f>D13+D14</f>
        <v>12083.69974656211</v>
      </c>
      <c r="E15" s="253">
        <f>E13+E14</f>
        <v>40865.198156080718</v>
      </c>
      <c r="F15" s="253">
        <f>F13+F14</f>
        <v>87371.863981954957</v>
      </c>
      <c r="G15" s="253">
        <f>G13+G14</f>
        <v>133029.32058390364</v>
      </c>
      <c r="H15" s="253">
        <f t="shared" ref="H15:O15" si="1">H13+H14</f>
        <v>19079.228201771301</v>
      </c>
      <c r="I15" s="253">
        <f t="shared" si="1"/>
        <v>50862.492851167292</v>
      </c>
      <c r="J15" s="253">
        <f t="shared" si="1"/>
        <v>104579.9624343717</v>
      </c>
      <c r="K15" s="253">
        <f t="shared" si="1"/>
        <v>160097.69865027166</v>
      </c>
      <c r="L15" s="253">
        <f t="shared" si="1"/>
        <v>22433.86516526925</v>
      </c>
      <c r="M15" s="253">
        <f t="shared" si="1"/>
        <v>60316.147227437272</v>
      </c>
      <c r="N15" s="253">
        <f t="shared" si="1"/>
        <v>107735.82178756534</v>
      </c>
      <c r="O15" s="253">
        <f t="shared" si="1"/>
        <v>176132.35914358782</v>
      </c>
    </row>
    <row r="16" spans="1:17" ht="26.25" customHeight="1">
      <c r="A16" s="233">
        <v>11</v>
      </c>
      <c r="B16" s="240" t="s">
        <v>1493</v>
      </c>
      <c r="C16" s="233" t="s">
        <v>1494</v>
      </c>
      <c r="D16" s="253">
        <f>D15/D9/10</f>
        <v>0.18666919210677591</v>
      </c>
      <c r="E16" s="253">
        <f>E15/E9/10</f>
        <v>1.1623694624344698</v>
      </c>
      <c r="F16" s="253">
        <f>F15/F9/10</f>
        <v>4.0967646697317095</v>
      </c>
      <c r="G16" s="253">
        <f>G15/G9/10</f>
        <v>2.4589286865247066</v>
      </c>
      <c r="H16" s="253">
        <f>H15/H9/10</f>
        <v>0.24720866034658426</v>
      </c>
      <c r="I16" s="253">
        <f t="shared" ref="I16:O16" si="2">I15/I9/10</f>
        <v>1.2555434203291755</v>
      </c>
      <c r="J16" s="253">
        <f>J15/J9/10</f>
        <v>4.2108604820535742</v>
      </c>
      <c r="K16" s="253">
        <f t="shared" si="2"/>
        <v>2.476869690650954</v>
      </c>
      <c r="L16" s="253">
        <f>L15/L9/10</f>
        <v>0.27488826749469281</v>
      </c>
      <c r="M16" s="253">
        <f t="shared" si="2"/>
        <v>1.4234434500600981</v>
      </c>
      <c r="N16" s="253">
        <f>N15/N9/10</f>
        <v>4.0218211779669018</v>
      </c>
      <c r="O16" s="253">
        <f t="shared" si="2"/>
        <v>2.5136241534109054</v>
      </c>
    </row>
    <row r="17" spans="1:15" ht="26.25" customHeight="1">
      <c r="A17" s="233">
        <v>12</v>
      </c>
      <c r="B17" s="240" t="s">
        <v>1495</v>
      </c>
      <c r="C17" s="233" t="s">
        <v>1496</v>
      </c>
      <c r="D17" s="253">
        <f>D16+D12</f>
        <v>3.669795619323136</v>
      </c>
      <c r="E17" s="253">
        <f>D17+E16</f>
        <v>4.8321650817576058</v>
      </c>
      <c r="F17" s="253">
        <f>E17+F16</f>
        <v>8.9289297514893153</v>
      </c>
      <c r="G17" s="253">
        <f>G16+G12</f>
        <v>5.9420551137410662</v>
      </c>
      <c r="H17" s="253">
        <f>H16+H12</f>
        <v>3.837208660346584</v>
      </c>
      <c r="I17" s="253">
        <f>H17+I16</f>
        <v>5.0927520806757594</v>
      </c>
      <c r="J17" s="253">
        <f>I17+J16</f>
        <v>9.3036125627293345</v>
      </c>
      <c r="K17" s="253">
        <f>K16+K12</f>
        <v>6.0668696906509538</v>
      </c>
      <c r="L17" s="253">
        <f>L16+L12</f>
        <v>3.8648882674946927</v>
      </c>
      <c r="M17" s="253">
        <f>L17+M16</f>
        <v>5.288331717554791</v>
      </c>
      <c r="N17" s="253">
        <f>M17+N16</f>
        <v>9.3101528955216928</v>
      </c>
      <c r="O17" s="253">
        <f>O16+O12</f>
        <v>6.1036241534109053</v>
      </c>
    </row>
    <row r="18" spans="1:15" ht="26.25" customHeight="1">
      <c r="A18" s="233">
        <v>13</v>
      </c>
      <c r="B18" s="240" t="s">
        <v>1497</v>
      </c>
      <c r="C18" s="233" t="s">
        <v>1498</v>
      </c>
      <c r="D18" s="253">
        <f>G18</f>
        <v>0.10534907982400168</v>
      </c>
      <c r="E18" s="253">
        <f>G18</f>
        <v>0.10534907982400168</v>
      </c>
      <c r="F18" s="253">
        <f>G18</f>
        <v>0.10534907982400168</v>
      </c>
      <c r="G18" s="253">
        <f>'F-6 New'!E19/G10/10</f>
        <v>0.10534907982400168</v>
      </c>
      <c r="H18" s="253">
        <f>K18</f>
        <v>0.12545941859867482</v>
      </c>
      <c r="I18" s="253">
        <f>K18</f>
        <v>0.12545941859867482</v>
      </c>
      <c r="J18" s="253">
        <f>K18</f>
        <v>0.12545941859867482</v>
      </c>
      <c r="K18" s="253">
        <f>'F-6 New'!I19/K10/10</f>
        <v>0.12545941859867482</v>
      </c>
      <c r="L18" s="253">
        <f>O18</f>
        <v>0.14633007632297448</v>
      </c>
      <c r="M18" s="253">
        <f>O18</f>
        <v>0.14633007632297448</v>
      </c>
      <c r="N18" s="253">
        <f>O18</f>
        <v>0.14633007632297448</v>
      </c>
      <c r="O18" s="253">
        <f>'F-6 New'!M19/O10/10</f>
        <v>0.14633007632297448</v>
      </c>
    </row>
    <row r="19" spans="1:15" ht="26.25" customHeight="1">
      <c r="A19" s="233">
        <v>14</v>
      </c>
      <c r="B19" s="240" t="s">
        <v>1499</v>
      </c>
      <c r="C19" s="233" t="s">
        <v>1500</v>
      </c>
      <c r="D19" s="253">
        <f>D17+D18</f>
        <v>3.7751446991471376</v>
      </c>
      <c r="E19" s="253">
        <f>E17+E18</f>
        <v>4.9375141615816078</v>
      </c>
      <c r="F19" s="253">
        <f>F17+F18</f>
        <v>9.0342788313133173</v>
      </c>
      <c r="G19" s="253">
        <f>G17+G18</f>
        <v>6.0474041935650682</v>
      </c>
      <c r="H19" s="253">
        <f t="shared" ref="H19:O19" si="3">H17+H18</f>
        <v>3.9626680789452591</v>
      </c>
      <c r="I19" s="253">
        <f t="shared" si="3"/>
        <v>5.2182114992744344</v>
      </c>
      <c r="J19" s="253">
        <f t="shared" si="3"/>
        <v>9.4290719813280095</v>
      </c>
      <c r="K19" s="253">
        <f t="shared" si="3"/>
        <v>6.1923291092496289</v>
      </c>
      <c r="L19" s="253">
        <f t="shared" si="3"/>
        <v>4.0112183438176672</v>
      </c>
      <c r="M19" s="253">
        <f t="shared" si="3"/>
        <v>5.4346617938777655</v>
      </c>
      <c r="N19" s="253">
        <f t="shared" si="3"/>
        <v>9.4564829718446681</v>
      </c>
      <c r="O19" s="253">
        <f t="shared" si="3"/>
        <v>6.2499542297338797</v>
      </c>
    </row>
    <row r="20" spans="1:15">
      <c r="B20" s="258"/>
      <c r="G20" s="247"/>
    </row>
    <row r="21" spans="1:15">
      <c r="B21" s="2601" t="s">
        <v>1501</v>
      </c>
      <c r="C21" s="2601"/>
      <c r="D21" s="2601"/>
      <c r="E21" s="2601"/>
      <c r="F21" s="2601"/>
      <c r="G21" s="2601"/>
      <c r="H21" s="2601"/>
      <c r="I21" s="2601"/>
      <c r="J21" s="2601"/>
      <c r="K21" s="2601"/>
      <c r="L21" s="2601"/>
      <c r="M21" s="2601"/>
      <c r="N21" s="2601"/>
      <c r="O21" s="2601"/>
    </row>
    <row r="23" spans="1:15">
      <c r="H23" s="247"/>
      <c r="I23" s="247"/>
      <c r="J23" s="247"/>
      <c r="K23" s="247"/>
      <c r="O23" s="247"/>
    </row>
    <row r="24" spans="1:15">
      <c r="K24" s="247"/>
      <c r="L24" s="247"/>
      <c r="M24" s="247"/>
      <c r="N24" s="247"/>
      <c r="O24" s="974">
        <f>+O19*O10</f>
        <v>43794.104282802109</v>
      </c>
    </row>
    <row r="25" spans="1:15">
      <c r="M25" s="247"/>
      <c r="N25" s="247"/>
    </row>
    <row r="26" spans="1:15">
      <c r="L26" s="247"/>
      <c r="M26" s="247"/>
    </row>
    <row r="27" spans="1:15">
      <c r="N27" s="247"/>
    </row>
  </sheetData>
  <mergeCells count="6">
    <mergeCell ref="B21:O21"/>
    <mergeCell ref="A1:O1"/>
    <mergeCell ref="A2:O2"/>
    <mergeCell ref="D3:G3"/>
    <mergeCell ref="H3:K3"/>
    <mergeCell ref="L3:O3"/>
  </mergeCells>
  <printOptions horizontalCentered="1"/>
  <pageMargins left="0.15748031496062992" right="0.15748031496062992" top="0.74803149606299213" bottom="0.74803149606299213" header="0.31496062992125984" footer="0.31496062992125984"/>
  <pageSetup paperSize="9" scale="80" orientation="landscape" blackAndWhite="1" r:id="rId1"/>
  <colBreaks count="1" manualBreakCount="1">
    <brk id="15" max="2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8000"/>
  </sheetPr>
  <dimension ref="A1:T84"/>
  <sheetViews>
    <sheetView view="pageBreakPreview" zoomScale="75" zoomScaleNormal="80" zoomScaleSheetLayoutView="75" workbookViewId="0">
      <pane xSplit="1" ySplit="5" topLeftCell="B6" activePane="bottomRight" state="frozen"/>
      <selection pane="bottomRight" activeCell="N84" sqref="N84"/>
      <selection pane="bottomLeft" activeCell="A5" sqref="A5"/>
      <selection pane="topRight" activeCell="B1" sqref="B1"/>
    </sheetView>
  </sheetViews>
  <sheetFormatPr defaultColWidth="14.7109375" defaultRowHeight="14.25"/>
  <cols>
    <col min="1" max="1" width="39.5703125" style="913" customWidth="1"/>
    <col min="2" max="2" width="16.42578125" style="913" customWidth="1"/>
    <col min="3" max="3" width="14" style="913" customWidth="1"/>
    <col min="4" max="4" width="18.7109375" style="913" customWidth="1"/>
    <col min="5" max="6" width="16.28515625" style="913" bestFit="1" customWidth="1"/>
    <col min="7" max="7" width="14" style="913" bestFit="1" customWidth="1"/>
    <col min="8" max="8" width="15.42578125" style="913" bestFit="1" customWidth="1"/>
    <col min="9" max="9" width="18.42578125" style="913" customWidth="1"/>
    <col min="10" max="10" width="16.140625" style="913" bestFit="1" customWidth="1"/>
    <col min="11" max="11" width="14.42578125" style="913" bestFit="1" customWidth="1"/>
    <col min="12" max="12" width="15.42578125" style="913" bestFit="1" customWidth="1"/>
    <col min="13" max="13" width="16.5703125" style="913" bestFit="1" customWidth="1"/>
    <col min="14" max="14" width="14.85546875" style="913" customWidth="1"/>
    <col min="15" max="15" width="19.140625" style="913" hidden="1" customWidth="1"/>
    <col min="16" max="16" width="23" style="913" hidden="1" customWidth="1"/>
    <col min="17" max="17" width="19.140625" style="913" hidden="1" customWidth="1"/>
    <col min="18" max="21" width="0" style="913" hidden="1" customWidth="1"/>
    <col min="22" max="16384" width="14.7109375" style="913"/>
  </cols>
  <sheetData>
    <row r="1" spans="1:20" ht="18.75" customHeight="1">
      <c r="A1" s="1200" t="s">
        <v>1502</v>
      </c>
      <c r="B1" s="1022"/>
      <c r="C1" s="1022"/>
      <c r="D1" s="1022"/>
      <c r="E1" s="1022"/>
      <c r="F1" s="1022"/>
      <c r="G1" s="1022"/>
      <c r="H1" s="1022"/>
      <c r="I1" s="1022"/>
      <c r="J1" s="1022"/>
      <c r="K1" s="1022"/>
      <c r="L1" s="2611" t="s">
        <v>1503</v>
      </c>
      <c r="M1" s="2611"/>
      <c r="N1" s="1023"/>
    </row>
    <row r="2" spans="1:20" ht="18.75" customHeight="1">
      <c r="A2" s="1023"/>
      <c r="B2" s="1023"/>
      <c r="C2" s="1023"/>
      <c r="D2" s="1023"/>
      <c r="E2" s="1023"/>
      <c r="F2" s="1023"/>
      <c r="G2" s="1023"/>
      <c r="H2" s="1023"/>
      <c r="I2" s="1023"/>
      <c r="J2" s="1023"/>
      <c r="K2" s="1023"/>
      <c r="L2" s="1023"/>
      <c r="M2" s="1023"/>
      <c r="N2" s="1023"/>
    </row>
    <row r="3" spans="1:20" ht="18" customHeight="1">
      <c r="A3" s="2604" t="s">
        <v>1504</v>
      </c>
      <c r="B3" s="2604"/>
      <c r="C3" s="2604"/>
      <c r="D3" s="2604"/>
      <c r="E3" s="2604"/>
      <c r="F3" s="2604"/>
      <c r="G3" s="2604"/>
      <c r="H3" s="2604"/>
      <c r="I3" s="2604"/>
      <c r="J3" s="2604"/>
      <c r="K3" s="2604"/>
      <c r="L3" s="2605" t="s">
        <v>1505</v>
      </c>
      <c r="M3" s="2605"/>
      <c r="N3" s="1024"/>
      <c r="O3" s="913">
        <f>13940.32-E8</f>
        <v>-4188.3826799999952</v>
      </c>
      <c r="P3" s="913">
        <v>153880.13174149996</v>
      </c>
    </row>
    <row r="4" spans="1:20" ht="26.25" customHeight="1">
      <c r="A4" s="1199" t="s">
        <v>1506</v>
      </c>
      <c r="B4" s="2606" t="s">
        <v>1507</v>
      </c>
      <c r="C4" s="2606"/>
      <c r="D4" s="2606"/>
      <c r="E4" s="2606"/>
      <c r="F4" s="2606" t="s">
        <v>1508</v>
      </c>
      <c r="G4" s="2606"/>
      <c r="H4" s="2606"/>
      <c r="I4" s="2606"/>
      <c r="J4" s="2606" t="s">
        <v>1509</v>
      </c>
      <c r="K4" s="2606"/>
      <c r="L4" s="2606"/>
      <c r="M4" s="2606"/>
      <c r="N4" s="1025"/>
      <c r="P4" s="913">
        <f>P3-E10</f>
        <v>-77350.884086483653</v>
      </c>
    </row>
    <row r="5" spans="1:20" ht="24" customHeight="1">
      <c r="A5" s="259"/>
      <c r="B5" s="1199" t="s">
        <v>271</v>
      </c>
      <c r="C5" s="1199" t="s">
        <v>259</v>
      </c>
      <c r="D5" s="1199" t="s">
        <v>232</v>
      </c>
      <c r="E5" s="1199" t="s">
        <v>274</v>
      </c>
      <c r="F5" s="1199" t="s">
        <v>271</v>
      </c>
      <c r="G5" s="1199" t="s">
        <v>259</v>
      </c>
      <c r="H5" s="1199" t="s">
        <v>232</v>
      </c>
      <c r="I5" s="2273" t="s">
        <v>274</v>
      </c>
      <c r="J5" s="1199" t="s">
        <v>271</v>
      </c>
      <c r="K5" s="1199" t="s">
        <v>259</v>
      </c>
      <c r="L5" s="1199" t="s">
        <v>232</v>
      </c>
      <c r="M5" s="1199" t="s">
        <v>274</v>
      </c>
      <c r="N5" s="1025"/>
      <c r="O5" s="913">
        <v>4369.9885247609454</v>
      </c>
      <c r="P5" s="913">
        <v>6597.3842215181694</v>
      </c>
      <c r="Q5" s="913">
        <f>P5+P4</f>
        <v>-70753.499864965488</v>
      </c>
    </row>
    <row r="6" spans="1:20" ht="24" customHeight="1" thickBot="1">
      <c r="A6" s="260" t="s">
        <v>1510</v>
      </c>
      <c r="B6" s="1199"/>
      <c r="C6" s="1199"/>
      <c r="D6" s="1199"/>
      <c r="E6" s="1199"/>
      <c r="F6" s="1199"/>
      <c r="G6" s="1199"/>
      <c r="H6" s="1199"/>
      <c r="I6" s="2273"/>
      <c r="J6" s="1199"/>
      <c r="K6" s="1199"/>
      <c r="L6" s="1199"/>
      <c r="M6" s="1199"/>
      <c r="N6" s="1025"/>
    </row>
    <row r="7" spans="1:20" s="1303" customFormat="1" ht="24" customHeight="1" thickBot="1">
      <c r="A7" s="1171" t="s">
        <v>1511</v>
      </c>
      <c r="B7" s="1169">
        <f>('F-5'!D10+'F-5'!D8)*0*10+E7*('F-5'!D10+'F-5'!D8)/'F-5'!$D$6</f>
        <v>87257.571516676908</v>
      </c>
      <c r="C7" s="1169">
        <f>('F-5'!E10+'F-5'!E8)*0*10+E7*('F-5'!E10+'F-5'!E8)/'F-5'!$D$6</f>
        <v>30637.297676261587</v>
      </c>
      <c r="D7" s="1169">
        <f>('F-5'!F10+'F-5'!F8)*0*10+E7*('F-5'!F10+'F-5'!F8)/'F-5'!$D$6</f>
        <v>95099.527955045138</v>
      </c>
      <c r="E7" s="1760">
        <v>212994.39714798363</v>
      </c>
      <c r="F7" s="1169">
        <f>('F-5'!H10+'F-5'!H8)*3.35*10</f>
        <v>111037.96099999998</v>
      </c>
      <c r="G7" s="1169">
        <f>('F-5'!I10+'F-5'!I8)*3.35*10</f>
        <v>34097.366640000007</v>
      </c>
      <c r="H7" s="1169">
        <f>('F-5'!J10+'F-5'!J8)*3.35*10</f>
        <v>113413.11636000004</v>
      </c>
      <c r="I7" s="1169">
        <f>F7+G7+H7</f>
        <v>258548.44400000002</v>
      </c>
      <c r="J7" s="1169">
        <f>('F-5'!L10+'F-5'!L8)*3.35*10</f>
        <v>119101.88</v>
      </c>
      <c r="K7" s="1169">
        <f>('F-5'!M10+'F-5'!M8)*3.35*10</f>
        <v>38240.598400000003</v>
      </c>
      <c r="L7" s="1169">
        <f>('F-5'!N10+'F-5'!N8)*3.35*10</f>
        <v>116053.86910000001</v>
      </c>
      <c r="M7" s="1169">
        <f>J7+K7+L7</f>
        <v>273396.34750000003</v>
      </c>
      <c r="N7" s="1302"/>
      <c r="O7" s="1303">
        <f>13663290949+20506190+61833237</f>
        <v>13745630376</v>
      </c>
      <c r="P7" s="2607"/>
      <c r="Q7" s="1304" t="s">
        <v>1512</v>
      </c>
      <c r="R7" s="2609" t="s">
        <v>1513</v>
      </c>
      <c r="S7" s="2609" t="s">
        <v>1514</v>
      </c>
      <c r="T7" s="2609" t="s">
        <v>880</v>
      </c>
    </row>
    <row r="8" spans="1:20" s="1303" customFormat="1" ht="24" customHeight="1" thickBot="1">
      <c r="A8" s="1171" t="s">
        <v>1515</v>
      </c>
      <c r="B8" s="1169">
        <f>E8/E7*B7</f>
        <v>7426.7989758699014</v>
      </c>
      <c r="C8" s="1169">
        <f t="shared" ref="C8:D8" si="0">F8/F7*C7</f>
        <v>2194.9108782993371</v>
      </c>
      <c r="D8" s="1169">
        <f t="shared" si="0"/>
        <v>6813.1005102121881</v>
      </c>
      <c r="E8" s="1760">
        <v>18128.702679999995</v>
      </c>
      <c r="F8" s="1169">
        <f>('F-5'!H10+'F-5'!H8)*0.24*10</f>
        <v>7954.9583999999977</v>
      </c>
      <c r="G8" s="1169">
        <f>('F-5'!I10+'F-5'!I8)*0.24*10</f>
        <v>2442.7964160000001</v>
      </c>
      <c r="H8" s="1169">
        <f>('F-5'!J10+'F-5'!J8)*0.24*10</f>
        <v>8125.1187840000021</v>
      </c>
      <c r="I8" s="1169">
        <f>F8+G8+H8</f>
        <v>18522.873599999999</v>
      </c>
      <c r="J8" s="1169">
        <f>('F-5'!L10+'F-5'!L8)*0.24*10</f>
        <v>8532.6719999999987</v>
      </c>
      <c r="K8" s="1169">
        <f>('F-5'!M10+'F-5'!M8)*0.24*10</f>
        <v>2739.6249600000006</v>
      </c>
      <c r="L8" s="1169">
        <f>('F-5'!N10+'F-5'!N8)*0.24*10</f>
        <v>8314.3070399999997</v>
      </c>
      <c r="M8" s="1169">
        <f>J8+K8+L8</f>
        <v>19586.603999999999</v>
      </c>
      <c r="N8" s="1302"/>
      <c r="P8" s="2608"/>
      <c r="Q8" s="2427" t="s">
        <v>460</v>
      </c>
      <c r="R8" s="2610"/>
      <c r="S8" s="2610"/>
      <c r="T8" s="2610"/>
    </row>
    <row r="9" spans="1:20" s="1303" customFormat="1" ht="24" customHeight="1" thickBot="1">
      <c r="A9" s="1171" t="s">
        <v>1516</v>
      </c>
      <c r="B9" s="1169">
        <f>('F-5'!D10+'F-5'!D8)*((E9)/'F-5'!$G$6)</f>
        <v>44.210027183256571</v>
      </c>
      <c r="C9" s="1169">
        <f>('F-5'!E10+'F-5'!E8)*((E9)/'F-5'!$G$6)</f>
        <v>15.522730458183529</v>
      </c>
      <c r="D9" s="1169">
        <f>('F-5'!F10+'F-5'!F8)*((E9)/'F-5'!$G$6)</f>
        <v>48.183242358559873</v>
      </c>
      <c r="E9" s="1760">
        <v>107.91599999999997</v>
      </c>
      <c r="F9" s="1169">
        <f>('F-5'!H10+'F-5'!H8)*(9.684*12/'F-5'!$K$6)</f>
        <v>49.907472550436232</v>
      </c>
      <c r="G9" s="1169">
        <f>('F-5'!I10+'F-5'!I8)*(9.684*12/'F-5'!$K$6)</f>
        <v>15.325510071532747</v>
      </c>
      <c r="H9" s="1169">
        <f>('F-5'!J10+'F-5'!J8)*(9.684*12/'F-5'!$K$6)</f>
        <v>50.97501737803104</v>
      </c>
      <c r="I9" s="1169">
        <f>F9+G9+H9</f>
        <v>116.20800000000001</v>
      </c>
      <c r="J9" s="1169">
        <f>('F-5'!L10+'F-5'!L8)*(9.684*12/'F-5'!$O$6)</f>
        <v>50.624638542546727</v>
      </c>
      <c r="K9" s="1169">
        <f>('F-5'!M10+'F-5'!M8)*(9.684*12/'F-5'!$O$6)</f>
        <v>16.254289786615384</v>
      </c>
      <c r="L9" s="1169">
        <f>('F-5'!N10+'F-5'!N8)*(9.684*12/'F-5'!$O$6)</f>
        <v>49.329071670837884</v>
      </c>
      <c r="M9" s="1169">
        <f>J9+K9+L9</f>
        <v>116.208</v>
      </c>
      <c r="N9" s="1302"/>
      <c r="P9" s="1305" t="s">
        <v>1517</v>
      </c>
      <c r="Q9" s="1313" t="s">
        <v>460</v>
      </c>
      <c r="R9" s="2428">
        <v>5364.41</v>
      </c>
      <c r="S9" s="2429">
        <f>'T-1'!K61</f>
        <v>6463.7109999999993</v>
      </c>
      <c r="T9" s="2430">
        <f>S9-R9</f>
        <v>1099.3009999999995</v>
      </c>
    </row>
    <row r="10" spans="1:20" s="1303" customFormat="1" ht="24" customHeight="1" thickBot="1">
      <c r="A10" s="1306" t="s">
        <v>1518</v>
      </c>
      <c r="B10" s="1170">
        <f t="shared" ref="B10:M10" si="1">SUM(B7:B9)</f>
        <v>94728.580519730065</v>
      </c>
      <c r="C10" s="1170">
        <f t="shared" si="1"/>
        <v>32847.731285019108</v>
      </c>
      <c r="D10" s="1170">
        <f t="shared" si="1"/>
        <v>101960.81170761588</v>
      </c>
      <c r="E10" s="1170">
        <f>SUM(E7:E9)</f>
        <v>231231.01582798362</v>
      </c>
      <c r="F10" s="1170">
        <f t="shared" si="1"/>
        <v>119042.82687255042</v>
      </c>
      <c r="G10" s="1170">
        <f t="shared" si="1"/>
        <v>36555.488566071537</v>
      </c>
      <c r="H10" s="1170">
        <f t="shared" si="1"/>
        <v>121589.21016137808</v>
      </c>
      <c r="I10" s="1170">
        <f>SUM(I7:I9)</f>
        <v>277187.52559999999</v>
      </c>
      <c r="J10" s="1170">
        <f t="shared" si="1"/>
        <v>127685.17663854254</v>
      </c>
      <c r="K10" s="1170">
        <f t="shared" si="1"/>
        <v>40996.477649786619</v>
      </c>
      <c r="L10" s="1170">
        <f t="shared" si="1"/>
        <v>124417.50521167085</v>
      </c>
      <c r="M10" s="1170">
        <f t="shared" si="1"/>
        <v>293099.15950000001</v>
      </c>
      <c r="N10" s="1302"/>
      <c r="O10" s="1307">
        <f>M10/M30</f>
        <v>0.702331515571891</v>
      </c>
      <c r="P10" s="1305" t="s">
        <v>1519</v>
      </c>
      <c r="Q10" s="1313" t="s">
        <v>1520</v>
      </c>
      <c r="R10" s="1315">
        <f>R11/R9*10</f>
        <v>4.9911546656575467</v>
      </c>
      <c r="S10" s="1315">
        <f>S11/S9*10</f>
        <v>5.7466244592238862</v>
      </c>
      <c r="T10" s="2431"/>
    </row>
    <row r="11" spans="1:20" s="1303" customFormat="1" ht="24" customHeight="1" thickBot="1">
      <c r="A11" s="1306" t="s">
        <v>1521</v>
      </c>
      <c r="B11" s="1169"/>
      <c r="C11" s="1169"/>
      <c r="D11" s="1169"/>
      <c r="E11" s="1169"/>
      <c r="F11" s="1169"/>
      <c r="G11" s="1169"/>
      <c r="H11" s="1169"/>
      <c r="I11" s="1169"/>
      <c r="J11" s="1169"/>
      <c r="K11" s="1169"/>
      <c r="L11" s="1169"/>
      <c r="M11" s="1169"/>
      <c r="N11" s="1302"/>
      <c r="O11" s="1308">
        <f>M10-M11</f>
        <v>293099.15950000001</v>
      </c>
      <c r="P11" s="1309" t="s">
        <v>1522</v>
      </c>
      <c r="Q11" s="2432" t="s">
        <v>1523</v>
      </c>
      <c r="R11" s="2433">
        <v>2677.46</v>
      </c>
      <c r="S11" s="2434">
        <f>+I31/100</f>
        <v>3714.4519729954477</v>
      </c>
      <c r="T11" s="2435">
        <f>S11-R11</f>
        <v>1036.9919729954477</v>
      </c>
    </row>
    <row r="12" spans="1:20" s="1303" customFormat="1" ht="24" customHeight="1" thickBot="1">
      <c r="A12" s="1171" t="s">
        <v>1524</v>
      </c>
      <c r="B12" s="1169">
        <f>$E$12*'F-12 New'!B168</f>
        <v>9838.6906785641077</v>
      </c>
      <c r="C12" s="1169">
        <f>$E$12*'F-12 New'!C168</f>
        <v>7753.3868463036288</v>
      </c>
      <c r="D12" s="1169">
        <f>$E$12*'F-12 New'!D168</f>
        <v>26439.446226532276</v>
      </c>
      <c r="E12" s="1169">
        <f>('F-12 New'!G42+'F-12 New'!G67)</f>
        <v>44031.523751400004</v>
      </c>
      <c r="F12" s="1169">
        <f>$I$12*'F-12 New'!H168</f>
        <v>14462.771009984755</v>
      </c>
      <c r="G12" s="1169">
        <f>$I$12*'F-12 New'!I168</f>
        <v>7264.4697379055669</v>
      </c>
      <c r="H12" s="1169">
        <f>$I$12*'F-12 New'!J168</f>
        <v>27107.478061232363</v>
      </c>
      <c r="I12" s="1169">
        <f>('F-12 New'!L42+'F-12 New'!L67)</f>
        <v>48834.718809122685</v>
      </c>
      <c r="J12" s="1169">
        <f>$M$12*'F-12 New'!M168</f>
        <v>16623.382266436725</v>
      </c>
      <c r="K12" s="1169">
        <f>$M$12*'F-12 New'!N168</f>
        <v>8207.4966839169811</v>
      </c>
      <c r="L12" s="1169">
        <f>$M$12*'F-12 New'!O168</f>
        <v>28440.861710605193</v>
      </c>
      <c r="M12" s="1169">
        <f>('F-12 New'!Q42+'F-12 New'!Q67)</f>
        <v>53271.740660958902</v>
      </c>
      <c r="N12" s="1310"/>
      <c r="O12" s="1303">
        <f>M12/M30</f>
        <v>0.12765107351174099</v>
      </c>
      <c r="P12" s="1311" t="s">
        <v>1525</v>
      </c>
      <c r="Q12" s="2432" t="s">
        <v>1523</v>
      </c>
      <c r="R12" s="2433">
        <v>13.97</v>
      </c>
      <c r="S12" s="2434">
        <f>I15/100</f>
        <v>37.144519729954474</v>
      </c>
      <c r="T12" s="2435">
        <f>S12-R12</f>
        <v>23.174519729954476</v>
      </c>
    </row>
    <row r="13" spans="1:20" s="1303" customFormat="1" ht="24" customHeight="1" thickBot="1">
      <c r="A13" s="1171" t="s">
        <v>1526</v>
      </c>
      <c r="B13" s="1169"/>
      <c r="C13" s="1169">
        <f>E13*0.6</f>
        <v>14251.8</v>
      </c>
      <c r="D13" s="1169">
        <f>E13*0.4</f>
        <v>9501.2000000000007</v>
      </c>
      <c r="E13" s="1169">
        <f>('F-13 New'!C23+'F-13 New'!C33)</f>
        <v>23753</v>
      </c>
      <c r="F13" s="1169"/>
      <c r="G13" s="1169">
        <f>I13*0.6</f>
        <v>15426.793524120538</v>
      </c>
      <c r="H13" s="1169">
        <f>I13-G13</f>
        <v>10284.52901608036</v>
      </c>
      <c r="I13" s="1169">
        <f>('F-13 New'!E23+'F-13 New'!E33)</f>
        <v>25711.322540200897</v>
      </c>
      <c r="J13" s="1169"/>
      <c r="K13" s="1169">
        <f>M13*0.6</f>
        <v>19286.751150632823</v>
      </c>
      <c r="L13" s="1169">
        <f>M13-K13</f>
        <v>12857.834100421882</v>
      </c>
      <c r="M13" s="1169">
        <f>('F-13 New'!F23+'F-13 New'!F33)</f>
        <v>32144.585251054705</v>
      </c>
      <c r="N13" s="1310"/>
      <c r="O13" s="1303" t="e">
        <f>M13-#REF!-#REF!</f>
        <v>#REF!</v>
      </c>
      <c r="P13" s="1309" t="s">
        <v>1527</v>
      </c>
      <c r="Q13" s="2432" t="s">
        <v>1523</v>
      </c>
      <c r="R13" s="2436">
        <f>+R11-R12</f>
        <v>2663.4900000000002</v>
      </c>
      <c r="S13" s="2434">
        <f>S11-S12</f>
        <v>3677.3074532654932</v>
      </c>
      <c r="T13" s="2435">
        <f>S13-R13</f>
        <v>1013.817453265493</v>
      </c>
    </row>
    <row r="14" spans="1:20" s="1303" customFormat="1" ht="24" customHeight="1" thickBot="1">
      <c r="A14" s="1171" t="s">
        <v>1528</v>
      </c>
      <c r="B14" s="1169">
        <f>$E$14*'F-14'!B75</f>
        <v>225.09906799799958</v>
      </c>
      <c r="C14" s="1169">
        <f>$E$14*'F-14'!C75</f>
        <v>2501.0717103039133</v>
      </c>
      <c r="D14" s="1169">
        <f>$E$14*'F-14'!D75</f>
        <v>8528.7826215980658</v>
      </c>
      <c r="E14" s="1169">
        <f>'F-14'!C66</f>
        <v>11254.95339989998</v>
      </c>
      <c r="F14" s="1169">
        <f>$I$14*'F-14'!B85</f>
        <v>246.2562342440001</v>
      </c>
      <c r="G14" s="1169">
        <f>$I$14*'F-14'!C85</f>
        <v>2550.2519561189533</v>
      </c>
      <c r="H14" s="1169">
        <f>$I$14*'F-14'!D85</f>
        <v>9516.3035218370514</v>
      </c>
      <c r="I14" s="1169">
        <f>'F-14'!E66</f>
        <v>12312.811712200004</v>
      </c>
      <c r="J14" s="1169">
        <f>$M$14*'F-14'!B93</f>
        <v>268.79014601198736</v>
      </c>
      <c r="K14" s="1169">
        <f>$M$14*'F-14'!C93</f>
        <v>2949.616902547044</v>
      </c>
      <c r="L14" s="1169">
        <f>$M$14*'F-14'!D93</f>
        <v>10221.100252040338</v>
      </c>
      <c r="M14" s="1169">
        <f>'F-14'!F66</f>
        <v>13439.507300599369</v>
      </c>
      <c r="N14" s="1310"/>
      <c r="O14" s="1303" t="e">
        <f>M14-#REF!-#REF!</f>
        <v>#REF!</v>
      </c>
      <c r="P14" s="1309" t="s">
        <v>1529</v>
      </c>
      <c r="Q14" s="2432" t="s">
        <v>1523</v>
      </c>
      <c r="R14" s="2433">
        <v>135.66</v>
      </c>
      <c r="S14" s="2434">
        <f>I29/100</f>
        <v>208.15922756000001</v>
      </c>
      <c r="T14" s="2435">
        <f>S14-R14</f>
        <v>72.499227560000008</v>
      </c>
    </row>
    <row r="15" spans="1:20" s="1303" customFormat="1" ht="24" customHeight="1" thickBot="1">
      <c r="A15" s="1171" t="s">
        <v>1530</v>
      </c>
      <c r="B15" s="1169"/>
      <c r="C15" s="1169">
        <v>0</v>
      </c>
      <c r="D15" s="1169">
        <f>E15-C15-B15</f>
        <v>3164.5313279760003</v>
      </c>
      <c r="E15" s="1169">
        <f>'F-22'!B4*1%</f>
        <v>3164.5313279760003</v>
      </c>
      <c r="F15" s="1169"/>
      <c r="G15" s="1169">
        <f>'T-7_Current_Year'!Z53*100*1%</f>
        <v>431.24396310537503</v>
      </c>
      <c r="H15" s="1169">
        <f>I15-G15</f>
        <v>3283.2080098900724</v>
      </c>
      <c r="I15" s="1169">
        <f>'F-22'!C4*1%</f>
        <v>3714.4519729954472</v>
      </c>
      <c r="J15" s="1169"/>
      <c r="K15" s="1169">
        <f>'T-7_Ensuing_Year'!Z53*100*1%</f>
        <v>514.59801174306233</v>
      </c>
      <c r="L15" s="1169">
        <f>M15-K15</f>
        <v>3534.3176342759734</v>
      </c>
      <c r="M15" s="1169">
        <f>'F-22'!D4*1%</f>
        <v>4048.9156460190356</v>
      </c>
      <c r="N15" s="1310"/>
      <c r="O15" s="1303" t="e">
        <f>M15-#REF!</f>
        <v>#REF!</v>
      </c>
      <c r="P15" s="1312" t="s">
        <v>1531</v>
      </c>
      <c r="Q15" s="2427" t="s">
        <v>1523</v>
      </c>
      <c r="R15" s="2437">
        <f>R13+R14</f>
        <v>2799.15</v>
      </c>
      <c r="S15" s="2438">
        <f>S13+S14</f>
        <v>3885.4666808254933</v>
      </c>
      <c r="T15" s="2435">
        <f>S15-R15</f>
        <v>1086.3166808254932</v>
      </c>
    </row>
    <row r="16" spans="1:20" s="1303" customFormat="1" ht="24" customHeight="1" thickBot="1">
      <c r="A16" s="1171" t="s">
        <v>1532</v>
      </c>
      <c r="B16" s="1169"/>
      <c r="C16" s="1169">
        <f>E16*0.6</f>
        <v>1643.4154398000003</v>
      </c>
      <c r="D16" s="1169">
        <f>E16-C16</f>
        <v>1095.6102932000001</v>
      </c>
      <c r="E16" s="1169">
        <f>'F-22'!B12-322.66</f>
        <v>2739.0257330000004</v>
      </c>
      <c r="F16" s="1169"/>
      <c r="G16" s="1169">
        <f>I16*0.6</f>
        <v>4144.8562275924569</v>
      </c>
      <c r="H16" s="1169">
        <f>I16-G16</f>
        <v>2763.2374850616379</v>
      </c>
      <c r="I16" s="1169">
        <f>'F-22'!C12</f>
        <v>6908.0937126540948</v>
      </c>
      <c r="J16" s="1169"/>
      <c r="K16" s="1169">
        <f>M16*0.6</f>
        <v>5837.6112089218113</v>
      </c>
      <c r="L16" s="1169">
        <f>M16-K16</f>
        <v>3891.7408059478748</v>
      </c>
      <c r="M16" s="1169">
        <f>'F-22'!D12</f>
        <v>9729.3520148696862</v>
      </c>
      <c r="N16" s="1310"/>
      <c r="O16" s="1303" t="e">
        <f>M16-#REF!-#REF!</f>
        <v>#REF!</v>
      </c>
      <c r="P16" s="1305" t="s">
        <v>1533</v>
      </c>
      <c r="Q16" s="1313" t="s">
        <v>469</v>
      </c>
      <c r="R16" s="2439">
        <v>0.1835</v>
      </c>
      <c r="S16" s="2440">
        <f>'T-1'!K64</f>
        <v>0.16250001295695291</v>
      </c>
      <c r="T16" s="1316"/>
    </row>
    <row r="17" spans="1:20" s="1303" customFormat="1" ht="24" customHeight="1" thickBot="1">
      <c r="A17" s="1171" t="s">
        <v>1534</v>
      </c>
      <c r="B17" s="1760"/>
      <c r="C17" s="1760">
        <f>E17*0.6</f>
        <v>2013.6316726199998</v>
      </c>
      <c r="D17" s="1760">
        <f>E17-C17</f>
        <v>1342.4211150800002</v>
      </c>
      <c r="E17" s="1760">
        <f>'F-22'!B14-'F-22'!B15-E18+727.1</f>
        <v>3356.0527877</v>
      </c>
      <c r="F17" s="1169"/>
      <c r="G17" s="1169">
        <f>I17*0.6</f>
        <v>5340.9010166021335</v>
      </c>
      <c r="H17" s="1169">
        <f>I17-G17</f>
        <v>3560.6006777347566</v>
      </c>
      <c r="I17" s="1169">
        <f>'Interest New'!C10</f>
        <v>8901.5016943368901</v>
      </c>
      <c r="J17" s="1169"/>
      <c r="K17" s="1169">
        <f>M17*0.6</f>
        <v>6828.5340969594208</v>
      </c>
      <c r="L17" s="1169">
        <f>M17-K17</f>
        <v>4552.3560646396136</v>
      </c>
      <c r="M17" s="1169">
        <f>'Interest New'!D10</f>
        <v>11380.890161599034</v>
      </c>
      <c r="N17" s="1310"/>
      <c r="O17" s="1303" t="e">
        <f>M17-#REF!-#REF!-#REF!-#REF!</f>
        <v>#REF!</v>
      </c>
      <c r="P17" s="1305" t="s">
        <v>1535</v>
      </c>
      <c r="Q17" s="1313" t="s">
        <v>460</v>
      </c>
      <c r="R17" s="2441">
        <v>6570</v>
      </c>
      <c r="S17" s="1315">
        <f>'T-1'!K62</f>
        <v>7717.8639999999996</v>
      </c>
      <c r="T17" s="2435">
        <f>S17-R17</f>
        <v>1147.8639999999996</v>
      </c>
    </row>
    <row r="18" spans="1:20" s="1303" customFormat="1" ht="24" customHeight="1" thickBot="1">
      <c r="A18" s="1171" t="s">
        <v>1536</v>
      </c>
      <c r="B18" s="1760">
        <v>2019.91</v>
      </c>
      <c r="C18" s="1760">
        <f>E18-B18-D18</f>
        <v>1482.91039</v>
      </c>
      <c r="D18" s="1760">
        <v>693.34</v>
      </c>
      <c r="E18" s="1760">
        <f>41.9616039*100</f>
        <v>4196.16039</v>
      </c>
      <c r="F18" s="1169">
        <f>I18*0.48</f>
        <v>2772.8651498914805</v>
      </c>
      <c r="G18" s="1169">
        <f>I18*0.32</f>
        <v>1848.5767665943204</v>
      </c>
      <c r="H18" s="1169">
        <f>I18-F18-G18</f>
        <v>1155.3604791214502</v>
      </c>
      <c r="I18" s="1169">
        <f>'Interest New'!C4</f>
        <v>5776.8023956072511</v>
      </c>
      <c r="J18" s="1169">
        <f>M18*0.5</f>
        <v>3158.4011978036256</v>
      </c>
      <c r="K18" s="1169">
        <f>M18*0.3</f>
        <v>1895.0407186821753</v>
      </c>
      <c r="L18" s="1169">
        <f>M18-J18-K18</f>
        <v>1263.3604791214502</v>
      </c>
      <c r="M18" s="1169">
        <f>'Interest New'!D4</f>
        <v>6316.8023956072511</v>
      </c>
      <c r="N18" s="1310"/>
      <c r="O18" s="1303" t="e">
        <f>M18-#REF!</f>
        <v>#REF!</v>
      </c>
      <c r="P18" s="1305" t="s">
        <v>1537</v>
      </c>
      <c r="Q18" s="1313" t="s">
        <v>1520</v>
      </c>
      <c r="R18" s="2441">
        <v>3.4129999999999998</v>
      </c>
      <c r="S18" s="1315">
        <f>S21/S17*10</f>
        <v>3.5915057015775349</v>
      </c>
      <c r="T18" s="1316"/>
    </row>
    <row r="19" spans="1:20" s="1303" customFormat="1" ht="24" customHeight="1" thickBot="1">
      <c r="A19" s="1171" t="s">
        <v>1538</v>
      </c>
      <c r="B19" s="1760">
        <f>B31/$E$31*$E$19</f>
        <v>2956.6757650828226</v>
      </c>
      <c r="C19" s="1760">
        <f>C31/$E$31*$E$19</f>
        <v>765.87108013309592</v>
      </c>
      <c r="D19" s="1760">
        <f>D31/$E$31*$E$19</f>
        <v>1976.8931547840812</v>
      </c>
      <c r="E19" s="1760">
        <v>5699.44</v>
      </c>
      <c r="F19" s="1169">
        <f>F31/$I$31*$I$19</f>
        <v>4445.3536907535154</v>
      </c>
      <c r="G19" s="1169">
        <f>G31/$I$31*$I$19</f>
        <v>941.48516697567061</v>
      </c>
      <c r="H19" s="1169">
        <f>H31/$I$31*$I$19</f>
        <v>2722.4953827694035</v>
      </c>
      <c r="I19" s="1169">
        <f>'Interest New'!H53</f>
        <v>8109.3342404985897</v>
      </c>
      <c r="J19" s="1169">
        <f>J31/$M$31*$M$19</f>
        <v>5588.4429661297218</v>
      </c>
      <c r="K19" s="1169">
        <f>K31/$M$31*$M$19</f>
        <v>1303.1721358462553</v>
      </c>
      <c r="L19" s="1169">
        <f>L31/$M$31*$M$19</f>
        <v>3361.8913824572742</v>
      </c>
      <c r="M19" s="1169">
        <f>'Interest New'!I53</f>
        <v>10253.50648443325</v>
      </c>
      <c r="N19" s="1310"/>
      <c r="O19" s="1303" t="e">
        <f>M19-#REF!-#REF!</f>
        <v>#REF!</v>
      </c>
      <c r="P19" s="1305"/>
      <c r="Q19" s="1313"/>
      <c r="R19" s="1314"/>
      <c r="S19" s="1315"/>
      <c r="T19" s="1316"/>
    </row>
    <row r="20" spans="1:20" s="1303" customFormat="1" ht="24" customHeight="1" thickBot="1">
      <c r="A20" s="1171" t="s">
        <v>1539</v>
      </c>
      <c r="B20" s="1760"/>
      <c r="C20" s="1760"/>
      <c r="D20" s="1760"/>
      <c r="E20" s="1760">
        <v>3499</v>
      </c>
      <c r="F20" s="1169">
        <f>F31/$I$31*$I$20</f>
        <v>1495.2499317956169</v>
      </c>
      <c r="G20" s="1169">
        <f>G31/$I$31*$I$20</f>
        <v>316.68023055963698</v>
      </c>
      <c r="H20" s="1169">
        <f>H31/$I$31*$I$20</f>
        <v>915.74513944014302</v>
      </c>
      <c r="I20" s="1169">
        <f>'Interest New'!H55</f>
        <v>2727.675301795397</v>
      </c>
      <c r="J20" s="1169">
        <f>J31/$M$31*$M$20</f>
        <v>1879.7422084389302</v>
      </c>
      <c r="K20" s="1169">
        <f>K31/$M$31*$M$20</f>
        <v>438.33813522985781</v>
      </c>
      <c r="L20" s="1169">
        <f>L31/$M$31*$M$20</f>
        <v>1130.8139261853485</v>
      </c>
      <c r="M20" s="1169">
        <f>'Interest New'!I55</f>
        <v>3448.8942698541359</v>
      </c>
      <c r="N20" s="1310"/>
      <c r="P20" s="1305"/>
      <c r="Q20" s="1313"/>
      <c r="R20" s="1314"/>
      <c r="S20" s="1315"/>
      <c r="T20" s="1316"/>
    </row>
    <row r="21" spans="1:20" s="1303" customFormat="1" ht="24" customHeight="1" thickBot="1">
      <c r="A21" s="1306" t="s">
        <v>1540</v>
      </c>
      <c r="B21" s="1760">
        <f>SUM(B12:B20)</f>
        <v>15040.37551164493</v>
      </c>
      <c r="C21" s="1760">
        <f t="shared" ref="C21:E21" si="2">SUM(C12:C20)</f>
        <v>30412.087139160638</v>
      </c>
      <c r="D21" s="1760">
        <f t="shared" si="2"/>
        <v>52742.224739170422</v>
      </c>
      <c r="E21" s="1760">
        <f t="shared" si="2"/>
        <v>101693.687389976</v>
      </c>
      <c r="F21" s="1169">
        <f>SUM(F12:F20)</f>
        <v>23422.496016669371</v>
      </c>
      <c r="G21" s="1169">
        <f t="shared" ref="G21:M21" si="3">SUM(G12:G20)</f>
        <v>38265.258589574652</v>
      </c>
      <c r="H21" s="1169">
        <f t="shared" si="3"/>
        <v>61308.95777316724</v>
      </c>
      <c r="I21" s="1169">
        <f t="shared" si="3"/>
        <v>122996.71237941127</v>
      </c>
      <c r="J21" s="1169">
        <f t="shared" si="3"/>
        <v>27518.758784820988</v>
      </c>
      <c r="K21" s="1169">
        <f t="shared" si="3"/>
        <v>47261.159044479427</v>
      </c>
      <c r="L21" s="1169">
        <f t="shared" si="3"/>
        <v>69254.276355694965</v>
      </c>
      <c r="M21" s="1169">
        <f t="shared" si="3"/>
        <v>144034.19418499537</v>
      </c>
      <c r="N21" s="1310"/>
      <c r="O21" s="1303">
        <f>M21/M30</f>
        <v>0.3451383281640692</v>
      </c>
      <c r="P21" s="1309" t="s">
        <v>1511</v>
      </c>
      <c r="Q21" s="2432" t="s">
        <v>1523</v>
      </c>
      <c r="R21" s="2433">
        <v>2183.23</v>
      </c>
      <c r="S21" s="2434">
        <f>I10/100</f>
        <v>2771.8752559999998</v>
      </c>
      <c r="T21" s="2435">
        <f t="shared" ref="T21:T29" si="4">S21-R21</f>
        <v>588.64525599999979</v>
      </c>
    </row>
    <row r="22" spans="1:20" s="1303" customFormat="1" ht="24" customHeight="1" thickBot="1">
      <c r="A22" s="1306" t="s">
        <v>1541</v>
      </c>
      <c r="B22" s="1169"/>
      <c r="C22" s="1169"/>
      <c r="D22" s="1169"/>
      <c r="E22" s="1169"/>
      <c r="F22" s="1169"/>
      <c r="G22" s="1169"/>
      <c r="H22" s="1169"/>
      <c r="I22" s="1169"/>
      <c r="J22" s="1169"/>
      <c r="K22" s="1169"/>
      <c r="L22" s="1169"/>
      <c r="M22" s="1169"/>
      <c r="N22" s="1302"/>
      <c r="P22" s="1309" t="s">
        <v>1542</v>
      </c>
      <c r="Q22" s="2432" t="s">
        <v>1523</v>
      </c>
      <c r="R22" s="2442">
        <v>483.21999999999997</v>
      </c>
      <c r="S22" s="2434">
        <f>I21/100-S23-S24-S28-S12</f>
        <v>895.86528363319007</v>
      </c>
      <c r="T22" s="2435">
        <f t="shared" si="4"/>
        <v>412.6452836331901</v>
      </c>
    </row>
    <row r="23" spans="1:20" s="1303" customFormat="1" ht="24" customHeight="1" thickBot="1">
      <c r="A23" s="1171" t="s">
        <v>1543</v>
      </c>
      <c r="B23" s="1169"/>
      <c r="C23" s="1169"/>
      <c r="D23" s="1169"/>
      <c r="E23" s="1169"/>
      <c r="F23" s="1169">
        <f>F31/$I$31*$I$23</f>
        <v>102.08587585543489</v>
      </c>
      <c r="G23" s="1169">
        <f>G31/$I$31*$I$23</f>
        <v>21.620852818872113</v>
      </c>
      <c r="H23" s="1169">
        <f>H31/$I$31*$I$23</f>
        <v>62.521082684712397</v>
      </c>
      <c r="I23" s="1169">
        <f>I43</f>
        <v>186.2278113590194</v>
      </c>
      <c r="J23" s="1169">
        <f>J31/$M$31*$M$23</f>
        <v>503.5493465779744</v>
      </c>
      <c r="K23" s="1169">
        <f>K31/$M$31*$M$23</f>
        <v>117.4229533093839</v>
      </c>
      <c r="L23" s="1169">
        <f>L31/$M$31*$M$23</f>
        <v>302.92484313835394</v>
      </c>
      <c r="M23" s="1169">
        <f>I50</f>
        <v>923.89714302571213</v>
      </c>
      <c r="N23" s="1310"/>
      <c r="P23" s="1317" t="s">
        <v>1544</v>
      </c>
      <c r="Q23" s="2432" t="s">
        <v>1523</v>
      </c>
      <c r="R23" s="2433">
        <v>46.85</v>
      </c>
      <c r="S23" s="2434">
        <f>(I17+I18)/100</f>
        <v>146.7830408994414</v>
      </c>
      <c r="T23" s="2435">
        <f t="shared" si="4"/>
        <v>99.933040899441409</v>
      </c>
    </row>
    <row r="24" spans="1:20" s="1303" customFormat="1" ht="24" customHeight="1" thickBot="1">
      <c r="A24" s="1171" t="s">
        <v>1545</v>
      </c>
      <c r="B24" s="1169"/>
      <c r="C24" s="1169"/>
      <c r="D24" s="1169"/>
      <c r="E24" s="1169"/>
      <c r="F24" s="1169"/>
      <c r="G24" s="1169"/>
      <c r="H24" s="1169"/>
      <c r="I24" s="1169"/>
      <c r="J24" s="1169"/>
      <c r="K24" s="1169">
        <f>M24/('T-7_Ensuing_Year'!Z36+'T-7_Ensuing_Year'!Z53)*'T-7_Ensuing_Year'!Z53</f>
        <v>0</v>
      </c>
      <c r="L24" s="1169">
        <f>M24-K24</f>
        <v>0</v>
      </c>
      <c r="M24" s="1169"/>
      <c r="N24" s="1302"/>
      <c r="O24" s="1303" t="e">
        <f>M24-#REF!-#REF!</f>
        <v>#REF!</v>
      </c>
      <c r="P24" s="1309" t="s">
        <v>1532</v>
      </c>
      <c r="Q24" s="2432" t="s">
        <v>1523</v>
      </c>
      <c r="R24" s="2433">
        <v>63.58</v>
      </c>
      <c r="S24" s="2434">
        <f>I16/100</f>
        <v>69.080937126540945</v>
      </c>
      <c r="T24" s="2435">
        <f t="shared" si="4"/>
        <v>5.500937126540947</v>
      </c>
    </row>
    <row r="25" spans="1:20" s="1303" customFormat="1" ht="24" customHeight="1" thickBot="1">
      <c r="A25" s="1171" t="s">
        <v>1546</v>
      </c>
      <c r="B25" s="1169"/>
      <c r="C25" s="1169">
        <f>E25*0.6</f>
        <v>0</v>
      </c>
      <c r="D25" s="1169">
        <f>E25-C25</f>
        <v>0</v>
      </c>
      <c r="E25" s="1169">
        <f>'F-22'!B23</f>
        <v>0</v>
      </c>
      <c r="F25" s="1169"/>
      <c r="G25" s="1169">
        <f>I25*0.6</f>
        <v>0</v>
      </c>
      <c r="H25" s="1169">
        <f>I25-G25</f>
        <v>0</v>
      </c>
      <c r="I25" s="1169">
        <f>'F-22'!C23</f>
        <v>0</v>
      </c>
      <c r="J25" s="1169"/>
      <c r="K25" s="1169">
        <f>M25*0.6</f>
        <v>0</v>
      </c>
      <c r="L25" s="1169">
        <f>M25-K25</f>
        <v>0</v>
      </c>
      <c r="M25" s="1169">
        <f>'F-22'!D23</f>
        <v>0</v>
      </c>
      <c r="N25" s="1302"/>
      <c r="O25" s="1303" t="e">
        <f>M25-#REF!-#REF!</f>
        <v>#REF!</v>
      </c>
      <c r="P25" s="1312" t="s">
        <v>1547</v>
      </c>
      <c r="Q25" s="2427" t="s">
        <v>1523</v>
      </c>
      <c r="R25" s="2438">
        <f>R21+R22+R23+R24</f>
        <v>2776.8799999999997</v>
      </c>
      <c r="S25" s="2438">
        <f>S21+S22+S23+S24</f>
        <v>3883.604517659172</v>
      </c>
      <c r="T25" s="2435">
        <f t="shared" si="4"/>
        <v>1106.7245176591723</v>
      </c>
    </row>
    <row r="26" spans="1:20" s="1303" customFormat="1" ht="24" customHeight="1" thickBot="1">
      <c r="A26" s="1171" t="s">
        <v>1548</v>
      </c>
      <c r="B26" s="1169">
        <f>'F-5'!D10/'F-5'!$G$10*'F-6 New'!$E$26</f>
        <v>0</v>
      </c>
      <c r="C26" s="1169">
        <f>'F-5'!E10/'F-5'!$G$10*'F-6 New'!$E$26</f>
        <v>0</v>
      </c>
      <c r="D26" s="1169">
        <f>'F-5'!F10/'F-5'!$G$10*'F-6 New'!$E$26</f>
        <v>0</v>
      </c>
      <c r="E26" s="1169">
        <f>'F-22'!B21</f>
        <v>0</v>
      </c>
      <c r="F26" s="1169"/>
      <c r="G26" s="1169"/>
      <c r="H26" s="1169"/>
      <c r="I26" s="1169"/>
      <c r="J26" s="1169"/>
      <c r="K26" s="1169"/>
      <c r="L26" s="1169"/>
      <c r="M26" s="1169"/>
      <c r="N26" s="1302"/>
      <c r="P26" s="1312"/>
      <c r="Q26" s="2427"/>
      <c r="R26" s="2438"/>
      <c r="S26" s="2438"/>
      <c r="T26" s="2435"/>
    </row>
    <row r="27" spans="1:20" s="1303" customFormat="1" ht="24" customHeight="1" thickBot="1">
      <c r="A27" s="1306" t="s">
        <v>1549</v>
      </c>
      <c r="B27" s="1169">
        <f>SUM(B23:B26)</f>
        <v>0</v>
      </c>
      <c r="C27" s="1169">
        <f>SUM(C23:C26)</f>
        <v>0</v>
      </c>
      <c r="D27" s="1169">
        <f>SUM(D23:D26)</f>
        <v>0</v>
      </c>
      <c r="E27" s="1169">
        <f>SUM(E23:E26)</f>
        <v>0</v>
      </c>
      <c r="F27" s="1169">
        <f t="shared" ref="F27:M27" si="5">SUM(F23:F25)</f>
        <v>102.08587585543489</v>
      </c>
      <c r="G27" s="1169">
        <f t="shared" si="5"/>
        <v>21.620852818872113</v>
      </c>
      <c r="H27" s="1169">
        <f t="shared" si="5"/>
        <v>62.521082684712397</v>
      </c>
      <c r="I27" s="1169">
        <f>I23</f>
        <v>186.2278113590194</v>
      </c>
      <c r="J27" s="1169">
        <f t="shared" si="5"/>
        <v>503.5493465779744</v>
      </c>
      <c r="K27" s="1169">
        <f t="shared" si="5"/>
        <v>117.4229533093839</v>
      </c>
      <c r="L27" s="1169">
        <f t="shared" si="5"/>
        <v>302.92484313835394</v>
      </c>
      <c r="M27" s="1169">
        <f t="shared" si="5"/>
        <v>923.89714302571213</v>
      </c>
      <c r="N27" s="1310"/>
      <c r="P27" s="1309" t="s">
        <v>1550</v>
      </c>
      <c r="Q27" s="2432" t="s">
        <v>1523</v>
      </c>
      <c r="R27" s="2433">
        <v>0</v>
      </c>
      <c r="S27" s="2434">
        <f>I25/100</f>
        <v>0</v>
      </c>
      <c r="T27" s="2435">
        <f t="shared" si="4"/>
        <v>0</v>
      </c>
    </row>
    <row r="28" spans="1:20" s="1303" customFormat="1" ht="24" customHeight="1" thickBot="1">
      <c r="A28" s="1306" t="s">
        <v>1551</v>
      </c>
      <c r="B28" s="1169">
        <f t="shared" ref="B28:M28" si="6">B27+B21+B10</f>
        <v>109768.956031375</v>
      </c>
      <c r="C28" s="1169">
        <f t="shared" si="6"/>
        <v>63259.818424179743</v>
      </c>
      <c r="D28" s="1169">
        <f t="shared" si="6"/>
        <v>154703.03644678631</v>
      </c>
      <c r="E28" s="1169">
        <f>E27+E21+E10</f>
        <v>332924.70321795961</v>
      </c>
      <c r="F28" s="1169">
        <f t="shared" si="6"/>
        <v>142567.40876507523</v>
      </c>
      <c r="G28" s="1169">
        <f t="shared" si="6"/>
        <v>74842.36800846507</v>
      </c>
      <c r="H28" s="1169">
        <f t="shared" si="6"/>
        <v>182960.68901723003</v>
      </c>
      <c r="I28" s="1169">
        <f t="shared" si="6"/>
        <v>400370.46579077025</v>
      </c>
      <c r="J28" s="1169">
        <f t="shared" si="6"/>
        <v>155707.48476994151</v>
      </c>
      <c r="K28" s="1169">
        <f t="shared" si="6"/>
        <v>88375.059647575428</v>
      </c>
      <c r="L28" s="1169">
        <f t="shared" si="6"/>
        <v>193974.70641050418</v>
      </c>
      <c r="M28" s="1169">
        <f t="shared" si="6"/>
        <v>438057.25082802109</v>
      </c>
      <c r="N28" s="1310"/>
      <c r="P28" s="1309" t="s">
        <v>1552</v>
      </c>
      <c r="Q28" s="2432" t="s">
        <v>1523</v>
      </c>
      <c r="R28" s="2433">
        <v>10.54</v>
      </c>
      <c r="S28" s="2434">
        <f>I19/100</f>
        <v>81.09334240498589</v>
      </c>
      <c r="T28" s="2435">
        <f t="shared" si="4"/>
        <v>70.553342404985898</v>
      </c>
    </row>
    <row r="29" spans="1:20" s="1303" customFormat="1" ht="24" customHeight="1" thickBot="1">
      <c r="A29" s="1171" t="s">
        <v>1553</v>
      </c>
      <c r="B29" s="1169">
        <f>B31/$E$31*$E$29</f>
        <v>9303.2525363205132</v>
      </c>
      <c r="C29" s="1169">
        <f>C31/$E$31*$E$29</f>
        <v>2409.8320664332859</v>
      </c>
      <c r="D29" s="1169">
        <f>D31/$E$31*$E$29</f>
        <v>6220.3426136462003</v>
      </c>
      <c r="E29" s="1169">
        <f>'F-22'!B5-6730.59+2190</f>
        <v>17933.427216399999</v>
      </c>
      <c r="F29" s="1169">
        <f>F31/$I$31*$I$29</f>
        <v>11410.818238037673</v>
      </c>
      <c r="G29" s="1169">
        <f>G31/$I$31*$I$29</f>
        <v>2416.7067148141591</v>
      </c>
      <c r="H29" s="1169">
        <f>H31/$I$31*$I$29</f>
        <v>6988.3978031481665</v>
      </c>
      <c r="I29" s="1169">
        <f>'F-22'!C5</f>
        <v>20815.922756</v>
      </c>
      <c r="J29" s="1169">
        <f>J31/$M$31*$M$29</f>
        <v>11300.68681664973</v>
      </c>
      <c r="K29" s="1169">
        <f>K31/$M$31*$M$29</f>
        <v>2635.2134690536277</v>
      </c>
      <c r="L29" s="1169">
        <f>L31/$M$31*$M$29</f>
        <v>6798.2588092966444</v>
      </c>
      <c r="M29" s="1169">
        <f>'F-22'!D5</f>
        <v>20734.159094999999</v>
      </c>
      <c r="N29" s="1310"/>
      <c r="P29" s="1312" t="s">
        <v>1554</v>
      </c>
      <c r="Q29" s="2443" t="s">
        <v>1523</v>
      </c>
      <c r="R29" s="2444">
        <f>R15-R25-R27-R28</f>
        <v>11.730000000000437</v>
      </c>
      <c r="S29" s="2444">
        <f>S15-S25-S27-S28</f>
        <v>-79.231179238664538</v>
      </c>
      <c r="T29" s="2435">
        <f t="shared" si="4"/>
        <v>-90.961179238664982</v>
      </c>
    </row>
    <row r="30" spans="1:20" s="1303" customFormat="1" ht="24" customHeight="1">
      <c r="A30" s="1306" t="s">
        <v>1555</v>
      </c>
      <c r="B30" s="1169">
        <f t="shared" ref="B30:M30" si="7">B28-B29</f>
        <v>100465.70349505448</v>
      </c>
      <c r="C30" s="1169">
        <f t="shared" si="7"/>
        <v>60849.986357746457</v>
      </c>
      <c r="D30" s="1169">
        <f t="shared" si="7"/>
        <v>148482.6938331401</v>
      </c>
      <c r="E30" s="1169">
        <f t="shared" si="7"/>
        <v>314991.27600155963</v>
      </c>
      <c r="F30" s="1169">
        <f t="shared" si="7"/>
        <v>131156.59052703757</v>
      </c>
      <c r="G30" s="1169">
        <f t="shared" si="7"/>
        <v>72425.661293650905</v>
      </c>
      <c r="H30" s="1169">
        <f t="shared" si="7"/>
        <v>175972.29121408187</v>
      </c>
      <c r="I30" s="1169">
        <f t="shared" si="7"/>
        <v>379554.54303477023</v>
      </c>
      <c r="J30" s="1169">
        <f t="shared" si="7"/>
        <v>144406.7979532918</v>
      </c>
      <c r="K30" s="1169">
        <f t="shared" si="7"/>
        <v>85739.846178521795</v>
      </c>
      <c r="L30" s="1169">
        <f t="shared" si="7"/>
        <v>187176.44760120753</v>
      </c>
      <c r="M30" s="1169">
        <f t="shared" si="7"/>
        <v>417323.09173302108</v>
      </c>
      <c r="N30" s="1310"/>
    </row>
    <row r="31" spans="1:20" s="1303" customFormat="1" ht="24" customHeight="1">
      <c r="A31" s="1171" t="s">
        <v>1556</v>
      </c>
      <c r="B31" s="1169">
        <f>+'T-6_22-23'!I60*100</f>
        <v>164165.13000000003</v>
      </c>
      <c r="C31" s="1169">
        <f>+'T-6_22-23'!I50*100</f>
        <v>42523.87999999999</v>
      </c>
      <c r="D31" s="1169">
        <f>E31-B31-C31</f>
        <v>109764.12279759998</v>
      </c>
      <c r="E31" s="1169">
        <f>'F-22'!B4+'F-22'!B6</f>
        <v>316453.1327976</v>
      </c>
      <c r="F31" s="1169">
        <f>('T-7_Current_Year'!Z63*100)</f>
        <v>203617.85934065498</v>
      </c>
      <c r="G31" s="1169">
        <f>('T-7_Current_Year'!Z53*100)</f>
        <v>43124.396310537501</v>
      </c>
      <c r="H31" s="1169">
        <f>('T-7_Current_Year'!Z36*100)</f>
        <v>124702.94164835227</v>
      </c>
      <c r="I31" s="1169">
        <f>+F31+G31+H31</f>
        <v>371445.19729954476</v>
      </c>
      <c r="J31" s="1169">
        <f>'T-7_Ensuing_Year'!Z63*100</f>
        <v>220677.03567360004</v>
      </c>
      <c r="K31" s="1169">
        <f>'T-7_Ensuing_Year'!Z53*100</f>
        <v>51459.801174306231</v>
      </c>
      <c r="L31" s="1169">
        <f>'T-7_Ensuing_Year'!Z36*100</f>
        <v>132754.72775399731</v>
      </c>
      <c r="M31" s="1169">
        <f>'T-7_Ensuing_Year'!Z65*100</f>
        <v>404891.56460190355</v>
      </c>
      <c r="N31" s="1310"/>
      <c r="O31" s="1303">
        <v>182181.48019038278</v>
      </c>
    </row>
    <row r="32" spans="1:20" s="1303" customFormat="1" ht="24" customHeight="1" thickBot="1">
      <c r="A32" s="1306" t="s">
        <v>1557</v>
      </c>
      <c r="B32" s="1169">
        <f t="shared" ref="B32:M32" si="8">B31-B30</f>
        <v>63699.426504945557</v>
      </c>
      <c r="C32" s="1169">
        <f t="shared" si="8"/>
        <v>-18326.106357746467</v>
      </c>
      <c r="D32" s="1169">
        <f t="shared" si="8"/>
        <v>-38718.571035540124</v>
      </c>
      <c r="E32" s="1169">
        <f t="shared" si="8"/>
        <v>1461.8567960403743</v>
      </c>
      <c r="F32" s="1169">
        <f t="shared" si="8"/>
        <v>72461.268813617411</v>
      </c>
      <c r="G32" s="1169">
        <f t="shared" si="8"/>
        <v>-29301.264983113404</v>
      </c>
      <c r="H32" s="1169">
        <f t="shared" si="8"/>
        <v>-51269.349565729601</v>
      </c>
      <c r="I32" s="1169">
        <f t="shared" si="8"/>
        <v>-8109.3457352254773</v>
      </c>
      <c r="J32" s="1169">
        <f t="shared" si="8"/>
        <v>76270.237720308243</v>
      </c>
      <c r="K32" s="1169">
        <f t="shared" si="8"/>
        <v>-34280.045004215564</v>
      </c>
      <c r="L32" s="1169">
        <f t="shared" si="8"/>
        <v>-54421.719847210217</v>
      </c>
      <c r="M32" s="1169">
        <f t="shared" si="8"/>
        <v>-12431.527131117531</v>
      </c>
      <c r="N32" s="1302"/>
      <c r="O32" s="1318">
        <f>M30-O31</f>
        <v>235141.6115426383</v>
      </c>
    </row>
    <row r="33" spans="1:17" s="1303" customFormat="1" ht="24" customHeight="1" thickBot="1">
      <c r="A33" s="1171" t="s">
        <v>1558</v>
      </c>
      <c r="B33" s="1169"/>
      <c r="C33" s="1169"/>
      <c r="D33" s="1169"/>
      <c r="E33" s="1169"/>
      <c r="F33" s="1169"/>
      <c r="G33" s="1169"/>
      <c r="H33" s="1169"/>
      <c r="I33" s="1169"/>
      <c r="J33" s="1169"/>
      <c r="K33" s="1169"/>
      <c r="L33" s="1169"/>
      <c r="M33" s="1169"/>
      <c r="N33" s="1302"/>
      <c r="O33" s="1303">
        <f>'F-7'!L35-'F-6 New'!O32</f>
        <v>-202092.13331652078</v>
      </c>
      <c r="P33" s="1319"/>
      <c r="Q33" s="1320" t="s">
        <v>1523</v>
      </c>
    </row>
    <row r="34" spans="1:17" s="1303" customFormat="1" ht="24" customHeight="1">
      <c r="A34" s="1306" t="s">
        <v>1559</v>
      </c>
      <c r="B34" s="1169">
        <f>B32</f>
        <v>63699.426504945557</v>
      </c>
      <c r="C34" s="1169">
        <f t="shared" ref="C34:M34" si="9">C32</f>
        <v>-18326.106357746467</v>
      </c>
      <c r="D34" s="1169">
        <f t="shared" si="9"/>
        <v>-38718.571035540124</v>
      </c>
      <c r="E34" s="1170">
        <f t="shared" si="9"/>
        <v>1461.8567960403743</v>
      </c>
      <c r="F34" s="1169">
        <f>F32</f>
        <v>72461.268813617411</v>
      </c>
      <c r="G34" s="1169">
        <f t="shared" si="9"/>
        <v>-29301.264983113404</v>
      </c>
      <c r="H34" s="1169">
        <f t="shared" si="9"/>
        <v>-51269.349565729601</v>
      </c>
      <c r="I34" s="1170">
        <f t="shared" si="9"/>
        <v>-8109.3457352254773</v>
      </c>
      <c r="J34" s="1169">
        <f>J32</f>
        <v>76270.237720308243</v>
      </c>
      <c r="K34" s="1169">
        <f t="shared" si="9"/>
        <v>-34280.045004215564</v>
      </c>
      <c r="L34" s="1169">
        <f t="shared" si="9"/>
        <v>-54421.719847210217</v>
      </c>
      <c r="M34" s="1172">
        <f t="shared" si="9"/>
        <v>-12431.527131117531</v>
      </c>
      <c r="N34" s="1321"/>
      <c r="O34" s="1303">
        <f>O33+O10</f>
        <v>-202091.43098500519</v>
      </c>
      <c r="P34" s="1322" t="s">
        <v>1506</v>
      </c>
      <c r="Q34" s="1323">
        <f>ROUND(((M28-M19-M27-M20)/100),2)</f>
        <v>4234.3100000000004</v>
      </c>
    </row>
    <row r="35" spans="1:17" ht="24" customHeight="1">
      <c r="A35" s="914" t="s">
        <v>1560</v>
      </c>
      <c r="B35" s="1016"/>
      <c r="C35" s="1016"/>
      <c r="D35" s="1016"/>
      <c r="E35" s="1017"/>
      <c r="F35" s="1016"/>
      <c r="G35" s="1016"/>
      <c r="H35" s="1016"/>
      <c r="I35" s="1016"/>
      <c r="J35" s="1016"/>
      <c r="K35" s="1016"/>
      <c r="L35" s="1016"/>
      <c r="M35" s="1016"/>
      <c r="N35" s="915"/>
      <c r="P35" s="1067" t="s">
        <v>1561</v>
      </c>
      <c r="Q35" s="1068">
        <f>ROUND((M19/100),2)</f>
        <v>102.54</v>
      </c>
    </row>
    <row r="36" spans="1:17" ht="24" customHeight="1">
      <c r="A36" s="914"/>
      <c r="B36" s="1016"/>
      <c r="C36" s="1016"/>
      <c r="D36" s="1016"/>
      <c r="E36" s="1017"/>
      <c r="F36" s="1016"/>
      <c r="G36" s="1157"/>
      <c r="H36" s="1157"/>
      <c r="I36" s="1157"/>
      <c r="J36" s="1157"/>
      <c r="K36" s="1157"/>
      <c r="L36" s="1157"/>
      <c r="M36" s="1157"/>
      <c r="N36" s="915"/>
      <c r="P36" s="1067" t="s">
        <v>1562</v>
      </c>
      <c r="Q36" s="1068">
        <f>ROUND((M20/100),2)</f>
        <v>34.49</v>
      </c>
    </row>
    <row r="37" spans="1:17">
      <c r="P37" s="1066" t="s">
        <v>1563</v>
      </c>
      <c r="Q37" s="1068">
        <f>ROUND((M23/100),2)</f>
        <v>9.24</v>
      </c>
    </row>
    <row r="38" spans="1:17" ht="15">
      <c r="F38" s="914" t="s">
        <v>1564</v>
      </c>
      <c r="P38" s="1066" t="s">
        <v>1565</v>
      </c>
      <c r="Q38" s="1069">
        <f>SUM(Q34:Q37)</f>
        <v>4380.58</v>
      </c>
    </row>
    <row r="39" spans="1:17">
      <c r="F39" s="259" t="s">
        <v>173</v>
      </c>
      <c r="G39" s="259"/>
      <c r="H39" s="259"/>
      <c r="J39" s="259"/>
      <c r="K39" s="259"/>
      <c r="L39" s="259"/>
      <c r="P39" s="1066" t="s">
        <v>1566</v>
      </c>
      <c r="Q39" s="1068">
        <f>ROUND((M31/100),2)</f>
        <v>4048.92</v>
      </c>
    </row>
    <row r="40" spans="1:17">
      <c r="F40" s="259" t="s">
        <v>1567</v>
      </c>
      <c r="G40" s="259"/>
      <c r="H40" s="1287">
        <f>-E34</f>
        <v>-1461.8567960403743</v>
      </c>
      <c r="I40" s="1291">
        <v>-1461.8567960403743</v>
      </c>
      <c r="J40" s="259"/>
      <c r="K40" s="259"/>
      <c r="L40" s="1064"/>
      <c r="P40" s="1066" t="s">
        <v>1568</v>
      </c>
      <c r="Q40" s="1068">
        <f>ROUND((M29/100),2)</f>
        <v>207.34</v>
      </c>
    </row>
    <row r="41" spans="1:17">
      <c r="F41" s="259" t="s">
        <v>1569</v>
      </c>
      <c r="G41" s="259"/>
      <c r="H41" s="1287">
        <f>-I34-I23</f>
        <v>7923.1179238664581</v>
      </c>
      <c r="I41" s="1291">
        <v>7923.1179238665045</v>
      </c>
      <c r="J41" s="259"/>
      <c r="K41" s="259"/>
      <c r="L41" s="259"/>
      <c r="P41" s="1066" t="s">
        <v>1565</v>
      </c>
      <c r="Q41" s="1069">
        <f>+Q39+Q40</f>
        <v>4256.26</v>
      </c>
    </row>
    <row r="42" spans="1:17" ht="15.75" thickBot="1">
      <c r="F42" s="260" t="s">
        <v>1570</v>
      </c>
      <c r="G42" s="260"/>
      <c r="H42" s="1287">
        <f>H40+H41</f>
        <v>6461.2611278260838</v>
      </c>
      <c r="I42" s="1291">
        <v>6461.2611278261302</v>
      </c>
      <c r="J42" s="260"/>
      <c r="K42" s="260"/>
      <c r="L42" s="260"/>
      <c r="P42" s="1070" t="s">
        <v>1571</v>
      </c>
      <c r="Q42" s="1071">
        <f>+Q41-Q38</f>
        <v>-124.31999999999971</v>
      </c>
    </row>
    <row r="43" spans="1:17">
      <c r="F43" s="259" t="s">
        <v>1572</v>
      </c>
      <c r="G43" s="259"/>
      <c r="H43" s="1288">
        <f>(H40+H42)*7.45%/2</f>
        <v>186.22781135901766</v>
      </c>
      <c r="I43" s="1292">
        <v>186.2278113590194</v>
      </c>
      <c r="J43" s="259"/>
      <c r="K43" s="259"/>
      <c r="L43" s="1065"/>
    </row>
    <row r="44" spans="1:17">
      <c r="H44" s="1289"/>
      <c r="I44" s="1291"/>
      <c r="J44" s="259"/>
      <c r="K44" s="259"/>
      <c r="L44" s="259"/>
    </row>
    <row r="45" spans="1:17">
      <c r="H45" s="1290"/>
      <c r="I45" s="1291"/>
    </row>
    <row r="46" spans="1:17">
      <c r="F46" s="259" t="s">
        <v>173</v>
      </c>
      <c r="G46" s="259"/>
      <c r="H46" s="1287"/>
      <c r="I46" s="1291"/>
    </row>
    <row r="47" spans="1:17">
      <c r="F47" s="259" t="s">
        <v>1567</v>
      </c>
      <c r="G47" s="259"/>
      <c r="H47" s="1287">
        <f>-(E34+I34)</f>
        <v>6647.4889391851029</v>
      </c>
      <c r="I47" s="1291">
        <v>6647.4889391851029</v>
      </c>
    </row>
    <row r="48" spans="1:17">
      <c r="F48" s="259" t="s">
        <v>1569</v>
      </c>
      <c r="G48" s="259"/>
      <c r="H48" s="1287">
        <f>-M34-M23</f>
        <v>11507.62998809182</v>
      </c>
      <c r="I48" s="1291">
        <v>11507.629988091865</v>
      </c>
    </row>
    <row r="49" spans="6:9" ht="15">
      <c r="F49" s="260" t="s">
        <v>1570</v>
      </c>
      <c r="G49" s="260"/>
      <c r="H49" s="1287">
        <f>H47+H48</f>
        <v>18155.118927276922</v>
      </c>
      <c r="I49" s="1291">
        <v>18155.11892727697</v>
      </c>
    </row>
    <row r="50" spans="6:9">
      <c r="F50" s="259" t="s">
        <v>1573</v>
      </c>
      <c r="G50" s="259"/>
      <c r="H50" s="1288">
        <f>(H47+H49)*7.45%/2</f>
        <v>923.89714302571042</v>
      </c>
      <c r="I50" s="1292">
        <v>923.89714302571213</v>
      </c>
    </row>
    <row r="51" spans="6:9">
      <c r="F51" s="259"/>
      <c r="G51" s="259"/>
      <c r="H51" s="1156"/>
      <c r="I51" s="1291"/>
    </row>
    <row r="67" spans="2:12" ht="63">
      <c r="B67" s="1032" t="s">
        <v>509</v>
      </c>
      <c r="C67" s="1032" t="s">
        <v>1574</v>
      </c>
      <c r="D67" s="1032" t="s">
        <v>1575</v>
      </c>
      <c r="E67" s="1032"/>
      <c r="F67" s="1032" t="s">
        <v>1576</v>
      </c>
    </row>
    <row r="68" spans="2:12" ht="63">
      <c r="B68" s="1033">
        <v>1</v>
      </c>
      <c r="C68" s="1034" t="s">
        <v>1577</v>
      </c>
      <c r="D68" s="1035">
        <v>2047.25</v>
      </c>
      <c r="E68" s="1035"/>
      <c r="F68" s="1035">
        <f>ROUND((M10/100),2)</f>
        <v>2930.99</v>
      </c>
    </row>
    <row r="69" spans="2:12" ht="42">
      <c r="B69" s="1033">
        <v>2</v>
      </c>
      <c r="C69" s="1034" t="s">
        <v>1578</v>
      </c>
      <c r="D69" s="1035">
        <v>357.24</v>
      </c>
      <c r="E69" s="1035"/>
      <c r="F69" s="1035">
        <f>ROUND((M12/100),2)</f>
        <v>532.72</v>
      </c>
    </row>
    <row r="70" spans="2:12" ht="63">
      <c r="B70" s="1033">
        <v>3</v>
      </c>
      <c r="C70" s="1034" t="s">
        <v>1579</v>
      </c>
      <c r="D70" s="1035">
        <v>114.23</v>
      </c>
      <c r="E70" s="1035"/>
      <c r="F70" s="1035">
        <f>ROUND((M13/100),2)</f>
        <v>321.45</v>
      </c>
    </row>
    <row r="71" spans="2:12" ht="84">
      <c r="B71" s="1033">
        <v>4</v>
      </c>
      <c r="C71" s="1034" t="s">
        <v>1580</v>
      </c>
      <c r="D71" s="1035">
        <v>49.2</v>
      </c>
      <c r="E71" s="1035"/>
      <c r="F71" s="1035">
        <f>ROUND((M14/100),2)</f>
        <v>134.4</v>
      </c>
    </row>
    <row r="72" spans="2:12" ht="84">
      <c r="B72" s="1033">
        <v>5</v>
      </c>
      <c r="C72" s="1034" t="s">
        <v>1581</v>
      </c>
      <c r="D72" s="1035">
        <v>14.84</v>
      </c>
      <c r="E72" s="1035"/>
      <c r="F72" s="1035">
        <f>ROUND((M15/100),2)</f>
        <v>40.49</v>
      </c>
    </row>
    <row r="73" spans="2:12" ht="42">
      <c r="B73" s="1033">
        <v>6</v>
      </c>
      <c r="C73" s="1034" t="s">
        <v>1532</v>
      </c>
      <c r="D73" s="1035">
        <v>32.86</v>
      </c>
      <c r="E73" s="1035"/>
      <c r="F73" s="1035">
        <f>ROUND((M16/100),2)</f>
        <v>97.29</v>
      </c>
    </row>
    <row r="74" spans="2:12" ht="63">
      <c r="B74" s="1033">
        <v>7</v>
      </c>
      <c r="C74" s="1034" t="s">
        <v>1582</v>
      </c>
      <c r="D74" s="1035">
        <v>0</v>
      </c>
      <c r="E74" s="1035"/>
      <c r="F74" s="1035" t="e">
        <f>ROUND((#REF!/100),2)</f>
        <v>#REF!</v>
      </c>
    </row>
    <row r="75" spans="2:12" ht="93">
      <c r="B75" s="1033">
        <v>8</v>
      </c>
      <c r="C75" s="1036" t="s">
        <v>116</v>
      </c>
      <c r="D75" s="1035">
        <v>0</v>
      </c>
      <c r="E75" s="1035"/>
      <c r="F75" s="1035" t="e">
        <f>ROUND((#REF!/100),2)</f>
        <v>#REF!</v>
      </c>
      <c r="K75" s="913">
        <v>26.62</v>
      </c>
      <c r="L75" s="913">
        <v>31.19</v>
      </c>
    </row>
    <row r="76" spans="2:12" ht="84">
      <c r="B76" s="1033">
        <v>9</v>
      </c>
      <c r="C76" s="1034" t="s">
        <v>1583</v>
      </c>
      <c r="D76" s="1035">
        <v>26.78</v>
      </c>
      <c r="E76" s="1035"/>
      <c r="F76" s="1035">
        <f>ROUND((M18/100),2)</f>
        <v>63.17</v>
      </c>
    </row>
    <row r="77" spans="2:12" ht="42">
      <c r="B77" s="1033">
        <v>10</v>
      </c>
      <c r="C77" s="1034" t="s">
        <v>992</v>
      </c>
      <c r="D77" s="1035">
        <v>40</v>
      </c>
      <c r="E77" s="1035"/>
      <c r="F77" s="1035">
        <f>ROUND((M19/100),2)</f>
        <v>102.54</v>
      </c>
    </row>
    <row r="78" spans="2:12" ht="42">
      <c r="B78" s="1033"/>
      <c r="C78" s="1034" t="s">
        <v>1584</v>
      </c>
      <c r="D78" s="1035">
        <v>0</v>
      </c>
      <c r="E78" s="1035"/>
      <c r="F78" s="1035">
        <f>ROUND((M20/100),2)</f>
        <v>34.49</v>
      </c>
    </row>
    <row r="79" spans="2:12" ht="42">
      <c r="B79" s="1033">
        <v>11</v>
      </c>
      <c r="C79" s="1034" t="s">
        <v>1563</v>
      </c>
      <c r="D79" s="1035">
        <v>0</v>
      </c>
      <c r="E79" s="1035"/>
      <c r="F79" s="1035">
        <f>ROUND((M23/100),2)</f>
        <v>9.24</v>
      </c>
      <c r="H79" s="913">
        <f>+E77+E78</f>
        <v>0</v>
      </c>
      <c r="I79" s="913">
        <f>+F77+F78</f>
        <v>137.03</v>
      </c>
    </row>
    <row r="80" spans="2:12" ht="21">
      <c r="B80" s="1033">
        <v>12</v>
      </c>
      <c r="C80" s="1032" t="s">
        <v>1225</v>
      </c>
      <c r="D80" s="1037">
        <f>SUM(D68:D79)</f>
        <v>2682.4</v>
      </c>
      <c r="E80" s="1037"/>
      <c r="F80" s="1037" t="e">
        <f t="shared" ref="F80" si="10">SUM(F68:F79)</f>
        <v>#REF!</v>
      </c>
      <c r="H80" s="913">
        <f>+E79</f>
        <v>0</v>
      </c>
      <c r="I80" s="913">
        <f>+F79</f>
        <v>9.24</v>
      </c>
    </row>
    <row r="81" spans="2:6" ht="63">
      <c r="B81" s="1033">
        <v>13</v>
      </c>
      <c r="C81" s="1034" t="s">
        <v>1585</v>
      </c>
      <c r="D81" s="1035">
        <v>2545.61</v>
      </c>
      <c r="E81" s="1035"/>
      <c r="F81" s="1035">
        <f>ROUND((M31/100),2)</f>
        <v>4048.92</v>
      </c>
    </row>
    <row r="82" spans="2:6" ht="42">
      <c r="B82" s="1033">
        <v>14</v>
      </c>
      <c r="C82" s="1034" t="s">
        <v>1586</v>
      </c>
      <c r="D82" s="1035">
        <v>137.41999999999999</v>
      </c>
      <c r="E82" s="1035"/>
      <c r="F82" s="1035">
        <f>ROUND((M29/100),2)</f>
        <v>207.34</v>
      </c>
    </row>
    <row r="83" spans="2:6" ht="21">
      <c r="B83" s="1033">
        <v>15</v>
      </c>
      <c r="C83" s="1032" t="s">
        <v>239</v>
      </c>
      <c r="D83" s="1037">
        <f>SUM(D81:D82)</f>
        <v>2683.03</v>
      </c>
      <c r="E83" s="1037"/>
      <c r="F83" s="1037">
        <f t="shared" ref="F83" si="11">SUM(F81:F82)</f>
        <v>4256.26</v>
      </c>
    </row>
    <row r="84" spans="2:6" ht="42">
      <c r="B84" s="1033">
        <v>16</v>
      </c>
      <c r="C84" s="1032" t="s">
        <v>1587</v>
      </c>
      <c r="D84" s="1037">
        <f>+D83-D80</f>
        <v>0.63000000000010914</v>
      </c>
      <c r="E84" s="1037"/>
      <c r="F84" s="1037" t="e">
        <f t="shared" ref="F84" si="12">+F83-F80</f>
        <v>#REF!</v>
      </c>
    </row>
  </sheetData>
  <mergeCells count="10">
    <mergeCell ref="P7:P8"/>
    <mergeCell ref="R7:R8"/>
    <mergeCell ref="S7:S8"/>
    <mergeCell ref="T7:T8"/>
    <mergeCell ref="L1:M1"/>
    <mergeCell ref="A3:K3"/>
    <mergeCell ref="L3:M3"/>
    <mergeCell ref="B4:E4"/>
    <mergeCell ref="F4:I4"/>
    <mergeCell ref="J4:M4"/>
  </mergeCells>
  <conditionalFormatting sqref="A6:A36">
    <cfRule type="colorScale" priority="5">
      <colorScale>
        <cfvo type="min"/>
        <cfvo type="percentile" val="50"/>
        <cfvo type="max"/>
        <color rgb="FFF8696B"/>
        <color rgb="FFFFEB84"/>
        <color rgb="FF63BE7B"/>
      </colorScale>
    </cfRule>
  </conditionalFormatting>
  <conditionalFormatting sqref="B85:D65537 U1:IW1048576 P30:Q32 B2:T6 L37:O1048576 O7:O36 B1:L1 N1:T1 P42:T65537 A1:A1048576 I41 B37:K37 E79:F1048576 C80:D84 B72:B84 G52:K52 C72:F78 P38:Q38 R30:T41 P37 P41:Q41 P39:P40 G74:K65537 I42:K42 B52:F71 B38:E43 I38:K40 B45:E51 I45:K49 B44:K44 J43:K43 I51:K51 J50:K50">
    <cfRule type="colorScale" priority="6">
      <colorScale>
        <cfvo type="min"/>
        <cfvo type="percentile" val="50"/>
        <cfvo type="max"/>
        <color rgb="FFF8696B"/>
        <color rgb="FFFFEB84"/>
        <color rgb="FF63BE7B"/>
      </colorScale>
    </cfRule>
  </conditionalFormatting>
  <conditionalFormatting sqref="C79:D79">
    <cfRule type="colorScale" priority="4">
      <colorScale>
        <cfvo type="min"/>
        <cfvo type="percentile" val="50"/>
        <cfvo type="max"/>
        <color rgb="FFF8696B"/>
        <color rgb="FFFFEB84"/>
        <color rgb="FF63BE7B"/>
      </colorScale>
    </cfRule>
  </conditionalFormatting>
  <conditionalFormatting sqref="F38:H38 F45:G45">
    <cfRule type="colorScale" priority="3">
      <colorScale>
        <cfvo type="min"/>
        <cfvo type="percentile" val="50"/>
        <cfvo type="max"/>
        <color rgb="FFF8696B"/>
        <color rgb="FFFFEB84"/>
        <color rgb="FF63BE7B"/>
      </colorScale>
    </cfRule>
  </conditionalFormatting>
  <conditionalFormatting sqref="F42:G43 H39 F39:G40">
    <cfRule type="colorScale" priority="2">
      <colorScale>
        <cfvo type="min"/>
        <cfvo type="percentile" val="50"/>
        <cfvo type="max"/>
        <color rgb="FFF8696B"/>
        <color rgb="FFFFEB84"/>
        <color rgb="FF63BE7B"/>
      </colorScale>
    </cfRule>
  </conditionalFormatting>
  <conditionalFormatting sqref="F49:G51 H51 F46:G47">
    <cfRule type="colorScale" priority="1">
      <colorScale>
        <cfvo type="min"/>
        <cfvo type="percentile" val="50"/>
        <cfvo type="max"/>
        <color rgb="FFF8696B"/>
        <color rgb="FFFFEB84"/>
        <color rgb="FF63BE7B"/>
      </colorScale>
    </cfRule>
  </conditionalFormatting>
  <printOptions horizontalCentered="1"/>
  <pageMargins left="0.15748031496062992" right="0.15748031496062992" top="0.39370078740157483" bottom="0.23622047244094491" header="0.31496062992125984" footer="0.15748031496062992"/>
  <pageSetup paperSize="9" scale="60" orientation="landscape"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BD74"/>
  <sheetViews>
    <sheetView tabSelected="1" view="pageBreakPreview" zoomScaleSheetLayoutView="100" workbookViewId="0">
      <pane xSplit="2" ySplit="6" topLeftCell="G13" activePane="bottomRight" state="frozen"/>
      <selection pane="bottomRight" activeCell="I16" sqref="I16"/>
      <selection pane="bottomLeft" activeCell="L19" sqref="L19"/>
      <selection pane="topRight" activeCell="L19" sqref="L19"/>
    </sheetView>
  </sheetViews>
  <sheetFormatPr defaultColWidth="14.7109375" defaultRowHeight="15"/>
  <cols>
    <col min="1" max="1" width="6" style="308" customWidth="1"/>
    <col min="2" max="2" width="31.140625" style="308" customWidth="1"/>
    <col min="3" max="3" width="10.140625" style="308" customWidth="1"/>
    <col min="4" max="4" width="15.42578125" style="308" customWidth="1"/>
    <col min="5" max="5" width="13.42578125" style="308" customWidth="1"/>
    <col min="6" max="6" width="11.7109375" style="308" bestFit="1" customWidth="1"/>
    <col min="7" max="7" width="15.42578125" style="308" customWidth="1"/>
    <col min="8" max="8" width="13.5703125" style="308" customWidth="1"/>
    <col min="9" max="9" width="23.85546875" style="308" customWidth="1"/>
    <col min="10" max="10" width="11.5703125" style="308" customWidth="1"/>
    <col min="11" max="11" width="13.140625" style="308" customWidth="1"/>
    <col min="12" max="12" width="10.7109375" style="308" customWidth="1"/>
    <col min="13" max="13" width="15.42578125" style="308" customWidth="1"/>
    <col min="14" max="14" width="12.28515625" style="308" customWidth="1"/>
    <col min="15" max="15" width="11.7109375" style="308" customWidth="1"/>
    <col min="16" max="18" width="10.7109375" style="308" customWidth="1"/>
    <col min="19" max="19" width="16.7109375" style="308" customWidth="1"/>
    <col min="20" max="23" width="14.7109375" style="308"/>
    <col min="24" max="24" width="8.5703125" style="308" customWidth="1"/>
    <col min="25" max="16384" width="14.7109375" style="308"/>
  </cols>
  <sheetData>
    <row r="1" spans="1:56" ht="18">
      <c r="B1" s="309" t="s">
        <v>209</v>
      </c>
      <c r="C1" s="310"/>
      <c r="D1" s="310"/>
      <c r="E1" s="310"/>
      <c r="F1" s="310"/>
      <c r="G1" s="310"/>
      <c r="H1" s="310"/>
      <c r="I1" s="310"/>
      <c r="J1" s="310"/>
      <c r="K1" s="310"/>
      <c r="L1" s="310"/>
      <c r="M1" s="310"/>
      <c r="N1" s="310"/>
      <c r="O1" s="311" t="s">
        <v>210</v>
      </c>
      <c r="P1" s="312" t="s">
        <v>211</v>
      </c>
      <c r="Q1" s="312"/>
      <c r="R1" s="312"/>
    </row>
    <row r="2" spans="1:56" ht="20.25" customHeight="1">
      <c r="A2" s="2471" t="s">
        <v>212</v>
      </c>
      <c r="B2" s="2471"/>
      <c r="C2" s="2471"/>
      <c r="D2" s="2471"/>
      <c r="E2" s="2471"/>
      <c r="F2" s="2471"/>
      <c r="G2" s="2471"/>
      <c r="H2" s="2471"/>
      <c r="I2" s="2471"/>
      <c r="J2" s="2471"/>
      <c r="K2" s="2471"/>
      <c r="L2" s="2471"/>
      <c r="M2" s="2471"/>
      <c r="N2" s="2471"/>
      <c r="O2" s="2471"/>
      <c r="P2" s="2471"/>
      <c r="Q2" s="1673"/>
      <c r="R2" s="1673"/>
    </row>
    <row r="3" spans="1:56" ht="10.5" customHeight="1">
      <c r="B3" s="313"/>
      <c r="C3" s="313"/>
      <c r="D3" s="313"/>
      <c r="E3" s="313"/>
      <c r="F3" s="313"/>
      <c r="G3" s="313"/>
      <c r="H3" s="314"/>
      <c r="I3" s="313"/>
      <c r="J3" s="313"/>
      <c r="K3" s="313"/>
      <c r="O3" s="313"/>
      <c r="P3" s="313"/>
      <c r="Q3" s="313"/>
      <c r="R3" s="313"/>
    </row>
    <row r="4" spans="1:56" ht="15.75">
      <c r="A4" s="2472" t="s">
        <v>213</v>
      </c>
      <c r="B4" s="2472" t="s">
        <v>214</v>
      </c>
      <c r="C4" s="2473" t="s">
        <v>215</v>
      </c>
      <c r="D4" s="2473"/>
      <c r="E4" s="2473"/>
      <c r="F4" s="2473"/>
      <c r="G4" s="2473" t="s">
        <v>216</v>
      </c>
      <c r="H4" s="2473"/>
      <c r="I4" s="2473"/>
      <c r="J4" s="2473" t="s">
        <v>217</v>
      </c>
      <c r="K4" s="2473"/>
      <c r="L4" s="2473"/>
      <c r="M4" s="2473" t="s">
        <v>218</v>
      </c>
      <c r="N4" s="2473"/>
      <c r="O4" s="2473"/>
      <c r="P4" s="2473"/>
      <c r="Q4" s="341"/>
      <c r="R4" s="341"/>
    </row>
    <row r="5" spans="1:56" s="316" customFormat="1" ht="47.25" customHeight="1">
      <c r="A5" s="2472"/>
      <c r="B5" s="2472"/>
      <c r="C5" s="1674" t="s">
        <v>219</v>
      </c>
      <c r="D5" s="1674" t="s">
        <v>220</v>
      </c>
      <c r="E5" s="1674" t="s">
        <v>221</v>
      </c>
      <c r="F5" s="1674" t="s">
        <v>222</v>
      </c>
      <c r="G5" s="1674" t="s">
        <v>223</v>
      </c>
      <c r="H5" s="1674" t="s">
        <v>224</v>
      </c>
      <c r="I5" s="1674" t="s">
        <v>222</v>
      </c>
      <c r="J5" s="1674" t="s">
        <v>225</v>
      </c>
      <c r="K5" s="1674" t="s">
        <v>222</v>
      </c>
      <c r="L5" s="1674" t="s">
        <v>226</v>
      </c>
      <c r="M5" s="1674" t="s">
        <v>227</v>
      </c>
      <c r="N5" s="1674" t="s">
        <v>224</v>
      </c>
      <c r="O5" s="1674" t="s">
        <v>222</v>
      </c>
      <c r="P5" s="1674" t="s">
        <v>226</v>
      </c>
      <c r="Q5" s="876" t="s">
        <v>228</v>
      </c>
      <c r="R5" s="876" t="s">
        <v>229</v>
      </c>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row>
    <row r="6" spans="1:56" ht="11.25" customHeight="1">
      <c r="A6" s="317">
        <v>1</v>
      </c>
      <c r="B6" s="317">
        <v>2</v>
      </c>
      <c r="C6" s="317">
        <v>3</v>
      </c>
      <c r="D6" s="317">
        <v>4</v>
      </c>
      <c r="E6" s="317">
        <v>5</v>
      </c>
      <c r="F6" s="317">
        <v>6</v>
      </c>
      <c r="G6" s="317">
        <v>7</v>
      </c>
      <c r="H6" s="317">
        <v>8</v>
      </c>
      <c r="I6" s="317">
        <v>9</v>
      </c>
      <c r="J6" s="317">
        <v>10</v>
      </c>
      <c r="K6" s="317">
        <v>11</v>
      </c>
      <c r="L6" s="317">
        <v>12</v>
      </c>
      <c r="M6" s="317">
        <v>13</v>
      </c>
      <c r="N6" s="317">
        <v>14</v>
      </c>
      <c r="O6" s="317">
        <v>15</v>
      </c>
      <c r="P6" s="317">
        <v>16</v>
      </c>
      <c r="Q6" s="317">
        <v>17</v>
      </c>
      <c r="R6" s="317">
        <v>18</v>
      </c>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row>
    <row r="7" spans="1:56" ht="23.25" customHeight="1">
      <c r="A7" s="319"/>
      <c r="B7" s="317" t="s">
        <v>230</v>
      </c>
      <c r="C7" s="320"/>
      <c r="D7" s="317"/>
      <c r="E7" s="317"/>
      <c r="F7" s="317"/>
      <c r="G7" s="317"/>
      <c r="H7" s="317"/>
      <c r="I7" s="321"/>
      <c r="J7" s="317"/>
      <c r="K7" s="322"/>
      <c r="L7" s="317"/>
      <c r="M7" s="317"/>
      <c r="N7" s="317"/>
      <c r="O7" s="317"/>
      <c r="P7" s="317"/>
      <c r="Q7" s="874"/>
      <c r="R7" s="874"/>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row>
    <row r="8" spans="1:56" ht="23.25" customHeight="1">
      <c r="A8" s="320">
        <v>1</v>
      </c>
      <c r="B8" s="319" t="s">
        <v>231</v>
      </c>
      <c r="C8" s="320" t="s">
        <v>232</v>
      </c>
      <c r="D8" s="323"/>
      <c r="E8" s="324"/>
      <c r="F8" s="324"/>
      <c r="G8" s="324"/>
      <c r="H8" s="323"/>
      <c r="I8" s="324"/>
      <c r="J8" s="324"/>
      <c r="K8" s="325"/>
      <c r="L8" s="150"/>
      <c r="M8" s="324"/>
      <c r="N8" s="324"/>
      <c r="O8" s="325"/>
      <c r="P8" s="150"/>
      <c r="Q8" s="875"/>
      <c r="R8" s="875"/>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row>
    <row r="9" spans="1:56" ht="23.25" customHeight="1">
      <c r="A9" s="320"/>
      <c r="B9" s="320" t="s">
        <v>233</v>
      </c>
      <c r="C9" s="319"/>
      <c r="D9" s="324">
        <v>75673</v>
      </c>
      <c r="E9" s="324">
        <v>19738</v>
      </c>
      <c r="F9" s="325">
        <v>5.9350000000000005</v>
      </c>
      <c r="G9" s="324">
        <v>42329</v>
      </c>
      <c r="H9" s="324">
        <v>7559</v>
      </c>
      <c r="I9" s="324">
        <v>2.0220000000000002</v>
      </c>
      <c r="J9" s="324">
        <v>3633</v>
      </c>
      <c r="K9" s="325">
        <v>5.0599999999999996</v>
      </c>
      <c r="L9" s="150">
        <f>+(K9-F9)/F9</f>
        <v>-0.14743049705139019</v>
      </c>
      <c r="M9" s="324">
        <v>16877</v>
      </c>
      <c r="N9" s="324">
        <v>4402</v>
      </c>
      <c r="O9" s="325">
        <v>5.468</v>
      </c>
      <c r="P9" s="150">
        <f>+(O9-K9)/K9</f>
        <v>8.0632411067193752E-2</v>
      </c>
      <c r="Q9" s="331">
        <f>+K9</f>
        <v>5.0599999999999996</v>
      </c>
      <c r="R9" s="331">
        <f>+O9</f>
        <v>5.468</v>
      </c>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c r="BD9" s="318"/>
    </row>
    <row r="10" spans="1:56" ht="23.25" customHeight="1">
      <c r="A10" s="320"/>
      <c r="B10" s="320" t="s">
        <v>234</v>
      </c>
      <c r="C10" s="319"/>
      <c r="D10" s="324">
        <v>1861176</v>
      </c>
      <c r="E10" s="323">
        <v>1834181</v>
      </c>
      <c r="F10" s="325">
        <v>1441.4240000000002</v>
      </c>
      <c r="G10" s="324">
        <v>1830722</v>
      </c>
      <c r="H10" s="323">
        <v>1892545</v>
      </c>
      <c r="I10" s="324">
        <v>941.67</v>
      </c>
      <c r="J10" s="324">
        <v>1877646</v>
      </c>
      <c r="K10" s="325">
        <v>1660.7170000000001</v>
      </c>
      <c r="L10" s="150">
        <f>+(K10-F10)/F10</f>
        <v>0.15213635959995106</v>
      </c>
      <c r="M10" s="324">
        <v>1792477</v>
      </c>
      <c r="N10" s="324">
        <v>1766478</v>
      </c>
      <c r="O10" s="325">
        <v>1710.049</v>
      </c>
      <c r="P10" s="150">
        <f>+(O10-K10)/K10</f>
        <v>2.9705241772077891E-2</v>
      </c>
      <c r="Q10" s="331">
        <f t="shared" ref="Q10:Q28" si="0">+K10</f>
        <v>1660.7170000000001</v>
      </c>
      <c r="R10" s="331">
        <f t="shared" ref="R10:R28" si="1">+O10</f>
        <v>1710.049</v>
      </c>
      <c r="S10" s="575"/>
      <c r="T10" s="575"/>
      <c r="U10" s="575"/>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c r="BD10" s="318"/>
    </row>
    <row r="11" spans="1:56" ht="23.25" customHeight="1">
      <c r="A11" s="320"/>
      <c r="B11" s="320" t="s">
        <v>235</v>
      </c>
      <c r="C11" s="319"/>
      <c r="D11" s="321"/>
      <c r="E11" s="321"/>
      <c r="F11" s="326">
        <f>'T-2_21-22'!F43</f>
        <v>664.18200000000013</v>
      </c>
      <c r="G11" s="321"/>
      <c r="H11" s="321"/>
      <c r="I11" s="321">
        <f>+'[18]T-2'!F43</f>
        <v>408.94699999999995</v>
      </c>
      <c r="J11" s="321"/>
      <c r="K11" s="326">
        <f>+I11/I10*K10</f>
        <v>721.21362579141305</v>
      </c>
      <c r="L11" s="321"/>
      <c r="M11" s="321"/>
      <c r="N11" s="321"/>
      <c r="O11" s="326">
        <f>+K11/K10*O10</f>
        <v>742.63745091486396</v>
      </c>
      <c r="P11" s="321"/>
      <c r="Q11" s="331">
        <f t="shared" si="0"/>
        <v>721.21362579141305</v>
      </c>
      <c r="R11" s="331">
        <f t="shared" si="1"/>
        <v>742.63745091486396</v>
      </c>
      <c r="S11" s="318"/>
      <c r="T11" s="575"/>
      <c r="U11" s="575"/>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c r="BD11" s="318"/>
    </row>
    <row r="12" spans="1:56" ht="23.25" customHeight="1">
      <c r="A12" s="320"/>
      <c r="B12" s="320" t="s">
        <v>236</v>
      </c>
      <c r="C12" s="319"/>
      <c r="D12" s="321"/>
      <c r="E12" s="321"/>
      <c r="F12" s="326">
        <f>'T-2_21-22'!G43</f>
        <v>632.55900000000008</v>
      </c>
      <c r="G12" s="321"/>
      <c r="H12" s="321"/>
      <c r="I12" s="321">
        <f>+'[18]T-2'!G43</f>
        <v>375.88</v>
      </c>
      <c r="J12" s="321"/>
      <c r="K12" s="326">
        <f>+I12/I10*K10</f>
        <v>662.8970934191384</v>
      </c>
      <c r="L12" s="321"/>
      <c r="M12" s="321"/>
      <c r="N12" s="321"/>
      <c r="O12" s="326">
        <f>+K12/K10*O10</f>
        <v>682.58861184916157</v>
      </c>
      <c r="P12" s="321"/>
      <c r="Q12" s="331">
        <f t="shared" si="0"/>
        <v>662.8970934191384</v>
      </c>
      <c r="R12" s="331">
        <f t="shared" si="1"/>
        <v>682.58861184916157</v>
      </c>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row>
    <row r="13" spans="1:56" ht="23.25" customHeight="1">
      <c r="A13" s="320"/>
      <c r="B13" s="320" t="s">
        <v>237</v>
      </c>
      <c r="C13" s="319"/>
      <c r="D13" s="321"/>
      <c r="E13" s="321"/>
      <c r="F13" s="326">
        <f>'T-2_21-22'!H43</f>
        <v>94.992999999999995</v>
      </c>
      <c r="G13" s="321"/>
      <c r="H13" s="321"/>
      <c r="I13" s="321">
        <f>+'[18]T-2'!H43</f>
        <v>114.65600000000001</v>
      </c>
      <c r="J13" s="321"/>
      <c r="K13" s="326">
        <f>+I13/I10*K10</f>
        <v>202.20583468943477</v>
      </c>
      <c r="L13" s="321"/>
      <c r="M13" s="321"/>
      <c r="N13" s="321"/>
      <c r="O13" s="326">
        <f>+K13/K10*O10</f>
        <v>208.21240789660922</v>
      </c>
      <c r="P13" s="321"/>
      <c r="Q13" s="331">
        <f t="shared" si="0"/>
        <v>202.20583468943477</v>
      </c>
      <c r="R13" s="331">
        <f t="shared" si="1"/>
        <v>208.21240789660922</v>
      </c>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318"/>
    </row>
    <row r="14" spans="1:56" ht="23.25" customHeight="1">
      <c r="A14" s="320"/>
      <c r="B14" s="320" t="s">
        <v>238</v>
      </c>
      <c r="C14" s="319"/>
      <c r="D14" s="321"/>
      <c r="E14" s="321"/>
      <c r="F14" s="326">
        <f>'T-2_21-22'!I43</f>
        <v>49.690000000000005</v>
      </c>
      <c r="G14" s="321"/>
      <c r="H14" s="321"/>
      <c r="I14" s="321">
        <f>+'[18]T-2'!I43</f>
        <v>42.186999999999998</v>
      </c>
      <c r="J14" s="321"/>
      <c r="K14" s="326">
        <f>+I14/I10*K10</f>
        <v>74.400446100013809</v>
      </c>
      <c r="L14" s="321"/>
      <c r="M14" s="321"/>
      <c r="N14" s="321"/>
      <c r="O14" s="326">
        <f>+K14/K10*O10</f>
        <v>76.610529339365158</v>
      </c>
      <c r="P14" s="321"/>
      <c r="Q14" s="331">
        <f t="shared" si="0"/>
        <v>74.400446100013809</v>
      </c>
      <c r="R14" s="331">
        <f t="shared" si="1"/>
        <v>76.610529339365158</v>
      </c>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c r="BD14" s="318"/>
    </row>
    <row r="15" spans="1:56" s="330" customFormat="1" ht="23.25" customHeight="1">
      <c r="A15" s="327"/>
      <c r="B15" s="323" t="s">
        <v>239</v>
      </c>
      <c r="C15" s="328" t="s">
        <v>240</v>
      </c>
      <c r="D15" s="321">
        <f t="shared" ref="D15:K15" si="2">D9+D10</f>
        <v>1936849</v>
      </c>
      <c r="E15" s="321">
        <f t="shared" si="2"/>
        <v>1853919</v>
      </c>
      <c r="F15" s="326">
        <f t="shared" si="2"/>
        <v>1447.3590000000002</v>
      </c>
      <c r="G15" s="321">
        <f t="shared" si="2"/>
        <v>1873051</v>
      </c>
      <c r="H15" s="321">
        <f t="shared" si="2"/>
        <v>1900104</v>
      </c>
      <c r="I15" s="321">
        <f t="shared" si="2"/>
        <v>943.69200000000001</v>
      </c>
      <c r="J15" s="321">
        <f t="shared" si="2"/>
        <v>1881279</v>
      </c>
      <c r="K15" s="321">
        <f t="shared" si="2"/>
        <v>1665.777</v>
      </c>
      <c r="L15" s="149">
        <f>+(K15-F15)/F15</f>
        <v>0.1509079640918389</v>
      </c>
      <c r="M15" s="321">
        <f>M9+M10</f>
        <v>1809354</v>
      </c>
      <c r="N15" s="321">
        <f>N9+N10</f>
        <v>1770880</v>
      </c>
      <c r="O15" s="321">
        <f>O9+O10</f>
        <v>1715.5170000000001</v>
      </c>
      <c r="P15" s="149">
        <f>+(O15-K15)/K15</f>
        <v>2.9859939235563949E-2</v>
      </c>
      <c r="Q15" s="331">
        <f t="shared" si="0"/>
        <v>1665.777</v>
      </c>
      <c r="R15" s="331">
        <f t="shared" si="1"/>
        <v>1715.5170000000001</v>
      </c>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row>
    <row r="16" spans="1:56" ht="23.25" customHeight="1">
      <c r="A16" s="320">
        <v>2</v>
      </c>
      <c r="B16" s="319" t="s">
        <v>241</v>
      </c>
      <c r="C16" s="320" t="s">
        <v>232</v>
      </c>
      <c r="D16" s="324">
        <v>97819</v>
      </c>
      <c r="E16" s="324">
        <v>268022</v>
      </c>
      <c r="F16" s="325">
        <v>385.149</v>
      </c>
      <c r="G16" s="324">
        <v>108910</v>
      </c>
      <c r="H16" s="324">
        <v>306805</v>
      </c>
      <c r="I16" s="324">
        <v>233.75400000000002</v>
      </c>
      <c r="J16" s="324">
        <v>331168</v>
      </c>
      <c r="K16" s="325">
        <v>465.07799999999997</v>
      </c>
      <c r="L16" s="150">
        <f>+(K16-F16)/F16</f>
        <v>0.20752747637927133</v>
      </c>
      <c r="M16" s="324">
        <v>121147</v>
      </c>
      <c r="N16" s="324">
        <v>331940</v>
      </c>
      <c r="O16" s="325">
        <v>515.88699999999994</v>
      </c>
      <c r="P16" s="150">
        <f>+(O16-K16)/K16</f>
        <v>0.10924834113847563</v>
      </c>
      <c r="Q16" s="331">
        <f t="shared" si="0"/>
        <v>465.07799999999997</v>
      </c>
      <c r="R16" s="331">
        <f t="shared" si="1"/>
        <v>515.88699999999994</v>
      </c>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row>
    <row r="17" spans="1:56" ht="23.25" customHeight="1">
      <c r="A17" s="320"/>
      <c r="B17" s="320" t="s">
        <v>242</v>
      </c>
      <c r="C17" s="320"/>
      <c r="D17" s="321"/>
      <c r="E17" s="321"/>
      <c r="F17" s="326">
        <f>'T-3_22-23'!E35</f>
        <v>113.488</v>
      </c>
      <c r="G17" s="321"/>
      <c r="H17" s="321"/>
      <c r="I17" s="321">
        <f>+'[18]T-3'!E35</f>
        <v>52.634</v>
      </c>
      <c r="J17" s="321"/>
      <c r="K17" s="326">
        <f>+I17/I16*K16</f>
        <v>104.72084093534227</v>
      </c>
      <c r="L17" s="321"/>
      <c r="M17" s="321"/>
      <c r="N17" s="321"/>
      <c r="O17" s="326">
        <f>+K17/K16*O16</f>
        <v>116.16141909015458</v>
      </c>
      <c r="P17" s="321"/>
      <c r="Q17" s="331">
        <f t="shared" si="0"/>
        <v>104.72084093534227</v>
      </c>
      <c r="R17" s="331">
        <f t="shared" si="1"/>
        <v>116.16141909015458</v>
      </c>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c r="BD17" s="318"/>
    </row>
    <row r="18" spans="1:56" ht="23.25" customHeight="1">
      <c r="A18" s="320"/>
      <c r="B18" s="320" t="s">
        <v>243</v>
      </c>
      <c r="C18" s="319"/>
      <c r="D18" s="321"/>
      <c r="E18" s="321"/>
      <c r="F18" s="326">
        <f>'T-3_22-23'!F35</f>
        <v>106.56800000000001</v>
      </c>
      <c r="G18" s="321"/>
      <c r="H18" s="321"/>
      <c r="I18" s="321">
        <f>+'[18]T-3'!F35</f>
        <v>44.012</v>
      </c>
      <c r="J18" s="321"/>
      <c r="K18" s="326">
        <f>+I18/I16*K16</f>
        <v>87.566471315998868</v>
      </c>
      <c r="L18" s="321"/>
      <c r="M18" s="321"/>
      <c r="N18" s="321"/>
      <c r="O18" s="326">
        <f>+K18/K16*O16</f>
        <v>97.132963046621654</v>
      </c>
      <c r="P18" s="321"/>
      <c r="Q18" s="331">
        <f t="shared" si="0"/>
        <v>87.566471315998868</v>
      </c>
      <c r="R18" s="331">
        <f t="shared" si="1"/>
        <v>97.132963046621654</v>
      </c>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c r="BD18" s="318"/>
    </row>
    <row r="19" spans="1:56" ht="23.25" customHeight="1">
      <c r="A19" s="320"/>
      <c r="B19" s="320" t="s">
        <v>244</v>
      </c>
      <c r="C19" s="320"/>
      <c r="D19" s="321"/>
      <c r="E19" s="321"/>
      <c r="F19" s="326">
        <f>'T-3_22-23'!G35</f>
        <v>165.09299999999999</v>
      </c>
      <c r="G19" s="321"/>
      <c r="H19" s="321"/>
      <c r="I19" s="321">
        <f>+'[18]T-3'!G35</f>
        <v>137.108</v>
      </c>
      <c r="J19" s="321"/>
      <c r="K19" s="326">
        <f>+I19/I16*K16</f>
        <v>272.7906877486588</v>
      </c>
      <c r="L19" s="321"/>
      <c r="M19" s="321"/>
      <c r="N19" s="321"/>
      <c r="O19" s="326">
        <f>+K19/K16*O16</f>
        <v>302.59261786322367</v>
      </c>
      <c r="P19" s="321"/>
      <c r="Q19" s="331">
        <f t="shared" si="0"/>
        <v>272.7906877486588</v>
      </c>
      <c r="R19" s="331">
        <f t="shared" si="1"/>
        <v>302.59261786322367</v>
      </c>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c r="BD19" s="318"/>
    </row>
    <row r="20" spans="1:56" s="330" customFormat="1" ht="23.25" customHeight="1">
      <c r="A20" s="327"/>
      <c r="B20" s="323" t="s">
        <v>239</v>
      </c>
      <c r="C20" s="328" t="s">
        <v>240</v>
      </c>
      <c r="D20" s="321">
        <f t="shared" ref="D20:K20" si="3">+D16</f>
        <v>97819</v>
      </c>
      <c r="E20" s="321">
        <f t="shared" si="3"/>
        <v>268022</v>
      </c>
      <c r="F20" s="326">
        <f t="shared" si="3"/>
        <v>385.149</v>
      </c>
      <c r="G20" s="321">
        <f t="shared" si="3"/>
        <v>108910</v>
      </c>
      <c r="H20" s="321">
        <f t="shared" si="3"/>
        <v>306805</v>
      </c>
      <c r="I20" s="321">
        <f t="shared" si="3"/>
        <v>233.75400000000002</v>
      </c>
      <c r="J20" s="321">
        <f t="shared" si="3"/>
        <v>331168</v>
      </c>
      <c r="K20" s="326">
        <f t="shared" si="3"/>
        <v>465.07799999999997</v>
      </c>
      <c r="L20" s="149">
        <f t="shared" ref="L20:L28" si="4">+(K20-F20)/F20</f>
        <v>0.20752747637927133</v>
      </c>
      <c r="M20" s="321">
        <f>+M16</f>
        <v>121147</v>
      </c>
      <c r="N20" s="321">
        <f>+N16</f>
        <v>331940</v>
      </c>
      <c r="O20" s="326">
        <f>+O16</f>
        <v>515.88699999999994</v>
      </c>
      <c r="P20" s="149">
        <f t="shared" ref="P20:P28" si="5">+(O20-K20)/K20</f>
        <v>0.10924834113847563</v>
      </c>
      <c r="Q20" s="331">
        <f t="shared" si="0"/>
        <v>465.07799999999997</v>
      </c>
      <c r="R20" s="331">
        <f t="shared" si="1"/>
        <v>515.88699999999994</v>
      </c>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row>
    <row r="21" spans="1:56" ht="23.25" customHeight="1">
      <c r="A21" s="320">
        <v>3</v>
      </c>
      <c r="B21" s="319" t="s">
        <v>245</v>
      </c>
      <c r="C21" s="320" t="s">
        <v>232</v>
      </c>
      <c r="D21" s="324">
        <v>26450</v>
      </c>
      <c r="E21" s="324">
        <v>107033</v>
      </c>
      <c r="F21" s="325">
        <v>84.522999999999996</v>
      </c>
      <c r="G21" s="324">
        <v>28815</v>
      </c>
      <c r="H21" s="324">
        <v>116603</v>
      </c>
      <c r="I21" s="324">
        <v>31.108999999999995</v>
      </c>
      <c r="J21" s="324">
        <v>103267</v>
      </c>
      <c r="K21" s="325">
        <v>86.043000000000006</v>
      </c>
      <c r="L21" s="150">
        <f t="shared" si="4"/>
        <v>1.7983270825692538E-2</v>
      </c>
      <c r="M21" s="324">
        <v>27249</v>
      </c>
      <c r="N21" s="324">
        <v>110266</v>
      </c>
      <c r="O21" s="325">
        <v>133.52500000000001</v>
      </c>
      <c r="P21" s="150">
        <f t="shared" si="5"/>
        <v>0.55184035889032224</v>
      </c>
      <c r="Q21" s="331">
        <f t="shared" si="0"/>
        <v>86.043000000000006</v>
      </c>
      <c r="R21" s="331">
        <f t="shared" si="1"/>
        <v>133.52500000000001</v>
      </c>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c r="BD21" s="318"/>
    </row>
    <row r="22" spans="1:56" ht="23.25" customHeight="1">
      <c r="A22" s="320">
        <f t="shared" ref="A22:A31" si="6">A21+1</f>
        <v>4</v>
      </c>
      <c r="B22" s="319" t="s">
        <v>246</v>
      </c>
      <c r="C22" s="320" t="s">
        <v>232</v>
      </c>
      <c r="D22" s="324">
        <v>1687</v>
      </c>
      <c r="E22" s="324">
        <v>24891</v>
      </c>
      <c r="F22" s="325">
        <v>38.568999999999996</v>
      </c>
      <c r="G22" s="324">
        <v>2603</v>
      </c>
      <c r="H22" s="324">
        <v>31755</v>
      </c>
      <c r="I22" s="324">
        <v>27.725000000000001</v>
      </c>
      <c r="J22" s="324">
        <v>36766</v>
      </c>
      <c r="K22" s="325">
        <v>60.427999999999997</v>
      </c>
      <c r="L22" s="150">
        <f t="shared" si="4"/>
        <v>0.56675049910549935</v>
      </c>
      <c r="M22" s="324">
        <v>3580</v>
      </c>
      <c r="N22" s="324">
        <v>52821</v>
      </c>
      <c r="O22" s="325">
        <v>81.510000000000005</v>
      </c>
      <c r="P22" s="150">
        <f t="shared" si="5"/>
        <v>0.34887800357450205</v>
      </c>
      <c r="Q22" s="331">
        <f t="shared" si="0"/>
        <v>60.427999999999997</v>
      </c>
      <c r="R22" s="331">
        <f t="shared" si="1"/>
        <v>81.510000000000005</v>
      </c>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row>
    <row r="23" spans="1:56" ht="23.25" customHeight="1">
      <c r="A23" s="320">
        <f t="shared" si="6"/>
        <v>5</v>
      </c>
      <c r="B23" s="319" t="s">
        <v>247</v>
      </c>
      <c r="C23" s="320" t="s">
        <v>232</v>
      </c>
      <c r="D23" s="324">
        <v>50</v>
      </c>
      <c r="E23" s="324">
        <v>743</v>
      </c>
      <c r="F23" s="325">
        <v>0.97000000000000031</v>
      </c>
      <c r="G23" s="324">
        <v>57</v>
      </c>
      <c r="H23" s="324">
        <v>858</v>
      </c>
      <c r="I23" s="324">
        <v>0.80800000000000005</v>
      </c>
      <c r="J23" s="324">
        <v>1045</v>
      </c>
      <c r="K23" s="325">
        <v>1.734</v>
      </c>
      <c r="L23" s="150">
        <f t="shared" si="4"/>
        <v>0.78762886597938087</v>
      </c>
      <c r="M23" s="324">
        <v>70</v>
      </c>
      <c r="N23" s="324">
        <v>1040</v>
      </c>
      <c r="O23" s="325">
        <v>2.0659999999999998</v>
      </c>
      <c r="P23" s="150">
        <f t="shared" si="5"/>
        <v>0.19146482122260661</v>
      </c>
      <c r="Q23" s="331">
        <f t="shared" si="0"/>
        <v>1.734</v>
      </c>
      <c r="R23" s="331">
        <f t="shared" si="1"/>
        <v>2.0659999999999998</v>
      </c>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c r="BD23" s="318"/>
    </row>
    <row r="24" spans="1:56" ht="23.25" customHeight="1">
      <c r="A24" s="320">
        <f t="shared" si="6"/>
        <v>6</v>
      </c>
      <c r="B24" s="319" t="s">
        <v>248</v>
      </c>
      <c r="C24" s="320" t="s">
        <v>232</v>
      </c>
      <c r="D24" s="324">
        <v>1311</v>
      </c>
      <c r="E24" s="324">
        <v>5870</v>
      </c>
      <c r="F24" s="325">
        <v>23.964000000000002</v>
      </c>
      <c r="G24" s="324">
        <v>1421</v>
      </c>
      <c r="H24" s="324">
        <v>7022</v>
      </c>
      <c r="I24" s="324">
        <v>14.563000000000001</v>
      </c>
      <c r="J24" s="324">
        <v>10441</v>
      </c>
      <c r="K24" s="325">
        <v>29.614000000000001</v>
      </c>
      <c r="L24" s="150">
        <f t="shared" si="4"/>
        <v>0.23577032214989141</v>
      </c>
      <c r="M24" s="324">
        <v>2023</v>
      </c>
      <c r="N24" s="324">
        <v>9058</v>
      </c>
      <c r="O24" s="325">
        <v>36.634</v>
      </c>
      <c r="P24" s="150">
        <f t="shared" si="5"/>
        <v>0.23705004389815626</v>
      </c>
      <c r="Q24" s="331">
        <f t="shared" si="0"/>
        <v>29.614000000000001</v>
      </c>
      <c r="R24" s="331">
        <f t="shared" si="1"/>
        <v>36.634</v>
      </c>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c r="BD24" s="318"/>
    </row>
    <row r="25" spans="1:56" ht="23.25" customHeight="1">
      <c r="A25" s="320">
        <f t="shared" si="6"/>
        <v>7</v>
      </c>
      <c r="B25" s="319" t="s">
        <v>249</v>
      </c>
      <c r="C25" s="320" t="s">
        <v>232</v>
      </c>
      <c r="D25" s="324">
        <v>4341</v>
      </c>
      <c r="E25" s="324">
        <v>40323</v>
      </c>
      <c r="F25" s="325">
        <v>19.751000000000001</v>
      </c>
      <c r="G25" s="324">
        <v>4357</v>
      </c>
      <c r="H25" s="324">
        <v>40529</v>
      </c>
      <c r="I25" s="324">
        <v>9.73</v>
      </c>
      <c r="J25" s="324">
        <v>40614</v>
      </c>
      <c r="K25" s="325">
        <v>22.155999999999999</v>
      </c>
      <c r="L25" s="150">
        <f t="shared" si="4"/>
        <v>0.12176598653232734</v>
      </c>
      <c r="M25" s="324">
        <v>4383</v>
      </c>
      <c r="N25" s="324">
        <v>40713</v>
      </c>
      <c r="O25" s="325">
        <v>22.963999999999999</v>
      </c>
      <c r="P25" s="150">
        <f t="shared" si="5"/>
        <v>3.6468676656436175E-2</v>
      </c>
      <c r="Q25" s="331">
        <f t="shared" si="0"/>
        <v>22.155999999999999</v>
      </c>
      <c r="R25" s="331">
        <f t="shared" si="1"/>
        <v>22.963999999999999</v>
      </c>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row>
    <row r="26" spans="1:56" ht="23.25" customHeight="1">
      <c r="A26" s="320">
        <f t="shared" si="6"/>
        <v>8</v>
      </c>
      <c r="B26" s="319" t="s">
        <v>250</v>
      </c>
      <c r="C26" s="320" t="s">
        <v>232</v>
      </c>
      <c r="D26" s="324">
        <v>1084</v>
      </c>
      <c r="E26" s="324">
        <v>47725</v>
      </c>
      <c r="F26" s="325">
        <v>37.713000000000001</v>
      </c>
      <c r="G26" s="323">
        <v>1132</v>
      </c>
      <c r="H26" s="324">
        <v>49238</v>
      </c>
      <c r="I26" s="324">
        <v>20.934999999999999</v>
      </c>
      <c r="J26" s="324">
        <v>48566</v>
      </c>
      <c r="K26" s="325">
        <v>42.741999999999997</v>
      </c>
      <c r="L26" s="150">
        <f t="shared" si="4"/>
        <v>0.13334924296661618</v>
      </c>
      <c r="M26" s="324">
        <v>1155</v>
      </c>
      <c r="N26" s="324">
        <v>50851</v>
      </c>
      <c r="O26" s="325">
        <v>45.781999999999996</v>
      </c>
      <c r="P26" s="150">
        <f t="shared" si="5"/>
        <v>7.1124420944270253E-2</v>
      </c>
      <c r="Q26" s="331">
        <f t="shared" si="0"/>
        <v>42.741999999999997</v>
      </c>
      <c r="R26" s="331">
        <f t="shared" si="1"/>
        <v>45.781999999999996</v>
      </c>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row>
    <row r="27" spans="1:56" ht="23.25" customHeight="1">
      <c r="A27" s="320">
        <f t="shared" si="6"/>
        <v>9</v>
      </c>
      <c r="B27" s="319" t="s">
        <v>251</v>
      </c>
      <c r="C27" s="320" t="s">
        <v>232</v>
      </c>
      <c r="D27" s="323">
        <v>14657</v>
      </c>
      <c r="E27" s="323">
        <v>30315</v>
      </c>
      <c r="F27" s="325">
        <v>41.929000000000002</v>
      </c>
      <c r="G27" s="324">
        <v>16052</v>
      </c>
      <c r="H27" s="323">
        <v>34048</v>
      </c>
      <c r="I27" s="324">
        <v>21.722999999999999</v>
      </c>
      <c r="J27" s="323">
        <v>36422</v>
      </c>
      <c r="K27" s="331">
        <v>49.100999999999999</v>
      </c>
      <c r="L27" s="150">
        <f t="shared" si="4"/>
        <v>0.17105106251043423</v>
      </c>
      <c r="M27" s="323">
        <v>19643</v>
      </c>
      <c r="N27" s="323">
        <v>40628</v>
      </c>
      <c r="O27" s="331">
        <v>58.494999999999997</v>
      </c>
      <c r="P27" s="150">
        <f t="shared" si="5"/>
        <v>0.19131993238426914</v>
      </c>
      <c r="Q27" s="331">
        <f t="shared" si="0"/>
        <v>49.100999999999999</v>
      </c>
      <c r="R27" s="331">
        <f t="shared" si="1"/>
        <v>58.494999999999997</v>
      </c>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row>
    <row r="28" spans="1:56" ht="23.25" customHeight="1">
      <c r="A28" s="320">
        <f t="shared" si="6"/>
        <v>10</v>
      </c>
      <c r="B28" s="319" t="s">
        <v>252</v>
      </c>
      <c r="C28" s="320" t="s">
        <v>232</v>
      </c>
      <c r="D28" s="324">
        <v>4184</v>
      </c>
      <c r="E28" s="324">
        <v>27195</v>
      </c>
      <c r="F28" s="325">
        <v>52.777000000000001</v>
      </c>
      <c r="G28" s="323">
        <v>4490</v>
      </c>
      <c r="H28" s="324">
        <v>29204</v>
      </c>
      <c r="I28" s="324">
        <v>29.75</v>
      </c>
      <c r="J28" s="323">
        <v>29960</v>
      </c>
      <c r="K28" s="331">
        <v>60.904000000000003</v>
      </c>
      <c r="L28" s="150">
        <f t="shared" si="4"/>
        <v>0.15398753244784663</v>
      </c>
      <c r="M28" s="323">
        <v>4945</v>
      </c>
      <c r="N28" s="323">
        <v>32141</v>
      </c>
      <c r="O28" s="331">
        <v>66.402000000000001</v>
      </c>
      <c r="P28" s="150">
        <f t="shared" si="5"/>
        <v>9.0273216865887254E-2</v>
      </c>
      <c r="Q28" s="331">
        <f t="shared" si="0"/>
        <v>60.904000000000003</v>
      </c>
      <c r="R28" s="331">
        <f t="shared" si="1"/>
        <v>66.402000000000001</v>
      </c>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row>
    <row r="29" spans="1:56" ht="23.25" customHeight="1">
      <c r="A29" s="320">
        <f t="shared" si="6"/>
        <v>11</v>
      </c>
      <c r="B29" s="319" t="s">
        <v>253</v>
      </c>
      <c r="C29" s="320" t="s">
        <v>232</v>
      </c>
      <c r="D29" s="323"/>
      <c r="E29" s="323"/>
      <c r="F29" s="331"/>
      <c r="G29" s="323"/>
      <c r="H29" s="323"/>
      <c r="I29" s="323"/>
      <c r="J29" s="323"/>
      <c r="K29" s="331"/>
      <c r="L29" s="323"/>
      <c r="M29" s="323"/>
      <c r="N29" s="323"/>
      <c r="O29" s="331"/>
      <c r="P29" s="323"/>
      <c r="Q29" s="645"/>
      <c r="R29" s="645"/>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row>
    <row r="30" spans="1:56" ht="23.25" customHeight="1">
      <c r="A30" s="320">
        <f t="shared" si="6"/>
        <v>12</v>
      </c>
      <c r="B30" s="319" t="s">
        <v>254</v>
      </c>
      <c r="C30" s="320" t="s">
        <v>232</v>
      </c>
      <c r="D30" s="323"/>
      <c r="E30" s="323"/>
      <c r="F30" s="331"/>
      <c r="G30" s="323"/>
      <c r="H30" s="323"/>
      <c r="I30" s="323"/>
      <c r="J30" s="323"/>
      <c r="K30" s="331"/>
      <c r="L30" s="323"/>
      <c r="M30" s="323"/>
      <c r="N30" s="323"/>
      <c r="O30" s="331"/>
      <c r="P30" s="323"/>
      <c r="Q30" s="645"/>
      <c r="R30" s="645"/>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c r="BD30" s="318"/>
    </row>
    <row r="31" spans="1:56" ht="23.25" customHeight="1">
      <c r="A31" s="320">
        <f t="shared" si="6"/>
        <v>13</v>
      </c>
      <c r="B31" s="319" t="s">
        <v>255</v>
      </c>
      <c r="C31" s="320" t="s">
        <v>232</v>
      </c>
      <c r="D31" s="323"/>
      <c r="E31" s="323"/>
      <c r="F31" s="331"/>
      <c r="G31" s="323"/>
      <c r="H31" s="323"/>
      <c r="I31" s="323"/>
      <c r="J31" s="323"/>
      <c r="K31" s="331"/>
      <c r="L31" s="323"/>
      <c r="M31" s="323"/>
      <c r="N31" s="323"/>
      <c r="O31" s="331"/>
      <c r="P31" s="323"/>
      <c r="Q31" s="645"/>
      <c r="R31" s="645"/>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c r="BD31" s="318"/>
    </row>
    <row r="32" spans="1:56" s="330" customFormat="1" ht="23.25" customHeight="1">
      <c r="A32" s="327"/>
      <c r="B32" s="328" t="s">
        <v>256</v>
      </c>
      <c r="C32" s="328"/>
      <c r="D32" s="332">
        <f t="shared" ref="D32:E32" si="7">D15+D20+SUM(D21:D31)</f>
        <v>2088432</v>
      </c>
      <c r="E32" s="332">
        <f t="shared" si="7"/>
        <v>2406036</v>
      </c>
      <c r="F32" s="333">
        <f t="shared" ref="F32:K32" si="8">F15+F20+SUM(F21:F31)</f>
        <v>2132.7040000000002</v>
      </c>
      <c r="G32" s="332">
        <f t="shared" si="8"/>
        <v>2040888</v>
      </c>
      <c r="H32" s="332">
        <f t="shared" si="8"/>
        <v>2516166</v>
      </c>
      <c r="I32" s="332">
        <f t="shared" si="8"/>
        <v>1333.789</v>
      </c>
      <c r="J32" s="332">
        <f t="shared" si="8"/>
        <v>2519528</v>
      </c>
      <c r="K32" s="333">
        <f t="shared" si="8"/>
        <v>2483.5770000000002</v>
      </c>
      <c r="L32" s="149">
        <f>+(K32-F32)/F32</f>
        <v>0.16452025222440622</v>
      </c>
      <c r="M32" s="332">
        <f>M15+M20+SUM(M21:M31)</f>
        <v>1993549</v>
      </c>
      <c r="N32" s="332">
        <f>N15+N20+SUM(N21:N31)</f>
        <v>2440338</v>
      </c>
      <c r="O32" s="333">
        <f>O15+O20+SUM(O21:O31)</f>
        <v>2678.7820000000002</v>
      </c>
      <c r="P32" s="149">
        <f>+(O32-K32)/K32</f>
        <v>7.8598328137198845E-2</v>
      </c>
      <c r="Q32" s="333">
        <f>+K32</f>
        <v>2483.5770000000002</v>
      </c>
      <c r="R32" s="333">
        <f>+O32</f>
        <v>2678.7820000000002</v>
      </c>
      <c r="S32" s="329"/>
      <c r="T32" s="576"/>
      <c r="U32" s="576"/>
      <c r="V32" s="329"/>
      <c r="W32" s="576"/>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row>
    <row r="33" spans="1:56" ht="20.25" customHeight="1">
      <c r="A33" s="319"/>
      <c r="B33" s="317" t="s">
        <v>257</v>
      </c>
      <c r="C33" s="320"/>
      <c r="D33" s="323"/>
      <c r="E33" s="323"/>
      <c r="F33" s="331"/>
      <c r="G33" s="323"/>
      <c r="H33" s="323"/>
      <c r="I33" s="323"/>
      <c r="J33" s="323"/>
      <c r="K33" s="331"/>
      <c r="L33" s="323"/>
      <c r="M33" s="323"/>
      <c r="N33" s="323"/>
      <c r="O33" s="331"/>
      <c r="P33" s="323"/>
      <c r="Q33" s="331"/>
      <c r="R33" s="331"/>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row>
    <row r="34" spans="1:56" ht="20.25" customHeight="1">
      <c r="A34" s="320">
        <v>13</v>
      </c>
      <c r="B34" s="319" t="s">
        <v>258</v>
      </c>
      <c r="C34" s="320" t="s">
        <v>259</v>
      </c>
      <c r="D34" s="323">
        <v>26</v>
      </c>
      <c r="E34" s="323">
        <v>10029</v>
      </c>
      <c r="F34" s="331">
        <v>17.201999999999998</v>
      </c>
      <c r="G34" s="323">
        <v>26</v>
      </c>
      <c r="H34" s="323">
        <v>9826</v>
      </c>
      <c r="I34" s="331">
        <v>8.8210000000000015</v>
      </c>
      <c r="J34" s="323">
        <v>10025</v>
      </c>
      <c r="K34" s="331">
        <v>16.71</v>
      </c>
      <c r="L34" s="150">
        <f>+(K34-F34)/F34</f>
        <v>-2.8601325427275746E-2</v>
      </c>
      <c r="M34" s="323">
        <v>26</v>
      </c>
      <c r="N34" s="323">
        <v>10025</v>
      </c>
      <c r="O34" s="323">
        <v>16.989000000000001</v>
      </c>
      <c r="P34" s="150">
        <f>+(O34-K34)/K34</f>
        <v>1.6696588868940748E-2</v>
      </c>
      <c r="Q34" s="331">
        <v>17.225000000000001</v>
      </c>
      <c r="R34" s="331">
        <v>17.512</v>
      </c>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c r="BD34" s="318"/>
    </row>
    <row r="35" spans="1:56" ht="20.25" customHeight="1">
      <c r="A35" s="320">
        <f t="shared" ref="A35:A48" si="9">A34+1</f>
        <v>14</v>
      </c>
      <c r="B35" s="319" t="s">
        <v>245</v>
      </c>
      <c r="C35" s="320" t="s">
        <v>259</v>
      </c>
      <c r="D35" s="323">
        <v>3</v>
      </c>
      <c r="E35" s="323">
        <v>8814</v>
      </c>
      <c r="F35" s="331">
        <v>0.82400000000000007</v>
      </c>
      <c r="G35" s="323">
        <v>9</v>
      </c>
      <c r="H35" s="323">
        <v>35524</v>
      </c>
      <c r="I35" s="331">
        <v>1.5489999999999997</v>
      </c>
      <c r="J35" s="323">
        <v>39730</v>
      </c>
      <c r="K35" s="331">
        <v>4.5270000000000001</v>
      </c>
      <c r="L35" s="150">
        <f>+(K35-F35)/F35</f>
        <v>4.4939320388349513</v>
      </c>
      <c r="M35" s="323">
        <v>11</v>
      </c>
      <c r="N35" s="323">
        <v>41650</v>
      </c>
      <c r="O35" s="331">
        <v>6.2210000000000001</v>
      </c>
      <c r="P35" s="150">
        <f>+(O35-K35)/K35</f>
        <v>0.37419924895073997</v>
      </c>
      <c r="Q35" s="331">
        <v>4.681</v>
      </c>
      <c r="R35" s="331">
        <v>6.4850000000000003</v>
      </c>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row>
    <row r="36" spans="1:56" ht="20.25" customHeight="1">
      <c r="A36" s="320">
        <f t="shared" si="9"/>
        <v>15</v>
      </c>
      <c r="B36" s="319" t="s">
        <v>246</v>
      </c>
      <c r="C36" s="320" t="s">
        <v>259</v>
      </c>
      <c r="D36" s="323">
        <v>70</v>
      </c>
      <c r="E36" s="323">
        <v>17337</v>
      </c>
      <c r="F36" s="331">
        <v>17.382999999999999</v>
      </c>
      <c r="G36" s="323">
        <v>73</v>
      </c>
      <c r="H36" s="323">
        <v>18523</v>
      </c>
      <c r="I36" s="331">
        <v>11.758000000000001</v>
      </c>
      <c r="J36" s="323">
        <v>19134</v>
      </c>
      <c r="K36" s="331">
        <v>21.719000000000001</v>
      </c>
      <c r="L36" s="150">
        <f>+(K36-F36)/F36</f>
        <v>0.24943910717367557</v>
      </c>
      <c r="M36" s="323">
        <v>82</v>
      </c>
      <c r="N36" s="323">
        <v>20185</v>
      </c>
      <c r="O36" s="323">
        <v>24.324000000000002</v>
      </c>
      <c r="P36" s="150">
        <f>+(O36-K36)/K36</f>
        <v>0.11994106542658503</v>
      </c>
      <c r="Q36" s="331">
        <v>27.888000000000002</v>
      </c>
      <c r="R36" s="331">
        <v>31.154</v>
      </c>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c r="BD36" s="318"/>
    </row>
    <row r="37" spans="1:56" ht="20.25" customHeight="1">
      <c r="A37" s="320">
        <f t="shared" si="9"/>
        <v>16</v>
      </c>
      <c r="B37" s="319" t="s">
        <v>247</v>
      </c>
      <c r="C37" s="320" t="s">
        <v>259</v>
      </c>
      <c r="D37" s="323">
        <v>13</v>
      </c>
      <c r="E37" s="323">
        <v>8960</v>
      </c>
      <c r="F37" s="331">
        <v>31.821999999999999</v>
      </c>
      <c r="G37" s="323">
        <v>13</v>
      </c>
      <c r="H37" s="323">
        <v>8895</v>
      </c>
      <c r="I37" s="331">
        <v>21.412999999999997</v>
      </c>
      <c r="J37" s="323">
        <v>11311</v>
      </c>
      <c r="K37" s="331">
        <v>42.414000000000001</v>
      </c>
      <c r="L37" s="150">
        <f>+(K37-F37)/F37</f>
        <v>0.3328514863930615</v>
      </c>
      <c r="M37" s="323">
        <v>19</v>
      </c>
      <c r="N37" s="323">
        <v>12598</v>
      </c>
      <c r="O37" s="323">
        <v>47.619</v>
      </c>
      <c r="P37" s="150">
        <f>+(O37-K37)/K37</f>
        <v>0.12271891356627525</v>
      </c>
      <c r="Q37" s="331">
        <v>43.787999999999997</v>
      </c>
      <c r="R37" s="331">
        <v>49.17</v>
      </c>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row>
    <row r="38" spans="1:56" ht="20.25" customHeight="1">
      <c r="A38" s="320">
        <f t="shared" si="9"/>
        <v>17</v>
      </c>
      <c r="B38" s="319" t="s">
        <v>251</v>
      </c>
      <c r="C38" s="320" t="s">
        <v>259</v>
      </c>
      <c r="D38" s="323">
        <v>43</v>
      </c>
      <c r="E38" s="323">
        <v>11477</v>
      </c>
      <c r="F38" s="331">
        <v>12.153</v>
      </c>
      <c r="G38" s="323">
        <v>46</v>
      </c>
      <c r="H38" s="323">
        <v>12679</v>
      </c>
      <c r="I38" s="331">
        <v>8.5250000000000004</v>
      </c>
      <c r="J38" s="323">
        <v>16284</v>
      </c>
      <c r="K38" s="331">
        <v>16.690999999999999</v>
      </c>
      <c r="L38" s="150">
        <f>+(K38-F38)/F38</f>
        <v>0.37340574343783411</v>
      </c>
      <c r="M38" s="323">
        <v>60</v>
      </c>
      <c r="N38" s="323">
        <v>32807</v>
      </c>
      <c r="O38" s="323">
        <v>25.443000000000001</v>
      </c>
      <c r="P38" s="150">
        <f>+(O38-K38)/K38</f>
        <v>0.52435444251392982</v>
      </c>
      <c r="Q38" s="331">
        <v>17.266999999999999</v>
      </c>
      <c r="R38" s="331">
        <v>26.318999999999999</v>
      </c>
      <c r="S38" s="318"/>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8"/>
      <c r="AU38" s="318"/>
      <c r="AV38" s="318"/>
      <c r="AW38" s="318"/>
      <c r="AX38" s="318"/>
      <c r="AY38" s="318"/>
      <c r="AZ38" s="318"/>
      <c r="BA38" s="318"/>
      <c r="BB38" s="318"/>
      <c r="BC38" s="318"/>
      <c r="BD38" s="318"/>
    </row>
    <row r="39" spans="1:56" ht="20.25" customHeight="1">
      <c r="A39" s="320">
        <f t="shared" si="9"/>
        <v>18</v>
      </c>
      <c r="B39" s="319" t="s">
        <v>260</v>
      </c>
      <c r="C39" s="320" t="s">
        <v>259</v>
      </c>
      <c r="D39" s="323"/>
      <c r="E39" s="323"/>
      <c r="F39" s="331"/>
      <c r="G39" s="323"/>
      <c r="H39" s="323"/>
      <c r="I39" s="331"/>
      <c r="J39" s="323"/>
      <c r="K39" s="331"/>
      <c r="L39" s="323"/>
      <c r="M39" s="323"/>
      <c r="N39" s="323"/>
      <c r="O39" s="323"/>
      <c r="P39" s="323"/>
      <c r="Q39" s="331"/>
      <c r="R39" s="331"/>
      <c r="S39" s="318"/>
      <c r="T39" s="318"/>
      <c r="U39" s="318"/>
      <c r="V39" s="318"/>
      <c r="W39" s="318"/>
      <c r="X39" s="318"/>
      <c r="Y39" s="318"/>
      <c r="Z39" s="318"/>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c r="AY39" s="318"/>
      <c r="AZ39" s="318"/>
      <c r="BA39" s="318"/>
      <c r="BB39" s="318"/>
      <c r="BC39" s="318"/>
      <c r="BD39" s="318"/>
    </row>
    <row r="40" spans="1:56" ht="20.25" customHeight="1">
      <c r="A40" s="320">
        <f t="shared" si="9"/>
        <v>19</v>
      </c>
      <c r="B40" s="319" t="s">
        <v>254</v>
      </c>
      <c r="C40" s="320"/>
      <c r="D40" s="323">
        <v>118</v>
      </c>
      <c r="E40" s="323">
        <v>33188</v>
      </c>
      <c r="F40" s="331">
        <v>54.703000000000003</v>
      </c>
      <c r="G40" s="323">
        <v>127</v>
      </c>
      <c r="H40" s="323">
        <v>33547</v>
      </c>
      <c r="I40" s="331">
        <v>32.544000000000004</v>
      </c>
      <c r="J40" s="323">
        <v>35786</v>
      </c>
      <c r="K40" s="331">
        <v>59.686</v>
      </c>
      <c r="L40" s="150">
        <f>+(K40-F40)/F40</f>
        <v>9.1091896239694284E-2</v>
      </c>
      <c r="M40" s="323">
        <v>160</v>
      </c>
      <c r="N40" s="323">
        <v>44840</v>
      </c>
      <c r="O40" s="323">
        <v>69.808999999999997</v>
      </c>
      <c r="P40" s="150">
        <f>+(O40-K40)/K40</f>
        <v>0.16960426230606837</v>
      </c>
      <c r="Q40" s="331">
        <v>63.767000000000003</v>
      </c>
      <c r="R40" s="331">
        <v>74.994</v>
      </c>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row>
    <row r="41" spans="1:56" ht="20.25" customHeight="1">
      <c r="A41" s="320">
        <f t="shared" si="9"/>
        <v>20</v>
      </c>
      <c r="B41" s="319" t="s">
        <v>261</v>
      </c>
      <c r="C41" s="320" t="s">
        <v>259</v>
      </c>
      <c r="D41" s="323"/>
      <c r="E41" s="323"/>
      <c r="F41" s="331"/>
      <c r="G41" s="323"/>
      <c r="H41" s="323"/>
      <c r="I41" s="331"/>
      <c r="J41" s="323"/>
      <c r="K41" s="331"/>
      <c r="L41" s="323"/>
      <c r="M41" s="323"/>
      <c r="N41" s="323"/>
      <c r="O41" s="323"/>
      <c r="P41" s="323"/>
      <c r="Q41" s="331"/>
      <c r="R41" s="331"/>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row>
    <row r="42" spans="1:56" ht="20.25" customHeight="1">
      <c r="A42" s="320">
        <f t="shared" si="9"/>
        <v>21</v>
      </c>
      <c r="B42" s="319" t="s">
        <v>262</v>
      </c>
      <c r="C42" s="320" t="s">
        <v>259</v>
      </c>
      <c r="D42" s="323">
        <v>19</v>
      </c>
      <c r="E42" s="323">
        <v>6218</v>
      </c>
      <c r="F42" s="331">
        <v>10.523999999999999</v>
      </c>
      <c r="G42" s="323">
        <v>20</v>
      </c>
      <c r="H42" s="323">
        <v>7046</v>
      </c>
      <c r="I42" s="331">
        <v>6.8209999999999997</v>
      </c>
      <c r="J42" s="323">
        <v>14014</v>
      </c>
      <c r="K42" s="331">
        <v>14.752000000000001</v>
      </c>
      <c r="L42" s="150">
        <f>+(K42-F42)/F42</f>
        <v>0.40174838464462198</v>
      </c>
      <c r="M42" s="323">
        <v>51</v>
      </c>
      <c r="N42" s="323">
        <v>21908</v>
      </c>
      <c r="O42" s="323">
        <v>18.518000000000001</v>
      </c>
      <c r="P42" s="150">
        <f>+(O42-K42)/K42</f>
        <v>0.25528741865509763</v>
      </c>
      <c r="Q42" s="331">
        <v>16.838000000000001</v>
      </c>
      <c r="R42" s="331">
        <v>21.05</v>
      </c>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c r="BD42" s="318"/>
    </row>
    <row r="43" spans="1:56" ht="20.25" customHeight="1">
      <c r="A43" s="320">
        <f t="shared" si="9"/>
        <v>22</v>
      </c>
      <c r="B43" s="319" t="s">
        <v>255</v>
      </c>
      <c r="C43" s="320" t="s">
        <v>259</v>
      </c>
      <c r="D43" s="323">
        <v>319</v>
      </c>
      <c r="E43" s="323">
        <v>166615</v>
      </c>
      <c r="F43" s="331">
        <v>470.03200000000004</v>
      </c>
      <c r="G43" s="323">
        <v>342</v>
      </c>
      <c r="H43" s="323">
        <v>185007</v>
      </c>
      <c r="I43" s="331">
        <v>241.35000000000002</v>
      </c>
      <c r="J43" s="323">
        <v>198730</v>
      </c>
      <c r="K43" s="331">
        <v>482.03399999999999</v>
      </c>
      <c r="L43" s="150">
        <f>+(K43-F43)/F43</f>
        <v>2.5534431698267249E-2</v>
      </c>
      <c r="M43" s="323">
        <v>406</v>
      </c>
      <c r="N43" s="323">
        <v>223001</v>
      </c>
      <c r="O43" s="331">
        <v>538.78499999999997</v>
      </c>
      <c r="P43" s="150">
        <f>+(O43-K43)/K43</f>
        <v>0.11773235912819423</v>
      </c>
      <c r="Q43" s="331">
        <v>507.65199999999999</v>
      </c>
      <c r="R43" s="331">
        <v>569.51199999999994</v>
      </c>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row>
    <row r="44" spans="1:56" ht="20.25" customHeight="1">
      <c r="A44" s="320">
        <f t="shared" si="9"/>
        <v>23</v>
      </c>
      <c r="B44" s="319" t="s">
        <v>263</v>
      </c>
      <c r="C44" s="320" t="s">
        <v>259</v>
      </c>
      <c r="D44" s="323">
        <v>1</v>
      </c>
      <c r="E44" s="323">
        <v>555</v>
      </c>
      <c r="F44" s="331">
        <v>10.631999999999998</v>
      </c>
      <c r="G44" s="323">
        <v>1</v>
      </c>
      <c r="H44" s="323">
        <v>555</v>
      </c>
      <c r="I44" s="331">
        <v>0.36899999999999999</v>
      </c>
      <c r="J44" s="323">
        <v>555</v>
      </c>
      <c r="K44" s="331">
        <v>6.6639999999999997</v>
      </c>
      <c r="L44" s="150">
        <f>+(K44-F44)/F44</f>
        <v>-0.37321294206170041</v>
      </c>
      <c r="M44" s="323">
        <v>1</v>
      </c>
      <c r="N44" s="323">
        <v>10700</v>
      </c>
      <c r="O44" s="323">
        <v>25.32</v>
      </c>
      <c r="P44" s="150">
        <f>+(O44-K44)/K44</f>
        <v>2.7995198079231693</v>
      </c>
      <c r="Q44" s="331">
        <v>6.9960000000000004</v>
      </c>
      <c r="R44" s="331">
        <v>25.632999999999999</v>
      </c>
      <c r="S44" s="318"/>
      <c r="T44" s="318"/>
      <c r="U44" s="318"/>
      <c r="V44" s="318"/>
      <c r="W44" s="318"/>
      <c r="X44" s="318"/>
      <c r="Y44" s="318"/>
      <c r="Z44" s="318"/>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c r="AY44" s="318"/>
      <c r="AZ44" s="318"/>
      <c r="BA44" s="318"/>
      <c r="BB44" s="318"/>
      <c r="BC44" s="318"/>
      <c r="BD44" s="318"/>
    </row>
    <row r="45" spans="1:56" ht="20.25" customHeight="1">
      <c r="A45" s="320">
        <f t="shared" si="9"/>
        <v>24</v>
      </c>
      <c r="B45" s="319" t="s">
        <v>264</v>
      </c>
      <c r="C45" s="320" t="s">
        <v>259</v>
      </c>
      <c r="D45" s="323"/>
      <c r="E45" s="323"/>
      <c r="F45" s="331"/>
      <c r="G45" s="323"/>
      <c r="H45" s="323"/>
      <c r="I45" s="331"/>
      <c r="J45" s="323"/>
      <c r="K45" s="331"/>
      <c r="L45" s="323"/>
      <c r="M45" s="323"/>
      <c r="N45" s="323"/>
      <c r="O45" s="323"/>
      <c r="P45" s="323"/>
      <c r="Q45" s="331"/>
      <c r="R45" s="331"/>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row>
    <row r="46" spans="1:56" ht="20.25" customHeight="1">
      <c r="A46" s="320">
        <f t="shared" si="9"/>
        <v>25</v>
      </c>
      <c r="B46" s="319" t="s">
        <v>265</v>
      </c>
      <c r="C46" s="320" t="s">
        <v>259</v>
      </c>
      <c r="D46" s="323"/>
      <c r="E46" s="323"/>
      <c r="F46" s="331"/>
      <c r="G46" s="323"/>
      <c r="H46" s="323"/>
      <c r="I46" s="331"/>
      <c r="J46" s="323"/>
      <c r="K46" s="331"/>
      <c r="L46" s="323"/>
      <c r="M46" s="323"/>
      <c r="N46" s="323"/>
      <c r="O46" s="323"/>
      <c r="P46" s="323"/>
      <c r="Q46" s="331"/>
      <c r="R46" s="331"/>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row>
    <row r="47" spans="1:56" ht="20.25" customHeight="1">
      <c r="A47" s="320">
        <f t="shared" si="9"/>
        <v>26</v>
      </c>
      <c r="B47" s="319" t="s">
        <v>266</v>
      </c>
      <c r="C47" s="320"/>
      <c r="D47" s="323">
        <v>2</v>
      </c>
      <c r="E47" s="323">
        <v>3100</v>
      </c>
      <c r="F47" s="331">
        <v>0.14200000000000002</v>
      </c>
      <c r="G47" s="323">
        <v>2</v>
      </c>
      <c r="H47" s="323">
        <v>3100</v>
      </c>
      <c r="I47" s="331">
        <v>0.36299999999999999</v>
      </c>
      <c r="J47" s="323">
        <v>3100</v>
      </c>
      <c r="K47" s="331">
        <v>0.371</v>
      </c>
      <c r="L47" s="150">
        <f>+(K47-F47)/F47</f>
        <v>1.6126760563380278</v>
      </c>
      <c r="M47" s="323">
        <v>2</v>
      </c>
      <c r="N47" s="323">
        <v>3100</v>
      </c>
      <c r="O47" s="323">
        <v>1.7999999999999999E-2</v>
      </c>
      <c r="P47" s="150">
        <f>+(O47-K47)/K47</f>
        <v>-0.95148247978436651</v>
      </c>
      <c r="Q47" s="331">
        <v>0.38700000000000001</v>
      </c>
      <c r="R47" s="331">
        <v>1.7999999999999999E-2</v>
      </c>
      <c r="S47" s="318"/>
      <c r="T47" s="318"/>
      <c r="U47" s="318"/>
      <c r="V47" s="318"/>
      <c r="W47" s="318"/>
      <c r="X47" s="318"/>
      <c r="Y47" s="318"/>
      <c r="Z47" s="318"/>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c r="BD47" s="318"/>
    </row>
    <row r="48" spans="1:56" ht="20.25" customHeight="1">
      <c r="A48" s="320">
        <f t="shared" si="9"/>
        <v>27</v>
      </c>
      <c r="B48" s="319" t="s">
        <v>267</v>
      </c>
      <c r="C48" s="320" t="s">
        <v>259</v>
      </c>
      <c r="D48" s="323"/>
      <c r="E48" s="323"/>
      <c r="F48" s="331"/>
      <c r="G48" s="323"/>
      <c r="H48" s="323"/>
      <c r="I48" s="331"/>
      <c r="J48" s="323"/>
      <c r="K48" s="331"/>
      <c r="L48" s="323"/>
      <c r="M48" s="323"/>
      <c r="N48" s="323"/>
      <c r="O48" s="323"/>
      <c r="P48" s="323"/>
      <c r="Q48" s="331"/>
      <c r="R48" s="331"/>
      <c r="S48" s="318"/>
      <c r="T48" s="318"/>
      <c r="U48" s="318"/>
      <c r="V48" s="318"/>
      <c r="W48" s="318"/>
      <c r="X48" s="318"/>
      <c r="Y48" s="318"/>
      <c r="Z48" s="318"/>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c r="BD48" s="318"/>
    </row>
    <row r="49" spans="1:56" s="330" customFormat="1" ht="20.25" customHeight="1">
      <c r="A49" s="327"/>
      <c r="B49" s="328" t="s">
        <v>256</v>
      </c>
      <c r="C49" s="327"/>
      <c r="D49" s="334">
        <f t="shared" ref="D49:E49" si="10">SUM(D34:D48)</f>
        <v>614</v>
      </c>
      <c r="E49" s="334">
        <f t="shared" si="10"/>
        <v>266293</v>
      </c>
      <c r="F49" s="335">
        <f t="shared" ref="F49:K49" si="11">SUM(F34:F48)</f>
        <v>625.41700000000003</v>
      </c>
      <c r="G49" s="334">
        <f t="shared" si="11"/>
        <v>659</v>
      </c>
      <c r="H49" s="334">
        <f t="shared" si="11"/>
        <v>314702</v>
      </c>
      <c r="I49" s="335">
        <f t="shared" si="11"/>
        <v>333.51300000000003</v>
      </c>
      <c r="J49" s="334">
        <f t="shared" si="11"/>
        <v>348669</v>
      </c>
      <c r="K49" s="335">
        <f t="shared" si="11"/>
        <v>665.56799999999998</v>
      </c>
      <c r="L49" s="149">
        <f>+(K49-F49)/F49</f>
        <v>6.4198766582935787E-2</v>
      </c>
      <c r="M49" s="334">
        <f>SUM(M34:M48)</f>
        <v>818</v>
      </c>
      <c r="N49" s="334">
        <f>SUM(N34:N48)</f>
        <v>420814</v>
      </c>
      <c r="O49" s="335">
        <f>SUM(O34:O48)</f>
        <v>773.04600000000005</v>
      </c>
      <c r="P49" s="149">
        <f>+(O49-K49)/K49</f>
        <v>0.16148312418866301</v>
      </c>
      <c r="Q49" s="335">
        <f t="shared" ref="Q49:R49" si="12">SUM(Q34:Q48)</f>
        <v>706.48899999999992</v>
      </c>
      <c r="R49" s="335">
        <f t="shared" si="12"/>
        <v>821.84699999999998</v>
      </c>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row>
    <row r="50" spans="1:56" ht="20.25" customHeight="1">
      <c r="A50" s="319"/>
      <c r="B50" s="317" t="s">
        <v>268</v>
      </c>
      <c r="C50" s="320"/>
      <c r="D50" s="323"/>
      <c r="E50" s="323"/>
      <c r="F50" s="331"/>
      <c r="G50" s="323"/>
      <c r="H50" s="323"/>
      <c r="I50" s="323"/>
      <c r="J50" s="323"/>
      <c r="K50" s="331"/>
      <c r="L50" s="323"/>
      <c r="M50" s="323"/>
      <c r="N50" s="323"/>
      <c r="O50" s="331"/>
      <c r="P50" s="323"/>
      <c r="Q50" s="331"/>
      <c r="R50" s="331"/>
      <c r="S50" s="318"/>
      <c r="T50" s="318"/>
      <c r="U50" s="318"/>
      <c r="V50" s="318"/>
      <c r="W50" s="645" t="s">
        <v>269</v>
      </c>
      <c r="X50" s="318">
        <v>3.35</v>
      </c>
      <c r="Y50" s="318"/>
      <c r="Z50" s="318"/>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row>
    <row r="51" spans="1:56" ht="20.25" customHeight="1">
      <c r="A51" s="320">
        <f>A48+1</f>
        <v>28</v>
      </c>
      <c r="B51" s="319" t="s">
        <v>270</v>
      </c>
      <c r="C51" s="320" t="s">
        <v>271</v>
      </c>
      <c r="D51" s="319">
        <v>1</v>
      </c>
      <c r="E51" s="323">
        <v>20000</v>
      </c>
      <c r="F51" s="331">
        <v>85.942999999999998</v>
      </c>
      <c r="G51" s="319">
        <v>1</v>
      </c>
      <c r="H51" s="323">
        <v>20000</v>
      </c>
      <c r="I51" s="323">
        <v>42.305</v>
      </c>
      <c r="J51" s="323">
        <v>20000</v>
      </c>
      <c r="K51" s="331">
        <v>91.807000000000002</v>
      </c>
      <c r="L51" s="150">
        <f>+(K51-F51)/F51</f>
        <v>6.8231269562384428E-2</v>
      </c>
      <c r="M51" s="319">
        <v>1</v>
      </c>
      <c r="N51" s="323">
        <v>20000</v>
      </c>
      <c r="O51" s="331">
        <v>93.081999999999994</v>
      </c>
      <c r="P51" s="150">
        <f>+(O51-K51)/K51</f>
        <v>1.3887829904037726E-2</v>
      </c>
      <c r="Q51" s="331">
        <v>91.917000000000002</v>
      </c>
      <c r="R51" s="331">
        <v>93.194000000000003</v>
      </c>
      <c r="S51" s="318"/>
      <c r="T51" s="318"/>
      <c r="U51" s="318"/>
      <c r="V51" s="318"/>
      <c r="W51" s="645" t="s">
        <v>272</v>
      </c>
      <c r="X51" s="318">
        <v>0.24</v>
      </c>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8"/>
    </row>
    <row r="52" spans="1:56" ht="20.25" customHeight="1">
      <c r="A52" s="320">
        <f t="shared" ref="A52:A58" si="13">A51+1</f>
        <v>29</v>
      </c>
      <c r="B52" s="319" t="s">
        <v>255</v>
      </c>
      <c r="C52" s="320" t="s">
        <v>271</v>
      </c>
      <c r="D52" s="319">
        <v>22</v>
      </c>
      <c r="E52" s="323">
        <v>372667.00000000006</v>
      </c>
      <c r="F52" s="331">
        <v>1758.4170000000004</v>
      </c>
      <c r="G52" s="319">
        <v>26</v>
      </c>
      <c r="H52" s="323">
        <f>525334-H54-13000</f>
        <v>495667</v>
      </c>
      <c r="I52" s="323">
        <v>1078.3170000000002</v>
      </c>
      <c r="J52" s="1121">
        <f>496334-16667</f>
        <v>479667</v>
      </c>
      <c r="K52" s="331">
        <v>2246.2269999999999</v>
      </c>
      <c r="L52" s="150">
        <f>+(K52-F52)/F52</f>
        <v>0.27741428796468609</v>
      </c>
      <c r="M52" s="319">
        <v>25</v>
      </c>
      <c r="N52" s="323">
        <v>542667</v>
      </c>
      <c r="O52" s="331">
        <v>2417.232</v>
      </c>
      <c r="P52" s="150">
        <f>+(O52-K52)/K52</f>
        <v>7.6129883578106808E-2</v>
      </c>
      <c r="Q52" s="331">
        <v>2267.5839999999998</v>
      </c>
      <c r="R52" s="331">
        <v>2440.623</v>
      </c>
      <c r="S52" s="318"/>
      <c r="T52" s="318" t="s">
        <v>273</v>
      </c>
      <c r="U52" s="318"/>
      <c r="V52" s="318"/>
      <c r="W52" s="645" t="s">
        <v>274</v>
      </c>
      <c r="X52" s="329">
        <f>+X50+X51</f>
        <v>3.59</v>
      </c>
      <c r="Y52" s="318"/>
      <c r="Z52" s="318"/>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row>
    <row r="53" spans="1:56" ht="20.25" customHeight="1">
      <c r="A53" s="320">
        <f t="shared" si="13"/>
        <v>30</v>
      </c>
      <c r="B53" s="319" t="s">
        <v>265</v>
      </c>
      <c r="C53" s="320" t="s">
        <v>271</v>
      </c>
      <c r="D53" s="319">
        <v>8</v>
      </c>
      <c r="E53" s="323">
        <v>145000</v>
      </c>
      <c r="F53" s="331">
        <v>463.17399999999998</v>
      </c>
      <c r="G53" s="319">
        <v>8</v>
      </c>
      <c r="H53" s="323">
        <v>151000</v>
      </c>
      <c r="I53" s="323">
        <v>230.82900000000001</v>
      </c>
      <c r="J53" s="1121">
        <v>158500</v>
      </c>
      <c r="K53" s="331">
        <v>470.77600000000001</v>
      </c>
      <c r="L53" s="150">
        <f>+(K53-F53)/F53</f>
        <v>1.641283837175669E-2</v>
      </c>
      <c r="M53" s="319">
        <v>9</v>
      </c>
      <c r="N53" s="323">
        <v>164500</v>
      </c>
      <c r="O53" s="331">
        <v>477.31400000000002</v>
      </c>
      <c r="P53" s="150">
        <f>+(O53-K53)/K53</f>
        <v>1.3887708804187153E-2</v>
      </c>
      <c r="Q53" s="331">
        <v>482.38</v>
      </c>
      <c r="R53" s="331">
        <v>489.08</v>
      </c>
      <c r="S53" s="323" t="s">
        <v>275</v>
      </c>
      <c r="T53" s="609">
        <f>+O53*X52/10</f>
        <v>171.355726</v>
      </c>
      <c r="U53" s="577" t="e">
        <f>+'[18]F-6'!Q34</f>
        <v>#DIV/0!</v>
      </c>
      <c r="V53" s="577" t="e">
        <f>ROUND((U53-T53),2)</f>
        <v>#DIV/0!</v>
      </c>
      <c r="W53" s="318"/>
      <c r="X53" s="318"/>
      <c r="Y53" s="318"/>
      <c r="Z53" s="318"/>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c r="BD53" s="318"/>
    </row>
    <row r="54" spans="1:56" ht="20.25" customHeight="1">
      <c r="A54" s="320">
        <f t="shared" si="13"/>
        <v>31</v>
      </c>
      <c r="B54" s="319" t="s">
        <v>276</v>
      </c>
      <c r="C54" s="320" t="s">
        <v>271</v>
      </c>
      <c r="D54" s="319">
        <v>1</v>
      </c>
      <c r="E54" s="323">
        <v>16667</v>
      </c>
      <c r="F54" s="331">
        <v>139.803</v>
      </c>
      <c r="G54" s="319">
        <v>1</v>
      </c>
      <c r="H54" s="323">
        <v>16667</v>
      </c>
      <c r="I54" s="323">
        <v>175.11799999999999</v>
      </c>
      <c r="J54" s="1121">
        <f>44000+16667</f>
        <v>60667</v>
      </c>
      <c r="K54" s="331">
        <v>374.166</v>
      </c>
      <c r="L54" s="150">
        <f>+(K54-F54)/F54</f>
        <v>1.6763803351859403</v>
      </c>
      <c r="M54" s="319">
        <v>2</v>
      </c>
      <c r="N54" s="1121">
        <v>88667</v>
      </c>
      <c r="O54" s="331">
        <v>434.55099999999999</v>
      </c>
      <c r="P54" s="150">
        <f>+(O54-K54)/K54</f>
        <v>0.16138558821485649</v>
      </c>
      <c r="Q54" s="331">
        <v>378.65800000000002</v>
      </c>
      <c r="R54" s="331">
        <v>445.23700000000002</v>
      </c>
      <c r="S54" s="323" t="s">
        <v>277</v>
      </c>
      <c r="T54" s="609">
        <f>+'[18]T-7_Ensuing_Year'!Z57</f>
        <v>319.92242039999996</v>
      </c>
      <c r="U54" s="577">
        <f>+'[18]T-7_Ensuing_Year'!Z65</f>
        <v>4033.3444813605356</v>
      </c>
      <c r="V54" s="577">
        <f>ROUND((U54-T54),2)</f>
        <v>3713.42</v>
      </c>
      <c r="W54" s="318"/>
      <c r="X54" s="318"/>
      <c r="Y54" s="318"/>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318"/>
      <c r="AW54" s="318"/>
      <c r="AX54" s="318"/>
      <c r="AY54" s="318"/>
      <c r="AZ54" s="318"/>
      <c r="BA54" s="318"/>
      <c r="BB54" s="318"/>
      <c r="BC54" s="318"/>
      <c r="BD54" s="318"/>
    </row>
    <row r="55" spans="1:56" ht="20.25" customHeight="1">
      <c r="A55" s="320">
        <f t="shared" si="13"/>
        <v>32</v>
      </c>
      <c r="B55" s="319" t="s">
        <v>263</v>
      </c>
      <c r="C55" s="320" t="s">
        <v>271</v>
      </c>
      <c r="D55" s="319">
        <v>3</v>
      </c>
      <c r="E55" s="323">
        <v>35000</v>
      </c>
      <c r="F55" s="331">
        <v>203.44499999999999</v>
      </c>
      <c r="G55" s="319">
        <v>3</v>
      </c>
      <c r="H55" s="323">
        <f>22000+13000</f>
        <v>35000</v>
      </c>
      <c r="I55" s="323">
        <v>77.984000000000009</v>
      </c>
      <c r="J55" s="1121">
        <v>41500</v>
      </c>
      <c r="K55" s="331">
        <v>131.20699999999999</v>
      </c>
      <c r="L55" s="150">
        <f>+(K55-F55)/F55</f>
        <v>-0.35507385288407189</v>
      </c>
      <c r="M55" s="319">
        <v>3</v>
      </c>
      <c r="N55" s="323">
        <v>41500</v>
      </c>
      <c r="O55" s="331">
        <v>133.029</v>
      </c>
      <c r="P55" s="150">
        <f>+(O55-K55)/K55</f>
        <v>1.3886454228814033E-2</v>
      </c>
      <c r="Q55" s="331">
        <v>132.66300000000001</v>
      </c>
      <c r="R55" s="331">
        <v>134.506</v>
      </c>
      <c r="S55" s="323" t="s">
        <v>278</v>
      </c>
      <c r="T55" s="610">
        <f>+T53-T54</f>
        <v>-148.56669439999996</v>
      </c>
      <c r="U55" s="577">
        <f>+U54-T54</f>
        <v>3713.4220609605354</v>
      </c>
      <c r="V55" s="577" t="e">
        <f>+V53-V54</f>
        <v>#DIV/0!</v>
      </c>
      <c r="W55" s="318"/>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row>
    <row r="56" spans="1:56" ht="20.25" customHeight="1">
      <c r="A56" s="320">
        <f t="shared" si="13"/>
        <v>33</v>
      </c>
      <c r="B56" s="319" t="s">
        <v>264</v>
      </c>
      <c r="C56" s="320" t="s">
        <v>271</v>
      </c>
      <c r="D56" s="319"/>
      <c r="E56" s="323"/>
      <c r="F56" s="331"/>
      <c r="G56" s="319"/>
      <c r="H56" s="323"/>
      <c r="I56" s="323"/>
      <c r="J56" s="323"/>
      <c r="K56" s="331"/>
      <c r="L56" s="323"/>
      <c r="M56" s="319"/>
      <c r="N56" s="323"/>
      <c r="O56" s="331"/>
      <c r="P56" s="323"/>
      <c r="Q56" s="331"/>
      <c r="R56" s="331"/>
      <c r="S56" s="323" t="s">
        <v>279</v>
      </c>
      <c r="T56" s="609" t="e">
        <f>+'[18]F-6'!M34/100</f>
        <v>#DIV/0!</v>
      </c>
      <c r="U56" s="318"/>
      <c r="V56" s="577"/>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row>
    <row r="57" spans="1:56" ht="20.25" customHeight="1">
      <c r="A57" s="320">
        <f t="shared" si="13"/>
        <v>34</v>
      </c>
      <c r="B57" s="319" t="s">
        <v>280</v>
      </c>
      <c r="C57" s="320" t="s">
        <v>271</v>
      </c>
      <c r="D57" s="319">
        <v>2</v>
      </c>
      <c r="E57" s="323">
        <v>13333</v>
      </c>
      <c r="F57" s="331">
        <v>1.149</v>
      </c>
      <c r="G57" s="319">
        <v>2</v>
      </c>
      <c r="H57" s="323">
        <v>13333</v>
      </c>
      <c r="I57" s="323">
        <v>0.34800000000000003</v>
      </c>
      <c r="J57" s="1121">
        <v>13333</v>
      </c>
      <c r="K57" s="331">
        <v>0.38300000000000001</v>
      </c>
      <c r="L57" s="150">
        <f>+(K57-F57)/F57</f>
        <v>-0.66666666666666663</v>
      </c>
      <c r="M57" s="319">
        <v>2</v>
      </c>
      <c r="N57" s="1121">
        <v>13333</v>
      </c>
      <c r="O57" s="331">
        <v>7.1999999999999995E-2</v>
      </c>
      <c r="P57" s="150">
        <f>+(O57-K57)/K57</f>
        <v>-0.81201044386422971</v>
      </c>
      <c r="Q57" s="331">
        <v>0.41</v>
      </c>
      <c r="R57" s="331">
        <v>7.1999999999999995E-2</v>
      </c>
      <c r="S57" s="323" t="s">
        <v>281</v>
      </c>
      <c r="T57" s="608" t="e">
        <f>+T55+T56</f>
        <v>#DIV/0!</v>
      </c>
      <c r="U57" s="318"/>
      <c r="V57" s="577"/>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row>
    <row r="58" spans="1:56" ht="20.25" customHeight="1">
      <c r="A58" s="320">
        <f t="shared" si="13"/>
        <v>35</v>
      </c>
      <c r="B58" s="319" t="s">
        <v>267</v>
      </c>
      <c r="C58" s="320" t="s">
        <v>271</v>
      </c>
      <c r="D58" s="319"/>
      <c r="E58" s="323"/>
      <c r="F58" s="331"/>
      <c r="G58" s="319"/>
      <c r="H58" s="323"/>
      <c r="I58" s="323"/>
      <c r="J58" s="323"/>
      <c r="K58" s="331"/>
      <c r="L58" s="323"/>
      <c r="M58" s="319"/>
      <c r="N58" s="323"/>
      <c r="O58" s="331"/>
      <c r="P58" s="323"/>
      <c r="Q58" s="331"/>
      <c r="R58" s="331"/>
      <c r="S58" s="318"/>
      <c r="T58" s="318"/>
      <c r="U58" s="318"/>
      <c r="V58" s="577"/>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row>
    <row r="59" spans="1:56" s="330" customFormat="1" ht="20.25" customHeight="1">
      <c r="A59" s="327"/>
      <c r="B59" s="328" t="s">
        <v>256</v>
      </c>
      <c r="C59" s="334"/>
      <c r="D59" s="334">
        <f t="shared" ref="D59:E59" si="14">SUM(D51:D58)</f>
        <v>37</v>
      </c>
      <c r="E59" s="334">
        <f t="shared" si="14"/>
        <v>602667</v>
      </c>
      <c r="F59" s="335">
        <f t="shared" ref="F59:K59" si="15">SUM(F51:F58)</f>
        <v>2651.9310000000005</v>
      </c>
      <c r="G59" s="334">
        <f t="shared" si="15"/>
        <v>41</v>
      </c>
      <c r="H59" s="334">
        <f t="shared" si="15"/>
        <v>731667</v>
      </c>
      <c r="I59" s="334">
        <f t="shared" si="15"/>
        <v>1604.9010000000001</v>
      </c>
      <c r="J59" s="334">
        <f t="shared" si="15"/>
        <v>773667</v>
      </c>
      <c r="K59" s="335">
        <f t="shared" si="15"/>
        <v>3314.5659999999993</v>
      </c>
      <c r="L59" s="149">
        <f>+(K59-F59)/F59</f>
        <v>0.24986886913724329</v>
      </c>
      <c r="M59" s="334">
        <f>SUM(M51:M58)</f>
        <v>42</v>
      </c>
      <c r="N59" s="334">
        <f>SUM(N51:N58)</f>
        <v>870667</v>
      </c>
      <c r="O59" s="335">
        <f>SUM(O51:O58)</f>
        <v>3555.2799999999997</v>
      </c>
      <c r="P59" s="149">
        <f>+(O59-K59)/K59</f>
        <v>7.2623082478973242E-2</v>
      </c>
      <c r="Q59" s="335">
        <f t="shared" ref="Q59:R59" si="16">SUM(Q51:Q58)</f>
        <v>3353.6119999999996</v>
      </c>
      <c r="R59" s="335">
        <f t="shared" si="16"/>
        <v>3602.712</v>
      </c>
      <c r="S59" s="329"/>
      <c r="T59" s="576"/>
      <c r="U59" s="329"/>
      <c r="V59" s="581"/>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row>
    <row r="60" spans="1:56" s="330" customFormat="1" ht="20.25" customHeight="1">
      <c r="A60" s="327"/>
      <c r="B60" s="328"/>
      <c r="C60" s="327"/>
      <c r="D60" s="334"/>
      <c r="E60" s="332"/>
      <c r="F60" s="333"/>
      <c r="G60" s="334"/>
      <c r="H60" s="332"/>
      <c r="I60" s="332"/>
      <c r="J60" s="332"/>
      <c r="K60" s="333"/>
      <c r="L60" s="332"/>
      <c r="M60" s="334"/>
      <c r="N60" s="332"/>
      <c r="O60" s="332"/>
      <c r="P60" s="332"/>
      <c r="Q60" s="331"/>
      <c r="R60" s="331"/>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row>
    <row r="61" spans="1:56" s="330" customFormat="1" ht="20.25" customHeight="1">
      <c r="A61" s="327"/>
      <c r="B61" s="317" t="s">
        <v>282</v>
      </c>
      <c r="C61" s="327"/>
      <c r="D61" s="334">
        <f t="shared" ref="D61:K61" si="17">+D32+D49+D59</f>
        <v>2089083</v>
      </c>
      <c r="E61" s="334">
        <f t="shared" si="17"/>
        <v>3274996</v>
      </c>
      <c r="F61" s="335">
        <f t="shared" si="17"/>
        <v>5410.0520000000006</v>
      </c>
      <c r="G61" s="334">
        <f t="shared" si="17"/>
        <v>2041588</v>
      </c>
      <c r="H61" s="334">
        <f t="shared" si="17"/>
        <v>3562535</v>
      </c>
      <c r="I61" s="335">
        <f t="shared" si="17"/>
        <v>3272.2030000000004</v>
      </c>
      <c r="J61" s="334">
        <f t="shared" si="17"/>
        <v>3641864</v>
      </c>
      <c r="K61" s="335">
        <f t="shared" si="17"/>
        <v>6463.7109999999993</v>
      </c>
      <c r="L61" s="149">
        <f>+(K61-F61)/F61</f>
        <v>0.19475949584218388</v>
      </c>
      <c r="M61" s="334">
        <f>+M32+M49+M59</f>
        <v>1994409</v>
      </c>
      <c r="N61" s="334">
        <f>+N32+N49+N59</f>
        <v>3731819</v>
      </c>
      <c r="O61" s="335">
        <f>+O32+O49+O59</f>
        <v>7007.1080000000002</v>
      </c>
      <c r="P61" s="149">
        <f>+(O61-K61)/K61</f>
        <v>8.4068888599753436E-2</v>
      </c>
      <c r="Q61" s="331"/>
      <c r="R61" s="331"/>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row>
    <row r="62" spans="1:56" ht="20.25" customHeight="1">
      <c r="A62" s="320">
        <v>36</v>
      </c>
      <c r="B62" s="319" t="s">
        <v>283</v>
      </c>
      <c r="C62" s="320"/>
      <c r="D62" s="323"/>
      <c r="E62" s="323"/>
      <c r="F62" s="331">
        <f>'T-6_22-23'!H63</f>
        <v>6473.3230000000003</v>
      </c>
      <c r="G62" s="323"/>
      <c r="H62" s="323"/>
      <c r="I62" s="319">
        <f>'T-6'!H63</f>
        <v>3842.8229999999999</v>
      </c>
      <c r="J62" s="319"/>
      <c r="K62" s="319">
        <v>7717.8639999999996</v>
      </c>
      <c r="L62" s="319"/>
      <c r="M62" s="319"/>
      <c r="N62" s="319"/>
      <c r="O62" s="319">
        <v>8161.085</v>
      </c>
      <c r="P62" s="319"/>
      <c r="Q62" s="318"/>
      <c r="R62" s="318"/>
      <c r="S62" s="329"/>
      <c r="T62" s="575"/>
      <c r="U62" s="318"/>
      <c r="V62" s="318"/>
      <c r="W62" s="318"/>
      <c r="X62" s="318"/>
      <c r="Y62" s="318"/>
      <c r="Z62" s="318"/>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row>
    <row r="63" spans="1:56" ht="20.25" customHeight="1">
      <c r="A63" s="320">
        <f>A62+1</f>
        <v>37</v>
      </c>
      <c r="B63" s="319" t="s">
        <v>284</v>
      </c>
      <c r="C63" s="328"/>
      <c r="D63" s="323"/>
      <c r="E63" s="323"/>
      <c r="F63" s="331">
        <f>+F62-F61</f>
        <v>1063.2709999999997</v>
      </c>
      <c r="G63" s="323"/>
      <c r="H63" s="323"/>
      <c r="I63" s="331">
        <f>+I62-I61</f>
        <v>570.61999999999944</v>
      </c>
      <c r="J63" s="319"/>
      <c r="K63" s="331">
        <f>+K62-K61</f>
        <v>1254.1530000000002</v>
      </c>
      <c r="L63" s="319"/>
      <c r="M63" s="319"/>
      <c r="N63" s="319"/>
      <c r="O63" s="331">
        <f>+O62-O61</f>
        <v>1153.9769999999999</v>
      </c>
      <c r="P63" s="319"/>
      <c r="Q63" s="318"/>
      <c r="R63" s="318"/>
      <c r="S63" s="329"/>
      <c r="T63" s="318"/>
      <c r="U63" s="318"/>
      <c r="V63" s="318"/>
      <c r="W63" s="318"/>
      <c r="X63" s="318"/>
      <c r="Y63" s="318"/>
      <c r="Z63" s="318"/>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c r="BD63" s="318"/>
    </row>
    <row r="64" spans="1:56" s="330" customFormat="1" ht="20.25" customHeight="1">
      <c r="A64" s="327">
        <f>A63+1</f>
        <v>38</v>
      </c>
      <c r="B64" s="334" t="s">
        <v>285</v>
      </c>
      <c r="C64" s="327"/>
      <c r="D64" s="332"/>
      <c r="E64" s="332"/>
      <c r="F64" s="1130">
        <f>+F63/F62</f>
        <v>0.164254278675728</v>
      </c>
      <c r="G64" s="332"/>
      <c r="H64" s="332"/>
      <c r="I64" s="1130">
        <f>+I63/I62</f>
        <v>0.14848979513238039</v>
      </c>
      <c r="J64" s="1131"/>
      <c r="K64" s="1130">
        <f>+K63/K62</f>
        <v>0.16250001295695291</v>
      </c>
      <c r="L64" s="334"/>
      <c r="M64" s="334"/>
      <c r="N64" s="334"/>
      <c r="O64" s="1130">
        <f>+O63/O62</f>
        <v>0.14139994865878738</v>
      </c>
      <c r="P64" s="334"/>
      <c r="Q64" s="329"/>
      <c r="R64" s="1019"/>
      <c r="S64" s="1018"/>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row>
    <row r="65" spans="1:56" ht="20.25" customHeight="1">
      <c r="A65" s="320">
        <f>A64+1</f>
        <v>39</v>
      </c>
      <c r="B65" s="319" t="s">
        <v>286</v>
      </c>
      <c r="C65" s="320"/>
      <c r="D65" s="323"/>
      <c r="E65" s="323"/>
      <c r="F65" s="1132">
        <f>'T-6_22-23'!H66</f>
        <v>1.0605557650219672</v>
      </c>
      <c r="G65" s="323"/>
      <c r="H65" s="323"/>
      <c r="I65" s="1133">
        <f>'T-6'!H66</f>
        <v>0.99025082699806788</v>
      </c>
      <c r="J65" s="319"/>
      <c r="K65" s="1132">
        <v>0.99</v>
      </c>
      <c r="L65" s="1133"/>
      <c r="M65" s="1133"/>
      <c r="N65" s="1133"/>
      <c r="O65" s="1133">
        <v>0.99</v>
      </c>
      <c r="P65" s="319"/>
      <c r="Q65" s="318"/>
      <c r="R65" s="318"/>
      <c r="S65" s="575"/>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row>
    <row r="66" spans="1:56" s="330" customFormat="1" ht="20.25" customHeight="1">
      <c r="A66" s="327">
        <f>A65+1</f>
        <v>40</v>
      </c>
      <c r="B66" s="334" t="s">
        <v>287</v>
      </c>
      <c r="C66" s="327"/>
      <c r="D66" s="332"/>
      <c r="E66" s="1134"/>
      <c r="F66" s="1130">
        <f>1-((1-F64)*F65)</f>
        <v>0.11364505715710083</v>
      </c>
      <c r="G66" s="332"/>
      <c r="H66" s="332"/>
      <c r="I66" s="1130">
        <f>1-((1-I64)*I65)</f>
        <v>0.15679131543254543</v>
      </c>
      <c r="J66" s="334"/>
      <c r="K66" s="1130">
        <f>1-((1-K64)*K65)</f>
        <v>0.17087501282738338</v>
      </c>
      <c r="L66" s="334"/>
      <c r="M66" s="334"/>
      <c r="N66" s="334"/>
      <c r="O66" s="1130">
        <f>1-((1-O64)*O65)</f>
        <v>0.14998594917219954</v>
      </c>
      <c r="P66" s="334"/>
      <c r="Q66" s="329"/>
      <c r="R66" s="1018"/>
      <c r="S66" s="576"/>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c r="AS66" s="329"/>
      <c r="AT66" s="329"/>
      <c r="AU66" s="329"/>
      <c r="AV66" s="329"/>
      <c r="AW66" s="329"/>
      <c r="AX66" s="329"/>
      <c r="AY66" s="329"/>
      <c r="AZ66" s="329"/>
      <c r="BA66" s="329"/>
      <c r="BB66" s="329"/>
      <c r="BC66" s="329"/>
      <c r="BD66" s="329"/>
    </row>
    <row r="68" spans="1:56">
      <c r="M68" s="308">
        <f>G61-M61</f>
        <v>47179</v>
      </c>
    </row>
    <row r="70" spans="1:56">
      <c r="O70" s="575"/>
    </row>
    <row r="71" spans="1:56">
      <c r="O71" s="575"/>
    </row>
    <row r="72" spans="1:56">
      <c r="O72" s="575"/>
    </row>
    <row r="73" spans="1:56">
      <c r="O73" s="576"/>
    </row>
    <row r="74" spans="1:56">
      <c r="O74" s="575"/>
    </row>
  </sheetData>
  <mergeCells count="7">
    <mergeCell ref="A2:P2"/>
    <mergeCell ref="A4:A5"/>
    <mergeCell ref="C4:F4"/>
    <mergeCell ref="G4:I4"/>
    <mergeCell ref="J4:L4"/>
    <mergeCell ref="M4:P4"/>
    <mergeCell ref="B4:B5"/>
  </mergeCells>
  <printOptions horizontalCentered="1"/>
  <pageMargins left="0.15748031496062992" right="0.15748031496062992" top="0.47244094488188981" bottom="0.19685039370078741" header="0.39370078740157483" footer="0.15748031496062992"/>
  <pageSetup paperSize="9" scale="64" orientation="landscape" blackAndWhite="1" r:id="rId1"/>
  <headerFooter alignWithMargins="0"/>
  <rowBreaks count="1" manualBreakCount="1">
    <brk id="32" max="1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tabColor rgb="FF008000"/>
  </sheetPr>
  <dimension ref="A1:AJ204"/>
  <sheetViews>
    <sheetView showZeros="0" view="pageBreakPreview" zoomScaleSheetLayoutView="100" workbookViewId="0">
      <pane xSplit="4" ySplit="8" topLeftCell="E30" activePane="bottomRight" state="frozen"/>
      <selection pane="bottomRight" activeCell="K18" sqref="K18"/>
      <selection pane="bottomLeft" activeCell="A5" sqref="A5:A6"/>
      <selection pane="topRight" activeCell="A5" sqref="A5:A6"/>
    </sheetView>
  </sheetViews>
  <sheetFormatPr defaultColWidth="14.7109375" defaultRowHeight="12.75"/>
  <cols>
    <col min="1" max="1" width="33" customWidth="1"/>
    <col min="2" max="2" width="12.42578125" customWidth="1"/>
    <col min="3" max="3" width="11.85546875" customWidth="1"/>
    <col min="4" max="4" width="11.140625" customWidth="1"/>
    <col min="5" max="6" width="11.85546875" customWidth="1"/>
    <col min="7" max="7" width="18.42578125" bestFit="1" customWidth="1"/>
    <col min="8" max="8" width="15.140625" customWidth="1"/>
    <col min="9" max="9" width="12.140625" customWidth="1"/>
    <col min="10" max="10" width="11.140625" customWidth="1"/>
    <col min="11" max="11" width="26.42578125" bestFit="1" customWidth="1"/>
    <col min="12" max="12" width="15.140625" customWidth="1"/>
    <col min="13" max="13" width="9.7109375" customWidth="1"/>
  </cols>
  <sheetData>
    <row r="1" spans="1:36" ht="30" customHeight="1">
      <c r="A1" s="264" t="s">
        <v>774</v>
      </c>
      <c r="B1" s="30"/>
      <c r="C1" s="30"/>
      <c r="D1" s="30"/>
      <c r="E1" s="30"/>
      <c r="F1" s="30"/>
      <c r="G1" s="30"/>
      <c r="H1" s="30"/>
      <c r="I1" s="30"/>
      <c r="J1" s="30"/>
      <c r="K1" s="39" t="s">
        <v>210</v>
      </c>
      <c r="L1" s="265" t="s">
        <v>1588</v>
      </c>
      <c r="M1" s="30"/>
    </row>
    <row r="2" spans="1:36" ht="30" customHeight="1">
      <c r="A2" s="28"/>
      <c r="K2" s="25"/>
      <c r="L2" s="133"/>
      <c r="M2" s="30"/>
    </row>
    <row r="3" spans="1:36" ht="15.75">
      <c r="A3" s="43" t="s">
        <v>1589</v>
      </c>
      <c r="B3" s="44"/>
      <c r="C3" s="44"/>
      <c r="D3" s="44"/>
      <c r="E3" s="44"/>
      <c r="F3" s="44"/>
      <c r="G3" s="44"/>
      <c r="H3" s="44"/>
      <c r="I3" s="44"/>
      <c r="J3" s="44"/>
      <c r="K3" s="44"/>
      <c r="L3" s="77"/>
      <c r="M3" s="77"/>
    </row>
    <row r="5" spans="1:36" ht="15.75">
      <c r="A5" s="9"/>
      <c r="B5" s="2613" t="s">
        <v>271</v>
      </c>
      <c r="C5" s="2613"/>
      <c r="D5" s="2613"/>
      <c r="E5" s="2613" t="s">
        <v>259</v>
      </c>
      <c r="F5" s="2613"/>
      <c r="G5" s="2613"/>
      <c r="H5" s="2613" t="s">
        <v>232</v>
      </c>
      <c r="I5" s="2613"/>
      <c r="J5" s="2613"/>
      <c r="K5" s="2613" t="s">
        <v>274</v>
      </c>
      <c r="L5" s="2613"/>
      <c r="M5" s="2613"/>
    </row>
    <row r="6" spans="1:36" ht="15">
      <c r="A6" s="261"/>
      <c r="B6" s="2612" t="s">
        <v>1590</v>
      </c>
      <c r="C6" s="2612" t="s">
        <v>1591</v>
      </c>
      <c r="D6" s="2612" t="s">
        <v>1592</v>
      </c>
      <c r="E6" s="2612" t="s">
        <v>1590</v>
      </c>
      <c r="F6" s="2612" t="s">
        <v>1591</v>
      </c>
      <c r="G6" s="2612" t="s">
        <v>1592</v>
      </c>
      <c r="H6" s="2612" t="s">
        <v>1590</v>
      </c>
      <c r="I6" s="2612" t="s">
        <v>1591</v>
      </c>
      <c r="J6" s="2612" t="s">
        <v>1592</v>
      </c>
      <c r="K6" s="2612" t="s">
        <v>1590</v>
      </c>
      <c r="L6" s="2612" t="s">
        <v>1591</v>
      </c>
      <c r="M6" s="2612" t="s">
        <v>1592</v>
      </c>
    </row>
    <row r="7" spans="1:36" ht="15">
      <c r="A7" s="261"/>
      <c r="B7" s="2612"/>
      <c r="C7" s="2612" t="s">
        <v>825</v>
      </c>
      <c r="D7" s="2612" t="s">
        <v>1593</v>
      </c>
      <c r="E7" s="2612"/>
      <c r="F7" s="2612" t="s">
        <v>825</v>
      </c>
      <c r="G7" s="2612" t="s">
        <v>1593</v>
      </c>
      <c r="H7" s="2612"/>
      <c r="I7" s="2612" t="s">
        <v>825</v>
      </c>
      <c r="J7" s="2612" t="s">
        <v>1593</v>
      </c>
      <c r="K7" s="2612"/>
      <c r="L7" s="2612" t="s">
        <v>825</v>
      </c>
      <c r="M7" s="2612" t="s">
        <v>1593</v>
      </c>
    </row>
    <row r="8" spans="1:36" ht="15">
      <c r="A8" s="261"/>
      <c r="B8" s="2612"/>
      <c r="C8" s="2612"/>
      <c r="D8" s="2612"/>
      <c r="E8" s="2612"/>
      <c r="F8" s="2612"/>
      <c r="G8" s="2612"/>
      <c r="H8" s="2612"/>
      <c r="I8" s="2612"/>
      <c r="J8" s="2612"/>
      <c r="K8" s="2612"/>
      <c r="L8" s="2612"/>
      <c r="M8" s="2612"/>
    </row>
    <row r="9" spans="1:36" ht="15.75">
      <c r="A9" s="2445" t="s">
        <v>1594</v>
      </c>
      <c r="B9" s="261"/>
      <c r="C9" s="261"/>
      <c r="D9" s="261"/>
      <c r="E9" s="261"/>
      <c r="F9" s="261"/>
      <c r="G9" s="261"/>
      <c r="H9" s="261"/>
      <c r="I9" s="261"/>
      <c r="J9" s="261"/>
      <c r="K9" s="261"/>
      <c r="L9" s="261"/>
      <c r="M9" s="261"/>
    </row>
    <row r="10" spans="1:36" ht="15">
      <c r="A10" s="261"/>
      <c r="B10" s="261"/>
      <c r="C10" s="261"/>
      <c r="D10" s="261"/>
      <c r="E10" s="261"/>
      <c r="F10" s="261"/>
      <c r="G10" s="261"/>
      <c r="H10" s="261"/>
      <c r="I10" s="261"/>
      <c r="J10" s="261"/>
      <c r="K10" s="261"/>
      <c r="L10" s="261"/>
      <c r="M10" s="261"/>
    </row>
    <row r="11" spans="1:36" ht="20.100000000000001" customHeight="1">
      <c r="A11" s="261" t="s">
        <v>771</v>
      </c>
      <c r="B11" s="40"/>
      <c r="C11" s="40"/>
      <c r="D11" s="40"/>
      <c r="E11" s="262">
        <f>'T-8'!AY38</f>
        <v>0.89395945419703682</v>
      </c>
      <c r="F11" s="40">
        <f>'T-8'!BE38*100</f>
        <v>72.497412161893664</v>
      </c>
      <c r="G11" s="40">
        <f>'T-8'!BF38</f>
        <v>42.673148603151255</v>
      </c>
      <c r="H11" s="262">
        <f>'T-8'!AY19</f>
        <v>0.4706895253603614</v>
      </c>
      <c r="I11" s="40">
        <f>'T-8'!BE19*100</f>
        <v>85868.753655850844</v>
      </c>
      <c r="J11" s="40">
        <f>'T-8'!BF19</f>
        <v>500.54154902487613</v>
      </c>
      <c r="K11" s="262">
        <f>('T-8'!AR19+'T-8'!AR38)/('T-8'!BD19+'T-8'!BD38)</f>
        <v>0.47324061286303071</v>
      </c>
      <c r="L11" s="40">
        <f t="shared" ref="L11:L34" si="0">C11+F11+I11</f>
        <v>85941.251068012731</v>
      </c>
      <c r="M11" s="40">
        <f>L11/('T-8'!D19+'T-8'!D38)</f>
        <v>49.590197895137777</v>
      </c>
    </row>
    <row r="12" spans="1:36" ht="20.100000000000001" customHeight="1">
      <c r="A12" s="15" t="s">
        <v>1595</v>
      </c>
      <c r="B12" s="40"/>
      <c r="C12" s="40"/>
      <c r="D12" s="40"/>
      <c r="E12" s="262"/>
      <c r="F12" s="40"/>
      <c r="G12" s="40">
        <f>'T-8'!BF39</f>
        <v>156.19162545754023</v>
      </c>
      <c r="H12" s="262">
        <f>'T-8'!AY24</f>
        <v>0.76994049657441399</v>
      </c>
      <c r="I12" s="40">
        <f>'T-8'!BE24*100</f>
        <v>11223.399111772665</v>
      </c>
      <c r="J12" s="40">
        <f>'T-8'!BF24</f>
        <v>217.55537766550941</v>
      </c>
      <c r="K12" s="262">
        <f>'T-8'!AY24</f>
        <v>0.76994049657441399</v>
      </c>
      <c r="L12" s="40">
        <f t="shared" si="0"/>
        <v>11223.399111772665</v>
      </c>
      <c r="M12" s="40">
        <f>'T-8'!BF24</f>
        <v>217.55537766550941</v>
      </c>
    </row>
    <row r="13" spans="1:36" s="86" customFormat="1" ht="25.5">
      <c r="A13" s="85" t="s">
        <v>1596</v>
      </c>
      <c r="B13" s="40"/>
      <c r="C13" s="40"/>
      <c r="D13" s="40"/>
      <c r="E13" s="262">
        <f>'T-8'!AY39</f>
        <v>0.68359151076112368</v>
      </c>
      <c r="F13" s="40">
        <f>'T-8'!BE39*100</f>
        <v>97.166810197135774</v>
      </c>
      <c r="G13" s="40">
        <f>'T-8'!BF39</f>
        <v>156.19162545754023</v>
      </c>
      <c r="H13" s="262">
        <f>'T-8'!AY25</f>
        <v>0.16904655251924791</v>
      </c>
      <c r="I13" s="40">
        <f>'T-8'!BE25*100</f>
        <v>10492.257138155592</v>
      </c>
      <c r="J13" s="40">
        <f>'T-8'!BF25</f>
        <v>785.78971264973541</v>
      </c>
      <c r="K13" s="262">
        <f>'T-8'!AY25</f>
        <v>0.16904655251924791</v>
      </c>
      <c r="L13" s="40">
        <f t="shared" si="0"/>
        <v>10589.423948352727</v>
      </c>
      <c r="M13" s="40">
        <f>'T-8'!BF25</f>
        <v>785.78971264973541</v>
      </c>
      <c r="N13" s="2446"/>
      <c r="O13" s="2446"/>
      <c r="P13" s="2446"/>
      <c r="Q13" s="2446"/>
      <c r="R13" s="2446"/>
      <c r="S13" s="2446"/>
      <c r="T13" s="2446"/>
      <c r="U13" s="2446"/>
      <c r="V13" s="2446"/>
      <c r="W13" s="2446"/>
      <c r="X13" s="2446"/>
      <c r="Y13" s="2446"/>
      <c r="Z13" s="2446"/>
      <c r="AA13" s="2446"/>
      <c r="AB13" s="2446"/>
      <c r="AC13" s="2446"/>
      <c r="AD13" s="2446"/>
      <c r="AE13" s="2446"/>
      <c r="AF13" s="2446"/>
      <c r="AG13" s="2446"/>
      <c r="AH13" s="2446"/>
      <c r="AI13" s="2446"/>
      <c r="AJ13" s="2446"/>
    </row>
    <row r="14" spans="1:36" s="86" customFormat="1" ht="15">
      <c r="A14" s="87" t="s">
        <v>1449</v>
      </c>
      <c r="B14" s="40"/>
      <c r="C14" s="40"/>
      <c r="D14" s="40"/>
      <c r="E14" s="262">
        <f>'T-8'!AY40</f>
        <v>0.2795931935732851</v>
      </c>
      <c r="F14" s="40">
        <f>'T-8'!BE40*100</f>
        <v>848.54383474282781</v>
      </c>
      <c r="G14" s="40">
        <f>'T-8'!BF40</f>
        <v>348.85045006694122</v>
      </c>
      <c r="H14" s="262">
        <f>'T-8'!AY26</f>
        <v>0.1705744338282579</v>
      </c>
      <c r="I14" s="40">
        <f>'T-8'!BE26*100</f>
        <v>6393.1950703505881</v>
      </c>
      <c r="J14" s="40">
        <f>'T-8'!BF26</f>
        <v>784.34487429157002</v>
      </c>
      <c r="K14" s="262">
        <f>'T-8'!AY26</f>
        <v>0.1705744338282579</v>
      </c>
      <c r="L14" s="40">
        <f t="shared" si="0"/>
        <v>7241.7389050934162</v>
      </c>
      <c r="M14" s="40">
        <f>'T-8'!BF26</f>
        <v>784.34487429157002</v>
      </c>
      <c r="N14" s="2446"/>
      <c r="O14" s="2446"/>
      <c r="P14" s="2446"/>
      <c r="Q14" s="2446"/>
      <c r="R14" s="2446"/>
      <c r="S14" s="2446"/>
      <c r="T14" s="2446"/>
      <c r="U14" s="2446"/>
      <c r="V14" s="2446"/>
      <c r="W14" s="2446"/>
      <c r="X14" s="2446"/>
      <c r="Y14" s="2446"/>
      <c r="Z14" s="2446"/>
      <c r="AA14" s="2446"/>
      <c r="AB14" s="2446"/>
      <c r="AC14" s="2446"/>
      <c r="AD14" s="2446"/>
      <c r="AE14" s="2446"/>
      <c r="AF14" s="2446"/>
      <c r="AG14" s="2446"/>
      <c r="AH14" s="2446"/>
      <c r="AI14" s="2446"/>
      <c r="AJ14" s="2446"/>
    </row>
    <row r="15" spans="1:36" s="86" customFormat="1" ht="15">
      <c r="A15" s="87" t="s">
        <v>247</v>
      </c>
      <c r="B15" s="40"/>
      <c r="C15" s="40"/>
      <c r="D15" s="40"/>
      <c r="E15" s="262">
        <f>'T-8'!AY41</f>
        <v>0.53765535203895343</v>
      </c>
      <c r="F15" s="40">
        <f>'T-8'!BE41*100</f>
        <v>1151.1964921266531</v>
      </c>
      <c r="G15" s="40">
        <f>'T-8'!BF41</f>
        <v>241.75150509810223</v>
      </c>
      <c r="H15" s="262">
        <f>'T-8'!AY27</f>
        <v>0.35743606825041985</v>
      </c>
      <c r="I15" s="40">
        <f>'T-8'!BE27*100</f>
        <v>125.53831819831083</v>
      </c>
      <c r="J15" s="40">
        <f>'T-8'!BF27</f>
        <v>607.63948789114636</v>
      </c>
      <c r="K15" s="262">
        <f>'T-8'!AY27</f>
        <v>0.35743606825041985</v>
      </c>
      <c r="L15" s="40">
        <f t="shared" si="0"/>
        <v>1276.734810324964</v>
      </c>
      <c r="M15" s="40">
        <f>'T-8'!BF27</f>
        <v>607.63948789114636</v>
      </c>
      <c r="N15" s="2446"/>
      <c r="O15" s="2446"/>
      <c r="P15" s="2446"/>
      <c r="Q15" s="2446"/>
      <c r="R15" s="2446"/>
      <c r="S15" s="2446"/>
      <c r="T15" s="2446"/>
      <c r="U15" s="2446"/>
      <c r="V15" s="2446"/>
      <c r="W15" s="2446"/>
      <c r="X15" s="2446"/>
      <c r="Y15" s="2446"/>
      <c r="Z15" s="2446"/>
      <c r="AA15" s="2446"/>
      <c r="AB15" s="2446"/>
      <c r="AC15" s="2446"/>
      <c r="AD15" s="2446"/>
      <c r="AE15" s="2446"/>
      <c r="AF15" s="2446"/>
      <c r="AG15" s="2446"/>
      <c r="AH15" s="2446"/>
      <c r="AI15" s="2446"/>
      <c r="AJ15" s="2446"/>
    </row>
    <row r="16" spans="1:36" ht="20.100000000000001" customHeight="1">
      <c r="A16" s="15" t="s">
        <v>1597</v>
      </c>
      <c r="B16" s="40"/>
      <c r="C16" s="40"/>
      <c r="D16" s="40"/>
      <c r="E16" s="262"/>
      <c r="F16" s="40"/>
      <c r="G16" s="40"/>
      <c r="H16" s="262">
        <f>'T-8'!AY28</f>
        <v>0.65857745506792564</v>
      </c>
      <c r="I16" s="40">
        <f>'T-8'!BE28*100</f>
        <v>1182.7860157455757</v>
      </c>
      <c r="J16" s="40">
        <f>'T-8'!BF28</f>
        <v>322.86564823540311</v>
      </c>
      <c r="K16" s="262">
        <f>'T-8'!AY28</f>
        <v>0.65857745506792564</v>
      </c>
      <c r="L16" s="40">
        <f t="shared" si="0"/>
        <v>1182.7860157455757</v>
      </c>
      <c r="M16" s="40">
        <f>'T-8'!BF28</f>
        <v>322.86564823540311</v>
      </c>
    </row>
    <row r="17" spans="1:13" ht="20.100000000000001" customHeight="1">
      <c r="A17" s="15" t="s">
        <v>1598</v>
      </c>
      <c r="B17" s="40"/>
      <c r="C17" s="40"/>
      <c r="D17" s="40"/>
      <c r="E17" s="262"/>
      <c r="F17" s="40"/>
      <c r="G17" s="261"/>
      <c r="H17" s="262">
        <f>'T-8'!AY29</f>
        <v>0.7377676071448519</v>
      </c>
      <c r="I17" s="40">
        <f>'T-8'!BE29*100</f>
        <v>569.46038965440948</v>
      </c>
      <c r="J17" s="40">
        <f>'T-8'!BF29</f>
        <v>247.97961577007905</v>
      </c>
      <c r="K17" s="262">
        <f>'T-8'!AY29</f>
        <v>0.7377676071448519</v>
      </c>
      <c r="L17" s="40">
        <f t="shared" si="0"/>
        <v>569.46038965440948</v>
      </c>
      <c r="M17" s="40">
        <f>'T-8'!BF29</f>
        <v>247.97961577007905</v>
      </c>
    </row>
    <row r="18" spans="1:13" ht="20.100000000000001" customHeight="1">
      <c r="A18" s="15" t="s">
        <v>1599</v>
      </c>
      <c r="B18" s="40"/>
      <c r="C18" s="40"/>
      <c r="D18" s="40"/>
      <c r="E18" s="262" t="e">
        <f>'T-8'!AY45</f>
        <v>#DIV/0!</v>
      </c>
      <c r="F18" s="40">
        <f>'T-8'!BE45*100</f>
        <v>0</v>
      </c>
      <c r="G18" s="40" t="e">
        <f>'T-8'!BF45</f>
        <v>#DIV/0!</v>
      </c>
      <c r="H18" s="262">
        <f>'T-8'!AY30</f>
        <v>0.76172706789972822</v>
      </c>
      <c r="I18" s="40">
        <f>'T-8'!BE30*100</f>
        <v>1031.5709773699255</v>
      </c>
      <c r="J18" s="40">
        <f>'T-8'!BF30</f>
        <v>225.32239250577203</v>
      </c>
      <c r="K18" s="262">
        <f>'T-8'!AY30</f>
        <v>0.76172706789972822</v>
      </c>
      <c r="L18" s="40">
        <f t="shared" si="0"/>
        <v>1031.5709773699255</v>
      </c>
      <c r="M18" s="40">
        <f>'T-8'!BF30</f>
        <v>225.32239250577203</v>
      </c>
    </row>
    <row r="19" spans="1:13" ht="20.100000000000001" customHeight="1">
      <c r="A19" s="261" t="s">
        <v>1600</v>
      </c>
      <c r="B19" s="40"/>
      <c r="C19" s="40"/>
      <c r="D19" s="40"/>
      <c r="E19" s="262"/>
      <c r="F19" s="40"/>
      <c r="G19" s="40"/>
      <c r="H19" s="262">
        <f>'T-8'!AY31</f>
        <v>0.69494539237321939</v>
      </c>
      <c r="I19" s="40">
        <f>'T-8'!BE31*100</f>
        <v>1687.4308287805377</v>
      </c>
      <c r="J19" s="40">
        <f>'T-8'!BF31</f>
        <v>288.47437025054069</v>
      </c>
      <c r="K19" s="262">
        <f>'T-8'!AY31</f>
        <v>0.69494539237321939</v>
      </c>
      <c r="L19" s="40">
        <f t="shared" si="0"/>
        <v>1687.4308287805377</v>
      </c>
      <c r="M19" s="40">
        <f>'T-8'!BF31</f>
        <v>288.47437025054069</v>
      </c>
    </row>
    <row r="20" spans="1:13" ht="20.100000000000001" customHeight="1">
      <c r="A20" s="261" t="s">
        <v>1601</v>
      </c>
      <c r="B20" s="40"/>
      <c r="C20" s="40"/>
      <c r="D20" s="40"/>
      <c r="E20" s="262">
        <f>'T-8'!AY42</f>
        <v>1.5994013563369203</v>
      </c>
      <c r="F20" s="40">
        <f>'T-8'!BE42*100</f>
        <v>-904.96055068492979</v>
      </c>
      <c r="G20" s="40">
        <f>'T-8'!BF42</f>
        <v>-355.68154332623106</v>
      </c>
      <c r="H20" s="262"/>
      <c r="I20" s="40"/>
      <c r="J20" s="40"/>
      <c r="K20" s="262">
        <f>'T-8'!AY42</f>
        <v>1.5994013563369203</v>
      </c>
      <c r="L20" s="40">
        <f t="shared" si="0"/>
        <v>-904.96055068492979</v>
      </c>
      <c r="M20" s="40">
        <f>'T-8'!BF42</f>
        <v>-355.68154332623106</v>
      </c>
    </row>
    <row r="21" spans="1:13" ht="20.100000000000001" customHeight="1">
      <c r="A21" s="261" t="s">
        <v>270</v>
      </c>
      <c r="B21" s="262">
        <f>'T-8'!AY55</f>
        <v>1.5394377156774057</v>
      </c>
      <c r="C21" s="40">
        <f>'T-8'!BE55*100</f>
        <v>-2021.0266295576403</v>
      </c>
      <c r="D21" s="40">
        <f>'T-8'!BF55</f>
        <v>-217.12324934548468</v>
      </c>
      <c r="E21" s="262">
        <f>'T-8'!AY44</f>
        <v>1.3147760757097819</v>
      </c>
      <c r="F21" s="40">
        <f>'T-8'!BE44*100</f>
        <v>-1564.7107061368708</v>
      </c>
      <c r="G21" s="40">
        <f>'T-8'!BF44</f>
        <v>-224.14168748110856</v>
      </c>
      <c r="H21" s="262"/>
      <c r="I21" s="40"/>
      <c r="J21" s="40"/>
      <c r="K21" s="262">
        <f>('T-8'!AR44+'T-8'!AR55)/('T-8'!BD44+'T-8'!BD55)</f>
        <v>1.4763450244531526</v>
      </c>
      <c r="L21" s="40">
        <f t="shared" si="0"/>
        <v>-3585.7373356945109</v>
      </c>
      <c r="M21" s="40">
        <f>L21/('T-8'!D44+'T-8'!D55)</f>
        <v>-21.319816727082259</v>
      </c>
    </row>
    <row r="22" spans="1:13" ht="31.5" customHeight="1">
      <c r="A22" s="49" t="s">
        <v>1602</v>
      </c>
      <c r="B22" s="262"/>
      <c r="C22" s="40"/>
      <c r="D22" s="40"/>
      <c r="E22" s="262"/>
      <c r="F22" s="40"/>
      <c r="G22" s="40"/>
      <c r="H22" s="262" t="e">
        <f>'T-8'!AY34</f>
        <v>#DIV/0!</v>
      </c>
      <c r="I22" s="40">
        <f>'T-8'!BE34*100</f>
        <v>0</v>
      </c>
      <c r="J22" s="40" t="e">
        <f>'T-8'!BF34</f>
        <v>#DIV/0!</v>
      </c>
      <c r="K22" s="262"/>
      <c r="L22" s="40">
        <f t="shared" si="0"/>
        <v>0</v>
      </c>
      <c r="M22" s="40"/>
    </row>
    <row r="23" spans="1:13" ht="30.75" customHeight="1">
      <c r="A23" s="148" t="s">
        <v>262</v>
      </c>
      <c r="B23" s="262"/>
      <c r="C23" s="40"/>
      <c r="D23" s="40"/>
      <c r="E23" s="262">
        <f>'T-8'!AY46</f>
        <v>1.5084825785874765</v>
      </c>
      <c r="F23" s="40">
        <f>'T-8'!BE46*100</f>
        <v>-719.30782900971531</v>
      </c>
      <c r="G23" s="40">
        <f>'T-8'!BF46</f>
        <v>-388.43710390415561</v>
      </c>
      <c r="H23" s="262">
        <f>'T-8'!AY32</f>
        <v>0.6831738601419467</v>
      </c>
      <c r="I23" s="40">
        <f>'T-8'!BE32*100</f>
        <v>1989.4444229642963</v>
      </c>
      <c r="J23" s="40">
        <f>'T-8'!BF32</f>
        <v>299.60609966029585</v>
      </c>
      <c r="K23" s="262">
        <f>('T-8'!AR32+'T-8'!AR46)/('T-8'!BD32+'T-8'!BD46)</f>
        <v>0.82566681346021797</v>
      </c>
      <c r="L23" s="40">
        <f t="shared" si="0"/>
        <v>1270.136593954581</v>
      </c>
      <c r="M23" s="40">
        <f>L23/('T-8'!D32+'T-8'!D46)</f>
        <v>14.523814137522081</v>
      </c>
    </row>
    <row r="24" spans="1:13" ht="20.100000000000001" customHeight="1">
      <c r="A24" s="261" t="s">
        <v>255</v>
      </c>
      <c r="B24" s="262">
        <f>'T-8'!AY56</f>
        <v>1.511679286296479</v>
      </c>
      <c r="C24" s="40">
        <f>'T-8'!BE56*100</f>
        <v>-51031.009972019339</v>
      </c>
      <c r="D24" s="40">
        <f>'T-8'!BF56</f>
        <v>-211.11341390491</v>
      </c>
      <c r="E24" s="262">
        <f>'T-8'!AY47</f>
        <v>1.2079910877377737</v>
      </c>
      <c r="F24" s="40">
        <f>'T-8'!BE47*100</f>
        <v>-8107.4513092356765</v>
      </c>
      <c r="G24" s="40">
        <f>'T-8'!BF47</f>
        <v>-150.47655946686857</v>
      </c>
      <c r="H24" s="262"/>
      <c r="I24" s="40"/>
      <c r="J24" s="40"/>
      <c r="K24" s="262">
        <f>('T-8'!AR47+'T-8'!AR56)/('T-8'!BD47+'T-8'!BD56)</f>
        <v>1.4684546392146558</v>
      </c>
      <c r="L24" s="40">
        <f t="shared" si="0"/>
        <v>-59138.461281255019</v>
      </c>
      <c r="M24" s="40">
        <f>L24/('T-8'!D47+'T-8'!D56)</f>
        <v>-19.646448176329304</v>
      </c>
    </row>
    <row r="25" spans="1:13" ht="20.100000000000001" customHeight="1">
      <c r="A25" s="261" t="s">
        <v>265</v>
      </c>
      <c r="B25" s="262">
        <f>'T-8'!AY57</f>
        <v>1.643205983162952</v>
      </c>
      <c r="C25" s="40">
        <f>'T-8'!BE57*100</f>
        <v>-13090.417814390134</v>
      </c>
      <c r="D25" s="40">
        <f>'T-8'!BF57</f>
        <v>-274.25170463028809</v>
      </c>
      <c r="E25" s="262" t="e">
        <f>'T-8'!AY50</f>
        <v>#DIV/0!</v>
      </c>
      <c r="F25" s="40">
        <f>'T-8'!BE50*100</f>
        <v>0</v>
      </c>
      <c r="G25" s="40" t="e">
        <f>'T-8'!BF50</f>
        <v>#DIV/0!</v>
      </c>
      <c r="H25" s="262"/>
      <c r="I25" s="40"/>
      <c r="J25" s="40"/>
      <c r="K25" s="262">
        <f>'T-8'!AY57</f>
        <v>1.643205983162952</v>
      </c>
      <c r="L25" s="40">
        <f t="shared" si="0"/>
        <v>-13090.417814390134</v>
      </c>
      <c r="M25" s="40">
        <f>'T-8'!BF57</f>
        <v>-274.25170463028809</v>
      </c>
    </row>
    <row r="26" spans="1:13" ht="20.100000000000001" customHeight="1">
      <c r="A26" s="261" t="s">
        <v>276</v>
      </c>
      <c r="B26" s="262">
        <f>'T-8'!AY58</f>
        <v>1.4769325695101285</v>
      </c>
      <c r="C26" s="40">
        <f>'T-8'!BE58*100</f>
        <v>-8946.3817819568958</v>
      </c>
      <c r="D26" s="40">
        <f>'T-8'!BF58</f>
        <v>-205.87645137065374</v>
      </c>
      <c r="E26" s="262"/>
      <c r="F26" s="40"/>
      <c r="G26" s="40"/>
      <c r="H26" s="262"/>
      <c r="I26" s="40"/>
      <c r="J26" s="40"/>
      <c r="K26" s="262">
        <f>'T-8'!AY58</f>
        <v>1.4769325695101285</v>
      </c>
      <c r="L26" s="40">
        <f t="shared" si="0"/>
        <v>-8946.3817819568958</v>
      </c>
      <c r="M26" s="40">
        <f>'T-8'!BF58</f>
        <v>-205.87645137065374</v>
      </c>
    </row>
    <row r="27" spans="1:13" ht="20.100000000000001" customHeight="1">
      <c r="A27" s="261" t="s">
        <v>263</v>
      </c>
      <c r="B27" s="262">
        <f>'T-8'!AY59</f>
        <v>1.5404940564523095</v>
      </c>
      <c r="C27" s="40">
        <f>'T-8'!BE59*100</f>
        <v>-2975.3891388027951</v>
      </c>
      <c r="D27" s="40">
        <f>'T-8'!BF59</f>
        <v>-223.66470008816088</v>
      </c>
      <c r="E27" s="262">
        <f>'T-8'!AY48</f>
        <v>1.2173933457807538</v>
      </c>
      <c r="F27" s="40">
        <f>'T-8'!BE48*100</f>
        <v>-319.85395649014947</v>
      </c>
      <c r="G27" s="40">
        <f>'T-8'!BF48</f>
        <v>-126.32462736577781</v>
      </c>
      <c r="H27" s="262"/>
      <c r="I27" s="40"/>
      <c r="J27" s="40"/>
      <c r="K27" s="262">
        <f>('T-8'!AR48+'T-8'!AR59)/('T-8'!BD48+'T-8'!BD59)</f>
        <v>1.4909377764828693</v>
      </c>
      <c r="L27" s="40">
        <f t="shared" si="0"/>
        <v>-3295.2430952929444</v>
      </c>
      <c r="M27" s="40">
        <f>L27/('T-8'!D48+'T-8'!D59)</f>
        <v>-20.577392735641812</v>
      </c>
    </row>
    <row r="28" spans="1:13" ht="20.100000000000001" customHeight="1">
      <c r="A28" s="31" t="s">
        <v>1603</v>
      </c>
      <c r="B28" s="262"/>
      <c r="C28" s="40"/>
      <c r="D28" s="40"/>
      <c r="E28" s="262"/>
      <c r="F28" s="40"/>
      <c r="G28" s="40"/>
      <c r="H28" s="262"/>
      <c r="I28" s="40"/>
      <c r="J28" s="40"/>
      <c r="K28" s="262"/>
      <c r="L28" s="40"/>
      <c r="M28" s="40"/>
    </row>
    <row r="29" spans="1:13" ht="20.100000000000001" customHeight="1">
      <c r="A29" s="261" t="s">
        <v>1604</v>
      </c>
      <c r="B29" s="262" t="e">
        <f>'T-8'!AY60</f>
        <v>#DIV/0!</v>
      </c>
      <c r="C29" s="40">
        <f>'T-8'!BE60*100</f>
        <v>0</v>
      </c>
      <c r="D29" s="40" t="e">
        <f>'T-8'!BF60</f>
        <v>#DIV/0!</v>
      </c>
      <c r="E29" s="262"/>
      <c r="F29" s="40"/>
      <c r="G29" s="40"/>
      <c r="H29" s="262"/>
      <c r="I29" s="40"/>
      <c r="J29" s="40"/>
      <c r="K29" s="262"/>
      <c r="L29" s="40"/>
      <c r="M29" s="40">
        <f>L29/('T-8'!D49+'T-8'!D59)</f>
        <v>0</v>
      </c>
    </row>
    <row r="30" spans="1:13" ht="20.100000000000001" customHeight="1">
      <c r="A30" s="261" t="s">
        <v>1605</v>
      </c>
      <c r="B30" s="262" t="e">
        <f>'T-8'!AY62</f>
        <v>#DIV/0!</v>
      </c>
      <c r="C30" s="40">
        <f>'T-8'!BE62*100</f>
        <v>0</v>
      </c>
      <c r="D30" s="40" t="e">
        <f>'T-8'!BF62</f>
        <v>#DIV/0!</v>
      </c>
      <c r="E30" s="262"/>
      <c r="F30" s="40"/>
      <c r="G30" s="40"/>
      <c r="H30" s="262"/>
      <c r="I30" s="40"/>
      <c r="J30" s="40"/>
      <c r="K30" s="262"/>
      <c r="L30" s="40">
        <f t="shared" si="0"/>
        <v>0</v>
      </c>
      <c r="M30" s="40" t="e">
        <f>L30/('T-8'!D50+'T-8'!D60)</f>
        <v>#DIV/0!</v>
      </c>
    </row>
    <row r="31" spans="1:13" ht="20.100000000000001" customHeight="1">
      <c r="A31" s="261" t="s">
        <v>1606</v>
      </c>
      <c r="B31" s="262">
        <f>'T-8'!AY61</f>
        <v>1.9580085965913727</v>
      </c>
      <c r="C31" s="40">
        <f>'T-8'!BE61*100</f>
        <v>-2.7668027924512804</v>
      </c>
      <c r="D31" s="40">
        <f>'T-8'!BF61</f>
        <v>-384.2781656182334</v>
      </c>
      <c r="E31" s="262">
        <f>'T-8'!AY51</f>
        <v>1.4965666018988828</v>
      </c>
      <c r="F31" s="40">
        <f>'T-8'!BE51*100</f>
        <v>-0.48576087710200233</v>
      </c>
      <c r="G31" s="40">
        <f>'T-8'!BF51</f>
        <v>-269.86715394555688</v>
      </c>
      <c r="H31" s="262"/>
      <c r="I31" s="40"/>
      <c r="J31" s="40"/>
      <c r="K31" s="262">
        <f>('T-8'!AR51+'T-8'!AR61)/('T-8'!BD51+'T-8'!BD61)</f>
        <v>1.8412564807332974</v>
      </c>
      <c r="L31" s="40">
        <f t="shared" si="0"/>
        <v>-3.2525636695532825</v>
      </c>
      <c r="M31" s="40">
        <f>L31/('T-8'!D51+'T-8'!D61)</f>
        <v>-36.139596328369805</v>
      </c>
    </row>
    <row r="32" spans="1:13" ht="20.100000000000001" customHeight="1">
      <c r="A32" s="261" t="s">
        <v>1607</v>
      </c>
      <c r="B32" s="262"/>
      <c r="C32" s="40"/>
      <c r="D32" s="40"/>
      <c r="E32" s="262"/>
      <c r="F32" s="40"/>
      <c r="G32" s="40"/>
      <c r="H32" s="262"/>
      <c r="I32" s="40"/>
      <c r="J32" s="40"/>
      <c r="K32" s="262" t="e">
        <f>('T-8'!AR52+'T-8'!AR62)/('T-8'!BD52+'T-8'!BD62)</f>
        <v>#DIV/0!</v>
      </c>
      <c r="L32" s="40">
        <f t="shared" ref="L32" si="1">C32+F32+I32</f>
        <v>0</v>
      </c>
      <c r="M32" s="40" t="e">
        <f>L32/('T-8'!D52+'T-8'!D62)</f>
        <v>#DIV/0!</v>
      </c>
    </row>
    <row r="33" spans="1:15" ht="20.100000000000001" customHeight="1">
      <c r="A33" s="261"/>
      <c r="B33" s="262"/>
      <c r="C33" s="40"/>
      <c r="D33" s="40"/>
      <c r="E33" s="262"/>
      <c r="F33" s="40"/>
      <c r="G33" s="40"/>
      <c r="H33" s="262"/>
      <c r="I33" s="40"/>
      <c r="J33" s="40"/>
      <c r="K33" s="262"/>
      <c r="L33" s="40">
        <f t="shared" si="0"/>
        <v>0</v>
      </c>
      <c r="M33" s="40"/>
    </row>
    <row r="34" spans="1:15" ht="20.100000000000001" customHeight="1">
      <c r="A34" s="261"/>
      <c r="B34" s="262"/>
      <c r="C34" s="40"/>
      <c r="D34" s="40"/>
      <c r="E34" s="262"/>
      <c r="F34" s="40"/>
      <c r="G34" s="40"/>
      <c r="H34" s="262"/>
      <c r="I34" s="40"/>
      <c r="J34" s="40"/>
      <c r="K34" s="262"/>
      <c r="L34" s="40">
        <f t="shared" si="0"/>
        <v>0</v>
      </c>
      <c r="M34" s="40"/>
    </row>
    <row r="35" spans="1:15" ht="20.100000000000001" customHeight="1">
      <c r="A35" s="2445" t="s">
        <v>274</v>
      </c>
      <c r="B35" s="266">
        <f>'T-8'!AR63/'T-8'!BD63</f>
        <v>1.5474158075049105</v>
      </c>
      <c r="C35" s="267">
        <f>SUM(C11:C34)</f>
        <v>-78066.992139519265</v>
      </c>
      <c r="D35" s="267">
        <f>'T-8'!BE63/'T-8'!D63*1000</f>
        <v>-216.68951650734019</v>
      </c>
      <c r="E35" s="266">
        <f>'T-8'!AR53/'T-8'!BD53</f>
        <v>1.2248706942548651</v>
      </c>
      <c r="F35" s="267">
        <f>SUM(F11:F34)</f>
        <v>-9447.3655632059326</v>
      </c>
      <c r="G35" s="267">
        <f>'T-8'!BE53/'T-8'!D53*1000</f>
        <v>-114.95285087377502</v>
      </c>
      <c r="H35" s="266">
        <f>'T-8'!AR36/'T-8'!BD36</f>
        <v>0.52406237357404595</v>
      </c>
      <c r="I35" s="267">
        <f>SUM(I11:I34)</f>
        <v>120563.83592884273</v>
      </c>
      <c r="J35" s="267">
        <f>'T-8'!BE36/'T-8'!D36*1000</f>
        <v>450.06960599572039</v>
      </c>
      <c r="K35" s="266">
        <f>'T-8'!AR65/'T-8'!BD65</f>
        <v>0.9245344121832032</v>
      </c>
      <c r="L35" s="267">
        <f>SUM(L11:L34)</f>
        <v>33049.478226117542</v>
      </c>
      <c r="M35" s="267">
        <f>'T-8'!BE65/'T-8'!D65*1000</f>
        <v>46.526667136095</v>
      </c>
      <c r="O35">
        <v>470.71323834572922</v>
      </c>
    </row>
    <row r="36" spans="1:15" ht="20.100000000000001" customHeight="1">
      <c r="A36" s="30"/>
      <c r="B36" s="263"/>
      <c r="C36" s="263"/>
      <c r="D36" s="263"/>
      <c r="E36" s="263"/>
      <c r="F36" s="263"/>
      <c r="G36" s="263"/>
      <c r="H36" s="263"/>
      <c r="I36" s="263"/>
      <c r="J36" s="263"/>
      <c r="K36" s="263"/>
      <c r="L36" s="263"/>
      <c r="M36" s="263"/>
    </row>
    <row r="37" spans="1:15" ht="20.100000000000001" customHeight="1">
      <c r="F37" s="3"/>
      <c r="I37" s="3"/>
      <c r="L37" s="3"/>
    </row>
    <row r="38" spans="1:15" ht="20.100000000000001" customHeight="1">
      <c r="C38" s="3"/>
      <c r="D38" s="3"/>
      <c r="F38" s="3"/>
      <c r="G38" s="3"/>
      <c r="H38" s="3"/>
      <c r="I38" s="3"/>
      <c r="J38" s="3"/>
      <c r="K38" s="129"/>
      <c r="L38" s="5" t="e">
        <f>#REF!</f>
        <v>#REF!</v>
      </c>
      <c r="M38" s="5" t="s">
        <v>1608</v>
      </c>
    </row>
    <row r="39" spans="1:15" ht="20.100000000000001" customHeight="1">
      <c r="C39" s="3">
        <f>-C35</f>
        <v>78066.992139519265</v>
      </c>
      <c r="F39" s="3"/>
      <c r="K39" s="128"/>
      <c r="L39" s="5" t="e">
        <f>-#REF!</f>
        <v>#REF!</v>
      </c>
      <c r="M39" s="128" t="s">
        <v>1609</v>
      </c>
    </row>
    <row r="40" spans="1:15" ht="20.100000000000001" customHeight="1">
      <c r="C40" s="147">
        <f>C39/L35</f>
        <v>2.3621247998350055</v>
      </c>
      <c r="F40" s="147"/>
      <c r="K40" s="129"/>
      <c r="L40" s="3" t="e">
        <f>SUM(L38:L39)</f>
        <v>#REF!</v>
      </c>
    </row>
    <row r="41" spans="1:15" ht="20.100000000000001" customHeight="1">
      <c r="L41" s="5" t="e">
        <f>L35+L40</f>
        <v>#REF!</v>
      </c>
    </row>
    <row r="42" spans="1:15" ht="20.100000000000001" customHeight="1"/>
    <row r="43" spans="1:15" ht="20.100000000000001" customHeight="1"/>
    <row r="44" spans="1:15" ht="20.100000000000001" customHeight="1"/>
    <row r="45" spans="1:15" ht="20.100000000000001" customHeight="1"/>
    <row r="46" spans="1:15" ht="20.100000000000001" customHeight="1"/>
    <row r="47" spans="1:15" ht="20.100000000000001" customHeight="1"/>
    <row r="48" spans="1: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sheetData>
  <mergeCells count="16">
    <mergeCell ref="H5:J5"/>
    <mergeCell ref="K5:M5"/>
    <mergeCell ref="H6:H8"/>
    <mergeCell ref="I6:I8"/>
    <mergeCell ref="J6:J8"/>
    <mergeCell ref="K6:K8"/>
    <mergeCell ref="L6:L8"/>
    <mergeCell ref="M6:M8"/>
    <mergeCell ref="F6:F8"/>
    <mergeCell ref="G6:G8"/>
    <mergeCell ref="B5:D5"/>
    <mergeCell ref="E5:G5"/>
    <mergeCell ref="B6:B8"/>
    <mergeCell ref="C6:C8"/>
    <mergeCell ref="D6:D8"/>
    <mergeCell ref="E6:E8"/>
  </mergeCells>
  <phoneticPr fontId="0" type="noConversion"/>
  <printOptions horizontalCentered="1" verticalCentered="1"/>
  <pageMargins left="0.15748031496062992" right="0.15748031496062992" top="0.28000000000000003" bottom="0.27559055118110237" header="0.22" footer="0.19685039370078741"/>
  <pageSetup paperSize="9" scale="73" orientation="landscape"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tabColor rgb="FF008000"/>
  </sheetPr>
  <dimension ref="A1:D44"/>
  <sheetViews>
    <sheetView view="pageBreakPreview" topLeftCell="A31" zoomScaleSheetLayoutView="100" workbookViewId="0">
      <selection activeCell="I20" sqref="I20"/>
    </sheetView>
  </sheetViews>
  <sheetFormatPr defaultColWidth="14.7109375" defaultRowHeight="12.75"/>
  <cols>
    <col min="1" max="1" width="6" style="987" customWidth="1"/>
    <col min="2" max="2" width="48.42578125" style="54" customWidth="1"/>
    <col min="3" max="3" width="17.28515625" style="54" customWidth="1"/>
    <col min="4" max="4" width="19.140625" style="54" customWidth="1"/>
    <col min="5" max="16384" width="14.7109375" style="54"/>
  </cols>
  <sheetData>
    <row r="1" spans="1:4" ht="21" customHeight="1">
      <c r="A1" s="275" t="s">
        <v>774</v>
      </c>
      <c r="C1" s="276" t="s">
        <v>210</v>
      </c>
      <c r="D1" s="277" t="s">
        <v>1610</v>
      </c>
    </row>
    <row r="2" spans="1:4" ht="12.75" customHeight="1">
      <c r="A2" s="2614" t="s">
        <v>1611</v>
      </c>
      <c r="B2" s="2614"/>
      <c r="C2" s="2614"/>
      <c r="D2" s="2614"/>
    </row>
    <row r="3" spans="1:4" ht="12.75" customHeight="1">
      <c r="A3" s="2614"/>
      <c r="B3" s="2614"/>
      <c r="C3" s="2614"/>
      <c r="D3" s="2614"/>
    </row>
    <row r="4" spans="1:4" ht="12.75" customHeight="1">
      <c r="A4" s="2614"/>
      <c r="B4" s="2614"/>
      <c r="C4" s="2614"/>
      <c r="D4" s="2614"/>
    </row>
    <row r="5" spans="1:4">
      <c r="A5" s="268"/>
      <c r="B5" s="268"/>
      <c r="C5" s="268"/>
      <c r="D5" s="269" t="s">
        <v>1612</v>
      </c>
    </row>
    <row r="6" spans="1:4" ht="15.75">
      <c r="A6" s="272" t="s">
        <v>1613</v>
      </c>
      <c r="B6" s="270" t="s">
        <v>1614</v>
      </c>
      <c r="C6" s="270" t="s">
        <v>1615</v>
      </c>
      <c r="D6" s="270" t="s">
        <v>914</v>
      </c>
    </row>
    <row r="7" spans="1:4" ht="15.75">
      <c r="A7" s="268"/>
      <c r="B7" s="268"/>
      <c r="C7" s="270"/>
      <c r="D7" s="268"/>
    </row>
    <row r="8" spans="1:4">
      <c r="A8" s="2274">
        <v>1</v>
      </c>
      <c r="B8" s="268" t="s">
        <v>1616</v>
      </c>
      <c r="C8" s="271">
        <v>20</v>
      </c>
      <c r="D8" s="268" t="s">
        <v>1617</v>
      </c>
    </row>
    <row r="9" spans="1:4">
      <c r="A9" s="2274">
        <v>2</v>
      </c>
      <c r="B9" s="268" t="s">
        <v>1618</v>
      </c>
      <c r="C9" s="271">
        <v>40</v>
      </c>
      <c r="D9" s="268" t="s">
        <v>1617</v>
      </c>
    </row>
    <row r="10" spans="1:4">
      <c r="A10" s="2274">
        <v>3</v>
      </c>
      <c r="B10" s="268" t="s">
        <v>1619</v>
      </c>
      <c r="C10" s="271">
        <v>1000</v>
      </c>
      <c r="D10" s="268" t="s">
        <v>1617</v>
      </c>
    </row>
    <row r="11" spans="1:4">
      <c r="A11" s="2274">
        <v>4</v>
      </c>
      <c r="B11" s="268" t="s">
        <v>1620</v>
      </c>
      <c r="C11" s="271">
        <v>1000</v>
      </c>
      <c r="D11" s="268" t="s">
        <v>1617</v>
      </c>
    </row>
    <row r="12" spans="1:4">
      <c r="A12" s="2274">
        <v>5</v>
      </c>
      <c r="B12" s="268" t="s">
        <v>1621</v>
      </c>
      <c r="C12" s="271">
        <v>40</v>
      </c>
      <c r="D12" s="268" t="s">
        <v>1617</v>
      </c>
    </row>
    <row r="13" spans="1:4">
      <c r="A13" s="2274">
        <v>6</v>
      </c>
      <c r="B13" s="268" t="s">
        <v>1622</v>
      </c>
      <c r="C13" s="271">
        <v>150</v>
      </c>
      <c r="D13" s="268" t="s">
        <v>1617</v>
      </c>
    </row>
    <row r="14" spans="1:4">
      <c r="A14" s="2274">
        <v>7</v>
      </c>
      <c r="B14" s="268" t="s">
        <v>1623</v>
      </c>
      <c r="C14" s="271">
        <v>1000</v>
      </c>
      <c r="D14" s="268" t="s">
        <v>1617</v>
      </c>
    </row>
    <row r="15" spans="1:4">
      <c r="A15" s="2274">
        <v>8</v>
      </c>
      <c r="B15" s="268" t="s">
        <v>1624</v>
      </c>
      <c r="C15" s="271">
        <v>1000</v>
      </c>
      <c r="D15" s="179" t="s">
        <v>1617</v>
      </c>
    </row>
    <row r="16" spans="1:4">
      <c r="A16" s="2274">
        <v>9</v>
      </c>
      <c r="B16" s="268" t="s">
        <v>1625</v>
      </c>
      <c r="C16" s="271"/>
      <c r="D16" s="271"/>
    </row>
    <row r="17" spans="1:4">
      <c r="A17" s="2274">
        <v>10</v>
      </c>
      <c r="B17" s="268" t="s">
        <v>1626</v>
      </c>
      <c r="C17" s="271"/>
      <c r="D17" s="271"/>
    </row>
    <row r="18" spans="1:4">
      <c r="A18" s="2274">
        <v>11</v>
      </c>
      <c r="B18" s="268" t="s">
        <v>1627</v>
      </c>
      <c r="C18" s="271"/>
      <c r="D18" s="271"/>
    </row>
    <row r="19" spans="1:4">
      <c r="A19" s="2274">
        <v>12</v>
      </c>
      <c r="B19" s="268" t="s">
        <v>1628</v>
      </c>
      <c r="C19" s="271"/>
      <c r="D19" s="271"/>
    </row>
    <row r="20" spans="1:4">
      <c r="A20" s="2274">
        <v>13</v>
      </c>
      <c r="B20" s="179" t="s">
        <v>1629</v>
      </c>
      <c r="C20" s="271">
        <v>60</v>
      </c>
      <c r="D20" s="179" t="s">
        <v>1617</v>
      </c>
    </row>
    <row r="21" spans="1:4">
      <c r="A21" s="2274">
        <v>14</v>
      </c>
      <c r="B21" s="179" t="s">
        <v>1630</v>
      </c>
      <c r="C21" s="271">
        <v>150</v>
      </c>
      <c r="D21" s="179" t="s">
        <v>1617</v>
      </c>
    </row>
    <row r="22" spans="1:4">
      <c r="A22" s="2274"/>
      <c r="B22" s="179"/>
      <c r="C22" s="271"/>
      <c r="D22" s="179"/>
    </row>
    <row r="23" spans="1:4" ht="15.75">
      <c r="A23" s="272" t="s">
        <v>1631</v>
      </c>
      <c r="B23" s="270" t="s">
        <v>1632</v>
      </c>
      <c r="C23" s="271"/>
      <c r="D23" s="271"/>
    </row>
    <row r="24" spans="1:4">
      <c r="A24" s="268"/>
      <c r="B24" s="268"/>
      <c r="C24" s="271"/>
      <c r="D24" s="271"/>
    </row>
    <row r="25" spans="1:4">
      <c r="A25" s="2274">
        <v>1</v>
      </c>
      <c r="B25" s="268" t="s">
        <v>1633</v>
      </c>
      <c r="C25" s="271">
        <v>150</v>
      </c>
      <c r="D25" s="2615" t="s">
        <v>1634</v>
      </c>
    </row>
    <row r="26" spans="1:4">
      <c r="A26" s="2274">
        <v>2</v>
      </c>
      <c r="B26" s="268" t="s">
        <v>1635</v>
      </c>
      <c r="C26" s="271">
        <v>400</v>
      </c>
      <c r="D26" s="2616"/>
    </row>
    <row r="27" spans="1:4">
      <c r="A27" s="2274">
        <v>3</v>
      </c>
      <c r="B27" s="268" t="s">
        <v>1636</v>
      </c>
      <c r="C27" s="271">
        <v>600</v>
      </c>
      <c r="D27" s="2616"/>
    </row>
    <row r="28" spans="1:4">
      <c r="A28" s="2274">
        <v>4</v>
      </c>
      <c r="B28" s="268" t="s">
        <v>1637</v>
      </c>
      <c r="C28" s="271">
        <v>3000</v>
      </c>
      <c r="D28" s="2617"/>
    </row>
    <row r="29" spans="1:4" ht="27.95" customHeight="1">
      <c r="A29" s="268"/>
      <c r="B29" s="268"/>
      <c r="C29" s="268"/>
      <c r="D29" s="268"/>
    </row>
    <row r="30" spans="1:4" ht="25.5">
      <c r="A30" s="2275" t="s">
        <v>1638</v>
      </c>
      <c r="B30" s="273" t="s">
        <v>1639</v>
      </c>
      <c r="C30" s="268"/>
      <c r="D30" s="268" t="s">
        <v>1617</v>
      </c>
    </row>
    <row r="31" spans="1:4">
      <c r="A31" s="179"/>
      <c r="B31" s="268"/>
      <c r="C31" s="268"/>
      <c r="D31" s="268"/>
    </row>
    <row r="32" spans="1:4" ht="15">
      <c r="A32" s="179"/>
      <c r="B32" s="274" t="s">
        <v>1640</v>
      </c>
      <c r="C32" s="268"/>
      <c r="D32" s="268"/>
    </row>
    <row r="33" spans="1:4" ht="42.95" customHeight="1">
      <c r="A33" s="179"/>
      <c r="B33" s="268"/>
      <c r="C33" s="268"/>
      <c r="D33" s="268"/>
    </row>
    <row r="34" spans="1:4" ht="38.25">
      <c r="A34" s="2275" t="s">
        <v>1641</v>
      </c>
      <c r="B34" s="273" t="s">
        <v>1642</v>
      </c>
      <c r="C34" s="268"/>
      <c r="D34" s="268" t="s">
        <v>1617</v>
      </c>
    </row>
    <row r="35" spans="1:4">
      <c r="A35" s="179"/>
      <c r="B35" s="268"/>
      <c r="C35" s="268"/>
      <c r="D35" s="268"/>
    </row>
    <row r="36" spans="1:4">
      <c r="A36" s="2275" t="s">
        <v>1643</v>
      </c>
      <c r="B36" s="268" t="s">
        <v>1644</v>
      </c>
      <c r="C36" s="268"/>
      <c r="D36" s="268" t="s">
        <v>1645</v>
      </c>
    </row>
    <row r="37" spans="1:4" ht="27.95" customHeight="1">
      <c r="A37" s="179"/>
      <c r="B37" s="268"/>
      <c r="C37" s="268"/>
      <c r="D37" s="268"/>
    </row>
    <row r="38" spans="1:4" ht="25.5">
      <c r="A38" s="2275" t="s">
        <v>1646</v>
      </c>
      <c r="B38" s="273" t="s">
        <v>1647</v>
      </c>
      <c r="C38" s="268"/>
      <c r="D38" s="268" t="s">
        <v>1645</v>
      </c>
    </row>
    <row r="39" spans="1:4">
      <c r="A39" s="268"/>
      <c r="B39" s="268"/>
      <c r="C39" s="268"/>
      <c r="D39" s="268"/>
    </row>
    <row r="40" spans="1:4">
      <c r="A40" s="305" t="s">
        <v>1648</v>
      </c>
      <c r="B40" s="268" t="s">
        <v>1649</v>
      </c>
      <c r="C40" s="268"/>
      <c r="D40" s="268" t="s">
        <v>1617</v>
      </c>
    </row>
    <row r="41" spans="1:4">
      <c r="A41" s="305"/>
      <c r="B41" s="268"/>
      <c r="C41" s="268"/>
      <c r="D41" s="268"/>
    </row>
    <row r="42" spans="1:4">
      <c r="A42" s="305" t="s">
        <v>1650</v>
      </c>
      <c r="B42" s="268" t="s">
        <v>1651</v>
      </c>
      <c r="C42" s="268"/>
      <c r="D42" s="268" t="s">
        <v>1617</v>
      </c>
    </row>
    <row r="43" spans="1:4">
      <c r="A43" s="305"/>
      <c r="B43" s="268"/>
      <c r="C43" s="268"/>
      <c r="D43" s="268"/>
    </row>
    <row r="44" spans="1:4">
      <c r="A44" s="305" t="s">
        <v>1652</v>
      </c>
      <c r="B44" s="268" t="s">
        <v>1653</v>
      </c>
      <c r="C44" s="268"/>
      <c r="D44" s="268" t="s">
        <v>1645</v>
      </c>
    </row>
  </sheetData>
  <mergeCells count="2">
    <mergeCell ref="A2:D4"/>
    <mergeCell ref="D25:D28"/>
  </mergeCells>
  <phoneticPr fontId="0" type="noConversion"/>
  <printOptions horizontalCentered="1"/>
  <pageMargins left="0.16" right="0.22" top="0.55118110236220474" bottom="0.6692913385826772"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8000"/>
    <pageSetUpPr fitToPage="1"/>
  </sheetPr>
  <dimension ref="A1:O40"/>
  <sheetViews>
    <sheetView showGridLines="0" view="pageBreakPreview" zoomScale="75" zoomScaleNormal="80" zoomScaleSheetLayoutView="75" workbookViewId="0">
      <selection activeCell="H14" sqref="H14"/>
    </sheetView>
  </sheetViews>
  <sheetFormatPr defaultColWidth="14.7109375" defaultRowHeight="15.75"/>
  <cols>
    <col min="1" max="1" width="7.42578125" style="1216" customWidth="1"/>
    <col min="2" max="2" width="38.28515625" style="1216" customWidth="1"/>
    <col min="3" max="3" width="14.42578125" style="1216" customWidth="1"/>
    <col min="4" max="4" width="16.5703125" style="1216" customWidth="1"/>
    <col min="5" max="5" width="16.42578125" style="1216" customWidth="1"/>
    <col min="6" max="6" width="18" style="1216" bestFit="1" customWidth="1"/>
    <col min="7" max="8" width="14" style="1216" customWidth="1"/>
    <col min="9" max="9" width="13.28515625" style="1216" customWidth="1"/>
    <col min="10" max="10" width="12.5703125" style="1216" customWidth="1"/>
    <col min="11" max="11" width="13.42578125" style="1216" customWidth="1"/>
    <col min="12" max="12" width="13.5703125" style="1216" customWidth="1"/>
    <col min="13" max="13" width="13.42578125" style="1216" customWidth="1"/>
    <col min="14" max="14" width="12.140625" style="1216" customWidth="1"/>
    <col min="15" max="15" width="14.42578125" style="1216" customWidth="1"/>
    <col min="16" max="256" width="14.7109375" style="1216"/>
    <col min="257" max="257" width="4.42578125" style="1216" bestFit="1" customWidth="1"/>
    <col min="258" max="258" width="38.28515625" style="1216" customWidth="1"/>
    <col min="259" max="259" width="14.42578125" style="1216" customWidth="1"/>
    <col min="260" max="260" width="16.5703125" style="1216" customWidth="1"/>
    <col min="261" max="261" width="16.42578125" style="1216" customWidth="1"/>
    <col min="262" max="262" width="18" style="1216" bestFit="1" customWidth="1"/>
    <col min="263" max="263" width="17" style="1216" bestFit="1" customWidth="1"/>
    <col min="264" max="264" width="18.140625" style="1216" bestFit="1" customWidth="1"/>
    <col min="265" max="266" width="16.7109375" style="1216" bestFit="1" customWidth="1"/>
    <col min="267" max="269" width="17.85546875" style="1216" bestFit="1" customWidth="1"/>
    <col min="270" max="270" width="18" style="1216" bestFit="1" customWidth="1"/>
    <col min="271" max="271" width="19.5703125" style="1216" customWidth="1"/>
    <col min="272" max="512" width="14.7109375" style="1216"/>
    <col min="513" max="513" width="4.42578125" style="1216" bestFit="1" customWidth="1"/>
    <col min="514" max="514" width="38.28515625" style="1216" customWidth="1"/>
    <col min="515" max="515" width="14.42578125" style="1216" customWidth="1"/>
    <col min="516" max="516" width="16.5703125" style="1216" customWidth="1"/>
    <col min="517" max="517" width="16.42578125" style="1216" customWidth="1"/>
    <col min="518" max="518" width="18" style="1216" bestFit="1" customWidth="1"/>
    <col min="519" max="519" width="17" style="1216" bestFit="1" customWidth="1"/>
    <col min="520" max="520" width="18.140625" style="1216" bestFit="1" customWidth="1"/>
    <col min="521" max="522" width="16.7109375" style="1216" bestFit="1" customWidth="1"/>
    <col min="523" max="525" width="17.85546875" style="1216" bestFit="1" customWidth="1"/>
    <col min="526" max="526" width="18" style="1216" bestFit="1" customWidth="1"/>
    <col min="527" max="527" width="19.5703125" style="1216" customWidth="1"/>
    <col min="528" max="768" width="14.7109375" style="1216"/>
    <col min="769" max="769" width="4.42578125" style="1216" bestFit="1" customWidth="1"/>
    <col min="770" max="770" width="38.28515625" style="1216" customWidth="1"/>
    <col min="771" max="771" width="14.42578125" style="1216" customWidth="1"/>
    <col min="772" max="772" width="16.5703125" style="1216" customWidth="1"/>
    <col min="773" max="773" width="16.42578125" style="1216" customWidth="1"/>
    <col min="774" max="774" width="18" style="1216" bestFit="1" customWidth="1"/>
    <col min="775" max="775" width="17" style="1216" bestFit="1" customWidth="1"/>
    <col min="776" max="776" width="18.140625" style="1216" bestFit="1" customWidth="1"/>
    <col min="777" max="778" width="16.7109375" style="1216" bestFit="1" customWidth="1"/>
    <col min="779" max="781" width="17.85546875" style="1216" bestFit="1" customWidth="1"/>
    <col min="782" max="782" width="18" style="1216" bestFit="1" customWidth="1"/>
    <col min="783" max="783" width="19.5703125" style="1216" customWidth="1"/>
    <col min="784" max="1024" width="14.7109375" style="1216"/>
    <col min="1025" max="1025" width="4.42578125" style="1216" bestFit="1" customWidth="1"/>
    <col min="1026" max="1026" width="38.28515625" style="1216" customWidth="1"/>
    <col min="1027" max="1027" width="14.42578125" style="1216" customWidth="1"/>
    <col min="1028" max="1028" width="16.5703125" style="1216" customWidth="1"/>
    <col min="1029" max="1029" width="16.42578125" style="1216" customWidth="1"/>
    <col min="1030" max="1030" width="18" style="1216" bestFit="1" customWidth="1"/>
    <col min="1031" max="1031" width="17" style="1216" bestFit="1" customWidth="1"/>
    <col min="1032" max="1032" width="18.140625" style="1216" bestFit="1" customWidth="1"/>
    <col min="1033" max="1034" width="16.7109375" style="1216" bestFit="1" customWidth="1"/>
    <col min="1035" max="1037" width="17.85546875" style="1216" bestFit="1" customWidth="1"/>
    <col min="1038" max="1038" width="18" style="1216" bestFit="1" customWidth="1"/>
    <col min="1039" max="1039" width="19.5703125" style="1216" customWidth="1"/>
    <col min="1040" max="1280" width="14.7109375" style="1216"/>
    <col min="1281" max="1281" width="4.42578125" style="1216" bestFit="1" customWidth="1"/>
    <col min="1282" max="1282" width="38.28515625" style="1216" customWidth="1"/>
    <col min="1283" max="1283" width="14.42578125" style="1216" customWidth="1"/>
    <col min="1284" max="1284" width="16.5703125" style="1216" customWidth="1"/>
    <col min="1285" max="1285" width="16.42578125" style="1216" customWidth="1"/>
    <col min="1286" max="1286" width="18" style="1216" bestFit="1" customWidth="1"/>
    <col min="1287" max="1287" width="17" style="1216" bestFit="1" customWidth="1"/>
    <col min="1288" max="1288" width="18.140625" style="1216" bestFit="1" customWidth="1"/>
    <col min="1289" max="1290" width="16.7109375" style="1216" bestFit="1" customWidth="1"/>
    <col min="1291" max="1293" width="17.85546875" style="1216" bestFit="1" customWidth="1"/>
    <col min="1294" max="1294" width="18" style="1216" bestFit="1" customWidth="1"/>
    <col min="1295" max="1295" width="19.5703125" style="1216" customWidth="1"/>
    <col min="1296" max="1536" width="14.7109375" style="1216"/>
    <col min="1537" max="1537" width="4.42578125" style="1216" bestFit="1" customWidth="1"/>
    <col min="1538" max="1538" width="38.28515625" style="1216" customWidth="1"/>
    <col min="1539" max="1539" width="14.42578125" style="1216" customWidth="1"/>
    <col min="1540" max="1540" width="16.5703125" style="1216" customWidth="1"/>
    <col min="1541" max="1541" width="16.42578125" style="1216" customWidth="1"/>
    <col min="1542" max="1542" width="18" style="1216" bestFit="1" customWidth="1"/>
    <col min="1543" max="1543" width="17" style="1216" bestFit="1" customWidth="1"/>
    <col min="1544" max="1544" width="18.140625" style="1216" bestFit="1" customWidth="1"/>
    <col min="1545" max="1546" width="16.7109375" style="1216" bestFit="1" customWidth="1"/>
    <col min="1547" max="1549" width="17.85546875" style="1216" bestFit="1" customWidth="1"/>
    <col min="1550" max="1550" width="18" style="1216" bestFit="1" customWidth="1"/>
    <col min="1551" max="1551" width="19.5703125" style="1216" customWidth="1"/>
    <col min="1552" max="1792" width="14.7109375" style="1216"/>
    <col min="1793" max="1793" width="4.42578125" style="1216" bestFit="1" customWidth="1"/>
    <col min="1794" max="1794" width="38.28515625" style="1216" customWidth="1"/>
    <col min="1795" max="1795" width="14.42578125" style="1216" customWidth="1"/>
    <col min="1796" max="1796" width="16.5703125" style="1216" customWidth="1"/>
    <col min="1797" max="1797" width="16.42578125" style="1216" customWidth="1"/>
    <col min="1798" max="1798" width="18" style="1216" bestFit="1" customWidth="1"/>
    <col min="1799" max="1799" width="17" style="1216" bestFit="1" customWidth="1"/>
    <col min="1800" max="1800" width="18.140625" style="1216" bestFit="1" customWidth="1"/>
    <col min="1801" max="1802" width="16.7109375" style="1216" bestFit="1" customWidth="1"/>
    <col min="1803" max="1805" width="17.85546875" style="1216" bestFit="1" customWidth="1"/>
    <col min="1806" max="1806" width="18" style="1216" bestFit="1" customWidth="1"/>
    <col min="1807" max="1807" width="19.5703125" style="1216" customWidth="1"/>
    <col min="1808" max="2048" width="14.7109375" style="1216"/>
    <col min="2049" max="2049" width="4.42578125" style="1216" bestFit="1" customWidth="1"/>
    <col min="2050" max="2050" width="38.28515625" style="1216" customWidth="1"/>
    <col min="2051" max="2051" width="14.42578125" style="1216" customWidth="1"/>
    <col min="2052" max="2052" width="16.5703125" style="1216" customWidth="1"/>
    <col min="2053" max="2053" width="16.42578125" style="1216" customWidth="1"/>
    <col min="2054" max="2054" width="18" style="1216" bestFit="1" customWidth="1"/>
    <col min="2055" max="2055" width="17" style="1216" bestFit="1" customWidth="1"/>
    <col min="2056" max="2056" width="18.140625" style="1216" bestFit="1" customWidth="1"/>
    <col min="2057" max="2058" width="16.7109375" style="1216" bestFit="1" customWidth="1"/>
    <col min="2059" max="2061" width="17.85546875" style="1216" bestFit="1" customWidth="1"/>
    <col min="2062" max="2062" width="18" style="1216" bestFit="1" customWidth="1"/>
    <col min="2063" max="2063" width="19.5703125" style="1216" customWidth="1"/>
    <col min="2064" max="2304" width="14.7109375" style="1216"/>
    <col min="2305" max="2305" width="4.42578125" style="1216" bestFit="1" customWidth="1"/>
    <col min="2306" max="2306" width="38.28515625" style="1216" customWidth="1"/>
    <col min="2307" max="2307" width="14.42578125" style="1216" customWidth="1"/>
    <col min="2308" max="2308" width="16.5703125" style="1216" customWidth="1"/>
    <col min="2309" max="2309" width="16.42578125" style="1216" customWidth="1"/>
    <col min="2310" max="2310" width="18" style="1216" bestFit="1" customWidth="1"/>
    <col min="2311" max="2311" width="17" style="1216" bestFit="1" customWidth="1"/>
    <col min="2312" max="2312" width="18.140625" style="1216" bestFit="1" customWidth="1"/>
    <col min="2313" max="2314" width="16.7109375" style="1216" bestFit="1" customWidth="1"/>
    <col min="2315" max="2317" width="17.85546875" style="1216" bestFit="1" customWidth="1"/>
    <col min="2318" max="2318" width="18" style="1216" bestFit="1" customWidth="1"/>
    <col min="2319" max="2319" width="19.5703125" style="1216" customWidth="1"/>
    <col min="2320" max="2560" width="14.7109375" style="1216"/>
    <col min="2561" max="2561" width="4.42578125" style="1216" bestFit="1" customWidth="1"/>
    <col min="2562" max="2562" width="38.28515625" style="1216" customWidth="1"/>
    <col min="2563" max="2563" width="14.42578125" style="1216" customWidth="1"/>
    <col min="2564" max="2564" width="16.5703125" style="1216" customWidth="1"/>
    <col min="2565" max="2565" width="16.42578125" style="1216" customWidth="1"/>
    <col min="2566" max="2566" width="18" style="1216" bestFit="1" customWidth="1"/>
    <col min="2567" max="2567" width="17" style="1216" bestFit="1" customWidth="1"/>
    <col min="2568" max="2568" width="18.140625" style="1216" bestFit="1" customWidth="1"/>
    <col min="2569" max="2570" width="16.7109375" style="1216" bestFit="1" customWidth="1"/>
    <col min="2571" max="2573" width="17.85546875" style="1216" bestFit="1" customWidth="1"/>
    <col min="2574" max="2574" width="18" style="1216" bestFit="1" customWidth="1"/>
    <col min="2575" max="2575" width="19.5703125" style="1216" customWidth="1"/>
    <col min="2576" max="2816" width="14.7109375" style="1216"/>
    <col min="2817" max="2817" width="4.42578125" style="1216" bestFit="1" customWidth="1"/>
    <col min="2818" max="2818" width="38.28515625" style="1216" customWidth="1"/>
    <col min="2819" max="2819" width="14.42578125" style="1216" customWidth="1"/>
    <col min="2820" max="2820" width="16.5703125" style="1216" customWidth="1"/>
    <col min="2821" max="2821" width="16.42578125" style="1216" customWidth="1"/>
    <col min="2822" max="2822" width="18" style="1216" bestFit="1" customWidth="1"/>
    <col min="2823" max="2823" width="17" style="1216" bestFit="1" customWidth="1"/>
    <col min="2824" max="2824" width="18.140625" style="1216" bestFit="1" customWidth="1"/>
    <col min="2825" max="2826" width="16.7109375" style="1216" bestFit="1" customWidth="1"/>
    <col min="2827" max="2829" width="17.85546875" style="1216" bestFit="1" customWidth="1"/>
    <col min="2830" max="2830" width="18" style="1216" bestFit="1" customWidth="1"/>
    <col min="2831" max="2831" width="19.5703125" style="1216" customWidth="1"/>
    <col min="2832" max="3072" width="14.7109375" style="1216"/>
    <col min="3073" max="3073" width="4.42578125" style="1216" bestFit="1" customWidth="1"/>
    <col min="3074" max="3074" width="38.28515625" style="1216" customWidth="1"/>
    <col min="3075" max="3075" width="14.42578125" style="1216" customWidth="1"/>
    <col min="3076" max="3076" width="16.5703125" style="1216" customWidth="1"/>
    <col min="3077" max="3077" width="16.42578125" style="1216" customWidth="1"/>
    <col min="3078" max="3078" width="18" style="1216" bestFit="1" customWidth="1"/>
    <col min="3079" max="3079" width="17" style="1216" bestFit="1" customWidth="1"/>
    <col min="3080" max="3080" width="18.140625" style="1216" bestFit="1" customWidth="1"/>
    <col min="3081" max="3082" width="16.7109375" style="1216" bestFit="1" customWidth="1"/>
    <col min="3083" max="3085" width="17.85546875" style="1216" bestFit="1" customWidth="1"/>
    <col min="3086" max="3086" width="18" style="1216" bestFit="1" customWidth="1"/>
    <col min="3087" max="3087" width="19.5703125" style="1216" customWidth="1"/>
    <col min="3088" max="3328" width="14.7109375" style="1216"/>
    <col min="3329" max="3329" width="4.42578125" style="1216" bestFit="1" customWidth="1"/>
    <col min="3330" max="3330" width="38.28515625" style="1216" customWidth="1"/>
    <col min="3331" max="3331" width="14.42578125" style="1216" customWidth="1"/>
    <col min="3332" max="3332" width="16.5703125" style="1216" customWidth="1"/>
    <col min="3333" max="3333" width="16.42578125" style="1216" customWidth="1"/>
    <col min="3334" max="3334" width="18" style="1216" bestFit="1" customWidth="1"/>
    <col min="3335" max="3335" width="17" style="1216" bestFit="1" customWidth="1"/>
    <col min="3336" max="3336" width="18.140625" style="1216" bestFit="1" customWidth="1"/>
    <col min="3337" max="3338" width="16.7109375" style="1216" bestFit="1" customWidth="1"/>
    <col min="3339" max="3341" width="17.85546875" style="1216" bestFit="1" customWidth="1"/>
    <col min="3342" max="3342" width="18" style="1216" bestFit="1" customWidth="1"/>
    <col min="3343" max="3343" width="19.5703125" style="1216" customWidth="1"/>
    <col min="3344" max="3584" width="14.7109375" style="1216"/>
    <col min="3585" max="3585" width="4.42578125" style="1216" bestFit="1" customWidth="1"/>
    <col min="3586" max="3586" width="38.28515625" style="1216" customWidth="1"/>
    <col min="3587" max="3587" width="14.42578125" style="1216" customWidth="1"/>
    <col min="3588" max="3588" width="16.5703125" style="1216" customWidth="1"/>
    <col min="3589" max="3589" width="16.42578125" style="1216" customWidth="1"/>
    <col min="3590" max="3590" width="18" style="1216" bestFit="1" customWidth="1"/>
    <col min="3591" max="3591" width="17" style="1216" bestFit="1" customWidth="1"/>
    <col min="3592" max="3592" width="18.140625" style="1216" bestFit="1" customWidth="1"/>
    <col min="3593" max="3594" width="16.7109375" style="1216" bestFit="1" customWidth="1"/>
    <col min="3595" max="3597" width="17.85546875" style="1216" bestFit="1" customWidth="1"/>
    <col min="3598" max="3598" width="18" style="1216" bestFit="1" customWidth="1"/>
    <col min="3599" max="3599" width="19.5703125" style="1216" customWidth="1"/>
    <col min="3600" max="3840" width="14.7109375" style="1216"/>
    <col min="3841" max="3841" width="4.42578125" style="1216" bestFit="1" customWidth="1"/>
    <col min="3842" max="3842" width="38.28515625" style="1216" customWidth="1"/>
    <col min="3843" max="3843" width="14.42578125" style="1216" customWidth="1"/>
    <col min="3844" max="3844" width="16.5703125" style="1216" customWidth="1"/>
    <col min="3845" max="3845" width="16.42578125" style="1216" customWidth="1"/>
    <col min="3846" max="3846" width="18" style="1216" bestFit="1" customWidth="1"/>
    <col min="3847" max="3847" width="17" style="1216" bestFit="1" customWidth="1"/>
    <col min="3848" max="3848" width="18.140625" style="1216" bestFit="1" customWidth="1"/>
    <col min="3849" max="3850" width="16.7109375" style="1216" bestFit="1" customWidth="1"/>
    <col min="3851" max="3853" width="17.85546875" style="1216" bestFit="1" customWidth="1"/>
    <col min="3854" max="3854" width="18" style="1216" bestFit="1" customWidth="1"/>
    <col min="3855" max="3855" width="19.5703125" style="1216" customWidth="1"/>
    <col min="3856" max="4096" width="14.7109375" style="1216"/>
    <col min="4097" max="4097" width="4.42578125" style="1216" bestFit="1" customWidth="1"/>
    <col min="4098" max="4098" width="38.28515625" style="1216" customWidth="1"/>
    <col min="4099" max="4099" width="14.42578125" style="1216" customWidth="1"/>
    <col min="4100" max="4100" width="16.5703125" style="1216" customWidth="1"/>
    <col min="4101" max="4101" width="16.42578125" style="1216" customWidth="1"/>
    <col min="4102" max="4102" width="18" style="1216" bestFit="1" customWidth="1"/>
    <col min="4103" max="4103" width="17" style="1216" bestFit="1" customWidth="1"/>
    <col min="4104" max="4104" width="18.140625" style="1216" bestFit="1" customWidth="1"/>
    <col min="4105" max="4106" width="16.7109375" style="1216" bestFit="1" customWidth="1"/>
    <col min="4107" max="4109" width="17.85546875" style="1216" bestFit="1" customWidth="1"/>
    <col min="4110" max="4110" width="18" style="1216" bestFit="1" customWidth="1"/>
    <col min="4111" max="4111" width="19.5703125" style="1216" customWidth="1"/>
    <col min="4112" max="4352" width="14.7109375" style="1216"/>
    <col min="4353" max="4353" width="4.42578125" style="1216" bestFit="1" customWidth="1"/>
    <col min="4354" max="4354" width="38.28515625" style="1216" customWidth="1"/>
    <col min="4355" max="4355" width="14.42578125" style="1216" customWidth="1"/>
    <col min="4356" max="4356" width="16.5703125" style="1216" customWidth="1"/>
    <col min="4357" max="4357" width="16.42578125" style="1216" customWidth="1"/>
    <col min="4358" max="4358" width="18" style="1216" bestFit="1" customWidth="1"/>
    <col min="4359" max="4359" width="17" style="1216" bestFit="1" customWidth="1"/>
    <col min="4360" max="4360" width="18.140625" style="1216" bestFit="1" customWidth="1"/>
    <col min="4361" max="4362" width="16.7109375" style="1216" bestFit="1" customWidth="1"/>
    <col min="4363" max="4365" width="17.85546875" style="1216" bestFit="1" customWidth="1"/>
    <col min="4366" max="4366" width="18" style="1216" bestFit="1" customWidth="1"/>
    <col min="4367" max="4367" width="19.5703125" style="1216" customWidth="1"/>
    <col min="4368" max="4608" width="14.7109375" style="1216"/>
    <col min="4609" max="4609" width="4.42578125" style="1216" bestFit="1" customWidth="1"/>
    <col min="4610" max="4610" width="38.28515625" style="1216" customWidth="1"/>
    <col min="4611" max="4611" width="14.42578125" style="1216" customWidth="1"/>
    <col min="4612" max="4612" width="16.5703125" style="1216" customWidth="1"/>
    <col min="4613" max="4613" width="16.42578125" style="1216" customWidth="1"/>
    <col min="4614" max="4614" width="18" style="1216" bestFit="1" customWidth="1"/>
    <col min="4615" max="4615" width="17" style="1216" bestFit="1" customWidth="1"/>
    <col min="4616" max="4616" width="18.140625" style="1216" bestFit="1" customWidth="1"/>
    <col min="4617" max="4618" width="16.7109375" style="1216" bestFit="1" customWidth="1"/>
    <col min="4619" max="4621" width="17.85546875" style="1216" bestFit="1" customWidth="1"/>
    <col min="4622" max="4622" width="18" style="1216" bestFit="1" customWidth="1"/>
    <col min="4623" max="4623" width="19.5703125" style="1216" customWidth="1"/>
    <col min="4624" max="4864" width="14.7109375" style="1216"/>
    <col min="4865" max="4865" width="4.42578125" style="1216" bestFit="1" customWidth="1"/>
    <col min="4866" max="4866" width="38.28515625" style="1216" customWidth="1"/>
    <col min="4867" max="4867" width="14.42578125" style="1216" customWidth="1"/>
    <col min="4868" max="4868" width="16.5703125" style="1216" customWidth="1"/>
    <col min="4869" max="4869" width="16.42578125" style="1216" customWidth="1"/>
    <col min="4870" max="4870" width="18" style="1216" bestFit="1" customWidth="1"/>
    <col min="4871" max="4871" width="17" style="1216" bestFit="1" customWidth="1"/>
    <col min="4872" max="4872" width="18.140625" style="1216" bestFit="1" customWidth="1"/>
    <col min="4873" max="4874" width="16.7109375" style="1216" bestFit="1" customWidth="1"/>
    <col min="4875" max="4877" width="17.85546875" style="1216" bestFit="1" customWidth="1"/>
    <col min="4878" max="4878" width="18" style="1216" bestFit="1" customWidth="1"/>
    <col min="4879" max="4879" width="19.5703125" style="1216" customWidth="1"/>
    <col min="4880" max="5120" width="14.7109375" style="1216"/>
    <col min="5121" max="5121" width="4.42578125" style="1216" bestFit="1" customWidth="1"/>
    <col min="5122" max="5122" width="38.28515625" style="1216" customWidth="1"/>
    <col min="5123" max="5123" width="14.42578125" style="1216" customWidth="1"/>
    <col min="5124" max="5124" width="16.5703125" style="1216" customWidth="1"/>
    <col min="5125" max="5125" width="16.42578125" style="1216" customWidth="1"/>
    <col min="5126" max="5126" width="18" style="1216" bestFit="1" customWidth="1"/>
    <col min="5127" max="5127" width="17" style="1216" bestFit="1" customWidth="1"/>
    <col min="5128" max="5128" width="18.140625" style="1216" bestFit="1" customWidth="1"/>
    <col min="5129" max="5130" width="16.7109375" style="1216" bestFit="1" customWidth="1"/>
    <col min="5131" max="5133" width="17.85546875" style="1216" bestFit="1" customWidth="1"/>
    <col min="5134" max="5134" width="18" style="1216" bestFit="1" customWidth="1"/>
    <col min="5135" max="5135" width="19.5703125" style="1216" customWidth="1"/>
    <col min="5136" max="5376" width="14.7109375" style="1216"/>
    <col min="5377" max="5377" width="4.42578125" style="1216" bestFit="1" customWidth="1"/>
    <col min="5378" max="5378" width="38.28515625" style="1216" customWidth="1"/>
    <col min="5379" max="5379" width="14.42578125" style="1216" customWidth="1"/>
    <col min="5380" max="5380" width="16.5703125" style="1216" customWidth="1"/>
    <col min="5381" max="5381" width="16.42578125" style="1216" customWidth="1"/>
    <col min="5382" max="5382" width="18" style="1216" bestFit="1" customWidth="1"/>
    <col min="5383" max="5383" width="17" style="1216" bestFit="1" customWidth="1"/>
    <col min="5384" max="5384" width="18.140625" style="1216" bestFit="1" customWidth="1"/>
    <col min="5385" max="5386" width="16.7109375" style="1216" bestFit="1" customWidth="1"/>
    <col min="5387" max="5389" width="17.85546875" style="1216" bestFit="1" customWidth="1"/>
    <col min="5390" max="5390" width="18" style="1216" bestFit="1" customWidth="1"/>
    <col min="5391" max="5391" width="19.5703125" style="1216" customWidth="1"/>
    <col min="5392" max="5632" width="14.7109375" style="1216"/>
    <col min="5633" max="5633" width="4.42578125" style="1216" bestFit="1" customWidth="1"/>
    <col min="5634" max="5634" width="38.28515625" style="1216" customWidth="1"/>
    <col min="5635" max="5635" width="14.42578125" style="1216" customWidth="1"/>
    <col min="5636" max="5636" width="16.5703125" style="1216" customWidth="1"/>
    <col min="5637" max="5637" width="16.42578125" style="1216" customWidth="1"/>
    <col min="5638" max="5638" width="18" style="1216" bestFit="1" customWidth="1"/>
    <col min="5639" max="5639" width="17" style="1216" bestFit="1" customWidth="1"/>
    <col min="5640" max="5640" width="18.140625" style="1216" bestFit="1" customWidth="1"/>
    <col min="5641" max="5642" width="16.7109375" style="1216" bestFit="1" customWidth="1"/>
    <col min="5643" max="5645" width="17.85546875" style="1216" bestFit="1" customWidth="1"/>
    <col min="5646" max="5646" width="18" style="1216" bestFit="1" customWidth="1"/>
    <col min="5647" max="5647" width="19.5703125" style="1216" customWidth="1"/>
    <col min="5648" max="5888" width="14.7109375" style="1216"/>
    <col min="5889" max="5889" width="4.42578125" style="1216" bestFit="1" customWidth="1"/>
    <col min="5890" max="5890" width="38.28515625" style="1216" customWidth="1"/>
    <col min="5891" max="5891" width="14.42578125" style="1216" customWidth="1"/>
    <col min="5892" max="5892" width="16.5703125" style="1216" customWidth="1"/>
    <col min="5893" max="5893" width="16.42578125" style="1216" customWidth="1"/>
    <col min="5894" max="5894" width="18" style="1216" bestFit="1" customWidth="1"/>
    <col min="5895" max="5895" width="17" style="1216" bestFit="1" customWidth="1"/>
    <col min="5896" max="5896" width="18.140625" style="1216" bestFit="1" customWidth="1"/>
    <col min="5897" max="5898" width="16.7109375" style="1216" bestFit="1" customWidth="1"/>
    <col min="5899" max="5901" width="17.85546875" style="1216" bestFit="1" customWidth="1"/>
    <col min="5902" max="5902" width="18" style="1216" bestFit="1" customWidth="1"/>
    <col min="5903" max="5903" width="19.5703125" style="1216" customWidth="1"/>
    <col min="5904" max="6144" width="14.7109375" style="1216"/>
    <col min="6145" max="6145" width="4.42578125" style="1216" bestFit="1" customWidth="1"/>
    <col min="6146" max="6146" width="38.28515625" style="1216" customWidth="1"/>
    <col min="6147" max="6147" width="14.42578125" style="1216" customWidth="1"/>
    <col min="6148" max="6148" width="16.5703125" style="1216" customWidth="1"/>
    <col min="6149" max="6149" width="16.42578125" style="1216" customWidth="1"/>
    <col min="6150" max="6150" width="18" style="1216" bestFit="1" customWidth="1"/>
    <col min="6151" max="6151" width="17" style="1216" bestFit="1" customWidth="1"/>
    <col min="6152" max="6152" width="18.140625" style="1216" bestFit="1" customWidth="1"/>
    <col min="6153" max="6154" width="16.7109375" style="1216" bestFit="1" customWidth="1"/>
    <col min="6155" max="6157" width="17.85546875" style="1216" bestFit="1" customWidth="1"/>
    <col min="6158" max="6158" width="18" style="1216" bestFit="1" customWidth="1"/>
    <col min="6159" max="6159" width="19.5703125" style="1216" customWidth="1"/>
    <col min="6160" max="6400" width="14.7109375" style="1216"/>
    <col min="6401" max="6401" width="4.42578125" style="1216" bestFit="1" customWidth="1"/>
    <col min="6402" max="6402" width="38.28515625" style="1216" customWidth="1"/>
    <col min="6403" max="6403" width="14.42578125" style="1216" customWidth="1"/>
    <col min="6404" max="6404" width="16.5703125" style="1216" customWidth="1"/>
    <col min="6405" max="6405" width="16.42578125" style="1216" customWidth="1"/>
    <col min="6406" max="6406" width="18" style="1216" bestFit="1" customWidth="1"/>
    <col min="6407" max="6407" width="17" style="1216" bestFit="1" customWidth="1"/>
    <col min="6408" max="6408" width="18.140625" style="1216" bestFit="1" customWidth="1"/>
    <col min="6409" max="6410" width="16.7109375" style="1216" bestFit="1" customWidth="1"/>
    <col min="6411" max="6413" width="17.85546875" style="1216" bestFit="1" customWidth="1"/>
    <col min="6414" max="6414" width="18" style="1216" bestFit="1" customWidth="1"/>
    <col min="6415" max="6415" width="19.5703125" style="1216" customWidth="1"/>
    <col min="6416" max="6656" width="14.7109375" style="1216"/>
    <col min="6657" max="6657" width="4.42578125" style="1216" bestFit="1" customWidth="1"/>
    <col min="6658" max="6658" width="38.28515625" style="1216" customWidth="1"/>
    <col min="6659" max="6659" width="14.42578125" style="1216" customWidth="1"/>
    <col min="6660" max="6660" width="16.5703125" style="1216" customWidth="1"/>
    <col min="6661" max="6661" width="16.42578125" style="1216" customWidth="1"/>
    <col min="6662" max="6662" width="18" style="1216" bestFit="1" customWidth="1"/>
    <col min="6663" max="6663" width="17" style="1216" bestFit="1" customWidth="1"/>
    <col min="6664" max="6664" width="18.140625" style="1216" bestFit="1" customWidth="1"/>
    <col min="6665" max="6666" width="16.7109375" style="1216" bestFit="1" customWidth="1"/>
    <col min="6667" max="6669" width="17.85546875" style="1216" bestFit="1" customWidth="1"/>
    <col min="6670" max="6670" width="18" style="1216" bestFit="1" customWidth="1"/>
    <col min="6671" max="6671" width="19.5703125" style="1216" customWidth="1"/>
    <col min="6672" max="6912" width="14.7109375" style="1216"/>
    <col min="6913" max="6913" width="4.42578125" style="1216" bestFit="1" customWidth="1"/>
    <col min="6914" max="6914" width="38.28515625" style="1216" customWidth="1"/>
    <col min="6915" max="6915" width="14.42578125" style="1216" customWidth="1"/>
    <col min="6916" max="6916" width="16.5703125" style="1216" customWidth="1"/>
    <col min="6917" max="6917" width="16.42578125" style="1216" customWidth="1"/>
    <col min="6918" max="6918" width="18" style="1216" bestFit="1" customWidth="1"/>
    <col min="6919" max="6919" width="17" style="1216" bestFit="1" customWidth="1"/>
    <col min="6920" max="6920" width="18.140625" style="1216" bestFit="1" customWidth="1"/>
    <col min="6921" max="6922" width="16.7109375" style="1216" bestFit="1" customWidth="1"/>
    <col min="6923" max="6925" width="17.85546875" style="1216" bestFit="1" customWidth="1"/>
    <col min="6926" max="6926" width="18" style="1216" bestFit="1" customWidth="1"/>
    <col min="6927" max="6927" width="19.5703125" style="1216" customWidth="1"/>
    <col min="6928" max="7168" width="14.7109375" style="1216"/>
    <col min="7169" max="7169" width="4.42578125" style="1216" bestFit="1" customWidth="1"/>
    <col min="7170" max="7170" width="38.28515625" style="1216" customWidth="1"/>
    <col min="7171" max="7171" width="14.42578125" style="1216" customWidth="1"/>
    <col min="7172" max="7172" width="16.5703125" style="1216" customWidth="1"/>
    <col min="7173" max="7173" width="16.42578125" style="1216" customWidth="1"/>
    <col min="7174" max="7174" width="18" style="1216" bestFit="1" customWidth="1"/>
    <col min="7175" max="7175" width="17" style="1216" bestFit="1" customWidth="1"/>
    <col min="7176" max="7176" width="18.140625" style="1216" bestFit="1" customWidth="1"/>
    <col min="7177" max="7178" width="16.7109375" style="1216" bestFit="1" customWidth="1"/>
    <col min="7179" max="7181" width="17.85546875" style="1216" bestFit="1" customWidth="1"/>
    <col min="7182" max="7182" width="18" style="1216" bestFit="1" customWidth="1"/>
    <col min="7183" max="7183" width="19.5703125" style="1216" customWidth="1"/>
    <col min="7184" max="7424" width="14.7109375" style="1216"/>
    <col min="7425" max="7425" width="4.42578125" style="1216" bestFit="1" customWidth="1"/>
    <col min="7426" max="7426" width="38.28515625" style="1216" customWidth="1"/>
    <col min="7427" max="7427" width="14.42578125" style="1216" customWidth="1"/>
    <col min="7428" max="7428" width="16.5703125" style="1216" customWidth="1"/>
    <col min="7429" max="7429" width="16.42578125" style="1216" customWidth="1"/>
    <col min="7430" max="7430" width="18" style="1216" bestFit="1" customWidth="1"/>
    <col min="7431" max="7431" width="17" style="1216" bestFit="1" customWidth="1"/>
    <col min="7432" max="7432" width="18.140625" style="1216" bestFit="1" customWidth="1"/>
    <col min="7433" max="7434" width="16.7109375" style="1216" bestFit="1" customWidth="1"/>
    <col min="7435" max="7437" width="17.85546875" style="1216" bestFit="1" customWidth="1"/>
    <col min="7438" max="7438" width="18" style="1216" bestFit="1" customWidth="1"/>
    <col min="7439" max="7439" width="19.5703125" style="1216" customWidth="1"/>
    <col min="7440" max="7680" width="14.7109375" style="1216"/>
    <col min="7681" max="7681" width="4.42578125" style="1216" bestFit="1" customWidth="1"/>
    <col min="7682" max="7682" width="38.28515625" style="1216" customWidth="1"/>
    <col min="7683" max="7683" width="14.42578125" style="1216" customWidth="1"/>
    <col min="7684" max="7684" width="16.5703125" style="1216" customWidth="1"/>
    <col min="7685" max="7685" width="16.42578125" style="1216" customWidth="1"/>
    <col min="7686" max="7686" width="18" style="1216" bestFit="1" customWidth="1"/>
    <col min="7687" max="7687" width="17" style="1216" bestFit="1" customWidth="1"/>
    <col min="7688" max="7688" width="18.140625" style="1216" bestFit="1" customWidth="1"/>
    <col min="7689" max="7690" width="16.7109375" style="1216" bestFit="1" customWidth="1"/>
    <col min="7691" max="7693" width="17.85546875" style="1216" bestFit="1" customWidth="1"/>
    <col min="7694" max="7694" width="18" style="1216" bestFit="1" customWidth="1"/>
    <col min="7695" max="7695" width="19.5703125" style="1216" customWidth="1"/>
    <col min="7696" max="7936" width="14.7109375" style="1216"/>
    <col min="7937" max="7937" width="4.42578125" style="1216" bestFit="1" customWidth="1"/>
    <col min="7938" max="7938" width="38.28515625" style="1216" customWidth="1"/>
    <col min="7939" max="7939" width="14.42578125" style="1216" customWidth="1"/>
    <col min="7940" max="7940" width="16.5703125" style="1216" customWidth="1"/>
    <col min="7941" max="7941" width="16.42578125" style="1216" customWidth="1"/>
    <col min="7942" max="7942" width="18" style="1216" bestFit="1" customWidth="1"/>
    <col min="7943" max="7943" width="17" style="1216" bestFit="1" customWidth="1"/>
    <col min="7944" max="7944" width="18.140625" style="1216" bestFit="1" customWidth="1"/>
    <col min="7945" max="7946" width="16.7109375" style="1216" bestFit="1" customWidth="1"/>
    <col min="7947" max="7949" width="17.85546875" style="1216" bestFit="1" customWidth="1"/>
    <col min="7950" max="7950" width="18" style="1216" bestFit="1" customWidth="1"/>
    <col min="7951" max="7951" width="19.5703125" style="1216" customWidth="1"/>
    <col min="7952" max="8192" width="14.7109375" style="1216"/>
    <col min="8193" max="8193" width="4.42578125" style="1216" bestFit="1" customWidth="1"/>
    <col min="8194" max="8194" width="38.28515625" style="1216" customWidth="1"/>
    <col min="8195" max="8195" width="14.42578125" style="1216" customWidth="1"/>
    <col min="8196" max="8196" width="16.5703125" style="1216" customWidth="1"/>
    <col min="8197" max="8197" width="16.42578125" style="1216" customWidth="1"/>
    <col min="8198" max="8198" width="18" style="1216" bestFit="1" customWidth="1"/>
    <col min="8199" max="8199" width="17" style="1216" bestFit="1" customWidth="1"/>
    <col min="8200" max="8200" width="18.140625" style="1216" bestFit="1" customWidth="1"/>
    <col min="8201" max="8202" width="16.7109375" style="1216" bestFit="1" customWidth="1"/>
    <col min="8203" max="8205" width="17.85546875" style="1216" bestFit="1" customWidth="1"/>
    <col min="8206" max="8206" width="18" style="1216" bestFit="1" customWidth="1"/>
    <col min="8207" max="8207" width="19.5703125" style="1216" customWidth="1"/>
    <col min="8208" max="8448" width="14.7109375" style="1216"/>
    <col min="8449" max="8449" width="4.42578125" style="1216" bestFit="1" customWidth="1"/>
    <col min="8450" max="8450" width="38.28515625" style="1216" customWidth="1"/>
    <col min="8451" max="8451" width="14.42578125" style="1216" customWidth="1"/>
    <col min="8452" max="8452" width="16.5703125" style="1216" customWidth="1"/>
    <col min="8453" max="8453" width="16.42578125" style="1216" customWidth="1"/>
    <col min="8454" max="8454" width="18" style="1216" bestFit="1" customWidth="1"/>
    <col min="8455" max="8455" width="17" style="1216" bestFit="1" customWidth="1"/>
    <col min="8456" max="8456" width="18.140625" style="1216" bestFit="1" customWidth="1"/>
    <col min="8457" max="8458" width="16.7109375" style="1216" bestFit="1" customWidth="1"/>
    <col min="8459" max="8461" width="17.85546875" style="1216" bestFit="1" customWidth="1"/>
    <col min="8462" max="8462" width="18" style="1216" bestFit="1" customWidth="1"/>
    <col min="8463" max="8463" width="19.5703125" style="1216" customWidth="1"/>
    <col min="8464" max="8704" width="14.7109375" style="1216"/>
    <col min="8705" max="8705" width="4.42578125" style="1216" bestFit="1" customWidth="1"/>
    <col min="8706" max="8706" width="38.28515625" style="1216" customWidth="1"/>
    <col min="8707" max="8707" width="14.42578125" style="1216" customWidth="1"/>
    <col min="8708" max="8708" width="16.5703125" style="1216" customWidth="1"/>
    <col min="8709" max="8709" width="16.42578125" style="1216" customWidth="1"/>
    <col min="8710" max="8710" width="18" style="1216" bestFit="1" customWidth="1"/>
    <col min="8711" max="8711" width="17" style="1216" bestFit="1" customWidth="1"/>
    <col min="8712" max="8712" width="18.140625" style="1216" bestFit="1" customWidth="1"/>
    <col min="8713" max="8714" width="16.7109375" style="1216" bestFit="1" customWidth="1"/>
    <col min="8715" max="8717" width="17.85546875" style="1216" bestFit="1" customWidth="1"/>
    <col min="8718" max="8718" width="18" style="1216" bestFit="1" customWidth="1"/>
    <col min="8719" max="8719" width="19.5703125" style="1216" customWidth="1"/>
    <col min="8720" max="8960" width="14.7109375" style="1216"/>
    <col min="8961" max="8961" width="4.42578125" style="1216" bestFit="1" customWidth="1"/>
    <col min="8962" max="8962" width="38.28515625" style="1216" customWidth="1"/>
    <col min="8963" max="8963" width="14.42578125" style="1216" customWidth="1"/>
    <col min="8964" max="8964" width="16.5703125" style="1216" customWidth="1"/>
    <col min="8965" max="8965" width="16.42578125" style="1216" customWidth="1"/>
    <col min="8966" max="8966" width="18" style="1216" bestFit="1" customWidth="1"/>
    <col min="8967" max="8967" width="17" style="1216" bestFit="1" customWidth="1"/>
    <col min="8968" max="8968" width="18.140625" style="1216" bestFit="1" customWidth="1"/>
    <col min="8969" max="8970" width="16.7109375" style="1216" bestFit="1" customWidth="1"/>
    <col min="8971" max="8973" width="17.85546875" style="1216" bestFit="1" customWidth="1"/>
    <col min="8974" max="8974" width="18" style="1216" bestFit="1" customWidth="1"/>
    <col min="8975" max="8975" width="19.5703125" style="1216" customWidth="1"/>
    <col min="8976" max="9216" width="14.7109375" style="1216"/>
    <col min="9217" max="9217" width="4.42578125" style="1216" bestFit="1" customWidth="1"/>
    <col min="9218" max="9218" width="38.28515625" style="1216" customWidth="1"/>
    <col min="9219" max="9219" width="14.42578125" style="1216" customWidth="1"/>
    <col min="9220" max="9220" width="16.5703125" style="1216" customWidth="1"/>
    <col min="9221" max="9221" width="16.42578125" style="1216" customWidth="1"/>
    <col min="9222" max="9222" width="18" style="1216" bestFit="1" customWidth="1"/>
    <col min="9223" max="9223" width="17" style="1216" bestFit="1" customWidth="1"/>
    <col min="9224" max="9224" width="18.140625" style="1216" bestFit="1" customWidth="1"/>
    <col min="9225" max="9226" width="16.7109375" style="1216" bestFit="1" customWidth="1"/>
    <col min="9227" max="9229" width="17.85546875" style="1216" bestFit="1" customWidth="1"/>
    <col min="9230" max="9230" width="18" style="1216" bestFit="1" customWidth="1"/>
    <col min="9231" max="9231" width="19.5703125" style="1216" customWidth="1"/>
    <col min="9232" max="9472" width="14.7109375" style="1216"/>
    <col min="9473" max="9473" width="4.42578125" style="1216" bestFit="1" customWidth="1"/>
    <col min="9474" max="9474" width="38.28515625" style="1216" customWidth="1"/>
    <col min="9475" max="9475" width="14.42578125" style="1216" customWidth="1"/>
    <col min="9476" max="9476" width="16.5703125" style="1216" customWidth="1"/>
    <col min="9477" max="9477" width="16.42578125" style="1216" customWidth="1"/>
    <col min="9478" max="9478" width="18" style="1216" bestFit="1" customWidth="1"/>
    <col min="9479" max="9479" width="17" style="1216" bestFit="1" customWidth="1"/>
    <col min="9480" max="9480" width="18.140625" style="1216" bestFit="1" customWidth="1"/>
    <col min="9481" max="9482" width="16.7109375" style="1216" bestFit="1" customWidth="1"/>
    <col min="9483" max="9485" width="17.85546875" style="1216" bestFit="1" customWidth="1"/>
    <col min="9486" max="9486" width="18" style="1216" bestFit="1" customWidth="1"/>
    <col min="9487" max="9487" width="19.5703125" style="1216" customWidth="1"/>
    <col min="9488" max="9728" width="14.7109375" style="1216"/>
    <col min="9729" max="9729" width="4.42578125" style="1216" bestFit="1" customWidth="1"/>
    <col min="9730" max="9730" width="38.28515625" style="1216" customWidth="1"/>
    <col min="9731" max="9731" width="14.42578125" style="1216" customWidth="1"/>
    <col min="9732" max="9732" width="16.5703125" style="1216" customWidth="1"/>
    <col min="9733" max="9733" width="16.42578125" style="1216" customWidth="1"/>
    <col min="9734" max="9734" width="18" style="1216" bestFit="1" customWidth="1"/>
    <col min="9735" max="9735" width="17" style="1216" bestFit="1" customWidth="1"/>
    <col min="9736" max="9736" width="18.140625" style="1216" bestFit="1" customWidth="1"/>
    <col min="9737" max="9738" width="16.7109375" style="1216" bestFit="1" customWidth="1"/>
    <col min="9739" max="9741" width="17.85546875" style="1216" bestFit="1" customWidth="1"/>
    <col min="9742" max="9742" width="18" style="1216" bestFit="1" customWidth="1"/>
    <col min="9743" max="9743" width="19.5703125" style="1216" customWidth="1"/>
    <col min="9744" max="9984" width="14.7109375" style="1216"/>
    <col min="9985" max="9985" width="4.42578125" style="1216" bestFit="1" customWidth="1"/>
    <col min="9986" max="9986" width="38.28515625" style="1216" customWidth="1"/>
    <col min="9987" max="9987" width="14.42578125" style="1216" customWidth="1"/>
    <col min="9988" max="9988" width="16.5703125" style="1216" customWidth="1"/>
    <col min="9989" max="9989" width="16.42578125" style="1216" customWidth="1"/>
    <col min="9990" max="9990" width="18" style="1216" bestFit="1" customWidth="1"/>
    <col min="9991" max="9991" width="17" style="1216" bestFit="1" customWidth="1"/>
    <col min="9992" max="9992" width="18.140625" style="1216" bestFit="1" customWidth="1"/>
    <col min="9993" max="9994" width="16.7109375" style="1216" bestFit="1" customWidth="1"/>
    <col min="9995" max="9997" width="17.85546875" style="1216" bestFit="1" customWidth="1"/>
    <col min="9998" max="9998" width="18" style="1216" bestFit="1" customWidth="1"/>
    <col min="9999" max="9999" width="19.5703125" style="1216" customWidth="1"/>
    <col min="10000" max="10240" width="14.7109375" style="1216"/>
    <col min="10241" max="10241" width="4.42578125" style="1216" bestFit="1" customWidth="1"/>
    <col min="10242" max="10242" width="38.28515625" style="1216" customWidth="1"/>
    <col min="10243" max="10243" width="14.42578125" style="1216" customWidth="1"/>
    <col min="10244" max="10244" width="16.5703125" style="1216" customWidth="1"/>
    <col min="10245" max="10245" width="16.42578125" style="1216" customWidth="1"/>
    <col min="10246" max="10246" width="18" style="1216" bestFit="1" customWidth="1"/>
    <col min="10247" max="10247" width="17" style="1216" bestFit="1" customWidth="1"/>
    <col min="10248" max="10248" width="18.140625" style="1216" bestFit="1" customWidth="1"/>
    <col min="10249" max="10250" width="16.7109375" style="1216" bestFit="1" customWidth="1"/>
    <col min="10251" max="10253" width="17.85546875" style="1216" bestFit="1" customWidth="1"/>
    <col min="10254" max="10254" width="18" style="1216" bestFit="1" customWidth="1"/>
    <col min="10255" max="10255" width="19.5703125" style="1216" customWidth="1"/>
    <col min="10256" max="10496" width="14.7109375" style="1216"/>
    <col min="10497" max="10497" width="4.42578125" style="1216" bestFit="1" customWidth="1"/>
    <col min="10498" max="10498" width="38.28515625" style="1216" customWidth="1"/>
    <col min="10499" max="10499" width="14.42578125" style="1216" customWidth="1"/>
    <col min="10500" max="10500" width="16.5703125" style="1216" customWidth="1"/>
    <col min="10501" max="10501" width="16.42578125" style="1216" customWidth="1"/>
    <col min="10502" max="10502" width="18" style="1216" bestFit="1" customWidth="1"/>
    <col min="10503" max="10503" width="17" style="1216" bestFit="1" customWidth="1"/>
    <col min="10504" max="10504" width="18.140625" style="1216" bestFit="1" customWidth="1"/>
    <col min="10505" max="10506" width="16.7109375" style="1216" bestFit="1" customWidth="1"/>
    <col min="10507" max="10509" width="17.85546875" style="1216" bestFit="1" customWidth="1"/>
    <col min="10510" max="10510" width="18" style="1216" bestFit="1" customWidth="1"/>
    <col min="10511" max="10511" width="19.5703125" style="1216" customWidth="1"/>
    <col min="10512" max="10752" width="14.7109375" style="1216"/>
    <col min="10753" max="10753" width="4.42578125" style="1216" bestFit="1" customWidth="1"/>
    <col min="10754" max="10754" width="38.28515625" style="1216" customWidth="1"/>
    <col min="10755" max="10755" width="14.42578125" style="1216" customWidth="1"/>
    <col min="10756" max="10756" width="16.5703125" style="1216" customWidth="1"/>
    <col min="10757" max="10757" width="16.42578125" style="1216" customWidth="1"/>
    <col min="10758" max="10758" width="18" style="1216" bestFit="1" customWidth="1"/>
    <col min="10759" max="10759" width="17" style="1216" bestFit="1" customWidth="1"/>
    <col min="10760" max="10760" width="18.140625" style="1216" bestFit="1" customWidth="1"/>
    <col min="10761" max="10762" width="16.7109375" style="1216" bestFit="1" customWidth="1"/>
    <col min="10763" max="10765" width="17.85546875" style="1216" bestFit="1" customWidth="1"/>
    <col min="10766" max="10766" width="18" style="1216" bestFit="1" customWidth="1"/>
    <col min="10767" max="10767" width="19.5703125" style="1216" customWidth="1"/>
    <col min="10768" max="11008" width="14.7109375" style="1216"/>
    <col min="11009" max="11009" width="4.42578125" style="1216" bestFit="1" customWidth="1"/>
    <col min="11010" max="11010" width="38.28515625" style="1216" customWidth="1"/>
    <col min="11011" max="11011" width="14.42578125" style="1216" customWidth="1"/>
    <col min="11012" max="11012" width="16.5703125" style="1216" customWidth="1"/>
    <col min="11013" max="11013" width="16.42578125" style="1216" customWidth="1"/>
    <col min="11014" max="11014" width="18" style="1216" bestFit="1" customWidth="1"/>
    <col min="11015" max="11015" width="17" style="1216" bestFit="1" customWidth="1"/>
    <col min="11016" max="11016" width="18.140625" style="1216" bestFit="1" customWidth="1"/>
    <col min="11017" max="11018" width="16.7109375" style="1216" bestFit="1" customWidth="1"/>
    <col min="11019" max="11021" width="17.85546875" style="1216" bestFit="1" customWidth="1"/>
    <col min="11022" max="11022" width="18" style="1216" bestFit="1" customWidth="1"/>
    <col min="11023" max="11023" width="19.5703125" style="1216" customWidth="1"/>
    <col min="11024" max="11264" width="14.7109375" style="1216"/>
    <col min="11265" max="11265" width="4.42578125" style="1216" bestFit="1" customWidth="1"/>
    <col min="11266" max="11266" width="38.28515625" style="1216" customWidth="1"/>
    <col min="11267" max="11267" width="14.42578125" style="1216" customWidth="1"/>
    <col min="11268" max="11268" width="16.5703125" style="1216" customWidth="1"/>
    <col min="11269" max="11269" width="16.42578125" style="1216" customWidth="1"/>
    <col min="11270" max="11270" width="18" style="1216" bestFit="1" customWidth="1"/>
    <col min="11271" max="11271" width="17" style="1216" bestFit="1" customWidth="1"/>
    <col min="11272" max="11272" width="18.140625" style="1216" bestFit="1" customWidth="1"/>
    <col min="11273" max="11274" width="16.7109375" style="1216" bestFit="1" customWidth="1"/>
    <col min="11275" max="11277" width="17.85546875" style="1216" bestFit="1" customWidth="1"/>
    <col min="11278" max="11278" width="18" style="1216" bestFit="1" customWidth="1"/>
    <col min="11279" max="11279" width="19.5703125" style="1216" customWidth="1"/>
    <col min="11280" max="11520" width="14.7109375" style="1216"/>
    <col min="11521" max="11521" width="4.42578125" style="1216" bestFit="1" customWidth="1"/>
    <col min="11522" max="11522" width="38.28515625" style="1216" customWidth="1"/>
    <col min="11523" max="11523" width="14.42578125" style="1216" customWidth="1"/>
    <col min="11524" max="11524" width="16.5703125" style="1216" customWidth="1"/>
    <col min="11525" max="11525" width="16.42578125" style="1216" customWidth="1"/>
    <col min="11526" max="11526" width="18" style="1216" bestFit="1" customWidth="1"/>
    <col min="11527" max="11527" width="17" style="1216" bestFit="1" customWidth="1"/>
    <col min="11528" max="11528" width="18.140625" style="1216" bestFit="1" customWidth="1"/>
    <col min="11529" max="11530" width="16.7109375" style="1216" bestFit="1" customWidth="1"/>
    <col min="11531" max="11533" width="17.85546875" style="1216" bestFit="1" customWidth="1"/>
    <col min="11534" max="11534" width="18" style="1216" bestFit="1" customWidth="1"/>
    <col min="11535" max="11535" width="19.5703125" style="1216" customWidth="1"/>
    <col min="11536" max="11776" width="14.7109375" style="1216"/>
    <col min="11777" max="11777" width="4.42578125" style="1216" bestFit="1" customWidth="1"/>
    <col min="11778" max="11778" width="38.28515625" style="1216" customWidth="1"/>
    <col min="11779" max="11779" width="14.42578125" style="1216" customWidth="1"/>
    <col min="11780" max="11780" width="16.5703125" style="1216" customWidth="1"/>
    <col min="11781" max="11781" width="16.42578125" style="1216" customWidth="1"/>
    <col min="11782" max="11782" width="18" style="1216" bestFit="1" customWidth="1"/>
    <col min="11783" max="11783" width="17" style="1216" bestFit="1" customWidth="1"/>
    <col min="11784" max="11784" width="18.140625" style="1216" bestFit="1" customWidth="1"/>
    <col min="11785" max="11786" width="16.7109375" style="1216" bestFit="1" customWidth="1"/>
    <col min="11787" max="11789" width="17.85546875" style="1216" bestFit="1" customWidth="1"/>
    <col min="11790" max="11790" width="18" style="1216" bestFit="1" customWidth="1"/>
    <col min="11791" max="11791" width="19.5703125" style="1216" customWidth="1"/>
    <col min="11792" max="12032" width="14.7109375" style="1216"/>
    <col min="12033" max="12033" width="4.42578125" style="1216" bestFit="1" customWidth="1"/>
    <col min="12034" max="12034" width="38.28515625" style="1216" customWidth="1"/>
    <col min="12035" max="12035" width="14.42578125" style="1216" customWidth="1"/>
    <col min="12036" max="12036" width="16.5703125" style="1216" customWidth="1"/>
    <col min="12037" max="12037" width="16.42578125" style="1216" customWidth="1"/>
    <col min="12038" max="12038" width="18" style="1216" bestFit="1" customWidth="1"/>
    <col min="12039" max="12039" width="17" style="1216" bestFit="1" customWidth="1"/>
    <col min="12040" max="12040" width="18.140625" style="1216" bestFit="1" customWidth="1"/>
    <col min="12041" max="12042" width="16.7109375" style="1216" bestFit="1" customWidth="1"/>
    <col min="12043" max="12045" width="17.85546875" style="1216" bestFit="1" customWidth="1"/>
    <col min="12046" max="12046" width="18" style="1216" bestFit="1" customWidth="1"/>
    <col min="12047" max="12047" width="19.5703125" style="1216" customWidth="1"/>
    <col min="12048" max="12288" width="14.7109375" style="1216"/>
    <col min="12289" max="12289" width="4.42578125" style="1216" bestFit="1" customWidth="1"/>
    <col min="12290" max="12290" width="38.28515625" style="1216" customWidth="1"/>
    <col min="12291" max="12291" width="14.42578125" style="1216" customWidth="1"/>
    <col min="12292" max="12292" width="16.5703125" style="1216" customWidth="1"/>
    <col min="12293" max="12293" width="16.42578125" style="1216" customWidth="1"/>
    <col min="12294" max="12294" width="18" style="1216" bestFit="1" customWidth="1"/>
    <col min="12295" max="12295" width="17" style="1216" bestFit="1" customWidth="1"/>
    <col min="12296" max="12296" width="18.140625" style="1216" bestFit="1" customWidth="1"/>
    <col min="12297" max="12298" width="16.7109375" style="1216" bestFit="1" customWidth="1"/>
    <col min="12299" max="12301" width="17.85546875" style="1216" bestFit="1" customWidth="1"/>
    <col min="12302" max="12302" width="18" style="1216" bestFit="1" customWidth="1"/>
    <col min="12303" max="12303" width="19.5703125" style="1216" customWidth="1"/>
    <col min="12304" max="12544" width="14.7109375" style="1216"/>
    <col min="12545" max="12545" width="4.42578125" style="1216" bestFit="1" customWidth="1"/>
    <col min="12546" max="12546" width="38.28515625" style="1216" customWidth="1"/>
    <col min="12547" max="12547" width="14.42578125" style="1216" customWidth="1"/>
    <col min="12548" max="12548" width="16.5703125" style="1216" customWidth="1"/>
    <col min="12549" max="12549" width="16.42578125" style="1216" customWidth="1"/>
    <col min="12550" max="12550" width="18" style="1216" bestFit="1" customWidth="1"/>
    <col min="12551" max="12551" width="17" style="1216" bestFit="1" customWidth="1"/>
    <col min="12552" max="12552" width="18.140625" style="1216" bestFit="1" customWidth="1"/>
    <col min="12553" max="12554" width="16.7109375" style="1216" bestFit="1" customWidth="1"/>
    <col min="12555" max="12557" width="17.85546875" style="1216" bestFit="1" customWidth="1"/>
    <col min="12558" max="12558" width="18" style="1216" bestFit="1" customWidth="1"/>
    <col min="12559" max="12559" width="19.5703125" style="1216" customWidth="1"/>
    <col min="12560" max="12800" width="14.7109375" style="1216"/>
    <col min="12801" max="12801" width="4.42578125" style="1216" bestFit="1" customWidth="1"/>
    <col min="12802" max="12802" width="38.28515625" style="1216" customWidth="1"/>
    <col min="12803" max="12803" width="14.42578125" style="1216" customWidth="1"/>
    <col min="12804" max="12804" width="16.5703125" style="1216" customWidth="1"/>
    <col min="12805" max="12805" width="16.42578125" style="1216" customWidth="1"/>
    <col min="12806" max="12806" width="18" style="1216" bestFit="1" customWidth="1"/>
    <col min="12807" max="12807" width="17" style="1216" bestFit="1" customWidth="1"/>
    <col min="12808" max="12808" width="18.140625" style="1216" bestFit="1" customWidth="1"/>
    <col min="12809" max="12810" width="16.7109375" style="1216" bestFit="1" customWidth="1"/>
    <col min="12811" max="12813" width="17.85546875" style="1216" bestFit="1" customWidth="1"/>
    <col min="12814" max="12814" width="18" style="1216" bestFit="1" customWidth="1"/>
    <col min="12815" max="12815" width="19.5703125" style="1216" customWidth="1"/>
    <col min="12816" max="13056" width="14.7109375" style="1216"/>
    <col min="13057" max="13057" width="4.42578125" style="1216" bestFit="1" customWidth="1"/>
    <col min="13058" max="13058" width="38.28515625" style="1216" customWidth="1"/>
    <col min="13059" max="13059" width="14.42578125" style="1216" customWidth="1"/>
    <col min="13060" max="13060" width="16.5703125" style="1216" customWidth="1"/>
    <col min="13061" max="13061" width="16.42578125" style="1216" customWidth="1"/>
    <col min="13062" max="13062" width="18" style="1216" bestFit="1" customWidth="1"/>
    <col min="13063" max="13063" width="17" style="1216" bestFit="1" customWidth="1"/>
    <col min="13064" max="13064" width="18.140625" style="1216" bestFit="1" customWidth="1"/>
    <col min="13065" max="13066" width="16.7109375" style="1216" bestFit="1" customWidth="1"/>
    <col min="13067" max="13069" width="17.85546875" style="1216" bestFit="1" customWidth="1"/>
    <col min="13070" max="13070" width="18" style="1216" bestFit="1" customWidth="1"/>
    <col min="13071" max="13071" width="19.5703125" style="1216" customWidth="1"/>
    <col min="13072" max="13312" width="14.7109375" style="1216"/>
    <col min="13313" max="13313" width="4.42578125" style="1216" bestFit="1" customWidth="1"/>
    <col min="13314" max="13314" width="38.28515625" style="1216" customWidth="1"/>
    <col min="13315" max="13315" width="14.42578125" style="1216" customWidth="1"/>
    <col min="13316" max="13316" width="16.5703125" style="1216" customWidth="1"/>
    <col min="13317" max="13317" width="16.42578125" style="1216" customWidth="1"/>
    <col min="13318" max="13318" width="18" style="1216" bestFit="1" customWidth="1"/>
    <col min="13319" max="13319" width="17" style="1216" bestFit="1" customWidth="1"/>
    <col min="13320" max="13320" width="18.140625" style="1216" bestFit="1" customWidth="1"/>
    <col min="13321" max="13322" width="16.7109375" style="1216" bestFit="1" customWidth="1"/>
    <col min="13323" max="13325" width="17.85546875" style="1216" bestFit="1" customWidth="1"/>
    <col min="13326" max="13326" width="18" style="1216" bestFit="1" customWidth="1"/>
    <col min="13327" max="13327" width="19.5703125" style="1216" customWidth="1"/>
    <col min="13328" max="13568" width="14.7109375" style="1216"/>
    <col min="13569" max="13569" width="4.42578125" style="1216" bestFit="1" customWidth="1"/>
    <col min="13570" max="13570" width="38.28515625" style="1216" customWidth="1"/>
    <col min="13571" max="13571" width="14.42578125" style="1216" customWidth="1"/>
    <col min="13572" max="13572" width="16.5703125" style="1216" customWidth="1"/>
    <col min="13573" max="13573" width="16.42578125" style="1216" customWidth="1"/>
    <col min="13574" max="13574" width="18" style="1216" bestFit="1" customWidth="1"/>
    <col min="13575" max="13575" width="17" style="1216" bestFit="1" customWidth="1"/>
    <col min="13576" max="13576" width="18.140625" style="1216" bestFit="1" customWidth="1"/>
    <col min="13577" max="13578" width="16.7109375" style="1216" bestFit="1" customWidth="1"/>
    <col min="13579" max="13581" width="17.85546875" style="1216" bestFit="1" customWidth="1"/>
    <col min="13582" max="13582" width="18" style="1216" bestFit="1" customWidth="1"/>
    <col min="13583" max="13583" width="19.5703125" style="1216" customWidth="1"/>
    <col min="13584" max="13824" width="14.7109375" style="1216"/>
    <col min="13825" max="13825" width="4.42578125" style="1216" bestFit="1" customWidth="1"/>
    <col min="13826" max="13826" width="38.28515625" style="1216" customWidth="1"/>
    <col min="13827" max="13827" width="14.42578125" style="1216" customWidth="1"/>
    <col min="13828" max="13828" width="16.5703125" style="1216" customWidth="1"/>
    <col min="13829" max="13829" width="16.42578125" style="1216" customWidth="1"/>
    <col min="13830" max="13830" width="18" style="1216" bestFit="1" customWidth="1"/>
    <col min="13831" max="13831" width="17" style="1216" bestFit="1" customWidth="1"/>
    <col min="13832" max="13832" width="18.140625" style="1216" bestFit="1" customWidth="1"/>
    <col min="13833" max="13834" width="16.7109375" style="1216" bestFit="1" customWidth="1"/>
    <col min="13835" max="13837" width="17.85546875" style="1216" bestFit="1" customWidth="1"/>
    <col min="13838" max="13838" width="18" style="1216" bestFit="1" customWidth="1"/>
    <col min="13839" max="13839" width="19.5703125" style="1216" customWidth="1"/>
    <col min="13840" max="14080" width="14.7109375" style="1216"/>
    <col min="14081" max="14081" width="4.42578125" style="1216" bestFit="1" customWidth="1"/>
    <col min="14082" max="14082" width="38.28515625" style="1216" customWidth="1"/>
    <col min="14083" max="14083" width="14.42578125" style="1216" customWidth="1"/>
    <col min="14084" max="14084" width="16.5703125" style="1216" customWidth="1"/>
    <col min="14085" max="14085" width="16.42578125" style="1216" customWidth="1"/>
    <col min="14086" max="14086" width="18" style="1216" bestFit="1" customWidth="1"/>
    <col min="14087" max="14087" width="17" style="1216" bestFit="1" customWidth="1"/>
    <col min="14088" max="14088" width="18.140625" style="1216" bestFit="1" customWidth="1"/>
    <col min="14089" max="14090" width="16.7109375" style="1216" bestFit="1" customWidth="1"/>
    <col min="14091" max="14093" width="17.85546875" style="1216" bestFit="1" customWidth="1"/>
    <col min="14094" max="14094" width="18" style="1216" bestFit="1" customWidth="1"/>
    <col min="14095" max="14095" width="19.5703125" style="1216" customWidth="1"/>
    <col min="14096" max="14336" width="14.7109375" style="1216"/>
    <col min="14337" max="14337" width="4.42578125" style="1216" bestFit="1" customWidth="1"/>
    <col min="14338" max="14338" width="38.28515625" style="1216" customWidth="1"/>
    <col min="14339" max="14339" width="14.42578125" style="1216" customWidth="1"/>
    <col min="14340" max="14340" width="16.5703125" style="1216" customWidth="1"/>
    <col min="14341" max="14341" width="16.42578125" style="1216" customWidth="1"/>
    <col min="14342" max="14342" width="18" style="1216" bestFit="1" customWidth="1"/>
    <col min="14343" max="14343" width="17" style="1216" bestFit="1" customWidth="1"/>
    <col min="14344" max="14344" width="18.140625" style="1216" bestFit="1" customWidth="1"/>
    <col min="14345" max="14346" width="16.7109375" style="1216" bestFit="1" customWidth="1"/>
    <col min="14347" max="14349" width="17.85546875" style="1216" bestFit="1" customWidth="1"/>
    <col min="14350" max="14350" width="18" style="1216" bestFit="1" customWidth="1"/>
    <col min="14351" max="14351" width="19.5703125" style="1216" customWidth="1"/>
    <col min="14352" max="14592" width="14.7109375" style="1216"/>
    <col min="14593" max="14593" width="4.42578125" style="1216" bestFit="1" customWidth="1"/>
    <col min="14594" max="14594" width="38.28515625" style="1216" customWidth="1"/>
    <col min="14595" max="14595" width="14.42578125" style="1216" customWidth="1"/>
    <col min="14596" max="14596" width="16.5703125" style="1216" customWidth="1"/>
    <col min="14597" max="14597" width="16.42578125" style="1216" customWidth="1"/>
    <col min="14598" max="14598" width="18" style="1216" bestFit="1" customWidth="1"/>
    <col min="14599" max="14599" width="17" style="1216" bestFit="1" customWidth="1"/>
    <col min="14600" max="14600" width="18.140625" style="1216" bestFit="1" customWidth="1"/>
    <col min="14601" max="14602" width="16.7109375" style="1216" bestFit="1" customWidth="1"/>
    <col min="14603" max="14605" width="17.85546875" style="1216" bestFit="1" customWidth="1"/>
    <col min="14606" max="14606" width="18" style="1216" bestFit="1" customWidth="1"/>
    <col min="14607" max="14607" width="19.5703125" style="1216" customWidth="1"/>
    <col min="14608" max="14848" width="14.7109375" style="1216"/>
    <col min="14849" max="14849" width="4.42578125" style="1216" bestFit="1" customWidth="1"/>
    <col min="14850" max="14850" width="38.28515625" style="1216" customWidth="1"/>
    <col min="14851" max="14851" width="14.42578125" style="1216" customWidth="1"/>
    <col min="14852" max="14852" width="16.5703125" style="1216" customWidth="1"/>
    <col min="14853" max="14853" width="16.42578125" style="1216" customWidth="1"/>
    <col min="14854" max="14854" width="18" style="1216" bestFit="1" customWidth="1"/>
    <col min="14855" max="14855" width="17" style="1216" bestFit="1" customWidth="1"/>
    <col min="14856" max="14856" width="18.140625" style="1216" bestFit="1" customWidth="1"/>
    <col min="14857" max="14858" width="16.7109375" style="1216" bestFit="1" customWidth="1"/>
    <col min="14859" max="14861" width="17.85546875" style="1216" bestFit="1" customWidth="1"/>
    <col min="14862" max="14862" width="18" style="1216" bestFit="1" customWidth="1"/>
    <col min="14863" max="14863" width="19.5703125" style="1216" customWidth="1"/>
    <col min="14864" max="15104" width="14.7109375" style="1216"/>
    <col min="15105" max="15105" width="4.42578125" style="1216" bestFit="1" customWidth="1"/>
    <col min="15106" max="15106" width="38.28515625" style="1216" customWidth="1"/>
    <col min="15107" max="15107" width="14.42578125" style="1216" customWidth="1"/>
    <col min="15108" max="15108" width="16.5703125" style="1216" customWidth="1"/>
    <col min="15109" max="15109" width="16.42578125" style="1216" customWidth="1"/>
    <col min="15110" max="15110" width="18" style="1216" bestFit="1" customWidth="1"/>
    <col min="15111" max="15111" width="17" style="1216" bestFit="1" customWidth="1"/>
    <col min="15112" max="15112" width="18.140625" style="1216" bestFit="1" customWidth="1"/>
    <col min="15113" max="15114" width="16.7109375" style="1216" bestFit="1" customWidth="1"/>
    <col min="15115" max="15117" width="17.85546875" style="1216" bestFit="1" customWidth="1"/>
    <col min="15118" max="15118" width="18" style="1216" bestFit="1" customWidth="1"/>
    <col min="15119" max="15119" width="19.5703125" style="1216" customWidth="1"/>
    <col min="15120" max="15360" width="14.7109375" style="1216"/>
    <col min="15361" max="15361" width="4.42578125" style="1216" bestFit="1" customWidth="1"/>
    <col min="15362" max="15362" width="38.28515625" style="1216" customWidth="1"/>
    <col min="15363" max="15363" width="14.42578125" style="1216" customWidth="1"/>
    <col min="15364" max="15364" width="16.5703125" style="1216" customWidth="1"/>
    <col min="15365" max="15365" width="16.42578125" style="1216" customWidth="1"/>
    <col min="15366" max="15366" width="18" style="1216" bestFit="1" customWidth="1"/>
    <col min="15367" max="15367" width="17" style="1216" bestFit="1" customWidth="1"/>
    <col min="15368" max="15368" width="18.140625" style="1216" bestFit="1" customWidth="1"/>
    <col min="15369" max="15370" width="16.7109375" style="1216" bestFit="1" customWidth="1"/>
    <col min="15371" max="15373" width="17.85546875" style="1216" bestFit="1" customWidth="1"/>
    <col min="15374" max="15374" width="18" style="1216" bestFit="1" customWidth="1"/>
    <col min="15375" max="15375" width="19.5703125" style="1216" customWidth="1"/>
    <col min="15376" max="15616" width="14.7109375" style="1216"/>
    <col min="15617" max="15617" width="4.42578125" style="1216" bestFit="1" customWidth="1"/>
    <col min="15618" max="15618" width="38.28515625" style="1216" customWidth="1"/>
    <col min="15619" max="15619" width="14.42578125" style="1216" customWidth="1"/>
    <col min="15620" max="15620" width="16.5703125" style="1216" customWidth="1"/>
    <col min="15621" max="15621" width="16.42578125" style="1216" customWidth="1"/>
    <col min="15622" max="15622" width="18" style="1216" bestFit="1" customWidth="1"/>
    <col min="15623" max="15623" width="17" style="1216" bestFit="1" customWidth="1"/>
    <col min="15624" max="15624" width="18.140625" style="1216" bestFit="1" customWidth="1"/>
    <col min="15625" max="15626" width="16.7109375" style="1216" bestFit="1" customWidth="1"/>
    <col min="15627" max="15629" width="17.85546875" style="1216" bestFit="1" customWidth="1"/>
    <col min="15630" max="15630" width="18" style="1216" bestFit="1" customWidth="1"/>
    <col min="15631" max="15631" width="19.5703125" style="1216" customWidth="1"/>
    <col min="15632" max="15872" width="14.7109375" style="1216"/>
    <col min="15873" max="15873" width="4.42578125" style="1216" bestFit="1" customWidth="1"/>
    <col min="15874" max="15874" width="38.28515625" style="1216" customWidth="1"/>
    <col min="15875" max="15875" width="14.42578125" style="1216" customWidth="1"/>
    <col min="15876" max="15876" width="16.5703125" style="1216" customWidth="1"/>
    <col min="15877" max="15877" width="16.42578125" style="1216" customWidth="1"/>
    <col min="15878" max="15878" width="18" style="1216" bestFit="1" customWidth="1"/>
    <col min="15879" max="15879" width="17" style="1216" bestFit="1" customWidth="1"/>
    <col min="15880" max="15880" width="18.140625" style="1216" bestFit="1" customWidth="1"/>
    <col min="15881" max="15882" width="16.7109375" style="1216" bestFit="1" customWidth="1"/>
    <col min="15883" max="15885" width="17.85546875" style="1216" bestFit="1" customWidth="1"/>
    <col min="15886" max="15886" width="18" style="1216" bestFit="1" customWidth="1"/>
    <col min="15887" max="15887" width="19.5703125" style="1216" customWidth="1"/>
    <col min="15888" max="16128" width="14.7109375" style="1216"/>
    <col min="16129" max="16129" width="4.42578125" style="1216" bestFit="1" customWidth="1"/>
    <col min="16130" max="16130" width="38.28515625" style="1216" customWidth="1"/>
    <col min="16131" max="16131" width="14.42578125" style="1216" customWidth="1"/>
    <col min="16132" max="16132" width="16.5703125" style="1216" customWidth="1"/>
    <col min="16133" max="16133" width="16.42578125" style="1216" customWidth="1"/>
    <col min="16134" max="16134" width="18" style="1216" bestFit="1" customWidth="1"/>
    <col min="16135" max="16135" width="17" style="1216" bestFit="1" customWidth="1"/>
    <col min="16136" max="16136" width="18.140625" style="1216" bestFit="1" customWidth="1"/>
    <col min="16137" max="16138" width="16.7109375" style="1216" bestFit="1" customWidth="1"/>
    <col min="16139" max="16141" width="17.85546875" style="1216" bestFit="1" customWidth="1"/>
    <col min="16142" max="16142" width="18" style="1216" bestFit="1" customWidth="1"/>
    <col min="16143" max="16143" width="19.5703125" style="1216" customWidth="1"/>
    <col min="16144" max="16384" width="14.7109375" style="1216"/>
  </cols>
  <sheetData>
    <row r="1" spans="1:11" ht="36.75" customHeight="1">
      <c r="A1" s="2619" t="s">
        <v>1654</v>
      </c>
      <c r="B1" s="2619"/>
      <c r="C1" s="2619"/>
      <c r="D1" s="2619"/>
      <c r="E1" s="2619"/>
    </row>
    <row r="2" spans="1:11" ht="20.25" customHeight="1">
      <c r="A2" s="2620" t="s">
        <v>1655</v>
      </c>
      <c r="B2" s="2620"/>
      <c r="C2" s="2620"/>
      <c r="D2" s="2620"/>
      <c r="E2" s="2620"/>
    </row>
    <row r="3" spans="1:11" ht="30" customHeight="1">
      <c r="A3" s="30"/>
      <c r="B3" s="30"/>
      <c r="C3" s="30"/>
      <c r="D3" s="30"/>
      <c r="E3" s="2099" t="s">
        <v>1656</v>
      </c>
    </row>
    <row r="4" spans="1:11" ht="31.5">
      <c r="A4" s="2276" t="s">
        <v>509</v>
      </c>
      <c r="B4" s="2090" t="s">
        <v>887</v>
      </c>
      <c r="C4" s="2090" t="s">
        <v>1657</v>
      </c>
      <c r="D4" s="2090" t="s">
        <v>1658</v>
      </c>
      <c r="E4" s="2090" t="s">
        <v>170</v>
      </c>
    </row>
    <row r="5" spans="1:11" ht="35.25" customHeight="1">
      <c r="A5" s="2091">
        <v>1</v>
      </c>
      <c r="B5" s="2092" t="s">
        <v>1659</v>
      </c>
      <c r="C5" s="2093">
        <v>542.64918724329004</v>
      </c>
      <c r="D5" s="2094">
        <f>C10</f>
        <v>350.40454328900023</v>
      </c>
      <c r="E5" s="2094">
        <f>D10</f>
        <v>387.54906301895471</v>
      </c>
    </row>
    <row r="6" spans="1:11" ht="21.95" customHeight="1">
      <c r="A6" s="2091">
        <v>2</v>
      </c>
      <c r="B6" s="2092" t="s">
        <v>1660</v>
      </c>
      <c r="C6" s="2094">
        <f>2644.902355529*0+3201.185346686</f>
        <v>3201.1853466859998</v>
      </c>
      <c r="D6" s="2094">
        <f>'F-22'!C4/100</f>
        <v>3714.4519729954468</v>
      </c>
      <c r="E6" s="2094">
        <f>'F-22'!D4/100</f>
        <v>4048.9156460190356</v>
      </c>
    </row>
    <row r="7" spans="1:11" ht="21.95" customHeight="1">
      <c r="A7" s="2091">
        <v>3</v>
      </c>
      <c r="B7" s="2092" t="s">
        <v>1661</v>
      </c>
      <c r="C7" s="2094">
        <f>2150.4332*0+3393.42999064029</f>
        <v>3393.4299906402898</v>
      </c>
      <c r="D7" s="2094">
        <f>'F-23 New '!D9/100</f>
        <v>3677.3074532654923</v>
      </c>
      <c r="E7" s="2094">
        <f>'F-23 New '!E9/100</f>
        <v>4008.4264895588449</v>
      </c>
    </row>
    <row r="8" spans="1:11" ht="21.95" customHeight="1">
      <c r="A8" s="2091"/>
      <c r="B8" s="2095" t="s">
        <v>1662</v>
      </c>
      <c r="C8" s="2096"/>
      <c r="D8" s="2094"/>
      <c r="E8" s="2094"/>
    </row>
    <row r="9" spans="1:11" ht="21.95" customHeight="1">
      <c r="A9" s="2091"/>
      <c r="B9" s="2095" t="s">
        <v>1663</v>
      </c>
      <c r="C9" s="2094"/>
      <c r="D9" s="2094"/>
      <c r="E9" s="2094"/>
    </row>
    <row r="10" spans="1:11" ht="30.75" customHeight="1">
      <c r="A10" s="2091">
        <v>4</v>
      </c>
      <c r="B10" s="2092" t="s">
        <v>1664</v>
      </c>
      <c r="C10" s="2094">
        <f>C5+C6-C7</f>
        <v>350.40454328900023</v>
      </c>
      <c r="D10" s="2094">
        <f>D5+D6-D7</f>
        <v>387.54906301895471</v>
      </c>
      <c r="E10" s="2094">
        <f>E5+E6-E7</f>
        <v>428.03821947914548</v>
      </c>
      <c r="G10" s="1586"/>
    </row>
    <row r="11" spans="1:11" ht="21.95" customHeight="1">
      <c r="A11" s="2091">
        <v>5</v>
      </c>
      <c r="B11" s="2092" t="s">
        <v>1665</v>
      </c>
      <c r="C11" s="2097"/>
      <c r="D11" s="2097"/>
      <c r="E11" s="2097"/>
    </row>
    <row r="12" spans="1:11" ht="31.5" customHeight="1">
      <c r="A12" s="2091">
        <v>6</v>
      </c>
      <c r="B12" s="2092" t="s">
        <v>1666</v>
      </c>
      <c r="C12" s="2097"/>
      <c r="D12" s="2097"/>
      <c r="E12" s="2097"/>
    </row>
    <row r="13" spans="1:11" ht="21.95" customHeight="1">
      <c r="A13" s="2091">
        <v>7</v>
      </c>
      <c r="B13" s="2092" t="s">
        <v>1667</v>
      </c>
      <c r="C13" s="2097"/>
      <c r="D13" s="2097"/>
      <c r="E13" s="2097"/>
    </row>
    <row r="14" spans="1:11" ht="36" customHeight="1">
      <c r="A14" s="2091">
        <v>8</v>
      </c>
      <c r="B14" s="2092" t="s">
        <v>1668</v>
      </c>
      <c r="C14" s="2097"/>
      <c r="D14" s="2097"/>
      <c r="E14" s="2097"/>
      <c r="F14" s="1217"/>
    </row>
    <row r="15" spans="1:11" ht="36" customHeight="1">
      <c r="A15" s="2091">
        <v>9</v>
      </c>
      <c r="B15" s="2098" t="s">
        <v>1669</v>
      </c>
      <c r="C15" s="2094">
        <v>90.541937899999994</v>
      </c>
      <c r="D15" s="2094">
        <f>D6*1%</f>
        <v>37.144519729954467</v>
      </c>
      <c r="E15" s="2094">
        <f>E6*1%</f>
        <v>40.489156460190358</v>
      </c>
    </row>
    <row r="16" spans="1:11" ht="21.95" customHeight="1">
      <c r="A16" s="2091">
        <v>10</v>
      </c>
      <c r="B16" s="2092" t="s">
        <v>1670</v>
      </c>
      <c r="C16" s="2100">
        <f>C15/C10</f>
        <v>0.25839259117517915</v>
      </c>
      <c r="D16" s="2100">
        <f>D15/D10</f>
        <v>9.5844689806765859E-2</v>
      </c>
      <c r="E16" s="2100">
        <f>E15/E10</f>
        <v>9.4592385954364616E-2</v>
      </c>
      <c r="K16" s="1216">
        <f>10^7</f>
        <v>10000000</v>
      </c>
    </row>
    <row r="18" spans="1:15">
      <c r="A18" s="2621" t="s">
        <v>1671</v>
      </c>
      <c r="B18" s="2621"/>
      <c r="C18" s="2621"/>
      <c r="D18" s="2621"/>
      <c r="E18" s="2621"/>
      <c r="F18" s="2621"/>
      <c r="G18" s="2621"/>
      <c r="H18" s="2621"/>
      <c r="I18" s="2621"/>
      <c r="J18" s="2621"/>
      <c r="K18" s="2621"/>
      <c r="L18" s="2621"/>
      <c r="M18" s="2621"/>
      <c r="N18" s="2621"/>
      <c r="O18" s="2621"/>
    </row>
    <row r="19" spans="1:15">
      <c r="A19" s="2621" t="s">
        <v>1672</v>
      </c>
      <c r="B19" s="2621"/>
      <c r="C19" s="2621"/>
      <c r="D19" s="2621"/>
      <c r="E19" s="2621"/>
      <c r="F19" s="2621"/>
      <c r="G19" s="2621"/>
      <c r="H19" s="2621"/>
      <c r="I19" s="2621"/>
      <c r="J19" s="2621"/>
      <c r="K19" s="2621"/>
      <c r="L19" s="2621"/>
      <c r="M19" s="2621"/>
      <c r="N19" s="2621"/>
      <c r="O19" s="2621"/>
    </row>
    <row r="20" spans="1:15">
      <c r="A20" s="2101"/>
      <c r="B20" s="2101"/>
      <c r="C20" s="2101"/>
      <c r="D20" s="2101"/>
      <c r="E20" s="2101"/>
      <c r="F20" s="2101"/>
      <c r="G20" s="2101"/>
      <c r="H20" s="2102"/>
      <c r="I20" s="2102"/>
      <c r="J20" s="2101"/>
      <c r="K20" s="2101"/>
      <c r="L20" s="2101"/>
      <c r="M20" s="2101"/>
      <c r="N20" s="2101"/>
      <c r="O20" s="2101"/>
    </row>
    <row r="21" spans="1:15" ht="21.75" customHeight="1">
      <c r="A21" s="2622" t="s">
        <v>1657</v>
      </c>
      <c r="B21" s="2622"/>
      <c r="C21" s="2622"/>
      <c r="D21" s="2622"/>
      <c r="E21" s="2622"/>
      <c r="F21" s="2622"/>
      <c r="G21" s="2622"/>
      <c r="H21" s="2622"/>
      <c r="I21" s="2622"/>
      <c r="J21" s="2622"/>
      <c r="K21" s="2622"/>
      <c r="L21" s="2622"/>
      <c r="M21" s="2622"/>
      <c r="N21" s="2622"/>
      <c r="O21" s="2108" t="s">
        <v>1656</v>
      </c>
    </row>
    <row r="22" spans="1:15" ht="31.5">
      <c r="A22" s="2103" t="s">
        <v>509</v>
      </c>
      <c r="B22" s="2103" t="s">
        <v>887</v>
      </c>
      <c r="C22" s="2109" t="s">
        <v>1673</v>
      </c>
      <c r="D22" s="2109" t="s">
        <v>348</v>
      </c>
      <c r="E22" s="2109" t="s">
        <v>1674</v>
      </c>
      <c r="F22" s="2109" t="s">
        <v>1675</v>
      </c>
      <c r="G22" s="2109" t="s">
        <v>1676</v>
      </c>
      <c r="H22" s="2109" t="s">
        <v>1677</v>
      </c>
      <c r="I22" s="2109" t="s">
        <v>1678</v>
      </c>
      <c r="J22" s="2109" t="s">
        <v>1679</v>
      </c>
      <c r="K22" s="2109" t="s">
        <v>1680</v>
      </c>
      <c r="L22" s="2109" t="s">
        <v>1681</v>
      </c>
      <c r="M22" s="2109" t="s">
        <v>1682</v>
      </c>
      <c r="N22" s="2109" t="s">
        <v>1683</v>
      </c>
      <c r="O22" s="2109" t="s">
        <v>274</v>
      </c>
    </row>
    <row r="23" spans="1:15" ht="23.25" customHeight="1">
      <c r="A23" s="2104">
        <v>1</v>
      </c>
      <c r="B23" s="2105" t="s">
        <v>1684</v>
      </c>
      <c r="C23" s="2111">
        <v>5.0172948657900047</v>
      </c>
      <c r="D23" s="2111">
        <v>4.60253711914</v>
      </c>
      <c r="E23" s="2111">
        <v>5.9092988240000004</v>
      </c>
      <c r="F23" s="2111">
        <v>62.728209790529988</v>
      </c>
      <c r="G23" s="2111">
        <v>4.06628787813999</v>
      </c>
      <c r="H23" s="2111">
        <v>28.475270406019966</v>
      </c>
      <c r="I23" s="2111">
        <v>5.8115606779600109</v>
      </c>
      <c r="J23" s="2111">
        <v>6.1236167211700012</v>
      </c>
      <c r="K23" s="2111">
        <v>7.4490537835899575</v>
      </c>
      <c r="L23" s="2111">
        <f>59741976.1923/10^7</f>
        <v>5.9741976192299999</v>
      </c>
      <c r="M23" s="2111">
        <f>('[23]GRIDCO Reporting'!$C$20+'[23]GRIDCO Reporting'!$C$21)/10^7</f>
        <v>18.283007455070102</v>
      </c>
      <c r="N23" s="2111">
        <v>93.501316591912101</v>
      </c>
      <c r="O23" s="2111">
        <f>SUM(C23:N23)</f>
        <v>247.94165173255215</v>
      </c>
    </row>
    <row r="24" spans="1:15" ht="24" customHeight="1">
      <c r="A24" s="2104">
        <v>2</v>
      </c>
      <c r="B24" s="2105" t="s">
        <v>1685</v>
      </c>
      <c r="C24" s="2111">
        <v>2.1795976293199999</v>
      </c>
      <c r="D24" s="2111">
        <v>1.1024403490000001</v>
      </c>
      <c r="E24" s="2111">
        <v>1.1211108000000001</v>
      </c>
      <c r="F24" s="2111">
        <v>1.1955583687900002</v>
      </c>
      <c r="G24" s="2111">
        <v>6.9290549820000033E-2</v>
      </c>
      <c r="H24" s="2111">
        <v>13.46949162708</v>
      </c>
      <c r="I24" s="2111">
        <v>13.45805645625</v>
      </c>
      <c r="J24" s="2111">
        <v>13.605230355019998</v>
      </c>
      <c r="K24" s="2111">
        <v>6.4848789990100002</v>
      </c>
      <c r="L24" s="2111">
        <v>6.4507978873799994</v>
      </c>
      <c r="M24" s="2111">
        <v>6.6214945065299995</v>
      </c>
      <c r="N24" s="2111">
        <v>7.1987370193200011</v>
      </c>
      <c r="O24" s="2111">
        <f>SUM(C24:N24)</f>
        <v>72.956684547520013</v>
      </c>
    </row>
    <row r="25" spans="1:15">
      <c r="A25" s="2106"/>
      <c r="B25" s="2106"/>
      <c r="C25" s="2106"/>
      <c r="D25" s="2106"/>
      <c r="E25" s="2106"/>
      <c r="F25" s="2106"/>
      <c r="G25" s="2106"/>
      <c r="H25" s="2106"/>
      <c r="I25" s="2106"/>
      <c r="J25" s="2106"/>
      <c r="K25" s="2106"/>
      <c r="L25" s="2106"/>
      <c r="M25" s="2106"/>
      <c r="N25" s="2106"/>
      <c r="O25" s="2106"/>
    </row>
    <row r="26" spans="1:15">
      <c r="A26" s="2106"/>
      <c r="B26" s="2106"/>
      <c r="C26" s="2106"/>
      <c r="D26" s="2106"/>
      <c r="E26" s="2106"/>
      <c r="F26" s="2106"/>
      <c r="G26" s="2106"/>
      <c r="H26" s="2106"/>
      <c r="I26" s="2106"/>
      <c r="J26" s="2106"/>
      <c r="K26" s="2106"/>
      <c r="L26" s="2106"/>
      <c r="M26" s="2106"/>
      <c r="N26" s="2106"/>
      <c r="O26" s="2106"/>
    </row>
    <row r="27" spans="1:15">
      <c r="A27" s="2618" t="s">
        <v>1686</v>
      </c>
      <c r="B27" s="2618"/>
      <c r="C27" s="2618"/>
      <c r="D27" s="2618"/>
      <c r="E27" s="2618"/>
      <c r="F27" s="2618"/>
      <c r="G27" s="2618"/>
      <c r="H27" s="2618"/>
      <c r="I27" s="2618"/>
      <c r="J27" s="2618"/>
      <c r="K27" s="2618"/>
      <c r="L27" s="2618"/>
      <c r="M27" s="2618"/>
      <c r="N27" s="2618"/>
      <c r="O27" s="2108" t="s">
        <v>1687</v>
      </c>
    </row>
    <row r="28" spans="1:15" ht="31.5">
      <c r="A28" s="2107" t="s">
        <v>509</v>
      </c>
      <c r="B28" s="2107" t="s">
        <v>887</v>
      </c>
      <c r="C28" s="2104" t="s">
        <v>1673</v>
      </c>
      <c r="D28" s="2104" t="s">
        <v>348</v>
      </c>
      <c r="E28" s="2104" t="s">
        <v>1674</v>
      </c>
      <c r="F28" s="2104" t="s">
        <v>1675</v>
      </c>
      <c r="G28" s="2104" t="s">
        <v>1676</v>
      </c>
      <c r="H28" s="2104" t="s">
        <v>1677</v>
      </c>
      <c r="I28" s="2104" t="s">
        <v>1678</v>
      </c>
      <c r="J28" s="2104" t="s">
        <v>1679</v>
      </c>
      <c r="K28" s="2104" t="s">
        <v>1680</v>
      </c>
      <c r="L28" s="2104" t="s">
        <v>1681</v>
      </c>
      <c r="M28" s="2104" t="s">
        <v>1682</v>
      </c>
      <c r="N28" s="2104" t="s">
        <v>1683</v>
      </c>
      <c r="O28" s="2105" t="s">
        <v>274</v>
      </c>
    </row>
    <row r="29" spans="1:15" ht="24" customHeight="1">
      <c r="A29" s="2104">
        <v>1</v>
      </c>
      <c r="B29" s="2105" t="s">
        <v>1684</v>
      </c>
      <c r="C29" s="2111">
        <v>8.21053971249993</v>
      </c>
      <c r="D29" s="2111">
        <v>2.7557976903300001</v>
      </c>
      <c r="E29" s="2111">
        <v>2.4053987092999898</v>
      </c>
      <c r="F29" s="2111">
        <v>3.38002150569999</v>
      </c>
      <c r="G29" s="2111">
        <v>1.4578197523800001</v>
      </c>
      <c r="H29" s="2111">
        <v>6.6111625883600205</v>
      </c>
      <c r="I29" s="2111">
        <v>1.76082084007002</v>
      </c>
      <c r="J29" s="2111">
        <v>1.75</v>
      </c>
      <c r="K29" s="2111">
        <v>1.75</v>
      </c>
      <c r="L29" s="2111">
        <v>2.25</v>
      </c>
      <c r="M29" s="2111">
        <v>2.25</v>
      </c>
      <c r="N29" s="2111">
        <v>3</v>
      </c>
      <c r="O29" s="2111">
        <f>SUM(C29:N29)</f>
        <v>37.581560798639956</v>
      </c>
    </row>
    <row r="30" spans="1:15" ht="29.25" customHeight="1">
      <c r="A30" s="2104">
        <v>2</v>
      </c>
      <c r="B30" s="2105" t="s">
        <v>1685</v>
      </c>
      <c r="C30" s="2111">
        <v>6.5881041263599869</v>
      </c>
      <c r="D30" s="2111">
        <v>6.4699966030500002</v>
      </c>
      <c r="E30" s="2111">
        <v>6.3182542879999994</v>
      </c>
      <c r="F30" s="2111">
        <v>6.6472043338299995</v>
      </c>
      <c r="G30" s="2111">
        <v>6.2525744684199998</v>
      </c>
      <c r="H30" s="2111">
        <v>6.5578560927499998</v>
      </c>
      <c r="I30" s="2111">
        <v>6.3729834151200002</v>
      </c>
      <c r="J30" s="2111">
        <v>5.25</v>
      </c>
      <c r="K30" s="2111">
        <v>5.25</v>
      </c>
      <c r="L30" s="2111">
        <v>6.75</v>
      </c>
      <c r="M30" s="2111">
        <v>6.75</v>
      </c>
      <c r="N30" s="2111">
        <v>9</v>
      </c>
      <c r="O30" s="2111">
        <f>SUM(C30:N30)</f>
        <v>78.20697332752998</v>
      </c>
    </row>
    <row r="31" spans="1:15">
      <c r="A31" s="2106"/>
      <c r="B31" s="2106"/>
      <c r="C31" s="2106"/>
      <c r="D31" s="2106"/>
      <c r="E31" s="2106"/>
      <c r="F31" s="2106"/>
      <c r="G31" s="2106"/>
      <c r="H31" s="2106"/>
      <c r="I31" s="2106"/>
      <c r="J31" s="2106"/>
      <c r="K31" s="2106"/>
      <c r="L31" s="2106"/>
      <c r="M31" s="2106"/>
      <c r="N31" s="2106"/>
      <c r="O31" s="2106"/>
    </row>
    <row r="32" spans="1:15">
      <c r="A32" s="2106"/>
      <c r="B32" s="2106"/>
      <c r="C32" s="2106"/>
      <c r="D32" s="2106"/>
      <c r="E32" s="2106"/>
      <c r="F32" s="2106"/>
      <c r="G32" s="2106"/>
      <c r="H32" s="2106"/>
      <c r="I32" s="2106"/>
      <c r="J32" s="2106"/>
      <c r="K32" s="2106"/>
      <c r="L32" s="2106"/>
      <c r="M32" s="2106"/>
      <c r="N32" s="2106"/>
      <c r="O32" s="2106"/>
    </row>
    <row r="33" spans="1:15" ht="19.5" customHeight="1">
      <c r="A33" s="2618" t="s">
        <v>1688</v>
      </c>
      <c r="B33" s="2618"/>
      <c r="C33" s="2618"/>
      <c r="D33" s="2618"/>
      <c r="E33" s="2618"/>
      <c r="F33" s="2618"/>
      <c r="G33" s="2618"/>
      <c r="H33" s="2618"/>
      <c r="I33" s="2618"/>
      <c r="J33" s="2618"/>
      <c r="K33" s="2618"/>
      <c r="L33" s="2618"/>
      <c r="M33" s="2618"/>
      <c r="N33" s="2618"/>
      <c r="O33" s="2108" t="s">
        <v>1687</v>
      </c>
    </row>
    <row r="34" spans="1:15" ht="37.5" customHeight="1">
      <c r="A34" s="2107" t="s">
        <v>509</v>
      </c>
      <c r="B34" s="2107" t="s">
        <v>887</v>
      </c>
      <c r="C34" s="2104" t="s">
        <v>1673</v>
      </c>
      <c r="D34" s="2104" t="s">
        <v>348</v>
      </c>
      <c r="E34" s="2104" t="s">
        <v>1674</v>
      </c>
      <c r="F34" s="2104" t="s">
        <v>1675</v>
      </c>
      <c r="G34" s="2104" t="s">
        <v>1676</v>
      </c>
      <c r="H34" s="2104" t="s">
        <v>1677</v>
      </c>
      <c r="I34" s="2104" t="s">
        <v>1678</v>
      </c>
      <c r="J34" s="2104" t="s">
        <v>1679</v>
      </c>
      <c r="K34" s="2104" t="s">
        <v>1680</v>
      </c>
      <c r="L34" s="2104" t="s">
        <v>1681</v>
      </c>
      <c r="M34" s="2104" t="s">
        <v>1682</v>
      </c>
      <c r="N34" s="2104" t="s">
        <v>1683</v>
      </c>
      <c r="O34" s="2104" t="s">
        <v>274</v>
      </c>
    </row>
    <row r="35" spans="1:15" ht="22.5" customHeight="1">
      <c r="A35" s="2104">
        <v>1</v>
      </c>
      <c r="B35" s="2105" t="s">
        <v>1684</v>
      </c>
      <c r="C35" s="2112">
        <f>6.5*25%</f>
        <v>1.625</v>
      </c>
      <c r="D35" s="2112">
        <f t="shared" ref="D35:N35" si="0">6.5*25%</f>
        <v>1.625</v>
      </c>
      <c r="E35" s="2112">
        <f t="shared" si="0"/>
        <v>1.625</v>
      </c>
      <c r="F35" s="2112">
        <f t="shared" si="0"/>
        <v>1.625</v>
      </c>
      <c r="G35" s="2112">
        <f t="shared" si="0"/>
        <v>1.625</v>
      </c>
      <c r="H35" s="2112">
        <f t="shared" si="0"/>
        <v>1.625</v>
      </c>
      <c r="I35" s="2112">
        <f t="shared" si="0"/>
        <v>1.625</v>
      </c>
      <c r="J35" s="2112">
        <f t="shared" si="0"/>
        <v>1.625</v>
      </c>
      <c r="K35" s="2112">
        <f t="shared" si="0"/>
        <v>1.625</v>
      </c>
      <c r="L35" s="2112">
        <f t="shared" si="0"/>
        <v>1.625</v>
      </c>
      <c r="M35" s="2112">
        <f t="shared" si="0"/>
        <v>1.625</v>
      </c>
      <c r="N35" s="2112">
        <f t="shared" si="0"/>
        <v>1.625</v>
      </c>
      <c r="O35" s="2112">
        <f>SUM(C35:N35)</f>
        <v>19.5</v>
      </c>
    </row>
    <row r="36" spans="1:15" ht="25.5" customHeight="1">
      <c r="A36" s="2104">
        <v>2</v>
      </c>
      <c r="B36" s="2105" t="s">
        <v>1685</v>
      </c>
      <c r="C36" s="2112">
        <f>6.5*75%</f>
        <v>4.875</v>
      </c>
      <c r="D36" s="2112">
        <f t="shared" ref="D36:N36" si="1">6.5*75%</f>
        <v>4.875</v>
      </c>
      <c r="E36" s="2112">
        <f t="shared" si="1"/>
        <v>4.875</v>
      </c>
      <c r="F36" s="2112">
        <f t="shared" si="1"/>
        <v>4.875</v>
      </c>
      <c r="G36" s="2112">
        <f t="shared" si="1"/>
        <v>4.875</v>
      </c>
      <c r="H36" s="2112">
        <f t="shared" si="1"/>
        <v>4.875</v>
      </c>
      <c r="I36" s="2112">
        <f t="shared" si="1"/>
        <v>4.875</v>
      </c>
      <c r="J36" s="2112">
        <f t="shared" si="1"/>
        <v>4.875</v>
      </c>
      <c r="K36" s="2112">
        <f t="shared" si="1"/>
        <v>4.875</v>
      </c>
      <c r="L36" s="2112">
        <f t="shared" si="1"/>
        <v>4.875</v>
      </c>
      <c r="M36" s="2112">
        <f t="shared" si="1"/>
        <v>4.875</v>
      </c>
      <c r="N36" s="2112">
        <f t="shared" si="1"/>
        <v>4.875</v>
      </c>
      <c r="O36" s="2112">
        <f>SUM(C36:N36)</f>
        <v>58.5</v>
      </c>
    </row>
    <row r="39" spans="1:15">
      <c r="C39" s="1593"/>
      <c r="D39" s="1593"/>
      <c r="E39" s="1593"/>
      <c r="F39" s="1593"/>
      <c r="G39" s="1593"/>
      <c r="H39" s="1593"/>
      <c r="I39" s="1593"/>
    </row>
    <row r="40" spans="1:15">
      <c r="C40" s="1593"/>
    </row>
  </sheetData>
  <mergeCells count="7">
    <mergeCell ref="A33:N33"/>
    <mergeCell ref="A1:E1"/>
    <mergeCell ref="A2:E2"/>
    <mergeCell ref="A19:O19"/>
    <mergeCell ref="A21:N21"/>
    <mergeCell ref="A27:N27"/>
    <mergeCell ref="A18:O18"/>
  </mergeCells>
  <printOptions horizontalCentered="1"/>
  <pageMargins left="0.27559055118110237" right="0.15748031496062992" top="0.94488188976377963" bottom="0.55118110236220474" header="0.51181102362204722" footer="0.51181102362204722"/>
  <pageSetup scale="5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8000"/>
  </sheetPr>
  <dimension ref="A1:Q41"/>
  <sheetViews>
    <sheetView view="pageBreakPreview" topLeftCell="B25" zoomScale="60" zoomScaleNormal="74" workbookViewId="0">
      <selection activeCell="L42" sqref="L42"/>
    </sheetView>
  </sheetViews>
  <sheetFormatPr defaultColWidth="14.7109375" defaultRowHeight="38.1" customHeight="1"/>
  <cols>
    <col min="1" max="1" width="9.42578125" style="1218" customWidth="1"/>
    <col min="2" max="2" width="51.85546875" style="2131" customWidth="1"/>
    <col min="3" max="3" width="20" style="1218" bestFit="1" customWidth="1"/>
    <col min="4" max="13" width="17.5703125" style="1218" bestFit="1" customWidth="1"/>
    <col min="14" max="14" width="15.7109375" style="1218" bestFit="1" customWidth="1"/>
    <col min="15" max="15" width="17.85546875" style="1218" customWidth="1"/>
    <col min="16" max="256" width="14.7109375" style="1218"/>
    <col min="257" max="257" width="6.28515625" style="1218" customWidth="1"/>
    <col min="258" max="258" width="67.140625" style="1218" bestFit="1" customWidth="1"/>
    <col min="259" max="270" width="15.7109375" style="1218" bestFit="1" customWidth="1"/>
    <col min="271" max="271" width="17.42578125" style="1218" bestFit="1" customWidth="1"/>
    <col min="272" max="512" width="14.7109375" style="1218"/>
    <col min="513" max="513" width="6.28515625" style="1218" customWidth="1"/>
    <col min="514" max="514" width="67.140625" style="1218" bestFit="1" customWidth="1"/>
    <col min="515" max="526" width="15.7109375" style="1218" bestFit="1" customWidth="1"/>
    <col min="527" max="527" width="17.42578125" style="1218" bestFit="1" customWidth="1"/>
    <col min="528" max="768" width="14.7109375" style="1218"/>
    <col min="769" max="769" width="6.28515625" style="1218" customWidth="1"/>
    <col min="770" max="770" width="67.140625" style="1218" bestFit="1" customWidth="1"/>
    <col min="771" max="782" width="15.7109375" style="1218" bestFit="1" customWidth="1"/>
    <col min="783" max="783" width="17.42578125" style="1218" bestFit="1" customWidth="1"/>
    <col min="784" max="1024" width="14.7109375" style="1218"/>
    <col min="1025" max="1025" width="6.28515625" style="1218" customWidth="1"/>
    <col min="1026" max="1026" width="67.140625" style="1218" bestFit="1" customWidth="1"/>
    <col min="1027" max="1038" width="15.7109375" style="1218" bestFit="1" customWidth="1"/>
    <col min="1039" max="1039" width="17.42578125" style="1218" bestFit="1" customWidth="1"/>
    <col min="1040" max="1280" width="14.7109375" style="1218"/>
    <col min="1281" max="1281" width="6.28515625" style="1218" customWidth="1"/>
    <col min="1282" max="1282" width="67.140625" style="1218" bestFit="1" customWidth="1"/>
    <col min="1283" max="1294" width="15.7109375" style="1218" bestFit="1" customWidth="1"/>
    <col min="1295" max="1295" width="17.42578125" style="1218" bestFit="1" customWidth="1"/>
    <col min="1296" max="1536" width="14.7109375" style="1218"/>
    <col min="1537" max="1537" width="6.28515625" style="1218" customWidth="1"/>
    <col min="1538" max="1538" width="67.140625" style="1218" bestFit="1" customWidth="1"/>
    <col min="1539" max="1550" width="15.7109375" style="1218" bestFit="1" customWidth="1"/>
    <col min="1551" max="1551" width="17.42578125" style="1218" bestFit="1" customWidth="1"/>
    <col min="1552" max="1792" width="14.7109375" style="1218"/>
    <col min="1793" max="1793" width="6.28515625" style="1218" customWidth="1"/>
    <col min="1794" max="1794" width="67.140625" style="1218" bestFit="1" customWidth="1"/>
    <col min="1795" max="1806" width="15.7109375" style="1218" bestFit="1" customWidth="1"/>
    <col min="1807" max="1807" width="17.42578125" style="1218" bestFit="1" customWidth="1"/>
    <col min="1808" max="2048" width="14.7109375" style="1218"/>
    <col min="2049" max="2049" width="6.28515625" style="1218" customWidth="1"/>
    <col min="2050" max="2050" width="67.140625" style="1218" bestFit="1" customWidth="1"/>
    <col min="2051" max="2062" width="15.7109375" style="1218" bestFit="1" customWidth="1"/>
    <col min="2063" max="2063" width="17.42578125" style="1218" bestFit="1" customWidth="1"/>
    <col min="2064" max="2304" width="14.7109375" style="1218"/>
    <col min="2305" max="2305" width="6.28515625" style="1218" customWidth="1"/>
    <col min="2306" max="2306" width="67.140625" style="1218" bestFit="1" customWidth="1"/>
    <col min="2307" max="2318" width="15.7109375" style="1218" bestFit="1" customWidth="1"/>
    <col min="2319" max="2319" width="17.42578125" style="1218" bestFit="1" customWidth="1"/>
    <col min="2320" max="2560" width="14.7109375" style="1218"/>
    <col min="2561" max="2561" width="6.28515625" style="1218" customWidth="1"/>
    <col min="2562" max="2562" width="67.140625" style="1218" bestFit="1" customWidth="1"/>
    <col min="2563" max="2574" width="15.7109375" style="1218" bestFit="1" customWidth="1"/>
    <col min="2575" max="2575" width="17.42578125" style="1218" bestFit="1" customWidth="1"/>
    <col min="2576" max="2816" width="14.7109375" style="1218"/>
    <col min="2817" max="2817" width="6.28515625" style="1218" customWidth="1"/>
    <col min="2818" max="2818" width="67.140625" style="1218" bestFit="1" customWidth="1"/>
    <col min="2819" max="2830" width="15.7109375" style="1218" bestFit="1" customWidth="1"/>
    <col min="2831" max="2831" width="17.42578125" style="1218" bestFit="1" customWidth="1"/>
    <col min="2832" max="3072" width="14.7109375" style="1218"/>
    <col min="3073" max="3073" width="6.28515625" style="1218" customWidth="1"/>
    <col min="3074" max="3074" width="67.140625" style="1218" bestFit="1" customWidth="1"/>
    <col min="3075" max="3086" width="15.7109375" style="1218" bestFit="1" customWidth="1"/>
    <col min="3087" max="3087" width="17.42578125" style="1218" bestFit="1" customWidth="1"/>
    <col min="3088" max="3328" width="14.7109375" style="1218"/>
    <col min="3329" max="3329" width="6.28515625" style="1218" customWidth="1"/>
    <col min="3330" max="3330" width="67.140625" style="1218" bestFit="1" customWidth="1"/>
    <col min="3331" max="3342" width="15.7109375" style="1218" bestFit="1" customWidth="1"/>
    <col min="3343" max="3343" width="17.42578125" style="1218" bestFit="1" customWidth="1"/>
    <col min="3344" max="3584" width="14.7109375" style="1218"/>
    <col min="3585" max="3585" width="6.28515625" style="1218" customWidth="1"/>
    <col min="3586" max="3586" width="67.140625" style="1218" bestFit="1" customWidth="1"/>
    <col min="3587" max="3598" width="15.7109375" style="1218" bestFit="1" customWidth="1"/>
    <col min="3599" max="3599" width="17.42578125" style="1218" bestFit="1" customWidth="1"/>
    <col min="3600" max="3840" width="14.7109375" style="1218"/>
    <col min="3841" max="3841" width="6.28515625" style="1218" customWidth="1"/>
    <col min="3842" max="3842" width="67.140625" style="1218" bestFit="1" customWidth="1"/>
    <col min="3843" max="3854" width="15.7109375" style="1218" bestFit="1" customWidth="1"/>
    <col min="3855" max="3855" width="17.42578125" style="1218" bestFit="1" customWidth="1"/>
    <col min="3856" max="4096" width="14.7109375" style="1218"/>
    <col min="4097" max="4097" width="6.28515625" style="1218" customWidth="1"/>
    <col min="4098" max="4098" width="67.140625" style="1218" bestFit="1" customWidth="1"/>
    <col min="4099" max="4110" width="15.7109375" style="1218" bestFit="1" customWidth="1"/>
    <col min="4111" max="4111" width="17.42578125" style="1218" bestFit="1" customWidth="1"/>
    <col min="4112" max="4352" width="14.7109375" style="1218"/>
    <col min="4353" max="4353" width="6.28515625" style="1218" customWidth="1"/>
    <col min="4354" max="4354" width="67.140625" style="1218" bestFit="1" customWidth="1"/>
    <col min="4355" max="4366" width="15.7109375" style="1218" bestFit="1" customWidth="1"/>
    <col min="4367" max="4367" width="17.42578125" style="1218" bestFit="1" customWidth="1"/>
    <col min="4368" max="4608" width="14.7109375" style="1218"/>
    <col min="4609" max="4609" width="6.28515625" style="1218" customWidth="1"/>
    <col min="4610" max="4610" width="67.140625" style="1218" bestFit="1" customWidth="1"/>
    <col min="4611" max="4622" width="15.7109375" style="1218" bestFit="1" customWidth="1"/>
    <col min="4623" max="4623" width="17.42578125" style="1218" bestFit="1" customWidth="1"/>
    <col min="4624" max="4864" width="14.7109375" style="1218"/>
    <col min="4865" max="4865" width="6.28515625" style="1218" customWidth="1"/>
    <col min="4866" max="4866" width="67.140625" style="1218" bestFit="1" customWidth="1"/>
    <col min="4867" max="4878" width="15.7109375" style="1218" bestFit="1" customWidth="1"/>
    <col min="4879" max="4879" width="17.42578125" style="1218" bestFit="1" customWidth="1"/>
    <col min="4880" max="5120" width="14.7109375" style="1218"/>
    <col min="5121" max="5121" width="6.28515625" style="1218" customWidth="1"/>
    <col min="5122" max="5122" width="67.140625" style="1218" bestFit="1" customWidth="1"/>
    <col min="5123" max="5134" width="15.7109375" style="1218" bestFit="1" customWidth="1"/>
    <col min="5135" max="5135" width="17.42578125" style="1218" bestFit="1" customWidth="1"/>
    <col min="5136" max="5376" width="14.7109375" style="1218"/>
    <col min="5377" max="5377" width="6.28515625" style="1218" customWidth="1"/>
    <col min="5378" max="5378" width="67.140625" style="1218" bestFit="1" customWidth="1"/>
    <col min="5379" max="5390" width="15.7109375" style="1218" bestFit="1" customWidth="1"/>
    <col min="5391" max="5391" width="17.42578125" style="1218" bestFit="1" customWidth="1"/>
    <col min="5392" max="5632" width="14.7109375" style="1218"/>
    <col min="5633" max="5633" width="6.28515625" style="1218" customWidth="1"/>
    <col min="5634" max="5634" width="67.140625" style="1218" bestFit="1" customWidth="1"/>
    <col min="5635" max="5646" width="15.7109375" style="1218" bestFit="1" customWidth="1"/>
    <col min="5647" max="5647" width="17.42578125" style="1218" bestFit="1" customWidth="1"/>
    <col min="5648" max="5888" width="14.7109375" style="1218"/>
    <col min="5889" max="5889" width="6.28515625" style="1218" customWidth="1"/>
    <col min="5890" max="5890" width="67.140625" style="1218" bestFit="1" customWidth="1"/>
    <col min="5891" max="5902" width="15.7109375" style="1218" bestFit="1" customWidth="1"/>
    <col min="5903" max="5903" width="17.42578125" style="1218" bestFit="1" customWidth="1"/>
    <col min="5904" max="6144" width="14.7109375" style="1218"/>
    <col min="6145" max="6145" width="6.28515625" style="1218" customWidth="1"/>
    <col min="6146" max="6146" width="67.140625" style="1218" bestFit="1" customWidth="1"/>
    <col min="6147" max="6158" width="15.7109375" style="1218" bestFit="1" customWidth="1"/>
    <col min="6159" max="6159" width="17.42578125" style="1218" bestFit="1" customWidth="1"/>
    <col min="6160" max="6400" width="14.7109375" style="1218"/>
    <col min="6401" max="6401" width="6.28515625" style="1218" customWidth="1"/>
    <col min="6402" max="6402" width="67.140625" style="1218" bestFit="1" customWidth="1"/>
    <col min="6403" max="6414" width="15.7109375" style="1218" bestFit="1" customWidth="1"/>
    <col min="6415" max="6415" width="17.42578125" style="1218" bestFit="1" customWidth="1"/>
    <col min="6416" max="6656" width="14.7109375" style="1218"/>
    <col min="6657" max="6657" width="6.28515625" style="1218" customWidth="1"/>
    <col min="6658" max="6658" width="67.140625" style="1218" bestFit="1" customWidth="1"/>
    <col min="6659" max="6670" width="15.7109375" style="1218" bestFit="1" customWidth="1"/>
    <col min="6671" max="6671" width="17.42578125" style="1218" bestFit="1" customWidth="1"/>
    <col min="6672" max="6912" width="14.7109375" style="1218"/>
    <col min="6913" max="6913" width="6.28515625" style="1218" customWidth="1"/>
    <col min="6914" max="6914" width="67.140625" style="1218" bestFit="1" customWidth="1"/>
    <col min="6915" max="6926" width="15.7109375" style="1218" bestFit="1" customWidth="1"/>
    <col min="6927" max="6927" width="17.42578125" style="1218" bestFit="1" customWidth="1"/>
    <col min="6928" max="7168" width="14.7109375" style="1218"/>
    <col min="7169" max="7169" width="6.28515625" style="1218" customWidth="1"/>
    <col min="7170" max="7170" width="67.140625" style="1218" bestFit="1" customWidth="1"/>
    <col min="7171" max="7182" width="15.7109375" style="1218" bestFit="1" customWidth="1"/>
    <col min="7183" max="7183" width="17.42578125" style="1218" bestFit="1" customWidth="1"/>
    <col min="7184" max="7424" width="14.7109375" style="1218"/>
    <col min="7425" max="7425" width="6.28515625" style="1218" customWidth="1"/>
    <col min="7426" max="7426" width="67.140625" style="1218" bestFit="1" customWidth="1"/>
    <col min="7427" max="7438" width="15.7109375" style="1218" bestFit="1" customWidth="1"/>
    <col min="7439" max="7439" width="17.42578125" style="1218" bestFit="1" customWidth="1"/>
    <col min="7440" max="7680" width="14.7109375" style="1218"/>
    <col min="7681" max="7681" width="6.28515625" style="1218" customWidth="1"/>
    <col min="7682" max="7682" width="67.140625" style="1218" bestFit="1" customWidth="1"/>
    <col min="7683" max="7694" width="15.7109375" style="1218" bestFit="1" customWidth="1"/>
    <col min="7695" max="7695" width="17.42578125" style="1218" bestFit="1" customWidth="1"/>
    <col min="7696" max="7936" width="14.7109375" style="1218"/>
    <col min="7937" max="7937" width="6.28515625" style="1218" customWidth="1"/>
    <col min="7938" max="7938" width="67.140625" style="1218" bestFit="1" customWidth="1"/>
    <col min="7939" max="7950" width="15.7109375" style="1218" bestFit="1" customWidth="1"/>
    <col min="7951" max="7951" width="17.42578125" style="1218" bestFit="1" customWidth="1"/>
    <col min="7952" max="8192" width="14.7109375" style="1218"/>
    <col min="8193" max="8193" width="6.28515625" style="1218" customWidth="1"/>
    <col min="8194" max="8194" width="67.140625" style="1218" bestFit="1" customWidth="1"/>
    <col min="8195" max="8206" width="15.7109375" style="1218" bestFit="1" customWidth="1"/>
    <col min="8207" max="8207" width="17.42578125" style="1218" bestFit="1" customWidth="1"/>
    <col min="8208" max="8448" width="14.7109375" style="1218"/>
    <col min="8449" max="8449" width="6.28515625" style="1218" customWidth="1"/>
    <col min="8450" max="8450" width="67.140625" style="1218" bestFit="1" customWidth="1"/>
    <col min="8451" max="8462" width="15.7109375" style="1218" bestFit="1" customWidth="1"/>
    <col min="8463" max="8463" width="17.42578125" style="1218" bestFit="1" customWidth="1"/>
    <col min="8464" max="8704" width="14.7109375" style="1218"/>
    <col min="8705" max="8705" width="6.28515625" style="1218" customWidth="1"/>
    <col min="8706" max="8706" width="67.140625" style="1218" bestFit="1" customWidth="1"/>
    <col min="8707" max="8718" width="15.7109375" style="1218" bestFit="1" customWidth="1"/>
    <col min="8719" max="8719" width="17.42578125" style="1218" bestFit="1" customWidth="1"/>
    <col min="8720" max="8960" width="14.7109375" style="1218"/>
    <col min="8961" max="8961" width="6.28515625" style="1218" customWidth="1"/>
    <col min="8962" max="8962" width="67.140625" style="1218" bestFit="1" customWidth="1"/>
    <col min="8963" max="8974" width="15.7109375" style="1218" bestFit="1" customWidth="1"/>
    <col min="8975" max="8975" width="17.42578125" style="1218" bestFit="1" customWidth="1"/>
    <col min="8976" max="9216" width="14.7109375" style="1218"/>
    <col min="9217" max="9217" width="6.28515625" style="1218" customWidth="1"/>
    <col min="9218" max="9218" width="67.140625" style="1218" bestFit="1" customWidth="1"/>
    <col min="9219" max="9230" width="15.7109375" style="1218" bestFit="1" customWidth="1"/>
    <col min="9231" max="9231" width="17.42578125" style="1218" bestFit="1" customWidth="1"/>
    <col min="9232" max="9472" width="14.7109375" style="1218"/>
    <col min="9473" max="9473" width="6.28515625" style="1218" customWidth="1"/>
    <col min="9474" max="9474" width="67.140625" style="1218" bestFit="1" customWidth="1"/>
    <col min="9475" max="9486" width="15.7109375" style="1218" bestFit="1" customWidth="1"/>
    <col min="9487" max="9487" width="17.42578125" style="1218" bestFit="1" customWidth="1"/>
    <col min="9488" max="9728" width="14.7109375" style="1218"/>
    <col min="9729" max="9729" width="6.28515625" style="1218" customWidth="1"/>
    <col min="9730" max="9730" width="67.140625" style="1218" bestFit="1" customWidth="1"/>
    <col min="9731" max="9742" width="15.7109375" style="1218" bestFit="1" customWidth="1"/>
    <col min="9743" max="9743" width="17.42578125" style="1218" bestFit="1" customWidth="1"/>
    <col min="9744" max="9984" width="14.7109375" style="1218"/>
    <col min="9985" max="9985" width="6.28515625" style="1218" customWidth="1"/>
    <col min="9986" max="9986" width="67.140625" style="1218" bestFit="1" customWidth="1"/>
    <col min="9987" max="9998" width="15.7109375" style="1218" bestFit="1" customWidth="1"/>
    <col min="9999" max="9999" width="17.42578125" style="1218" bestFit="1" customWidth="1"/>
    <col min="10000" max="10240" width="14.7109375" style="1218"/>
    <col min="10241" max="10241" width="6.28515625" style="1218" customWidth="1"/>
    <col min="10242" max="10242" width="67.140625" style="1218" bestFit="1" customWidth="1"/>
    <col min="10243" max="10254" width="15.7109375" style="1218" bestFit="1" customWidth="1"/>
    <col min="10255" max="10255" width="17.42578125" style="1218" bestFit="1" customWidth="1"/>
    <col min="10256" max="10496" width="14.7109375" style="1218"/>
    <col min="10497" max="10497" width="6.28515625" style="1218" customWidth="1"/>
    <col min="10498" max="10498" width="67.140625" style="1218" bestFit="1" customWidth="1"/>
    <col min="10499" max="10510" width="15.7109375" style="1218" bestFit="1" customWidth="1"/>
    <col min="10511" max="10511" width="17.42578125" style="1218" bestFit="1" customWidth="1"/>
    <col min="10512" max="10752" width="14.7109375" style="1218"/>
    <col min="10753" max="10753" width="6.28515625" style="1218" customWidth="1"/>
    <col min="10754" max="10754" width="67.140625" style="1218" bestFit="1" customWidth="1"/>
    <col min="10755" max="10766" width="15.7109375" style="1218" bestFit="1" customWidth="1"/>
    <col min="10767" max="10767" width="17.42578125" style="1218" bestFit="1" customWidth="1"/>
    <col min="10768" max="11008" width="14.7109375" style="1218"/>
    <col min="11009" max="11009" width="6.28515625" style="1218" customWidth="1"/>
    <col min="11010" max="11010" width="67.140625" style="1218" bestFit="1" customWidth="1"/>
    <col min="11011" max="11022" width="15.7109375" style="1218" bestFit="1" customWidth="1"/>
    <col min="11023" max="11023" width="17.42578125" style="1218" bestFit="1" customWidth="1"/>
    <col min="11024" max="11264" width="14.7109375" style="1218"/>
    <col min="11265" max="11265" width="6.28515625" style="1218" customWidth="1"/>
    <col min="11266" max="11266" width="67.140625" style="1218" bestFit="1" customWidth="1"/>
    <col min="11267" max="11278" width="15.7109375" style="1218" bestFit="1" customWidth="1"/>
    <col min="11279" max="11279" width="17.42578125" style="1218" bestFit="1" customWidth="1"/>
    <col min="11280" max="11520" width="14.7109375" style="1218"/>
    <col min="11521" max="11521" width="6.28515625" style="1218" customWidth="1"/>
    <col min="11522" max="11522" width="67.140625" style="1218" bestFit="1" customWidth="1"/>
    <col min="11523" max="11534" width="15.7109375" style="1218" bestFit="1" customWidth="1"/>
    <col min="11535" max="11535" width="17.42578125" style="1218" bestFit="1" customWidth="1"/>
    <col min="11536" max="11776" width="14.7109375" style="1218"/>
    <col min="11777" max="11777" width="6.28515625" style="1218" customWidth="1"/>
    <col min="11778" max="11778" width="67.140625" style="1218" bestFit="1" customWidth="1"/>
    <col min="11779" max="11790" width="15.7109375" style="1218" bestFit="1" customWidth="1"/>
    <col min="11791" max="11791" width="17.42578125" style="1218" bestFit="1" customWidth="1"/>
    <col min="11792" max="12032" width="14.7109375" style="1218"/>
    <col min="12033" max="12033" width="6.28515625" style="1218" customWidth="1"/>
    <col min="12034" max="12034" width="67.140625" style="1218" bestFit="1" customWidth="1"/>
    <col min="12035" max="12046" width="15.7109375" style="1218" bestFit="1" customWidth="1"/>
    <col min="12047" max="12047" width="17.42578125" style="1218" bestFit="1" customWidth="1"/>
    <col min="12048" max="12288" width="14.7109375" style="1218"/>
    <col min="12289" max="12289" width="6.28515625" style="1218" customWidth="1"/>
    <col min="12290" max="12290" width="67.140625" style="1218" bestFit="1" customWidth="1"/>
    <col min="12291" max="12302" width="15.7109375" style="1218" bestFit="1" customWidth="1"/>
    <col min="12303" max="12303" width="17.42578125" style="1218" bestFit="1" customWidth="1"/>
    <col min="12304" max="12544" width="14.7109375" style="1218"/>
    <col min="12545" max="12545" width="6.28515625" style="1218" customWidth="1"/>
    <col min="12546" max="12546" width="67.140625" style="1218" bestFit="1" customWidth="1"/>
    <col min="12547" max="12558" width="15.7109375" style="1218" bestFit="1" customWidth="1"/>
    <col min="12559" max="12559" width="17.42578125" style="1218" bestFit="1" customWidth="1"/>
    <col min="12560" max="12800" width="14.7109375" style="1218"/>
    <col min="12801" max="12801" width="6.28515625" style="1218" customWidth="1"/>
    <col min="12802" max="12802" width="67.140625" style="1218" bestFit="1" customWidth="1"/>
    <col min="12803" max="12814" width="15.7109375" style="1218" bestFit="1" customWidth="1"/>
    <col min="12815" max="12815" width="17.42578125" style="1218" bestFit="1" customWidth="1"/>
    <col min="12816" max="13056" width="14.7109375" style="1218"/>
    <col min="13057" max="13057" width="6.28515625" style="1218" customWidth="1"/>
    <col min="13058" max="13058" width="67.140625" style="1218" bestFit="1" customWidth="1"/>
    <col min="13059" max="13070" width="15.7109375" style="1218" bestFit="1" customWidth="1"/>
    <col min="13071" max="13071" width="17.42578125" style="1218" bestFit="1" customWidth="1"/>
    <col min="13072" max="13312" width="14.7109375" style="1218"/>
    <col min="13313" max="13313" width="6.28515625" style="1218" customWidth="1"/>
    <col min="13314" max="13314" width="67.140625" style="1218" bestFit="1" customWidth="1"/>
    <col min="13315" max="13326" width="15.7109375" style="1218" bestFit="1" customWidth="1"/>
    <col min="13327" max="13327" width="17.42578125" style="1218" bestFit="1" customWidth="1"/>
    <col min="13328" max="13568" width="14.7109375" style="1218"/>
    <col min="13569" max="13569" width="6.28515625" style="1218" customWidth="1"/>
    <col min="13570" max="13570" width="67.140625" style="1218" bestFit="1" customWidth="1"/>
    <col min="13571" max="13582" width="15.7109375" style="1218" bestFit="1" customWidth="1"/>
    <col min="13583" max="13583" width="17.42578125" style="1218" bestFit="1" customWidth="1"/>
    <col min="13584" max="13824" width="14.7109375" style="1218"/>
    <col min="13825" max="13825" width="6.28515625" style="1218" customWidth="1"/>
    <col min="13826" max="13826" width="67.140625" style="1218" bestFit="1" customWidth="1"/>
    <col min="13827" max="13838" width="15.7109375" style="1218" bestFit="1" customWidth="1"/>
    <col min="13839" max="13839" width="17.42578125" style="1218" bestFit="1" customWidth="1"/>
    <col min="13840" max="14080" width="14.7109375" style="1218"/>
    <col min="14081" max="14081" width="6.28515625" style="1218" customWidth="1"/>
    <col min="14082" max="14082" width="67.140625" style="1218" bestFit="1" customWidth="1"/>
    <col min="14083" max="14094" width="15.7109375" style="1218" bestFit="1" customWidth="1"/>
    <col min="14095" max="14095" width="17.42578125" style="1218" bestFit="1" customWidth="1"/>
    <col min="14096" max="14336" width="14.7109375" style="1218"/>
    <col min="14337" max="14337" width="6.28515625" style="1218" customWidth="1"/>
    <col min="14338" max="14338" width="67.140625" style="1218" bestFit="1" customWidth="1"/>
    <col min="14339" max="14350" width="15.7109375" style="1218" bestFit="1" customWidth="1"/>
    <col min="14351" max="14351" width="17.42578125" style="1218" bestFit="1" customWidth="1"/>
    <col min="14352" max="14592" width="14.7109375" style="1218"/>
    <col min="14593" max="14593" width="6.28515625" style="1218" customWidth="1"/>
    <col min="14594" max="14594" width="67.140625" style="1218" bestFit="1" customWidth="1"/>
    <col min="14595" max="14606" width="15.7109375" style="1218" bestFit="1" customWidth="1"/>
    <col min="14607" max="14607" width="17.42578125" style="1218" bestFit="1" customWidth="1"/>
    <col min="14608" max="14848" width="14.7109375" style="1218"/>
    <col min="14849" max="14849" width="6.28515625" style="1218" customWidth="1"/>
    <col min="14850" max="14850" width="67.140625" style="1218" bestFit="1" customWidth="1"/>
    <col min="14851" max="14862" width="15.7109375" style="1218" bestFit="1" customWidth="1"/>
    <col min="14863" max="14863" width="17.42578125" style="1218" bestFit="1" customWidth="1"/>
    <col min="14864" max="15104" width="14.7109375" style="1218"/>
    <col min="15105" max="15105" width="6.28515625" style="1218" customWidth="1"/>
    <col min="15106" max="15106" width="67.140625" style="1218" bestFit="1" customWidth="1"/>
    <col min="15107" max="15118" width="15.7109375" style="1218" bestFit="1" customWidth="1"/>
    <col min="15119" max="15119" width="17.42578125" style="1218" bestFit="1" customWidth="1"/>
    <col min="15120" max="15360" width="14.7109375" style="1218"/>
    <col min="15361" max="15361" width="6.28515625" style="1218" customWidth="1"/>
    <col min="15362" max="15362" width="67.140625" style="1218" bestFit="1" customWidth="1"/>
    <col min="15363" max="15374" width="15.7109375" style="1218" bestFit="1" customWidth="1"/>
    <col min="15375" max="15375" width="17.42578125" style="1218" bestFit="1" customWidth="1"/>
    <col min="15376" max="15616" width="14.7109375" style="1218"/>
    <col min="15617" max="15617" width="6.28515625" style="1218" customWidth="1"/>
    <col min="15618" max="15618" width="67.140625" style="1218" bestFit="1" customWidth="1"/>
    <col min="15619" max="15630" width="15.7109375" style="1218" bestFit="1" customWidth="1"/>
    <col min="15631" max="15631" width="17.42578125" style="1218" bestFit="1" customWidth="1"/>
    <col min="15632" max="15872" width="14.7109375" style="1218"/>
    <col min="15873" max="15873" width="6.28515625" style="1218" customWidth="1"/>
    <col min="15874" max="15874" width="67.140625" style="1218" bestFit="1" customWidth="1"/>
    <col min="15875" max="15886" width="15.7109375" style="1218" bestFit="1" customWidth="1"/>
    <col min="15887" max="15887" width="17.42578125" style="1218" bestFit="1" customWidth="1"/>
    <col min="15888" max="16128" width="14.7109375" style="1218"/>
    <col min="16129" max="16129" width="6.28515625" style="1218" customWidth="1"/>
    <col min="16130" max="16130" width="67.140625" style="1218" bestFit="1" customWidth="1"/>
    <col min="16131" max="16142" width="15.7109375" style="1218" bestFit="1" customWidth="1"/>
    <col min="16143" max="16143" width="17.42578125" style="1218" bestFit="1" customWidth="1"/>
    <col min="16144" max="16384" width="14.7109375" style="1218"/>
  </cols>
  <sheetData>
    <row r="1" spans="1:17" ht="38.1" customHeight="1">
      <c r="A1" s="2625" t="s">
        <v>1689</v>
      </c>
      <c r="B1" s="2626"/>
      <c r="C1" s="2626"/>
      <c r="D1" s="2626"/>
      <c r="E1" s="2626"/>
      <c r="F1" s="2626"/>
      <c r="G1" s="2626"/>
      <c r="H1" s="2626"/>
      <c r="I1" s="2626"/>
      <c r="J1" s="2626"/>
      <c r="K1" s="2626"/>
      <c r="L1" s="2626"/>
      <c r="M1" s="2626"/>
      <c r="N1" s="2626"/>
      <c r="O1" s="2627"/>
    </row>
    <row r="2" spans="1:17" s="1736" customFormat="1" ht="20.25">
      <c r="A2" s="1754"/>
      <c r="B2" s="2119" t="s">
        <v>1690</v>
      </c>
      <c r="C2" s="2628"/>
      <c r="D2" s="2628"/>
      <c r="E2" s="2628"/>
      <c r="F2" s="2628"/>
      <c r="G2" s="2628"/>
      <c r="H2" s="2628"/>
      <c r="I2" s="2628"/>
      <c r="J2" s="2628"/>
      <c r="K2" s="2628"/>
      <c r="L2" s="2628"/>
      <c r="M2" s="2628"/>
      <c r="N2" s="2628"/>
      <c r="O2" s="2629"/>
    </row>
    <row r="3" spans="1:17" s="1736" customFormat="1" ht="20.25">
      <c r="A3" s="2113" t="s">
        <v>393</v>
      </c>
      <c r="B3" s="2120" t="s">
        <v>887</v>
      </c>
      <c r="C3" s="2114" t="s">
        <v>1673</v>
      </c>
      <c r="D3" s="2114" t="s">
        <v>348</v>
      </c>
      <c r="E3" s="2114" t="s">
        <v>1674</v>
      </c>
      <c r="F3" s="2114" t="s">
        <v>1675</v>
      </c>
      <c r="G3" s="2114" t="s">
        <v>1676</v>
      </c>
      <c r="H3" s="2114" t="s">
        <v>1677</v>
      </c>
      <c r="I3" s="2114" t="s">
        <v>1678</v>
      </c>
      <c r="J3" s="2114" t="s">
        <v>1679</v>
      </c>
      <c r="K3" s="2114" t="s">
        <v>1680</v>
      </c>
      <c r="L3" s="2114" t="s">
        <v>1681</v>
      </c>
      <c r="M3" s="2114" t="s">
        <v>1682</v>
      </c>
      <c r="N3" s="2114" t="s">
        <v>1683</v>
      </c>
      <c r="O3" s="2117" t="s">
        <v>274</v>
      </c>
    </row>
    <row r="4" spans="1:17" s="1736" customFormat="1" ht="20.25">
      <c r="A4" s="2115" t="s">
        <v>411</v>
      </c>
      <c r="B4" s="2121"/>
      <c r="C4" s="2116"/>
      <c r="D4" s="2116"/>
      <c r="E4" s="2116"/>
      <c r="F4" s="2116"/>
      <c r="G4" s="2116"/>
      <c r="H4" s="2116"/>
      <c r="I4" s="2116"/>
      <c r="J4" s="2116"/>
      <c r="K4" s="2116"/>
      <c r="L4" s="2116"/>
      <c r="M4" s="2116"/>
      <c r="N4" s="2116"/>
      <c r="O4" s="2118"/>
    </row>
    <row r="5" spans="1:17" s="1736" customFormat="1" ht="20.25">
      <c r="A5" s="1740">
        <v>1</v>
      </c>
      <c r="B5" s="2122" t="s">
        <v>1691</v>
      </c>
      <c r="C5" s="1743">
        <v>1414.5926526000001</v>
      </c>
      <c r="D5" s="1743">
        <f>C11</f>
        <v>1514.6873086000032</v>
      </c>
      <c r="E5" s="1743">
        <f t="shared" ref="E5:N5" si="0">D11</f>
        <v>1680.9494216000032</v>
      </c>
      <c r="F5" s="1743">
        <f t="shared" si="0"/>
        <v>2133.9521990000035</v>
      </c>
      <c r="G5" s="1743">
        <f t="shared" si="0"/>
        <v>3011.9151775000037</v>
      </c>
      <c r="H5" s="1743">
        <f t="shared" si="0"/>
        <v>4778.432821000004</v>
      </c>
      <c r="I5" s="1743">
        <f t="shared" si="0"/>
        <v>5491.3339378000037</v>
      </c>
      <c r="J5" s="1743">
        <f t="shared" si="0"/>
        <v>5582.7886500000041</v>
      </c>
      <c r="K5" s="1743">
        <f t="shared" si="0"/>
        <v>5240.2216810000036</v>
      </c>
      <c r="L5" s="1743">
        <f t="shared" si="0"/>
        <v>5515.864629800004</v>
      </c>
      <c r="M5" s="1743">
        <f t="shared" si="0"/>
        <v>5572.0287076000041</v>
      </c>
      <c r="N5" s="1743">
        <f t="shared" si="0"/>
        <v>5711.6366853000036</v>
      </c>
      <c r="O5" s="1744">
        <f>C5</f>
        <v>1414.5926526000001</v>
      </c>
    </row>
    <row r="6" spans="1:17" s="1736" customFormat="1" ht="20.25">
      <c r="A6" s="1740">
        <v>2</v>
      </c>
      <c r="B6" s="2122" t="s">
        <v>1692</v>
      </c>
      <c r="C6" s="1743">
        <v>325.45</v>
      </c>
      <c r="D6" s="1743">
        <v>315.56310300000001</v>
      </c>
      <c r="E6" s="1743">
        <v>685.38788699999998</v>
      </c>
      <c r="F6" s="1743">
        <v>1473.5072930000001</v>
      </c>
      <c r="G6" s="1743">
        <v>1868.6604943</v>
      </c>
      <c r="H6" s="1743">
        <v>1374.0921368000002</v>
      </c>
      <c r="I6" s="1743">
        <v>719.38169930000004</v>
      </c>
      <c r="J6" s="1743">
        <v>816.7215539</v>
      </c>
      <c r="K6" s="1743">
        <v>1054.3317603</v>
      </c>
      <c r="L6" s="1743">
        <v>1013.3085925</v>
      </c>
      <c r="M6" s="1743">
        <v>1100.4182762</v>
      </c>
      <c r="N6" s="1743">
        <v>1279.9276617</v>
      </c>
      <c r="O6" s="1744">
        <f>SUM(C6:N6)</f>
        <v>12026.750457999999</v>
      </c>
    </row>
    <row r="7" spans="1:17" s="1736" customFormat="1" ht="20.25">
      <c r="A7" s="1740">
        <v>3</v>
      </c>
      <c r="B7" s="2122" t="s">
        <v>1693</v>
      </c>
      <c r="C7" s="1743"/>
      <c r="D7" s="1743"/>
      <c r="E7" s="1743"/>
      <c r="F7" s="1743"/>
      <c r="G7" s="1743"/>
      <c r="H7" s="1743"/>
      <c r="I7" s="1743"/>
      <c r="J7" s="1743"/>
      <c r="K7" s="1743"/>
      <c r="L7" s="1743"/>
      <c r="M7" s="1743"/>
      <c r="N7" s="1743"/>
      <c r="O7" s="1744">
        <f>SUM(C7:N7)</f>
        <v>0</v>
      </c>
    </row>
    <row r="8" spans="1:17" s="1736" customFormat="1" ht="40.5">
      <c r="A8" s="1740">
        <v>4</v>
      </c>
      <c r="B8" s="1745" t="s">
        <v>1694</v>
      </c>
      <c r="C8" s="1743">
        <v>225.35534399999699</v>
      </c>
      <c r="D8" s="1743">
        <v>149.30099000000001</v>
      </c>
      <c r="E8" s="1743">
        <v>232.38510960000002</v>
      </c>
      <c r="F8" s="1743">
        <v>595.54431450000004</v>
      </c>
      <c r="G8" s="1743">
        <v>102.14285080000001</v>
      </c>
      <c r="H8" s="1743">
        <v>661.19101999999998</v>
      </c>
      <c r="I8" s="1743">
        <v>627.92698710000002</v>
      </c>
      <c r="J8" s="1743">
        <v>1159.2885229000001</v>
      </c>
      <c r="K8" s="1743">
        <v>778.68881150000004</v>
      </c>
      <c r="L8" s="1743">
        <v>957.14451469999995</v>
      </c>
      <c r="M8" s="1743">
        <f>41556.6102985-40595.8</f>
        <v>960.8102985000005</v>
      </c>
      <c r="N8" s="1743">
        <v>1594.3687256000001</v>
      </c>
      <c r="O8" s="1744">
        <f>SUM(C8:N8)</f>
        <v>8044.1474891999978</v>
      </c>
    </row>
    <row r="9" spans="1:17" s="1736" customFormat="1" ht="20.25">
      <c r="A9" s="1740">
        <v>5</v>
      </c>
      <c r="B9" s="2122" t="s">
        <v>1695</v>
      </c>
      <c r="C9" s="1743"/>
      <c r="D9" s="1743"/>
      <c r="E9" s="1743"/>
      <c r="F9" s="1743"/>
      <c r="G9" s="1743"/>
      <c r="H9" s="1743"/>
      <c r="I9" s="1743"/>
      <c r="J9" s="1743"/>
      <c r="K9" s="1743"/>
      <c r="L9" s="1743"/>
      <c r="M9" s="1743"/>
      <c r="N9" s="1743"/>
      <c r="O9" s="1744"/>
    </row>
    <row r="10" spans="1:17" s="1736" customFormat="1" ht="20.25">
      <c r="A10" s="1740">
        <v>6</v>
      </c>
      <c r="B10" s="2122" t="s">
        <v>1696</v>
      </c>
      <c r="C10" s="1743"/>
      <c r="D10" s="1743"/>
      <c r="E10" s="1743"/>
      <c r="F10" s="1743"/>
      <c r="G10" s="1743"/>
      <c r="H10" s="1743"/>
      <c r="I10" s="1743"/>
      <c r="J10" s="1743"/>
      <c r="K10" s="1743"/>
      <c r="L10" s="1743"/>
      <c r="M10" s="1743"/>
      <c r="N10" s="1743"/>
      <c r="O10" s="1744"/>
    </row>
    <row r="11" spans="1:17" s="1736" customFormat="1" ht="20.25">
      <c r="A11" s="1740">
        <v>7</v>
      </c>
      <c r="B11" s="2122" t="s">
        <v>1697</v>
      </c>
      <c r="C11" s="1743">
        <f>C5+C6-C7-C8</f>
        <v>1514.6873086000032</v>
      </c>
      <c r="D11" s="1743">
        <f t="shared" ref="D11:O11" si="1">D5+D6-D7-D8</f>
        <v>1680.9494216000032</v>
      </c>
      <c r="E11" s="1743">
        <f t="shared" si="1"/>
        <v>2133.9521990000035</v>
      </c>
      <c r="F11" s="1743">
        <f t="shared" si="1"/>
        <v>3011.9151775000037</v>
      </c>
      <c r="G11" s="1743">
        <f t="shared" si="1"/>
        <v>4778.432821000004</v>
      </c>
      <c r="H11" s="1743">
        <f t="shared" si="1"/>
        <v>5491.3339378000037</v>
      </c>
      <c r="I11" s="1743">
        <f t="shared" si="1"/>
        <v>5582.7886500000041</v>
      </c>
      <c r="J11" s="1743">
        <f t="shared" si="1"/>
        <v>5240.2216810000036</v>
      </c>
      <c r="K11" s="1743">
        <f t="shared" si="1"/>
        <v>5515.864629800004</v>
      </c>
      <c r="L11" s="1743">
        <f t="shared" si="1"/>
        <v>5572.0287076000041</v>
      </c>
      <c r="M11" s="1743">
        <f t="shared" si="1"/>
        <v>5711.6366853000036</v>
      </c>
      <c r="N11" s="1743">
        <f t="shared" si="1"/>
        <v>5397.1956214000029</v>
      </c>
      <c r="O11" s="1744">
        <f t="shared" si="1"/>
        <v>5397.1956214000011</v>
      </c>
      <c r="Q11" s="1746"/>
    </row>
    <row r="12" spans="1:17" s="1736" customFormat="1" ht="21" thickBot="1">
      <c r="A12" s="1747"/>
      <c r="B12" s="2123"/>
      <c r="C12" s="1750"/>
      <c r="D12" s="1748"/>
      <c r="E12" s="1748"/>
      <c r="F12" s="1748"/>
      <c r="G12" s="1748"/>
      <c r="H12" s="1748"/>
      <c r="I12" s="1748"/>
      <c r="J12" s="1748"/>
      <c r="K12" s="1748"/>
      <c r="L12" s="1748"/>
      <c r="M12" s="1748"/>
      <c r="N12" s="1748"/>
      <c r="O12" s="1749"/>
      <c r="P12" s="1746"/>
    </row>
    <row r="13" spans="1:17" s="1736" customFormat="1" ht="20.25">
      <c r="A13" s="1751"/>
      <c r="B13" s="2630"/>
      <c r="C13" s="2631"/>
      <c r="D13" s="2631"/>
      <c r="E13" s="1752"/>
      <c r="F13" s="1752"/>
      <c r="G13" s="1752"/>
      <c r="H13" s="1752"/>
      <c r="I13" s="1752"/>
      <c r="J13" s="1752"/>
      <c r="K13" s="1752"/>
      <c r="L13" s="1752"/>
      <c r="M13" s="1752"/>
      <c r="N13" s="1752"/>
      <c r="O13" s="1753"/>
    </row>
    <row r="14" spans="1:17" s="1736" customFormat="1" ht="20.25">
      <c r="A14" s="1754"/>
      <c r="B14" s="2119" t="s">
        <v>1698</v>
      </c>
      <c r="C14" s="2623" t="s">
        <v>1699</v>
      </c>
      <c r="D14" s="2623"/>
      <c r="E14" s="2623"/>
      <c r="F14" s="2623"/>
      <c r="G14" s="2623"/>
      <c r="H14" s="2623"/>
      <c r="I14" s="2623"/>
      <c r="J14" s="2623"/>
      <c r="K14" s="2623"/>
      <c r="L14" s="2623"/>
      <c r="M14" s="2623"/>
      <c r="N14" s="2623"/>
      <c r="O14" s="2624"/>
    </row>
    <row r="15" spans="1:17" s="1736" customFormat="1" ht="20.25">
      <c r="A15" s="2113" t="s">
        <v>393</v>
      </c>
      <c r="B15" s="2120" t="s">
        <v>887</v>
      </c>
      <c r="C15" s="2114" t="s">
        <v>1673</v>
      </c>
      <c r="D15" s="2114" t="s">
        <v>348</v>
      </c>
      <c r="E15" s="2114" t="s">
        <v>1674</v>
      </c>
      <c r="F15" s="2114" t="s">
        <v>1675</v>
      </c>
      <c r="G15" s="2114" t="s">
        <v>1676</v>
      </c>
      <c r="H15" s="2114" t="s">
        <v>1677</v>
      </c>
      <c r="I15" s="2114" t="s">
        <v>1678</v>
      </c>
      <c r="J15" s="2114" t="s">
        <v>1679</v>
      </c>
      <c r="K15" s="2114" t="s">
        <v>1680</v>
      </c>
      <c r="L15" s="2114" t="s">
        <v>1681</v>
      </c>
      <c r="M15" s="2114" t="s">
        <v>1682</v>
      </c>
      <c r="N15" s="2114" t="s">
        <v>1683</v>
      </c>
      <c r="O15" s="2117" t="s">
        <v>274</v>
      </c>
    </row>
    <row r="16" spans="1:17" s="1736" customFormat="1" ht="20.25">
      <c r="A16" s="2115" t="s">
        <v>411</v>
      </c>
      <c r="B16" s="2124"/>
      <c r="C16" s="2116"/>
      <c r="D16" s="2116"/>
      <c r="E16" s="2116"/>
      <c r="F16" s="2116"/>
      <c r="G16" s="2116"/>
      <c r="H16" s="2116"/>
      <c r="I16" s="2116"/>
      <c r="J16" s="2116"/>
      <c r="K16" s="2116"/>
      <c r="L16" s="2116"/>
      <c r="M16" s="2116"/>
      <c r="N16" s="2116"/>
      <c r="O16" s="2118"/>
    </row>
    <row r="17" spans="1:15" s="1736" customFormat="1" ht="20.25">
      <c r="A17" s="1740">
        <v>1</v>
      </c>
      <c r="B17" s="2122" t="s">
        <v>1691</v>
      </c>
      <c r="C17" s="1743">
        <f>O11</f>
        <v>5397.1956214000011</v>
      </c>
      <c r="D17" s="1743">
        <f>C23</f>
        <v>4975.8833829000005</v>
      </c>
      <c r="E17" s="1743">
        <f t="shared" ref="E17:N17" si="2">D23</f>
        <v>5115.0481377000006</v>
      </c>
      <c r="F17" s="1743">
        <f t="shared" si="2"/>
        <v>5126.4913091000008</v>
      </c>
      <c r="G17" s="1743">
        <f t="shared" si="2"/>
        <v>5304.9775827000003</v>
      </c>
      <c r="H17" s="1743">
        <f t="shared" si="2"/>
        <v>5731.3080257000001</v>
      </c>
      <c r="I17" s="1743">
        <f t="shared" si="2"/>
        <v>5795.4574843</v>
      </c>
      <c r="J17" s="1743">
        <f t="shared" si="2"/>
        <v>5637.3473440999996</v>
      </c>
      <c r="K17" s="1743">
        <f t="shared" si="2"/>
        <v>5536.6927157</v>
      </c>
      <c r="L17" s="1743">
        <f t="shared" si="2"/>
        <v>5534.6927157</v>
      </c>
      <c r="M17" s="1743">
        <f t="shared" si="2"/>
        <v>5632.6927157</v>
      </c>
      <c r="N17" s="1743">
        <f t="shared" si="2"/>
        <v>5727.6927157</v>
      </c>
      <c r="O17" s="1744">
        <f>C17</f>
        <v>5397.1956214000011</v>
      </c>
    </row>
    <row r="18" spans="1:15" s="1736" customFormat="1" ht="20.25">
      <c r="A18" s="1740">
        <v>2</v>
      </c>
      <c r="B18" s="2122" t="s">
        <v>1700</v>
      </c>
      <c r="C18" s="1743">
        <v>731.09377419999998</v>
      </c>
      <c r="D18" s="1743">
        <v>667.1836558</v>
      </c>
      <c r="E18" s="1743">
        <v>403.67128939999998</v>
      </c>
      <c r="F18" s="1743">
        <v>541.25535730000001</v>
      </c>
      <c r="G18" s="1743">
        <v>731.86257560000001</v>
      </c>
      <c r="H18" s="1743">
        <v>462.1953871</v>
      </c>
      <c r="I18" s="1743">
        <v>303.87321059999999</v>
      </c>
      <c r="J18" s="1743">
        <v>203.99386459999999</v>
      </c>
      <c r="K18" s="1743">
        <v>450</v>
      </c>
      <c r="L18" s="1743">
        <v>450</v>
      </c>
      <c r="M18" s="1743">
        <v>450</v>
      </c>
      <c r="N18" s="1743">
        <v>450</v>
      </c>
      <c r="O18" s="1744">
        <f>SUM(C18:N18)</f>
        <v>5845.1291146000003</v>
      </c>
    </row>
    <row r="19" spans="1:15" s="1736" customFormat="1" ht="20.25">
      <c r="A19" s="1740">
        <v>3</v>
      </c>
      <c r="B19" s="2122" t="s">
        <v>1693</v>
      </c>
      <c r="C19" s="1743"/>
      <c r="D19" s="1743"/>
      <c r="E19" s="1743"/>
      <c r="F19" s="1743"/>
      <c r="G19" s="1743"/>
      <c r="H19" s="1743"/>
      <c r="I19" s="1743"/>
      <c r="J19" s="1743"/>
      <c r="K19" s="1743"/>
      <c r="L19" s="1743"/>
      <c r="M19" s="1743"/>
      <c r="N19" s="1743"/>
      <c r="O19" s="1744"/>
    </row>
    <row r="20" spans="1:15" s="1736" customFormat="1" ht="40.5">
      <c r="A20" s="1740">
        <v>4</v>
      </c>
      <c r="B20" s="1745" t="s">
        <v>1701</v>
      </c>
      <c r="C20" s="1743">
        <v>1152.4060127</v>
      </c>
      <c r="D20" s="1743">
        <v>528.01890100000003</v>
      </c>
      <c r="E20" s="1743">
        <v>392.22811799999999</v>
      </c>
      <c r="F20" s="1743">
        <v>362.76908369999995</v>
      </c>
      <c r="G20" s="1743">
        <v>305.53213260000001</v>
      </c>
      <c r="H20" s="1743">
        <v>398.0459285</v>
      </c>
      <c r="I20" s="1743">
        <v>461.98335079999998</v>
      </c>
      <c r="J20" s="1743">
        <v>304.64849300000003</v>
      </c>
      <c r="K20" s="1743">
        <v>452</v>
      </c>
      <c r="L20" s="1743">
        <v>352</v>
      </c>
      <c r="M20" s="1743">
        <f>305+50</f>
        <v>355</v>
      </c>
      <c r="N20" s="1743">
        <f>275+125</f>
        <v>400</v>
      </c>
      <c r="O20" s="1744">
        <f>SUM(C20:N20)</f>
        <v>5464.6320203000005</v>
      </c>
    </row>
    <row r="21" spans="1:15" s="1736" customFormat="1" ht="20.25">
      <c r="A21" s="1740">
        <v>5</v>
      </c>
      <c r="B21" s="2122" t="s">
        <v>1695</v>
      </c>
      <c r="C21" s="1743"/>
      <c r="D21" s="1743"/>
      <c r="E21" s="1743"/>
      <c r="F21" s="1743"/>
      <c r="G21" s="1743"/>
      <c r="H21" s="1743"/>
      <c r="I21" s="1743"/>
      <c r="J21" s="1743"/>
      <c r="K21" s="1743"/>
      <c r="L21" s="1743"/>
      <c r="M21" s="1743"/>
      <c r="N21" s="1743"/>
      <c r="O21" s="1744"/>
    </row>
    <row r="22" spans="1:15" s="1736" customFormat="1" ht="20.25">
      <c r="A22" s="1740">
        <v>6</v>
      </c>
      <c r="B22" s="2122" t="s">
        <v>1696</v>
      </c>
      <c r="C22" s="1743"/>
      <c r="D22" s="1743"/>
      <c r="E22" s="1743"/>
      <c r="F22" s="1743"/>
      <c r="G22" s="1743"/>
      <c r="H22" s="1743"/>
      <c r="I22" s="1743"/>
      <c r="J22" s="1743"/>
      <c r="K22" s="1743"/>
      <c r="L22" s="1743"/>
      <c r="M22" s="1743"/>
      <c r="N22" s="1743"/>
      <c r="O22" s="1744"/>
    </row>
    <row r="23" spans="1:15" s="1736" customFormat="1" ht="20.25">
      <c r="A23" s="1740">
        <v>7</v>
      </c>
      <c r="B23" s="2122" t="s">
        <v>1697</v>
      </c>
      <c r="C23" s="1743">
        <f>C17+C18-C19-C20</f>
        <v>4975.8833829000005</v>
      </c>
      <c r="D23" s="1743">
        <f t="shared" ref="D23:O23" si="3">D17+D18-D19-D20</f>
        <v>5115.0481377000006</v>
      </c>
      <c r="E23" s="1743">
        <f t="shared" si="3"/>
        <v>5126.4913091000008</v>
      </c>
      <c r="F23" s="1743">
        <f t="shared" si="3"/>
        <v>5304.9775827000003</v>
      </c>
      <c r="G23" s="1743">
        <f t="shared" si="3"/>
        <v>5731.3080257000001</v>
      </c>
      <c r="H23" s="1743">
        <f t="shared" si="3"/>
        <v>5795.4574843</v>
      </c>
      <c r="I23" s="1743">
        <f t="shared" si="3"/>
        <v>5637.3473440999996</v>
      </c>
      <c r="J23" s="1743">
        <f t="shared" si="3"/>
        <v>5536.6927157</v>
      </c>
      <c r="K23" s="1743">
        <f t="shared" si="3"/>
        <v>5534.6927157</v>
      </c>
      <c r="L23" s="1743">
        <f t="shared" si="3"/>
        <v>5632.6927157</v>
      </c>
      <c r="M23" s="1743">
        <f t="shared" si="3"/>
        <v>5727.6927157</v>
      </c>
      <c r="N23" s="1743">
        <f t="shared" si="3"/>
        <v>5777.6927157</v>
      </c>
      <c r="O23" s="1744">
        <f t="shared" si="3"/>
        <v>5777.6927157000018</v>
      </c>
    </row>
    <row r="24" spans="1:15" s="1736" customFormat="1" ht="21" thickBot="1">
      <c r="A24" s="1747"/>
      <c r="B24" s="2123"/>
      <c r="C24" s="1748"/>
      <c r="D24" s="1748"/>
      <c r="E24" s="1748"/>
      <c r="F24" s="1748"/>
      <c r="G24" s="1748"/>
      <c r="H24" s="1748"/>
      <c r="I24" s="1748"/>
      <c r="J24" s="1748"/>
      <c r="K24" s="1748"/>
      <c r="L24" s="1748"/>
      <c r="M24" s="1748"/>
      <c r="N24" s="1748"/>
      <c r="O24" s="1749"/>
    </row>
    <row r="25" spans="1:15" s="1736" customFormat="1" ht="12.75">
      <c r="A25" s="1751"/>
      <c r="B25" s="2125"/>
      <c r="C25" s="1752"/>
      <c r="D25" s="1752"/>
      <c r="E25" s="1752"/>
      <c r="F25" s="1752"/>
      <c r="G25" s="1752"/>
      <c r="H25" s="1752"/>
      <c r="I25" s="1752"/>
      <c r="J25" s="1752"/>
      <c r="K25" s="1752"/>
      <c r="L25" s="1752"/>
      <c r="M25" s="1752"/>
      <c r="N25" s="1752"/>
      <c r="O25" s="1753"/>
    </row>
    <row r="26" spans="1:15" s="1736" customFormat="1" ht="20.25">
      <c r="A26" s="2632" t="s">
        <v>1702</v>
      </c>
      <c r="B26" s="2633"/>
      <c r="C26" s="2633"/>
      <c r="D26" s="2633"/>
      <c r="E26" s="2633"/>
      <c r="F26" s="2633"/>
      <c r="G26" s="2633"/>
      <c r="H26" s="2633"/>
      <c r="I26" s="2633"/>
      <c r="J26" s="2633"/>
      <c r="K26" s="2633"/>
      <c r="L26" s="2633"/>
      <c r="M26" s="2633"/>
      <c r="N26" s="2633"/>
      <c r="O26" s="2634"/>
    </row>
    <row r="27" spans="1:15" s="1736" customFormat="1" ht="20.25">
      <c r="A27" s="1754"/>
      <c r="B27" s="2126" t="s">
        <v>1703</v>
      </c>
      <c r="C27" s="2623" t="s">
        <v>1699</v>
      </c>
      <c r="D27" s="2623"/>
      <c r="E27" s="2623"/>
      <c r="F27" s="2623"/>
      <c r="G27" s="2623"/>
      <c r="H27" s="2623"/>
      <c r="I27" s="2623"/>
      <c r="J27" s="2623"/>
      <c r="K27" s="2623"/>
      <c r="L27" s="2623"/>
      <c r="M27" s="2623"/>
      <c r="N27" s="2623"/>
      <c r="O27" s="2624"/>
    </row>
    <row r="28" spans="1:15" s="1736" customFormat="1" ht="20.25">
      <c r="A28" s="1737" t="s">
        <v>393</v>
      </c>
      <c r="B28" s="2127" t="s">
        <v>887</v>
      </c>
      <c r="C28" s="1738" t="s">
        <v>1673</v>
      </c>
      <c r="D28" s="1738" t="s">
        <v>348</v>
      </c>
      <c r="E28" s="1738" t="s">
        <v>1674</v>
      </c>
      <c r="F28" s="1738" t="s">
        <v>1675</v>
      </c>
      <c r="G28" s="1738" t="s">
        <v>1676</v>
      </c>
      <c r="H28" s="1738" t="s">
        <v>1677</v>
      </c>
      <c r="I28" s="1738" t="s">
        <v>1678</v>
      </c>
      <c r="J28" s="1738" t="s">
        <v>1679</v>
      </c>
      <c r="K28" s="1738" t="s">
        <v>1680</v>
      </c>
      <c r="L28" s="1738" t="s">
        <v>1681</v>
      </c>
      <c r="M28" s="1738" t="s">
        <v>1682</v>
      </c>
      <c r="N28" s="1738" t="s">
        <v>1683</v>
      </c>
      <c r="O28" s="1739" t="s">
        <v>274</v>
      </c>
    </row>
    <row r="29" spans="1:15" s="1736" customFormat="1" ht="20.25">
      <c r="A29" s="1740" t="s">
        <v>411</v>
      </c>
      <c r="B29" s="2128"/>
      <c r="C29" s="1741"/>
      <c r="D29" s="1741"/>
      <c r="E29" s="1741"/>
      <c r="F29" s="1741"/>
      <c r="G29" s="1741"/>
      <c r="H29" s="1741"/>
      <c r="I29" s="1741"/>
      <c r="J29" s="1741"/>
      <c r="K29" s="1741"/>
      <c r="L29" s="1741"/>
      <c r="M29" s="1741"/>
      <c r="N29" s="1741"/>
      <c r="O29" s="1742"/>
    </row>
    <row r="30" spans="1:15" s="1736" customFormat="1" ht="20.25">
      <c r="A30" s="1740">
        <v>1</v>
      </c>
      <c r="B30" s="2122" t="s">
        <v>1691</v>
      </c>
      <c r="C30" s="1743">
        <f>O23</f>
        <v>5777.6927157000018</v>
      </c>
      <c r="D30" s="1743">
        <f>C36</f>
        <v>5300.7426848940022</v>
      </c>
      <c r="E30" s="1743">
        <f t="shared" ref="E30:N30" si="4">D36</f>
        <v>5431.0251104040026</v>
      </c>
      <c r="F30" s="1743">
        <f t="shared" si="4"/>
        <v>5431.2735968340021</v>
      </c>
      <c r="G30" s="1743">
        <f t="shared" si="4"/>
        <v>5607.801111603002</v>
      </c>
      <c r="H30" s="1743">
        <f t="shared" si="4"/>
        <v>6046.2821127750021</v>
      </c>
      <c r="I30" s="1743">
        <f t="shared" si="4"/>
        <v>6101.6976664500016</v>
      </c>
      <c r="J30" s="1743">
        <f t="shared" si="4"/>
        <v>5921.8225187160024</v>
      </c>
      <c r="K30" s="1743">
        <f t="shared" si="4"/>
        <v>5806.9957041060024</v>
      </c>
      <c r="L30" s="1743">
        <f t="shared" si="4"/>
        <v>5791.3357041060026</v>
      </c>
      <c r="M30" s="1743">
        <f t="shared" si="4"/>
        <v>5883.6757041060027</v>
      </c>
      <c r="N30" s="1743">
        <f t="shared" si="4"/>
        <v>5972.7757041060031</v>
      </c>
      <c r="O30" s="1744">
        <f>C30</f>
        <v>5777.6927157000018</v>
      </c>
    </row>
    <row r="31" spans="1:15" s="1736" customFormat="1" ht="20.25">
      <c r="A31" s="1740">
        <v>2</v>
      </c>
      <c r="B31" s="2122" t="s">
        <v>1700</v>
      </c>
      <c r="C31" s="1743">
        <v>767.64846291000003</v>
      </c>
      <c r="D31" s="1743">
        <v>700.54283858999997</v>
      </c>
      <c r="E31" s="1743">
        <v>423.85485387</v>
      </c>
      <c r="F31" s="1743">
        <v>568.31812516500008</v>
      </c>
      <c r="G31" s="1743">
        <v>768.45570438000004</v>
      </c>
      <c r="H31" s="1743">
        <v>485.30515645500003</v>
      </c>
      <c r="I31" s="1743">
        <v>319.06687112999998</v>
      </c>
      <c r="J31" s="1743">
        <v>214.19355783</v>
      </c>
      <c r="K31" s="1743">
        <v>472.5</v>
      </c>
      <c r="L31" s="1743">
        <v>472.5</v>
      </c>
      <c r="M31" s="1743">
        <v>472.5</v>
      </c>
      <c r="N31" s="1743">
        <v>472.5</v>
      </c>
      <c r="O31" s="1744">
        <f>SUM(C31:N31)</f>
        <v>6137.3855703300005</v>
      </c>
    </row>
    <row r="32" spans="1:15" s="1736" customFormat="1" ht="20.25">
      <c r="A32" s="1740">
        <v>3</v>
      </c>
      <c r="B32" s="2122" t="s">
        <v>1693</v>
      </c>
      <c r="C32" s="1743">
        <v>0</v>
      </c>
      <c r="D32" s="1743">
        <v>0</v>
      </c>
      <c r="E32" s="1743">
        <v>0</v>
      </c>
      <c r="F32" s="1743">
        <v>0</v>
      </c>
      <c r="G32" s="1743">
        <v>0</v>
      </c>
      <c r="H32" s="1743">
        <v>0</v>
      </c>
      <c r="I32" s="1743">
        <v>0</v>
      </c>
      <c r="J32" s="1743">
        <v>0</v>
      </c>
      <c r="K32" s="1743">
        <v>0</v>
      </c>
      <c r="L32" s="1743">
        <v>0</v>
      </c>
      <c r="M32" s="1743">
        <v>0</v>
      </c>
      <c r="N32" s="1743">
        <v>0</v>
      </c>
      <c r="O32" s="1744"/>
    </row>
    <row r="33" spans="1:15" s="1736" customFormat="1" ht="40.5">
      <c r="A33" s="1740">
        <v>4</v>
      </c>
      <c r="B33" s="1745" t="s">
        <v>1704</v>
      </c>
      <c r="C33" s="1743">
        <v>1244.5984937160001</v>
      </c>
      <c r="D33" s="1743">
        <v>570.26041308000003</v>
      </c>
      <c r="E33" s="1743">
        <v>423.60636744000004</v>
      </c>
      <c r="F33" s="1743">
        <v>391.79061039599998</v>
      </c>
      <c r="G33" s="1743">
        <v>329.97470320800005</v>
      </c>
      <c r="H33" s="1743">
        <v>429.88960278000002</v>
      </c>
      <c r="I33" s="1743">
        <v>498.94201886400003</v>
      </c>
      <c r="J33" s="1743">
        <v>329.02037244000007</v>
      </c>
      <c r="K33" s="1743">
        <v>488.16</v>
      </c>
      <c r="L33" s="1743">
        <v>380.16</v>
      </c>
      <c r="M33" s="1743">
        <v>383.40000000000003</v>
      </c>
      <c r="N33" s="1743">
        <v>432</v>
      </c>
      <c r="O33" s="1744">
        <f>SUM(C33:N33)</f>
        <v>5901.8025819240002</v>
      </c>
    </row>
    <row r="34" spans="1:15" s="1736" customFormat="1" ht="20.25">
      <c r="A34" s="1740">
        <v>5</v>
      </c>
      <c r="B34" s="2122" t="s">
        <v>1695</v>
      </c>
      <c r="C34" s="1743"/>
      <c r="D34" s="1743"/>
      <c r="E34" s="1743"/>
      <c r="F34" s="1743"/>
      <c r="G34" s="1743"/>
      <c r="H34" s="1743"/>
      <c r="I34" s="1743"/>
      <c r="J34" s="1743"/>
      <c r="K34" s="1743"/>
      <c r="L34" s="1743"/>
      <c r="M34" s="1743"/>
      <c r="N34" s="1743"/>
      <c r="O34" s="1744"/>
    </row>
    <row r="35" spans="1:15" s="1736" customFormat="1" ht="20.25">
      <c r="A35" s="1740">
        <v>6</v>
      </c>
      <c r="B35" s="2122" t="s">
        <v>1696</v>
      </c>
      <c r="C35" s="1743"/>
      <c r="D35" s="1743"/>
      <c r="E35" s="1743"/>
      <c r="F35" s="1743"/>
      <c r="G35" s="1743"/>
      <c r="H35" s="1743"/>
      <c r="I35" s="1743"/>
      <c r="J35" s="1743"/>
      <c r="K35" s="1743"/>
      <c r="L35" s="1743"/>
      <c r="M35" s="1743"/>
      <c r="N35" s="1743"/>
      <c r="O35" s="1744"/>
    </row>
    <row r="36" spans="1:15" s="1736" customFormat="1" ht="20.25">
      <c r="A36" s="1740">
        <v>7</v>
      </c>
      <c r="B36" s="2122" t="s">
        <v>1697</v>
      </c>
      <c r="C36" s="1743">
        <f>C30+C31-C32-C33</f>
        <v>5300.7426848940022</v>
      </c>
      <c r="D36" s="1743">
        <f t="shared" ref="D36:O36" si="5">D30+D31-D32-D33</f>
        <v>5431.0251104040026</v>
      </c>
      <c r="E36" s="1743">
        <f t="shared" si="5"/>
        <v>5431.2735968340021</v>
      </c>
      <c r="F36" s="1743">
        <f t="shared" si="5"/>
        <v>5607.801111603002</v>
      </c>
      <c r="G36" s="1743">
        <f t="shared" si="5"/>
        <v>6046.2821127750021</v>
      </c>
      <c r="H36" s="1743">
        <f t="shared" si="5"/>
        <v>6101.6976664500016</v>
      </c>
      <c r="I36" s="1743">
        <f t="shared" si="5"/>
        <v>5921.8225187160024</v>
      </c>
      <c r="J36" s="1743">
        <f t="shared" si="5"/>
        <v>5806.9957041060024</v>
      </c>
      <c r="K36" s="1743">
        <f t="shared" si="5"/>
        <v>5791.3357041060026</v>
      </c>
      <c r="L36" s="1743">
        <f t="shared" si="5"/>
        <v>5883.6757041060027</v>
      </c>
      <c r="M36" s="1743">
        <f t="shared" si="5"/>
        <v>5972.7757041060031</v>
      </c>
      <c r="N36" s="1743">
        <f t="shared" si="5"/>
        <v>6013.2757041060031</v>
      </c>
      <c r="O36" s="1744">
        <f t="shared" si="5"/>
        <v>6013.2757041060022</v>
      </c>
    </row>
    <row r="37" spans="1:15" s="1736" customFormat="1" ht="21" thickBot="1">
      <c r="A37" s="1747"/>
      <c r="B37" s="2123"/>
      <c r="C37" s="1748"/>
      <c r="D37" s="1748"/>
      <c r="E37" s="1748"/>
      <c r="F37" s="1748"/>
      <c r="G37" s="1748"/>
      <c r="H37" s="1748"/>
      <c r="I37" s="1748"/>
      <c r="J37" s="1748"/>
      <c r="K37" s="1748"/>
      <c r="L37" s="1748"/>
      <c r="M37" s="1748"/>
      <c r="N37" s="1748"/>
      <c r="O37" s="1749"/>
    </row>
    <row r="38" spans="1:15" ht="38.1" customHeight="1">
      <c r="A38" s="1219"/>
      <c r="B38" s="2129" t="s">
        <v>1705</v>
      </c>
      <c r="C38" s="1219"/>
      <c r="D38" s="1219"/>
      <c r="E38" s="1219"/>
      <c r="F38" s="1219"/>
      <c r="G38" s="1219"/>
      <c r="H38" s="1219"/>
      <c r="I38" s="1219"/>
      <c r="J38" s="1219"/>
      <c r="K38" s="1219"/>
      <c r="L38" s="1219"/>
      <c r="M38" s="1219"/>
      <c r="N38" s="1219"/>
      <c r="O38" s="1219"/>
    </row>
    <row r="39" spans="1:15" ht="38.1" customHeight="1">
      <c r="A39" s="1219"/>
      <c r="B39" s="2130"/>
      <c r="C39" s="1219"/>
      <c r="D39" s="1219"/>
      <c r="E39" s="1219"/>
      <c r="F39" s="1219"/>
      <c r="G39" s="1219"/>
      <c r="H39" s="1219"/>
      <c r="I39" s="1219"/>
      <c r="J39" s="1219"/>
      <c r="K39" s="1219"/>
      <c r="L39" s="1219"/>
      <c r="M39" s="1219"/>
      <c r="N39" s="1219"/>
      <c r="O39" s="1219"/>
    </row>
    <row r="40" spans="1:15" ht="38.1" customHeight="1">
      <c r="A40" s="1219"/>
      <c r="B40" s="2130"/>
      <c r="C40" s="1219"/>
      <c r="D40" s="1219"/>
      <c r="E40" s="1219"/>
      <c r="F40" s="1219"/>
      <c r="G40" s="1219"/>
      <c r="H40" s="1219"/>
      <c r="I40" s="1219"/>
      <c r="J40" s="1219"/>
      <c r="K40" s="1219"/>
      <c r="L40" s="1219"/>
      <c r="M40" s="1219"/>
      <c r="N40" s="1219"/>
      <c r="O40" s="1219"/>
    </row>
    <row r="41" spans="1:15" ht="38.1" customHeight="1">
      <c r="A41" s="1219"/>
      <c r="B41" s="2130"/>
      <c r="C41" s="1219"/>
      <c r="D41" s="1219"/>
      <c r="E41" s="1219"/>
      <c r="F41" s="1219"/>
      <c r="G41" s="1219"/>
      <c r="H41" s="1219"/>
      <c r="I41" s="1219"/>
      <c r="J41" s="1219"/>
      <c r="K41" s="1219"/>
      <c r="L41" s="1219"/>
      <c r="M41" s="1219"/>
      <c r="N41" s="1219"/>
      <c r="O41" s="1219"/>
    </row>
  </sheetData>
  <mergeCells count="6">
    <mergeCell ref="C27:O27"/>
    <mergeCell ref="A1:O1"/>
    <mergeCell ref="C2:O2"/>
    <mergeCell ref="B13:D13"/>
    <mergeCell ref="C14:O14"/>
    <mergeCell ref="A26:O26"/>
  </mergeCells>
  <printOptions horizontalCentered="1" verticalCentered="1"/>
  <pageMargins left="0" right="0" top="0" bottom="0" header="0.19685039370078741" footer="0.15748031496062992"/>
  <pageSetup paperSize="9" scale="5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8000"/>
  </sheetPr>
  <dimension ref="A1:G46"/>
  <sheetViews>
    <sheetView showGridLines="0" view="pageBreakPreview" topLeftCell="A4" zoomScale="80" zoomScaleNormal="79" zoomScaleSheetLayoutView="80" workbookViewId="0">
      <selection activeCell="K17" sqref="K17"/>
    </sheetView>
  </sheetViews>
  <sheetFormatPr defaultRowHeight="12.75"/>
  <cols>
    <col min="1" max="1" width="6.5703125" style="1203" customWidth="1"/>
    <col min="2" max="2" width="46" style="1244" bestFit="1" customWidth="1"/>
    <col min="3" max="3" width="20.7109375" style="1203" bestFit="1" customWidth="1"/>
    <col min="4" max="4" width="19.85546875" style="1203" bestFit="1" customWidth="1"/>
    <col min="5" max="5" width="19" style="1203" bestFit="1" customWidth="1"/>
    <col min="6" max="6" width="18.140625" style="1203" bestFit="1" customWidth="1"/>
    <col min="7" max="7" width="17.5703125" style="1203" customWidth="1"/>
    <col min="8" max="256" width="9.140625" style="1203"/>
    <col min="257" max="257" width="6.5703125" style="1203" customWidth="1"/>
    <col min="258" max="258" width="46" style="1203" bestFit="1" customWidth="1"/>
    <col min="259" max="259" width="20.7109375" style="1203" bestFit="1" customWidth="1"/>
    <col min="260" max="260" width="19.85546875" style="1203" bestFit="1" customWidth="1"/>
    <col min="261" max="261" width="19" style="1203" bestFit="1" customWidth="1"/>
    <col min="262" max="262" width="18.140625" style="1203" bestFit="1" customWidth="1"/>
    <col min="263" max="263" width="12" style="1203" customWidth="1"/>
    <col min="264" max="512" width="9.140625" style="1203"/>
    <col min="513" max="513" width="6.5703125" style="1203" customWidth="1"/>
    <col min="514" max="514" width="46" style="1203" bestFit="1" customWidth="1"/>
    <col min="515" max="515" width="20.7109375" style="1203" bestFit="1" customWidth="1"/>
    <col min="516" max="516" width="19.85546875" style="1203" bestFit="1" customWidth="1"/>
    <col min="517" max="517" width="19" style="1203" bestFit="1" customWidth="1"/>
    <col min="518" max="518" width="18.140625" style="1203" bestFit="1" customWidth="1"/>
    <col min="519" max="519" width="12" style="1203" customWidth="1"/>
    <col min="520" max="768" width="9.140625" style="1203"/>
    <col min="769" max="769" width="6.5703125" style="1203" customWidth="1"/>
    <col min="770" max="770" width="46" style="1203" bestFit="1" customWidth="1"/>
    <col min="771" max="771" width="20.7109375" style="1203" bestFit="1" customWidth="1"/>
    <col min="772" max="772" width="19.85546875" style="1203" bestFit="1" customWidth="1"/>
    <col min="773" max="773" width="19" style="1203" bestFit="1" customWidth="1"/>
    <col min="774" max="774" width="18.140625" style="1203" bestFit="1" customWidth="1"/>
    <col min="775" max="775" width="12" style="1203" customWidth="1"/>
    <col min="776" max="1024" width="9.140625" style="1203"/>
    <col min="1025" max="1025" width="6.5703125" style="1203" customWidth="1"/>
    <col min="1026" max="1026" width="46" style="1203" bestFit="1" customWidth="1"/>
    <col min="1027" max="1027" width="20.7109375" style="1203" bestFit="1" customWidth="1"/>
    <col min="1028" max="1028" width="19.85546875" style="1203" bestFit="1" customWidth="1"/>
    <col min="1029" max="1029" width="19" style="1203" bestFit="1" customWidth="1"/>
    <col min="1030" max="1030" width="18.140625" style="1203" bestFit="1" customWidth="1"/>
    <col min="1031" max="1031" width="12" style="1203" customWidth="1"/>
    <col min="1032" max="1280" width="9.140625" style="1203"/>
    <col min="1281" max="1281" width="6.5703125" style="1203" customWidth="1"/>
    <col min="1282" max="1282" width="46" style="1203" bestFit="1" customWidth="1"/>
    <col min="1283" max="1283" width="20.7109375" style="1203" bestFit="1" customWidth="1"/>
    <col min="1284" max="1284" width="19.85546875" style="1203" bestFit="1" customWidth="1"/>
    <col min="1285" max="1285" width="19" style="1203" bestFit="1" customWidth="1"/>
    <col min="1286" max="1286" width="18.140625" style="1203" bestFit="1" customWidth="1"/>
    <col min="1287" max="1287" width="12" style="1203" customWidth="1"/>
    <col min="1288" max="1536" width="9.140625" style="1203"/>
    <col min="1537" max="1537" width="6.5703125" style="1203" customWidth="1"/>
    <col min="1538" max="1538" width="46" style="1203" bestFit="1" customWidth="1"/>
    <col min="1539" max="1539" width="20.7109375" style="1203" bestFit="1" customWidth="1"/>
    <col min="1540" max="1540" width="19.85546875" style="1203" bestFit="1" customWidth="1"/>
    <col min="1541" max="1541" width="19" style="1203" bestFit="1" customWidth="1"/>
    <col min="1542" max="1542" width="18.140625" style="1203" bestFit="1" customWidth="1"/>
    <col min="1543" max="1543" width="12" style="1203" customWidth="1"/>
    <col min="1544" max="1792" width="9.140625" style="1203"/>
    <col min="1793" max="1793" width="6.5703125" style="1203" customWidth="1"/>
    <col min="1794" max="1794" width="46" style="1203" bestFit="1" customWidth="1"/>
    <col min="1795" max="1795" width="20.7109375" style="1203" bestFit="1" customWidth="1"/>
    <col min="1796" max="1796" width="19.85546875" style="1203" bestFit="1" customWidth="1"/>
    <col min="1797" max="1797" width="19" style="1203" bestFit="1" customWidth="1"/>
    <col min="1798" max="1798" width="18.140625" style="1203" bestFit="1" customWidth="1"/>
    <col min="1799" max="1799" width="12" style="1203" customWidth="1"/>
    <col min="1800" max="2048" width="9.140625" style="1203"/>
    <col min="2049" max="2049" width="6.5703125" style="1203" customWidth="1"/>
    <col min="2050" max="2050" width="46" style="1203" bestFit="1" customWidth="1"/>
    <col min="2051" max="2051" width="20.7109375" style="1203" bestFit="1" customWidth="1"/>
    <col min="2052" max="2052" width="19.85546875" style="1203" bestFit="1" customWidth="1"/>
    <col min="2053" max="2053" width="19" style="1203" bestFit="1" customWidth="1"/>
    <col min="2054" max="2054" width="18.140625" style="1203" bestFit="1" customWidth="1"/>
    <col min="2055" max="2055" width="12" style="1203" customWidth="1"/>
    <col min="2056" max="2304" width="9.140625" style="1203"/>
    <col min="2305" max="2305" width="6.5703125" style="1203" customWidth="1"/>
    <col min="2306" max="2306" width="46" style="1203" bestFit="1" customWidth="1"/>
    <col min="2307" max="2307" width="20.7109375" style="1203" bestFit="1" customWidth="1"/>
    <col min="2308" max="2308" width="19.85546875" style="1203" bestFit="1" customWidth="1"/>
    <col min="2309" max="2309" width="19" style="1203" bestFit="1" customWidth="1"/>
    <col min="2310" max="2310" width="18.140625" style="1203" bestFit="1" customWidth="1"/>
    <col min="2311" max="2311" width="12" style="1203" customWidth="1"/>
    <col min="2312" max="2560" width="9.140625" style="1203"/>
    <col min="2561" max="2561" width="6.5703125" style="1203" customWidth="1"/>
    <col min="2562" max="2562" width="46" style="1203" bestFit="1" customWidth="1"/>
    <col min="2563" max="2563" width="20.7109375" style="1203" bestFit="1" customWidth="1"/>
    <col min="2564" max="2564" width="19.85546875" style="1203" bestFit="1" customWidth="1"/>
    <col min="2565" max="2565" width="19" style="1203" bestFit="1" customWidth="1"/>
    <col min="2566" max="2566" width="18.140625" style="1203" bestFit="1" customWidth="1"/>
    <col min="2567" max="2567" width="12" style="1203" customWidth="1"/>
    <col min="2568" max="2816" width="9.140625" style="1203"/>
    <col min="2817" max="2817" width="6.5703125" style="1203" customWidth="1"/>
    <col min="2818" max="2818" width="46" style="1203" bestFit="1" customWidth="1"/>
    <col min="2819" max="2819" width="20.7109375" style="1203" bestFit="1" customWidth="1"/>
    <col min="2820" max="2820" width="19.85546875" style="1203" bestFit="1" customWidth="1"/>
    <col min="2821" max="2821" width="19" style="1203" bestFit="1" customWidth="1"/>
    <col min="2822" max="2822" width="18.140625" style="1203" bestFit="1" customWidth="1"/>
    <col min="2823" max="2823" width="12" style="1203" customWidth="1"/>
    <col min="2824" max="3072" width="9.140625" style="1203"/>
    <col min="3073" max="3073" width="6.5703125" style="1203" customWidth="1"/>
    <col min="3074" max="3074" width="46" style="1203" bestFit="1" customWidth="1"/>
    <col min="3075" max="3075" width="20.7109375" style="1203" bestFit="1" customWidth="1"/>
    <col min="3076" max="3076" width="19.85546875" style="1203" bestFit="1" customWidth="1"/>
    <col min="3077" max="3077" width="19" style="1203" bestFit="1" customWidth="1"/>
    <col min="3078" max="3078" width="18.140625" style="1203" bestFit="1" customWidth="1"/>
    <col min="3079" max="3079" width="12" style="1203" customWidth="1"/>
    <col min="3080" max="3328" width="9.140625" style="1203"/>
    <col min="3329" max="3329" width="6.5703125" style="1203" customWidth="1"/>
    <col min="3330" max="3330" width="46" style="1203" bestFit="1" customWidth="1"/>
    <col min="3331" max="3331" width="20.7109375" style="1203" bestFit="1" customWidth="1"/>
    <col min="3332" max="3332" width="19.85546875" style="1203" bestFit="1" customWidth="1"/>
    <col min="3333" max="3333" width="19" style="1203" bestFit="1" customWidth="1"/>
    <col min="3334" max="3334" width="18.140625" style="1203" bestFit="1" customWidth="1"/>
    <col min="3335" max="3335" width="12" style="1203" customWidth="1"/>
    <col min="3336" max="3584" width="9.140625" style="1203"/>
    <col min="3585" max="3585" width="6.5703125" style="1203" customWidth="1"/>
    <col min="3586" max="3586" width="46" style="1203" bestFit="1" customWidth="1"/>
    <col min="3587" max="3587" width="20.7109375" style="1203" bestFit="1" customWidth="1"/>
    <col min="3588" max="3588" width="19.85546875" style="1203" bestFit="1" customWidth="1"/>
    <col min="3589" max="3589" width="19" style="1203" bestFit="1" customWidth="1"/>
    <col min="3590" max="3590" width="18.140625" style="1203" bestFit="1" customWidth="1"/>
    <col min="3591" max="3591" width="12" style="1203" customWidth="1"/>
    <col min="3592" max="3840" width="9.140625" style="1203"/>
    <col min="3841" max="3841" width="6.5703125" style="1203" customWidth="1"/>
    <col min="3842" max="3842" width="46" style="1203" bestFit="1" customWidth="1"/>
    <col min="3843" max="3843" width="20.7109375" style="1203" bestFit="1" customWidth="1"/>
    <col min="3844" max="3844" width="19.85546875" style="1203" bestFit="1" customWidth="1"/>
    <col min="3845" max="3845" width="19" style="1203" bestFit="1" customWidth="1"/>
    <col min="3846" max="3846" width="18.140625" style="1203" bestFit="1" customWidth="1"/>
    <col min="3847" max="3847" width="12" style="1203" customWidth="1"/>
    <col min="3848" max="4096" width="9.140625" style="1203"/>
    <col min="4097" max="4097" width="6.5703125" style="1203" customWidth="1"/>
    <col min="4098" max="4098" width="46" style="1203" bestFit="1" customWidth="1"/>
    <col min="4099" max="4099" width="20.7109375" style="1203" bestFit="1" customWidth="1"/>
    <col min="4100" max="4100" width="19.85546875" style="1203" bestFit="1" customWidth="1"/>
    <col min="4101" max="4101" width="19" style="1203" bestFit="1" customWidth="1"/>
    <col min="4102" max="4102" width="18.140625" style="1203" bestFit="1" customWidth="1"/>
    <col min="4103" max="4103" width="12" style="1203" customWidth="1"/>
    <col min="4104" max="4352" width="9.140625" style="1203"/>
    <col min="4353" max="4353" width="6.5703125" style="1203" customWidth="1"/>
    <col min="4354" max="4354" width="46" style="1203" bestFit="1" customWidth="1"/>
    <col min="4355" max="4355" width="20.7109375" style="1203" bestFit="1" customWidth="1"/>
    <col min="4356" max="4356" width="19.85546875" style="1203" bestFit="1" customWidth="1"/>
    <col min="4357" max="4357" width="19" style="1203" bestFit="1" customWidth="1"/>
    <col min="4358" max="4358" width="18.140625" style="1203" bestFit="1" customWidth="1"/>
    <col min="4359" max="4359" width="12" style="1203" customWidth="1"/>
    <col min="4360" max="4608" width="9.140625" style="1203"/>
    <col min="4609" max="4609" width="6.5703125" style="1203" customWidth="1"/>
    <col min="4610" max="4610" width="46" style="1203" bestFit="1" customWidth="1"/>
    <col min="4611" max="4611" width="20.7109375" style="1203" bestFit="1" customWidth="1"/>
    <col min="4612" max="4612" width="19.85546875" style="1203" bestFit="1" customWidth="1"/>
    <col min="4613" max="4613" width="19" style="1203" bestFit="1" customWidth="1"/>
    <col min="4614" max="4614" width="18.140625" style="1203" bestFit="1" customWidth="1"/>
    <col min="4615" max="4615" width="12" style="1203" customWidth="1"/>
    <col min="4616" max="4864" width="9.140625" style="1203"/>
    <col min="4865" max="4865" width="6.5703125" style="1203" customWidth="1"/>
    <col min="4866" max="4866" width="46" style="1203" bestFit="1" customWidth="1"/>
    <col min="4867" max="4867" width="20.7109375" style="1203" bestFit="1" customWidth="1"/>
    <col min="4868" max="4868" width="19.85546875" style="1203" bestFit="1" customWidth="1"/>
    <col min="4869" max="4869" width="19" style="1203" bestFit="1" customWidth="1"/>
    <col min="4870" max="4870" width="18.140625" style="1203" bestFit="1" customWidth="1"/>
    <col min="4871" max="4871" width="12" style="1203" customWidth="1"/>
    <col min="4872" max="5120" width="9.140625" style="1203"/>
    <col min="5121" max="5121" width="6.5703125" style="1203" customWidth="1"/>
    <col min="5122" max="5122" width="46" style="1203" bestFit="1" customWidth="1"/>
    <col min="5123" max="5123" width="20.7109375" style="1203" bestFit="1" customWidth="1"/>
    <col min="5124" max="5124" width="19.85546875" style="1203" bestFit="1" customWidth="1"/>
    <col min="5125" max="5125" width="19" style="1203" bestFit="1" customWidth="1"/>
    <col min="5126" max="5126" width="18.140625" style="1203" bestFit="1" customWidth="1"/>
    <col min="5127" max="5127" width="12" style="1203" customWidth="1"/>
    <col min="5128" max="5376" width="9.140625" style="1203"/>
    <col min="5377" max="5377" width="6.5703125" style="1203" customWidth="1"/>
    <col min="5378" max="5378" width="46" style="1203" bestFit="1" customWidth="1"/>
    <col min="5379" max="5379" width="20.7109375" style="1203" bestFit="1" customWidth="1"/>
    <col min="5380" max="5380" width="19.85546875" style="1203" bestFit="1" customWidth="1"/>
    <col min="5381" max="5381" width="19" style="1203" bestFit="1" customWidth="1"/>
    <col min="5382" max="5382" width="18.140625" style="1203" bestFit="1" customWidth="1"/>
    <col min="5383" max="5383" width="12" style="1203" customWidth="1"/>
    <col min="5384" max="5632" width="9.140625" style="1203"/>
    <col min="5633" max="5633" width="6.5703125" style="1203" customWidth="1"/>
    <col min="5634" max="5634" width="46" style="1203" bestFit="1" customWidth="1"/>
    <col min="5635" max="5635" width="20.7109375" style="1203" bestFit="1" customWidth="1"/>
    <col min="5636" max="5636" width="19.85546875" style="1203" bestFit="1" customWidth="1"/>
    <col min="5637" max="5637" width="19" style="1203" bestFit="1" customWidth="1"/>
    <col min="5638" max="5638" width="18.140625" style="1203" bestFit="1" customWidth="1"/>
    <col min="5639" max="5639" width="12" style="1203" customWidth="1"/>
    <col min="5640" max="5888" width="9.140625" style="1203"/>
    <col min="5889" max="5889" width="6.5703125" style="1203" customWidth="1"/>
    <col min="5890" max="5890" width="46" style="1203" bestFit="1" customWidth="1"/>
    <col min="5891" max="5891" width="20.7109375" style="1203" bestFit="1" customWidth="1"/>
    <col min="5892" max="5892" width="19.85546875" style="1203" bestFit="1" customWidth="1"/>
    <col min="5893" max="5893" width="19" style="1203" bestFit="1" customWidth="1"/>
    <col min="5894" max="5894" width="18.140625" style="1203" bestFit="1" customWidth="1"/>
    <col min="5895" max="5895" width="12" style="1203" customWidth="1"/>
    <col min="5896" max="6144" width="9.140625" style="1203"/>
    <col min="6145" max="6145" width="6.5703125" style="1203" customWidth="1"/>
    <col min="6146" max="6146" width="46" style="1203" bestFit="1" customWidth="1"/>
    <col min="6147" max="6147" width="20.7109375" style="1203" bestFit="1" customWidth="1"/>
    <col min="6148" max="6148" width="19.85546875" style="1203" bestFit="1" customWidth="1"/>
    <col min="6149" max="6149" width="19" style="1203" bestFit="1" customWidth="1"/>
    <col min="6150" max="6150" width="18.140625" style="1203" bestFit="1" customWidth="1"/>
    <col min="6151" max="6151" width="12" style="1203" customWidth="1"/>
    <col min="6152" max="6400" width="9.140625" style="1203"/>
    <col min="6401" max="6401" width="6.5703125" style="1203" customWidth="1"/>
    <col min="6402" max="6402" width="46" style="1203" bestFit="1" customWidth="1"/>
    <col min="6403" max="6403" width="20.7109375" style="1203" bestFit="1" customWidth="1"/>
    <col min="6404" max="6404" width="19.85546875" style="1203" bestFit="1" customWidth="1"/>
    <col min="6405" max="6405" width="19" style="1203" bestFit="1" customWidth="1"/>
    <col min="6406" max="6406" width="18.140625" style="1203" bestFit="1" customWidth="1"/>
    <col min="6407" max="6407" width="12" style="1203" customWidth="1"/>
    <col min="6408" max="6656" width="9.140625" style="1203"/>
    <col min="6657" max="6657" width="6.5703125" style="1203" customWidth="1"/>
    <col min="6658" max="6658" width="46" style="1203" bestFit="1" customWidth="1"/>
    <col min="6659" max="6659" width="20.7109375" style="1203" bestFit="1" customWidth="1"/>
    <col min="6660" max="6660" width="19.85546875" style="1203" bestFit="1" customWidth="1"/>
    <col min="6661" max="6661" width="19" style="1203" bestFit="1" customWidth="1"/>
    <col min="6662" max="6662" width="18.140625" style="1203" bestFit="1" customWidth="1"/>
    <col min="6663" max="6663" width="12" style="1203" customWidth="1"/>
    <col min="6664" max="6912" width="9.140625" style="1203"/>
    <col min="6913" max="6913" width="6.5703125" style="1203" customWidth="1"/>
    <col min="6914" max="6914" width="46" style="1203" bestFit="1" customWidth="1"/>
    <col min="6915" max="6915" width="20.7109375" style="1203" bestFit="1" customWidth="1"/>
    <col min="6916" max="6916" width="19.85546875" style="1203" bestFit="1" customWidth="1"/>
    <col min="6917" max="6917" width="19" style="1203" bestFit="1" customWidth="1"/>
    <col min="6918" max="6918" width="18.140625" style="1203" bestFit="1" customWidth="1"/>
    <col min="6919" max="6919" width="12" style="1203" customWidth="1"/>
    <col min="6920" max="7168" width="9.140625" style="1203"/>
    <col min="7169" max="7169" width="6.5703125" style="1203" customWidth="1"/>
    <col min="7170" max="7170" width="46" style="1203" bestFit="1" customWidth="1"/>
    <col min="7171" max="7171" width="20.7109375" style="1203" bestFit="1" customWidth="1"/>
    <col min="7172" max="7172" width="19.85546875" style="1203" bestFit="1" customWidth="1"/>
    <col min="7173" max="7173" width="19" style="1203" bestFit="1" customWidth="1"/>
    <col min="7174" max="7174" width="18.140625" style="1203" bestFit="1" customWidth="1"/>
    <col min="7175" max="7175" width="12" style="1203" customWidth="1"/>
    <col min="7176" max="7424" width="9.140625" style="1203"/>
    <col min="7425" max="7425" width="6.5703125" style="1203" customWidth="1"/>
    <col min="7426" max="7426" width="46" style="1203" bestFit="1" customWidth="1"/>
    <col min="7427" max="7427" width="20.7109375" style="1203" bestFit="1" customWidth="1"/>
    <col min="7428" max="7428" width="19.85546875" style="1203" bestFit="1" customWidth="1"/>
    <col min="7429" max="7429" width="19" style="1203" bestFit="1" customWidth="1"/>
    <col min="7430" max="7430" width="18.140625" style="1203" bestFit="1" customWidth="1"/>
    <col min="7431" max="7431" width="12" style="1203" customWidth="1"/>
    <col min="7432" max="7680" width="9.140625" style="1203"/>
    <col min="7681" max="7681" width="6.5703125" style="1203" customWidth="1"/>
    <col min="7682" max="7682" width="46" style="1203" bestFit="1" customWidth="1"/>
    <col min="7683" max="7683" width="20.7109375" style="1203" bestFit="1" customWidth="1"/>
    <col min="7684" max="7684" width="19.85546875" style="1203" bestFit="1" customWidth="1"/>
    <col min="7685" max="7685" width="19" style="1203" bestFit="1" customWidth="1"/>
    <col min="7686" max="7686" width="18.140625" style="1203" bestFit="1" customWidth="1"/>
    <col min="7687" max="7687" width="12" style="1203" customWidth="1"/>
    <col min="7688" max="7936" width="9.140625" style="1203"/>
    <col min="7937" max="7937" width="6.5703125" style="1203" customWidth="1"/>
    <col min="7938" max="7938" width="46" style="1203" bestFit="1" customWidth="1"/>
    <col min="7939" max="7939" width="20.7109375" style="1203" bestFit="1" customWidth="1"/>
    <col min="7940" max="7940" width="19.85546875" style="1203" bestFit="1" customWidth="1"/>
    <col min="7941" max="7941" width="19" style="1203" bestFit="1" customWidth="1"/>
    <col min="7942" max="7942" width="18.140625" style="1203" bestFit="1" customWidth="1"/>
    <col min="7943" max="7943" width="12" style="1203" customWidth="1"/>
    <col min="7944" max="8192" width="9.140625" style="1203"/>
    <col min="8193" max="8193" width="6.5703125" style="1203" customWidth="1"/>
    <col min="8194" max="8194" width="46" style="1203" bestFit="1" customWidth="1"/>
    <col min="8195" max="8195" width="20.7109375" style="1203" bestFit="1" customWidth="1"/>
    <col min="8196" max="8196" width="19.85546875" style="1203" bestFit="1" customWidth="1"/>
    <col min="8197" max="8197" width="19" style="1203" bestFit="1" customWidth="1"/>
    <col min="8198" max="8198" width="18.140625" style="1203" bestFit="1" customWidth="1"/>
    <col min="8199" max="8199" width="12" style="1203" customWidth="1"/>
    <col min="8200" max="8448" width="9.140625" style="1203"/>
    <col min="8449" max="8449" width="6.5703125" style="1203" customWidth="1"/>
    <col min="8450" max="8450" width="46" style="1203" bestFit="1" customWidth="1"/>
    <col min="8451" max="8451" width="20.7109375" style="1203" bestFit="1" customWidth="1"/>
    <col min="8452" max="8452" width="19.85546875" style="1203" bestFit="1" customWidth="1"/>
    <col min="8453" max="8453" width="19" style="1203" bestFit="1" customWidth="1"/>
    <col min="8454" max="8454" width="18.140625" style="1203" bestFit="1" customWidth="1"/>
    <col min="8455" max="8455" width="12" style="1203" customWidth="1"/>
    <col min="8456" max="8704" width="9.140625" style="1203"/>
    <col min="8705" max="8705" width="6.5703125" style="1203" customWidth="1"/>
    <col min="8706" max="8706" width="46" style="1203" bestFit="1" customWidth="1"/>
    <col min="8707" max="8707" width="20.7109375" style="1203" bestFit="1" customWidth="1"/>
    <col min="8708" max="8708" width="19.85546875" style="1203" bestFit="1" customWidth="1"/>
    <col min="8709" max="8709" width="19" style="1203" bestFit="1" customWidth="1"/>
    <col min="8710" max="8710" width="18.140625" style="1203" bestFit="1" customWidth="1"/>
    <col min="8711" max="8711" width="12" style="1203" customWidth="1"/>
    <col min="8712" max="8960" width="9.140625" style="1203"/>
    <col min="8961" max="8961" width="6.5703125" style="1203" customWidth="1"/>
    <col min="8962" max="8962" width="46" style="1203" bestFit="1" customWidth="1"/>
    <col min="8963" max="8963" width="20.7109375" style="1203" bestFit="1" customWidth="1"/>
    <col min="8964" max="8964" width="19.85546875" style="1203" bestFit="1" customWidth="1"/>
    <col min="8965" max="8965" width="19" style="1203" bestFit="1" customWidth="1"/>
    <col min="8966" max="8966" width="18.140625" style="1203" bestFit="1" customWidth="1"/>
    <col min="8967" max="8967" width="12" style="1203" customWidth="1"/>
    <col min="8968" max="9216" width="9.140625" style="1203"/>
    <col min="9217" max="9217" width="6.5703125" style="1203" customWidth="1"/>
    <col min="9218" max="9218" width="46" style="1203" bestFit="1" customWidth="1"/>
    <col min="9219" max="9219" width="20.7109375" style="1203" bestFit="1" customWidth="1"/>
    <col min="9220" max="9220" width="19.85546875" style="1203" bestFit="1" customWidth="1"/>
    <col min="9221" max="9221" width="19" style="1203" bestFit="1" customWidth="1"/>
    <col min="9222" max="9222" width="18.140625" style="1203" bestFit="1" customWidth="1"/>
    <col min="9223" max="9223" width="12" style="1203" customWidth="1"/>
    <col min="9224" max="9472" width="9.140625" style="1203"/>
    <col min="9473" max="9473" width="6.5703125" style="1203" customWidth="1"/>
    <col min="9474" max="9474" width="46" style="1203" bestFit="1" customWidth="1"/>
    <col min="9475" max="9475" width="20.7109375" style="1203" bestFit="1" customWidth="1"/>
    <col min="9476" max="9476" width="19.85546875" style="1203" bestFit="1" customWidth="1"/>
    <col min="9477" max="9477" width="19" style="1203" bestFit="1" customWidth="1"/>
    <col min="9478" max="9478" width="18.140625" style="1203" bestFit="1" customWidth="1"/>
    <col min="9479" max="9479" width="12" style="1203" customWidth="1"/>
    <col min="9480" max="9728" width="9.140625" style="1203"/>
    <col min="9729" max="9729" width="6.5703125" style="1203" customWidth="1"/>
    <col min="9730" max="9730" width="46" style="1203" bestFit="1" customWidth="1"/>
    <col min="9731" max="9731" width="20.7109375" style="1203" bestFit="1" customWidth="1"/>
    <col min="9732" max="9732" width="19.85546875" style="1203" bestFit="1" customWidth="1"/>
    <col min="9733" max="9733" width="19" style="1203" bestFit="1" customWidth="1"/>
    <col min="9734" max="9734" width="18.140625" style="1203" bestFit="1" customWidth="1"/>
    <col min="9735" max="9735" width="12" style="1203" customWidth="1"/>
    <col min="9736" max="9984" width="9.140625" style="1203"/>
    <col min="9985" max="9985" width="6.5703125" style="1203" customWidth="1"/>
    <col min="9986" max="9986" width="46" style="1203" bestFit="1" customWidth="1"/>
    <col min="9987" max="9987" width="20.7109375" style="1203" bestFit="1" customWidth="1"/>
    <col min="9988" max="9988" width="19.85546875" style="1203" bestFit="1" customWidth="1"/>
    <col min="9989" max="9989" width="19" style="1203" bestFit="1" customWidth="1"/>
    <col min="9990" max="9990" width="18.140625" style="1203" bestFit="1" customWidth="1"/>
    <col min="9991" max="9991" width="12" style="1203" customWidth="1"/>
    <col min="9992" max="10240" width="9.140625" style="1203"/>
    <col min="10241" max="10241" width="6.5703125" style="1203" customWidth="1"/>
    <col min="10242" max="10242" width="46" style="1203" bestFit="1" customWidth="1"/>
    <col min="10243" max="10243" width="20.7109375" style="1203" bestFit="1" customWidth="1"/>
    <col min="10244" max="10244" width="19.85546875" style="1203" bestFit="1" customWidth="1"/>
    <col min="10245" max="10245" width="19" style="1203" bestFit="1" customWidth="1"/>
    <col min="10246" max="10246" width="18.140625" style="1203" bestFit="1" customWidth="1"/>
    <col min="10247" max="10247" width="12" style="1203" customWidth="1"/>
    <col min="10248" max="10496" width="9.140625" style="1203"/>
    <col min="10497" max="10497" width="6.5703125" style="1203" customWidth="1"/>
    <col min="10498" max="10498" width="46" style="1203" bestFit="1" customWidth="1"/>
    <col min="10499" max="10499" width="20.7109375" style="1203" bestFit="1" customWidth="1"/>
    <col min="10500" max="10500" width="19.85546875" style="1203" bestFit="1" customWidth="1"/>
    <col min="10501" max="10501" width="19" style="1203" bestFit="1" customWidth="1"/>
    <col min="10502" max="10502" width="18.140625" style="1203" bestFit="1" customWidth="1"/>
    <col min="10503" max="10503" width="12" style="1203" customWidth="1"/>
    <col min="10504" max="10752" width="9.140625" style="1203"/>
    <col min="10753" max="10753" width="6.5703125" style="1203" customWidth="1"/>
    <col min="10754" max="10754" width="46" style="1203" bestFit="1" customWidth="1"/>
    <col min="10755" max="10755" width="20.7109375" style="1203" bestFit="1" customWidth="1"/>
    <col min="10756" max="10756" width="19.85546875" style="1203" bestFit="1" customWidth="1"/>
    <col min="10757" max="10757" width="19" style="1203" bestFit="1" customWidth="1"/>
    <col min="10758" max="10758" width="18.140625" style="1203" bestFit="1" customWidth="1"/>
    <col min="10759" max="10759" width="12" style="1203" customWidth="1"/>
    <col min="10760" max="11008" width="9.140625" style="1203"/>
    <col min="11009" max="11009" width="6.5703125" style="1203" customWidth="1"/>
    <col min="11010" max="11010" width="46" style="1203" bestFit="1" customWidth="1"/>
    <col min="11011" max="11011" width="20.7109375" style="1203" bestFit="1" customWidth="1"/>
    <col min="11012" max="11012" width="19.85546875" style="1203" bestFit="1" customWidth="1"/>
    <col min="11013" max="11013" width="19" style="1203" bestFit="1" customWidth="1"/>
    <col min="11014" max="11014" width="18.140625" style="1203" bestFit="1" customWidth="1"/>
    <col min="11015" max="11015" width="12" style="1203" customWidth="1"/>
    <col min="11016" max="11264" width="9.140625" style="1203"/>
    <col min="11265" max="11265" width="6.5703125" style="1203" customWidth="1"/>
    <col min="11266" max="11266" width="46" style="1203" bestFit="1" customWidth="1"/>
    <col min="11267" max="11267" width="20.7109375" style="1203" bestFit="1" customWidth="1"/>
    <col min="11268" max="11268" width="19.85546875" style="1203" bestFit="1" customWidth="1"/>
    <col min="11269" max="11269" width="19" style="1203" bestFit="1" customWidth="1"/>
    <col min="11270" max="11270" width="18.140625" style="1203" bestFit="1" customWidth="1"/>
    <col min="11271" max="11271" width="12" style="1203" customWidth="1"/>
    <col min="11272" max="11520" width="9.140625" style="1203"/>
    <col min="11521" max="11521" width="6.5703125" style="1203" customWidth="1"/>
    <col min="11522" max="11522" width="46" style="1203" bestFit="1" customWidth="1"/>
    <col min="11523" max="11523" width="20.7109375" style="1203" bestFit="1" customWidth="1"/>
    <col min="11524" max="11524" width="19.85546875" style="1203" bestFit="1" customWidth="1"/>
    <col min="11525" max="11525" width="19" style="1203" bestFit="1" customWidth="1"/>
    <col min="11526" max="11526" width="18.140625" style="1203" bestFit="1" customWidth="1"/>
    <col min="11527" max="11527" width="12" style="1203" customWidth="1"/>
    <col min="11528" max="11776" width="9.140625" style="1203"/>
    <col min="11777" max="11777" width="6.5703125" style="1203" customWidth="1"/>
    <col min="11778" max="11778" width="46" style="1203" bestFit="1" customWidth="1"/>
    <col min="11779" max="11779" width="20.7109375" style="1203" bestFit="1" customWidth="1"/>
    <col min="11780" max="11780" width="19.85546875" style="1203" bestFit="1" customWidth="1"/>
    <col min="11781" max="11781" width="19" style="1203" bestFit="1" customWidth="1"/>
    <col min="11782" max="11782" width="18.140625" style="1203" bestFit="1" customWidth="1"/>
    <col min="11783" max="11783" width="12" style="1203" customWidth="1"/>
    <col min="11784" max="12032" width="9.140625" style="1203"/>
    <col min="12033" max="12033" width="6.5703125" style="1203" customWidth="1"/>
    <col min="12034" max="12034" width="46" style="1203" bestFit="1" customWidth="1"/>
    <col min="12035" max="12035" width="20.7109375" style="1203" bestFit="1" customWidth="1"/>
    <col min="12036" max="12036" width="19.85546875" style="1203" bestFit="1" customWidth="1"/>
    <col min="12037" max="12037" width="19" style="1203" bestFit="1" customWidth="1"/>
    <col min="12038" max="12038" width="18.140625" style="1203" bestFit="1" customWidth="1"/>
    <col min="12039" max="12039" width="12" style="1203" customWidth="1"/>
    <col min="12040" max="12288" width="9.140625" style="1203"/>
    <col min="12289" max="12289" width="6.5703125" style="1203" customWidth="1"/>
    <col min="12290" max="12290" width="46" style="1203" bestFit="1" customWidth="1"/>
    <col min="12291" max="12291" width="20.7109375" style="1203" bestFit="1" customWidth="1"/>
    <col min="12292" max="12292" width="19.85546875" style="1203" bestFit="1" customWidth="1"/>
    <col min="12293" max="12293" width="19" style="1203" bestFit="1" customWidth="1"/>
    <col min="12294" max="12294" width="18.140625" style="1203" bestFit="1" customWidth="1"/>
    <col min="12295" max="12295" width="12" style="1203" customWidth="1"/>
    <col min="12296" max="12544" width="9.140625" style="1203"/>
    <col min="12545" max="12545" width="6.5703125" style="1203" customWidth="1"/>
    <col min="12546" max="12546" width="46" style="1203" bestFit="1" customWidth="1"/>
    <col min="12547" max="12547" width="20.7109375" style="1203" bestFit="1" customWidth="1"/>
    <col min="12548" max="12548" width="19.85546875" style="1203" bestFit="1" customWidth="1"/>
    <col min="12549" max="12549" width="19" style="1203" bestFit="1" customWidth="1"/>
    <col min="12550" max="12550" width="18.140625" style="1203" bestFit="1" customWidth="1"/>
    <col min="12551" max="12551" width="12" style="1203" customWidth="1"/>
    <col min="12552" max="12800" width="9.140625" style="1203"/>
    <col min="12801" max="12801" width="6.5703125" style="1203" customWidth="1"/>
    <col min="12802" max="12802" width="46" style="1203" bestFit="1" customWidth="1"/>
    <col min="12803" max="12803" width="20.7109375" style="1203" bestFit="1" customWidth="1"/>
    <col min="12804" max="12804" width="19.85546875" style="1203" bestFit="1" customWidth="1"/>
    <col min="12805" max="12805" width="19" style="1203" bestFit="1" customWidth="1"/>
    <col min="12806" max="12806" width="18.140625" style="1203" bestFit="1" customWidth="1"/>
    <col min="12807" max="12807" width="12" style="1203" customWidth="1"/>
    <col min="12808" max="13056" width="9.140625" style="1203"/>
    <col min="13057" max="13057" width="6.5703125" style="1203" customWidth="1"/>
    <col min="13058" max="13058" width="46" style="1203" bestFit="1" customWidth="1"/>
    <col min="13059" max="13059" width="20.7109375" style="1203" bestFit="1" customWidth="1"/>
    <col min="13060" max="13060" width="19.85546875" style="1203" bestFit="1" customWidth="1"/>
    <col min="13061" max="13061" width="19" style="1203" bestFit="1" customWidth="1"/>
    <col min="13062" max="13062" width="18.140625" style="1203" bestFit="1" customWidth="1"/>
    <col min="13063" max="13063" width="12" style="1203" customWidth="1"/>
    <col min="13064" max="13312" width="9.140625" style="1203"/>
    <col min="13313" max="13313" width="6.5703125" style="1203" customWidth="1"/>
    <col min="13314" max="13314" width="46" style="1203" bestFit="1" customWidth="1"/>
    <col min="13315" max="13315" width="20.7109375" style="1203" bestFit="1" customWidth="1"/>
    <col min="13316" max="13316" width="19.85546875" style="1203" bestFit="1" customWidth="1"/>
    <col min="13317" max="13317" width="19" style="1203" bestFit="1" customWidth="1"/>
    <col min="13318" max="13318" width="18.140625" style="1203" bestFit="1" customWidth="1"/>
    <col min="13319" max="13319" width="12" style="1203" customWidth="1"/>
    <col min="13320" max="13568" width="9.140625" style="1203"/>
    <col min="13569" max="13569" width="6.5703125" style="1203" customWidth="1"/>
    <col min="13570" max="13570" width="46" style="1203" bestFit="1" customWidth="1"/>
    <col min="13571" max="13571" width="20.7109375" style="1203" bestFit="1" customWidth="1"/>
    <col min="13572" max="13572" width="19.85546875" style="1203" bestFit="1" customWidth="1"/>
    <col min="13573" max="13573" width="19" style="1203" bestFit="1" customWidth="1"/>
    <col min="13574" max="13574" width="18.140625" style="1203" bestFit="1" customWidth="1"/>
    <col min="13575" max="13575" width="12" style="1203" customWidth="1"/>
    <col min="13576" max="13824" width="9.140625" style="1203"/>
    <col min="13825" max="13825" width="6.5703125" style="1203" customWidth="1"/>
    <col min="13826" max="13826" width="46" style="1203" bestFit="1" customWidth="1"/>
    <col min="13827" max="13827" width="20.7109375" style="1203" bestFit="1" customWidth="1"/>
    <col min="13828" max="13828" width="19.85546875" style="1203" bestFit="1" customWidth="1"/>
    <col min="13829" max="13829" width="19" style="1203" bestFit="1" customWidth="1"/>
    <col min="13830" max="13830" width="18.140625" style="1203" bestFit="1" customWidth="1"/>
    <col min="13831" max="13831" width="12" style="1203" customWidth="1"/>
    <col min="13832" max="14080" width="9.140625" style="1203"/>
    <col min="14081" max="14081" width="6.5703125" style="1203" customWidth="1"/>
    <col min="14082" max="14082" width="46" style="1203" bestFit="1" customWidth="1"/>
    <col min="14083" max="14083" width="20.7109375" style="1203" bestFit="1" customWidth="1"/>
    <col min="14084" max="14084" width="19.85546875" style="1203" bestFit="1" customWidth="1"/>
    <col min="14085" max="14085" width="19" style="1203" bestFit="1" customWidth="1"/>
    <col min="14086" max="14086" width="18.140625" style="1203" bestFit="1" customWidth="1"/>
    <col min="14087" max="14087" width="12" style="1203" customWidth="1"/>
    <col min="14088" max="14336" width="9.140625" style="1203"/>
    <col min="14337" max="14337" width="6.5703125" style="1203" customWidth="1"/>
    <col min="14338" max="14338" width="46" style="1203" bestFit="1" customWidth="1"/>
    <col min="14339" max="14339" width="20.7109375" style="1203" bestFit="1" customWidth="1"/>
    <col min="14340" max="14340" width="19.85546875" style="1203" bestFit="1" customWidth="1"/>
    <col min="14341" max="14341" width="19" style="1203" bestFit="1" customWidth="1"/>
    <col min="14342" max="14342" width="18.140625" style="1203" bestFit="1" customWidth="1"/>
    <col min="14343" max="14343" width="12" style="1203" customWidth="1"/>
    <col min="14344" max="14592" width="9.140625" style="1203"/>
    <col min="14593" max="14593" width="6.5703125" style="1203" customWidth="1"/>
    <col min="14594" max="14594" width="46" style="1203" bestFit="1" customWidth="1"/>
    <col min="14595" max="14595" width="20.7109375" style="1203" bestFit="1" customWidth="1"/>
    <col min="14596" max="14596" width="19.85546875" style="1203" bestFit="1" customWidth="1"/>
    <col min="14597" max="14597" width="19" style="1203" bestFit="1" customWidth="1"/>
    <col min="14598" max="14598" width="18.140625" style="1203" bestFit="1" customWidth="1"/>
    <col min="14599" max="14599" width="12" style="1203" customWidth="1"/>
    <col min="14600" max="14848" width="9.140625" style="1203"/>
    <col min="14849" max="14849" width="6.5703125" style="1203" customWidth="1"/>
    <col min="14850" max="14850" width="46" style="1203" bestFit="1" customWidth="1"/>
    <col min="14851" max="14851" width="20.7109375" style="1203" bestFit="1" customWidth="1"/>
    <col min="14852" max="14852" width="19.85546875" style="1203" bestFit="1" customWidth="1"/>
    <col min="14853" max="14853" width="19" style="1203" bestFit="1" customWidth="1"/>
    <col min="14854" max="14854" width="18.140625" style="1203" bestFit="1" customWidth="1"/>
    <col min="14855" max="14855" width="12" style="1203" customWidth="1"/>
    <col min="14856" max="15104" width="9.140625" style="1203"/>
    <col min="15105" max="15105" width="6.5703125" style="1203" customWidth="1"/>
    <col min="15106" max="15106" width="46" style="1203" bestFit="1" customWidth="1"/>
    <col min="15107" max="15107" width="20.7109375" style="1203" bestFit="1" customWidth="1"/>
    <col min="15108" max="15108" width="19.85546875" style="1203" bestFit="1" customWidth="1"/>
    <col min="15109" max="15109" width="19" style="1203" bestFit="1" customWidth="1"/>
    <col min="15110" max="15110" width="18.140625" style="1203" bestFit="1" customWidth="1"/>
    <col min="15111" max="15111" width="12" style="1203" customWidth="1"/>
    <col min="15112" max="15360" width="9.140625" style="1203"/>
    <col min="15361" max="15361" width="6.5703125" style="1203" customWidth="1"/>
    <col min="15362" max="15362" width="46" style="1203" bestFit="1" customWidth="1"/>
    <col min="15363" max="15363" width="20.7109375" style="1203" bestFit="1" customWidth="1"/>
    <col min="15364" max="15364" width="19.85546875" style="1203" bestFit="1" customWidth="1"/>
    <col min="15365" max="15365" width="19" style="1203" bestFit="1" customWidth="1"/>
    <col min="15366" max="15366" width="18.140625" style="1203" bestFit="1" customWidth="1"/>
    <col min="15367" max="15367" width="12" style="1203" customWidth="1"/>
    <col min="15368" max="15616" width="9.140625" style="1203"/>
    <col min="15617" max="15617" width="6.5703125" style="1203" customWidth="1"/>
    <col min="15618" max="15618" width="46" style="1203" bestFit="1" customWidth="1"/>
    <col min="15619" max="15619" width="20.7109375" style="1203" bestFit="1" customWidth="1"/>
    <col min="15620" max="15620" width="19.85546875" style="1203" bestFit="1" customWidth="1"/>
    <col min="15621" max="15621" width="19" style="1203" bestFit="1" customWidth="1"/>
    <col min="15622" max="15622" width="18.140625" style="1203" bestFit="1" customWidth="1"/>
    <col min="15623" max="15623" width="12" style="1203" customWidth="1"/>
    <col min="15624" max="15872" width="9.140625" style="1203"/>
    <col min="15873" max="15873" width="6.5703125" style="1203" customWidth="1"/>
    <col min="15874" max="15874" width="46" style="1203" bestFit="1" customWidth="1"/>
    <col min="15875" max="15875" width="20.7109375" style="1203" bestFit="1" customWidth="1"/>
    <col min="15876" max="15876" width="19.85546875" style="1203" bestFit="1" customWidth="1"/>
    <col min="15877" max="15877" width="19" style="1203" bestFit="1" customWidth="1"/>
    <col min="15878" max="15878" width="18.140625" style="1203" bestFit="1" customWidth="1"/>
    <col min="15879" max="15879" width="12" style="1203" customWidth="1"/>
    <col min="15880" max="16128" width="9.140625" style="1203"/>
    <col min="16129" max="16129" width="6.5703125" style="1203" customWidth="1"/>
    <col min="16130" max="16130" width="46" style="1203" bestFit="1" customWidth="1"/>
    <col min="16131" max="16131" width="20.7109375" style="1203" bestFit="1" customWidth="1"/>
    <col min="16132" max="16132" width="19.85546875" style="1203" bestFit="1" customWidth="1"/>
    <col min="16133" max="16133" width="19" style="1203" bestFit="1" customWidth="1"/>
    <col min="16134" max="16134" width="18.140625" style="1203" bestFit="1" customWidth="1"/>
    <col min="16135" max="16135" width="12" style="1203" customWidth="1"/>
    <col min="16136" max="16384" width="9.140625" style="1203"/>
  </cols>
  <sheetData>
    <row r="1" spans="1:7" ht="15.75">
      <c r="A1" s="2635" t="s">
        <v>1706</v>
      </c>
      <c r="B1" s="2635"/>
      <c r="C1" s="2635"/>
      <c r="D1" s="2635"/>
      <c r="E1" s="2635"/>
      <c r="F1" s="2635"/>
      <c r="G1" s="2635"/>
    </row>
    <row r="2" spans="1:7" ht="15.75">
      <c r="A2" s="2635" t="s">
        <v>1707</v>
      </c>
      <c r="B2" s="2635"/>
      <c r="C2" s="2635"/>
      <c r="D2" s="2635"/>
      <c r="E2" s="2635"/>
      <c r="F2" s="2635"/>
      <c r="G2" s="2635"/>
    </row>
    <row r="3" spans="1:7" ht="15.75" thickBot="1">
      <c r="A3" s="2132"/>
      <c r="B3" s="2139"/>
      <c r="C3" s="2132"/>
      <c r="D3" s="2132"/>
      <c r="E3" s="2132"/>
      <c r="F3" s="2132"/>
      <c r="G3" s="2132"/>
    </row>
    <row r="4" spans="1:7" ht="48.75" customHeight="1">
      <c r="A4" s="2133"/>
      <c r="B4" s="2144" t="s">
        <v>1708</v>
      </c>
      <c r="C4" s="2144" t="s">
        <v>1709</v>
      </c>
      <c r="D4" s="2144" t="s">
        <v>1710</v>
      </c>
      <c r="E4" s="2144" t="s">
        <v>1711</v>
      </c>
      <c r="F4" s="2144" t="s">
        <v>1712</v>
      </c>
      <c r="G4" s="2145" t="s">
        <v>1713</v>
      </c>
    </row>
    <row r="5" spans="1:7" ht="15.75">
      <c r="A5" s="2134"/>
      <c r="B5" s="2157" t="s">
        <v>1714</v>
      </c>
      <c r="C5" s="2135"/>
      <c r="D5" s="2135"/>
      <c r="E5" s="2135"/>
      <c r="F5" s="2135"/>
      <c r="G5" s="2136"/>
    </row>
    <row r="6" spans="1:7" ht="15.75">
      <c r="A6" s="2134"/>
      <c r="B6" s="2157" t="s">
        <v>1715</v>
      </c>
      <c r="C6" s="2135"/>
      <c r="D6" s="2135"/>
      <c r="E6" s="2135"/>
      <c r="F6" s="2135"/>
      <c r="G6" s="2136"/>
    </row>
    <row r="7" spans="1:7" ht="30">
      <c r="A7" s="2134"/>
      <c r="B7" s="2158" t="s">
        <v>1716</v>
      </c>
      <c r="C7" s="2152">
        <v>1000</v>
      </c>
      <c r="D7" s="2152">
        <v>0</v>
      </c>
      <c r="E7" s="2152">
        <v>0</v>
      </c>
      <c r="F7" s="2153">
        <f>C7+D7-E7</f>
        <v>1000</v>
      </c>
      <c r="G7" s="2136"/>
    </row>
    <row r="8" spans="1:7" ht="15">
      <c r="A8" s="2134"/>
      <c r="B8" s="2158" t="s">
        <v>1717</v>
      </c>
      <c r="C8" s="2152"/>
      <c r="D8" s="2152"/>
      <c r="E8" s="2152"/>
      <c r="F8" s="2154"/>
      <c r="G8" s="2136"/>
    </row>
    <row r="9" spans="1:7" ht="15.75">
      <c r="A9" s="2134"/>
      <c r="B9" s="2157" t="s">
        <v>1718</v>
      </c>
      <c r="C9" s="2152"/>
      <c r="D9" s="2152"/>
      <c r="E9" s="2152"/>
      <c r="F9" s="2154"/>
      <c r="G9" s="2136"/>
    </row>
    <row r="10" spans="1:7" ht="30">
      <c r="A10" s="2134"/>
      <c r="B10" s="2158" t="s">
        <v>1719</v>
      </c>
      <c r="C10" s="2152">
        <v>294.94</v>
      </c>
      <c r="D10" s="2155">
        <v>103.2</v>
      </c>
      <c r="E10" s="2152">
        <v>0</v>
      </c>
      <c r="F10" s="2153">
        <f>C10+D10-E10</f>
        <v>398.14</v>
      </c>
      <c r="G10" s="2136"/>
    </row>
    <row r="11" spans="1:7" ht="15">
      <c r="A11" s="2134"/>
      <c r="B11" s="2158" t="s">
        <v>1717</v>
      </c>
      <c r="C11" s="2152"/>
      <c r="D11" s="2155"/>
      <c r="E11" s="2152"/>
      <c r="F11" s="2154"/>
      <c r="G11" s="2136"/>
    </row>
    <row r="12" spans="1:7" ht="15.75">
      <c r="A12" s="2134"/>
      <c r="B12" s="2157" t="s">
        <v>1720</v>
      </c>
      <c r="C12" s="2152"/>
      <c r="D12" s="2155"/>
      <c r="E12" s="2152"/>
      <c r="F12" s="2154"/>
      <c r="G12" s="2136"/>
    </row>
    <row r="13" spans="1:7" ht="30">
      <c r="A13" s="2134"/>
      <c r="B13" s="2158" t="str">
        <f>B10</f>
        <v>29,49,43,600 nos Ordinary shares of Rs.10 Each</v>
      </c>
      <c r="C13" s="2152">
        <v>294.94</v>
      </c>
      <c r="D13" s="2155">
        <v>103.2</v>
      </c>
      <c r="E13" s="2152">
        <v>0</v>
      </c>
      <c r="F13" s="2153">
        <f>C13+D13-E13</f>
        <v>398.14</v>
      </c>
      <c r="G13" s="2136"/>
    </row>
    <row r="14" spans="1:7" ht="15">
      <c r="A14" s="2134"/>
      <c r="B14" s="2158" t="s">
        <v>1717</v>
      </c>
      <c r="C14" s="2152"/>
      <c r="D14" s="2155"/>
      <c r="E14" s="2152"/>
      <c r="F14" s="2154"/>
      <c r="G14" s="2136"/>
    </row>
    <row r="15" spans="1:7" ht="15.75">
      <c r="A15" s="2134"/>
      <c r="B15" s="2157" t="s">
        <v>1721</v>
      </c>
      <c r="C15" s="2152"/>
      <c r="D15" s="2155"/>
      <c r="E15" s="2152"/>
      <c r="F15" s="2154"/>
      <c r="G15" s="2136"/>
    </row>
    <row r="16" spans="1:7" ht="15">
      <c r="A16" s="2134"/>
      <c r="B16" s="2158" t="s">
        <v>1722</v>
      </c>
      <c r="C16" s="2152"/>
      <c r="D16" s="2155"/>
      <c r="E16" s="2152"/>
      <c r="F16" s="2154"/>
      <c r="G16" s="2136"/>
    </row>
    <row r="17" spans="1:7" ht="15">
      <c r="A17" s="2134"/>
      <c r="B17" s="2158" t="s">
        <v>1717</v>
      </c>
      <c r="C17" s="2152"/>
      <c r="D17" s="2155"/>
      <c r="E17" s="2152"/>
      <c r="F17" s="2154"/>
      <c r="G17" s="2136"/>
    </row>
    <row r="18" spans="1:7" ht="15">
      <c r="A18" s="2134"/>
      <c r="B18" s="2158" t="s">
        <v>1723</v>
      </c>
      <c r="C18" s="2152"/>
      <c r="D18" s="2155"/>
      <c r="E18" s="2152"/>
      <c r="F18" s="2154"/>
      <c r="G18" s="2136"/>
    </row>
    <row r="19" spans="1:7" ht="15.75">
      <c r="A19" s="2134"/>
      <c r="B19" s="2157" t="s">
        <v>1724</v>
      </c>
      <c r="C19" s="2152"/>
      <c r="D19" s="2155"/>
      <c r="E19" s="2152"/>
      <c r="F19" s="2154"/>
      <c r="G19" s="2136"/>
    </row>
    <row r="20" spans="1:7" ht="30">
      <c r="A20" s="2134"/>
      <c r="B20" s="2158" t="str">
        <f>B13</f>
        <v>29,49,43,600 nos Ordinary shares of Rs.10 Each</v>
      </c>
      <c r="C20" s="2152">
        <v>294.94</v>
      </c>
      <c r="D20" s="2155">
        <v>103.2</v>
      </c>
      <c r="E20" s="2152">
        <v>0</v>
      </c>
      <c r="F20" s="2153">
        <f>C20+D20-E20</f>
        <v>398.14</v>
      </c>
      <c r="G20" s="2136"/>
    </row>
    <row r="21" spans="1:7" ht="15">
      <c r="A21" s="2134"/>
      <c r="B21" s="2158" t="s">
        <v>1717</v>
      </c>
      <c r="C21" s="2154"/>
      <c r="D21" s="2154"/>
      <c r="E21" s="2154"/>
      <c r="F21" s="2154"/>
      <c r="G21" s="2136"/>
    </row>
    <row r="22" spans="1:7" ht="16.5" thickBot="1">
      <c r="A22" s="2137"/>
      <c r="B22" s="2159" t="s">
        <v>1725</v>
      </c>
      <c r="C22" s="2156">
        <f>C20</f>
        <v>294.94</v>
      </c>
      <c r="D22" s="2156">
        <f>D20</f>
        <v>103.2</v>
      </c>
      <c r="E22" s="2156">
        <f>E20</f>
        <v>0</v>
      </c>
      <c r="F22" s="2156">
        <f>F20</f>
        <v>398.14</v>
      </c>
      <c r="G22" s="2138"/>
    </row>
    <row r="26" spans="1:7" ht="15.75">
      <c r="A26" s="2509" t="s">
        <v>1726</v>
      </c>
      <c r="B26" s="2509"/>
      <c r="C26" s="2509"/>
      <c r="D26" s="2509"/>
      <c r="E26" s="2509"/>
      <c r="F26" s="2509"/>
      <c r="G26" s="2509"/>
    </row>
    <row r="27" spans="1:7" ht="15.75">
      <c r="A27" s="2636" t="s">
        <v>1727</v>
      </c>
      <c r="B27" s="2636"/>
      <c r="C27" s="2636"/>
      <c r="D27" s="2636"/>
      <c r="E27" s="2636"/>
      <c r="F27" s="2636"/>
      <c r="G27" s="2636"/>
    </row>
    <row r="28" spans="1:7" ht="60.75" customHeight="1">
      <c r="A28" s="2146"/>
      <c r="B28" s="42" t="s">
        <v>1728</v>
      </c>
      <c r="C28" s="2103" t="s">
        <v>1729</v>
      </c>
      <c r="D28" s="2103" t="s">
        <v>1710</v>
      </c>
      <c r="E28" s="2103" t="s">
        <v>1730</v>
      </c>
      <c r="F28" s="2103" t="s">
        <v>1731</v>
      </c>
      <c r="G28" s="2103" t="s">
        <v>1713</v>
      </c>
    </row>
    <row r="29" spans="1:7" ht="15.75">
      <c r="A29" s="2147"/>
      <c r="B29" s="2160" t="s">
        <v>1714</v>
      </c>
      <c r="C29" s="2149"/>
      <c r="D29" s="2150"/>
      <c r="E29" s="2150"/>
      <c r="F29" s="2150"/>
      <c r="G29" s="2161"/>
    </row>
    <row r="30" spans="1:7" ht="15.75">
      <c r="A30" s="2147"/>
      <c r="B30" s="2160" t="s">
        <v>1715</v>
      </c>
      <c r="C30" s="2150"/>
      <c r="D30" s="2150"/>
      <c r="E30" s="2150"/>
      <c r="F30" s="2150"/>
      <c r="G30" s="2161"/>
    </row>
    <row r="31" spans="1:7" ht="15">
      <c r="A31" s="2147"/>
      <c r="B31" s="2162" t="s">
        <v>1732</v>
      </c>
      <c r="C31" s="2150"/>
      <c r="D31" s="2150"/>
      <c r="E31" s="2150"/>
      <c r="F31" s="2150"/>
      <c r="G31" s="2161"/>
    </row>
    <row r="32" spans="1:7" ht="30">
      <c r="A32" s="2147"/>
      <c r="B32" s="2162" t="s">
        <v>1716</v>
      </c>
      <c r="C32" s="2151">
        <v>1000</v>
      </c>
      <c r="D32" s="2151">
        <v>0</v>
      </c>
      <c r="E32" s="2151">
        <f>C32+D32</f>
        <v>1000</v>
      </c>
      <c r="F32" s="2151"/>
      <c r="G32" s="2151"/>
    </row>
    <row r="33" spans="1:7">
      <c r="A33" s="2147"/>
      <c r="B33" s="1002"/>
      <c r="C33" s="2150"/>
      <c r="D33" s="2150"/>
      <c r="E33" s="2150"/>
      <c r="F33" s="2150"/>
      <c r="G33" s="2161"/>
    </row>
    <row r="34" spans="1:7" ht="15.75">
      <c r="A34" s="2147"/>
      <c r="B34" s="2160" t="s">
        <v>1733</v>
      </c>
      <c r="C34" s="2150"/>
      <c r="D34" s="2150"/>
      <c r="E34" s="2150"/>
      <c r="F34" s="2150"/>
      <c r="G34" s="2161"/>
    </row>
    <row r="35" spans="1:7" ht="30">
      <c r="A35" s="2147"/>
      <c r="B35" s="2163" t="s">
        <v>1719</v>
      </c>
      <c r="C35" s="2151">
        <v>294.94</v>
      </c>
      <c r="D35" s="2151">
        <v>103.2</v>
      </c>
      <c r="E35" s="2151">
        <f>C35+D35</f>
        <v>398.14</v>
      </c>
      <c r="F35" s="2150"/>
      <c r="G35" s="2161"/>
    </row>
    <row r="36" spans="1:7" ht="15.75">
      <c r="A36" s="2147"/>
      <c r="B36" s="2160" t="s">
        <v>239</v>
      </c>
      <c r="C36" s="2150"/>
      <c r="D36" s="2150"/>
      <c r="E36" s="2150"/>
      <c r="F36" s="2150"/>
      <c r="G36" s="2161"/>
    </row>
    <row r="37" spans="1:7" ht="15.75">
      <c r="A37" s="1210"/>
      <c r="B37" s="2143"/>
      <c r="C37" s="1210"/>
      <c r="D37" s="1210"/>
      <c r="E37" s="1210"/>
      <c r="F37" s="1210"/>
      <c r="G37" s="1210"/>
    </row>
    <row r="38" spans="1:7" ht="15.75">
      <c r="A38" s="2637" t="s">
        <v>1734</v>
      </c>
      <c r="B38" s="2637"/>
      <c r="C38" s="2637"/>
      <c r="D38" s="2637"/>
      <c r="E38" s="2637"/>
      <c r="F38" s="2637"/>
      <c r="G38" s="2637"/>
    </row>
    <row r="39" spans="1:7" ht="47.25">
      <c r="A39" s="1221"/>
      <c r="B39" s="2140" t="s">
        <v>1735</v>
      </c>
      <c r="C39" s="1222" t="s">
        <v>1729</v>
      </c>
      <c r="D39" s="1222" t="s">
        <v>1710</v>
      </c>
      <c r="E39" s="1222" t="s">
        <v>1730</v>
      </c>
      <c r="F39" s="1222" t="s">
        <v>1731</v>
      </c>
      <c r="G39" s="1222" t="s">
        <v>1713</v>
      </c>
    </row>
    <row r="40" spans="1:7" ht="15.75">
      <c r="A40" s="1221"/>
      <c r="B40" s="1224" t="s">
        <v>1714</v>
      </c>
      <c r="C40" s="1295"/>
      <c r="D40" s="1296"/>
      <c r="E40" s="1296"/>
      <c r="F40" s="1296"/>
      <c r="G40" s="1221"/>
    </row>
    <row r="41" spans="1:7" ht="15.75">
      <c r="A41" s="1221"/>
      <c r="B41" s="1224" t="s">
        <v>1715</v>
      </c>
      <c r="C41" s="1296"/>
      <c r="D41" s="1296"/>
      <c r="E41" s="1296"/>
      <c r="F41" s="1296"/>
      <c r="G41" s="1221"/>
    </row>
    <row r="42" spans="1:7" ht="15.75">
      <c r="A42" s="1221"/>
      <c r="B42" s="2141" t="s">
        <v>1732</v>
      </c>
      <c r="C42" s="1296"/>
      <c r="D42" s="1296"/>
      <c r="E42" s="1296"/>
      <c r="F42" s="1296"/>
      <c r="G42" s="1221"/>
    </row>
    <row r="43" spans="1:7">
      <c r="A43" s="1221"/>
      <c r="B43" s="2142"/>
      <c r="C43" s="1296"/>
      <c r="D43" s="1296"/>
      <c r="E43" s="1296"/>
      <c r="F43" s="1296"/>
      <c r="G43" s="1221"/>
    </row>
    <row r="44" spans="1:7" ht="15.75">
      <c r="A44" s="1221"/>
      <c r="B44" s="1224" t="s">
        <v>1733</v>
      </c>
      <c r="C44" s="1296"/>
      <c r="D44" s="1296"/>
      <c r="E44" s="1296"/>
      <c r="F44" s="1296"/>
      <c r="G44" s="1221"/>
    </row>
    <row r="45" spans="1:7" ht="15.75">
      <c r="A45" s="1221"/>
      <c r="B45" s="2141" t="s">
        <v>1732</v>
      </c>
      <c r="C45" s="1296"/>
      <c r="D45" s="1296"/>
      <c r="E45" s="1296"/>
      <c r="F45" s="1296"/>
      <c r="G45" s="1221"/>
    </row>
    <row r="46" spans="1:7" ht="15.75">
      <c r="A46" s="1221"/>
      <c r="B46" s="1224" t="s">
        <v>239</v>
      </c>
      <c r="C46" s="1296"/>
      <c r="D46" s="1296"/>
      <c r="E46" s="1296"/>
      <c r="F46" s="1296"/>
      <c r="G46" s="1221"/>
    </row>
  </sheetData>
  <mergeCells count="5">
    <mergeCell ref="A1:G1"/>
    <mergeCell ref="A2:G2"/>
    <mergeCell ref="A26:G26"/>
    <mergeCell ref="A27:G27"/>
    <mergeCell ref="A38:G38"/>
  </mergeCells>
  <printOptions horizontalCentered="1"/>
  <pageMargins left="0.15748031496062992" right="0.15748031496062992" top="0.74803149606299213" bottom="0.78740157480314965" header="0.51181102362204722" footer="0.51181102362204722"/>
  <pageSetup scale="6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F58"/>
  <sheetViews>
    <sheetView topLeftCell="A43" workbookViewId="0">
      <selection activeCell="D58" sqref="D58"/>
    </sheetView>
  </sheetViews>
  <sheetFormatPr defaultColWidth="9.140625" defaultRowHeight="15"/>
  <cols>
    <col min="1" max="1" width="9.140625" style="917"/>
    <col min="2" max="2" width="45.28515625" style="917" customWidth="1"/>
    <col min="3" max="3" width="24.5703125" style="917" customWidth="1"/>
    <col min="4" max="4" width="25.7109375" style="917" customWidth="1"/>
    <col min="5" max="5" width="29.7109375" style="917" customWidth="1"/>
    <col min="6" max="6" width="21.85546875" style="917" customWidth="1"/>
    <col min="7" max="7" width="14.7109375" style="917" customWidth="1"/>
    <col min="8" max="16384" width="9.140625" style="917"/>
  </cols>
  <sheetData>
    <row r="1" spans="2:5" ht="15.75" thickBot="1"/>
    <row r="2" spans="2:5" ht="15.75" thickBot="1">
      <c r="B2" s="918" t="s">
        <v>1736</v>
      </c>
      <c r="C2" s="919">
        <v>46</v>
      </c>
      <c r="D2" s="919">
        <v>102</v>
      </c>
      <c r="E2" s="919">
        <v>270</v>
      </c>
    </row>
    <row r="3" spans="2:5">
      <c r="B3" s="2638" t="s">
        <v>1737</v>
      </c>
      <c r="C3" s="2640" t="s">
        <v>1738</v>
      </c>
      <c r="D3" s="920" t="s">
        <v>1739</v>
      </c>
      <c r="E3" s="920" t="s">
        <v>1740</v>
      </c>
    </row>
    <row r="4" spans="2:5" ht="15.75" thickBot="1">
      <c r="B4" s="2639"/>
      <c r="C4" s="2641"/>
      <c r="D4" s="921" t="s">
        <v>886</v>
      </c>
      <c r="E4" s="921" t="s">
        <v>175</v>
      </c>
    </row>
    <row r="5" spans="2:5" ht="16.5" thickBot="1">
      <c r="B5" s="922" t="s">
        <v>1741</v>
      </c>
      <c r="C5" s="923" t="s">
        <v>1742</v>
      </c>
      <c r="D5" s="923" t="s">
        <v>1743</v>
      </c>
      <c r="E5" s="923" t="s">
        <v>1744</v>
      </c>
    </row>
    <row r="6" spans="2:5" ht="16.5" thickBot="1">
      <c r="B6" s="922" t="s">
        <v>1745</v>
      </c>
      <c r="C6" s="923" t="s">
        <v>1746</v>
      </c>
      <c r="D6" s="923" t="s">
        <v>1747</v>
      </c>
      <c r="E6" s="923" t="s">
        <v>1748</v>
      </c>
    </row>
    <row r="7" spans="2:5" ht="16.5" thickBot="1">
      <c r="B7" s="922" t="s">
        <v>1749</v>
      </c>
      <c r="C7" s="923" t="s">
        <v>1750</v>
      </c>
      <c r="D7" s="923" t="s">
        <v>1751</v>
      </c>
      <c r="E7" s="923" t="s">
        <v>1752</v>
      </c>
    </row>
    <row r="8" spans="2:5" ht="16.5" thickBot="1">
      <c r="B8" s="922" t="s">
        <v>1753</v>
      </c>
      <c r="C8" s="923" t="s">
        <v>1754</v>
      </c>
      <c r="D8" s="923" t="s">
        <v>1755</v>
      </c>
      <c r="E8" s="923" t="s">
        <v>1756</v>
      </c>
    </row>
    <row r="9" spans="2:5" ht="15.75" thickBot="1">
      <c r="B9" s="924" t="s">
        <v>239</v>
      </c>
      <c r="C9" s="925" t="s">
        <v>1757</v>
      </c>
      <c r="D9" s="925" t="s">
        <v>1758</v>
      </c>
      <c r="E9" s="925" t="s">
        <v>1759</v>
      </c>
    </row>
    <row r="16" spans="2:5" ht="15.75" thickBot="1"/>
    <row r="17" spans="2:6" ht="15.75" thickBot="1">
      <c r="B17" s="921" t="s">
        <v>175</v>
      </c>
      <c r="C17" s="926" t="s">
        <v>1760</v>
      </c>
      <c r="D17" s="927" t="s">
        <v>1761</v>
      </c>
      <c r="E17" s="926" t="s">
        <v>1760</v>
      </c>
      <c r="F17" s="926" t="s">
        <v>1762</v>
      </c>
    </row>
    <row r="18" spans="2:6" ht="16.5" thickBot="1">
      <c r="B18" s="923" t="s">
        <v>1744</v>
      </c>
      <c r="C18" s="928">
        <v>1</v>
      </c>
      <c r="D18" s="929" t="s">
        <v>1763</v>
      </c>
      <c r="E18" s="930">
        <v>1</v>
      </c>
      <c r="F18" s="931" t="s">
        <v>1764</v>
      </c>
    </row>
    <row r="19" spans="2:6" ht="16.5" thickBot="1">
      <c r="B19" s="923" t="s">
        <v>1748</v>
      </c>
      <c r="C19" s="928">
        <v>38</v>
      </c>
      <c r="D19" s="932" t="s">
        <v>1765</v>
      </c>
      <c r="E19" s="930">
        <v>38</v>
      </c>
      <c r="F19" s="931" t="s">
        <v>1766</v>
      </c>
    </row>
    <row r="20" spans="2:6" ht="16.5" thickBot="1">
      <c r="B20" s="923" t="s">
        <v>1752</v>
      </c>
      <c r="C20" s="928">
        <v>11</v>
      </c>
      <c r="D20" s="929" t="s">
        <v>1767</v>
      </c>
      <c r="E20" s="930">
        <v>10</v>
      </c>
      <c r="F20" s="931" t="s">
        <v>1768</v>
      </c>
    </row>
    <row r="21" spans="2:6" ht="16.5" thickBot="1">
      <c r="B21" s="923" t="s">
        <v>1756</v>
      </c>
      <c r="C21" s="933">
        <v>50</v>
      </c>
      <c r="D21" s="934" t="s">
        <v>1769</v>
      </c>
      <c r="E21" s="934" t="s">
        <v>1770</v>
      </c>
      <c r="F21" s="935" t="s">
        <v>1771</v>
      </c>
    </row>
    <row r="22" spans="2:6" ht="15.75" thickBot="1">
      <c r="B22" s="925" t="s">
        <v>1759</v>
      </c>
    </row>
    <row r="23" spans="2:6">
      <c r="B23" s="2638" t="s">
        <v>1737</v>
      </c>
      <c r="C23" s="920" t="s">
        <v>1739</v>
      </c>
      <c r="D23" s="920" t="s">
        <v>1740</v>
      </c>
    </row>
    <row r="24" spans="2:6" ht="15.75" thickBot="1">
      <c r="B24" s="2639"/>
      <c r="C24" s="921" t="s">
        <v>886</v>
      </c>
      <c r="D24" s="921" t="s">
        <v>175</v>
      </c>
    </row>
    <row r="25" spans="2:6" ht="16.5" thickBot="1">
      <c r="B25" s="922" t="s">
        <v>1741</v>
      </c>
      <c r="C25" s="923" t="s">
        <v>1743</v>
      </c>
      <c r="D25" s="923" t="s">
        <v>1744</v>
      </c>
    </row>
    <row r="26" spans="2:6" ht="16.5" thickBot="1">
      <c r="B26" s="922" t="s">
        <v>1745</v>
      </c>
      <c r="C26" s="923" t="s">
        <v>1747</v>
      </c>
      <c r="D26" s="923" t="s">
        <v>1748</v>
      </c>
    </row>
    <row r="27" spans="2:6" ht="16.5" thickBot="1">
      <c r="B27" s="922" t="s">
        <v>1749</v>
      </c>
      <c r="C27" s="923" t="s">
        <v>1751</v>
      </c>
      <c r="D27" s="923" t="s">
        <v>1752</v>
      </c>
    </row>
    <row r="28" spans="2:6" ht="16.5" thickBot="1">
      <c r="B28" s="922" t="s">
        <v>1753</v>
      </c>
      <c r="C28" s="923" t="s">
        <v>1755</v>
      </c>
      <c r="D28" s="923" t="s">
        <v>1756</v>
      </c>
    </row>
    <row r="29" spans="2:6" ht="15.75" thickBot="1">
      <c r="B29" s="924" t="s">
        <v>239</v>
      </c>
      <c r="C29" s="925" t="s">
        <v>1758</v>
      </c>
      <c r="D29" s="925" t="s">
        <v>1759</v>
      </c>
    </row>
    <row r="31" spans="2:6">
      <c r="B31" s="936" t="s">
        <v>1741</v>
      </c>
      <c r="C31" s="1577" t="s">
        <v>1767</v>
      </c>
      <c r="D31" s="1578" t="s">
        <v>1768</v>
      </c>
    </row>
    <row r="32" spans="2:6">
      <c r="B32" s="936" t="s">
        <v>1745</v>
      </c>
      <c r="C32" s="917">
        <v>0</v>
      </c>
      <c r="D32" s="937">
        <v>0</v>
      </c>
    </row>
    <row r="33" spans="1:5">
      <c r="B33" s="936" t="s">
        <v>1749</v>
      </c>
      <c r="C33" s="1579" t="s">
        <v>1765</v>
      </c>
      <c r="D33" s="1578" t="s">
        <v>1766</v>
      </c>
    </row>
    <row r="34" spans="1:5">
      <c r="B34" s="936" t="s">
        <v>1753</v>
      </c>
      <c r="C34" s="1577" t="s">
        <v>1763</v>
      </c>
      <c r="D34" s="1578" t="s">
        <v>1764</v>
      </c>
    </row>
    <row r="35" spans="1:5">
      <c r="B35" s="936" t="s">
        <v>274</v>
      </c>
      <c r="C35" s="917" t="str">
        <f>D21</f>
        <v>             5,87,94,669.00</v>
      </c>
      <c r="D35" s="917" t="str">
        <f>F21</f>
        <v>              6,27,70,449.00</v>
      </c>
    </row>
    <row r="37" spans="1:5">
      <c r="B37" s="936" t="s">
        <v>1741</v>
      </c>
      <c r="C37" s="917">
        <f>24560436+14977608</f>
        <v>39538044</v>
      </c>
      <c r="D37" s="917">
        <f>73681308+14194764</f>
        <v>87876072</v>
      </c>
    </row>
    <row r="38" spans="1:5">
      <c r="B38" s="936" t="s">
        <v>1745</v>
      </c>
      <c r="C38" s="917">
        <f>18018141+0</f>
        <v>18018141</v>
      </c>
      <c r="D38" s="917">
        <f>37838096+0</f>
        <v>37838096</v>
      </c>
    </row>
    <row r="39" spans="1:5">
      <c r="B39" s="936" t="s">
        <v>1749</v>
      </c>
      <c r="C39" s="917">
        <f>27272987+42656301</f>
        <v>69929288</v>
      </c>
      <c r="D39" s="917">
        <f>73182468+47292165</f>
        <v>120474633</v>
      </c>
    </row>
    <row r="40" spans="1:5">
      <c r="B40" s="936" t="s">
        <v>1753</v>
      </c>
      <c r="C40" s="917">
        <f>18195490+1160760</f>
        <v>19356250</v>
      </c>
      <c r="D40" s="917">
        <f>45488725+1283520</f>
        <v>46772245</v>
      </c>
    </row>
    <row r="41" spans="1:5">
      <c r="B41" s="936" t="s">
        <v>274</v>
      </c>
      <c r="C41" s="917">
        <f>SUM(C37:C40)</f>
        <v>146841723</v>
      </c>
      <c r="D41" s="917">
        <f>SUM(D37:D40)</f>
        <v>292961046</v>
      </c>
    </row>
    <row r="43" spans="1:5">
      <c r="C43" s="917" t="s">
        <v>1772</v>
      </c>
    </row>
    <row r="44" spans="1:5">
      <c r="A44" s="937"/>
      <c r="B44" s="937"/>
      <c r="C44" s="938" t="s">
        <v>1773</v>
      </c>
      <c r="D44" s="937" t="s">
        <v>1774</v>
      </c>
    </row>
    <row r="45" spans="1:5">
      <c r="A45" s="937"/>
      <c r="B45" s="939" t="s">
        <v>1741</v>
      </c>
      <c r="C45" s="937">
        <f>C37</f>
        <v>39538044</v>
      </c>
      <c r="D45" s="937">
        <f>D37</f>
        <v>87876072</v>
      </c>
      <c r="E45" s="940">
        <v>1</v>
      </c>
    </row>
    <row r="46" spans="1:5">
      <c r="A46" s="937"/>
      <c r="B46" s="939" t="s">
        <v>1745</v>
      </c>
      <c r="C46" s="937">
        <f>C38</f>
        <v>18018141</v>
      </c>
      <c r="D46" s="937">
        <f>D38</f>
        <v>37838096</v>
      </c>
      <c r="E46" s="940">
        <v>1</v>
      </c>
    </row>
    <row r="47" spans="1:5">
      <c r="A47" s="937"/>
      <c r="B47" s="939" t="s">
        <v>1749</v>
      </c>
      <c r="C47" s="937">
        <f>C39*75%</f>
        <v>52446966</v>
      </c>
      <c r="D47" s="937">
        <f>D39*75%</f>
        <v>90355974.75</v>
      </c>
      <c r="E47" s="940">
        <v>0.75</v>
      </c>
    </row>
    <row r="48" spans="1:5">
      <c r="A48" s="937"/>
      <c r="B48" s="939" t="s">
        <v>1753</v>
      </c>
      <c r="C48" s="937">
        <f>50%*C40</f>
        <v>9678125</v>
      </c>
      <c r="D48" s="937">
        <f>D40*50%</f>
        <v>23386122.5</v>
      </c>
      <c r="E48" s="940">
        <v>0.5</v>
      </c>
    </row>
    <row r="49" spans="1:5">
      <c r="A49" s="937"/>
      <c r="B49" s="939" t="s">
        <v>274</v>
      </c>
      <c r="C49" s="941">
        <f>SUM(C45:C48)</f>
        <v>119681276</v>
      </c>
      <c r="D49" s="941">
        <f>SUM(D45:D48)</f>
        <v>239456265.25</v>
      </c>
    </row>
    <row r="51" spans="1:5">
      <c r="C51" s="942">
        <f>C49/10^5</f>
        <v>1196.81276</v>
      </c>
      <c r="D51" s="942">
        <f>D49/10^5</f>
        <v>2394.5626524999998</v>
      </c>
    </row>
    <row r="53" spans="1:5">
      <c r="B53" s="938"/>
      <c r="C53" s="938" t="s">
        <v>1774</v>
      </c>
      <c r="D53" s="2447" t="s">
        <v>643</v>
      </c>
      <c r="E53" s="2447" t="s">
        <v>591</v>
      </c>
    </row>
    <row r="54" spans="1:5">
      <c r="B54" s="939" t="s">
        <v>1741</v>
      </c>
      <c r="C54" s="2448">
        <v>102005544.68200001</v>
      </c>
      <c r="D54" s="2448">
        <v>47807341.9815</v>
      </c>
      <c r="E54" s="2448">
        <v>200895512.64884821</v>
      </c>
    </row>
    <row r="55" spans="1:5">
      <c r="B55" s="939" t="s">
        <v>1745</v>
      </c>
      <c r="C55" s="2448">
        <v>26478406.218000013</v>
      </c>
      <c r="D55" s="2448">
        <v>25408527.898499988</v>
      </c>
      <c r="E55" s="2448">
        <v>24556000</v>
      </c>
    </row>
    <row r="56" spans="1:5">
      <c r="B56" s="939" t="s">
        <v>1749</v>
      </c>
      <c r="C56" s="2448">
        <v>0</v>
      </c>
      <c r="D56" s="2448"/>
      <c r="E56" s="2448"/>
    </row>
    <row r="57" spans="1:5">
      <c r="B57" s="939" t="s">
        <v>1753</v>
      </c>
      <c r="C57" s="2448"/>
      <c r="D57" s="2448"/>
      <c r="E57" s="2448"/>
    </row>
    <row r="58" spans="1:5">
      <c r="B58" s="939" t="s">
        <v>274</v>
      </c>
      <c r="C58" s="1580">
        <f>SUM(C54:C57)</f>
        <v>128483950.90000002</v>
      </c>
      <c r="D58" s="1580">
        <f>SUM(D54:D57)</f>
        <v>73215869.879999995</v>
      </c>
      <c r="E58" s="1580">
        <f>SUM(E54:E57)</f>
        <v>225451512.64884821</v>
      </c>
    </row>
  </sheetData>
  <mergeCells count="3">
    <mergeCell ref="B3:B4"/>
    <mergeCell ref="C3:C4"/>
    <mergeCell ref="B23:B24"/>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8000"/>
  </sheetPr>
  <dimension ref="A1:W178"/>
  <sheetViews>
    <sheetView showGridLines="0" view="pageBreakPreview" topLeftCell="B1" zoomScale="83" zoomScaleNormal="90" zoomScaleSheetLayoutView="83" workbookViewId="0">
      <pane xSplit="1" ySplit="11" topLeftCell="D12" activePane="bottomRight" state="frozen"/>
      <selection pane="bottomRight" activeCell="J40" sqref="J21:J40"/>
      <selection pane="bottomLeft" activeCell="B12" sqref="B12"/>
      <selection pane="topRight" activeCell="C1" sqref="C1"/>
    </sheetView>
  </sheetViews>
  <sheetFormatPr defaultRowHeight="15.75"/>
  <cols>
    <col min="1" max="1" width="8.28515625" style="1216" bestFit="1" customWidth="1"/>
    <col min="2" max="2" width="39.140625" style="1216" customWidth="1"/>
    <col min="3" max="3" width="16.5703125" style="1216" customWidth="1"/>
    <col min="4" max="4" width="16" style="1216" customWidth="1"/>
    <col min="5" max="5" width="12.7109375" style="1216" customWidth="1"/>
    <col min="6" max="6" width="11.7109375" style="1216" customWidth="1"/>
    <col min="7" max="7" width="14" style="1216" customWidth="1"/>
    <col min="8" max="8" width="12.42578125" style="1216" customWidth="1"/>
    <col min="9" max="9" width="12.140625" style="1216" customWidth="1"/>
    <col min="10" max="10" width="10.42578125" style="1216" customWidth="1"/>
    <col min="11" max="11" width="12.7109375" style="1216" customWidth="1"/>
    <col min="12" max="12" width="13.5703125" style="1216" customWidth="1"/>
    <col min="13" max="13" width="11.42578125" style="1216" customWidth="1"/>
    <col min="14" max="14" width="12.7109375" style="1216" customWidth="1"/>
    <col min="15" max="15" width="11.85546875" style="1216" customWidth="1"/>
    <col min="16" max="16" width="12.7109375" style="1216" customWidth="1"/>
    <col min="17" max="17" width="12.28515625" style="1216" customWidth="1"/>
    <col min="18" max="18" width="9.28515625" style="1216" bestFit="1" customWidth="1"/>
    <col min="19" max="19" width="16.5703125" style="1216" bestFit="1" customWidth="1"/>
    <col min="20" max="20" width="17.7109375" style="1216" bestFit="1" customWidth="1"/>
    <col min="21" max="21" width="12.5703125" style="1216" bestFit="1" customWidth="1"/>
    <col min="22" max="256" width="9.140625" style="1216"/>
    <col min="257" max="257" width="8.28515625" style="1216" bestFit="1" customWidth="1"/>
    <col min="258" max="258" width="45.7109375" style="1216" customWidth="1"/>
    <col min="259" max="259" width="14.7109375" style="1216" customWidth="1"/>
    <col min="260" max="260" width="16" style="1216" customWidth="1"/>
    <col min="261" max="261" width="14" style="1216" customWidth="1"/>
    <col min="262" max="262" width="13.7109375" style="1216" customWidth="1"/>
    <col min="263" max="263" width="15.42578125" style="1216" bestFit="1" customWidth="1"/>
    <col min="264" max="264" width="12.42578125" style="1216" customWidth="1"/>
    <col min="265" max="265" width="11" style="1216" customWidth="1"/>
    <col min="266" max="266" width="10.42578125" style="1216" customWidth="1"/>
    <col min="267" max="267" width="11" style="1216" customWidth="1"/>
    <col min="268" max="268" width="13.5703125" style="1216" customWidth="1"/>
    <col min="269" max="269" width="10.28515625" style="1216" customWidth="1"/>
    <col min="270" max="270" width="11.7109375" style="1216" customWidth="1"/>
    <col min="271" max="271" width="10.42578125" style="1216" customWidth="1"/>
    <col min="272" max="272" width="11.28515625" style="1216" customWidth="1"/>
    <col min="273" max="273" width="14" style="1216" customWidth="1"/>
    <col min="274" max="274" width="9.28515625" style="1216" bestFit="1" customWidth="1"/>
    <col min="275" max="275" width="16.42578125" style="1216" bestFit="1" customWidth="1"/>
    <col min="276" max="276" width="17.5703125" style="1216" bestFit="1" customWidth="1"/>
    <col min="277" max="512" width="9.140625" style="1216"/>
    <col min="513" max="513" width="8.28515625" style="1216" bestFit="1" customWidth="1"/>
    <col min="514" max="514" width="45.7109375" style="1216" customWidth="1"/>
    <col min="515" max="515" width="14.7109375" style="1216" customWidth="1"/>
    <col min="516" max="516" width="16" style="1216" customWidth="1"/>
    <col min="517" max="517" width="14" style="1216" customWidth="1"/>
    <col min="518" max="518" width="13.7109375" style="1216" customWidth="1"/>
    <col min="519" max="519" width="15.42578125" style="1216" bestFit="1" customWidth="1"/>
    <col min="520" max="520" width="12.42578125" style="1216" customWidth="1"/>
    <col min="521" max="521" width="11" style="1216" customWidth="1"/>
    <col min="522" max="522" width="10.42578125" style="1216" customWidth="1"/>
    <col min="523" max="523" width="11" style="1216" customWidth="1"/>
    <col min="524" max="524" width="13.5703125" style="1216" customWidth="1"/>
    <col min="525" max="525" width="10.28515625" style="1216" customWidth="1"/>
    <col min="526" max="526" width="11.7109375" style="1216" customWidth="1"/>
    <col min="527" max="527" width="10.42578125" style="1216" customWidth="1"/>
    <col min="528" max="528" width="11.28515625" style="1216" customWidth="1"/>
    <col min="529" max="529" width="14" style="1216" customWidth="1"/>
    <col min="530" max="530" width="9.28515625" style="1216" bestFit="1" customWidth="1"/>
    <col min="531" max="531" width="16.42578125" style="1216" bestFit="1" customWidth="1"/>
    <col min="532" max="532" width="17.5703125" style="1216" bestFit="1" customWidth="1"/>
    <col min="533" max="768" width="9.140625" style="1216"/>
    <col min="769" max="769" width="8.28515625" style="1216" bestFit="1" customWidth="1"/>
    <col min="770" max="770" width="45.7109375" style="1216" customWidth="1"/>
    <col min="771" max="771" width="14.7109375" style="1216" customWidth="1"/>
    <col min="772" max="772" width="16" style="1216" customWidth="1"/>
    <col min="773" max="773" width="14" style="1216" customWidth="1"/>
    <col min="774" max="774" width="13.7109375" style="1216" customWidth="1"/>
    <col min="775" max="775" width="15.42578125" style="1216" bestFit="1" customWidth="1"/>
    <col min="776" max="776" width="12.42578125" style="1216" customWidth="1"/>
    <col min="777" max="777" width="11" style="1216" customWidth="1"/>
    <col min="778" max="778" width="10.42578125" style="1216" customWidth="1"/>
    <col min="779" max="779" width="11" style="1216" customWidth="1"/>
    <col min="780" max="780" width="13.5703125" style="1216" customWidth="1"/>
    <col min="781" max="781" width="10.28515625" style="1216" customWidth="1"/>
    <col min="782" max="782" width="11.7109375" style="1216" customWidth="1"/>
    <col min="783" max="783" width="10.42578125" style="1216" customWidth="1"/>
    <col min="784" max="784" width="11.28515625" style="1216" customWidth="1"/>
    <col min="785" max="785" width="14" style="1216" customWidth="1"/>
    <col min="786" max="786" width="9.28515625" style="1216" bestFit="1" customWidth="1"/>
    <col min="787" max="787" width="16.42578125" style="1216" bestFit="1" customWidth="1"/>
    <col min="788" max="788" width="17.5703125" style="1216" bestFit="1" customWidth="1"/>
    <col min="789" max="1024" width="9.140625" style="1216"/>
    <col min="1025" max="1025" width="8.28515625" style="1216" bestFit="1" customWidth="1"/>
    <col min="1026" max="1026" width="45.7109375" style="1216" customWidth="1"/>
    <col min="1027" max="1027" width="14.7109375" style="1216" customWidth="1"/>
    <col min="1028" max="1028" width="16" style="1216" customWidth="1"/>
    <col min="1029" max="1029" width="14" style="1216" customWidth="1"/>
    <col min="1030" max="1030" width="13.7109375" style="1216" customWidth="1"/>
    <col min="1031" max="1031" width="15.42578125" style="1216" bestFit="1" customWidth="1"/>
    <col min="1032" max="1032" width="12.42578125" style="1216" customWidth="1"/>
    <col min="1033" max="1033" width="11" style="1216" customWidth="1"/>
    <col min="1034" max="1034" width="10.42578125" style="1216" customWidth="1"/>
    <col min="1035" max="1035" width="11" style="1216" customWidth="1"/>
    <col min="1036" max="1036" width="13.5703125" style="1216" customWidth="1"/>
    <col min="1037" max="1037" width="10.28515625" style="1216" customWidth="1"/>
    <col min="1038" max="1038" width="11.7109375" style="1216" customWidth="1"/>
    <col min="1039" max="1039" width="10.42578125" style="1216" customWidth="1"/>
    <col min="1040" max="1040" width="11.28515625" style="1216" customWidth="1"/>
    <col min="1041" max="1041" width="14" style="1216" customWidth="1"/>
    <col min="1042" max="1042" width="9.28515625" style="1216" bestFit="1" customWidth="1"/>
    <col min="1043" max="1043" width="16.42578125" style="1216" bestFit="1" customWidth="1"/>
    <col min="1044" max="1044" width="17.5703125" style="1216" bestFit="1" customWidth="1"/>
    <col min="1045" max="1280" width="9.140625" style="1216"/>
    <col min="1281" max="1281" width="8.28515625" style="1216" bestFit="1" customWidth="1"/>
    <col min="1282" max="1282" width="45.7109375" style="1216" customWidth="1"/>
    <col min="1283" max="1283" width="14.7109375" style="1216" customWidth="1"/>
    <col min="1284" max="1284" width="16" style="1216" customWidth="1"/>
    <col min="1285" max="1285" width="14" style="1216" customWidth="1"/>
    <col min="1286" max="1286" width="13.7109375" style="1216" customWidth="1"/>
    <col min="1287" max="1287" width="15.42578125" style="1216" bestFit="1" customWidth="1"/>
    <col min="1288" max="1288" width="12.42578125" style="1216" customWidth="1"/>
    <col min="1289" max="1289" width="11" style="1216" customWidth="1"/>
    <col min="1290" max="1290" width="10.42578125" style="1216" customWidth="1"/>
    <col min="1291" max="1291" width="11" style="1216" customWidth="1"/>
    <col min="1292" max="1292" width="13.5703125" style="1216" customWidth="1"/>
    <col min="1293" max="1293" width="10.28515625" style="1216" customWidth="1"/>
    <col min="1294" max="1294" width="11.7109375" style="1216" customWidth="1"/>
    <col min="1295" max="1295" width="10.42578125" style="1216" customWidth="1"/>
    <col min="1296" max="1296" width="11.28515625" style="1216" customWidth="1"/>
    <col min="1297" max="1297" width="14" style="1216" customWidth="1"/>
    <col min="1298" max="1298" width="9.28515625" style="1216" bestFit="1" customWidth="1"/>
    <col min="1299" max="1299" width="16.42578125" style="1216" bestFit="1" customWidth="1"/>
    <col min="1300" max="1300" width="17.5703125" style="1216" bestFit="1" customWidth="1"/>
    <col min="1301" max="1536" width="9.140625" style="1216"/>
    <col min="1537" max="1537" width="8.28515625" style="1216" bestFit="1" customWidth="1"/>
    <col min="1538" max="1538" width="45.7109375" style="1216" customWidth="1"/>
    <col min="1539" max="1539" width="14.7109375" style="1216" customWidth="1"/>
    <col min="1540" max="1540" width="16" style="1216" customWidth="1"/>
    <col min="1541" max="1541" width="14" style="1216" customWidth="1"/>
    <col min="1542" max="1542" width="13.7109375" style="1216" customWidth="1"/>
    <col min="1543" max="1543" width="15.42578125" style="1216" bestFit="1" customWidth="1"/>
    <col min="1544" max="1544" width="12.42578125" style="1216" customWidth="1"/>
    <col min="1545" max="1545" width="11" style="1216" customWidth="1"/>
    <col min="1546" max="1546" width="10.42578125" style="1216" customWidth="1"/>
    <col min="1547" max="1547" width="11" style="1216" customWidth="1"/>
    <col min="1548" max="1548" width="13.5703125" style="1216" customWidth="1"/>
    <col min="1549" max="1549" width="10.28515625" style="1216" customWidth="1"/>
    <col min="1550" max="1550" width="11.7109375" style="1216" customWidth="1"/>
    <col min="1551" max="1551" width="10.42578125" style="1216" customWidth="1"/>
    <col min="1552" max="1552" width="11.28515625" style="1216" customWidth="1"/>
    <col min="1553" max="1553" width="14" style="1216" customWidth="1"/>
    <col min="1554" max="1554" width="9.28515625" style="1216" bestFit="1" customWidth="1"/>
    <col min="1555" max="1555" width="16.42578125" style="1216" bestFit="1" customWidth="1"/>
    <col min="1556" max="1556" width="17.5703125" style="1216" bestFit="1" customWidth="1"/>
    <col min="1557" max="1792" width="9.140625" style="1216"/>
    <col min="1793" max="1793" width="8.28515625" style="1216" bestFit="1" customWidth="1"/>
    <col min="1794" max="1794" width="45.7109375" style="1216" customWidth="1"/>
    <col min="1795" max="1795" width="14.7109375" style="1216" customWidth="1"/>
    <col min="1796" max="1796" width="16" style="1216" customWidth="1"/>
    <col min="1797" max="1797" width="14" style="1216" customWidth="1"/>
    <col min="1798" max="1798" width="13.7109375" style="1216" customWidth="1"/>
    <col min="1799" max="1799" width="15.42578125" style="1216" bestFit="1" customWidth="1"/>
    <col min="1800" max="1800" width="12.42578125" style="1216" customWidth="1"/>
    <col min="1801" max="1801" width="11" style="1216" customWidth="1"/>
    <col min="1802" max="1802" width="10.42578125" style="1216" customWidth="1"/>
    <col min="1803" max="1803" width="11" style="1216" customWidth="1"/>
    <col min="1804" max="1804" width="13.5703125" style="1216" customWidth="1"/>
    <col min="1805" max="1805" width="10.28515625" style="1216" customWidth="1"/>
    <col min="1806" max="1806" width="11.7109375" style="1216" customWidth="1"/>
    <col min="1807" max="1807" width="10.42578125" style="1216" customWidth="1"/>
    <col min="1808" max="1808" width="11.28515625" style="1216" customWidth="1"/>
    <col min="1809" max="1809" width="14" style="1216" customWidth="1"/>
    <col min="1810" max="1810" width="9.28515625" style="1216" bestFit="1" customWidth="1"/>
    <col min="1811" max="1811" width="16.42578125" style="1216" bestFit="1" customWidth="1"/>
    <col min="1812" max="1812" width="17.5703125" style="1216" bestFit="1" customWidth="1"/>
    <col min="1813" max="2048" width="9.140625" style="1216"/>
    <col min="2049" max="2049" width="8.28515625" style="1216" bestFit="1" customWidth="1"/>
    <col min="2050" max="2050" width="45.7109375" style="1216" customWidth="1"/>
    <col min="2051" max="2051" width="14.7109375" style="1216" customWidth="1"/>
    <col min="2052" max="2052" width="16" style="1216" customWidth="1"/>
    <col min="2053" max="2053" width="14" style="1216" customWidth="1"/>
    <col min="2054" max="2054" width="13.7109375" style="1216" customWidth="1"/>
    <col min="2055" max="2055" width="15.42578125" style="1216" bestFit="1" customWidth="1"/>
    <col min="2056" max="2056" width="12.42578125" style="1216" customWidth="1"/>
    <col min="2057" max="2057" width="11" style="1216" customWidth="1"/>
    <col min="2058" max="2058" width="10.42578125" style="1216" customWidth="1"/>
    <col min="2059" max="2059" width="11" style="1216" customWidth="1"/>
    <col min="2060" max="2060" width="13.5703125" style="1216" customWidth="1"/>
    <col min="2061" max="2061" width="10.28515625" style="1216" customWidth="1"/>
    <col min="2062" max="2062" width="11.7109375" style="1216" customWidth="1"/>
    <col min="2063" max="2063" width="10.42578125" style="1216" customWidth="1"/>
    <col min="2064" max="2064" width="11.28515625" style="1216" customWidth="1"/>
    <col min="2065" max="2065" width="14" style="1216" customWidth="1"/>
    <col min="2066" max="2066" width="9.28515625" style="1216" bestFit="1" customWidth="1"/>
    <col min="2067" max="2067" width="16.42578125" style="1216" bestFit="1" customWidth="1"/>
    <col min="2068" max="2068" width="17.5703125" style="1216" bestFit="1" customWidth="1"/>
    <col min="2069" max="2304" width="9.140625" style="1216"/>
    <col min="2305" max="2305" width="8.28515625" style="1216" bestFit="1" customWidth="1"/>
    <col min="2306" max="2306" width="45.7109375" style="1216" customWidth="1"/>
    <col min="2307" max="2307" width="14.7109375" style="1216" customWidth="1"/>
    <col min="2308" max="2308" width="16" style="1216" customWidth="1"/>
    <col min="2309" max="2309" width="14" style="1216" customWidth="1"/>
    <col min="2310" max="2310" width="13.7109375" style="1216" customWidth="1"/>
    <col min="2311" max="2311" width="15.42578125" style="1216" bestFit="1" customWidth="1"/>
    <col min="2312" max="2312" width="12.42578125" style="1216" customWidth="1"/>
    <col min="2313" max="2313" width="11" style="1216" customWidth="1"/>
    <col min="2314" max="2314" width="10.42578125" style="1216" customWidth="1"/>
    <col min="2315" max="2315" width="11" style="1216" customWidth="1"/>
    <col min="2316" max="2316" width="13.5703125" style="1216" customWidth="1"/>
    <col min="2317" max="2317" width="10.28515625" style="1216" customWidth="1"/>
    <col min="2318" max="2318" width="11.7109375" style="1216" customWidth="1"/>
    <col min="2319" max="2319" width="10.42578125" style="1216" customWidth="1"/>
    <col min="2320" max="2320" width="11.28515625" style="1216" customWidth="1"/>
    <col min="2321" max="2321" width="14" style="1216" customWidth="1"/>
    <col min="2322" max="2322" width="9.28515625" style="1216" bestFit="1" customWidth="1"/>
    <col min="2323" max="2323" width="16.42578125" style="1216" bestFit="1" customWidth="1"/>
    <col min="2324" max="2324" width="17.5703125" style="1216" bestFit="1" customWidth="1"/>
    <col min="2325" max="2560" width="9.140625" style="1216"/>
    <col min="2561" max="2561" width="8.28515625" style="1216" bestFit="1" customWidth="1"/>
    <col min="2562" max="2562" width="45.7109375" style="1216" customWidth="1"/>
    <col min="2563" max="2563" width="14.7109375" style="1216" customWidth="1"/>
    <col min="2564" max="2564" width="16" style="1216" customWidth="1"/>
    <col min="2565" max="2565" width="14" style="1216" customWidth="1"/>
    <col min="2566" max="2566" width="13.7109375" style="1216" customWidth="1"/>
    <col min="2567" max="2567" width="15.42578125" style="1216" bestFit="1" customWidth="1"/>
    <col min="2568" max="2568" width="12.42578125" style="1216" customWidth="1"/>
    <col min="2569" max="2569" width="11" style="1216" customWidth="1"/>
    <col min="2570" max="2570" width="10.42578125" style="1216" customWidth="1"/>
    <col min="2571" max="2571" width="11" style="1216" customWidth="1"/>
    <col min="2572" max="2572" width="13.5703125" style="1216" customWidth="1"/>
    <col min="2573" max="2573" width="10.28515625" style="1216" customWidth="1"/>
    <col min="2574" max="2574" width="11.7109375" style="1216" customWidth="1"/>
    <col min="2575" max="2575" width="10.42578125" style="1216" customWidth="1"/>
    <col min="2576" max="2576" width="11.28515625" style="1216" customWidth="1"/>
    <col min="2577" max="2577" width="14" style="1216" customWidth="1"/>
    <col min="2578" max="2578" width="9.28515625" style="1216" bestFit="1" customWidth="1"/>
    <col min="2579" max="2579" width="16.42578125" style="1216" bestFit="1" customWidth="1"/>
    <col min="2580" max="2580" width="17.5703125" style="1216" bestFit="1" customWidth="1"/>
    <col min="2581" max="2816" width="9.140625" style="1216"/>
    <col min="2817" max="2817" width="8.28515625" style="1216" bestFit="1" customWidth="1"/>
    <col min="2818" max="2818" width="45.7109375" style="1216" customWidth="1"/>
    <col min="2819" max="2819" width="14.7109375" style="1216" customWidth="1"/>
    <col min="2820" max="2820" width="16" style="1216" customWidth="1"/>
    <col min="2821" max="2821" width="14" style="1216" customWidth="1"/>
    <col min="2822" max="2822" width="13.7109375" style="1216" customWidth="1"/>
    <col min="2823" max="2823" width="15.42578125" style="1216" bestFit="1" customWidth="1"/>
    <col min="2824" max="2824" width="12.42578125" style="1216" customWidth="1"/>
    <col min="2825" max="2825" width="11" style="1216" customWidth="1"/>
    <col min="2826" max="2826" width="10.42578125" style="1216" customWidth="1"/>
    <col min="2827" max="2827" width="11" style="1216" customWidth="1"/>
    <col min="2828" max="2828" width="13.5703125" style="1216" customWidth="1"/>
    <col min="2829" max="2829" width="10.28515625" style="1216" customWidth="1"/>
    <col min="2830" max="2830" width="11.7109375" style="1216" customWidth="1"/>
    <col min="2831" max="2831" width="10.42578125" style="1216" customWidth="1"/>
    <col min="2832" max="2832" width="11.28515625" style="1216" customWidth="1"/>
    <col min="2833" max="2833" width="14" style="1216" customWidth="1"/>
    <col min="2834" max="2834" width="9.28515625" style="1216" bestFit="1" customWidth="1"/>
    <col min="2835" max="2835" width="16.42578125" style="1216" bestFit="1" customWidth="1"/>
    <col min="2836" max="2836" width="17.5703125" style="1216" bestFit="1" customWidth="1"/>
    <col min="2837" max="3072" width="9.140625" style="1216"/>
    <col min="3073" max="3073" width="8.28515625" style="1216" bestFit="1" customWidth="1"/>
    <col min="3074" max="3074" width="45.7109375" style="1216" customWidth="1"/>
    <col min="3075" max="3075" width="14.7109375" style="1216" customWidth="1"/>
    <col min="3076" max="3076" width="16" style="1216" customWidth="1"/>
    <col min="3077" max="3077" width="14" style="1216" customWidth="1"/>
    <col min="3078" max="3078" width="13.7109375" style="1216" customWidth="1"/>
    <col min="3079" max="3079" width="15.42578125" style="1216" bestFit="1" customWidth="1"/>
    <col min="3080" max="3080" width="12.42578125" style="1216" customWidth="1"/>
    <col min="3081" max="3081" width="11" style="1216" customWidth="1"/>
    <col min="3082" max="3082" width="10.42578125" style="1216" customWidth="1"/>
    <col min="3083" max="3083" width="11" style="1216" customWidth="1"/>
    <col min="3084" max="3084" width="13.5703125" style="1216" customWidth="1"/>
    <col min="3085" max="3085" width="10.28515625" style="1216" customWidth="1"/>
    <col min="3086" max="3086" width="11.7109375" style="1216" customWidth="1"/>
    <col min="3087" max="3087" width="10.42578125" style="1216" customWidth="1"/>
    <col min="3088" max="3088" width="11.28515625" style="1216" customWidth="1"/>
    <col min="3089" max="3089" width="14" style="1216" customWidth="1"/>
    <col min="3090" max="3090" width="9.28515625" style="1216" bestFit="1" customWidth="1"/>
    <col min="3091" max="3091" width="16.42578125" style="1216" bestFit="1" customWidth="1"/>
    <col min="3092" max="3092" width="17.5703125" style="1216" bestFit="1" customWidth="1"/>
    <col min="3093" max="3328" width="9.140625" style="1216"/>
    <col min="3329" max="3329" width="8.28515625" style="1216" bestFit="1" customWidth="1"/>
    <col min="3330" max="3330" width="45.7109375" style="1216" customWidth="1"/>
    <col min="3331" max="3331" width="14.7109375" style="1216" customWidth="1"/>
    <col min="3332" max="3332" width="16" style="1216" customWidth="1"/>
    <col min="3333" max="3333" width="14" style="1216" customWidth="1"/>
    <col min="3334" max="3334" width="13.7109375" style="1216" customWidth="1"/>
    <col min="3335" max="3335" width="15.42578125" style="1216" bestFit="1" customWidth="1"/>
    <col min="3336" max="3336" width="12.42578125" style="1216" customWidth="1"/>
    <col min="3337" max="3337" width="11" style="1216" customWidth="1"/>
    <col min="3338" max="3338" width="10.42578125" style="1216" customWidth="1"/>
    <col min="3339" max="3339" width="11" style="1216" customWidth="1"/>
    <col min="3340" max="3340" width="13.5703125" style="1216" customWidth="1"/>
    <col min="3341" max="3341" width="10.28515625" style="1216" customWidth="1"/>
    <col min="3342" max="3342" width="11.7109375" style="1216" customWidth="1"/>
    <col min="3343" max="3343" width="10.42578125" style="1216" customWidth="1"/>
    <col min="3344" max="3344" width="11.28515625" style="1216" customWidth="1"/>
    <col min="3345" max="3345" width="14" style="1216" customWidth="1"/>
    <col min="3346" max="3346" width="9.28515625" style="1216" bestFit="1" customWidth="1"/>
    <col min="3347" max="3347" width="16.42578125" style="1216" bestFit="1" customWidth="1"/>
    <col min="3348" max="3348" width="17.5703125" style="1216" bestFit="1" customWidth="1"/>
    <col min="3349" max="3584" width="9.140625" style="1216"/>
    <col min="3585" max="3585" width="8.28515625" style="1216" bestFit="1" customWidth="1"/>
    <col min="3586" max="3586" width="45.7109375" style="1216" customWidth="1"/>
    <col min="3587" max="3587" width="14.7109375" style="1216" customWidth="1"/>
    <col min="3588" max="3588" width="16" style="1216" customWidth="1"/>
    <col min="3589" max="3589" width="14" style="1216" customWidth="1"/>
    <col min="3590" max="3590" width="13.7109375" style="1216" customWidth="1"/>
    <col min="3591" max="3591" width="15.42578125" style="1216" bestFit="1" customWidth="1"/>
    <col min="3592" max="3592" width="12.42578125" style="1216" customWidth="1"/>
    <col min="3593" max="3593" width="11" style="1216" customWidth="1"/>
    <col min="3594" max="3594" width="10.42578125" style="1216" customWidth="1"/>
    <col min="3595" max="3595" width="11" style="1216" customWidth="1"/>
    <col min="3596" max="3596" width="13.5703125" style="1216" customWidth="1"/>
    <col min="3597" max="3597" width="10.28515625" style="1216" customWidth="1"/>
    <col min="3598" max="3598" width="11.7109375" style="1216" customWidth="1"/>
    <col min="3599" max="3599" width="10.42578125" style="1216" customWidth="1"/>
    <col min="3600" max="3600" width="11.28515625" style="1216" customWidth="1"/>
    <col min="3601" max="3601" width="14" style="1216" customWidth="1"/>
    <col min="3602" max="3602" width="9.28515625" style="1216" bestFit="1" customWidth="1"/>
    <col min="3603" max="3603" width="16.42578125" style="1216" bestFit="1" customWidth="1"/>
    <col min="3604" max="3604" width="17.5703125" style="1216" bestFit="1" customWidth="1"/>
    <col min="3605" max="3840" width="9.140625" style="1216"/>
    <col min="3841" max="3841" width="8.28515625" style="1216" bestFit="1" customWidth="1"/>
    <col min="3842" max="3842" width="45.7109375" style="1216" customWidth="1"/>
    <col min="3843" max="3843" width="14.7109375" style="1216" customWidth="1"/>
    <col min="3844" max="3844" width="16" style="1216" customWidth="1"/>
    <col min="3845" max="3845" width="14" style="1216" customWidth="1"/>
    <col min="3846" max="3846" width="13.7109375" style="1216" customWidth="1"/>
    <col min="3847" max="3847" width="15.42578125" style="1216" bestFit="1" customWidth="1"/>
    <col min="3848" max="3848" width="12.42578125" style="1216" customWidth="1"/>
    <col min="3849" max="3849" width="11" style="1216" customWidth="1"/>
    <col min="3850" max="3850" width="10.42578125" style="1216" customWidth="1"/>
    <col min="3851" max="3851" width="11" style="1216" customWidth="1"/>
    <col min="3852" max="3852" width="13.5703125" style="1216" customWidth="1"/>
    <col min="3853" max="3853" width="10.28515625" style="1216" customWidth="1"/>
    <col min="3854" max="3854" width="11.7109375" style="1216" customWidth="1"/>
    <col min="3855" max="3855" width="10.42578125" style="1216" customWidth="1"/>
    <col min="3856" max="3856" width="11.28515625" style="1216" customWidth="1"/>
    <col min="3857" max="3857" width="14" style="1216" customWidth="1"/>
    <col min="3858" max="3858" width="9.28515625" style="1216" bestFit="1" customWidth="1"/>
    <col min="3859" max="3859" width="16.42578125" style="1216" bestFit="1" customWidth="1"/>
    <col min="3860" max="3860" width="17.5703125" style="1216" bestFit="1" customWidth="1"/>
    <col min="3861" max="4096" width="9.140625" style="1216"/>
    <col min="4097" max="4097" width="8.28515625" style="1216" bestFit="1" customWidth="1"/>
    <col min="4098" max="4098" width="45.7109375" style="1216" customWidth="1"/>
    <col min="4099" max="4099" width="14.7109375" style="1216" customWidth="1"/>
    <col min="4100" max="4100" width="16" style="1216" customWidth="1"/>
    <col min="4101" max="4101" width="14" style="1216" customWidth="1"/>
    <col min="4102" max="4102" width="13.7109375" style="1216" customWidth="1"/>
    <col min="4103" max="4103" width="15.42578125" style="1216" bestFit="1" customWidth="1"/>
    <col min="4104" max="4104" width="12.42578125" style="1216" customWidth="1"/>
    <col min="4105" max="4105" width="11" style="1216" customWidth="1"/>
    <col min="4106" max="4106" width="10.42578125" style="1216" customWidth="1"/>
    <col min="4107" max="4107" width="11" style="1216" customWidth="1"/>
    <col min="4108" max="4108" width="13.5703125" style="1216" customWidth="1"/>
    <col min="4109" max="4109" width="10.28515625" style="1216" customWidth="1"/>
    <col min="4110" max="4110" width="11.7109375" style="1216" customWidth="1"/>
    <col min="4111" max="4111" width="10.42578125" style="1216" customWidth="1"/>
    <col min="4112" max="4112" width="11.28515625" style="1216" customWidth="1"/>
    <col min="4113" max="4113" width="14" style="1216" customWidth="1"/>
    <col min="4114" max="4114" width="9.28515625" style="1216" bestFit="1" customWidth="1"/>
    <col min="4115" max="4115" width="16.42578125" style="1216" bestFit="1" customWidth="1"/>
    <col min="4116" max="4116" width="17.5703125" style="1216" bestFit="1" customWidth="1"/>
    <col min="4117" max="4352" width="9.140625" style="1216"/>
    <col min="4353" max="4353" width="8.28515625" style="1216" bestFit="1" customWidth="1"/>
    <col min="4354" max="4354" width="45.7109375" style="1216" customWidth="1"/>
    <col min="4355" max="4355" width="14.7109375" style="1216" customWidth="1"/>
    <col min="4356" max="4356" width="16" style="1216" customWidth="1"/>
    <col min="4357" max="4357" width="14" style="1216" customWidth="1"/>
    <col min="4358" max="4358" width="13.7109375" style="1216" customWidth="1"/>
    <col min="4359" max="4359" width="15.42578125" style="1216" bestFit="1" customWidth="1"/>
    <col min="4360" max="4360" width="12.42578125" style="1216" customWidth="1"/>
    <col min="4361" max="4361" width="11" style="1216" customWidth="1"/>
    <col min="4362" max="4362" width="10.42578125" style="1216" customWidth="1"/>
    <col min="4363" max="4363" width="11" style="1216" customWidth="1"/>
    <col min="4364" max="4364" width="13.5703125" style="1216" customWidth="1"/>
    <col min="4365" max="4365" width="10.28515625" style="1216" customWidth="1"/>
    <col min="4366" max="4366" width="11.7109375" style="1216" customWidth="1"/>
    <col min="4367" max="4367" width="10.42578125" style="1216" customWidth="1"/>
    <col min="4368" max="4368" width="11.28515625" style="1216" customWidth="1"/>
    <col min="4369" max="4369" width="14" style="1216" customWidth="1"/>
    <col min="4370" max="4370" width="9.28515625" style="1216" bestFit="1" customWidth="1"/>
    <col min="4371" max="4371" width="16.42578125" style="1216" bestFit="1" customWidth="1"/>
    <col min="4372" max="4372" width="17.5703125" style="1216" bestFit="1" customWidth="1"/>
    <col min="4373" max="4608" width="9.140625" style="1216"/>
    <col min="4609" max="4609" width="8.28515625" style="1216" bestFit="1" customWidth="1"/>
    <col min="4610" max="4610" width="45.7109375" style="1216" customWidth="1"/>
    <col min="4611" max="4611" width="14.7109375" style="1216" customWidth="1"/>
    <col min="4612" max="4612" width="16" style="1216" customWidth="1"/>
    <col min="4613" max="4613" width="14" style="1216" customWidth="1"/>
    <col min="4614" max="4614" width="13.7109375" style="1216" customWidth="1"/>
    <col min="4615" max="4615" width="15.42578125" style="1216" bestFit="1" customWidth="1"/>
    <col min="4616" max="4616" width="12.42578125" style="1216" customWidth="1"/>
    <col min="4617" max="4617" width="11" style="1216" customWidth="1"/>
    <col min="4618" max="4618" width="10.42578125" style="1216" customWidth="1"/>
    <col min="4619" max="4619" width="11" style="1216" customWidth="1"/>
    <col min="4620" max="4620" width="13.5703125" style="1216" customWidth="1"/>
    <col min="4621" max="4621" width="10.28515625" style="1216" customWidth="1"/>
    <col min="4622" max="4622" width="11.7109375" style="1216" customWidth="1"/>
    <col min="4623" max="4623" width="10.42578125" style="1216" customWidth="1"/>
    <col min="4624" max="4624" width="11.28515625" style="1216" customWidth="1"/>
    <col min="4625" max="4625" width="14" style="1216" customWidth="1"/>
    <col min="4626" max="4626" width="9.28515625" style="1216" bestFit="1" customWidth="1"/>
    <col min="4627" max="4627" width="16.42578125" style="1216" bestFit="1" customWidth="1"/>
    <col min="4628" max="4628" width="17.5703125" style="1216" bestFit="1" customWidth="1"/>
    <col min="4629" max="4864" width="9.140625" style="1216"/>
    <col min="4865" max="4865" width="8.28515625" style="1216" bestFit="1" customWidth="1"/>
    <col min="4866" max="4866" width="45.7109375" style="1216" customWidth="1"/>
    <col min="4867" max="4867" width="14.7109375" style="1216" customWidth="1"/>
    <col min="4868" max="4868" width="16" style="1216" customWidth="1"/>
    <col min="4869" max="4869" width="14" style="1216" customWidth="1"/>
    <col min="4870" max="4870" width="13.7109375" style="1216" customWidth="1"/>
    <col min="4871" max="4871" width="15.42578125" style="1216" bestFit="1" customWidth="1"/>
    <col min="4872" max="4872" width="12.42578125" style="1216" customWidth="1"/>
    <col min="4873" max="4873" width="11" style="1216" customWidth="1"/>
    <col min="4874" max="4874" width="10.42578125" style="1216" customWidth="1"/>
    <col min="4875" max="4875" width="11" style="1216" customWidth="1"/>
    <col min="4876" max="4876" width="13.5703125" style="1216" customWidth="1"/>
    <col min="4877" max="4877" width="10.28515625" style="1216" customWidth="1"/>
    <col min="4878" max="4878" width="11.7109375" style="1216" customWidth="1"/>
    <col min="4879" max="4879" width="10.42578125" style="1216" customWidth="1"/>
    <col min="4880" max="4880" width="11.28515625" style="1216" customWidth="1"/>
    <col min="4881" max="4881" width="14" style="1216" customWidth="1"/>
    <col min="4882" max="4882" width="9.28515625" style="1216" bestFit="1" customWidth="1"/>
    <col min="4883" max="4883" width="16.42578125" style="1216" bestFit="1" customWidth="1"/>
    <col min="4884" max="4884" width="17.5703125" style="1216" bestFit="1" customWidth="1"/>
    <col min="4885" max="5120" width="9.140625" style="1216"/>
    <col min="5121" max="5121" width="8.28515625" style="1216" bestFit="1" customWidth="1"/>
    <col min="5122" max="5122" width="45.7109375" style="1216" customWidth="1"/>
    <col min="5123" max="5123" width="14.7109375" style="1216" customWidth="1"/>
    <col min="5124" max="5124" width="16" style="1216" customWidth="1"/>
    <col min="5125" max="5125" width="14" style="1216" customWidth="1"/>
    <col min="5126" max="5126" width="13.7109375" style="1216" customWidth="1"/>
    <col min="5127" max="5127" width="15.42578125" style="1216" bestFit="1" customWidth="1"/>
    <col min="5128" max="5128" width="12.42578125" style="1216" customWidth="1"/>
    <col min="5129" max="5129" width="11" style="1216" customWidth="1"/>
    <col min="5130" max="5130" width="10.42578125" style="1216" customWidth="1"/>
    <col min="5131" max="5131" width="11" style="1216" customWidth="1"/>
    <col min="5132" max="5132" width="13.5703125" style="1216" customWidth="1"/>
    <col min="5133" max="5133" width="10.28515625" style="1216" customWidth="1"/>
    <col min="5134" max="5134" width="11.7109375" style="1216" customWidth="1"/>
    <col min="5135" max="5135" width="10.42578125" style="1216" customWidth="1"/>
    <col min="5136" max="5136" width="11.28515625" style="1216" customWidth="1"/>
    <col min="5137" max="5137" width="14" style="1216" customWidth="1"/>
    <col min="5138" max="5138" width="9.28515625" style="1216" bestFit="1" customWidth="1"/>
    <col min="5139" max="5139" width="16.42578125" style="1216" bestFit="1" customWidth="1"/>
    <col min="5140" max="5140" width="17.5703125" style="1216" bestFit="1" customWidth="1"/>
    <col min="5141" max="5376" width="9.140625" style="1216"/>
    <col min="5377" max="5377" width="8.28515625" style="1216" bestFit="1" customWidth="1"/>
    <col min="5378" max="5378" width="45.7109375" style="1216" customWidth="1"/>
    <col min="5379" max="5379" width="14.7109375" style="1216" customWidth="1"/>
    <col min="5380" max="5380" width="16" style="1216" customWidth="1"/>
    <col min="5381" max="5381" width="14" style="1216" customWidth="1"/>
    <col min="5382" max="5382" width="13.7109375" style="1216" customWidth="1"/>
    <col min="5383" max="5383" width="15.42578125" style="1216" bestFit="1" customWidth="1"/>
    <col min="5384" max="5384" width="12.42578125" style="1216" customWidth="1"/>
    <col min="5385" max="5385" width="11" style="1216" customWidth="1"/>
    <col min="5386" max="5386" width="10.42578125" style="1216" customWidth="1"/>
    <col min="5387" max="5387" width="11" style="1216" customWidth="1"/>
    <col min="5388" max="5388" width="13.5703125" style="1216" customWidth="1"/>
    <col min="5389" max="5389" width="10.28515625" style="1216" customWidth="1"/>
    <col min="5390" max="5390" width="11.7109375" style="1216" customWidth="1"/>
    <col min="5391" max="5391" width="10.42578125" style="1216" customWidth="1"/>
    <col min="5392" max="5392" width="11.28515625" style="1216" customWidth="1"/>
    <col min="5393" max="5393" width="14" style="1216" customWidth="1"/>
    <col min="5394" max="5394" width="9.28515625" style="1216" bestFit="1" customWidth="1"/>
    <col min="5395" max="5395" width="16.42578125" style="1216" bestFit="1" customWidth="1"/>
    <col min="5396" max="5396" width="17.5703125" style="1216" bestFit="1" customWidth="1"/>
    <col min="5397" max="5632" width="9.140625" style="1216"/>
    <col min="5633" max="5633" width="8.28515625" style="1216" bestFit="1" customWidth="1"/>
    <col min="5634" max="5634" width="45.7109375" style="1216" customWidth="1"/>
    <col min="5635" max="5635" width="14.7109375" style="1216" customWidth="1"/>
    <col min="5636" max="5636" width="16" style="1216" customWidth="1"/>
    <col min="5637" max="5637" width="14" style="1216" customWidth="1"/>
    <col min="5638" max="5638" width="13.7109375" style="1216" customWidth="1"/>
    <col min="5639" max="5639" width="15.42578125" style="1216" bestFit="1" customWidth="1"/>
    <col min="5640" max="5640" width="12.42578125" style="1216" customWidth="1"/>
    <col min="5641" max="5641" width="11" style="1216" customWidth="1"/>
    <col min="5642" max="5642" width="10.42578125" style="1216" customWidth="1"/>
    <col min="5643" max="5643" width="11" style="1216" customWidth="1"/>
    <col min="5644" max="5644" width="13.5703125" style="1216" customWidth="1"/>
    <col min="5645" max="5645" width="10.28515625" style="1216" customWidth="1"/>
    <col min="5646" max="5646" width="11.7109375" style="1216" customWidth="1"/>
    <col min="5647" max="5647" width="10.42578125" style="1216" customWidth="1"/>
    <col min="5648" max="5648" width="11.28515625" style="1216" customWidth="1"/>
    <col min="5649" max="5649" width="14" style="1216" customWidth="1"/>
    <col min="5650" max="5650" width="9.28515625" style="1216" bestFit="1" customWidth="1"/>
    <col min="5651" max="5651" width="16.42578125" style="1216" bestFit="1" customWidth="1"/>
    <col min="5652" max="5652" width="17.5703125" style="1216" bestFit="1" customWidth="1"/>
    <col min="5653" max="5888" width="9.140625" style="1216"/>
    <col min="5889" max="5889" width="8.28515625" style="1216" bestFit="1" customWidth="1"/>
    <col min="5890" max="5890" width="45.7109375" style="1216" customWidth="1"/>
    <col min="5891" max="5891" width="14.7109375" style="1216" customWidth="1"/>
    <col min="5892" max="5892" width="16" style="1216" customWidth="1"/>
    <col min="5893" max="5893" width="14" style="1216" customWidth="1"/>
    <col min="5894" max="5894" width="13.7109375" style="1216" customWidth="1"/>
    <col min="5895" max="5895" width="15.42578125" style="1216" bestFit="1" customWidth="1"/>
    <col min="5896" max="5896" width="12.42578125" style="1216" customWidth="1"/>
    <col min="5897" max="5897" width="11" style="1216" customWidth="1"/>
    <col min="5898" max="5898" width="10.42578125" style="1216" customWidth="1"/>
    <col min="5899" max="5899" width="11" style="1216" customWidth="1"/>
    <col min="5900" max="5900" width="13.5703125" style="1216" customWidth="1"/>
    <col min="5901" max="5901" width="10.28515625" style="1216" customWidth="1"/>
    <col min="5902" max="5902" width="11.7109375" style="1216" customWidth="1"/>
    <col min="5903" max="5903" width="10.42578125" style="1216" customWidth="1"/>
    <col min="5904" max="5904" width="11.28515625" style="1216" customWidth="1"/>
    <col min="5905" max="5905" width="14" style="1216" customWidth="1"/>
    <col min="5906" max="5906" width="9.28515625" style="1216" bestFit="1" customWidth="1"/>
    <col min="5907" max="5907" width="16.42578125" style="1216" bestFit="1" customWidth="1"/>
    <col min="5908" max="5908" width="17.5703125" style="1216" bestFit="1" customWidth="1"/>
    <col min="5909" max="6144" width="9.140625" style="1216"/>
    <col min="6145" max="6145" width="8.28515625" style="1216" bestFit="1" customWidth="1"/>
    <col min="6146" max="6146" width="45.7109375" style="1216" customWidth="1"/>
    <col min="6147" max="6147" width="14.7109375" style="1216" customWidth="1"/>
    <col min="6148" max="6148" width="16" style="1216" customWidth="1"/>
    <col min="6149" max="6149" width="14" style="1216" customWidth="1"/>
    <col min="6150" max="6150" width="13.7109375" style="1216" customWidth="1"/>
    <col min="6151" max="6151" width="15.42578125" style="1216" bestFit="1" customWidth="1"/>
    <col min="6152" max="6152" width="12.42578125" style="1216" customWidth="1"/>
    <col min="6153" max="6153" width="11" style="1216" customWidth="1"/>
    <col min="6154" max="6154" width="10.42578125" style="1216" customWidth="1"/>
    <col min="6155" max="6155" width="11" style="1216" customWidth="1"/>
    <col min="6156" max="6156" width="13.5703125" style="1216" customWidth="1"/>
    <col min="6157" max="6157" width="10.28515625" style="1216" customWidth="1"/>
    <col min="6158" max="6158" width="11.7109375" style="1216" customWidth="1"/>
    <col min="6159" max="6159" width="10.42578125" style="1216" customWidth="1"/>
    <col min="6160" max="6160" width="11.28515625" style="1216" customWidth="1"/>
    <col min="6161" max="6161" width="14" style="1216" customWidth="1"/>
    <col min="6162" max="6162" width="9.28515625" style="1216" bestFit="1" customWidth="1"/>
    <col min="6163" max="6163" width="16.42578125" style="1216" bestFit="1" customWidth="1"/>
    <col min="6164" max="6164" width="17.5703125" style="1216" bestFit="1" customWidth="1"/>
    <col min="6165" max="6400" width="9.140625" style="1216"/>
    <col min="6401" max="6401" width="8.28515625" style="1216" bestFit="1" customWidth="1"/>
    <col min="6402" max="6402" width="45.7109375" style="1216" customWidth="1"/>
    <col min="6403" max="6403" width="14.7109375" style="1216" customWidth="1"/>
    <col min="6404" max="6404" width="16" style="1216" customWidth="1"/>
    <col min="6405" max="6405" width="14" style="1216" customWidth="1"/>
    <col min="6406" max="6406" width="13.7109375" style="1216" customWidth="1"/>
    <col min="6407" max="6407" width="15.42578125" style="1216" bestFit="1" customWidth="1"/>
    <col min="6408" max="6408" width="12.42578125" style="1216" customWidth="1"/>
    <col min="6409" max="6409" width="11" style="1216" customWidth="1"/>
    <col min="6410" max="6410" width="10.42578125" style="1216" customWidth="1"/>
    <col min="6411" max="6411" width="11" style="1216" customWidth="1"/>
    <col min="6412" max="6412" width="13.5703125" style="1216" customWidth="1"/>
    <col min="6413" max="6413" width="10.28515625" style="1216" customWidth="1"/>
    <col min="6414" max="6414" width="11.7109375" style="1216" customWidth="1"/>
    <col min="6415" max="6415" width="10.42578125" style="1216" customWidth="1"/>
    <col min="6416" max="6416" width="11.28515625" style="1216" customWidth="1"/>
    <col min="6417" max="6417" width="14" style="1216" customWidth="1"/>
    <col min="6418" max="6418" width="9.28515625" style="1216" bestFit="1" customWidth="1"/>
    <col min="6419" max="6419" width="16.42578125" style="1216" bestFit="1" customWidth="1"/>
    <col min="6420" max="6420" width="17.5703125" style="1216" bestFit="1" customWidth="1"/>
    <col min="6421" max="6656" width="9.140625" style="1216"/>
    <col min="6657" max="6657" width="8.28515625" style="1216" bestFit="1" customWidth="1"/>
    <col min="6658" max="6658" width="45.7109375" style="1216" customWidth="1"/>
    <col min="6659" max="6659" width="14.7109375" style="1216" customWidth="1"/>
    <col min="6660" max="6660" width="16" style="1216" customWidth="1"/>
    <col min="6661" max="6661" width="14" style="1216" customWidth="1"/>
    <col min="6662" max="6662" width="13.7109375" style="1216" customWidth="1"/>
    <col min="6663" max="6663" width="15.42578125" style="1216" bestFit="1" customWidth="1"/>
    <col min="6664" max="6664" width="12.42578125" style="1216" customWidth="1"/>
    <col min="6665" max="6665" width="11" style="1216" customWidth="1"/>
    <col min="6666" max="6666" width="10.42578125" style="1216" customWidth="1"/>
    <col min="6667" max="6667" width="11" style="1216" customWidth="1"/>
    <col min="6668" max="6668" width="13.5703125" style="1216" customWidth="1"/>
    <col min="6669" max="6669" width="10.28515625" style="1216" customWidth="1"/>
    <col min="6670" max="6670" width="11.7109375" style="1216" customWidth="1"/>
    <col min="6671" max="6671" width="10.42578125" style="1216" customWidth="1"/>
    <col min="6672" max="6672" width="11.28515625" style="1216" customWidth="1"/>
    <col min="6673" max="6673" width="14" style="1216" customWidth="1"/>
    <col min="6674" max="6674" width="9.28515625" style="1216" bestFit="1" customWidth="1"/>
    <col min="6675" max="6675" width="16.42578125" style="1216" bestFit="1" customWidth="1"/>
    <col min="6676" max="6676" width="17.5703125" style="1216" bestFit="1" customWidth="1"/>
    <col min="6677" max="6912" width="9.140625" style="1216"/>
    <col min="6913" max="6913" width="8.28515625" style="1216" bestFit="1" customWidth="1"/>
    <col min="6914" max="6914" width="45.7109375" style="1216" customWidth="1"/>
    <col min="6915" max="6915" width="14.7109375" style="1216" customWidth="1"/>
    <col min="6916" max="6916" width="16" style="1216" customWidth="1"/>
    <col min="6917" max="6917" width="14" style="1216" customWidth="1"/>
    <col min="6918" max="6918" width="13.7109375" style="1216" customWidth="1"/>
    <col min="6919" max="6919" width="15.42578125" style="1216" bestFit="1" customWidth="1"/>
    <col min="6920" max="6920" width="12.42578125" style="1216" customWidth="1"/>
    <col min="6921" max="6921" width="11" style="1216" customWidth="1"/>
    <col min="6922" max="6922" width="10.42578125" style="1216" customWidth="1"/>
    <col min="6923" max="6923" width="11" style="1216" customWidth="1"/>
    <col min="6924" max="6924" width="13.5703125" style="1216" customWidth="1"/>
    <col min="6925" max="6925" width="10.28515625" style="1216" customWidth="1"/>
    <col min="6926" max="6926" width="11.7109375" style="1216" customWidth="1"/>
    <col min="6927" max="6927" width="10.42578125" style="1216" customWidth="1"/>
    <col min="6928" max="6928" width="11.28515625" style="1216" customWidth="1"/>
    <col min="6929" max="6929" width="14" style="1216" customWidth="1"/>
    <col min="6930" max="6930" width="9.28515625" style="1216" bestFit="1" customWidth="1"/>
    <col min="6931" max="6931" width="16.42578125" style="1216" bestFit="1" customWidth="1"/>
    <col min="6932" max="6932" width="17.5703125" style="1216" bestFit="1" customWidth="1"/>
    <col min="6933" max="7168" width="9.140625" style="1216"/>
    <col min="7169" max="7169" width="8.28515625" style="1216" bestFit="1" customWidth="1"/>
    <col min="7170" max="7170" width="45.7109375" style="1216" customWidth="1"/>
    <col min="7171" max="7171" width="14.7109375" style="1216" customWidth="1"/>
    <col min="7172" max="7172" width="16" style="1216" customWidth="1"/>
    <col min="7173" max="7173" width="14" style="1216" customWidth="1"/>
    <col min="7174" max="7174" width="13.7109375" style="1216" customWidth="1"/>
    <col min="7175" max="7175" width="15.42578125" style="1216" bestFit="1" customWidth="1"/>
    <col min="7176" max="7176" width="12.42578125" style="1216" customWidth="1"/>
    <col min="7177" max="7177" width="11" style="1216" customWidth="1"/>
    <col min="7178" max="7178" width="10.42578125" style="1216" customWidth="1"/>
    <col min="7179" max="7179" width="11" style="1216" customWidth="1"/>
    <col min="7180" max="7180" width="13.5703125" style="1216" customWidth="1"/>
    <col min="7181" max="7181" width="10.28515625" style="1216" customWidth="1"/>
    <col min="7182" max="7182" width="11.7109375" style="1216" customWidth="1"/>
    <col min="7183" max="7183" width="10.42578125" style="1216" customWidth="1"/>
    <col min="7184" max="7184" width="11.28515625" style="1216" customWidth="1"/>
    <col min="7185" max="7185" width="14" style="1216" customWidth="1"/>
    <col min="7186" max="7186" width="9.28515625" style="1216" bestFit="1" customWidth="1"/>
    <col min="7187" max="7187" width="16.42578125" style="1216" bestFit="1" customWidth="1"/>
    <col min="7188" max="7188" width="17.5703125" style="1216" bestFit="1" customWidth="1"/>
    <col min="7189" max="7424" width="9.140625" style="1216"/>
    <col min="7425" max="7425" width="8.28515625" style="1216" bestFit="1" customWidth="1"/>
    <col min="7426" max="7426" width="45.7109375" style="1216" customWidth="1"/>
    <col min="7427" max="7427" width="14.7109375" style="1216" customWidth="1"/>
    <col min="7428" max="7428" width="16" style="1216" customWidth="1"/>
    <col min="7429" max="7429" width="14" style="1216" customWidth="1"/>
    <col min="7430" max="7430" width="13.7109375" style="1216" customWidth="1"/>
    <col min="7431" max="7431" width="15.42578125" style="1216" bestFit="1" customWidth="1"/>
    <col min="7432" max="7432" width="12.42578125" style="1216" customWidth="1"/>
    <col min="7433" max="7433" width="11" style="1216" customWidth="1"/>
    <col min="7434" max="7434" width="10.42578125" style="1216" customWidth="1"/>
    <col min="7435" max="7435" width="11" style="1216" customWidth="1"/>
    <col min="7436" max="7436" width="13.5703125" style="1216" customWidth="1"/>
    <col min="7437" max="7437" width="10.28515625" style="1216" customWidth="1"/>
    <col min="7438" max="7438" width="11.7109375" style="1216" customWidth="1"/>
    <col min="7439" max="7439" width="10.42578125" style="1216" customWidth="1"/>
    <col min="7440" max="7440" width="11.28515625" style="1216" customWidth="1"/>
    <col min="7441" max="7441" width="14" style="1216" customWidth="1"/>
    <col min="7442" max="7442" width="9.28515625" style="1216" bestFit="1" customWidth="1"/>
    <col min="7443" max="7443" width="16.42578125" style="1216" bestFit="1" customWidth="1"/>
    <col min="7444" max="7444" width="17.5703125" style="1216" bestFit="1" customWidth="1"/>
    <col min="7445" max="7680" width="9.140625" style="1216"/>
    <col min="7681" max="7681" width="8.28515625" style="1216" bestFit="1" customWidth="1"/>
    <col min="7682" max="7682" width="45.7109375" style="1216" customWidth="1"/>
    <col min="7683" max="7683" width="14.7109375" style="1216" customWidth="1"/>
    <col min="7684" max="7684" width="16" style="1216" customWidth="1"/>
    <col min="7685" max="7685" width="14" style="1216" customWidth="1"/>
    <col min="7686" max="7686" width="13.7109375" style="1216" customWidth="1"/>
    <col min="7687" max="7687" width="15.42578125" style="1216" bestFit="1" customWidth="1"/>
    <col min="7688" max="7688" width="12.42578125" style="1216" customWidth="1"/>
    <col min="7689" max="7689" width="11" style="1216" customWidth="1"/>
    <col min="7690" max="7690" width="10.42578125" style="1216" customWidth="1"/>
    <col min="7691" max="7691" width="11" style="1216" customWidth="1"/>
    <col min="7692" max="7692" width="13.5703125" style="1216" customWidth="1"/>
    <col min="7693" max="7693" width="10.28515625" style="1216" customWidth="1"/>
    <col min="7694" max="7694" width="11.7109375" style="1216" customWidth="1"/>
    <col min="7695" max="7695" width="10.42578125" style="1216" customWidth="1"/>
    <col min="7696" max="7696" width="11.28515625" style="1216" customWidth="1"/>
    <col min="7697" max="7697" width="14" style="1216" customWidth="1"/>
    <col min="7698" max="7698" width="9.28515625" style="1216" bestFit="1" customWidth="1"/>
    <col min="7699" max="7699" width="16.42578125" style="1216" bestFit="1" customWidth="1"/>
    <col min="7700" max="7700" width="17.5703125" style="1216" bestFit="1" customWidth="1"/>
    <col min="7701" max="7936" width="9.140625" style="1216"/>
    <col min="7937" max="7937" width="8.28515625" style="1216" bestFit="1" customWidth="1"/>
    <col min="7938" max="7938" width="45.7109375" style="1216" customWidth="1"/>
    <col min="7939" max="7939" width="14.7109375" style="1216" customWidth="1"/>
    <col min="7940" max="7940" width="16" style="1216" customWidth="1"/>
    <col min="7941" max="7941" width="14" style="1216" customWidth="1"/>
    <col min="7942" max="7942" width="13.7109375" style="1216" customWidth="1"/>
    <col min="7943" max="7943" width="15.42578125" style="1216" bestFit="1" customWidth="1"/>
    <col min="7944" max="7944" width="12.42578125" style="1216" customWidth="1"/>
    <col min="7945" max="7945" width="11" style="1216" customWidth="1"/>
    <col min="7946" max="7946" width="10.42578125" style="1216" customWidth="1"/>
    <col min="7947" max="7947" width="11" style="1216" customWidth="1"/>
    <col min="7948" max="7948" width="13.5703125" style="1216" customWidth="1"/>
    <col min="7949" max="7949" width="10.28515625" style="1216" customWidth="1"/>
    <col min="7950" max="7950" width="11.7109375" style="1216" customWidth="1"/>
    <col min="7951" max="7951" width="10.42578125" style="1216" customWidth="1"/>
    <col min="7952" max="7952" width="11.28515625" style="1216" customWidth="1"/>
    <col min="7953" max="7953" width="14" style="1216" customWidth="1"/>
    <col min="7954" max="7954" width="9.28515625" style="1216" bestFit="1" customWidth="1"/>
    <col min="7955" max="7955" width="16.42578125" style="1216" bestFit="1" customWidth="1"/>
    <col min="7956" max="7956" width="17.5703125" style="1216" bestFit="1" customWidth="1"/>
    <col min="7957" max="8192" width="9.140625" style="1216"/>
    <col min="8193" max="8193" width="8.28515625" style="1216" bestFit="1" customWidth="1"/>
    <col min="8194" max="8194" width="45.7109375" style="1216" customWidth="1"/>
    <col min="8195" max="8195" width="14.7109375" style="1216" customWidth="1"/>
    <col min="8196" max="8196" width="16" style="1216" customWidth="1"/>
    <col min="8197" max="8197" width="14" style="1216" customWidth="1"/>
    <col min="8198" max="8198" width="13.7109375" style="1216" customWidth="1"/>
    <col min="8199" max="8199" width="15.42578125" style="1216" bestFit="1" customWidth="1"/>
    <col min="8200" max="8200" width="12.42578125" style="1216" customWidth="1"/>
    <col min="8201" max="8201" width="11" style="1216" customWidth="1"/>
    <col min="8202" max="8202" width="10.42578125" style="1216" customWidth="1"/>
    <col min="8203" max="8203" width="11" style="1216" customWidth="1"/>
    <col min="8204" max="8204" width="13.5703125" style="1216" customWidth="1"/>
    <col min="8205" max="8205" width="10.28515625" style="1216" customWidth="1"/>
    <col min="8206" max="8206" width="11.7109375" style="1216" customWidth="1"/>
    <col min="8207" max="8207" width="10.42578125" style="1216" customWidth="1"/>
    <col min="8208" max="8208" width="11.28515625" style="1216" customWidth="1"/>
    <col min="8209" max="8209" width="14" style="1216" customWidth="1"/>
    <col min="8210" max="8210" width="9.28515625" style="1216" bestFit="1" customWidth="1"/>
    <col min="8211" max="8211" width="16.42578125" style="1216" bestFit="1" customWidth="1"/>
    <col min="8212" max="8212" width="17.5703125" style="1216" bestFit="1" customWidth="1"/>
    <col min="8213" max="8448" width="9.140625" style="1216"/>
    <col min="8449" max="8449" width="8.28515625" style="1216" bestFit="1" customWidth="1"/>
    <col min="8450" max="8450" width="45.7109375" style="1216" customWidth="1"/>
    <col min="8451" max="8451" width="14.7109375" style="1216" customWidth="1"/>
    <col min="8452" max="8452" width="16" style="1216" customWidth="1"/>
    <col min="8453" max="8453" width="14" style="1216" customWidth="1"/>
    <col min="8454" max="8454" width="13.7109375" style="1216" customWidth="1"/>
    <col min="8455" max="8455" width="15.42578125" style="1216" bestFit="1" customWidth="1"/>
    <col min="8456" max="8456" width="12.42578125" style="1216" customWidth="1"/>
    <col min="8457" max="8457" width="11" style="1216" customWidth="1"/>
    <col min="8458" max="8458" width="10.42578125" style="1216" customWidth="1"/>
    <col min="8459" max="8459" width="11" style="1216" customWidth="1"/>
    <col min="8460" max="8460" width="13.5703125" style="1216" customWidth="1"/>
    <col min="8461" max="8461" width="10.28515625" style="1216" customWidth="1"/>
    <col min="8462" max="8462" width="11.7109375" style="1216" customWidth="1"/>
    <col min="8463" max="8463" width="10.42578125" style="1216" customWidth="1"/>
    <col min="8464" max="8464" width="11.28515625" style="1216" customWidth="1"/>
    <col min="8465" max="8465" width="14" style="1216" customWidth="1"/>
    <col min="8466" max="8466" width="9.28515625" style="1216" bestFit="1" customWidth="1"/>
    <col min="8467" max="8467" width="16.42578125" style="1216" bestFit="1" customWidth="1"/>
    <col min="8468" max="8468" width="17.5703125" style="1216" bestFit="1" customWidth="1"/>
    <col min="8469" max="8704" width="9.140625" style="1216"/>
    <col min="8705" max="8705" width="8.28515625" style="1216" bestFit="1" customWidth="1"/>
    <col min="8706" max="8706" width="45.7109375" style="1216" customWidth="1"/>
    <col min="8707" max="8707" width="14.7109375" style="1216" customWidth="1"/>
    <col min="8708" max="8708" width="16" style="1216" customWidth="1"/>
    <col min="8709" max="8709" width="14" style="1216" customWidth="1"/>
    <col min="8710" max="8710" width="13.7109375" style="1216" customWidth="1"/>
    <col min="8711" max="8711" width="15.42578125" style="1216" bestFit="1" customWidth="1"/>
    <col min="8712" max="8712" width="12.42578125" style="1216" customWidth="1"/>
    <col min="8713" max="8713" width="11" style="1216" customWidth="1"/>
    <col min="8714" max="8714" width="10.42578125" style="1216" customWidth="1"/>
    <col min="8715" max="8715" width="11" style="1216" customWidth="1"/>
    <col min="8716" max="8716" width="13.5703125" style="1216" customWidth="1"/>
    <col min="8717" max="8717" width="10.28515625" style="1216" customWidth="1"/>
    <col min="8718" max="8718" width="11.7109375" style="1216" customWidth="1"/>
    <col min="8719" max="8719" width="10.42578125" style="1216" customWidth="1"/>
    <col min="8720" max="8720" width="11.28515625" style="1216" customWidth="1"/>
    <col min="8721" max="8721" width="14" style="1216" customWidth="1"/>
    <col min="8722" max="8722" width="9.28515625" style="1216" bestFit="1" customWidth="1"/>
    <col min="8723" max="8723" width="16.42578125" style="1216" bestFit="1" customWidth="1"/>
    <col min="8724" max="8724" width="17.5703125" style="1216" bestFit="1" customWidth="1"/>
    <col min="8725" max="8960" width="9.140625" style="1216"/>
    <col min="8961" max="8961" width="8.28515625" style="1216" bestFit="1" customWidth="1"/>
    <col min="8962" max="8962" width="45.7109375" style="1216" customWidth="1"/>
    <col min="8963" max="8963" width="14.7109375" style="1216" customWidth="1"/>
    <col min="8964" max="8964" width="16" style="1216" customWidth="1"/>
    <col min="8965" max="8965" width="14" style="1216" customWidth="1"/>
    <col min="8966" max="8966" width="13.7109375" style="1216" customWidth="1"/>
    <col min="8967" max="8967" width="15.42578125" style="1216" bestFit="1" customWidth="1"/>
    <col min="8968" max="8968" width="12.42578125" style="1216" customWidth="1"/>
    <col min="8969" max="8969" width="11" style="1216" customWidth="1"/>
    <col min="8970" max="8970" width="10.42578125" style="1216" customWidth="1"/>
    <col min="8971" max="8971" width="11" style="1216" customWidth="1"/>
    <col min="8972" max="8972" width="13.5703125" style="1216" customWidth="1"/>
    <col min="8973" max="8973" width="10.28515625" style="1216" customWidth="1"/>
    <col min="8974" max="8974" width="11.7109375" style="1216" customWidth="1"/>
    <col min="8975" max="8975" width="10.42578125" style="1216" customWidth="1"/>
    <col min="8976" max="8976" width="11.28515625" style="1216" customWidth="1"/>
    <col min="8977" max="8977" width="14" style="1216" customWidth="1"/>
    <col min="8978" max="8978" width="9.28515625" style="1216" bestFit="1" customWidth="1"/>
    <col min="8979" max="8979" width="16.42578125" style="1216" bestFit="1" customWidth="1"/>
    <col min="8980" max="8980" width="17.5703125" style="1216" bestFit="1" customWidth="1"/>
    <col min="8981" max="9216" width="9.140625" style="1216"/>
    <col min="9217" max="9217" width="8.28515625" style="1216" bestFit="1" customWidth="1"/>
    <col min="9218" max="9218" width="45.7109375" style="1216" customWidth="1"/>
    <col min="9219" max="9219" width="14.7109375" style="1216" customWidth="1"/>
    <col min="9220" max="9220" width="16" style="1216" customWidth="1"/>
    <col min="9221" max="9221" width="14" style="1216" customWidth="1"/>
    <col min="9222" max="9222" width="13.7109375" style="1216" customWidth="1"/>
    <col min="9223" max="9223" width="15.42578125" style="1216" bestFit="1" customWidth="1"/>
    <col min="9224" max="9224" width="12.42578125" style="1216" customWidth="1"/>
    <col min="9225" max="9225" width="11" style="1216" customWidth="1"/>
    <col min="9226" max="9226" width="10.42578125" style="1216" customWidth="1"/>
    <col min="9227" max="9227" width="11" style="1216" customWidth="1"/>
    <col min="9228" max="9228" width="13.5703125" style="1216" customWidth="1"/>
    <col min="9229" max="9229" width="10.28515625" style="1216" customWidth="1"/>
    <col min="9230" max="9230" width="11.7109375" style="1216" customWidth="1"/>
    <col min="9231" max="9231" width="10.42578125" style="1216" customWidth="1"/>
    <col min="9232" max="9232" width="11.28515625" style="1216" customWidth="1"/>
    <col min="9233" max="9233" width="14" style="1216" customWidth="1"/>
    <col min="9234" max="9234" width="9.28515625" style="1216" bestFit="1" customWidth="1"/>
    <col min="9235" max="9235" width="16.42578125" style="1216" bestFit="1" customWidth="1"/>
    <col min="9236" max="9236" width="17.5703125" style="1216" bestFit="1" customWidth="1"/>
    <col min="9237" max="9472" width="9.140625" style="1216"/>
    <col min="9473" max="9473" width="8.28515625" style="1216" bestFit="1" customWidth="1"/>
    <col min="9474" max="9474" width="45.7109375" style="1216" customWidth="1"/>
    <col min="9475" max="9475" width="14.7109375" style="1216" customWidth="1"/>
    <col min="9476" max="9476" width="16" style="1216" customWidth="1"/>
    <col min="9477" max="9477" width="14" style="1216" customWidth="1"/>
    <col min="9478" max="9478" width="13.7109375" style="1216" customWidth="1"/>
    <col min="9479" max="9479" width="15.42578125" style="1216" bestFit="1" customWidth="1"/>
    <col min="9480" max="9480" width="12.42578125" style="1216" customWidth="1"/>
    <col min="9481" max="9481" width="11" style="1216" customWidth="1"/>
    <col min="9482" max="9482" width="10.42578125" style="1216" customWidth="1"/>
    <col min="9483" max="9483" width="11" style="1216" customWidth="1"/>
    <col min="9484" max="9484" width="13.5703125" style="1216" customWidth="1"/>
    <col min="9485" max="9485" width="10.28515625" style="1216" customWidth="1"/>
    <col min="9486" max="9486" width="11.7109375" style="1216" customWidth="1"/>
    <col min="9487" max="9487" width="10.42578125" style="1216" customWidth="1"/>
    <col min="9488" max="9488" width="11.28515625" style="1216" customWidth="1"/>
    <col min="9489" max="9489" width="14" style="1216" customWidth="1"/>
    <col min="9490" max="9490" width="9.28515625" style="1216" bestFit="1" customWidth="1"/>
    <col min="9491" max="9491" width="16.42578125" style="1216" bestFit="1" customWidth="1"/>
    <col min="9492" max="9492" width="17.5703125" style="1216" bestFit="1" customWidth="1"/>
    <col min="9493" max="9728" width="9.140625" style="1216"/>
    <col min="9729" max="9729" width="8.28515625" style="1216" bestFit="1" customWidth="1"/>
    <col min="9730" max="9730" width="45.7109375" style="1216" customWidth="1"/>
    <col min="9731" max="9731" width="14.7109375" style="1216" customWidth="1"/>
    <col min="9732" max="9732" width="16" style="1216" customWidth="1"/>
    <col min="9733" max="9733" width="14" style="1216" customWidth="1"/>
    <col min="9734" max="9734" width="13.7109375" style="1216" customWidth="1"/>
    <col min="9735" max="9735" width="15.42578125" style="1216" bestFit="1" customWidth="1"/>
    <col min="9736" max="9736" width="12.42578125" style="1216" customWidth="1"/>
    <col min="9737" max="9737" width="11" style="1216" customWidth="1"/>
    <col min="9738" max="9738" width="10.42578125" style="1216" customWidth="1"/>
    <col min="9739" max="9739" width="11" style="1216" customWidth="1"/>
    <col min="9740" max="9740" width="13.5703125" style="1216" customWidth="1"/>
    <col min="9741" max="9741" width="10.28515625" style="1216" customWidth="1"/>
    <col min="9742" max="9742" width="11.7109375" style="1216" customWidth="1"/>
    <col min="9743" max="9743" width="10.42578125" style="1216" customWidth="1"/>
    <col min="9744" max="9744" width="11.28515625" style="1216" customWidth="1"/>
    <col min="9745" max="9745" width="14" style="1216" customWidth="1"/>
    <col min="9746" max="9746" width="9.28515625" style="1216" bestFit="1" customWidth="1"/>
    <col min="9747" max="9747" width="16.42578125" style="1216" bestFit="1" customWidth="1"/>
    <col min="9748" max="9748" width="17.5703125" style="1216" bestFit="1" customWidth="1"/>
    <col min="9749" max="9984" width="9.140625" style="1216"/>
    <col min="9985" max="9985" width="8.28515625" style="1216" bestFit="1" customWidth="1"/>
    <col min="9986" max="9986" width="45.7109375" style="1216" customWidth="1"/>
    <col min="9987" max="9987" width="14.7109375" style="1216" customWidth="1"/>
    <col min="9988" max="9988" width="16" style="1216" customWidth="1"/>
    <col min="9989" max="9989" width="14" style="1216" customWidth="1"/>
    <col min="9990" max="9990" width="13.7109375" style="1216" customWidth="1"/>
    <col min="9991" max="9991" width="15.42578125" style="1216" bestFit="1" customWidth="1"/>
    <col min="9992" max="9992" width="12.42578125" style="1216" customWidth="1"/>
    <col min="9993" max="9993" width="11" style="1216" customWidth="1"/>
    <col min="9994" max="9994" width="10.42578125" style="1216" customWidth="1"/>
    <col min="9995" max="9995" width="11" style="1216" customWidth="1"/>
    <col min="9996" max="9996" width="13.5703125" style="1216" customWidth="1"/>
    <col min="9997" max="9997" width="10.28515625" style="1216" customWidth="1"/>
    <col min="9998" max="9998" width="11.7109375" style="1216" customWidth="1"/>
    <col min="9999" max="9999" width="10.42578125" style="1216" customWidth="1"/>
    <col min="10000" max="10000" width="11.28515625" style="1216" customWidth="1"/>
    <col min="10001" max="10001" width="14" style="1216" customWidth="1"/>
    <col min="10002" max="10002" width="9.28515625" style="1216" bestFit="1" customWidth="1"/>
    <col min="10003" max="10003" width="16.42578125" style="1216" bestFit="1" customWidth="1"/>
    <col min="10004" max="10004" width="17.5703125" style="1216" bestFit="1" customWidth="1"/>
    <col min="10005" max="10240" width="9.140625" style="1216"/>
    <col min="10241" max="10241" width="8.28515625" style="1216" bestFit="1" customWidth="1"/>
    <col min="10242" max="10242" width="45.7109375" style="1216" customWidth="1"/>
    <col min="10243" max="10243" width="14.7109375" style="1216" customWidth="1"/>
    <col min="10244" max="10244" width="16" style="1216" customWidth="1"/>
    <col min="10245" max="10245" width="14" style="1216" customWidth="1"/>
    <col min="10246" max="10246" width="13.7109375" style="1216" customWidth="1"/>
    <col min="10247" max="10247" width="15.42578125" style="1216" bestFit="1" customWidth="1"/>
    <col min="10248" max="10248" width="12.42578125" style="1216" customWidth="1"/>
    <col min="10249" max="10249" width="11" style="1216" customWidth="1"/>
    <col min="10250" max="10250" width="10.42578125" style="1216" customWidth="1"/>
    <col min="10251" max="10251" width="11" style="1216" customWidth="1"/>
    <col min="10252" max="10252" width="13.5703125" style="1216" customWidth="1"/>
    <col min="10253" max="10253" width="10.28515625" style="1216" customWidth="1"/>
    <col min="10254" max="10254" width="11.7109375" style="1216" customWidth="1"/>
    <col min="10255" max="10255" width="10.42578125" style="1216" customWidth="1"/>
    <col min="10256" max="10256" width="11.28515625" style="1216" customWidth="1"/>
    <col min="10257" max="10257" width="14" style="1216" customWidth="1"/>
    <col min="10258" max="10258" width="9.28515625" style="1216" bestFit="1" customWidth="1"/>
    <col min="10259" max="10259" width="16.42578125" style="1216" bestFit="1" customWidth="1"/>
    <col min="10260" max="10260" width="17.5703125" style="1216" bestFit="1" customWidth="1"/>
    <col min="10261" max="10496" width="9.140625" style="1216"/>
    <col min="10497" max="10497" width="8.28515625" style="1216" bestFit="1" customWidth="1"/>
    <col min="10498" max="10498" width="45.7109375" style="1216" customWidth="1"/>
    <col min="10499" max="10499" width="14.7109375" style="1216" customWidth="1"/>
    <col min="10500" max="10500" width="16" style="1216" customWidth="1"/>
    <col min="10501" max="10501" width="14" style="1216" customWidth="1"/>
    <col min="10502" max="10502" width="13.7109375" style="1216" customWidth="1"/>
    <col min="10503" max="10503" width="15.42578125" style="1216" bestFit="1" customWidth="1"/>
    <col min="10504" max="10504" width="12.42578125" style="1216" customWidth="1"/>
    <col min="10505" max="10505" width="11" style="1216" customWidth="1"/>
    <col min="10506" max="10506" width="10.42578125" style="1216" customWidth="1"/>
    <col min="10507" max="10507" width="11" style="1216" customWidth="1"/>
    <col min="10508" max="10508" width="13.5703125" style="1216" customWidth="1"/>
    <col min="10509" max="10509" width="10.28515625" style="1216" customWidth="1"/>
    <col min="10510" max="10510" width="11.7109375" style="1216" customWidth="1"/>
    <col min="10511" max="10511" width="10.42578125" style="1216" customWidth="1"/>
    <col min="10512" max="10512" width="11.28515625" style="1216" customWidth="1"/>
    <col min="10513" max="10513" width="14" style="1216" customWidth="1"/>
    <col min="10514" max="10514" width="9.28515625" style="1216" bestFit="1" customWidth="1"/>
    <col min="10515" max="10515" width="16.42578125" style="1216" bestFit="1" customWidth="1"/>
    <col min="10516" max="10516" width="17.5703125" style="1216" bestFit="1" customWidth="1"/>
    <col min="10517" max="10752" width="9.140625" style="1216"/>
    <col min="10753" max="10753" width="8.28515625" style="1216" bestFit="1" customWidth="1"/>
    <col min="10754" max="10754" width="45.7109375" style="1216" customWidth="1"/>
    <col min="10755" max="10755" width="14.7109375" style="1216" customWidth="1"/>
    <col min="10756" max="10756" width="16" style="1216" customWidth="1"/>
    <col min="10757" max="10757" width="14" style="1216" customWidth="1"/>
    <col min="10758" max="10758" width="13.7109375" style="1216" customWidth="1"/>
    <col min="10759" max="10759" width="15.42578125" style="1216" bestFit="1" customWidth="1"/>
    <col min="10760" max="10760" width="12.42578125" style="1216" customWidth="1"/>
    <col min="10761" max="10761" width="11" style="1216" customWidth="1"/>
    <col min="10762" max="10762" width="10.42578125" style="1216" customWidth="1"/>
    <col min="10763" max="10763" width="11" style="1216" customWidth="1"/>
    <col min="10764" max="10764" width="13.5703125" style="1216" customWidth="1"/>
    <col min="10765" max="10765" width="10.28515625" style="1216" customWidth="1"/>
    <col min="10766" max="10766" width="11.7109375" style="1216" customWidth="1"/>
    <col min="10767" max="10767" width="10.42578125" style="1216" customWidth="1"/>
    <col min="10768" max="10768" width="11.28515625" style="1216" customWidth="1"/>
    <col min="10769" max="10769" width="14" style="1216" customWidth="1"/>
    <col min="10770" max="10770" width="9.28515625" style="1216" bestFit="1" customWidth="1"/>
    <col min="10771" max="10771" width="16.42578125" style="1216" bestFit="1" customWidth="1"/>
    <col min="10772" max="10772" width="17.5703125" style="1216" bestFit="1" customWidth="1"/>
    <col min="10773" max="11008" width="9.140625" style="1216"/>
    <col min="11009" max="11009" width="8.28515625" style="1216" bestFit="1" customWidth="1"/>
    <col min="11010" max="11010" width="45.7109375" style="1216" customWidth="1"/>
    <col min="11011" max="11011" width="14.7109375" style="1216" customWidth="1"/>
    <col min="11012" max="11012" width="16" style="1216" customWidth="1"/>
    <col min="11013" max="11013" width="14" style="1216" customWidth="1"/>
    <col min="11014" max="11014" width="13.7109375" style="1216" customWidth="1"/>
    <col min="11015" max="11015" width="15.42578125" style="1216" bestFit="1" customWidth="1"/>
    <col min="11016" max="11016" width="12.42578125" style="1216" customWidth="1"/>
    <col min="11017" max="11017" width="11" style="1216" customWidth="1"/>
    <col min="11018" max="11018" width="10.42578125" style="1216" customWidth="1"/>
    <col min="11019" max="11019" width="11" style="1216" customWidth="1"/>
    <col min="11020" max="11020" width="13.5703125" style="1216" customWidth="1"/>
    <col min="11021" max="11021" width="10.28515625" style="1216" customWidth="1"/>
    <col min="11022" max="11022" width="11.7109375" style="1216" customWidth="1"/>
    <col min="11023" max="11023" width="10.42578125" style="1216" customWidth="1"/>
    <col min="11024" max="11024" width="11.28515625" style="1216" customWidth="1"/>
    <col min="11025" max="11025" width="14" style="1216" customWidth="1"/>
    <col min="11026" max="11026" width="9.28515625" style="1216" bestFit="1" customWidth="1"/>
    <col min="11027" max="11027" width="16.42578125" style="1216" bestFit="1" customWidth="1"/>
    <col min="11028" max="11028" width="17.5703125" style="1216" bestFit="1" customWidth="1"/>
    <col min="11029" max="11264" width="9.140625" style="1216"/>
    <col min="11265" max="11265" width="8.28515625" style="1216" bestFit="1" customWidth="1"/>
    <col min="11266" max="11266" width="45.7109375" style="1216" customWidth="1"/>
    <col min="11267" max="11267" width="14.7109375" style="1216" customWidth="1"/>
    <col min="11268" max="11268" width="16" style="1216" customWidth="1"/>
    <col min="11269" max="11269" width="14" style="1216" customWidth="1"/>
    <col min="11270" max="11270" width="13.7109375" style="1216" customWidth="1"/>
    <col min="11271" max="11271" width="15.42578125" style="1216" bestFit="1" customWidth="1"/>
    <col min="11272" max="11272" width="12.42578125" style="1216" customWidth="1"/>
    <col min="11273" max="11273" width="11" style="1216" customWidth="1"/>
    <col min="11274" max="11274" width="10.42578125" style="1216" customWidth="1"/>
    <col min="11275" max="11275" width="11" style="1216" customWidth="1"/>
    <col min="11276" max="11276" width="13.5703125" style="1216" customWidth="1"/>
    <col min="11277" max="11277" width="10.28515625" style="1216" customWidth="1"/>
    <col min="11278" max="11278" width="11.7109375" style="1216" customWidth="1"/>
    <col min="11279" max="11279" width="10.42578125" style="1216" customWidth="1"/>
    <col min="11280" max="11280" width="11.28515625" style="1216" customWidth="1"/>
    <col min="11281" max="11281" width="14" style="1216" customWidth="1"/>
    <col min="11282" max="11282" width="9.28515625" style="1216" bestFit="1" customWidth="1"/>
    <col min="11283" max="11283" width="16.42578125" style="1216" bestFit="1" customWidth="1"/>
    <col min="11284" max="11284" width="17.5703125" style="1216" bestFit="1" customWidth="1"/>
    <col min="11285" max="11520" width="9.140625" style="1216"/>
    <col min="11521" max="11521" width="8.28515625" style="1216" bestFit="1" customWidth="1"/>
    <col min="11522" max="11522" width="45.7109375" style="1216" customWidth="1"/>
    <col min="11523" max="11523" width="14.7109375" style="1216" customWidth="1"/>
    <col min="11524" max="11524" width="16" style="1216" customWidth="1"/>
    <col min="11525" max="11525" width="14" style="1216" customWidth="1"/>
    <col min="11526" max="11526" width="13.7109375" style="1216" customWidth="1"/>
    <col min="11527" max="11527" width="15.42578125" style="1216" bestFit="1" customWidth="1"/>
    <col min="11528" max="11528" width="12.42578125" style="1216" customWidth="1"/>
    <col min="11529" max="11529" width="11" style="1216" customWidth="1"/>
    <col min="11530" max="11530" width="10.42578125" style="1216" customWidth="1"/>
    <col min="11531" max="11531" width="11" style="1216" customWidth="1"/>
    <col min="11532" max="11532" width="13.5703125" style="1216" customWidth="1"/>
    <col min="11533" max="11533" width="10.28515625" style="1216" customWidth="1"/>
    <col min="11534" max="11534" width="11.7109375" style="1216" customWidth="1"/>
    <col min="11535" max="11535" width="10.42578125" style="1216" customWidth="1"/>
    <col min="11536" max="11536" width="11.28515625" style="1216" customWidth="1"/>
    <col min="11537" max="11537" width="14" style="1216" customWidth="1"/>
    <col min="11538" max="11538" width="9.28515625" style="1216" bestFit="1" customWidth="1"/>
    <col min="11539" max="11539" width="16.42578125" style="1216" bestFit="1" customWidth="1"/>
    <col min="11540" max="11540" width="17.5703125" style="1216" bestFit="1" customWidth="1"/>
    <col min="11541" max="11776" width="9.140625" style="1216"/>
    <col min="11777" max="11777" width="8.28515625" style="1216" bestFit="1" customWidth="1"/>
    <col min="11778" max="11778" width="45.7109375" style="1216" customWidth="1"/>
    <col min="11779" max="11779" width="14.7109375" style="1216" customWidth="1"/>
    <col min="11780" max="11780" width="16" style="1216" customWidth="1"/>
    <col min="11781" max="11781" width="14" style="1216" customWidth="1"/>
    <col min="11782" max="11782" width="13.7109375" style="1216" customWidth="1"/>
    <col min="11783" max="11783" width="15.42578125" style="1216" bestFit="1" customWidth="1"/>
    <col min="11784" max="11784" width="12.42578125" style="1216" customWidth="1"/>
    <col min="11785" max="11785" width="11" style="1216" customWidth="1"/>
    <col min="11786" max="11786" width="10.42578125" style="1216" customWidth="1"/>
    <col min="11787" max="11787" width="11" style="1216" customWidth="1"/>
    <col min="11788" max="11788" width="13.5703125" style="1216" customWidth="1"/>
    <col min="11789" max="11789" width="10.28515625" style="1216" customWidth="1"/>
    <col min="11790" max="11790" width="11.7109375" style="1216" customWidth="1"/>
    <col min="11791" max="11791" width="10.42578125" style="1216" customWidth="1"/>
    <col min="11792" max="11792" width="11.28515625" style="1216" customWidth="1"/>
    <col min="11793" max="11793" width="14" style="1216" customWidth="1"/>
    <col min="11794" max="11794" width="9.28515625" style="1216" bestFit="1" customWidth="1"/>
    <col min="11795" max="11795" width="16.42578125" style="1216" bestFit="1" customWidth="1"/>
    <col min="11796" max="11796" width="17.5703125" style="1216" bestFit="1" customWidth="1"/>
    <col min="11797" max="12032" width="9.140625" style="1216"/>
    <col min="12033" max="12033" width="8.28515625" style="1216" bestFit="1" customWidth="1"/>
    <col min="12034" max="12034" width="45.7109375" style="1216" customWidth="1"/>
    <col min="12035" max="12035" width="14.7109375" style="1216" customWidth="1"/>
    <col min="12036" max="12036" width="16" style="1216" customWidth="1"/>
    <col min="12037" max="12037" width="14" style="1216" customWidth="1"/>
    <col min="12038" max="12038" width="13.7109375" style="1216" customWidth="1"/>
    <col min="12039" max="12039" width="15.42578125" style="1216" bestFit="1" customWidth="1"/>
    <col min="12040" max="12040" width="12.42578125" style="1216" customWidth="1"/>
    <col min="12041" max="12041" width="11" style="1216" customWidth="1"/>
    <col min="12042" max="12042" width="10.42578125" style="1216" customWidth="1"/>
    <col min="12043" max="12043" width="11" style="1216" customWidth="1"/>
    <col min="12044" max="12044" width="13.5703125" style="1216" customWidth="1"/>
    <col min="12045" max="12045" width="10.28515625" style="1216" customWidth="1"/>
    <col min="12046" max="12046" width="11.7109375" style="1216" customWidth="1"/>
    <col min="12047" max="12047" width="10.42578125" style="1216" customWidth="1"/>
    <col min="12048" max="12048" width="11.28515625" style="1216" customWidth="1"/>
    <col min="12049" max="12049" width="14" style="1216" customWidth="1"/>
    <col min="12050" max="12050" width="9.28515625" style="1216" bestFit="1" customWidth="1"/>
    <col min="12051" max="12051" width="16.42578125" style="1216" bestFit="1" customWidth="1"/>
    <col min="12052" max="12052" width="17.5703125" style="1216" bestFit="1" customWidth="1"/>
    <col min="12053" max="12288" width="9.140625" style="1216"/>
    <col min="12289" max="12289" width="8.28515625" style="1216" bestFit="1" customWidth="1"/>
    <col min="12290" max="12290" width="45.7109375" style="1216" customWidth="1"/>
    <col min="12291" max="12291" width="14.7109375" style="1216" customWidth="1"/>
    <col min="12292" max="12292" width="16" style="1216" customWidth="1"/>
    <col min="12293" max="12293" width="14" style="1216" customWidth="1"/>
    <col min="12294" max="12294" width="13.7109375" style="1216" customWidth="1"/>
    <col min="12295" max="12295" width="15.42578125" style="1216" bestFit="1" customWidth="1"/>
    <col min="12296" max="12296" width="12.42578125" style="1216" customWidth="1"/>
    <col min="12297" max="12297" width="11" style="1216" customWidth="1"/>
    <col min="12298" max="12298" width="10.42578125" style="1216" customWidth="1"/>
    <col min="12299" max="12299" width="11" style="1216" customWidth="1"/>
    <col min="12300" max="12300" width="13.5703125" style="1216" customWidth="1"/>
    <col min="12301" max="12301" width="10.28515625" style="1216" customWidth="1"/>
    <col min="12302" max="12302" width="11.7109375" style="1216" customWidth="1"/>
    <col min="12303" max="12303" width="10.42578125" style="1216" customWidth="1"/>
    <col min="12304" max="12304" width="11.28515625" style="1216" customWidth="1"/>
    <col min="12305" max="12305" width="14" style="1216" customWidth="1"/>
    <col min="12306" max="12306" width="9.28515625" style="1216" bestFit="1" customWidth="1"/>
    <col min="12307" max="12307" width="16.42578125" style="1216" bestFit="1" customWidth="1"/>
    <col min="12308" max="12308" width="17.5703125" style="1216" bestFit="1" customWidth="1"/>
    <col min="12309" max="12544" width="9.140625" style="1216"/>
    <col min="12545" max="12545" width="8.28515625" style="1216" bestFit="1" customWidth="1"/>
    <col min="12546" max="12546" width="45.7109375" style="1216" customWidth="1"/>
    <col min="12547" max="12547" width="14.7109375" style="1216" customWidth="1"/>
    <col min="12548" max="12548" width="16" style="1216" customWidth="1"/>
    <col min="12549" max="12549" width="14" style="1216" customWidth="1"/>
    <col min="12550" max="12550" width="13.7109375" style="1216" customWidth="1"/>
    <col min="12551" max="12551" width="15.42578125" style="1216" bestFit="1" customWidth="1"/>
    <col min="12552" max="12552" width="12.42578125" style="1216" customWidth="1"/>
    <col min="12553" max="12553" width="11" style="1216" customWidth="1"/>
    <col min="12554" max="12554" width="10.42578125" style="1216" customWidth="1"/>
    <col min="12555" max="12555" width="11" style="1216" customWidth="1"/>
    <col min="12556" max="12556" width="13.5703125" style="1216" customWidth="1"/>
    <col min="12557" max="12557" width="10.28515625" style="1216" customWidth="1"/>
    <col min="12558" max="12558" width="11.7109375" style="1216" customWidth="1"/>
    <col min="12559" max="12559" width="10.42578125" style="1216" customWidth="1"/>
    <col min="12560" max="12560" width="11.28515625" style="1216" customWidth="1"/>
    <col min="12561" max="12561" width="14" style="1216" customWidth="1"/>
    <col min="12562" max="12562" width="9.28515625" style="1216" bestFit="1" customWidth="1"/>
    <col min="12563" max="12563" width="16.42578125" style="1216" bestFit="1" customWidth="1"/>
    <col min="12564" max="12564" width="17.5703125" style="1216" bestFit="1" customWidth="1"/>
    <col min="12565" max="12800" width="9.140625" style="1216"/>
    <col min="12801" max="12801" width="8.28515625" style="1216" bestFit="1" customWidth="1"/>
    <col min="12802" max="12802" width="45.7109375" style="1216" customWidth="1"/>
    <col min="12803" max="12803" width="14.7109375" style="1216" customWidth="1"/>
    <col min="12804" max="12804" width="16" style="1216" customWidth="1"/>
    <col min="12805" max="12805" width="14" style="1216" customWidth="1"/>
    <col min="12806" max="12806" width="13.7109375" style="1216" customWidth="1"/>
    <col min="12807" max="12807" width="15.42578125" style="1216" bestFit="1" customWidth="1"/>
    <col min="12808" max="12808" width="12.42578125" style="1216" customWidth="1"/>
    <col min="12809" max="12809" width="11" style="1216" customWidth="1"/>
    <col min="12810" max="12810" width="10.42578125" style="1216" customWidth="1"/>
    <col min="12811" max="12811" width="11" style="1216" customWidth="1"/>
    <col min="12812" max="12812" width="13.5703125" style="1216" customWidth="1"/>
    <col min="12813" max="12813" width="10.28515625" style="1216" customWidth="1"/>
    <col min="12814" max="12814" width="11.7109375" style="1216" customWidth="1"/>
    <col min="12815" max="12815" width="10.42578125" style="1216" customWidth="1"/>
    <col min="12816" max="12816" width="11.28515625" style="1216" customWidth="1"/>
    <col min="12817" max="12817" width="14" style="1216" customWidth="1"/>
    <col min="12818" max="12818" width="9.28515625" style="1216" bestFit="1" customWidth="1"/>
    <col min="12819" max="12819" width="16.42578125" style="1216" bestFit="1" customWidth="1"/>
    <col min="12820" max="12820" width="17.5703125" style="1216" bestFit="1" customWidth="1"/>
    <col min="12821" max="13056" width="9.140625" style="1216"/>
    <col min="13057" max="13057" width="8.28515625" style="1216" bestFit="1" customWidth="1"/>
    <col min="13058" max="13058" width="45.7109375" style="1216" customWidth="1"/>
    <col min="13059" max="13059" width="14.7109375" style="1216" customWidth="1"/>
    <col min="13060" max="13060" width="16" style="1216" customWidth="1"/>
    <col min="13061" max="13061" width="14" style="1216" customWidth="1"/>
    <col min="13062" max="13062" width="13.7109375" style="1216" customWidth="1"/>
    <col min="13063" max="13063" width="15.42578125" style="1216" bestFit="1" customWidth="1"/>
    <col min="13064" max="13064" width="12.42578125" style="1216" customWidth="1"/>
    <col min="13065" max="13065" width="11" style="1216" customWidth="1"/>
    <col min="13066" max="13066" width="10.42578125" style="1216" customWidth="1"/>
    <col min="13067" max="13067" width="11" style="1216" customWidth="1"/>
    <col min="13068" max="13068" width="13.5703125" style="1216" customWidth="1"/>
    <col min="13069" max="13069" width="10.28515625" style="1216" customWidth="1"/>
    <col min="13070" max="13070" width="11.7109375" style="1216" customWidth="1"/>
    <col min="13071" max="13071" width="10.42578125" style="1216" customWidth="1"/>
    <col min="13072" max="13072" width="11.28515625" style="1216" customWidth="1"/>
    <col min="13073" max="13073" width="14" style="1216" customWidth="1"/>
    <col min="13074" max="13074" width="9.28515625" style="1216" bestFit="1" customWidth="1"/>
    <col min="13075" max="13075" width="16.42578125" style="1216" bestFit="1" customWidth="1"/>
    <col min="13076" max="13076" width="17.5703125" style="1216" bestFit="1" customWidth="1"/>
    <col min="13077" max="13312" width="9.140625" style="1216"/>
    <col min="13313" max="13313" width="8.28515625" style="1216" bestFit="1" customWidth="1"/>
    <col min="13314" max="13314" width="45.7109375" style="1216" customWidth="1"/>
    <col min="13315" max="13315" width="14.7109375" style="1216" customWidth="1"/>
    <col min="13316" max="13316" width="16" style="1216" customWidth="1"/>
    <col min="13317" max="13317" width="14" style="1216" customWidth="1"/>
    <col min="13318" max="13318" width="13.7109375" style="1216" customWidth="1"/>
    <col min="13319" max="13319" width="15.42578125" style="1216" bestFit="1" customWidth="1"/>
    <col min="13320" max="13320" width="12.42578125" style="1216" customWidth="1"/>
    <col min="13321" max="13321" width="11" style="1216" customWidth="1"/>
    <col min="13322" max="13322" width="10.42578125" style="1216" customWidth="1"/>
    <col min="13323" max="13323" width="11" style="1216" customWidth="1"/>
    <col min="13324" max="13324" width="13.5703125" style="1216" customWidth="1"/>
    <col min="13325" max="13325" width="10.28515625" style="1216" customWidth="1"/>
    <col min="13326" max="13326" width="11.7109375" style="1216" customWidth="1"/>
    <col min="13327" max="13327" width="10.42578125" style="1216" customWidth="1"/>
    <col min="13328" max="13328" width="11.28515625" style="1216" customWidth="1"/>
    <col min="13329" max="13329" width="14" style="1216" customWidth="1"/>
    <col min="13330" max="13330" width="9.28515625" style="1216" bestFit="1" customWidth="1"/>
    <col min="13331" max="13331" width="16.42578125" style="1216" bestFit="1" customWidth="1"/>
    <col min="13332" max="13332" width="17.5703125" style="1216" bestFit="1" customWidth="1"/>
    <col min="13333" max="13568" width="9.140625" style="1216"/>
    <col min="13569" max="13569" width="8.28515625" style="1216" bestFit="1" customWidth="1"/>
    <col min="13570" max="13570" width="45.7109375" style="1216" customWidth="1"/>
    <col min="13571" max="13571" width="14.7109375" style="1216" customWidth="1"/>
    <col min="13572" max="13572" width="16" style="1216" customWidth="1"/>
    <col min="13573" max="13573" width="14" style="1216" customWidth="1"/>
    <col min="13574" max="13574" width="13.7109375" style="1216" customWidth="1"/>
    <col min="13575" max="13575" width="15.42578125" style="1216" bestFit="1" customWidth="1"/>
    <col min="13576" max="13576" width="12.42578125" style="1216" customWidth="1"/>
    <col min="13577" max="13577" width="11" style="1216" customWidth="1"/>
    <col min="13578" max="13578" width="10.42578125" style="1216" customWidth="1"/>
    <col min="13579" max="13579" width="11" style="1216" customWidth="1"/>
    <col min="13580" max="13580" width="13.5703125" style="1216" customWidth="1"/>
    <col min="13581" max="13581" width="10.28515625" style="1216" customWidth="1"/>
    <col min="13582" max="13582" width="11.7109375" style="1216" customWidth="1"/>
    <col min="13583" max="13583" width="10.42578125" style="1216" customWidth="1"/>
    <col min="13584" max="13584" width="11.28515625" style="1216" customWidth="1"/>
    <col min="13585" max="13585" width="14" style="1216" customWidth="1"/>
    <col min="13586" max="13586" width="9.28515625" style="1216" bestFit="1" customWidth="1"/>
    <col min="13587" max="13587" width="16.42578125" style="1216" bestFit="1" customWidth="1"/>
    <col min="13588" max="13588" width="17.5703125" style="1216" bestFit="1" customWidth="1"/>
    <col min="13589" max="13824" width="9.140625" style="1216"/>
    <col min="13825" max="13825" width="8.28515625" style="1216" bestFit="1" customWidth="1"/>
    <col min="13826" max="13826" width="45.7109375" style="1216" customWidth="1"/>
    <col min="13827" max="13827" width="14.7109375" style="1216" customWidth="1"/>
    <col min="13828" max="13828" width="16" style="1216" customWidth="1"/>
    <col min="13829" max="13829" width="14" style="1216" customWidth="1"/>
    <col min="13830" max="13830" width="13.7109375" style="1216" customWidth="1"/>
    <col min="13831" max="13831" width="15.42578125" style="1216" bestFit="1" customWidth="1"/>
    <col min="13832" max="13832" width="12.42578125" style="1216" customWidth="1"/>
    <col min="13833" max="13833" width="11" style="1216" customWidth="1"/>
    <col min="13834" max="13834" width="10.42578125" style="1216" customWidth="1"/>
    <col min="13835" max="13835" width="11" style="1216" customWidth="1"/>
    <col min="13836" max="13836" width="13.5703125" style="1216" customWidth="1"/>
    <col min="13837" max="13837" width="10.28515625" style="1216" customWidth="1"/>
    <col min="13838" max="13838" width="11.7109375" style="1216" customWidth="1"/>
    <col min="13839" max="13839" width="10.42578125" style="1216" customWidth="1"/>
    <col min="13840" max="13840" width="11.28515625" style="1216" customWidth="1"/>
    <col min="13841" max="13841" width="14" style="1216" customWidth="1"/>
    <col min="13842" max="13842" width="9.28515625" style="1216" bestFit="1" customWidth="1"/>
    <col min="13843" max="13843" width="16.42578125" style="1216" bestFit="1" customWidth="1"/>
    <col min="13844" max="13844" width="17.5703125" style="1216" bestFit="1" customWidth="1"/>
    <col min="13845" max="14080" width="9.140625" style="1216"/>
    <col min="14081" max="14081" width="8.28515625" style="1216" bestFit="1" customWidth="1"/>
    <col min="14082" max="14082" width="45.7109375" style="1216" customWidth="1"/>
    <col min="14083" max="14083" width="14.7109375" style="1216" customWidth="1"/>
    <col min="14084" max="14084" width="16" style="1216" customWidth="1"/>
    <col min="14085" max="14085" width="14" style="1216" customWidth="1"/>
    <col min="14086" max="14086" width="13.7109375" style="1216" customWidth="1"/>
    <col min="14087" max="14087" width="15.42578125" style="1216" bestFit="1" customWidth="1"/>
    <col min="14088" max="14088" width="12.42578125" style="1216" customWidth="1"/>
    <col min="14089" max="14089" width="11" style="1216" customWidth="1"/>
    <col min="14090" max="14090" width="10.42578125" style="1216" customWidth="1"/>
    <col min="14091" max="14091" width="11" style="1216" customWidth="1"/>
    <col min="14092" max="14092" width="13.5703125" style="1216" customWidth="1"/>
    <col min="14093" max="14093" width="10.28515625" style="1216" customWidth="1"/>
    <col min="14094" max="14094" width="11.7109375" style="1216" customWidth="1"/>
    <col min="14095" max="14095" width="10.42578125" style="1216" customWidth="1"/>
    <col min="14096" max="14096" width="11.28515625" style="1216" customWidth="1"/>
    <col min="14097" max="14097" width="14" style="1216" customWidth="1"/>
    <col min="14098" max="14098" width="9.28515625" style="1216" bestFit="1" customWidth="1"/>
    <col min="14099" max="14099" width="16.42578125" style="1216" bestFit="1" customWidth="1"/>
    <col min="14100" max="14100" width="17.5703125" style="1216" bestFit="1" customWidth="1"/>
    <col min="14101" max="14336" width="9.140625" style="1216"/>
    <col min="14337" max="14337" width="8.28515625" style="1216" bestFit="1" customWidth="1"/>
    <col min="14338" max="14338" width="45.7109375" style="1216" customWidth="1"/>
    <col min="14339" max="14339" width="14.7109375" style="1216" customWidth="1"/>
    <col min="14340" max="14340" width="16" style="1216" customWidth="1"/>
    <col min="14341" max="14341" width="14" style="1216" customWidth="1"/>
    <col min="14342" max="14342" width="13.7109375" style="1216" customWidth="1"/>
    <col min="14343" max="14343" width="15.42578125" style="1216" bestFit="1" customWidth="1"/>
    <col min="14344" max="14344" width="12.42578125" style="1216" customWidth="1"/>
    <col min="14345" max="14345" width="11" style="1216" customWidth="1"/>
    <col min="14346" max="14346" width="10.42578125" style="1216" customWidth="1"/>
    <col min="14347" max="14347" width="11" style="1216" customWidth="1"/>
    <col min="14348" max="14348" width="13.5703125" style="1216" customWidth="1"/>
    <col min="14349" max="14349" width="10.28515625" style="1216" customWidth="1"/>
    <col min="14350" max="14350" width="11.7109375" style="1216" customWidth="1"/>
    <col min="14351" max="14351" width="10.42578125" style="1216" customWidth="1"/>
    <col min="14352" max="14352" width="11.28515625" style="1216" customWidth="1"/>
    <col min="14353" max="14353" width="14" style="1216" customWidth="1"/>
    <col min="14354" max="14354" width="9.28515625" style="1216" bestFit="1" customWidth="1"/>
    <col min="14355" max="14355" width="16.42578125" style="1216" bestFit="1" customWidth="1"/>
    <col min="14356" max="14356" width="17.5703125" style="1216" bestFit="1" customWidth="1"/>
    <col min="14357" max="14592" width="9.140625" style="1216"/>
    <col min="14593" max="14593" width="8.28515625" style="1216" bestFit="1" customWidth="1"/>
    <col min="14594" max="14594" width="45.7109375" style="1216" customWidth="1"/>
    <col min="14595" max="14595" width="14.7109375" style="1216" customWidth="1"/>
    <col min="14596" max="14596" width="16" style="1216" customWidth="1"/>
    <col min="14597" max="14597" width="14" style="1216" customWidth="1"/>
    <col min="14598" max="14598" width="13.7109375" style="1216" customWidth="1"/>
    <col min="14599" max="14599" width="15.42578125" style="1216" bestFit="1" customWidth="1"/>
    <col min="14600" max="14600" width="12.42578125" style="1216" customWidth="1"/>
    <col min="14601" max="14601" width="11" style="1216" customWidth="1"/>
    <col min="14602" max="14602" width="10.42578125" style="1216" customWidth="1"/>
    <col min="14603" max="14603" width="11" style="1216" customWidth="1"/>
    <col min="14604" max="14604" width="13.5703125" style="1216" customWidth="1"/>
    <col min="14605" max="14605" width="10.28515625" style="1216" customWidth="1"/>
    <col min="14606" max="14606" width="11.7109375" style="1216" customWidth="1"/>
    <col min="14607" max="14607" width="10.42578125" style="1216" customWidth="1"/>
    <col min="14608" max="14608" width="11.28515625" style="1216" customWidth="1"/>
    <col min="14609" max="14609" width="14" style="1216" customWidth="1"/>
    <col min="14610" max="14610" width="9.28515625" style="1216" bestFit="1" customWidth="1"/>
    <col min="14611" max="14611" width="16.42578125" style="1216" bestFit="1" customWidth="1"/>
    <col min="14612" max="14612" width="17.5703125" style="1216" bestFit="1" customWidth="1"/>
    <col min="14613" max="14848" width="9.140625" style="1216"/>
    <col min="14849" max="14849" width="8.28515625" style="1216" bestFit="1" customWidth="1"/>
    <col min="14850" max="14850" width="45.7109375" style="1216" customWidth="1"/>
    <col min="14851" max="14851" width="14.7109375" style="1216" customWidth="1"/>
    <col min="14852" max="14852" width="16" style="1216" customWidth="1"/>
    <col min="14853" max="14853" width="14" style="1216" customWidth="1"/>
    <col min="14854" max="14854" width="13.7109375" style="1216" customWidth="1"/>
    <col min="14855" max="14855" width="15.42578125" style="1216" bestFit="1" customWidth="1"/>
    <col min="14856" max="14856" width="12.42578125" style="1216" customWidth="1"/>
    <col min="14857" max="14857" width="11" style="1216" customWidth="1"/>
    <col min="14858" max="14858" width="10.42578125" style="1216" customWidth="1"/>
    <col min="14859" max="14859" width="11" style="1216" customWidth="1"/>
    <col min="14860" max="14860" width="13.5703125" style="1216" customWidth="1"/>
    <col min="14861" max="14861" width="10.28515625" style="1216" customWidth="1"/>
    <col min="14862" max="14862" width="11.7109375" style="1216" customWidth="1"/>
    <col min="14863" max="14863" width="10.42578125" style="1216" customWidth="1"/>
    <col min="14864" max="14864" width="11.28515625" style="1216" customWidth="1"/>
    <col min="14865" max="14865" width="14" style="1216" customWidth="1"/>
    <col min="14866" max="14866" width="9.28515625" style="1216" bestFit="1" customWidth="1"/>
    <col min="14867" max="14867" width="16.42578125" style="1216" bestFit="1" customWidth="1"/>
    <col min="14868" max="14868" width="17.5703125" style="1216" bestFit="1" customWidth="1"/>
    <col min="14869" max="15104" width="9.140625" style="1216"/>
    <col min="15105" max="15105" width="8.28515625" style="1216" bestFit="1" customWidth="1"/>
    <col min="15106" max="15106" width="45.7109375" style="1216" customWidth="1"/>
    <col min="15107" max="15107" width="14.7109375" style="1216" customWidth="1"/>
    <col min="15108" max="15108" width="16" style="1216" customWidth="1"/>
    <col min="15109" max="15109" width="14" style="1216" customWidth="1"/>
    <col min="15110" max="15110" width="13.7109375" style="1216" customWidth="1"/>
    <col min="15111" max="15111" width="15.42578125" style="1216" bestFit="1" customWidth="1"/>
    <col min="15112" max="15112" width="12.42578125" style="1216" customWidth="1"/>
    <col min="15113" max="15113" width="11" style="1216" customWidth="1"/>
    <col min="15114" max="15114" width="10.42578125" style="1216" customWidth="1"/>
    <col min="15115" max="15115" width="11" style="1216" customWidth="1"/>
    <col min="15116" max="15116" width="13.5703125" style="1216" customWidth="1"/>
    <col min="15117" max="15117" width="10.28515625" style="1216" customWidth="1"/>
    <col min="15118" max="15118" width="11.7109375" style="1216" customWidth="1"/>
    <col min="15119" max="15119" width="10.42578125" style="1216" customWidth="1"/>
    <col min="15120" max="15120" width="11.28515625" style="1216" customWidth="1"/>
    <col min="15121" max="15121" width="14" style="1216" customWidth="1"/>
    <col min="15122" max="15122" width="9.28515625" style="1216" bestFit="1" customWidth="1"/>
    <col min="15123" max="15123" width="16.42578125" style="1216" bestFit="1" customWidth="1"/>
    <col min="15124" max="15124" width="17.5703125" style="1216" bestFit="1" customWidth="1"/>
    <col min="15125" max="15360" width="9.140625" style="1216"/>
    <col min="15361" max="15361" width="8.28515625" style="1216" bestFit="1" customWidth="1"/>
    <col min="15362" max="15362" width="45.7109375" style="1216" customWidth="1"/>
    <col min="15363" max="15363" width="14.7109375" style="1216" customWidth="1"/>
    <col min="15364" max="15364" width="16" style="1216" customWidth="1"/>
    <col min="15365" max="15365" width="14" style="1216" customWidth="1"/>
    <col min="15366" max="15366" width="13.7109375" style="1216" customWidth="1"/>
    <col min="15367" max="15367" width="15.42578125" style="1216" bestFit="1" customWidth="1"/>
    <col min="15368" max="15368" width="12.42578125" style="1216" customWidth="1"/>
    <col min="15369" max="15369" width="11" style="1216" customWidth="1"/>
    <col min="15370" max="15370" width="10.42578125" style="1216" customWidth="1"/>
    <col min="15371" max="15371" width="11" style="1216" customWidth="1"/>
    <col min="15372" max="15372" width="13.5703125" style="1216" customWidth="1"/>
    <col min="15373" max="15373" width="10.28515625" style="1216" customWidth="1"/>
    <col min="15374" max="15374" width="11.7109375" style="1216" customWidth="1"/>
    <col min="15375" max="15375" width="10.42578125" style="1216" customWidth="1"/>
    <col min="15376" max="15376" width="11.28515625" style="1216" customWidth="1"/>
    <col min="15377" max="15377" width="14" style="1216" customWidth="1"/>
    <col min="15378" max="15378" width="9.28515625" style="1216" bestFit="1" customWidth="1"/>
    <col min="15379" max="15379" width="16.42578125" style="1216" bestFit="1" customWidth="1"/>
    <col min="15380" max="15380" width="17.5703125" style="1216" bestFit="1" customWidth="1"/>
    <col min="15381" max="15616" width="9.140625" style="1216"/>
    <col min="15617" max="15617" width="8.28515625" style="1216" bestFit="1" customWidth="1"/>
    <col min="15618" max="15618" width="45.7109375" style="1216" customWidth="1"/>
    <col min="15619" max="15619" width="14.7109375" style="1216" customWidth="1"/>
    <col min="15620" max="15620" width="16" style="1216" customWidth="1"/>
    <col min="15621" max="15621" width="14" style="1216" customWidth="1"/>
    <col min="15622" max="15622" width="13.7109375" style="1216" customWidth="1"/>
    <col min="15623" max="15623" width="15.42578125" style="1216" bestFit="1" customWidth="1"/>
    <col min="15624" max="15624" width="12.42578125" style="1216" customWidth="1"/>
    <col min="15625" max="15625" width="11" style="1216" customWidth="1"/>
    <col min="15626" max="15626" width="10.42578125" style="1216" customWidth="1"/>
    <col min="15627" max="15627" width="11" style="1216" customWidth="1"/>
    <col min="15628" max="15628" width="13.5703125" style="1216" customWidth="1"/>
    <col min="15629" max="15629" width="10.28515625" style="1216" customWidth="1"/>
    <col min="15630" max="15630" width="11.7109375" style="1216" customWidth="1"/>
    <col min="15631" max="15631" width="10.42578125" style="1216" customWidth="1"/>
    <col min="15632" max="15632" width="11.28515625" style="1216" customWidth="1"/>
    <col min="15633" max="15633" width="14" style="1216" customWidth="1"/>
    <col min="15634" max="15634" width="9.28515625" style="1216" bestFit="1" customWidth="1"/>
    <col min="15635" max="15635" width="16.42578125" style="1216" bestFit="1" customWidth="1"/>
    <col min="15636" max="15636" width="17.5703125" style="1216" bestFit="1" customWidth="1"/>
    <col min="15637" max="15872" width="9.140625" style="1216"/>
    <col min="15873" max="15873" width="8.28515625" style="1216" bestFit="1" customWidth="1"/>
    <col min="15874" max="15874" width="45.7109375" style="1216" customWidth="1"/>
    <col min="15875" max="15875" width="14.7109375" style="1216" customWidth="1"/>
    <col min="15876" max="15876" width="16" style="1216" customWidth="1"/>
    <col min="15877" max="15877" width="14" style="1216" customWidth="1"/>
    <col min="15878" max="15878" width="13.7109375" style="1216" customWidth="1"/>
    <col min="15879" max="15879" width="15.42578125" style="1216" bestFit="1" customWidth="1"/>
    <col min="15880" max="15880" width="12.42578125" style="1216" customWidth="1"/>
    <col min="15881" max="15881" width="11" style="1216" customWidth="1"/>
    <col min="15882" max="15882" width="10.42578125" style="1216" customWidth="1"/>
    <col min="15883" max="15883" width="11" style="1216" customWidth="1"/>
    <col min="15884" max="15884" width="13.5703125" style="1216" customWidth="1"/>
    <col min="15885" max="15885" width="10.28515625" style="1216" customWidth="1"/>
    <col min="15886" max="15886" width="11.7109375" style="1216" customWidth="1"/>
    <col min="15887" max="15887" width="10.42578125" style="1216" customWidth="1"/>
    <col min="15888" max="15888" width="11.28515625" style="1216" customWidth="1"/>
    <col min="15889" max="15889" width="14" style="1216" customWidth="1"/>
    <col min="15890" max="15890" width="9.28515625" style="1216" bestFit="1" customWidth="1"/>
    <col min="15891" max="15891" width="16.42578125" style="1216" bestFit="1" customWidth="1"/>
    <col min="15892" max="15892" width="17.5703125" style="1216" bestFit="1" customWidth="1"/>
    <col min="15893" max="16128" width="9.140625" style="1216"/>
    <col min="16129" max="16129" width="8.28515625" style="1216" bestFit="1" customWidth="1"/>
    <col min="16130" max="16130" width="45.7109375" style="1216" customWidth="1"/>
    <col min="16131" max="16131" width="14.7109375" style="1216" customWidth="1"/>
    <col min="16132" max="16132" width="16" style="1216" customWidth="1"/>
    <col min="16133" max="16133" width="14" style="1216" customWidth="1"/>
    <col min="16134" max="16134" width="13.7109375" style="1216" customWidth="1"/>
    <col min="16135" max="16135" width="15.42578125" style="1216" bestFit="1" customWidth="1"/>
    <col min="16136" max="16136" width="12.42578125" style="1216" customWidth="1"/>
    <col min="16137" max="16137" width="11" style="1216" customWidth="1"/>
    <col min="16138" max="16138" width="10.42578125" style="1216" customWidth="1"/>
    <col min="16139" max="16139" width="11" style="1216" customWidth="1"/>
    <col min="16140" max="16140" width="13.5703125" style="1216" customWidth="1"/>
    <col min="16141" max="16141" width="10.28515625" style="1216" customWidth="1"/>
    <col min="16142" max="16142" width="11.7109375" style="1216" customWidth="1"/>
    <col min="16143" max="16143" width="10.42578125" style="1216" customWidth="1"/>
    <col min="16144" max="16144" width="11.28515625" style="1216" customWidth="1"/>
    <col min="16145" max="16145" width="14" style="1216" customWidth="1"/>
    <col min="16146" max="16146" width="9.28515625" style="1216" bestFit="1" customWidth="1"/>
    <col min="16147" max="16147" width="16.42578125" style="1216" bestFit="1" customWidth="1"/>
    <col min="16148" max="16148" width="17.5703125" style="1216" bestFit="1" customWidth="1"/>
    <col min="16149" max="16384" width="9.140625" style="1216"/>
  </cols>
  <sheetData>
    <row r="1" spans="1:21" hidden="1"/>
    <row r="2" spans="1:21" hidden="1">
      <c r="E2" s="1217"/>
    </row>
    <row r="3" spans="1:21" hidden="1"/>
    <row r="4" spans="1:21" hidden="1"/>
    <row r="5" spans="1:21" hidden="1"/>
    <row r="7" spans="1:21">
      <c r="A7" s="2511" t="s">
        <v>1775</v>
      </c>
      <c r="B7" s="2511"/>
      <c r="C7" s="2511"/>
      <c r="D7" s="2511"/>
      <c r="E7" s="2511"/>
      <c r="F7" s="2511"/>
      <c r="G7" s="2511"/>
      <c r="H7" s="2511"/>
      <c r="I7" s="2511"/>
      <c r="J7" s="2511"/>
      <c r="K7" s="2511"/>
      <c r="L7" s="2511"/>
      <c r="M7" s="2511"/>
      <c r="N7" s="2511"/>
      <c r="O7" s="2511"/>
      <c r="P7" s="2511"/>
      <c r="Q7" s="2511"/>
    </row>
    <row r="8" spans="1:21" ht="18">
      <c r="A8" s="2647" t="s">
        <v>1776</v>
      </c>
      <c r="B8" s="2648"/>
      <c r="C8" s="2648"/>
      <c r="D8" s="2648"/>
      <c r="E8" s="2648"/>
      <c r="F8" s="2648"/>
      <c r="G8" s="2648"/>
      <c r="H8" s="2648"/>
      <c r="I8" s="2648"/>
      <c r="J8" s="2648"/>
      <c r="K8" s="2648"/>
      <c r="L8" s="2648"/>
      <c r="M8" s="2648"/>
      <c r="N8" s="2648"/>
      <c r="O8" s="2648"/>
      <c r="P8" s="2648"/>
      <c r="Q8" s="2649"/>
    </row>
    <row r="9" spans="1:21">
      <c r="A9" s="2110"/>
      <c r="B9" s="2110"/>
      <c r="C9" s="2511" t="s">
        <v>1777</v>
      </c>
      <c r="D9" s="2511"/>
      <c r="E9" s="2511"/>
      <c r="F9" s="2511"/>
      <c r="G9" s="2511"/>
      <c r="H9" s="2650" t="s">
        <v>1778</v>
      </c>
      <c r="I9" s="2651"/>
      <c r="J9" s="2651"/>
      <c r="K9" s="2651"/>
      <c r="L9" s="2652"/>
      <c r="M9" s="2650" t="s">
        <v>1779</v>
      </c>
      <c r="N9" s="2651"/>
      <c r="O9" s="2651"/>
      <c r="P9" s="2651"/>
      <c r="Q9" s="2652"/>
    </row>
    <row r="10" spans="1:21">
      <c r="A10" s="2167" t="s">
        <v>3</v>
      </c>
      <c r="B10" s="2167" t="s">
        <v>887</v>
      </c>
      <c r="C10" s="2168" t="s">
        <v>1780</v>
      </c>
      <c r="D10" s="2168"/>
      <c r="E10" s="2511" t="s">
        <v>1781</v>
      </c>
      <c r="F10" s="2511"/>
      <c r="G10" s="2168">
        <v>2023</v>
      </c>
      <c r="H10" s="2168" t="s">
        <v>1780</v>
      </c>
      <c r="I10" s="2168"/>
      <c r="J10" s="2511" t="s">
        <v>1781</v>
      </c>
      <c r="K10" s="2511"/>
      <c r="L10" s="2169">
        <v>2024</v>
      </c>
      <c r="M10" s="2168" t="s">
        <v>1780</v>
      </c>
      <c r="N10" s="2168"/>
      <c r="O10" s="2511" t="s">
        <v>1781</v>
      </c>
      <c r="P10" s="2511"/>
      <c r="Q10" s="2169">
        <v>2025</v>
      </c>
    </row>
    <row r="11" spans="1:21">
      <c r="A11" s="2110"/>
      <c r="B11" s="2167" t="s">
        <v>1782</v>
      </c>
      <c r="C11" s="2167" t="s">
        <v>1783</v>
      </c>
      <c r="D11" s="2167" t="s">
        <v>1784</v>
      </c>
      <c r="E11" s="2167" t="s">
        <v>1785</v>
      </c>
      <c r="F11" s="2167" t="s">
        <v>1784</v>
      </c>
      <c r="G11" s="2169" t="s">
        <v>239</v>
      </c>
      <c r="H11" s="2167" t="s">
        <v>1783</v>
      </c>
      <c r="I11" s="2167" t="s">
        <v>1784</v>
      </c>
      <c r="J11" s="2167" t="s">
        <v>1785</v>
      </c>
      <c r="K11" s="2167" t="s">
        <v>1784</v>
      </c>
      <c r="L11" s="2169" t="s">
        <v>239</v>
      </c>
      <c r="M11" s="2167" t="s">
        <v>1783</v>
      </c>
      <c r="N11" s="2167" t="s">
        <v>1784</v>
      </c>
      <c r="O11" s="2167" t="s">
        <v>1785</v>
      </c>
      <c r="P11" s="2167" t="s">
        <v>1784</v>
      </c>
      <c r="Q11" s="2169" t="s">
        <v>239</v>
      </c>
    </row>
    <row r="12" spans="1:21">
      <c r="A12" s="2110"/>
      <c r="B12" s="2167"/>
      <c r="C12" s="2167"/>
      <c r="D12" s="2167"/>
      <c r="E12" s="2167"/>
      <c r="F12" s="2167"/>
      <c r="G12" s="2169"/>
      <c r="H12" s="2167"/>
      <c r="I12" s="2167"/>
      <c r="J12" s="2167"/>
      <c r="K12" s="2167"/>
      <c r="L12" s="2169"/>
      <c r="M12" s="2167"/>
      <c r="N12" s="2167"/>
      <c r="O12" s="2167"/>
      <c r="P12" s="2167"/>
      <c r="Q12" s="2169"/>
    </row>
    <row r="13" spans="1:21">
      <c r="A13" s="2110"/>
      <c r="B13" s="2167" t="s">
        <v>1786</v>
      </c>
      <c r="C13" s="2167"/>
      <c r="D13" s="2167"/>
      <c r="E13" s="2167"/>
      <c r="F13" s="2167"/>
      <c r="G13" s="2169"/>
      <c r="H13" s="2167"/>
      <c r="I13" s="2167"/>
      <c r="J13" s="2167"/>
      <c r="K13" s="2167"/>
      <c r="L13" s="2169"/>
      <c r="M13" s="2167"/>
      <c r="N13" s="2167"/>
      <c r="O13" s="2167"/>
      <c r="P13" s="2167"/>
      <c r="Q13" s="2169"/>
    </row>
    <row r="14" spans="1:21">
      <c r="A14" s="2110"/>
      <c r="B14" s="2170"/>
      <c r="C14" s="2170"/>
      <c r="D14" s="2170"/>
      <c r="E14" s="2170"/>
      <c r="F14" s="2170"/>
      <c r="G14" s="60"/>
      <c r="H14" s="2170"/>
      <c r="I14" s="2170"/>
      <c r="J14" s="2170"/>
      <c r="K14" s="2170"/>
      <c r="L14" s="60"/>
      <c r="M14" s="2170"/>
      <c r="N14" s="2170"/>
      <c r="O14" s="2170"/>
      <c r="P14" s="2170"/>
      <c r="Q14" s="60"/>
    </row>
    <row r="15" spans="1:21">
      <c r="A15" s="2110">
        <v>1</v>
      </c>
      <c r="B15" s="2171" t="s">
        <v>1787</v>
      </c>
      <c r="C15" s="1198">
        <f>G15*25%</f>
        <v>2499.9867256000007</v>
      </c>
      <c r="D15" s="1198">
        <f>G15*10%</f>
        <v>999.9946902400003</v>
      </c>
      <c r="E15" s="1198">
        <f>G15*56%</f>
        <v>5599.9702653440017</v>
      </c>
      <c r="F15" s="1198">
        <f>G15*9%</f>
        <v>899.99522121600023</v>
      </c>
      <c r="G15" s="2172">
        <f>VLOOKUP(B15,'Employ Cost FY22-23-24- Final'!$C$103:$F$120,4,0)/10^5</f>
        <v>9999.9469024000027</v>
      </c>
      <c r="H15" s="2173">
        <f>L15*33.5%</f>
        <v>3282.4823649733598</v>
      </c>
      <c r="I15" s="2173">
        <f>L15*14%</f>
        <v>1371.78367491424</v>
      </c>
      <c r="J15" s="2173">
        <f>L15*45%</f>
        <v>4409.3046693671995</v>
      </c>
      <c r="K15" s="2173">
        <f>L15*7.5%</f>
        <v>734.88411156119992</v>
      </c>
      <c r="L15" s="2172">
        <f>VLOOKUP(B15,'Employ Cost FY22-23-24- Final'!$C$103:$I$120,7,0)/10^5</f>
        <v>9798.4548208159995</v>
      </c>
      <c r="M15" s="2174">
        <f>Q15*36%</f>
        <v>3600.4940314415103</v>
      </c>
      <c r="N15" s="2173">
        <f>Q15*15%</f>
        <v>1500.2058464339625</v>
      </c>
      <c r="O15" s="2173">
        <f>Q15*42%</f>
        <v>4200.5763700150956</v>
      </c>
      <c r="P15" s="2173">
        <f>Q15*7%</f>
        <v>700.09606166918263</v>
      </c>
      <c r="Q15" s="2172">
        <f>VLOOKUP(B15,'Employ Cost FY22-23-24- Final'!$C$103:$J$120,8,0)/10^5</f>
        <v>10001.372309559751</v>
      </c>
      <c r="S15" s="1217"/>
      <c r="T15" s="1593"/>
      <c r="U15" s="1593"/>
    </row>
    <row r="16" spans="1:21">
      <c r="A16" s="2110">
        <f>A15+1</f>
        <v>2</v>
      </c>
      <c r="B16" s="2171" t="s">
        <v>1788</v>
      </c>
      <c r="C16" s="1198">
        <f t="shared" ref="C16:C21" si="0">G16*25%</f>
        <v>0</v>
      </c>
      <c r="D16" s="1198">
        <f t="shared" ref="D16:D21" si="1">G16*10%</f>
        <v>0</v>
      </c>
      <c r="E16" s="1198">
        <f t="shared" ref="E16:E21" si="2">G16*56%</f>
        <v>0</v>
      </c>
      <c r="F16" s="1198">
        <f t="shared" ref="F16:F21" si="3">G16*9%</f>
        <v>0</v>
      </c>
      <c r="G16" s="2172">
        <v>0</v>
      </c>
      <c r="H16" s="2173">
        <f t="shared" ref="H16:H21" si="4">L16*33.5%</f>
        <v>0</v>
      </c>
      <c r="I16" s="2173">
        <f t="shared" ref="I16:I21" si="5">L16*14%</f>
        <v>0</v>
      </c>
      <c r="J16" s="2173">
        <f t="shared" ref="J16:J21" si="6">L16*45%</f>
        <v>0</v>
      </c>
      <c r="K16" s="2173">
        <f t="shared" ref="K16:K21" si="7">L16*7.5%</f>
        <v>0</v>
      </c>
      <c r="L16" s="2172">
        <v>0</v>
      </c>
      <c r="M16" s="2174">
        <f t="shared" ref="M16:M21" si="8">Q16*36%</f>
        <v>0</v>
      </c>
      <c r="N16" s="2173">
        <f t="shared" ref="N16:N21" si="9">Q16*15%</f>
        <v>0</v>
      </c>
      <c r="O16" s="2173">
        <f t="shared" ref="O16:O21" si="10">Q16*42%</f>
        <v>0</v>
      </c>
      <c r="P16" s="2173">
        <f t="shared" ref="P16:P21" si="11">Q16*7%</f>
        <v>0</v>
      </c>
      <c r="Q16" s="2172">
        <v>0</v>
      </c>
      <c r="S16" s="1217"/>
    </row>
    <row r="17" spans="1:23">
      <c r="A17" s="2110">
        <f t="shared" ref="A17:A22" si="12">A16+1</f>
        <v>3</v>
      </c>
      <c r="B17" s="2171" t="s">
        <v>1789</v>
      </c>
      <c r="C17" s="1198">
        <f t="shared" si="0"/>
        <v>925.36142257499989</v>
      </c>
      <c r="D17" s="1198">
        <f t="shared" si="1"/>
        <v>370.14456902999996</v>
      </c>
      <c r="E17" s="1198">
        <f t="shared" si="2"/>
        <v>2072.8095865679998</v>
      </c>
      <c r="F17" s="1198">
        <f t="shared" si="3"/>
        <v>333.13011212699996</v>
      </c>
      <c r="G17" s="2172">
        <f>VLOOKUP(B17,'Employ Cost FY22-23-24- Final'!$C$103:$F$120,4,0)/10^5</f>
        <v>3701.4456902999996</v>
      </c>
      <c r="H17" s="2173">
        <f t="shared" si="4"/>
        <v>1506.7278258031156</v>
      </c>
      <c r="I17" s="2173">
        <f t="shared" si="5"/>
        <v>629.67730033563043</v>
      </c>
      <c r="J17" s="2173">
        <f t="shared" si="6"/>
        <v>2023.9627510788118</v>
      </c>
      <c r="K17" s="2173">
        <f t="shared" si="7"/>
        <v>337.32712517980195</v>
      </c>
      <c r="L17" s="2172">
        <f>VLOOKUP(B17,'Employ Cost FY22-23-24- Final'!$C$103:$I$120,7,0)/10^5</f>
        <v>4497.6950023973595</v>
      </c>
      <c r="M17" s="2174">
        <f t="shared" si="8"/>
        <v>1799.7854344694504</v>
      </c>
      <c r="N17" s="2173">
        <f t="shared" si="9"/>
        <v>749.91059769560434</v>
      </c>
      <c r="O17" s="2173">
        <f t="shared" si="10"/>
        <v>2099.7496735476921</v>
      </c>
      <c r="P17" s="2173">
        <f t="shared" si="11"/>
        <v>349.9582789246154</v>
      </c>
      <c r="Q17" s="2172">
        <f>VLOOKUP(B17,'Employ Cost FY22-23-24- Final'!$C$103:$J$120,8,0)/10^5</f>
        <v>4999.4039846373626</v>
      </c>
      <c r="S17" s="1217"/>
      <c r="T17" s="1593"/>
      <c r="U17" s="1593"/>
    </row>
    <row r="18" spans="1:23">
      <c r="A18" s="2110">
        <f t="shared" si="12"/>
        <v>4</v>
      </c>
      <c r="B18" s="2171" t="s">
        <v>1790</v>
      </c>
      <c r="C18" s="1198">
        <f t="shared" si="0"/>
        <v>415.33401324999994</v>
      </c>
      <c r="D18" s="1198">
        <f t="shared" si="1"/>
        <v>166.1336053</v>
      </c>
      <c r="E18" s="1198">
        <f t="shared" si="2"/>
        <v>930.3481896799999</v>
      </c>
      <c r="F18" s="1198">
        <f t="shared" si="3"/>
        <v>149.52024476999998</v>
      </c>
      <c r="G18" s="2172">
        <f>VLOOKUP(B18,'Employ Cost FY22-23-24- Final'!$C$103:$F$120,4,0)/10^5</f>
        <v>1661.3360529999998</v>
      </c>
      <c r="H18" s="2173">
        <f t="shared" si="4"/>
        <v>622.52949895407198</v>
      </c>
      <c r="I18" s="2173">
        <f t="shared" si="5"/>
        <v>260.16158165244804</v>
      </c>
      <c r="J18" s="2173">
        <f t="shared" si="6"/>
        <v>836.23365531143997</v>
      </c>
      <c r="K18" s="2173">
        <f t="shared" si="7"/>
        <v>139.37227588523999</v>
      </c>
      <c r="L18" s="2172">
        <f>VLOOKUP(B18,'Employ Cost FY22-23-24- Final'!$C$103:$I$120,7,0)/10^5</f>
        <v>1858.2970118031999</v>
      </c>
      <c r="M18" s="2174">
        <f t="shared" si="8"/>
        <v>720.09880628830194</v>
      </c>
      <c r="N18" s="2173">
        <f t="shared" si="9"/>
        <v>300.04116928679247</v>
      </c>
      <c r="O18" s="2173">
        <f t="shared" si="10"/>
        <v>840.11527400301895</v>
      </c>
      <c r="P18" s="2173">
        <f t="shared" si="11"/>
        <v>140.01921233383649</v>
      </c>
      <c r="Q18" s="2172">
        <f>VLOOKUP(B18,'Employ Cost FY22-23-24- Final'!$C$103:$J$120,8,0)/10^5</f>
        <v>2000.2744619119499</v>
      </c>
      <c r="S18" s="1217"/>
      <c r="T18" s="1593"/>
      <c r="U18" s="1593"/>
    </row>
    <row r="19" spans="1:23">
      <c r="A19" s="2110">
        <f t="shared" si="12"/>
        <v>5</v>
      </c>
      <c r="B19" s="2171" t="s">
        <v>1791</v>
      </c>
      <c r="C19" s="1198">
        <f t="shared" si="0"/>
        <v>217.47021917500001</v>
      </c>
      <c r="D19" s="1198">
        <f t="shared" si="1"/>
        <v>86.988087670000013</v>
      </c>
      <c r="E19" s="1198">
        <f t="shared" si="2"/>
        <v>487.1332909520001</v>
      </c>
      <c r="F19" s="1198">
        <f t="shared" si="3"/>
        <v>78.289278902999996</v>
      </c>
      <c r="G19" s="2172">
        <f>VLOOKUP(B19,'Employ Cost FY22-23-24- Final'!$C$103:$F$120,4,0)/10^5</f>
        <v>869.88087670000004</v>
      </c>
      <c r="H19" s="2173">
        <f t="shared" si="4"/>
        <v>427.05348164442864</v>
      </c>
      <c r="I19" s="2173">
        <f t="shared" si="5"/>
        <v>178.47011173200002</v>
      </c>
      <c r="J19" s="2173">
        <f t="shared" si="6"/>
        <v>573.65393056714288</v>
      </c>
      <c r="K19" s="2173">
        <f t="shared" si="7"/>
        <v>95.608988427857142</v>
      </c>
      <c r="L19" s="2172">
        <f>VLOOKUP(B19,'Employ Cost FY22-23-24- Final'!$C$103:$I$120,7,0)/10^5</f>
        <v>1274.7865123714287</v>
      </c>
      <c r="M19" s="2174">
        <f t="shared" si="8"/>
        <v>572.54635191358943</v>
      </c>
      <c r="N19" s="2173">
        <f t="shared" si="9"/>
        <v>238.56097996399558</v>
      </c>
      <c r="O19" s="2173">
        <f t="shared" si="10"/>
        <v>667.97074389918771</v>
      </c>
      <c r="P19" s="2173">
        <f t="shared" si="11"/>
        <v>111.32845731653128</v>
      </c>
      <c r="Q19" s="2172">
        <f>VLOOKUP(B19,'Employ Cost FY22-23-24- Final'!$C$103:$J$120,8,0)/10^5</f>
        <v>1590.406533093304</v>
      </c>
      <c r="S19" s="1217"/>
      <c r="T19" s="1593"/>
      <c r="U19" s="1593"/>
      <c r="W19" s="1681"/>
    </row>
    <row r="20" spans="1:23">
      <c r="A20" s="2110">
        <f t="shared" si="12"/>
        <v>6</v>
      </c>
      <c r="B20" s="2171" t="s">
        <v>1792</v>
      </c>
      <c r="C20" s="1198">
        <f t="shared" si="0"/>
        <v>27.869967500000001</v>
      </c>
      <c r="D20" s="1198">
        <f t="shared" si="1"/>
        <v>11.147987000000001</v>
      </c>
      <c r="E20" s="1198">
        <f t="shared" si="2"/>
        <v>62.428727200000012</v>
      </c>
      <c r="F20" s="1198">
        <f t="shared" si="3"/>
        <v>10.033188300000001</v>
      </c>
      <c r="G20" s="2172">
        <f>VLOOKUP(B20,'Employ Cost FY22-23-24- Final'!$C$103:$F$120,4,0)/10^5</f>
        <v>111.47987000000001</v>
      </c>
      <c r="H20" s="2173">
        <f t="shared" si="4"/>
        <v>37.491260350000005</v>
      </c>
      <c r="I20" s="2173">
        <f t="shared" si="5"/>
        <v>15.667989400000002</v>
      </c>
      <c r="J20" s="2173">
        <f t="shared" si="6"/>
        <v>50.361394500000003</v>
      </c>
      <c r="K20" s="2173">
        <f t="shared" si="7"/>
        <v>8.3935657499999987</v>
      </c>
      <c r="L20" s="2172">
        <f>VLOOKUP(B20,'Employ Cost FY22-23-24- Final'!$C$103:$I$120,7,0)/10^5</f>
        <v>111.91421</v>
      </c>
      <c r="M20" s="2174">
        <f t="shared" si="8"/>
        <v>50.6807424</v>
      </c>
      <c r="N20" s="2173">
        <f t="shared" si="9"/>
        <v>21.116976000000001</v>
      </c>
      <c r="O20" s="2173">
        <f t="shared" si="10"/>
        <v>59.127532799999997</v>
      </c>
      <c r="P20" s="2173">
        <f t="shared" si="11"/>
        <v>9.8545888000000019</v>
      </c>
      <c r="Q20" s="2172">
        <f>VLOOKUP(B20,'Employ Cost FY22-23-24- Final'!$C$103:$J$120,8,0)/10^5</f>
        <v>140.77984000000001</v>
      </c>
      <c r="S20" s="1217"/>
      <c r="T20" s="1593"/>
      <c r="U20" s="1593"/>
    </row>
    <row r="21" spans="1:23">
      <c r="A21" s="2110">
        <f t="shared" si="12"/>
        <v>7</v>
      </c>
      <c r="B21" s="2171" t="s">
        <v>1793</v>
      </c>
      <c r="C21" s="1198">
        <f t="shared" si="0"/>
        <v>108.63994</v>
      </c>
      <c r="D21" s="1198">
        <f t="shared" si="1"/>
        <v>43.455976</v>
      </c>
      <c r="E21" s="1198">
        <f t="shared" si="2"/>
        <v>243.35346560000002</v>
      </c>
      <c r="F21" s="1198">
        <f t="shared" si="3"/>
        <v>39.110378399999995</v>
      </c>
      <c r="G21" s="2172">
        <f>VLOOKUP(B21,'Employ Cost FY22-23-24- Final'!$C$103:$F$120,4,0)/10^5</f>
        <v>434.55975999999998</v>
      </c>
      <c r="H21" s="1198">
        <f t="shared" si="4"/>
        <v>143.0598025445</v>
      </c>
      <c r="I21" s="1198">
        <f t="shared" si="5"/>
        <v>59.786186138000005</v>
      </c>
      <c r="J21" s="1198">
        <f t="shared" si="6"/>
        <v>192.16988401500001</v>
      </c>
      <c r="K21" s="1198">
        <f t="shared" si="7"/>
        <v>32.028314002499997</v>
      </c>
      <c r="L21" s="2172">
        <f>VLOOKUP(B21,'Employ Cost FY22-23-24- Final'!$C$103:$I$120,7,0)/10^5</f>
        <v>427.04418670000001</v>
      </c>
      <c r="M21" s="2174">
        <f t="shared" si="8"/>
        <v>284.74137719999999</v>
      </c>
      <c r="N21" s="2173">
        <f t="shared" si="9"/>
        <v>118.64224049999999</v>
      </c>
      <c r="O21" s="2173">
        <f t="shared" si="10"/>
        <v>332.19827340000001</v>
      </c>
      <c r="P21" s="2173">
        <f t="shared" si="11"/>
        <v>55.366378900000001</v>
      </c>
      <c r="Q21" s="2172">
        <f>VLOOKUP(B21,'Employ Cost FY22-23-24- Final'!$C$103:$J$120,8,0)/10^5</f>
        <v>790.94826999999998</v>
      </c>
      <c r="S21" s="1217"/>
      <c r="T21" s="1593"/>
      <c r="U21" s="1593"/>
    </row>
    <row r="22" spans="1:23">
      <c r="A22" s="2110">
        <f t="shared" si="12"/>
        <v>8</v>
      </c>
      <c r="B22" s="2170" t="s">
        <v>1794</v>
      </c>
      <c r="C22" s="2175">
        <f t="shared" ref="C22:Q22" si="13">SUM(C15:C21)</f>
        <v>4194.6622881000003</v>
      </c>
      <c r="D22" s="2175">
        <f t="shared" si="13"/>
        <v>1677.8649152400003</v>
      </c>
      <c r="E22" s="2175">
        <f t="shared" si="13"/>
        <v>9396.043525344001</v>
      </c>
      <c r="F22" s="2175">
        <f t="shared" si="13"/>
        <v>1510.0784237160001</v>
      </c>
      <c r="G22" s="2175">
        <f t="shared" si="13"/>
        <v>16778.649152400001</v>
      </c>
      <c r="H22" s="2175">
        <f t="shared" si="13"/>
        <v>6019.3442342694752</v>
      </c>
      <c r="I22" s="2175">
        <f t="shared" si="13"/>
        <v>2515.5468441723187</v>
      </c>
      <c r="J22" s="2175">
        <f t="shared" si="13"/>
        <v>8085.686284839594</v>
      </c>
      <c r="K22" s="2175">
        <f t="shared" si="13"/>
        <v>1347.614380806599</v>
      </c>
      <c r="L22" s="2175">
        <f t="shared" si="13"/>
        <v>17968.191744087988</v>
      </c>
      <c r="M22" s="2175">
        <f t="shared" si="13"/>
        <v>7028.3467437128511</v>
      </c>
      <c r="N22" s="2175">
        <f t="shared" si="13"/>
        <v>2928.4778098803545</v>
      </c>
      <c r="O22" s="2175">
        <f t="shared" si="13"/>
        <v>8199.7378676649951</v>
      </c>
      <c r="P22" s="2175">
        <f t="shared" si="13"/>
        <v>1366.622977944166</v>
      </c>
      <c r="Q22" s="2175">
        <f t="shared" si="13"/>
        <v>19523.185399202368</v>
      </c>
      <c r="S22" s="1217"/>
      <c r="T22" s="1593"/>
      <c r="U22" s="1593"/>
    </row>
    <row r="23" spans="1:23">
      <c r="A23" s="2110"/>
      <c r="B23" s="2170" t="s">
        <v>1795</v>
      </c>
      <c r="C23" s="2172"/>
      <c r="D23" s="2172"/>
      <c r="E23" s="2172"/>
      <c r="F23" s="2172"/>
      <c r="G23" s="2172"/>
      <c r="H23" s="2172"/>
      <c r="I23" s="2172"/>
      <c r="J23" s="2172"/>
      <c r="K23" s="2172"/>
      <c r="L23" s="2172"/>
      <c r="M23" s="2172"/>
      <c r="N23" s="2172"/>
      <c r="O23" s="2172"/>
      <c r="P23" s="2172"/>
      <c r="Q23" s="2172"/>
      <c r="S23" s="1217"/>
    </row>
    <row r="24" spans="1:23">
      <c r="A24" s="2167">
        <f>A22+1</f>
        <v>9</v>
      </c>
      <c r="B24" s="2171" t="s">
        <v>1796</v>
      </c>
      <c r="C24" s="1198">
        <f>G24*25%</f>
        <v>3.939235</v>
      </c>
      <c r="D24" s="1198">
        <f>G24*10%</f>
        <v>1.5756940000000002</v>
      </c>
      <c r="E24" s="1198">
        <f>G24*56%</f>
        <v>8.823886400000001</v>
      </c>
      <c r="F24" s="1198">
        <f>G24*9%</f>
        <v>1.4181246000000001</v>
      </c>
      <c r="G24" s="2172">
        <f>VLOOKUP(B24,'Employ Cost FY22-23-24- Final'!$C$103:$F$120,4,0)/10^5</f>
        <v>15.75694</v>
      </c>
      <c r="H24" s="1198">
        <f>L24*33.5%</f>
        <v>5.5237178500000006</v>
      </c>
      <c r="I24" s="1198">
        <f>L24*14%</f>
        <v>2.3084194000000005</v>
      </c>
      <c r="J24" s="1198">
        <f>L24*45%</f>
        <v>7.4199195000000007</v>
      </c>
      <c r="K24" s="1198">
        <f>L24*7.5%</f>
        <v>1.23665325</v>
      </c>
      <c r="L24" s="2172">
        <f>VLOOKUP(B24,'Employ Cost FY22-23-24- Final'!$C$103:$I$120,7,0)/10^5</f>
        <v>16.488710000000001</v>
      </c>
      <c r="M24" s="2174">
        <f>Q24*36%</f>
        <v>6.2116071195978408</v>
      </c>
      <c r="N24" s="2173">
        <f>Q24*15%</f>
        <v>2.5881696331657671</v>
      </c>
      <c r="O24" s="2173">
        <f>Q24*42%</f>
        <v>7.2468749728641475</v>
      </c>
      <c r="P24" s="2173">
        <f>Q24*7%</f>
        <v>1.2078124954773581</v>
      </c>
      <c r="Q24" s="2172">
        <f>VLOOKUP(B24,'Employ Cost FY22-23-24- Final'!$C$103:$J$120,8,0)/10^5</f>
        <v>17.254464221105113</v>
      </c>
      <c r="S24" s="1217"/>
    </row>
    <row r="25" spans="1:23">
      <c r="A25" s="2167">
        <f>A24+1</f>
        <v>10</v>
      </c>
      <c r="B25" s="2171" t="s">
        <v>1797</v>
      </c>
      <c r="C25" s="1198">
        <f>G25*25%</f>
        <v>1246.5045694999999</v>
      </c>
      <c r="D25" s="1198">
        <f>G25*10%</f>
        <v>498.60182779999997</v>
      </c>
      <c r="E25" s="1198">
        <f>G25*56%</f>
        <v>2792.1702356800001</v>
      </c>
      <c r="F25" s="1198">
        <f>G25*9%</f>
        <v>448.74164501999996</v>
      </c>
      <c r="G25" s="2172">
        <f>4986.018278</f>
        <v>4986.0182779999996</v>
      </c>
      <c r="H25" s="1198">
        <f>L25*33.5%</f>
        <v>1914.5639136</v>
      </c>
      <c r="I25" s="1198">
        <f>L25*14%</f>
        <v>800.11626239999998</v>
      </c>
      <c r="J25" s="1198">
        <f>L25*45%</f>
        <v>2571.8022719999999</v>
      </c>
      <c r="K25" s="1198">
        <f>L25*7.5%</f>
        <v>428.63371199999995</v>
      </c>
      <c r="L25" s="2172">
        <f>VLOOKUP(B25,'Employ Cost FY22-23-24- Final'!$C$103:$I$120,7,0)/10^5+5625</f>
        <v>5715.1161599999996</v>
      </c>
      <c r="M25" s="2174">
        <f>Q25*36%</f>
        <v>2166.1857516725718</v>
      </c>
      <c r="N25" s="2173">
        <f>Q25*15%</f>
        <v>902.57739653023816</v>
      </c>
      <c r="O25" s="2173">
        <f>Q25*42%</f>
        <v>2527.216710284667</v>
      </c>
      <c r="P25" s="2173">
        <f>Q25*7%</f>
        <v>421.20278504744454</v>
      </c>
      <c r="Q25" s="2172">
        <f>VLOOKUP(B25,'Employ Cost FY22-23-24- Final'!$C$103:$J$120,8,0)/10^5+5833</f>
        <v>6017.1826435349212</v>
      </c>
      <c r="S25" s="1217"/>
    </row>
    <row r="26" spans="1:23">
      <c r="A26" s="2167">
        <f>A25+1</f>
        <v>11</v>
      </c>
      <c r="B26" s="2171" t="s">
        <v>1798</v>
      </c>
      <c r="C26" s="1198">
        <f>G26*25%</f>
        <v>31.987883725</v>
      </c>
      <c r="D26" s="1198">
        <f>G26*10%</f>
        <v>12.795153490000001</v>
      </c>
      <c r="E26" s="1198">
        <f>G26*56%</f>
        <v>71.652859544000009</v>
      </c>
      <c r="F26" s="1198">
        <f>G26*9%</f>
        <v>11.515638141</v>
      </c>
      <c r="G26" s="2172">
        <f>VLOOKUP(B26,'Employ Cost FY22-23-24- Final'!$C$103:$F$120,4,0)/10^5+'Employ Cost FY22-23-24- Final'!F112/10^5</f>
        <v>127.9515349</v>
      </c>
      <c r="H26" s="1198">
        <f>L26*33.5%</f>
        <v>52.669679922857142</v>
      </c>
      <c r="I26" s="1198">
        <f>L26*14%</f>
        <v>22.011209519999998</v>
      </c>
      <c r="J26" s="1198">
        <f>L26*45%</f>
        <v>70.750316314285712</v>
      </c>
      <c r="K26" s="1198">
        <f>L26*7.5%</f>
        <v>11.791719385714284</v>
      </c>
      <c r="L26" s="2172">
        <f>VLOOKUP(B26,'Employ Cost FY22-23-24- Final'!$C$103:$I$120,7,0)/10^5</f>
        <v>157.22292514285712</v>
      </c>
      <c r="M26" s="2174">
        <f>Q26*36%</f>
        <v>94.029079350965048</v>
      </c>
      <c r="N26" s="2173">
        <f>Q26*15%</f>
        <v>39.178783062902106</v>
      </c>
      <c r="O26" s="2173">
        <f>Q26*42%</f>
        <v>109.7005925761259</v>
      </c>
      <c r="P26" s="2173">
        <f>Q26*7%</f>
        <v>18.283432096020984</v>
      </c>
      <c r="Q26" s="2172">
        <f>VLOOKUP(B26,'Employ Cost FY22-23-24- Final'!$C$103:$J$120,8,0)/10^5</f>
        <v>261.19188708601405</v>
      </c>
      <c r="S26" s="1217"/>
      <c r="T26" s="1593"/>
      <c r="U26" s="1593"/>
    </row>
    <row r="27" spans="1:23">
      <c r="A27" s="2110">
        <v>12</v>
      </c>
      <c r="B27" s="2170" t="s">
        <v>1799</v>
      </c>
      <c r="C27" s="2175">
        <f t="shared" ref="C27:Q27" si="14">SUM(C24:C26)</f>
        <v>1282.431688225</v>
      </c>
      <c r="D27" s="2175">
        <f t="shared" si="14"/>
        <v>512.97267528999998</v>
      </c>
      <c r="E27" s="2175">
        <f t="shared" si="14"/>
        <v>2872.6469816240001</v>
      </c>
      <c r="F27" s="2175">
        <f t="shared" si="14"/>
        <v>461.67540776099997</v>
      </c>
      <c r="G27" s="2175">
        <f t="shared" si="14"/>
        <v>5129.7267529000001</v>
      </c>
      <c r="H27" s="2175">
        <f t="shared" si="14"/>
        <v>1972.757311372857</v>
      </c>
      <c r="I27" s="2175">
        <f t="shared" si="14"/>
        <v>824.43589132</v>
      </c>
      <c r="J27" s="2175">
        <f t="shared" si="14"/>
        <v>2649.9725078142856</v>
      </c>
      <c r="K27" s="2175">
        <f t="shared" si="14"/>
        <v>441.66208463571422</v>
      </c>
      <c r="L27" s="2175">
        <f t="shared" si="14"/>
        <v>5888.8277951428563</v>
      </c>
      <c r="M27" s="2175">
        <f t="shared" si="14"/>
        <v>2266.4264381431349</v>
      </c>
      <c r="N27" s="2175">
        <f t="shared" si="14"/>
        <v>944.34434922630601</v>
      </c>
      <c r="O27" s="2175">
        <f t="shared" si="14"/>
        <v>2644.164177833657</v>
      </c>
      <c r="P27" s="2175">
        <f t="shared" si="14"/>
        <v>440.69402963894288</v>
      </c>
      <c r="Q27" s="2175">
        <f t="shared" si="14"/>
        <v>6295.6289948420399</v>
      </c>
      <c r="S27" s="1217"/>
      <c r="T27" s="1593"/>
      <c r="U27" s="1593"/>
    </row>
    <row r="28" spans="1:23">
      <c r="A28" s="2110"/>
      <c r="B28" s="2170" t="s">
        <v>1800</v>
      </c>
      <c r="C28" s="2172"/>
      <c r="D28" s="2172"/>
      <c r="E28" s="2172"/>
      <c r="F28" s="2172"/>
      <c r="G28" s="2172"/>
      <c r="H28" s="2172"/>
      <c r="I28" s="2172"/>
      <c r="J28" s="2172"/>
      <c r="K28" s="2172"/>
      <c r="L28" s="2172"/>
      <c r="M28" s="2172"/>
      <c r="N28" s="2172"/>
      <c r="O28" s="2172"/>
      <c r="P28" s="2172"/>
      <c r="Q28" s="2172"/>
      <c r="S28" s="1217"/>
    </row>
    <row r="29" spans="1:23">
      <c r="A29" s="2110">
        <v>13</v>
      </c>
      <c r="B29" s="2171" t="s">
        <v>1801</v>
      </c>
      <c r="C29" s="1198">
        <f t="shared" ref="C29:C36" si="15">G29*25%</f>
        <v>123.16625934999999</v>
      </c>
      <c r="D29" s="1198">
        <f t="shared" ref="D29:D36" si="16">G29*10%</f>
        <v>49.266503739999997</v>
      </c>
      <c r="E29" s="1198">
        <f t="shared" ref="E29:E36" si="17">G29*56%</f>
        <v>275.89242094399998</v>
      </c>
      <c r="F29" s="1198">
        <f t="shared" ref="F29:F39" si="18">G29*9%</f>
        <v>44.339853365999993</v>
      </c>
      <c r="G29" s="2172">
        <f>VLOOKUP(B29,'Employ Cost FY22-23-24- Final'!$C$103:$F$120,4,0)/10^5</f>
        <v>492.66503739999996</v>
      </c>
      <c r="H29" s="2173">
        <f>L29*33.5%</f>
        <v>190.97384076280022</v>
      </c>
      <c r="I29" s="2173">
        <f>L29*14%</f>
        <v>79.809963303856819</v>
      </c>
      <c r="J29" s="2173">
        <f>L29*45%</f>
        <v>256.53202490525405</v>
      </c>
      <c r="K29" s="2173">
        <f>L29*7.5%</f>
        <v>42.755337484209001</v>
      </c>
      <c r="L29" s="2172">
        <f>VLOOKUP(B29,'Employ Cost FY22-23-24- Final'!$C$103:$I$120,7,0)/10^5</f>
        <v>570.07116645612007</v>
      </c>
      <c r="M29" s="2174">
        <f t="shared" ref="M29:M36" si="19">Q29*36%</f>
        <v>180.02470157207549</v>
      </c>
      <c r="N29" s="2173">
        <f t="shared" ref="N29:N36" si="20">Q29*15%</f>
        <v>75.010292321698117</v>
      </c>
      <c r="O29" s="2173">
        <f t="shared" ref="O29:O36" si="21">Q29*42%</f>
        <v>210.02881850075474</v>
      </c>
      <c r="P29" s="2173">
        <f t="shared" ref="P29:P41" si="22">Q29*7%</f>
        <v>35.004803083459123</v>
      </c>
      <c r="Q29" s="2172">
        <f>VLOOKUP(B29,'Employ Cost FY22-23-24- Final'!$C$103:$J$120,8,0)/10^5</f>
        <v>500.06861547798746</v>
      </c>
      <c r="S29" s="1217"/>
      <c r="T29" s="1593"/>
      <c r="U29" s="1593"/>
    </row>
    <row r="30" spans="1:23">
      <c r="A30" s="2110">
        <f>A29+1</f>
        <v>14</v>
      </c>
      <c r="B30" s="2171" t="s">
        <v>1802</v>
      </c>
      <c r="C30" s="1198">
        <f t="shared" si="15"/>
        <v>0</v>
      </c>
      <c r="D30" s="1198">
        <f t="shared" si="16"/>
        <v>0</v>
      </c>
      <c r="E30" s="1198">
        <f t="shared" si="17"/>
        <v>0</v>
      </c>
      <c r="F30" s="1198">
        <f t="shared" si="18"/>
        <v>0</v>
      </c>
      <c r="G30" s="2172">
        <f>VLOOKUP(B30,'Employ Cost FY22-23-24- Final'!$C$103:$F$120,4,0)/10^5</f>
        <v>0</v>
      </c>
      <c r="H30" s="2173">
        <f t="shared" ref="H30:H36" si="23">L30*33.5%</f>
        <v>0</v>
      </c>
      <c r="I30" s="2173">
        <f t="shared" ref="I30:I36" si="24">L30*14%</f>
        <v>0</v>
      </c>
      <c r="J30" s="2173">
        <f t="shared" ref="J30:J36" si="25">L30*45%</f>
        <v>0</v>
      </c>
      <c r="K30" s="2173">
        <f t="shared" ref="K30:K36" si="26">L30*7.5%</f>
        <v>0</v>
      </c>
      <c r="L30" s="2172">
        <f>VLOOKUP(B30,'Employ Cost FY22-23-24- Final'!$C$103:$I$120,7,0)/10^5</f>
        <v>0</v>
      </c>
      <c r="M30" s="2174">
        <f t="shared" si="19"/>
        <v>3.8588486399999988</v>
      </c>
      <c r="N30" s="2173">
        <f t="shared" si="20"/>
        <v>1.6078535999999997</v>
      </c>
      <c r="O30" s="2173">
        <f t="shared" si="21"/>
        <v>4.5019900799999988</v>
      </c>
      <c r="P30" s="2173">
        <f t="shared" si="22"/>
        <v>0.75033167999999995</v>
      </c>
      <c r="Q30" s="2172">
        <f>VLOOKUP(B30,'Employ Cost FY22-23-24- Final'!$C$103:$J$120,8,0)/10^5</f>
        <v>10.719023999999997</v>
      </c>
      <c r="S30" s="1217"/>
      <c r="T30" s="1593"/>
      <c r="U30" s="1593"/>
    </row>
    <row r="31" spans="1:23">
      <c r="A31" s="2110">
        <f>A30+1</f>
        <v>15</v>
      </c>
      <c r="B31" s="2171" t="s">
        <v>1803</v>
      </c>
      <c r="C31" s="1198">
        <f t="shared" si="15"/>
        <v>0</v>
      </c>
      <c r="D31" s="1198">
        <f t="shared" si="16"/>
        <v>0</v>
      </c>
      <c r="E31" s="1198">
        <f t="shared" si="17"/>
        <v>0</v>
      </c>
      <c r="F31" s="1198">
        <f t="shared" si="18"/>
        <v>0</v>
      </c>
      <c r="G31" s="2172">
        <v>0</v>
      </c>
      <c r="H31" s="2173">
        <f t="shared" si="23"/>
        <v>0</v>
      </c>
      <c r="I31" s="2173">
        <f t="shared" si="24"/>
        <v>0</v>
      </c>
      <c r="J31" s="2173">
        <f t="shared" si="25"/>
        <v>0</v>
      </c>
      <c r="K31" s="2173">
        <f t="shared" si="26"/>
        <v>0</v>
      </c>
      <c r="L31" s="2172">
        <v>0</v>
      </c>
      <c r="M31" s="2174">
        <f t="shared" si="19"/>
        <v>0</v>
      </c>
      <c r="N31" s="2173">
        <f t="shared" si="20"/>
        <v>0</v>
      </c>
      <c r="O31" s="2173">
        <f t="shared" si="21"/>
        <v>0</v>
      </c>
      <c r="P31" s="2173">
        <f t="shared" si="22"/>
        <v>0</v>
      </c>
      <c r="Q31" s="2172">
        <v>0</v>
      </c>
      <c r="S31" s="1217"/>
    </row>
    <row r="32" spans="1:23">
      <c r="A32" s="2110">
        <f>A31+1</f>
        <v>16</v>
      </c>
      <c r="B32" s="2171" t="s">
        <v>1804</v>
      </c>
      <c r="C32" s="1198">
        <f t="shared" si="15"/>
        <v>0</v>
      </c>
      <c r="D32" s="1198">
        <f t="shared" si="16"/>
        <v>0</v>
      </c>
      <c r="E32" s="1198">
        <f t="shared" si="17"/>
        <v>0</v>
      </c>
      <c r="F32" s="1198">
        <f t="shared" si="18"/>
        <v>0</v>
      </c>
      <c r="G32" s="2172">
        <f>VLOOKUP(B32,'Employ Cost FY22-23-24- Final'!$C$103:$F$120,4,0)/10^5</f>
        <v>0</v>
      </c>
      <c r="H32" s="2173">
        <f t="shared" si="23"/>
        <v>0</v>
      </c>
      <c r="I32" s="2173">
        <f t="shared" si="24"/>
        <v>0</v>
      </c>
      <c r="J32" s="2173">
        <f t="shared" si="25"/>
        <v>0</v>
      </c>
      <c r="K32" s="2173">
        <f t="shared" si="26"/>
        <v>0</v>
      </c>
      <c r="L32" s="2172">
        <f>VLOOKUP(B32,'Employ Cost FY22-23-24- Final'!$C$103:$I$120,7,0)/10^5</f>
        <v>0</v>
      </c>
      <c r="M32" s="2174">
        <f t="shared" si="19"/>
        <v>0</v>
      </c>
      <c r="N32" s="2173">
        <f t="shared" si="20"/>
        <v>0</v>
      </c>
      <c r="O32" s="2173">
        <f t="shared" si="21"/>
        <v>0</v>
      </c>
      <c r="P32" s="2173">
        <f t="shared" si="22"/>
        <v>0</v>
      </c>
      <c r="Q32" s="2172">
        <f>VLOOKUP(B32,'Employ Cost FY22-23-24- Final'!$C$103:$J$120,8,0)/10^5</f>
        <v>0</v>
      </c>
      <c r="S32" s="1217"/>
      <c r="T32" s="1593"/>
      <c r="U32" s="1593"/>
    </row>
    <row r="33" spans="1:21">
      <c r="A33" s="2110">
        <f t="shared" ref="A33:A36" si="27">A32+1</f>
        <v>17</v>
      </c>
      <c r="B33" s="2171" t="s">
        <v>1805</v>
      </c>
      <c r="C33" s="1198">
        <f t="shared" si="15"/>
        <v>0</v>
      </c>
      <c r="D33" s="1198">
        <f t="shared" si="16"/>
        <v>0</v>
      </c>
      <c r="E33" s="1198">
        <f t="shared" si="17"/>
        <v>0</v>
      </c>
      <c r="F33" s="1198">
        <f t="shared" si="18"/>
        <v>0</v>
      </c>
      <c r="G33" s="2172">
        <f>VLOOKUP(B33,'Employ Cost FY22-23-24- Final'!$C$103:$F$120,4,0)/10^5</f>
        <v>0</v>
      </c>
      <c r="H33" s="2173">
        <f t="shared" si="23"/>
        <v>0</v>
      </c>
      <c r="I33" s="2173">
        <f t="shared" si="24"/>
        <v>0</v>
      </c>
      <c r="J33" s="2173">
        <f t="shared" si="25"/>
        <v>0</v>
      </c>
      <c r="K33" s="2173">
        <f t="shared" si="26"/>
        <v>0</v>
      </c>
      <c r="L33" s="2172">
        <f>VLOOKUP(B33,'Employ Cost FY22-23-24- Final'!$C$103:$I$120,7,0)/10^5</f>
        <v>0</v>
      </c>
      <c r="M33" s="2174">
        <f t="shared" si="19"/>
        <v>0</v>
      </c>
      <c r="N33" s="2173">
        <f t="shared" si="20"/>
        <v>0</v>
      </c>
      <c r="O33" s="2173">
        <f t="shared" si="21"/>
        <v>0</v>
      </c>
      <c r="P33" s="2173">
        <f t="shared" si="22"/>
        <v>0</v>
      </c>
      <c r="Q33" s="2172">
        <f>VLOOKUP(B33,'Employ Cost FY22-23-24- Final'!$C$103:$J$120,8,0)/10^5</f>
        <v>0</v>
      </c>
      <c r="S33" s="1217"/>
    </row>
    <row r="34" spans="1:21">
      <c r="A34" s="2110">
        <f t="shared" si="27"/>
        <v>18</v>
      </c>
      <c r="B34" s="2171" t="s">
        <v>1806</v>
      </c>
      <c r="C34" s="1198">
        <f t="shared" si="15"/>
        <v>0</v>
      </c>
      <c r="D34" s="1198">
        <f t="shared" si="16"/>
        <v>0</v>
      </c>
      <c r="E34" s="1198">
        <f t="shared" si="17"/>
        <v>0</v>
      </c>
      <c r="F34" s="1198">
        <f t="shared" si="18"/>
        <v>0</v>
      </c>
      <c r="G34" s="2172">
        <v>0</v>
      </c>
      <c r="H34" s="2173">
        <f t="shared" si="23"/>
        <v>0</v>
      </c>
      <c r="I34" s="2173">
        <f t="shared" si="24"/>
        <v>0</v>
      </c>
      <c r="J34" s="2173">
        <f t="shared" si="25"/>
        <v>0</v>
      </c>
      <c r="K34" s="2173">
        <f t="shared" si="26"/>
        <v>0</v>
      </c>
      <c r="L34" s="2172">
        <v>0</v>
      </c>
      <c r="M34" s="2174">
        <f t="shared" si="19"/>
        <v>0</v>
      </c>
      <c r="N34" s="2173">
        <f t="shared" si="20"/>
        <v>0</v>
      </c>
      <c r="O34" s="2173">
        <f t="shared" si="21"/>
        <v>0</v>
      </c>
      <c r="P34" s="2173">
        <f t="shared" si="22"/>
        <v>0</v>
      </c>
      <c r="Q34" s="2172">
        <v>0</v>
      </c>
      <c r="S34" s="1217"/>
    </row>
    <row r="35" spans="1:21">
      <c r="A35" s="2110">
        <f t="shared" si="27"/>
        <v>19</v>
      </c>
      <c r="B35" s="2171" t="s">
        <v>1807</v>
      </c>
      <c r="C35" s="1198">
        <f t="shared" si="15"/>
        <v>1.0711225</v>
      </c>
      <c r="D35" s="1198">
        <f t="shared" si="16"/>
        <v>0.42844900000000002</v>
      </c>
      <c r="E35" s="1198">
        <f t="shared" si="17"/>
        <v>2.3993144000000002</v>
      </c>
      <c r="F35" s="1198">
        <f t="shared" si="18"/>
        <v>0.38560410000000001</v>
      </c>
      <c r="G35" s="2172">
        <f>VLOOKUP(B35,'Employ Cost FY22-23-24- Final'!$C$103:$F$120,4,0)/10^5</f>
        <v>4.2844899999999999</v>
      </c>
      <c r="H35" s="2173">
        <f t="shared" si="23"/>
        <v>3.35</v>
      </c>
      <c r="I35" s="2173">
        <f t="shared" si="24"/>
        <v>1.4000000000000001</v>
      </c>
      <c r="J35" s="2173">
        <f t="shared" si="25"/>
        <v>4.5</v>
      </c>
      <c r="K35" s="2173">
        <f t="shared" si="26"/>
        <v>0.75</v>
      </c>
      <c r="L35" s="2172">
        <f>VLOOKUP(B35,'Employ Cost FY22-23-24- Final'!$C$103:$I$120,7,0)/10^5</f>
        <v>10</v>
      </c>
      <c r="M35" s="2174">
        <f t="shared" si="19"/>
        <v>8.40240028568161</v>
      </c>
      <c r="N35" s="2173">
        <f t="shared" si="20"/>
        <v>3.5010001190340039</v>
      </c>
      <c r="O35" s="2173">
        <f t="shared" si="21"/>
        <v>9.8028003332952114</v>
      </c>
      <c r="P35" s="2173">
        <f t="shared" si="22"/>
        <v>1.633800055549202</v>
      </c>
      <c r="Q35" s="2172">
        <f>VLOOKUP(B35,'Employ Cost FY22-23-24- Final'!$C$103:$J$120,8,0)/10^5</f>
        <v>23.340000793560026</v>
      </c>
      <c r="S35" s="1217"/>
      <c r="T35" s="1593"/>
      <c r="U35" s="1593"/>
    </row>
    <row r="36" spans="1:21">
      <c r="A36" s="2110">
        <f t="shared" si="27"/>
        <v>20</v>
      </c>
      <c r="B36" s="2171" t="s">
        <v>1808</v>
      </c>
      <c r="C36" s="1198">
        <f t="shared" si="15"/>
        <v>0</v>
      </c>
      <c r="D36" s="1198">
        <f t="shared" si="16"/>
        <v>0</v>
      </c>
      <c r="E36" s="1198">
        <f t="shared" si="17"/>
        <v>0</v>
      </c>
      <c r="F36" s="1198">
        <f t="shared" si="18"/>
        <v>0</v>
      </c>
      <c r="G36" s="2172">
        <f>VLOOKUP(B36,'Employ Cost FY22-23-24- Final'!$C$103:$F$120,4,0)/10^5</f>
        <v>0</v>
      </c>
      <c r="H36" s="2173">
        <f t="shared" si="23"/>
        <v>0</v>
      </c>
      <c r="I36" s="2173">
        <f t="shared" si="24"/>
        <v>0</v>
      </c>
      <c r="J36" s="2173">
        <f t="shared" si="25"/>
        <v>0</v>
      </c>
      <c r="K36" s="2173">
        <f t="shared" si="26"/>
        <v>0</v>
      </c>
      <c r="L36" s="2172">
        <f>VLOOKUP(B36,'Employ Cost FY22-23-24- Final'!$C$103:$I$120,7,0)/10^5</f>
        <v>0</v>
      </c>
      <c r="M36" s="2174">
        <f t="shared" si="19"/>
        <v>0</v>
      </c>
      <c r="N36" s="2173">
        <f t="shared" si="20"/>
        <v>0</v>
      </c>
      <c r="O36" s="2173">
        <f t="shared" si="21"/>
        <v>0</v>
      </c>
      <c r="P36" s="2173">
        <f t="shared" si="22"/>
        <v>0</v>
      </c>
      <c r="Q36" s="2172">
        <f>VLOOKUP(B36,'Employ Cost FY22-23-24- Final'!$C$103:$J$120,8,0)/10^5</f>
        <v>0</v>
      </c>
      <c r="S36" s="1217"/>
      <c r="T36" s="1593"/>
      <c r="U36" s="1593"/>
    </row>
    <row r="37" spans="1:21">
      <c r="A37" s="2110">
        <v>21</v>
      </c>
      <c r="B37" s="2170" t="s">
        <v>1809</v>
      </c>
      <c r="C37" s="2175">
        <f t="shared" ref="C37:Q37" si="28">SUM(C29:C36)</f>
        <v>124.23738184999999</v>
      </c>
      <c r="D37" s="2175">
        <f t="shared" si="28"/>
        <v>49.694952739999998</v>
      </c>
      <c r="E37" s="2175">
        <f t="shared" si="28"/>
        <v>278.29173534399996</v>
      </c>
      <c r="F37" s="2175">
        <f t="shared" si="28"/>
        <v>44.725457465999995</v>
      </c>
      <c r="G37" s="2175">
        <f t="shared" si="28"/>
        <v>496.94952739999997</v>
      </c>
      <c r="H37" s="2175">
        <f t="shared" si="28"/>
        <v>194.32384076280022</v>
      </c>
      <c r="I37" s="2175">
        <f t="shared" si="28"/>
        <v>81.209963303856824</v>
      </c>
      <c r="J37" s="2175">
        <f t="shared" si="28"/>
        <v>261.03202490525405</v>
      </c>
      <c r="K37" s="2175">
        <f t="shared" si="28"/>
        <v>43.505337484209001</v>
      </c>
      <c r="L37" s="2175">
        <f t="shared" si="28"/>
        <v>580.07116645612007</v>
      </c>
      <c r="M37" s="2175">
        <f t="shared" si="28"/>
        <v>192.28595049775709</v>
      </c>
      <c r="N37" s="2175">
        <f t="shared" si="28"/>
        <v>80.119146040732119</v>
      </c>
      <c r="O37" s="2175">
        <f t="shared" si="28"/>
        <v>224.33360891404996</v>
      </c>
      <c r="P37" s="2175">
        <f t="shared" si="28"/>
        <v>37.388934819008327</v>
      </c>
      <c r="Q37" s="2175">
        <f t="shared" si="28"/>
        <v>534.12764027154753</v>
      </c>
      <c r="S37" s="1217"/>
      <c r="T37" s="1593"/>
      <c r="U37" s="1593"/>
    </row>
    <row r="38" spans="1:21">
      <c r="A38" s="2110">
        <v>22</v>
      </c>
      <c r="B38" s="2171" t="s">
        <v>1810</v>
      </c>
      <c r="C38" s="1198">
        <f>G38*25%</f>
        <v>125.9175705362162</v>
      </c>
      <c r="D38" s="1198">
        <f>G38*10%</f>
        <v>50.367028214486481</v>
      </c>
      <c r="E38" s="1198">
        <f>G38*56%</f>
        <v>282.05535800112432</v>
      </c>
      <c r="F38" s="1198">
        <f t="shared" si="18"/>
        <v>45.330325393037832</v>
      </c>
      <c r="G38" s="2172">
        <f>VLOOKUP(B38,'Employ Cost FY22-23-24- Final'!$C$103:$F$120,4,0)/10^5</f>
        <v>503.67028214486481</v>
      </c>
      <c r="H38" s="2173">
        <f>L38*33.5%</f>
        <v>162.28284542824605</v>
      </c>
      <c r="I38" s="2173">
        <f>L38*14%</f>
        <v>67.819696596878941</v>
      </c>
      <c r="J38" s="2173">
        <f>L38*45%</f>
        <v>217.99188191853943</v>
      </c>
      <c r="K38" s="2173">
        <f>L38*7.5%</f>
        <v>36.331980319756575</v>
      </c>
      <c r="L38" s="2172">
        <f>VLOOKUP(B38,'Employ Cost FY22-23-24- Final'!$C$103:$I$120,7,0)/10^5</f>
        <v>484.42640426342098</v>
      </c>
      <c r="M38" s="2174">
        <f>Q38*36%</f>
        <v>192.18671602452289</v>
      </c>
      <c r="N38" s="2173">
        <f>Q38*15%</f>
        <v>80.077798343551208</v>
      </c>
      <c r="O38" s="2173">
        <f>Q38*42%</f>
        <v>224.21783536194337</v>
      </c>
      <c r="P38" s="2173">
        <f t="shared" si="22"/>
        <v>37.369639226990572</v>
      </c>
      <c r="Q38" s="2172">
        <f>VLOOKUP(B38,'Employ Cost FY22-23-24- Final'!$C$103:$J$120,8,0)/10^5</f>
        <v>533.85198895700807</v>
      </c>
      <c r="S38" s="1217"/>
      <c r="T38" s="1593"/>
      <c r="U38" s="1593"/>
    </row>
    <row r="39" spans="1:21">
      <c r="A39" s="2110">
        <v>23</v>
      </c>
      <c r="B39" s="2171" t="s">
        <v>1811</v>
      </c>
      <c r="C39" s="1198">
        <f>G39*25%</f>
        <v>3757.1103720000001</v>
      </c>
      <c r="D39" s="1198">
        <f>G39*10%</f>
        <v>1502.8441488000001</v>
      </c>
      <c r="E39" s="1198">
        <f>G39*56%</f>
        <v>8415.927233280001</v>
      </c>
      <c r="F39" s="1198">
        <f t="shared" si="18"/>
        <v>1352.5597339199999</v>
      </c>
      <c r="G39" s="2172">
        <f>VLOOKUP(B39,'Employ Cost FY22-23-24- Final'!$C$103:$F$120,4,0)/10^5</f>
        <v>15028.441488</v>
      </c>
      <c r="H39" s="2173">
        <f>L39*33.5%</f>
        <v>5214.1302287928575</v>
      </c>
      <c r="I39" s="2173">
        <f>L39*14%</f>
        <v>2179.0394986000006</v>
      </c>
      <c r="J39" s="2173">
        <f>L39*45%</f>
        <v>7004.055531214286</v>
      </c>
      <c r="K39" s="2173">
        <f>L39*7.5%</f>
        <v>1167.3425885357144</v>
      </c>
      <c r="L39" s="2172">
        <f>VLOOKUP(B39,'Employ Cost FY22-23-24- Final'!$C$103:$I$120,7,0)/10^5</f>
        <v>15564.567847142858</v>
      </c>
      <c r="M39" s="2174">
        <f>Q39*36%</f>
        <v>5868.9688258390761</v>
      </c>
      <c r="N39" s="2173">
        <f>Q39*15%</f>
        <v>2445.4036774329484</v>
      </c>
      <c r="O39" s="2173">
        <f>Q39*42%</f>
        <v>6847.1302968122554</v>
      </c>
      <c r="P39" s="2173">
        <f t="shared" si="22"/>
        <v>1141.1883828020427</v>
      </c>
      <c r="Q39" s="2172">
        <f>VLOOKUP(B39,'Employ Cost FY22-23-24- Final'!$C$103:$J$120,8,0)/10^5</f>
        <v>16302.691182886323</v>
      </c>
      <c r="S39" s="1217"/>
      <c r="T39" s="1593"/>
      <c r="U39" s="1593"/>
    </row>
    <row r="40" spans="1:21">
      <c r="A40" s="2110">
        <v>24</v>
      </c>
      <c r="B40" s="2170" t="s">
        <v>1812</v>
      </c>
      <c r="C40" s="2175">
        <f t="shared" ref="C40:Q40" si="29">C39+C38+C37+C27+C22</f>
        <v>9484.3593007112177</v>
      </c>
      <c r="D40" s="2175">
        <f t="shared" si="29"/>
        <v>3793.7437202844867</v>
      </c>
      <c r="E40" s="2175">
        <f t="shared" si="29"/>
        <v>21244.964833593127</v>
      </c>
      <c r="F40" s="2175">
        <f t="shared" si="29"/>
        <v>3414.3693482560379</v>
      </c>
      <c r="G40" s="2175">
        <f t="shared" si="29"/>
        <v>37937.437202844871</v>
      </c>
      <c r="H40" s="2175">
        <f t="shared" si="29"/>
        <v>13562.838460626237</v>
      </c>
      <c r="I40" s="2175">
        <f t="shared" si="29"/>
        <v>5668.0518939930553</v>
      </c>
      <c r="J40" s="2175">
        <f t="shared" si="29"/>
        <v>18218.738230691961</v>
      </c>
      <c r="K40" s="2175">
        <f t="shared" si="29"/>
        <v>3036.4563717819933</v>
      </c>
      <c r="L40" s="2175">
        <f t="shared" si="29"/>
        <v>40486.084957093248</v>
      </c>
      <c r="M40" s="2175">
        <f t="shared" si="29"/>
        <v>15548.214674217341</v>
      </c>
      <c r="N40" s="2175">
        <f t="shared" si="29"/>
        <v>6478.4227809238928</v>
      </c>
      <c r="O40" s="2175">
        <f t="shared" si="29"/>
        <v>18139.583786586903</v>
      </c>
      <c r="P40" s="2175">
        <f t="shared" si="29"/>
        <v>3023.2639644311503</v>
      </c>
      <c r="Q40" s="2175">
        <f t="shared" si="29"/>
        <v>43189.48520615929</v>
      </c>
      <c r="S40" s="1217"/>
      <c r="T40" s="1593"/>
      <c r="U40" s="1593"/>
    </row>
    <row r="41" spans="1:21">
      <c r="A41" s="2167"/>
      <c r="B41" s="2170" t="s">
        <v>1813</v>
      </c>
      <c r="C41" s="2176">
        <f>G41*25%</f>
        <v>321.20987725000003</v>
      </c>
      <c r="D41" s="2176">
        <f>G41*10%</f>
        <v>128.48395090000002</v>
      </c>
      <c r="E41" s="2176">
        <f>G41*56%</f>
        <v>719.51012504000016</v>
      </c>
      <c r="F41" s="2176">
        <f t="shared" ref="F41" si="30">G41*9%</f>
        <v>115.63555581000001</v>
      </c>
      <c r="G41" s="2175">
        <f>-'Employ Cost FY22-23-24- Final'!F88/10^5</f>
        <v>1284.8395090000001</v>
      </c>
      <c r="H41" s="2173">
        <f>L41*33.5%</f>
        <v>494.98442084225002</v>
      </c>
      <c r="I41" s="2173">
        <f>L41*14%</f>
        <v>206.859160949</v>
      </c>
      <c r="J41" s="2173">
        <f>L41*45%</f>
        <v>664.90444590749996</v>
      </c>
      <c r="K41" s="2173">
        <f>L41*7.5%</f>
        <v>110.81740765124999</v>
      </c>
      <c r="L41" s="2175">
        <f>-'Employ Cost FY22-23-24- Final'!I88/10^5</f>
        <v>1477.5654353499999</v>
      </c>
      <c r="M41" s="2174">
        <f>Q41*36%</f>
        <v>611.71209023489985</v>
      </c>
      <c r="N41" s="2173">
        <f>Q41*15%</f>
        <v>254.88003759787495</v>
      </c>
      <c r="O41" s="2173">
        <f>Q41*42%</f>
        <v>713.66410527404992</v>
      </c>
      <c r="P41" s="2173">
        <f t="shared" si="22"/>
        <v>118.944017545675</v>
      </c>
      <c r="Q41" s="2175">
        <f>-'Employ Cost FY22-23-24- Final'!J88/10^5</f>
        <v>1699.2002506524998</v>
      </c>
      <c r="S41" s="1217"/>
    </row>
    <row r="42" spans="1:21">
      <c r="A42" s="2177"/>
      <c r="B42" s="2178" t="s">
        <v>1814</v>
      </c>
      <c r="C42" s="2179">
        <f t="shared" ref="C42:Q42" si="31">C40-C41</f>
        <v>9163.1494234612182</v>
      </c>
      <c r="D42" s="2179">
        <f t="shared" si="31"/>
        <v>3665.2597693844868</v>
      </c>
      <c r="E42" s="2179">
        <f t="shared" si="31"/>
        <v>20525.454708553127</v>
      </c>
      <c r="F42" s="2179">
        <f t="shared" si="31"/>
        <v>3298.733792446038</v>
      </c>
      <c r="G42" s="2179">
        <f t="shared" si="31"/>
        <v>36652.597693844873</v>
      </c>
      <c r="H42" s="2179">
        <f t="shared" si="31"/>
        <v>13067.854039783988</v>
      </c>
      <c r="I42" s="2179">
        <f t="shared" si="31"/>
        <v>5461.1927330440549</v>
      </c>
      <c r="J42" s="2179">
        <f t="shared" si="31"/>
        <v>17553.83378478446</v>
      </c>
      <c r="K42" s="2179">
        <f t="shared" si="31"/>
        <v>2925.6389641307433</v>
      </c>
      <c r="L42" s="2179">
        <f t="shared" si="31"/>
        <v>39008.519521743248</v>
      </c>
      <c r="M42" s="2179">
        <f t="shared" si="31"/>
        <v>14936.502583982441</v>
      </c>
      <c r="N42" s="2179">
        <f t="shared" si="31"/>
        <v>6223.5427433260174</v>
      </c>
      <c r="O42" s="2179">
        <f t="shared" si="31"/>
        <v>17425.919681312855</v>
      </c>
      <c r="P42" s="2179">
        <f t="shared" si="31"/>
        <v>2904.3199468854755</v>
      </c>
      <c r="Q42" s="2179">
        <f t="shared" si="31"/>
        <v>41490.284955506788</v>
      </c>
    </row>
    <row r="43" spans="1:21">
      <c r="A43" s="1220"/>
      <c r="B43" s="1220" t="s">
        <v>432</v>
      </c>
      <c r="C43" s="1220"/>
      <c r="D43" s="1220"/>
      <c r="E43" s="1220"/>
      <c r="F43" s="1220"/>
      <c r="G43" s="1683"/>
      <c r="H43" s="1220"/>
      <c r="I43" s="1220"/>
      <c r="J43" s="1220"/>
      <c r="K43" s="1220"/>
      <c r="L43" s="1683"/>
      <c r="M43" s="1220"/>
      <c r="N43" s="1220"/>
      <c r="O43" s="1220"/>
      <c r="P43" s="1220"/>
      <c r="Q43" s="1683"/>
      <c r="S43" s="1223"/>
      <c r="T43" s="1223"/>
    </row>
    <row r="44" spans="1:21" s="4" customFormat="1" ht="12.75">
      <c r="A44" s="124"/>
      <c r="B44" s="11" t="s">
        <v>1815</v>
      </c>
      <c r="C44" s="124"/>
      <c r="D44" s="124"/>
      <c r="E44" s="124"/>
      <c r="F44" s="124"/>
      <c r="G44" s="124"/>
      <c r="H44" s="130"/>
      <c r="I44" s="124"/>
      <c r="J44" s="124"/>
      <c r="K44" s="124"/>
      <c r="L44" s="124"/>
      <c r="M44" s="130"/>
      <c r="N44" s="124"/>
      <c r="O44" s="124"/>
      <c r="P44" s="124"/>
      <c r="Q44" s="124"/>
      <c r="R44" s="128"/>
      <c r="S44" s="129"/>
      <c r="T44" s="129"/>
      <c r="U44" s="1"/>
    </row>
    <row r="45" spans="1:21" s="4" customFormat="1" ht="12.75">
      <c r="A45" s="124">
        <v>1</v>
      </c>
      <c r="B45" s="124" t="s">
        <v>1816</v>
      </c>
      <c r="C45" s="1685">
        <v>769</v>
      </c>
      <c r="D45" s="1685">
        <v>658</v>
      </c>
      <c r="E45" s="1685">
        <v>1293</v>
      </c>
      <c r="F45" s="1685">
        <v>291</v>
      </c>
      <c r="G45" s="1685">
        <f>C45+D45+E45+F45</f>
        <v>3011</v>
      </c>
      <c r="H45" s="1685">
        <v>842</v>
      </c>
      <c r="I45" s="1685">
        <v>668</v>
      </c>
      <c r="J45" s="1685">
        <v>1234</v>
      </c>
      <c r="K45" s="1685">
        <v>273</v>
      </c>
      <c r="L45" s="1685">
        <f>H45+I45+J45+K45</f>
        <v>3017</v>
      </c>
      <c r="M45" s="1685">
        <v>945</v>
      </c>
      <c r="N45" s="1685">
        <v>691</v>
      </c>
      <c r="O45" s="1685">
        <v>1201</v>
      </c>
      <c r="P45" s="1685">
        <v>270</v>
      </c>
      <c r="Q45" s="1685">
        <f>M45+N45+O45+P45</f>
        <v>3107</v>
      </c>
      <c r="R45" s="129"/>
      <c r="S45" s="129"/>
      <c r="T45" s="129"/>
      <c r="U45" s="129"/>
    </row>
    <row r="46" spans="1:21" s="4" customFormat="1" ht="12.75">
      <c r="A46" s="124">
        <v>2</v>
      </c>
      <c r="B46" s="124" t="s">
        <v>1817</v>
      </c>
      <c r="C46" s="1276">
        <f>C45/$G$45</f>
        <v>0.25539687811358353</v>
      </c>
      <c r="D46" s="1276">
        <f>D45/$G$45</f>
        <v>0.21853204915310528</v>
      </c>
      <c r="E46" s="1276">
        <f>E45/$G$45</f>
        <v>0.42942544005313849</v>
      </c>
      <c r="F46" s="1276">
        <f>F45/$G$45</f>
        <v>9.6645632680172705E-2</v>
      </c>
      <c r="G46" s="130"/>
      <c r="H46" s="1276">
        <f>H45/$L$45</f>
        <v>0.27908518395757376</v>
      </c>
      <c r="I46" s="1276">
        <f>I45/$L$45</f>
        <v>0.22141199867417966</v>
      </c>
      <c r="J46" s="1276">
        <f>J45/$L$45</f>
        <v>0.40901557838912828</v>
      </c>
      <c r="K46" s="1276">
        <f>K45/$L$45</f>
        <v>9.0487238979118326E-2</v>
      </c>
      <c r="L46" s="124"/>
      <c r="M46" s="1276">
        <f>M45/$Q$45</f>
        <v>0.30415191503057609</v>
      </c>
      <c r="N46" s="1276">
        <f>N45/$Q$45</f>
        <v>0.22240102993241068</v>
      </c>
      <c r="O46" s="1276">
        <f>O45/$Q$45</f>
        <v>0.38654650788542</v>
      </c>
      <c r="P46" s="1276">
        <f>P45/$Q$45</f>
        <v>8.6900547151593177E-2</v>
      </c>
      <c r="Q46" s="130"/>
      <c r="R46" s="129"/>
      <c r="S46" s="129"/>
      <c r="T46" s="128"/>
      <c r="U46" s="129"/>
    </row>
    <row r="47" spans="1:21" s="4" customFormat="1" ht="12.75">
      <c r="A47" s="124">
        <v>3</v>
      </c>
      <c r="B47" s="124" t="s">
        <v>1818</v>
      </c>
      <c r="C47" s="124"/>
      <c r="D47" s="1277">
        <f>C45/$H$38</f>
        <v>4.7386401068498403</v>
      </c>
      <c r="E47" s="1277">
        <f>D45/$H$38</f>
        <v>4.0546491421419963</v>
      </c>
      <c r="F47" s="1277">
        <f>E45/$H$38</f>
        <v>7.9675704267319167</v>
      </c>
      <c r="G47" s="1277">
        <f>F45/$H$38</f>
        <v>1.7931655020719162</v>
      </c>
      <c r="H47" s="130"/>
      <c r="I47" s="1277">
        <f>H45/$M$38</f>
        <v>4.38115608309037</v>
      </c>
      <c r="J47" s="1277">
        <f>I45/$M$38</f>
        <v>3.4757865362284646</v>
      </c>
      <c r="K47" s="1277">
        <f>J45/$M$38</f>
        <v>6.4208392001585706</v>
      </c>
      <c r="L47" s="1277">
        <f>K45/$M$38</f>
        <v>1.4204935993867827</v>
      </c>
      <c r="M47" s="1278">
        <v>24</v>
      </c>
      <c r="N47" s="1277" t="e">
        <f>M45/$R$38</f>
        <v>#DIV/0!</v>
      </c>
      <c r="O47" s="1277" t="e">
        <f>N45/$R$38</f>
        <v>#DIV/0!</v>
      </c>
      <c r="P47" s="1277" t="e">
        <f>O45/$R$38</f>
        <v>#DIV/0!</v>
      </c>
      <c r="Q47" s="1277" t="e">
        <f>P45/$R$38</f>
        <v>#DIV/0!</v>
      </c>
      <c r="R47" s="1276"/>
      <c r="S47" s="129"/>
      <c r="T47" s="128"/>
      <c r="U47" s="129"/>
    </row>
    <row r="48" spans="1:21" s="4" customFormat="1" ht="12.75">
      <c r="A48" s="124">
        <v>4</v>
      </c>
      <c r="B48" s="124" t="s">
        <v>1819</v>
      </c>
      <c r="C48" s="124"/>
      <c r="D48" s="124"/>
      <c r="E48" s="124"/>
      <c r="F48" s="124"/>
      <c r="G48" s="124"/>
      <c r="H48" s="13"/>
      <c r="I48" s="124"/>
      <c r="J48" s="124"/>
      <c r="K48" s="124"/>
      <c r="L48" s="124"/>
      <c r="M48" s="1279"/>
      <c r="N48" s="124"/>
      <c r="O48" s="2401"/>
      <c r="P48" s="2401"/>
      <c r="Q48" s="124"/>
      <c r="R48" s="1279"/>
      <c r="S48" s="129"/>
      <c r="T48" s="128"/>
      <c r="U48" s="129"/>
    </row>
    <row r="49" spans="1:21" s="4" customFormat="1" ht="12.75">
      <c r="A49" s="124"/>
      <c r="B49" s="124" t="s">
        <v>432</v>
      </c>
      <c r="C49" s="124"/>
      <c r="D49" s="124"/>
      <c r="E49" s="124"/>
      <c r="F49" s="124"/>
      <c r="G49" s="124"/>
      <c r="H49" s="130"/>
      <c r="I49" s="124"/>
      <c r="J49" s="124"/>
      <c r="K49" s="124"/>
      <c r="L49" s="124"/>
      <c r="M49" s="124"/>
      <c r="N49" s="124"/>
      <c r="O49" s="124"/>
      <c r="P49" s="124"/>
      <c r="Q49" s="124"/>
      <c r="R49" s="124"/>
      <c r="S49" s="129"/>
      <c r="T49" s="128"/>
      <c r="U49" s="5"/>
    </row>
    <row r="50" spans="1:21" s="1275" customFormat="1" ht="15" customHeight="1">
      <c r="A50" s="1294"/>
      <c r="B50" s="1294"/>
      <c r="C50" s="1294"/>
      <c r="D50" s="1294"/>
      <c r="E50" s="1294"/>
      <c r="F50" s="1294"/>
      <c r="G50" s="1294"/>
      <c r="H50" s="1294"/>
      <c r="I50" s="1294"/>
      <c r="J50" s="1294"/>
      <c r="K50" s="1294"/>
      <c r="L50" s="1294"/>
      <c r="M50" s="1294"/>
      <c r="N50" s="1294"/>
      <c r="O50" s="1294"/>
      <c r="P50" s="1294"/>
      <c r="Q50" s="1294"/>
      <c r="R50" s="1294"/>
    </row>
    <row r="51" spans="1:21" s="1275" customFormat="1" ht="15" customHeight="1">
      <c r="A51" s="1294"/>
      <c r="B51" s="1294"/>
      <c r="C51" s="1294"/>
      <c r="D51" s="1294"/>
      <c r="E51" s="1294"/>
      <c r="F51" s="1294"/>
      <c r="G51" s="1294"/>
      <c r="H51" s="1294"/>
      <c r="I51" s="1294"/>
      <c r="J51" s="1294"/>
      <c r="K51" s="1294"/>
      <c r="L51" s="1294"/>
      <c r="M51" s="1294"/>
      <c r="N51" s="1294"/>
      <c r="O51" s="1294"/>
      <c r="P51" s="1294"/>
      <c r="Q51" s="1294"/>
      <c r="R51" s="1294"/>
    </row>
    <row r="52" spans="1:21" s="1275" customFormat="1" ht="15" customHeight="1">
      <c r="A52" s="1294"/>
      <c r="B52" s="1294"/>
      <c r="C52" s="1294"/>
      <c r="D52" s="1294"/>
      <c r="E52" s="1294"/>
      <c r="F52" s="1294"/>
      <c r="G52" s="1294"/>
      <c r="H52" s="1294"/>
      <c r="I52" s="1294"/>
      <c r="J52" s="1294"/>
      <c r="K52" s="1294"/>
      <c r="L52" s="1294"/>
      <c r="M52" s="1294"/>
      <c r="N52" s="1294"/>
      <c r="O52" s="1294"/>
      <c r="P52" s="1294"/>
      <c r="Q52" s="1294"/>
      <c r="R52" s="1294"/>
    </row>
    <row r="53" spans="1:21" s="1275" customFormat="1" ht="15" customHeight="1">
      <c r="A53" s="1294"/>
      <c r="B53" s="1294"/>
      <c r="C53" s="1294"/>
      <c r="D53" s="1294"/>
      <c r="E53" s="1294"/>
      <c r="F53" s="1294"/>
      <c r="G53" s="1294"/>
      <c r="H53" s="1294"/>
      <c r="I53" s="1294"/>
      <c r="J53" s="1294"/>
      <c r="K53" s="1294"/>
      <c r="L53" s="1294"/>
      <c r="M53" s="1294"/>
      <c r="N53" s="1294"/>
      <c r="O53" s="1294"/>
      <c r="P53" s="1294"/>
      <c r="Q53" s="1294"/>
      <c r="R53" s="1294"/>
    </row>
    <row r="54" spans="1:21">
      <c r="A54" s="2642" t="s">
        <v>1820</v>
      </c>
      <c r="B54" s="2646"/>
      <c r="C54" s="2646"/>
      <c r="D54" s="2646"/>
      <c r="E54" s="2646"/>
      <c r="F54" s="2646"/>
      <c r="G54" s="2646"/>
      <c r="H54" s="2646"/>
      <c r="I54" s="2646"/>
      <c r="J54" s="2646"/>
      <c r="K54" s="2646"/>
      <c r="L54" s="2646"/>
      <c r="M54" s="2646"/>
      <c r="N54" s="2646"/>
      <c r="O54" s="2646"/>
      <c r="P54" s="2646"/>
      <c r="Q54" s="2643"/>
    </row>
    <row r="55" spans="1:21">
      <c r="A55" s="2642" t="s">
        <v>1821</v>
      </c>
      <c r="B55" s="2646"/>
      <c r="C55" s="2646"/>
      <c r="D55" s="2646"/>
      <c r="E55" s="2646"/>
      <c r="F55" s="2646"/>
      <c r="G55" s="2646"/>
      <c r="H55" s="2646"/>
      <c r="I55" s="2646"/>
      <c r="J55" s="2646"/>
      <c r="K55" s="2646"/>
      <c r="L55" s="2646"/>
      <c r="M55" s="2646"/>
      <c r="N55" s="2646"/>
      <c r="O55" s="2646"/>
      <c r="P55" s="2646"/>
      <c r="Q55" s="2643"/>
    </row>
    <row r="56" spans="1:21">
      <c r="A56" s="2146"/>
      <c r="B56" s="2146"/>
      <c r="C56" s="2509" t="s">
        <v>1822</v>
      </c>
      <c r="D56" s="2509"/>
      <c r="E56" s="2509"/>
      <c r="F56" s="2509"/>
      <c r="G56" s="2509"/>
      <c r="H56" s="2509" t="s">
        <v>1823</v>
      </c>
      <c r="I56" s="2509"/>
      <c r="J56" s="2509"/>
      <c r="K56" s="2509"/>
      <c r="L56" s="2509"/>
      <c r="M56" s="2509" t="s">
        <v>1824</v>
      </c>
      <c r="N56" s="2509"/>
      <c r="O56" s="2509"/>
      <c r="P56" s="2509"/>
      <c r="Q56" s="2509"/>
    </row>
    <row r="57" spans="1:21">
      <c r="A57" s="2164" t="s">
        <v>3</v>
      </c>
      <c r="B57" s="2164" t="s">
        <v>887</v>
      </c>
      <c r="C57" s="2165" t="s">
        <v>1780</v>
      </c>
      <c r="D57" s="2165"/>
      <c r="E57" s="2509" t="s">
        <v>1781</v>
      </c>
      <c r="F57" s="2509"/>
      <c r="G57" s="2165"/>
      <c r="H57" s="2165" t="s">
        <v>1780</v>
      </c>
      <c r="I57" s="2165"/>
      <c r="J57" s="2509" t="s">
        <v>1781</v>
      </c>
      <c r="K57" s="2509"/>
      <c r="L57" s="2146"/>
      <c r="M57" s="2165" t="s">
        <v>1780</v>
      </c>
      <c r="N57" s="2165"/>
      <c r="O57" s="2509" t="s">
        <v>1781</v>
      </c>
      <c r="P57" s="2509"/>
      <c r="Q57" s="2146"/>
    </row>
    <row r="58" spans="1:21">
      <c r="A58" s="2146"/>
      <c r="B58" s="2164" t="s">
        <v>1782</v>
      </c>
      <c r="C58" s="2164" t="s">
        <v>1783</v>
      </c>
      <c r="D58" s="2164" t="s">
        <v>1784</v>
      </c>
      <c r="E58" s="2164" t="s">
        <v>1785</v>
      </c>
      <c r="F58" s="2164" t="s">
        <v>1784</v>
      </c>
      <c r="G58" s="2166" t="s">
        <v>239</v>
      </c>
      <c r="H58" s="2164" t="s">
        <v>1783</v>
      </c>
      <c r="I58" s="2164" t="s">
        <v>1784</v>
      </c>
      <c r="J58" s="2164" t="s">
        <v>1785</v>
      </c>
      <c r="K58" s="2164" t="s">
        <v>1784</v>
      </c>
      <c r="L58" s="2166" t="s">
        <v>239</v>
      </c>
      <c r="M58" s="2164" t="s">
        <v>1783</v>
      </c>
      <c r="N58" s="2164" t="s">
        <v>1784</v>
      </c>
      <c r="O58" s="2164" t="s">
        <v>1785</v>
      </c>
      <c r="P58" s="2164" t="s">
        <v>1784</v>
      </c>
      <c r="Q58" s="2166" t="s">
        <v>239</v>
      </c>
    </row>
    <row r="59" spans="1:21">
      <c r="A59" s="2146"/>
      <c r="B59" s="2146"/>
      <c r="C59" s="2146"/>
      <c r="D59" s="2146"/>
      <c r="E59" s="2146"/>
      <c r="F59" s="2146"/>
      <c r="G59" s="2146"/>
      <c r="H59" s="2146"/>
      <c r="I59" s="2146"/>
      <c r="J59" s="2146"/>
      <c r="K59" s="2146"/>
      <c r="L59" s="2146"/>
      <c r="M59" s="2146"/>
      <c r="N59" s="2146"/>
      <c r="O59" s="2146"/>
      <c r="P59" s="2146"/>
      <c r="Q59" s="2146"/>
    </row>
    <row r="60" spans="1:21">
      <c r="A60" s="2146"/>
      <c r="B60" s="2164" t="s">
        <v>1825</v>
      </c>
      <c r="C60" s="2146"/>
      <c r="D60" s="2146"/>
      <c r="E60" s="2146"/>
      <c r="F60" s="2146"/>
      <c r="G60" s="2146"/>
      <c r="H60" s="2146"/>
      <c r="I60" s="2146"/>
      <c r="J60" s="2146"/>
      <c r="K60" s="2146"/>
      <c r="L60" s="2146"/>
      <c r="M60" s="2146"/>
      <c r="N60" s="2146"/>
      <c r="O60" s="2146"/>
      <c r="P60" s="2146"/>
      <c r="Q60" s="2146"/>
    </row>
    <row r="61" spans="1:21">
      <c r="A61" s="2146"/>
      <c r="B61" s="2146"/>
      <c r="C61" s="2146"/>
      <c r="D61" s="2146"/>
      <c r="E61" s="2146"/>
      <c r="F61" s="2146"/>
      <c r="G61" s="2146"/>
      <c r="H61" s="2146"/>
      <c r="I61" s="2146"/>
      <c r="J61" s="2146"/>
      <c r="K61" s="2146"/>
      <c r="L61" s="2146"/>
      <c r="M61" s="2146"/>
      <c r="N61" s="2146"/>
      <c r="O61" s="2146"/>
      <c r="P61" s="2146"/>
      <c r="Q61" s="2146"/>
    </row>
    <row r="62" spans="1:21">
      <c r="A62" s="2187">
        <v>1</v>
      </c>
      <c r="B62" s="2146" t="s">
        <v>1826</v>
      </c>
      <c r="C62" s="2146"/>
      <c r="D62" s="2146"/>
      <c r="E62" s="2146"/>
      <c r="F62" s="2146"/>
      <c r="G62" s="2146"/>
      <c r="H62" s="2146"/>
      <c r="I62" s="2146"/>
      <c r="J62" s="2146"/>
      <c r="K62" s="2146"/>
      <c r="L62" s="2146"/>
      <c r="M62" s="2146"/>
      <c r="N62" s="2146"/>
      <c r="O62" s="2146"/>
      <c r="P62" s="2146"/>
      <c r="Q62" s="2146"/>
    </row>
    <row r="63" spans="1:21">
      <c r="A63" s="2187">
        <v>2</v>
      </c>
      <c r="B63" s="2164" t="s">
        <v>1827</v>
      </c>
      <c r="C63" s="2146"/>
      <c r="D63" s="2146"/>
      <c r="E63" s="2146"/>
      <c r="F63" s="2146"/>
      <c r="G63" s="2146"/>
      <c r="H63" s="2146"/>
      <c r="I63" s="2146"/>
      <c r="J63" s="2146"/>
      <c r="K63" s="2146"/>
      <c r="L63" s="2146"/>
      <c r="M63" s="2146"/>
      <c r="N63" s="2146"/>
      <c r="O63" s="2146"/>
      <c r="P63" s="2146"/>
      <c r="Q63" s="2146"/>
    </row>
    <row r="64" spans="1:21">
      <c r="A64" s="2187">
        <v>3</v>
      </c>
      <c r="B64" s="2146" t="s">
        <v>1828</v>
      </c>
      <c r="C64" s="2146"/>
      <c r="D64" s="2146"/>
      <c r="E64" s="2146"/>
      <c r="F64" s="2146"/>
      <c r="G64" s="2146"/>
      <c r="H64" s="2146"/>
      <c r="I64" s="2146"/>
      <c r="J64" s="2146"/>
      <c r="K64" s="2146"/>
      <c r="L64" s="2146"/>
      <c r="M64" s="2146"/>
      <c r="N64" s="2146"/>
      <c r="O64" s="2146"/>
      <c r="P64" s="2146"/>
      <c r="Q64" s="2146"/>
    </row>
    <row r="65" spans="1:21">
      <c r="A65" s="2187">
        <v>4</v>
      </c>
      <c r="B65" s="2164" t="s">
        <v>1829</v>
      </c>
      <c r="C65" s="2146"/>
      <c r="D65" s="2146"/>
      <c r="E65" s="2146"/>
      <c r="F65" s="2146"/>
      <c r="G65" s="2188">
        <f>'Employ Cost FY22-23-24- Final'!F143/10^5</f>
        <v>7378.9260575551343</v>
      </c>
      <c r="H65" s="2146">
        <v>0</v>
      </c>
      <c r="I65" s="2146">
        <v>0</v>
      </c>
      <c r="J65" s="2146">
        <v>0</v>
      </c>
      <c r="K65" s="2146">
        <v>0</v>
      </c>
      <c r="L65" s="2188">
        <f>'Employ Cost FY22-23-24- Final'!I143/10^5</f>
        <v>9826.199287379437</v>
      </c>
      <c r="M65" s="2146">
        <v>0</v>
      </c>
      <c r="N65" s="2146">
        <v>0</v>
      </c>
      <c r="O65" s="2146">
        <v>0</v>
      </c>
      <c r="P65" s="2146">
        <v>0</v>
      </c>
      <c r="Q65" s="2188">
        <f>'Employ Cost FY22-23-24- Final'!J143/10^5</f>
        <v>11781.455705452116</v>
      </c>
    </row>
    <row r="66" spans="1:21">
      <c r="A66" s="2187">
        <v>5</v>
      </c>
      <c r="B66" s="2164" t="s">
        <v>1813</v>
      </c>
      <c r="C66" s="2146"/>
      <c r="D66" s="2146"/>
      <c r="E66" s="2146"/>
      <c r="F66" s="2146"/>
      <c r="G66" s="2189"/>
      <c r="H66" s="2146">
        <v>0</v>
      </c>
      <c r="I66" s="2146">
        <v>0</v>
      </c>
      <c r="J66" s="2146">
        <v>0</v>
      </c>
      <c r="K66" s="2146">
        <v>0</v>
      </c>
      <c r="L66" s="2190"/>
      <c r="M66" s="2146">
        <v>0</v>
      </c>
      <c r="N66" s="2146">
        <v>0</v>
      </c>
      <c r="O66" s="2146">
        <v>0</v>
      </c>
      <c r="P66" s="2146">
        <v>0</v>
      </c>
      <c r="Q66" s="2190"/>
    </row>
    <row r="67" spans="1:21">
      <c r="A67" s="2187">
        <v>6</v>
      </c>
      <c r="B67" s="2164" t="s">
        <v>1814</v>
      </c>
      <c r="C67" s="2146"/>
      <c r="D67" s="2146"/>
      <c r="E67" s="2146"/>
      <c r="F67" s="2146"/>
      <c r="G67" s="2191">
        <f>G65-G66</f>
        <v>7378.9260575551343</v>
      </c>
      <c r="H67" s="2146"/>
      <c r="I67" s="2146"/>
      <c r="J67" s="2146"/>
      <c r="K67" s="2146"/>
      <c r="L67" s="2191">
        <f>L65-L66</f>
        <v>9826.199287379437</v>
      </c>
      <c r="M67" s="2146"/>
      <c r="N67" s="2146"/>
      <c r="O67" s="2146"/>
      <c r="P67" s="2146"/>
      <c r="Q67" s="2191">
        <f>Q65-Q66</f>
        <v>11781.455705452116</v>
      </c>
    </row>
    <row r="68" spans="1:21">
      <c r="A68" s="2192"/>
      <c r="B68" s="2193"/>
      <c r="C68" s="2192"/>
      <c r="D68" s="2192"/>
      <c r="E68" s="2192"/>
      <c r="F68" s="2192"/>
      <c r="G68" s="2192"/>
      <c r="H68" s="2192"/>
      <c r="I68" s="2192"/>
      <c r="J68" s="2192"/>
      <c r="K68" s="2192"/>
      <c r="L68" s="2192"/>
      <c r="M68" s="2192"/>
      <c r="N68" s="2192"/>
      <c r="O68" s="2192"/>
      <c r="P68" s="2192"/>
      <c r="Q68" s="2192"/>
    </row>
    <row r="69" spans="1:21">
      <c r="A69" s="2192"/>
      <c r="B69" s="2193"/>
      <c r="C69" s="2192"/>
      <c r="D69" s="2192"/>
      <c r="E69" s="2192"/>
      <c r="F69" s="2192"/>
      <c r="G69" s="2192"/>
      <c r="H69" s="2192"/>
      <c r="I69" s="2192"/>
      <c r="J69" s="2192"/>
      <c r="K69" s="2192"/>
      <c r="L69" s="2192"/>
      <c r="M69" s="2192"/>
      <c r="N69" s="2192"/>
      <c r="O69" s="2192"/>
      <c r="P69" s="2192"/>
      <c r="Q69" s="2192"/>
    </row>
    <row r="70" spans="1:21">
      <c r="A70" s="2642" t="s">
        <v>1830</v>
      </c>
      <c r="B70" s="2646"/>
      <c r="C70" s="2646"/>
      <c r="D70" s="2646"/>
      <c r="E70" s="2646"/>
      <c r="F70" s="2646"/>
      <c r="G70" s="2646"/>
      <c r="H70" s="2646"/>
      <c r="I70" s="2646"/>
      <c r="J70" s="2646"/>
      <c r="K70" s="2646"/>
      <c r="L70" s="2646"/>
      <c r="M70" s="2646"/>
      <c r="N70" s="2646"/>
      <c r="O70" s="2646"/>
      <c r="P70" s="2646"/>
      <c r="Q70" s="2643"/>
    </row>
    <row r="71" spans="1:21">
      <c r="A71" s="2509" t="s">
        <v>1831</v>
      </c>
      <c r="B71" s="2509"/>
      <c r="C71" s="2509"/>
      <c r="D71" s="2509"/>
      <c r="E71" s="2509"/>
      <c r="F71" s="2509"/>
      <c r="G71" s="2509"/>
      <c r="H71" s="2509"/>
      <c r="I71" s="2509"/>
      <c r="J71" s="2509"/>
      <c r="K71" s="2509"/>
      <c r="L71" s="2509"/>
      <c r="M71" s="2509"/>
      <c r="N71" s="2509"/>
      <c r="O71" s="2509"/>
      <c r="P71" s="2509"/>
      <c r="Q71" s="2509"/>
    </row>
    <row r="72" spans="1:21">
      <c r="A72" s="2146"/>
      <c r="B72" s="2146"/>
      <c r="C72" s="2509" t="s">
        <v>1832</v>
      </c>
      <c r="D72" s="2509"/>
      <c r="E72" s="2509"/>
      <c r="F72" s="2509"/>
      <c r="G72" s="2509"/>
      <c r="H72" s="2509" t="s">
        <v>1823</v>
      </c>
      <c r="I72" s="2509"/>
      <c r="J72" s="2509"/>
      <c r="K72" s="2509"/>
      <c r="L72" s="2509"/>
      <c r="M72" s="2509" t="s">
        <v>1833</v>
      </c>
      <c r="N72" s="2509"/>
      <c r="O72" s="2509"/>
      <c r="P72" s="2509"/>
      <c r="Q72" s="2509"/>
    </row>
    <row r="73" spans="1:21">
      <c r="A73" s="2164" t="s">
        <v>3</v>
      </c>
      <c r="B73" s="2164" t="s">
        <v>887</v>
      </c>
      <c r="C73" s="2165" t="s">
        <v>1780</v>
      </c>
      <c r="D73" s="2165"/>
      <c r="E73" s="2509" t="s">
        <v>1781</v>
      </c>
      <c r="F73" s="2509"/>
      <c r="G73" s="2165"/>
      <c r="H73" s="2165" t="s">
        <v>1780</v>
      </c>
      <c r="I73" s="2165"/>
      <c r="J73" s="2509" t="s">
        <v>1781</v>
      </c>
      <c r="K73" s="2509"/>
      <c r="L73" s="2146"/>
      <c r="M73" s="2165" t="s">
        <v>1780</v>
      </c>
      <c r="N73" s="2165"/>
      <c r="O73" s="2509" t="s">
        <v>1781</v>
      </c>
      <c r="P73" s="2509"/>
      <c r="Q73" s="2146"/>
    </row>
    <row r="74" spans="1:21">
      <c r="A74" s="2146"/>
      <c r="B74" s="2164" t="s">
        <v>1782</v>
      </c>
      <c r="C74" s="2164" t="s">
        <v>1783</v>
      </c>
      <c r="D74" s="2164" t="s">
        <v>1784</v>
      </c>
      <c r="E74" s="2164" t="s">
        <v>1785</v>
      </c>
      <c r="F74" s="2164" t="s">
        <v>1784</v>
      </c>
      <c r="G74" s="2166" t="s">
        <v>239</v>
      </c>
      <c r="H74" s="2164" t="s">
        <v>1783</v>
      </c>
      <c r="I74" s="2164" t="s">
        <v>1784</v>
      </c>
      <c r="J74" s="2164" t="s">
        <v>1785</v>
      </c>
      <c r="K74" s="2164" t="s">
        <v>1784</v>
      </c>
      <c r="L74" s="2166" t="s">
        <v>239</v>
      </c>
      <c r="M74" s="2164" t="s">
        <v>1783</v>
      </c>
      <c r="N74" s="2164" t="s">
        <v>1784</v>
      </c>
      <c r="O74" s="2164" t="s">
        <v>1785</v>
      </c>
      <c r="P74" s="2164" t="s">
        <v>1784</v>
      </c>
      <c r="Q74" s="2166" t="s">
        <v>239</v>
      </c>
      <c r="T74" s="1586"/>
    </row>
    <row r="75" spans="1:21">
      <c r="A75" s="2146"/>
      <c r="B75" s="2146"/>
      <c r="C75" s="2146"/>
      <c r="D75" s="2146"/>
      <c r="E75" s="2146"/>
      <c r="F75" s="2146"/>
      <c r="G75" s="2146"/>
      <c r="H75" s="2146"/>
      <c r="I75" s="2146"/>
      <c r="J75" s="2146"/>
      <c r="K75" s="2146"/>
      <c r="L75" s="2146"/>
      <c r="M75" s="2146"/>
      <c r="N75" s="2146"/>
      <c r="O75" s="2146"/>
      <c r="P75" s="2146"/>
      <c r="Q75" s="2146"/>
    </row>
    <row r="76" spans="1:21" ht="30.75">
      <c r="A76" s="2187">
        <v>1</v>
      </c>
      <c r="B76" s="2389" t="s">
        <v>1834</v>
      </c>
      <c r="C76" s="2146"/>
      <c r="D76" s="2146"/>
      <c r="E76" s="2146"/>
      <c r="F76" s="2146"/>
      <c r="G76" s="2191">
        <f>G42+G67</f>
        <v>44031.523751400004</v>
      </c>
      <c r="H76" s="2146"/>
      <c r="I76" s="2146"/>
      <c r="J76" s="2146"/>
      <c r="K76" s="2146"/>
      <c r="L76" s="2191">
        <f>L42+L67</f>
        <v>48834.718809122685</v>
      </c>
      <c r="M76" s="2146"/>
      <c r="N76" s="2146"/>
      <c r="O76" s="2146"/>
      <c r="P76" s="2146"/>
      <c r="Q76" s="2191">
        <f>Q42+Q67</f>
        <v>53271.740660958902</v>
      </c>
      <c r="S76" s="2055"/>
      <c r="T76" s="2056"/>
      <c r="U76" s="2056"/>
    </row>
    <row r="77" spans="1:21">
      <c r="A77" s="2192"/>
      <c r="B77" s="2193"/>
      <c r="C77" s="2192"/>
      <c r="D77" s="2192"/>
      <c r="E77" s="2192"/>
      <c r="F77" s="2192"/>
      <c r="G77" s="2192"/>
      <c r="H77" s="2192"/>
      <c r="I77" s="2192"/>
      <c r="J77" s="2192"/>
      <c r="K77" s="2192"/>
      <c r="L77" s="2192"/>
      <c r="M77" s="2192"/>
      <c r="N77" s="2192"/>
      <c r="O77" s="2192"/>
      <c r="P77" s="2192"/>
      <c r="Q77" s="2192"/>
      <c r="S77" s="1586"/>
      <c r="T77" s="1586"/>
      <c r="U77" s="2054"/>
    </row>
    <row r="78" spans="1:21">
      <c r="A78" s="2192"/>
      <c r="B78" s="2193"/>
      <c r="C78" s="2192"/>
      <c r="D78" s="2192"/>
      <c r="E78" s="2192"/>
      <c r="F78" s="2192"/>
      <c r="G78" s="2192"/>
      <c r="H78" s="2192"/>
      <c r="I78" s="2192"/>
      <c r="J78" s="2192"/>
      <c r="K78" s="2192"/>
      <c r="L78" s="2192"/>
      <c r="M78" s="2192"/>
      <c r="N78" s="2192"/>
      <c r="O78" s="2192"/>
      <c r="P78" s="2192"/>
      <c r="Q78" s="2192"/>
    </row>
    <row r="79" spans="1:21" ht="31.5" hidden="1">
      <c r="A79" s="2146"/>
      <c r="B79" s="2148" t="s">
        <v>1835</v>
      </c>
      <c r="C79" s="2194" t="s">
        <v>1836</v>
      </c>
      <c r="D79" s="2194" t="s">
        <v>1837</v>
      </c>
      <c r="E79" s="2194" t="s">
        <v>1838</v>
      </c>
      <c r="F79" s="2192"/>
      <c r="G79" s="2192"/>
      <c r="H79" s="2192"/>
      <c r="I79" s="2192"/>
      <c r="J79" s="2192"/>
      <c r="K79" s="2192"/>
      <c r="L79" s="2192"/>
      <c r="M79" s="2192"/>
      <c r="N79" s="2192"/>
      <c r="O79" s="2192"/>
      <c r="P79" s="2192"/>
      <c r="Q79" s="2192"/>
    </row>
    <row r="80" spans="1:21" hidden="1">
      <c r="A80" s="2187">
        <v>1</v>
      </c>
      <c r="B80" s="2146" t="s">
        <v>1839</v>
      </c>
      <c r="C80" s="2195">
        <f>543+2069</f>
        <v>2612</v>
      </c>
      <c r="D80" s="2187">
        <f>C83</f>
        <v>3011</v>
      </c>
      <c r="E80" s="2187">
        <f>D83</f>
        <v>3017</v>
      </c>
      <c r="F80" s="2192"/>
      <c r="G80" s="2192"/>
      <c r="H80" s="2192"/>
      <c r="I80" s="2192"/>
      <c r="J80" s="2192"/>
      <c r="K80" s="2192"/>
      <c r="L80" s="2192"/>
      <c r="M80" s="2192"/>
      <c r="N80" s="2192"/>
      <c r="O80" s="2192"/>
      <c r="P80" s="2192"/>
      <c r="Q80" s="2192"/>
    </row>
    <row r="81" spans="1:18" hidden="1">
      <c r="A81" s="2187">
        <v>2</v>
      </c>
      <c r="B81" s="2146" t="s">
        <v>1840</v>
      </c>
      <c r="C81" s="2196">
        <f>530</f>
        <v>530</v>
      </c>
      <c r="D81" s="2196">
        <v>25</v>
      </c>
      <c r="E81" s="2196">
        <v>128</v>
      </c>
      <c r="F81" s="2192"/>
      <c r="G81" s="2192"/>
      <c r="H81" s="2192"/>
      <c r="I81" s="2192"/>
      <c r="J81" s="2192"/>
      <c r="K81" s="2192"/>
      <c r="L81" s="2192"/>
      <c r="M81" s="2192"/>
      <c r="N81" s="2192"/>
      <c r="O81" s="2192"/>
      <c r="P81" s="2192"/>
      <c r="Q81" s="2192"/>
    </row>
    <row r="82" spans="1:18" hidden="1">
      <c r="A82" s="2187">
        <v>3</v>
      </c>
      <c r="B82" s="2146" t="s">
        <v>1841</v>
      </c>
      <c r="C82" s="2196">
        <f>96+35</f>
        <v>131</v>
      </c>
      <c r="D82" s="2196">
        <f>SUM('[24]Erstwhile salaries'!D2:P2)</f>
        <v>19</v>
      </c>
      <c r="E82" s="2196">
        <f>SUM('[24]Erstwhile salaries'!Q2:AB2)</f>
        <v>38</v>
      </c>
      <c r="F82" s="2192"/>
      <c r="G82" s="2192"/>
      <c r="H82" s="2192"/>
      <c r="I82" s="2192"/>
      <c r="J82" s="2192"/>
      <c r="K82" s="2192"/>
      <c r="L82" s="2192"/>
      <c r="M82" s="2192"/>
      <c r="N82" s="2192"/>
      <c r="O82" s="2192"/>
      <c r="P82" s="2192"/>
      <c r="Q82" s="2192"/>
    </row>
    <row r="83" spans="1:18" hidden="1">
      <c r="A83" s="2187">
        <v>4</v>
      </c>
      <c r="B83" s="2146" t="s">
        <v>1842</v>
      </c>
      <c r="C83" s="2196">
        <f>C80+C81-C82</f>
        <v>3011</v>
      </c>
      <c r="D83" s="2187">
        <f>D80+D81-D82</f>
        <v>3017</v>
      </c>
      <c r="E83" s="2187">
        <f>E80+E81-E82</f>
        <v>3107</v>
      </c>
      <c r="F83" s="2192"/>
      <c r="G83" s="2192"/>
      <c r="H83" s="2192"/>
      <c r="I83" s="2192"/>
      <c r="J83" s="2192"/>
      <c r="K83" s="2192"/>
      <c r="L83" s="2192"/>
      <c r="M83" s="2192"/>
      <c r="N83" s="2192"/>
      <c r="O83" s="2192"/>
      <c r="P83" s="2192"/>
      <c r="Q83" s="2192"/>
    </row>
    <row r="84" spans="1:18" hidden="1">
      <c r="A84" s="2187">
        <v>5</v>
      </c>
      <c r="B84" s="2146" t="s">
        <v>1843</v>
      </c>
      <c r="C84" s="2197">
        <v>5415.1240144984004</v>
      </c>
      <c r="D84" s="2198">
        <v>6403.4330531926225</v>
      </c>
      <c r="E84" s="2198">
        <v>7016.6299999999992</v>
      </c>
      <c r="F84" s="2192"/>
      <c r="G84" s="2192"/>
      <c r="H84" s="2192"/>
      <c r="I84" s="2192"/>
      <c r="J84" s="2192"/>
      <c r="K84" s="2192"/>
      <c r="L84" s="2192"/>
      <c r="M84" s="2192"/>
      <c r="N84" s="2192"/>
      <c r="O84" s="2192"/>
      <c r="P84" s="2192"/>
      <c r="Q84" s="2192"/>
    </row>
    <row r="85" spans="1:18" hidden="1">
      <c r="A85" s="2187">
        <v>6</v>
      </c>
      <c r="B85" s="2146" t="s">
        <v>1817</v>
      </c>
      <c r="C85" s="2199">
        <f>C83/C84</f>
        <v>0.55603528043649197</v>
      </c>
      <c r="D85" s="2200">
        <f>D83/D84</f>
        <v>0.47115351639317671</v>
      </c>
      <c r="E85" s="2200">
        <f>E83/E84</f>
        <v>0.44280516430252137</v>
      </c>
      <c r="F85" s="2192"/>
      <c r="G85" s="2192"/>
      <c r="H85" s="2192"/>
      <c r="I85" s="2192"/>
      <c r="J85" s="2192"/>
      <c r="K85" s="2192"/>
      <c r="L85" s="2192"/>
      <c r="M85" s="2192"/>
      <c r="N85" s="2192"/>
      <c r="O85" s="2192"/>
      <c r="P85" s="2192"/>
      <c r="Q85" s="2192"/>
    </row>
    <row r="86" spans="1:18" hidden="1">
      <c r="A86" s="2187">
        <v>7</v>
      </c>
      <c r="B86" s="2146" t="s">
        <v>1844</v>
      </c>
      <c r="C86" s="2196">
        <v>2041588</v>
      </c>
      <c r="D86" s="2187">
        <v>1994409</v>
      </c>
      <c r="E86" s="2187">
        <v>2090386</v>
      </c>
      <c r="F86" s="2192"/>
      <c r="G86" s="30"/>
      <c r="H86" s="2192"/>
      <c r="I86" s="2192"/>
      <c r="J86" s="2192"/>
      <c r="K86" s="2192"/>
      <c r="L86" s="2192"/>
      <c r="M86" s="2192"/>
      <c r="N86" s="2192"/>
      <c r="O86" s="2192"/>
      <c r="P86" s="2192"/>
      <c r="Q86" s="2192"/>
    </row>
    <row r="87" spans="1:18" hidden="1">
      <c r="A87" s="2187">
        <v>8</v>
      </c>
      <c r="B87" s="2146" t="s">
        <v>1819</v>
      </c>
      <c r="C87" s="2200">
        <f>C83/2041</f>
        <v>1.4752572268495836</v>
      </c>
      <c r="D87" s="2200">
        <f>D83/1994</f>
        <v>1.5130391173520561</v>
      </c>
      <c r="E87" s="2200">
        <f>E83/2090</f>
        <v>1.4866028708133971</v>
      </c>
      <c r="F87" s="2192"/>
      <c r="G87" s="2192"/>
      <c r="H87" s="2192"/>
      <c r="I87" s="2192"/>
      <c r="J87" s="2192"/>
      <c r="K87" s="2192"/>
      <c r="L87" s="2192"/>
      <c r="M87" s="2192"/>
      <c r="N87" s="2192"/>
      <c r="O87" s="2192"/>
      <c r="P87" s="2192"/>
      <c r="Q87" s="2192"/>
    </row>
    <row r="88" spans="1:18" hidden="1">
      <c r="A88" s="2192"/>
      <c r="B88" s="2192"/>
      <c r="C88" s="2192"/>
      <c r="D88" s="2192"/>
      <c r="E88" s="2192"/>
      <c r="F88" s="2192"/>
      <c r="G88" s="2192"/>
      <c r="H88" s="2192"/>
      <c r="I88" s="2192"/>
      <c r="J88" s="2192"/>
      <c r="K88" s="2192"/>
      <c r="L88" s="2192"/>
      <c r="M88" s="2192"/>
      <c r="N88" s="2192"/>
      <c r="O88" s="2192"/>
      <c r="P88" s="2192"/>
      <c r="Q88" s="2192"/>
    </row>
    <row r="89" spans="1:18" hidden="1">
      <c r="A89" s="2192"/>
      <c r="B89" s="2642" t="s">
        <v>1845</v>
      </c>
      <c r="C89" s="2643"/>
      <c r="D89" s="2201"/>
      <c r="E89" s="2202"/>
      <c r="F89" s="2193"/>
      <c r="G89" s="2193"/>
      <c r="H89" s="2193"/>
      <c r="I89" s="2193"/>
      <c r="J89" s="2193"/>
      <c r="K89" s="2193"/>
      <c r="L89" s="2193"/>
      <c r="M89" s="2193"/>
      <c r="N89" s="2193"/>
      <c r="O89" s="2193"/>
      <c r="P89" s="2193"/>
      <c r="Q89" s="2193"/>
      <c r="R89" s="1225"/>
    </row>
    <row r="90" spans="1:18" ht="39" hidden="1" customHeight="1">
      <c r="A90" s="2192"/>
      <c r="B90" s="2644" t="s">
        <v>1846</v>
      </c>
      <c r="C90" s="2645"/>
      <c r="D90" s="2192"/>
      <c r="E90" s="2192"/>
      <c r="F90" s="2192"/>
      <c r="G90" s="2192"/>
      <c r="H90" s="2192"/>
      <c r="I90" s="2192"/>
      <c r="J90" s="2192"/>
      <c r="K90" s="2192"/>
      <c r="L90" s="2192"/>
      <c r="M90" s="2192"/>
      <c r="N90" s="2192"/>
      <c r="O90" s="2192"/>
      <c r="P90" s="2192"/>
      <c r="Q90" s="2192"/>
    </row>
    <row r="91" spans="1:18" hidden="1">
      <c r="A91" s="2192"/>
      <c r="B91" s="2203" t="s">
        <v>1847</v>
      </c>
      <c r="C91" s="2204" t="s">
        <v>1848</v>
      </c>
      <c r="D91" s="2205"/>
      <c r="E91" s="2205"/>
      <c r="F91" s="2205"/>
      <c r="G91" s="2192"/>
      <c r="H91" s="2192"/>
      <c r="I91" s="2192"/>
      <c r="J91" s="2192"/>
      <c r="K91" s="2192"/>
      <c r="L91" s="2192"/>
      <c r="M91" s="2192"/>
      <c r="N91" s="2192"/>
      <c r="O91" s="2192"/>
      <c r="P91" s="2192"/>
      <c r="Q91" s="2192"/>
    </row>
    <row r="92" spans="1:18" hidden="1">
      <c r="A92" s="2192"/>
      <c r="B92" s="2206" t="s">
        <v>1849</v>
      </c>
      <c r="C92" s="2207">
        <f>C80</f>
        <v>2612</v>
      </c>
      <c r="D92" s="2208"/>
      <c r="E92" s="2208"/>
      <c r="F92" s="2208"/>
      <c r="G92" s="2192"/>
      <c r="H92" s="2192"/>
      <c r="I92" s="2192"/>
      <c r="J92" s="2192"/>
      <c r="K92" s="2192"/>
      <c r="L92" s="2192"/>
      <c r="M92" s="2192"/>
      <c r="N92" s="2192"/>
      <c r="O92" s="2192"/>
      <c r="P92" s="2192"/>
      <c r="Q92" s="2192"/>
    </row>
    <row r="93" spans="1:18" hidden="1">
      <c r="A93" s="2192"/>
      <c r="B93" s="2206" t="s">
        <v>1850</v>
      </c>
      <c r="C93" s="2207">
        <f>C81</f>
        <v>530</v>
      </c>
      <c r="D93" s="2208"/>
      <c r="E93" s="2208"/>
      <c r="F93" s="2208"/>
      <c r="G93" s="2192"/>
      <c r="H93" s="2192"/>
      <c r="I93" s="2192"/>
      <c r="J93" s="2192"/>
      <c r="K93" s="2192"/>
      <c r="L93" s="2192"/>
      <c r="M93" s="2192"/>
      <c r="N93" s="2192"/>
      <c r="O93" s="2192"/>
      <c r="P93" s="2192"/>
      <c r="Q93" s="2192"/>
    </row>
    <row r="94" spans="1:18" ht="30" hidden="1">
      <c r="A94" s="2192"/>
      <c r="B94" s="2209" t="s">
        <v>1851</v>
      </c>
      <c r="C94" s="2207">
        <f>C82</f>
        <v>131</v>
      </c>
      <c r="D94" s="2208"/>
      <c r="E94" s="2208"/>
      <c r="F94" s="2208"/>
      <c r="G94" s="2192"/>
      <c r="H94" s="2192"/>
      <c r="I94" s="2192"/>
      <c r="J94" s="2192"/>
      <c r="K94" s="2192"/>
      <c r="L94" s="2192"/>
      <c r="M94" s="2192"/>
      <c r="N94" s="2192"/>
      <c r="O94" s="2192"/>
      <c r="P94" s="2192"/>
      <c r="Q94" s="2192"/>
    </row>
    <row r="95" spans="1:18" hidden="1">
      <c r="A95" s="2192"/>
      <c r="B95" s="2206" t="s">
        <v>1852</v>
      </c>
      <c r="C95" s="2207">
        <f>C92+C93-C94</f>
        <v>3011</v>
      </c>
      <c r="D95" s="2208"/>
      <c r="E95" s="2208"/>
      <c r="F95" s="2208"/>
      <c r="G95" s="2192"/>
      <c r="H95" s="2192"/>
      <c r="I95" s="2192"/>
      <c r="J95" s="2192"/>
      <c r="K95" s="2192"/>
      <c r="L95" s="2192"/>
      <c r="M95" s="2192"/>
      <c r="N95" s="2192"/>
      <c r="O95" s="2192"/>
      <c r="P95" s="2192"/>
      <c r="Q95" s="2192"/>
    </row>
    <row r="96" spans="1:18" hidden="1">
      <c r="A96" s="2192"/>
      <c r="B96" s="2206" t="s">
        <v>1853</v>
      </c>
      <c r="C96" s="2210">
        <f>D81</f>
        <v>25</v>
      </c>
      <c r="D96" s="2208"/>
      <c r="E96" s="2208"/>
      <c r="F96" s="2208"/>
      <c r="G96" s="2192"/>
      <c r="H96" s="2192"/>
      <c r="I96" s="2192"/>
      <c r="J96" s="2192"/>
      <c r="K96" s="2192"/>
      <c r="L96" s="2192"/>
      <c r="M96" s="2192"/>
      <c r="N96" s="2192"/>
      <c r="O96" s="2192"/>
      <c r="P96" s="2192"/>
      <c r="Q96" s="2192"/>
    </row>
    <row r="97" spans="1:17" ht="30" hidden="1">
      <c r="A97" s="2192"/>
      <c r="B97" s="2209" t="s">
        <v>1854</v>
      </c>
      <c r="C97" s="2207">
        <f>D82</f>
        <v>19</v>
      </c>
      <c r="D97" s="2208"/>
      <c r="E97" s="2208"/>
      <c r="F97" s="2208"/>
      <c r="G97" s="2192"/>
      <c r="H97" s="2192"/>
      <c r="I97" s="2192"/>
      <c r="J97" s="2192"/>
      <c r="K97" s="2192"/>
      <c r="L97" s="2192"/>
      <c r="M97" s="2192"/>
      <c r="N97" s="2192"/>
      <c r="O97" s="2192"/>
      <c r="P97" s="2192"/>
      <c r="Q97" s="2192"/>
    </row>
    <row r="98" spans="1:17" hidden="1">
      <c r="A98" s="2192"/>
      <c r="B98" s="2206" t="s">
        <v>1855</v>
      </c>
      <c r="C98" s="2211">
        <f>C95+C96-C97</f>
        <v>3017</v>
      </c>
      <c r="D98" s="2208"/>
      <c r="E98" s="2208"/>
      <c r="F98" s="2208"/>
      <c r="G98" s="2192"/>
      <c r="H98" s="2192"/>
      <c r="I98" s="2192"/>
      <c r="J98" s="2192"/>
      <c r="K98" s="2192"/>
      <c r="L98" s="2192"/>
      <c r="M98" s="2192"/>
      <c r="N98" s="2192"/>
      <c r="O98" s="2192"/>
      <c r="P98" s="2192"/>
      <c r="Q98" s="2192"/>
    </row>
    <row r="99" spans="1:17" hidden="1">
      <c r="A99" s="2192"/>
      <c r="B99" s="2206" t="s">
        <v>1856</v>
      </c>
      <c r="C99" s="2210">
        <f>E81</f>
        <v>128</v>
      </c>
      <c r="D99" s="2208"/>
      <c r="E99" s="2208"/>
      <c r="F99" s="2208"/>
      <c r="G99" s="2192"/>
      <c r="H99" s="2192"/>
      <c r="I99" s="2192"/>
      <c r="J99" s="2192"/>
      <c r="K99" s="2192"/>
      <c r="L99" s="2192"/>
      <c r="M99" s="2192"/>
      <c r="N99" s="2192"/>
      <c r="O99" s="2192"/>
      <c r="P99" s="2192"/>
      <c r="Q99" s="2192"/>
    </row>
    <row r="100" spans="1:17" ht="30" hidden="1">
      <c r="A100" s="2192"/>
      <c r="B100" s="2209" t="s">
        <v>1857</v>
      </c>
      <c r="C100" s="2207">
        <f>E82</f>
        <v>38</v>
      </c>
      <c r="D100" s="2208"/>
      <c r="E100" s="2208"/>
      <c r="F100" s="2208"/>
      <c r="G100" s="2192"/>
      <c r="H100" s="2192"/>
      <c r="I100" s="2192"/>
      <c r="J100" s="2192"/>
      <c r="K100" s="2192"/>
      <c r="L100" s="2192"/>
      <c r="M100" s="2192"/>
      <c r="N100" s="2192"/>
      <c r="O100" s="2192"/>
      <c r="P100" s="2192"/>
      <c r="Q100" s="2192"/>
    </row>
    <row r="101" spans="1:17" hidden="1">
      <c r="A101" s="2192"/>
      <c r="B101" s="2206" t="s">
        <v>1858</v>
      </c>
      <c r="C101" s="2207">
        <f>C98+C99-C100</f>
        <v>3107</v>
      </c>
      <c r="D101" s="2208"/>
      <c r="E101" s="2208"/>
      <c r="F101" s="2208"/>
      <c r="G101" s="2192"/>
      <c r="H101" s="2192"/>
      <c r="I101" s="2192"/>
      <c r="J101" s="2192"/>
      <c r="K101" s="2192"/>
      <c r="L101" s="2192"/>
      <c r="M101" s="2192"/>
      <c r="N101" s="2192"/>
      <c r="O101" s="2192"/>
      <c r="P101" s="2192"/>
      <c r="Q101" s="2192"/>
    </row>
    <row r="102" spans="1:17" ht="24" hidden="1" customHeight="1">
      <c r="A102" s="2192"/>
      <c r="B102" s="2192"/>
      <c r="C102" s="2192"/>
      <c r="D102" s="1226"/>
      <c r="E102" s="1226"/>
      <c r="F102" s="1226"/>
      <c r="G102" s="2192"/>
      <c r="H102" s="2192"/>
      <c r="I102" s="2192"/>
      <c r="J102" s="2192"/>
      <c r="K102" s="2192"/>
      <c r="L102" s="2192"/>
      <c r="M102" s="2192"/>
      <c r="N102" s="2192"/>
      <c r="O102" s="2192"/>
      <c r="P102" s="2192"/>
      <c r="Q102" s="2192"/>
    </row>
    <row r="103" spans="1:17" ht="24.75" hidden="1" customHeight="1">
      <c r="A103" s="2192"/>
      <c r="B103" s="2203" t="s">
        <v>1859</v>
      </c>
      <c r="C103" s="2204" t="s">
        <v>1848</v>
      </c>
      <c r="D103" s="2205"/>
      <c r="E103" s="2205"/>
      <c r="F103" s="2205"/>
      <c r="G103" s="2192"/>
      <c r="H103" s="2192"/>
      <c r="I103" s="2192"/>
      <c r="J103" s="2192"/>
      <c r="K103" s="2192"/>
      <c r="L103" s="2192"/>
      <c r="M103" s="2192"/>
      <c r="N103" s="2192"/>
      <c r="O103" s="2192"/>
      <c r="P103" s="2192"/>
      <c r="Q103" s="2192"/>
    </row>
    <row r="104" spans="1:17" ht="30" hidden="1" customHeight="1">
      <c r="A104" s="2192"/>
      <c r="B104" s="2206" t="s">
        <v>1849</v>
      </c>
      <c r="C104" s="2068">
        <f>2146+13</f>
        <v>2159</v>
      </c>
      <c r="D104" s="2208"/>
      <c r="E104" s="2208"/>
      <c r="F104" s="2212"/>
      <c r="G104" s="2192"/>
      <c r="H104" s="2192"/>
      <c r="I104" s="2192"/>
      <c r="J104" s="2192"/>
      <c r="K104" s="2192"/>
      <c r="L104" s="2192"/>
      <c r="M104" s="2192"/>
      <c r="N104" s="2192"/>
      <c r="O104" s="2192"/>
      <c r="P104" s="2192"/>
      <c r="Q104" s="2192"/>
    </row>
    <row r="105" spans="1:17" hidden="1">
      <c r="A105" s="2192"/>
      <c r="B105" s="2206" t="s">
        <v>1850</v>
      </c>
      <c r="C105" s="2068">
        <v>526</v>
      </c>
      <c r="D105" s="2208"/>
      <c r="E105" s="2208"/>
      <c r="F105" s="2212"/>
      <c r="G105" s="2192"/>
      <c r="H105" s="2192"/>
      <c r="I105" s="2192"/>
      <c r="J105" s="2192"/>
      <c r="K105" s="2192"/>
      <c r="L105" s="2192"/>
      <c r="M105" s="2192"/>
      <c r="N105" s="2192"/>
      <c r="O105" s="2192"/>
      <c r="P105" s="2192"/>
      <c r="Q105" s="2192"/>
    </row>
    <row r="106" spans="1:17" ht="30" hidden="1">
      <c r="A106" s="2192"/>
      <c r="B106" s="2213" t="s">
        <v>1851</v>
      </c>
      <c r="C106" s="2068">
        <f>87+13</f>
        <v>100</v>
      </c>
      <c r="D106" s="2212"/>
      <c r="E106" s="2212"/>
      <c r="F106" s="2212"/>
      <c r="G106" s="2192"/>
      <c r="H106" s="2192"/>
      <c r="I106" s="2192"/>
      <c r="J106" s="2192"/>
      <c r="K106" s="2192"/>
      <c r="L106" s="2192"/>
      <c r="M106" s="2192"/>
      <c r="N106" s="2192"/>
      <c r="O106" s="2192"/>
      <c r="P106" s="2192"/>
      <c r="Q106" s="2192"/>
    </row>
    <row r="107" spans="1:17" hidden="1">
      <c r="A107" s="2192"/>
      <c r="B107" s="2206" t="s">
        <v>1852</v>
      </c>
      <c r="C107" s="2068">
        <f>C104+C105-C106</f>
        <v>2585</v>
      </c>
      <c r="D107" s="2208"/>
      <c r="E107" s="2208"/>
      <c r="F107" s="2212"/>
      <c r="G107" s="2192"/>
      <c r="H107" s="2192"/>
      <c r="I107" s="2192"/>
      <c r="J107" s="2192"/>
      <c r="K107" s="2192"/>
      <c r="L107" s="2192"/>
      <c r="M107" s="2192"/>
      <c r="N107" s="2192"/>
      <c r="O107" s="2192"/>
      <c r="P107" s="2192"/>
      <c r="Q107" s="2192"/>
    </row>
    <row r="108" spans="1:17" hidden="1">
      <c r="A108" s="2192"/>
      <c r="B108" s="2206" t="s">
        <v>1853</v>
      </c>
      <c r="C108" s="2214">
        <v>551</v>
      </c>
      <c r="D108" s="2208"/>
      <c r="E108" s="2208"/>
      <c r="F108" s="2215"/>
      <c r="G108" s="2192"/>
      <c r="H108" s="2192"/>
      <c r="I108" s="2192"/>
      <c r="J108" s="2192"/>
      <c r="K108" s="2192"/>
      <c r="L108" s="2192"/>
      <c r="M108" s="2192"/>
      <c r="N108" s="2192"/>
      <c r="O108" s="2192"/>
      <c r="P108" s="2192"/>
      <c r="Q108" s="2192"/>
    </row>
    <row r="109" spans="1:17" ht="30" hidden="1">
      <c r="A109" s="2192"/>
      <c r="B109" s="2213" t="s">
        <v>1854</v>
      </c>
      <c r="C109" s="2068">
        <v>93</v>
      </c>
      <c r="D109" s="2212"/>
      <c r="E109" s="2212"/>
      <c r="F109" s="2212"/>
      <c r="G109" s="2192"/>
      <c r="H109" s="2192"/>
      <c r="I109" s="2192"/>
      <c r="J109" s="2192"/>
      <c r="K109" s="2192"/>
      <c r="L109" s="2192"/>
      <c r="M109" s="2192"/>
      <c r="N109" s="2192"/>
      <c r="O109" s="2192"/>
      <c r="P109" s="2192"/>
      <c r="Q109" s="2192"/>
    </row>
    <row r="110" spans="1:17" hidden="1">
      <c r="A110" s="2192"/>
      <c r="B110" s="2206" t="s">
        <v>1855</v>
      </c>
      <c r="C110" s="2068">
        <f>C107+C108-C109</f>
        <v>3043</v>
      </c>
      <c r="D110" s="2208"/>
      <c r="E110" s="2208"/>
      <c r="F110" s="2215"/>
      <c r="G110" s="2192"/>
      <c r="H110" s="2192"/>
      <c r="I110" s="2192"/>
      <c r="J110" s="2192"/>
      <c r="K110" s="2192"/>
      <c r="L110" s="2192"/>
      <c r="M110" s="2192"/>
      <c r="N110" s="2192"/>
      <c r="O110" s="2192"/>
      <c r="P110" s="2192"/>
      <c r="Q110" s="2192"/>
    </row>
    <row r="111" spans="1:17" hidden="1">
      <c r="A111" s="2192"/>
      <c r="B111" s="2206" t="s">
        <v>1856</v>
      </c>
      <c r="C111" s="2214">
        <v>562</v>
      </c>
      <c r="D111" s="2208"/>
      <c r="E111" s="2208"/>
      <c r="F111" s="2215"/>
      <c r="G111" s="2192"/>
      <c r="H111" s="2192"/>
      <c r="I111" s="2192"/>
      <c r="J111" s="2192"/>
      <c r="K111" s="2192"/>
      <c r="L111" s="2192"/>
      <c r="M111" s="2192"/>
      <c r="N111" s="2192"/>
      <c r="O111" s="2192"/>
      <c r="P111" s="2192"/>
      <c r="Q111" s="2192"/>
    </row>
    <row r="112" spans="1:17" ht="30" hidden="1">
      <c r="A112" s="2192"/>
      <c r="B112" s="2209" t="s">
        <v>1857</v>
      </c>
      <c r="C112" s="2068">
        <v>120</v>
      </c>
      <c r="D112" s="2208"/>
      <c r="E112" s="2208"/>
      <c r="F112" s="2215"/>
      <c r="G112" s="2192"/>
      <c r="H112" s="2192"/>
      <c r="I112" s="2192"/>
      <c r="J112" s="2192"/>
      <c r="K112" s="2192"/>
      <c r="L112" s="2192"/>
      <c r="M112" s="2192"/>
      <c r="N112" s="2192"/>
      <c r="O112" s="2192"/>
      <c r="P112" s="2192"/>
      <c r="Q112" s="2192"/>
    </row>
    <row r="113" spans="1:17" hidden="1">
      <c r="A113" s="2192"/>
      <c r="B113" s="2206" t="s">
        <v>1858</v>
      </c>
      <c r="C113" s="2068">
        <f>C110+C111-C112</f>
        <v>3485</v>
      </c>
      <c r="D113" s="2208"/>
      <c r="E113" s="2208"/>
      <c r="F113" s="2215"/>
      <c r="G113" s="2192"/>
      <c r="H113" s="2192"/>
      <c r="I113" s="2192"/>
      <c r="J113" s="2192"/>
      <c r="K113" s="2192"/>
      <c r="L113" s="2192"/>
      <c r="M113" s="2192"/>
      <c r="N113" s="2192"/>
      <c r="O113" s="2192"/>
      <c r="P113" s="2192"/>
      <c r="Q113" s="2192"/>
    </row>
    <row r="114" spans="1:17" ht="30" hidden="1">
      <c r="A114" s="2192"/>
      <c r="B114" s="2206" t="s">
        <v>1860</v>
      </c>
      <c r="C114" s="2214">
        <f>(C104+C107)/2</f>
        <v>2372</v>
      </c>
      <c r="D114" s="2215"/>
      <c r="E114" s="2215"/>
      <c r="F114" s="2215"/>
      <c r="G114" s="2192"/>
      <c r="H114" s="2192"/>
      <c r="I114" s="2192"/>
      <c r="J114" s="2192"/>
      <c r="K114" s="2192"/>
      <c r="L114" s="2192"/>
      <c r="M114" s="2192"/>
      <c r="N114" s="2192"/>
      <c r="O114" s="2192"/>
      <c r="P114" s="2192"/>
      <c r="Q114" s="2192"/>
    </row>
    <row r="115" spans="1:17" ht="30" hidden="1">
      <c r="A115" s="2192"/>
      <c r="B115" s="2206" t="s">
        <v>1861</v>
      </c>
      <c r="C115" s="2216">
        <f>(C107+C110)/2</f>
        <v>2814</v>
      </c>
      <c r="D115" s="2217"/>
      <c r="E115" s="2217"/>
      <c r="F115" s="2217"/>
      <c r="G115" s="2192"/>
      <c r="H115" s="2192"/>
      <c r="I115" s="2192"/>
      <c r="J115" s="2192"/>
      <c r="K115" s="2192"/>
      <c r="L115" s="2192"/>
      <c r="M115" s="2192"/>
      <c r="N115" s="2192"/>
      <c r="O115" s="2192"/>
      <c r="P115" s="2192"/>
      <c r="Q115" s="2192"/>
    </row>
    <row r="116" spans="1:17" ht="30" hidden="1">
      <c r="A116" s="2192"/>
      <c r="B116" s="2206" t="s">
        <v>1862</v>
      </c>
      <c r="C116" s="2214">
        <f>(C110+C113)/2</f>
        <v>3264</v>
      </c>
      <c r="D116" s="2192"/>
      <c r="E116" s="2192"/>
      <c r="F116" s="2192"/>
      <c r="G116" s="2192"/>
      <c r="H116" s="2192"/>
      <c r="I116" s="2192"/>
      <c r="J116" s="2192"/>
      <c r="K116" s="2192"/>
      <c r="L116" s="2192"/>
      <c r="M116" s="2192"/>
      <c r="N116" s="2192"/>
      <c r="O116" s="2192"/>
      <c r="P116" s="2192"/>
      <c r="Q116" s="2192"/>
    </row>
    <row r="117" spans="1:17" hidden="1">
      <c r="A117" s="2192"/>
      <c r="B117" s="2192"/>
      <c r="C117" s="2192"/>
      <c r="D117" s="2192"/>
      <c r="E117" s="2192"/>
      <c r="F117" s="2192"/>
      <c r="G117" s="2192"/>
      <c r="H117" s="2192"/>
      <c r="I117" s="2192"/>
      <c r="J117" s="2192"/>
      <c r="K117" s="2192"/>
      <c r="L117" s="2192"/>
      <c r="M117" s="2192"/>
      <c r="N117" s="2192"/>
      <c r="O117" s="2192"/>
      <c r="P117" s="2192"/>
      <c r="Q117" s="2192"/>
    </row>
    <row r="118" spans="1:17" ht="31.5" hidden="1">
      <c r="A118" s="2192"/>
      <c r="B118" s="2218" t="s">
        <v>1863</v>
      </c>
      <c r="C118" s="2204" t="s">
        <v>1848</v>
      </c>
      <c r="D118" s="2205"/>
      <c r="E118" s="2205"/>
      <c r="F118" s="2205"/>
      <c r="G118" s="2192"/>
      <c r="H118" s="2192"/>
      <c r="I118" s="2192"/>
      <c r="J118" s="2192"/>
      <c r="K118" s="2192"/>
      <c r="L118" s="2192"/>
      <c r="M118" s="2192"/>
      <c r="N118" s="2192"/>
      <c r="O118" s="2192"/>
      <c r="P118" s="2192"/>
      <c r="Q118" s="2192"/>
    </row>
    <row r="119" spans="1:17" hidden="1">
      <c r="A119" s="2192"/>
      <c r="B119" s="2219">
        <v>44652</v>
      </c>
      <c r="C119" s="2220"/>
      <c r="D119" s="2221"/>
      <c r="E119" s="2221"/>
      <c r="F119" s="2221"/>
      <c r="G119" s="2192"/>
      <c r="H119" s="2192"/>
      <c r="I119" s="2192"/>
      <c r="J119" s="2192"/>
      <c r="K119" s="2192"/>
      <c r="L119" s="2192"/>
      <c r="M119" s="2192"/>
      <c r="N119" s="2192"/>
      <c r="O119" s="2192"/>
      <c r="P119" s="2192"/>
      <c r="Q119" s="2192"/>
    </row>
    <row r="120" spans="1:17" hidden="1">
      <c r="A120" s="2192"/>
      <c r="B120" s="2219">
        <v>44682</v>
      </c>
      <c r="C120" s="2220"/>
      <c r="D120" s="2221"/>
      <c r="E120" s="2221"/>
      <c r="F120" s="2221"/>
      <c r="G120" s="2192"/>
      <c r="H120" s="2192"/>
      <c r="I120" s="2192"/>
      <c r="J120" s="2192"/>
      <c r="K120" s="2192"/>
      <c r="L120" s="2192"/>
      <c r="M120" s="2192"/>
      <c r="N120" s="2192"/>
      <c r="O120" s="2192"/>
      <c r="P120" s="2192"/>
      <c r="Q120" s="2192"/>
    </row>
    <row r="121" spans="1:17" hidden="1">
      <c r="A121" s="2192"/>
      <c r="B121" s="2219">
        <v>44713</v>
      </c>
      <c r="C121" s="2220"/>
      <c r="D121" s="2221"/>
      <c r="E121" s="2221"/>
      <c r="F121" s="2221"/>
      <c r="G121" s="2192"/>
      <c r="H121" s="2192"/>
      <c r="I121" s="2192"/>
      <c r="J121" s="2192"/>
      <c r="K121" s="2192"/>
      <c r="L121" s="2192"/>
      <c r="M121" s="2192"/>
      <c r="N121" s="2192"/>
      <c r="O121" s="2192"/>
      <c r="P121" s="2192"/>
      <c r="Q121" s="2192"/>
    </row>
    <row r="122" spans="1:17" hidden="1">
      <c r="A122" s="2192"/>
      <c r="B122" s="2219">
        <v>44743</v>
      </c>
      <c r="C122" s="2220"/>
      <c r="D122" s="2221"/>
      <c r="E122" s="2221"/>
      <c r="F122" s="2221"/>
      <c r="G122" s="2192"/>
      <c r="H122" s="2192"/>
      <c r="I122" s="2192"/>
      <c r="J122" s="2192"/>
      <c r="K122" s="2192"/>
      <c r="L122" s="2192"/>
      <c r="M122" s="2192"/>
      <c r="N122" s="2192"/>
      <c r="O122" s="2192"/>
      <c r="P122" s="2192"/>
      <c r="Q122" s="2192"/>
    </row>
    <row r="123" spans="1:17" hidden="1">
      <c r="A123" s="2192"/>
      <c r="B123" s="2219">
        <v>44774</v>
      </c>
      <c r="C123" s="2222"/>
      <c r="D123" s="2223"/>
      <c r="E123" s="2221"/>
      <c r="F123" s="2223"/>
      <c r="G123" s="2192"/>
      <c r="H123" s="2192"/>
      <c r="I123" s="2192"/>
      <c r="J123" s="2192"/>
      <c r="K123" s="2192"/>
      <c r="L123" s="2192"/>
      <c r="M123" s="2192"/>
      <c r="N123" s="2192"/>
      <c r="O123" s="2192"/>
      <c r="P123" s="2192"/>
      <c r="Q123" s="2192"/>
    </row>
    <row r="124" spans="1:17" hidden="1">
      <c r="A124" s="2192"/>
      <c r="B124" s="2219">
        <v>44805</v>
      </c>
      <c r="C124" s="2222"/>
      <c r="D124" s="2223"/>
      <c r="E124" s="2221"/>
      <c r="F124" s="2223"/>
      <c r="G124" s="2192"/>
      <c r="H124" s="2192"/>
      <c r="I124" s="2192"/>
      <c r="J124" s="2192"/>
      <c r="K124" s="2192"/>
      <c r="L124" s="2192"/>
      <c r="M124" s="2192"/>
      <c r="N124" s="2192"/>
      <c r="O124" s="2192"/>
      <c r="P124" s="2192"/>
      <c r="Q124" s="2192"/>
    </row>
    <row r="125" spans="1:17" hidden="1">
      <c r="A125" s="2192"/>
      <c r="B125" s="2219">
        <v>44835</v>
      </c>
      <c r="C125" s="2222"/>
      <c r="D125" s="2223"/>
      <c r="E125" s="2221"/>
      <c r="F125" s="2223"/>
      <c r="G125" s="2192"/>
      <c r="H125" s="2192"/>
      <c r="I125" s="2192"/>
      <c r="J125" s="2192"/>
      <c r="K125" s="2192"/>
      <c r="L125" s="2192"/>
      <c r="M125" s="2192"/>
      <c r="N125" s="2192"/>
      <c r="O125" s="2192"/>
      <c r="P125" s="2192"/>
      <c r="Q125" s="2192"/>
    </row>
    <row r="126" spans="1:17" hidden="1">
      <c r="A126" s="2192"/>
      <c r="B126" s="2219">
        <v>44866</v>
      </c>
      <c r="C126" s="2222"/>
      <c r="D126" s="2223"/>
      <c r="E126" s="2223"/>
      <c r="F126" s="2223"/>
      <c r="G126" s="2192"/>
      <c r="H126" s="2192"/>
      <c r="I126" s="2192"/>
      <c r="J126" s="2192"/>
      <c r="K126" s="2192"/>
      <c r="L126" s="2192"/>
      <c r="M126" s="2192"/>
      <c r="N126" s="2192"/>
      <c r="O126" s="2192"/>
      <c r="P126" s="2192"/>
      <c r="Q126" s="2192"/>
    </row>
    <row r="127" spans="1:17" hidden="1">
      <c r="A127" s="2192"/>
      <c r="B127" s="1227" t="s">
        <v>1864</v>
      </c>
      <c r="C127" s="2222"/>
      <c r="D127" s="2223"/>
      <c r="E127" s="2223"/>
      <c r="F127" s="2223"/>
      <c r="G127" s="2192"/>
      <c r="H127" s="2192"/>
      <c r="I127" s="2192"/>
      <c r="J127" s="2192"/>
      <c r="K127" s="2192"/>
      <c r="L127" s="2192"/>
      <c r="M127" s="2192"/>
      <c r="N127" s="2192"/>
      <c r="O127" s="2192"/>
      <c r="P127" s="2192"/>
      <c r="Q127" s="2192"/>
    </row>
    <row r="128" spans="1:17" hidden="1">
      <c r="A128" s="2192"/>
      <c r="B128" s="2224"/>
      <c r="C128" s="2222"/>
      <c r="D128" s="2223"/>
      <c r="E128" s="2223"/>
      <c r="F128" s="2223"/>
      <c r="G128" s="2192"/>
      <c r="H128" s="2192"/>
      <c r="I128" s="2192"/>
      <c r="J128" s="2192"/>
      <c r="K128" s="2192"/>
      <c r="L128" s="2192"/>
      <c r="M128" s="2192"/>
      <c r="N128" s="2192"/>
      <c r="O128" s="2192"/>
      <c r="P128" s="2192"/>
      <c r="Q128" s="2192"/>
    </row>
    <row r="129" spans="1:17" hidden="1">
      <c r="A129" s="2192"/>
      <c r="B129" s="2224"/>
      <c r="C129" s="2222"/>
      <c r="D129" s="2223"/>
      <c r="E129" s="2223"/>
      <c r="F129" s="2223"/>
      <c r="G129" s="2192"/>
      <c r="H129" s="2192"/>
      <c r="I129" s="2192"/>
      <c r="J129" s="2192"/>
      <c r="K129" s="2192"/>
      <c r="L129" s="2192"/>
      <c r="M129" s="2192"/>
      <c r="N129" s="2192"/>
      <c r="O129" s="2192"/>
      <c r="P129" s="2192"/>
      <c r="Q129" s="2192"/>
    </row>
    <row r="130" spans="1:17" hidden="1">
      <c r="A130" s="2192"/>
      <c r="B130" s="2192"/>
      <c r="C130" s="2192"/>
      <c r="D130" s="2192"/>
      <c r="E130" s="2192"/>
      <c r="F130" s="2192"/>
      <c r="G130" s="2192"/>
      <c r="H130" s="2192"/>
      <c r="I130" s="2192"/>
      <c r="J130" s="2192"/>
      <c r="K130" s="2192"/>
      <c r="L130" s="2192"/>
      <c r="M130" s="2192"/>
      <c r="N130" s="2192"/>
      <c r="O130" s="2192"/>
      <c r="P130" s="2192"/>
      <c r="Q130" s="2192"/>
    </row>
    <row r="131" spans="1:17" hidden="1">
      <c r="A131" s="2192"/>
      <c r="B131" s="2509" t="s">
        <v>1865</v>
      </c>
      <c r="C131" s="2509"/>
      <c r="D131" s="2193"/>
      <c r="E131" s="2193"/>
      <c r="F131" s="2193"/>
      <c r="G131" s="2192"/>
      <c r="H131" s="2192"/>
      <c r="I131" s="2192"/>
      <c r="J131" s="2192"/>
      <c r="K131" s="2192"/>
      <c r="L131" s="2192"/>
      <c r="M131" s="2192"/>
      <c r="N131" s="2192"/>
      <c r="O131" s="2192"/>
      <c r="P131" s="2192"/>
      <c r="Q131" s="2192"/>
    </row>
    <row r="132" spans="1:17" ht="54" hidden="1">
      <c r="A132" s="2192"/>
      <c r="B132" s="2225" t="s">
        <v>1866</v>
      </c>
      <c r="C132" s="2226"/>
      <c r="D132" s="2227"/>
      <c r="E132" s="2227"/>
      <c r="F132" s="2227"/>
      <c r="G132" s="2192"/>
      <c r="H132" s="2192"/>
      <c r="I132" s="2192"/>
      <c r="J132" s="2192"/>
      <c r="K132" s="2192"/>
      <c r="L132" s="2192"/>
      <c r="M132" s="2192"/>
      <c r="N132" s="2192"/>
      <c r="O132" s="2192"/>
      <c r="P132" s="2192"/>
      <c r="Q132" s="2192"/>
    </row>
    <row r="133" spans="1:17" hidden="1">
      <c r="A133" s="2192"/>
      <c r="B133" s="1227"/>
      <c r="C133" s="2204" t="s">
        <v>1848</v>
      </c>
      <c r="D133" s="2205" t="s">
        <v>1867</v>
      </c>
      <c r="E133" s="2205" t="s">
        <v>1868</v>
      </c>
      <c r="F133" s="2205" t="s">
        <v>1869</v>
      </c>
      <c r="G133" s="2192" t="s">
        <v>1870</v>
      </c>
      <c r="H133" s="2192"/>
      <c r="I133" s="2192"/>
      <c r="J133" s="2192"/>
      <c r="K133" s="2192"/>
      <c r="L133" s="2192"/>
      <c r="M133" s="2192"/>
      <c r="N133" s="2192"/>
      <c r="O133" s="2192"/>
      <c r="P133" s="2192"/>
      <c r="Q133" s="2192"/>
    </row>
    <row r="134" spans="1:17" hidden="1">
      <c r="A134" s="2192"/>
      <c r="B134" s="2228">
        <v>45017</v>
      </c>
      <c r="C134" s="2229">
        <f>D134+E134+F134+G134</f>
        <v>112753253.77</v>
      </c>
      <c r="D134" s="2230">
        <v>11265533.77</v>
      </c>
      <c r="E134" s="2230">
        <v>83794553</v>
      </c>
      <c r="F134" s="2230">
        <v>17693167</v>
      </c>
      <c r="G134" s="2231">
        <v>0</v>
      </c>
      <c r="H134" s="2192"/>
      <c r="I134" s="2192"/>
      <c r="J134" s="2192"/>
      <c r="K134" s="2192"/>
      <c r="L134" s="2192"/>
      <c r="M134" s="2192"/>
      <c r="N134" s="2192"/>
      <c r="O134" s="2192"/>
      <c r="P134" s="2192"/>
      <c r="Q134" s="2192"/>
    </row>
    <row r="135" spans="1:17" hidden="1">
      <c r="A135" s="2192"/>
      <c r="B135" s="2228">
        <v>45047</v>
      </c>
      <c r="C135" s="2229">
        <f t="shared" ref="C135:C142" si="32">D135+E135+F135+G135</f>
        <v>110459215.73</v>
      </c>
      <c r="D135" s="2230">
        <v>11593065.73</v>
      </c>
      <c r="E135" s="2230">
        <v>89064322</v>
      </c>
      <c r="F135" s="2230">
        <v>9801828</v>
      </c>
      <c r="G135" s="2231">
        <v>0</v>
      </c>
      <c r="H135" s="2192"/>
      <c r="I135" s="2192"/>
      <c r="J135" s="2192"/>
      <c r="K135" s="2192"/>
      <c r="L135" s="2192"/>
      <c r="M135" s="2192"/>
      <c r="N135" s="2192"/>
      <c r="O135" s="2192"/>
      <c r="P135" s="2192"/>
      <c r="Q135" s="2192"/>
    </row>
    <row r="136" spans="1:17" hidden="1">
      <c r="A136" s="2192"/>
      <c r="B136" s="2228">
        <v>45078</v>
      </c>
      <c r="C136" s="2229">
        <f t="shared" si="32"/>
        <v>118633854.23999999</v>
      </c>
      <c r="D136" s="2230">
        <v>11723940.24</v>
      </c>
      <c r="E136" s="2230">
        <v>92991195</v>
      </c>
      <c r="F136" s="2230">
        <v>13918719</v>
      </c>
      <c r="G136" s="2231">
        <v>0</v>
      </c>
      <c r="H136" s="2192"/>
      <c r="I136" s="2192"/>
      <c r="J136" s="2192"/>
      <c r="K136" s="2192"/>
      <c r="L136" s="2192"/>
      <c r="M136" s="2192"/>
      <c r="N136" s="2192"/>
      <c r="O136" s="2192"/>
      <c r="P136" s="2192"/>
      <c r="Q136" s="2192"/>
    </row>
    <row r="137" spans="1:17" hidden="1">
      <c r="A137" s="2192"/>
      <c r="B137" s="2228">
        <v>45108</v>
      </c>
      <c r="C137" s="2229">
        <f t="shared" si="32"/>
        <v>122388905.64</v>
      </c>
      <c r="D137" s="2230">
        <v>12777385.640000001</v>
      </c>
      <c r="E137" s="2230">
        <v>103425398</v>
      </c>
      <c r="F137" s="2230">
        <f>4262994+1923128</f>
        <v>6186122</v>
      </c>
      <c r="G137" s="2231">
        <v>0</v>
      </c>
      <c r="H137" s="2192"/>
      <c r="I137" s="2192"/>
      <c r="J137" s="2192"/>
      <c r="K137" s="2192"/>
      <c r="L137" s="2192"/>
      <c r="M137" s="2192"/>
      <c r="N137" s="2192"/>
      <c r="O137" s="2192"/>
      <c r="P137" s="2192"/>
      <c r="Q137" s="2192"/>
    </row>
    <row r="138" spans="1:17" hidden="1">
      <c r="A138" s="2192"/>
      <c r="B138" s="2228">
        <v>45139</v>
      </c>
      <c r="C138" s="2229">
        <f t="shared" si="32"/>
        <v>117829136.45</v>
      </c>
      <c r="D138" s="2230">
        <v>11754610.449999999</v>
      </c>
      <c r="E138" s="2230">
        <v>93920749</v>
      </c>
      <c r="F138" s="2230">
        <f>8392825+3760952</f>
        <v>12153777</v>
      </c>
      <c r="G138" s="2231">
        <v>0</v>
      </c>
      <c r="H138" s="2192"/>
      <c r="I138" s="2192"/>
      <c r="J138" s="2192"/>
      <c r="K138" s="2192"/>
      <c r="L138" s="2192"/>
      <c r="M138" s="2192"/>
      <c r="N138" s="2192"/>
      <c r="O138" s="2192"/>
      <c r="P138" s="2192"/>
      <c r="Q138" s="2192"/>
    </row>
    <row r="139" spans="1:17" hidden="1">
      <c r="A139" s="2192"/>
      <c r="B139" s="2228">
        <v>45170</v>
      </c>
      <c r="C139" s="2229">
        <f t="shared" si="32"/>
        <v>103230675.43000001</v>
      </c>
      <c r="D139" s="2230">
        <v>11874795.43</v>
      </c>
      <c r="E139" s="2230">
        <v>86690012</v>
      </c>
      <c r="F139" s="2230">
        <v>4665868</v>
      </c>
      <c r="G139" s="2231">
        <v>0</v>
      </c>
      <c r="H139" s="2192"/>
      <c r="I139" s="2192"/>
      <c r="J139" s="2192"/>
      <c r="K139" s="2192"/>
      <c r="L139" s="2192"/>
      <c r="M139" s="2192"/>
      <c r="N139" s="2192"/>
      <c r="O139" s="2192"/>
      <c r="P139" s="2192"/>
      <c r="Q139" s="2192"/>
    </row>
    <row r="140" spans="1:17" hidden="1">
      <c r="A140" s="2192"/>
      <c r="B140" s="2228">
        <v>45200</v>
      </c>
      <c r="C140" s="2229">
        <f t="shared" si="32"/>
        <v>100504975.34999999</v>
      </c>
      <c r="D140" s="2230">
        <v>12324306.35</v>
      </c>
      <c r="E140" s="2230">
        <v>88180669</v>
      </c>
      <c r="F140" s="2230">
        <v>0</v>
      </c>
      <c r="G140" s="2231">
        <v>0</v>
      </c>
      <c r="H140" s="2192"/>
      <c r="I140" s="2192"/>
      <c r="J140" s="2192"/>
      <c r="K140" s="2192"/>
      <c r="L140" s="2192"/>
      <c r="M140" s="2192"/>
      <c r="N140" s="2192"/>
      <c r="O140" s="2192"/>
      <c r="P140" s="2192"/>
      <c r="Q140" s="2192"/>
    </row>
    <row r="141" spans="1:17" hidden="1">
      <c r="A141" s="2192"/>
      <c r="B141" s="2228">
        <v>45231</v>
      </c>
      <c r="C141" s="2229">
        <f t="shared" si="32"/>
        <v>0</v>
      </c>
      <c r="D141" s="2232"/>
      <c r="E141" s="2232"/>
      <c r="F141" s="2232"/>
      <c r="G141" s="2233"/>
      <c r="H141" s="2192"/>
      <c r="I141" s="2192"/>
      <c r="J141" s="2192"/>
      <c r="K141" s="2192"/>
      <c r="L141" s="2192"/>
      <c r="M141" s="2192"/>
      <c r="N141" s="2192"/>
      <c r="O141" s="2192"/>
      <c r="P141" s="2192"/>
      <c r="Q141" s="2192"/>
    </row>
    <row r="142" spans="1:17" hidden="1">
      <c r="A142" s="2192"/>
      <c r="B142" s="1227" t="s">
        <v>1871</v>
      </c>
      <c r="C142" s="2229">
        <f t="shared" si="32"/>
        <v>785800016.61000001</v>
      </c>
      <c r="D142" s="2232">
        <f>SUM(D134:D141)</f>
        <v>83313637.609999985</v>
      </c>
      <c r="E142" s="2232">
        <f>SUM(E134:E141)</f>
        <v>638066898</v>
      </c>
      <c r="F142" s="2232">
        <f>SUM(F134:F141)</f>
        <v>64419481</v>
      </c>
      <c r="G142" s="2232">
        <f>SUM(G134:G141)</f>
        <v>0</v>
      </c>
      <c r="H142" s="2192"/>
      <c r="I142" s="2192"/>
      <c r="J142" s="2192"/>
      <c r="K142" s="2192"/>
      <c r="L142" s="2192"/>
      <c r="M142" s="2192"/>
      <c r="N142" s="2192"/>
      <c r="O142" s="2192"/>
      <c r="P142" s="2192"/>
      <c r="Q142" s="2192"/>
    </row>
    <row r="143" spans="1:17" hidden="1">
      <c r="A143" s="2192"/>
      <c r="B143" s="1227" t="s">
        <v>1872</v>
      </c>
      <c r="C143" s="2229">
        <v>0</v>
      </c>
      <c r="D143" s="2232"/>
      <c r="E143" s="2232"/>
      <c r="F143" s="2232"/>
      <c r="G143" s="2233"/>
      <c r="H143" s="2192"/>
      <c r="I143" s="2192"/>
      <c r="J143" s="2192"/>
      <c r="K143" s="2192"/>
      <c r="L143" s="2192"/>
      <c r="M143" s="2192"/>
      <c r="N143" s="2192"/>
      <c r="O143" s="2192"/>
      <c r="P143" s="2192"/>
      <c r="Q143" s="2192"/>
    </row>
    <row r="144" spans="1:17" hidden="1">
      <c r="A144" s="2192"/>
      <c r="B144" s="1227" t="s">
        <v>1873</v>
      </c>
      <c r="C144" s="2229">
        <f>C142-C143</f>
        <v>785800016.61000001</v>
      </c>
      <c r="D144" s="2232"/>
      <c r="E144" s="2232"/>
      <c r="F144" s="2232"/>
      <c r="G144" s="2233"/>
      <c r="H144" s="2192"/>
      <c r="I144" s="2192"/>
      <c r="J144" s="2192"/>
      <c r="K144" s="2192"/>
      <c r="L144" s="2192"/>
      <c r="M144" s="2192"/>
      <c r="N144" s="2192"/>
      <c r="O144" s="2192"/>
      <c r="P144" s="2192"/>
      <c r="Q144" s="2192"/>
    </row>
    <row r="145" spans="1:17" hidden="1">
      <c r="A145" s="2192"/>
      <c r="B145" s="1227" t="s">
        <v>1874</v>
      </c>
      <c r="C145" s="2229">
        <f>C144/7</f>
        <v>112257145.23</v>
      </c>
      <c r="D145" s="2232"/>
      <c r="E145" s="2232"/>
      <c r="F145" s="2232"/>
      <c r="G145" s="2233"/>
      <c r="H145" s="2192"/>
      <c r="I145" s="2192"/>
      <c r="J145" s="2192"/>
      <c r="K145" s="2192"/>
      <c r="L145" s="2192"/>
      <c r="M145" s="2192"/>
      <c r="N145" s="2192"/>
      <c r="O145" s="2192"/>
      <c r="P145" s="2192"/>
      <c r="Q145" s="2192"/>
    </row>
    <row r="146" spans="1:17" hidden="1">
      <c r="A146" s="2192"/>
      <c r="B146" s="1227" t="s">
        <v>1864</v>
      </c>
      <c r="C146" s="2229">
        <f>C145*12</f>
        <v>1347085742.76</v>
      </c>
      <c r="D146" s="2232"/>
      <c r="E146" s="2232"/>
      <c r="F146" s="2232"/>
      <c r="G146" s="2233"/>
      <c r="H146" s="2192"/>
      <c r="I146" s="2192"/>
      <c r="J146" s="2192"/>
      <c r="K146" s="2192"/>
      <c r="L146" s="2192"/>
      <c r="M146" s="2192"/>
      <c r="N146" s="2192"/>
      <c r="O146" s="2192"/>
      <c r="P146" s="2192"/>
      <c r="Q146" s="2192"/>
    </row>
    <row r="147" spans="1:17" hidden="1">
      <c r="A147" s="2192"/>
      <c r="B147" s="2234"/>
      <c r="C147" s="2235"/>
      <c r="D147" s="2236"/>
      <c r="E147" s="2236"/>
      <c r="F147" s="2236"/>
      <c r="G147" s="2233"/>
      <c r="H147" s="2192"/>
      <c r="I147" s="2192"/>
      <c r="J147" s="2192"/>
      <c r="K147" s="2192"/>
      <c r="L147" s="2192"/>
      <c r="M147" s="2192"/>
      <c r="N147" s="2192"/>
      <c r="O147" s="2192"/>
      <c r="P147" s="2192"/>
      <c r="Q147" s="2192"/>
    </row>
    <row r="148" spans="1:17" hidden="1">
      <c r="A148" s="2192"/>
      <c r="B148" s="2192"/>
      <c r="C148" s="2233"/>
      <c r="D148" s="2237"/>
      <c r="E148" s="2237"/>
      <c r="F148" s="2237"/>
      <c r="G148" s="2233"/>
      <c r="H148" s="2192"/>
      <c r="I148" s="2192"/>
      <c r="J148" s="2192"/>
      <c r="K148" s="2192"/>
      <c r="L148" s="2192"/>
      <c r="M148" s="2192"/>
      <c r="N148" s="2192"/>
      <c r="O148" s="2192"/>
      <c r="P148" s="2192"/>
      <c r="Q148" s="2192"/>
    </row>
    <row r="149" spans="1:17" hidden="1">
      <c r="A149" s="2192"/>
      <c r="B149" s="2192"/>
      <c r="C149" s="2192"/>
      <c r="D149" s="2192"/>
      <c r="E149" s="2192"/>
      <c r="F149" s="2192"/>
      <c r="G149" s="2192"/>
      <c r="H149" s="2192"/>
      <c r="I149" s="2192"/>
      <c r="J149" s="2192"/>
      <c r="K149" s="2192"/>
      <c r="L149" s="2192"/>
      <c r="M149" s="2192"/>
      <c r="N149" s="2192"/>
      <c r="O149" s="2192"/>
      <c r="P149" s="2192"/>
      <c r="Q149" s="2192"/>
    </row>
    <row r="150" spans="1:17" ht="47.25" hidden="1">
      <c r="A150" s="2192"/>
      <c r="B150" s="2148" t="s">
        <v>1875</v>
      </c>
      <c r="C150" s="2204" t="s">
        <v>1848</v>
      </c>
      <c r="D150" s="2205"/>
      <c r="E150" s="2205"/>
      <c r="F150" s="2205"/>
      <c r="G150" s="2192"/>
      <c r="H150" s="2192"/>
      <c r="I150" s="2192"/>
      <c r="J150" s="2192"/>
      <c r="K150" s="2192"/>
      <c r="L150" s="2192"/>
      <c r="M150" s="2192"/>
      <c r="N150" s="2192"/>
      <c r="O150" s="2192"/>
      <c r="P150" s="2192"/>
      <c r="Q150" s="2192"/>
    </row>
    <row r="151" spans="1:17" hidden="1">
      <c r="A151" s="2192"/>
      <c r="B151" s="2238">
        <v>44652</v>
      </c>
      <c r="C151" s="2146"/>
      <c r="D151" s="2192"/>
      <c r="E151" s="2192"/>
      <c r="F151" s="2192"/>
      <c r="G151" s="2192"/>
      <c r="H151" s="2192"/>
      <c r="I151" s="2192"/>
      <c r="J151" s="2192"/>
      <c r="K151" s="2192"/>
      <c r="L151" s="2192"/>
      <c r="M151" s="2192"/>
      <c r="N151" s="2192"/>
      <c r="O151" s="2192"/>
      <c r="P151" s="2192"/>
      <c r="Q151" s="2192"/>
    </row>
    <row r="152" spans="1:17" hidden="1">
      <c r="A152" s="2192"/>
      <c r="B152" s="2238">
        <v>44682</v>
      </c>
      <c r="C152" s="2146"/>
      <c r="D152" s="2192"/>
      <c r="E152" s="2192"/>
      <c r="F152" s="2192"/>
      <c r="G152" s="2192"/>
      <c r="H152" s="2192"/>
      <c r="I152" s="2192"/>
      <c r="J152" s="2192"/>
      <c r="K152" s="2192"/>
      <c r="L152" s="2192"/>
      <c r="M152" s="2192"/>
      <c r="N152" s="2192"/>
      <c r="O152" s="2192"/>
      <c r="P152" s="2192"/>
      <c r="Q152" s="2192"/>
    </row>
    <row r="153" spans="1:17" hidden="1">
      <c r="A153" s="2192"/>
      <c r="B153" s="2238">
        <v>44713</v>
      </c>
      <c r="C153" s="2146"/>
      <c r="D153" s="2192"/>
      <c r="E153" s="2192"/>
      <c r="F153" s="2192"/>
      <c r="G153" s="2192"/>
      <c r="H153" s="2192"/>
      <c r="I153" s="2192"/>
      <c r="J153" s="2192"/>
      <c r="K153" s="2192"/>
      <c r="L153" s="2192"/>
      <c r="M153" s="2192"/>
      <c r="N153" s="2192"/>
      <c r="O153" s="2192"/>
      <c r="P153" s="2192"/>
      <c r="Q153" s="2192"/>
    </row>
    <row r="154" spans="1:17" hidden="1">
      <c r="A154" s="2192"/>
      <c r="B154" s="2238">
        <v>44743</v>
      </c>
      <c r="C154" s="2146"/>
      <c r="D154" s="2192"/>
      <c r="E154" s="2192"/>
      <c r="F154" s="2192"/>
      <c r="G154" s="2192"/>
      <c r="H154" s="2192"/>
      <c r="I154" s="2192"/>
      <c r="J154" s="2192"/>
      <c r="K154" s="2192"/>
      <c r="L154" s="2192"/>
      <c r="M154" s="2192"/>
      <c r="N154" s="2192"/>
      <c r="O154" s="2192"/>
      <c r="P154" s="2192"/>
      <c r="Q154" s="2192"/>
    </row>
    <row r="155" spans="1:17" hidden="1">
      <c r="A155" s="2192"/>
      <c r="B155" s="2238">
        <v>44774</v>
      </c>
      <c r="C155" s="2146"/>
      <c r="D155" s="2192"/>
      <c r="E155" s="2192"/>
      <c r="F155" s="2192"/>
      <c r="G155" s="2192"/>
      <c r="H155" s="2192"/>
      <c r="I155" s="2192"/>
      <c r="J155" s="2192"/>
      <c r="K155" s="2192"/>
      <c r="L155" s="2192"/>
      <c r="M155" s="2192"/>
      <c r="N155" s="2192"/>
      <c r="O155" s="2192"/>
      <c r="P155" s="2192"/>
      <c r="Q155" s="2192"/>
    </row>
    <row r="156" spans="1:17" hidden="1">
      <c r="A156" s="2192"/>
      <c r="B156" s="2238">
        <v>44805</v>
      </c>
      <c r="C156" s="2146"/>
      <c r="D156" s="2192"/>
      <c r="E156" s="2192"/>
      <c r="F156" s="2192"/>
      <c r="G156" s="2192"/>
      <c r="H156" s="2192"/>
      <c r="I156" s="2192"/>
      <c r="J156" s="2192"/>
      <c r="K156" s="2192"/>
      <c r="L156" s="2192"/>
      <c r="M156" s="2192"/>
      <c r="N156" s="2192"/>
      <c r="O156" s="2192"/>
      <c r="P156" s="2192"/>
      <c r="Q156" s="2192"/>
    </row>
    <row r="157" spans="1:17" hidden="1">
      <c r="A157" s="2192"/>
      <c r="B157" s="2238">
        <v>44835</v>
      </c>
      <c r="C157" s="2146"/>
      <c r="D157" s="2192"/>
      <c r="E157" s="2192"/>
      <c r="F157" s="2192"/>
      <c r="G157" s="2192"/>
      <c r="H157" s="2192"/>
      <c r="I157" s="2192"/>
      <c r="J157" s="2192"/>
      <c r="K157" s="2192"/>
      <c r="L157" s="2192"/>
      <c r="M157" s="2192"/>
      <c r="N157" s="2192"/>
      <c r="O157" s="2192"/>
      <c r="P157" s="2192"/>
      <c r="Q157" s="2192"/>
    </row>
    <row r="158" spans="1:17" hidden="1">
      <c r="A158" s="2192"/>
      <c r="B158" s="2238">
        <v>44866</v>
      </c>
      <c r="C158" s="2146"/>
      <c r="D158" s="2192"/>
      <c r="E158" s="2192"/>
      <c r="F158" s="2192"/>
      <c r="G158" s="2192"/>
      <c r="H158" s="2192"/>
      <c r="I158" s="2192"/>
      <c r="J158" s="2192"/>
      <c r="K158" s="2192"/>
      <c r="L158" s="2192"/>
      <c r="M158" s="2192"/>
      <c r="N158" s="2192"/>
      <c r="O158" s="2192"/>
      <c r="P158" s="2192"/>
      <c r="Q158" s="2192"/>
    </row>
    <row r="159" spans="1:17" hidden="1">
      <c r="A159" s="2192"/>
      <c r="B159" s="2146" t="s">
        <v>1876</v>
      </c>
      <c r="C159" s="2146"/>
      <c r="D159" s="2192"/>
      <c r="E159" s="2192"/>
      <c r="F159" s="2192"/>
      <c r="G159" s="2192"/>
      <c r="H159" s="2192"/>
      <c r="I159" s="2192"/>
      <c r="J159" s="2192"/>
      <c r="K159" s="2192"/>
      <c r="L159" s="2192"/>
      <c r="M159" s="2192"/>
      <c r="N159" s="2192"/>
      <c r="O159" s="2192"/>
      <c r="P159" s="2192"/>
      <c r="Q159" s="2192"/>
    </row>
    <row r="160" spans="1:17" hidden="1">
      <c r="A160" s="2192"/>
      <c r="B160" s="2192"/>
      <c r="C160" s="2192"/>
      <c r="D160" s="2192"/>
      <c r="E160" s="2192"/>
      <c r="F160" s="2192"/>
      <c r="G160" s="2192"/>
      <c r="H160" s="2192"/>
      <c r="I160" s="2192"/>
      <c r="J160" s="2192"/>
      <c r="K160" s="2192"/>
      <c r="L160" s="2192"/>
      <c r="M160" s="2192"/>
      <c r="N160" s="2192"/>
      <c r="O160" s="2192"/>
      <c r="P160" s="2192"/>
      <c r="Q160" s="2192"/>
    </row>
    <row r="161" spans="1:21" hidden="1">
      <c r="A161" s="2192"/>
      <c r="B161" s="2192"/>
      <c r="C161" s="2192"/>
      <c r="D161" s="2192"/>
      <c r="E161" s="2192"/>
      <c r="F161" s="2192"/>
      <c r="G161" s="2192"/>
      <c r="H161" s="2192"/>
      <c r="I161" s="2192"/>
      <c r="J161" s="2192"/>
      <c r="K161" s="2192"/>
      <c r="L161" s="2192"/>
      <c r="M161" s="2192"/>
      <c r="N161" s="2192"/>
      <c r="O161" s="2192"/>
      <c r="P161" s="2192"/>
      <c r="Q161" s="2192"/>
    </row>
    <row r="162" spans="1:21" hidden="1">
      <c r="A162" s="129"/>
      <c r="B162" s="2653" t="s">
        <v>1877</v>
      </c>
      <c r="C162" s="2653"/>
      <c r="D162" s="2653"/>
      <c r="E162" s="2653"/>
      <c r="F162" s="129"/>
      <c r="G162" s="129"/>
      <c r="H162" s="2653" t="s">
        <v>1877</v>
      </c>
      <c r="I162" s="2653"/>
      <c r="J162" s="2653"/>
      <c r="K162" s="2653"/>
      <c r="L162" s="129"/>
      <c r="M162" s="2653" t="s">
        <v>1878</v>
      </c>
      <c r="N162" s="2653"/>
      <c r="O162" s="2653"/>
      <c r="P162" s="2653"/>
      <c r="Q162" s="129"/>
    </row>
    <row r="163" spans="1:21" ht="16.5" hidden="1" thickBot="1">
      <c r="A163" s="129"/>
      <c r="B163" s="141" t="s">
        <v>271</v>
      </c>
      <c r="C163" s="141" t="s">
        <v>259</v>
      </c>
      <c r="D163" s="141" t="s">
        <v>232</v>
      </c>
      <c r="E163" s="141" t="s">
        <v>239</v>
      </c>
      <c r="F163" s="129"/>
      <c r="G163" s="129"/>
      <c r="H163" s="141" t="s">
        <v>271</v>
      </c>
      <c r="I163" s="141" t="s">
        <v>259</v>
      </c>
      <c r="J163" s="141" t="s">
        <v>232</v>
      </c>
      <c r="K163" s="141" t="s">
        <v>239</v>
      </c>
      <c r="L163" s="129"/>
      <c r="M163" s="141" t="s">
        <v>271</v>
      </c>
      <c r="N163" s="141" t="s">
        <v>259</v>
      </c>
      <c r="O163" s="141" t="s">
        <v>232</v>
      </c>
      <c r="P163" s="141" t="s">
        <v>239</v>
      </c>
      <c r="Q163" s="129"/>
    </row>
    <row r="164" spans="1:21" ht="17.25" hidden="1" thickTop="1" thickBot="1">
      <c r="A164" s="2405" t="s">
        <v>1879</v>
      </c>
      <c r="B164" s="2449">
        <f>'T-1'!F59</f>
        <v>2651.9310000000005</v>
      </c>
      <c r="C164" s="2450">
        <f>'T-1'!F49</f>
        <v>625.41700000000003</v>
      </c>
      <c r="D164" s="2450">
        <f>'T-1'!F32</f>
        <v>2132.7040000000002</v>
      </c>
      <c r="E164" s="2451">
        <f>SUM(B164:D164)</f>
        <v>5410.0520000000006</v>
      </c>
      <c r="F164" s="129"/>
      <c r="G164" s="129"/>
      <c r="H164" s="2451">
        <f>'T-1'!K59</f>
        <v>3314.5659999999993</v>
      </c>
      <c r="I164" s="2451">
        <f>'T-1'!K49</f>
        <v>665.56799999999998</v>
      </c>
      <c r="J164" s="2451">
        <f>'T-1'!K32</f>
        <v>2483.5770000000002</v>
      </c>
      <c r="K164" s="2451">
        <f>SUM(H164:J164)</f>
        <v>6463.7109999999993</v>
      </c>
      <c r="L164" s="129"/>
      <c r="M164" s="2452">
        <f>'T-1'!O59</f>
        <v>3555.2799999999997</v>
      </c>
      <c r="N164" s="2452">
        <f>'T-1'!O49</f>
        <v>773.04600000000005</v>
      </c>
      <c r="O164" s="2452">
        <f>'T-1'!O32</f>
        <v>2678.7820000000002</v>
      </c>
      <c r="P164" s="2452">
        <f>SUM(M164:O164)</f>
        <v>7007.1080000000002</v>
      </c>
      <c r="Q164" s="129"/>
    </row>
    <row r="165" spans="1:21" hidden="1">
      <c r="A165" s="129" t="s">
        <v>1880</v>
      </c>
      <c r="B165" s="2239">
        <f>E165/$E$164*B164</f>
        <v>10125.783593449825</v>
      </c>
      <c r="C165" s="2239">
        <f>E165/$E$164*C164</f>
        <v>2388.0097927376723</v>
      </c>
      <c r="D165" s="2239">
        <f>E165/$E$164*D164</f>
        <v>8143.2356923633433</v>
      </c>
      <c r="E165" s="128">
        <f>C40+D40+G65</f>
        <v>20657.02907855084</v>
      </c>
      <c r="F165" s="129"/>
      <c r="G165" s="129"/>
      <c r="H165" s="128">
        <f>K165/K164*H164</f>
        <v>14900.363179344056</v>
      </c>
      <c r="I165" s="128">
        <f>K165/K164*I164</f>
        <v>2992.0070743951596</v>
      </c>
      <c r="J165" s="128">
        <f>K165/K164*J164</f>
        <v>11164.719388259515</v>
      </c>
      <c r="K165" s="128">
        <f>H40+I40+L65</f>
        <v>29057.089641998729</v>
      </c>
      <c r="L165" s="129"/>
      <c r="M165" s="2240">
        <f>P165/P164*M164</f>
        <v>17153.615650278876</v>
      </c>
      <c r="N165" s="2240">
        <f>P165/P164*N164</f>
        <v>3729.8142379743608</v>
      </c>
      <c r="O165" s="2240">
        <f>P165/P164*O164</f>
        <v>12924.663272340113</v>
      </c>
      <c r="P165" s="2240">
        <f>M40+N40+Q65</f>
        <v>33808.093160593351</v>
      </c>
      <c r="Q165" s="129"/>
    </row>
    <row r="166" spans="1:21" hidden="1">
      <c r="A166" s="129" t="s">
        <v>1881</v>
      </c>
      <c r="B166" s="129"/>
      <c r="C166" s="2239">
        <f>E166/SUM(C164:D164)*C164</f>
        <v>5591.6208193946377</v>
      </c>
      <c r="D166" s="2239">
        <f>E166/SUM(C164:D164)*D164</f>
        <v>19067.713362454528</v>
      </c>
      <c r="E166" s="128">
        <f>E40+F40</f>
        <v>24659.334181849164</v>
      </c>
      <c r="F166" s="129"/>
      <c r="G166" s="129"/>
      <c r="H166" s="128"/>
      <c r="I166" s="128">
        <f>K166/(I164+J164)*I164</f>
        <v>4492.2597597695194</v>
      </c>
      <c r="J166" s="128">
        <f>K166/(I164+J164)*J164</f>
        <v>16762.934842704435</v>
      </c>
      <c r="K166" s="128">
        <f>J40+K40</f>
        <v>21255.194602473955</v>
      </c>
      <c r="L166" s="2240"/>
      <c r="M166" s="2240"/>
      <c r="N166" s="2240">
        <f>P166/SUM(N164:O164)*N164</f>
        <v>4739.4756640636497</v>
      </c>
      <c r="O166" s="2240">
        <f>P166/SUM(N164:O164)*O164</f>
        <v>16423.372086954401</v>
      </c>
      <c r="P166" s="2240">
        <f>O40+P40</f>
        <v>21162.847751018053</v>
      </c>
      <c r="Q166" s="129"/>
    </row>
    <row r="167" spans="1:21" ht="16.5" hidden="1" thickBot="1">
      <c r="A167" s="129" t="s">
        <v>239</v>
      </c>
      <c r="B167" s="1297">
        <f>SUM(B165:B166)</f>
        <v>10125.783593449825</v>
      </c>
      <c r="C167" s="1297">
        <f>SUM(C165:C166)</f>
        <v>7979.6306121323105</v>
      </c>
      <c r="D167" s="6">
        <f>SUM(D165:D166)</f>
        <v>27210.949054817873</v>
      </c>
      <c r="E167" s="6">
        <f>SUM(E165:E166)</f>
        <v>45316.363260400001</v>
      </c>
      <c r="F167" s="99"/>
      <c r="G167" s="129"/>
      <c r="H167" s="6">
        <f>SUM(H165:H166)</f>
        <v>14900.363179344056</v>
      </c>
      <c r="I167" s="6">
        <f>SUM(I165:I166)</f>
        <v>7484.2668341646786</v>
      </c>
      <c r="J167" s="6">
        <f>SUM(J165:J166)</f>
        <v>27927.654230963948</v>
      </c>
      <c r="K167" s="6">
        <f>SUM(K165:K166)</f>
        <v>50312.284244472685</v>
      </c>
      <c r="L167" s="2240"/>
      <c r="M167" s="182">
        <f>SUM(M165:M166)</f>
        <v>17153.615650278876</v>
      </c>
      <c r="N167" s="182">
        <f>SUM(N165:N166)</f>
        <v>8469.28990203801</v>
      </c>
      <c r="O167" s="182">
        <f>SUM(O165:O166)</f>
        <v>29348.035359294514</v>
      </c>
      <c r="P167" s="182">
        <f>SUM(P165:P166)</f>
        <v>54970.940911611404</v>
      </c>
      <c r="Q167" s="129"/>
    </row>
    <row r="168" spans="1:21" ht="16.5" hidden="1" thickTop="1">
      <c r="A168" s="129"/>
      <c r="B168" s="2241">
        <f>B167/E167</f>
        <v>0.22344651831975906</v>
      </c>
      <c r="C168" s="2241">
        <f>C167/E167</f>
        <v>0.17608717995041237</v>
      </c>
      <c r="D168" s="2241">
        <f>D167/E167</f>
        <v>0.60046630172982873</v>
      </c>
      <c r="E168" s="2242">
        <f>SUM(B168:D168)</f>
        <v>1.0000000000000002</v>
      </c>
      <c r="F168" s="129"/>
      <c r="G168" s="129"/>
      <c r="H168" s="2243">
        <f>H167/K167</f>
        <v>0.29615755680941902</v>
      </c>
      <c r="I168" s="2243">
        <f>I167/K167</f>
        <v>0.14875625200791595</v>
      </c>
      <c r="J168" s="2243">
        <f>J167/K167</f>
        <v>0.555086191182665</v>
      </c>
      <c r="K168" s="2244">
        <f>SUM(H168:J168)</f>
        <v>1</v>
      </c>
      <c r="L168" s="129"/>
      <c r="M168" s="2243">
        <f>M167/P167</f>
        <v>0.31204879097595273</v>
      </c>
      <c r="N168" s="2243">
        <f>N167/P167</f>
        <v>0.15406849076234491</v>
      </c>
      <c r="O168" s="2243">
        <f>O167/P167</f>
        <v>0.5338827182617023</v>
      </c>
      <c r="P168" s="2242">
        <f>SUM(M168:O168)</f>
        <v>1</v>
      </c>
      <c r="Q168" s="129"/>
    </row>
    <row r="169" spans="1:21">
      <c r="A169" s="30"/>
      <c r="B169" s="30"/>
      <c r="C169" s="30"/>
      <c r="D169" s="30"/>
      <c r="E169" s="30"/>
      <c r="F169" s="30"/>
      <c r="G169" s="30"/>
      <c r="H169" s="30"/>
      <c r="I169" s="30"/>
      <c r="J169" s="30"/>
      <c r="K169" s="30"/>
      <c r="L169" s="30"/>
      <c r="M169" s="30"/>
      <c r="N169" s="30"/>
      <c r="O169" s="30"/>
      <c r="P169" s="30"/>
      <c r="Q169" s="30"/>
      <c r="S169" s="2054"/>
      <c r="T169" s="2054"/>
      <c r="U169" s="2054"/>
    </row>
    <row r="170" spans="1:21">
      <c r="A170" s="30"/>
      <c r="B170" s="30"/>
      <c r="C170" s="30"/>
      <c r="D170" s="30"/>
      <c r="E170" s="30"/>
      <c r="F170" s="30"/>
      <c r="G170" s="30"/>
      <c r="H170" s="30"/>
      <c r="I170" s="30"/>
      <c r="J170" s="30"/>
      <c r="K170" s="30"/>
      <c r="L170" s="30"/>
      <c r="M170" s="30"/>
      <c r="N170" s="30"/>
      <c r="O170" s="30"/>
      <c r="P170" s="30"/>
      <c r="Q170" s="30"/>
    </row>
    <row r="171" spans="1:21">
      <c r="A171" s="30"/>
      <c r="B171" s="30"/>
      <c r="C171" s="30"/>
      <c r="D171" s="30"/>
      <c r="E171" s="30"/>
      <c r="F171" s="30"/>
      <c r="G171" s="30"/>
      <c r="H171" s="30"/>
      <c r="I171" s="30"/>
      <c r="J171" s="30"/>
      <c r="K171" s="30"/>
      <c r="L171" s="30"/>
      <c r="M171" s="30"/>
      <c r="N171" s="30"/>
      <c r="O171" s="30"/>
      <c r="P171" s="30"/>
      <c r="Q171" s="30"/>
    </row>
    <row r="172" spans="1:21">
      <c r="A172" s="30"/>
      <c r="B172" s="30"/>
      <c r="C172" s="30"/>
      <c r="D172" s="30"/>
      <c r="E172" s="30"/>
      <c r="F172" s="30"/>
      <c r="G172" s="30"/>
      <c r="H172" s="30"/>
      <c r="I172" s="30"/>
      <c r="J172" s="30"/>
      <c r="K172" s="30"/>
      <c r="L172" s="30"/>
      <c r="M172" s="30"/>
      <c r="N172" s="30"/>
      <c r="O172" s="30"/>
      <c r="P172" s="30"/>
      <c r="Q172" s="30"/>
    </row>
    <row r="173" spans="1:21">
      <c r="A173" s="30"/>
      <c r="B173" s="30"/>
      <c r="C173" s="30"/>
      <c r="D173" s="30"/>
      <c r="E173" s="30"/>
      <c r="F173" s="30"/>
      <c r="G173" s="30"/>
      <c r="H173" s="30"/>
      <c r="I173" s="30"/>
      <c r="J173" s="30"/>
      <c r="K173" s="30"/>
      <c r="L173" s="30"/>
      <c r="M173" s="30"/>
      <c r="N173" s="30"/>
      <c r="O173" s="30"/>
      <c r="P173" s="30"/>
      <c r="Q173" s="30"/>
    </row>
    <row r="174" spans="1:21" ht="16.5" thickBot="1">
      <c r="A174" s="30"/>
      <c r="B174" s="30"/>
      <c r="C174" s="30"/>
      <c r="D174" s="30"/>
      <c r="E174" s="30"/>
      <c r="F174" s="30"/>
      <c r="G174" s="30" t="s">
        <v>1882</v>
      </c>
      <c r="H174" s="30"/>
      <c r="I174" s="30"/>
      <c r="J174" s="30"/>
      <c r="K174" s="30"/>
      <c r="L174" s="30"/>
      <c r="M174" s="30"/>
      <c r="N174" s="30"/>
      <c r="O174" s="30"/>
      <c r="P174" s="30"/>
      <c r="Q174" s="30"/>
    </row>
    <row r="175" spans="1:21" ht="30.75" thickBot="1">
      <c r="A175" s="30"/>
      <c r="B175" s="30"/>
      <c r="C175" s="30"/>
      <c r="D175" s="2245" t="s">
        <v>1883</v>
      </c>
      <c r="E175" s="2246" t="s">
        <v>842</v>
      </c>
      <c r="F175" s="2246" t="s">
        <v>922</v>
      </c>
      <c r="G175" s="2246" t="s">
        <v>923</v>
      </c>
      <c r="H175" s="30"/>
      <c r="I175" s="30"/>
      <c r="J175" s="30"/>
      <c r="K175" s="30"/>
      <c r="L175" s="30"/>
      <c r="M175" s="30"/>
      <c r="N175" s="30"/>
      <c r="O175" s="30"/>
      <c r="P175" s="30"/>
      <c r="Q175" s="30"/>
    </row>
    <row r="176" spans="1:21" ht="16.5" thickBot="1">
      <c r="A176" s="30"/>
      <c r="B176" s="30"/>
      <c r="C176" s="30"/>
      <c r="D176" s="2247" t="s">
        <v>1884</v>
      </c>
      <c r="E176" s="2248">
        <f>(G40+G65)/10^2</f>
        <v>453.16363260399999</v>
      </c>
      <c r="F176" s="2248">
        <f>(L40+L65)/10^2</f>
        <v>503.12284244472687</v>
      </c>
      <c r="G176" s="2248">
        <f>(Q40+Q65)/10^2</f>
        <v>549.70940911611399</v>
      </c>
      <c r="H176" s="30"/>
      <c r="I176" s="30"/>
      <c r="J176" s="30"/>
      <c r="K176" s="30"/>
      <c r="L176" s="30"/>
      <c r="M176" s="30"/>
      <c r="N176" s="30"/>
      <c r="O176" s="30"/>
      <c r="P176" s="30"/>
      <c r="Q176" s="30"/>
    </row>
    <row r="177" spans="1:17" ht="29.25" thickBot="1">
      <c r="A177" s="30"/>
      <c r="B177" s="30"/>
      <c r="C177" s="30"/>
      <c r="D177" s="2247" t="s">
        <v>1885</v>
      </c>
      <c r="E177" s="2249">
        <f>(G66+G41)/10^2</f>
        <v>12.848395090000002</v>
      </c>
      <c r="F177" s="2248">
        <f>(L66+L41)/10^2</f>
        <v>14.775654353499998</v>
      </c>
      <c r="G177" s="2248">
        <f>(Q66+Q41)/10^2</f>
        <v>16.992002506524997</v>
      </c>
      <c r="H177" s="30"/>
      <c r="I177" s="30"/>
      <c r="J177" s="30"/>
      <c r="K177" s="30"/>
      <c r="L177" s="30"/>
      <c r="M177" s="30"/>
      <c r="N177" s="30"/>
      <c r="O177" s="30"/>
      <c r="P177" s="30"/>
      <c r="Q177" s="30"/>
    </row>
    <row r="178" spans="1:17" ht="29.25" thickBot="1">
      <c r="A178" s="30"/>
      <c r="B178" s="30"/>
      <c r="C178" s="30"/>
      <c r="D178" s="2250" t="s">
        <v>1886</v>
      </c>
      <c r="E178" s="2251">
        <f>E176-E177</f>
        <v>440.31523751399999</v>
      </c>
      <c r="F178" s="2251">
        <f>F176-F177</f>
        <v>488.34718809122688</v>
      </c>
      <c r="G178" s="2251">
        <f>G176-G177</f>
        <v>532.71740660958903</v>
      </c>
      <c r="H178" s="30"/>
      <c r="I178" s="30"/>
      <c r="J178" s="30"/>
      <c r="K178" s="30"/>
      <c r="L178" s="30"/>
      <c r="M178" s="30"/>
      <c r="N178" s="30"/>
      <c r="O178" s="30"/>
      <c r="P178" s="30"/>
      <c r="Q178" s="30"/>
    </row>
  </sheetData>
  <mergeCells count="30">
    <mergeCell ref="B162:E162"/>
    <mergeCell ref="H162:K162"/>
    <mergeCell ref="M162:P162"/>
    <mergeCell ref="E57:F57"/>
    <mergeCell ref="J57:K57"/>
    <mergeCell ref="O57:P57"/>
    <mergeCell ref="B131:C131"/>
    <mergeCell ref="A7:Q7"/>
    <mergeCell ref="A8:Q8"/>
    <mergeCell ref="C9:G9"/>
    <mergeCell ref="H9:L9"/>
    <mergeCell ref="M9:Q9"/>
    <mergeCell ref="E10:F10"/>
    <mergeCell ref="J10:K10"/>
    <mergeCell ref="O10:P10"/>
    <mergeCell ref="A54:Q54"/>
    <mergeCell ref="A55:Q55"/>
    <mergeCell ref="C56:G56"/>
    <mergeCell ref="H56:L56"/>
    <mergeCell ref="M56:Q56"/>
    <mergeCell ref="B89:C89"/>
    <mergeCell ref="B90:C90"/>
    <mergeCell ref="A70:Q70"/>
    <mergeCell ref="A71:Q71"/>
    <mergeCell ref="C72:G72"/>
    <mergeCell ref="H72:L72"/>
    <mergeCell ref="M72:Q72"/>
    <mergeCell ref="E73:F73"/>
    <mergeCell ref="J73:K73"/>
    <mergeCell ref="O73:P73"/>
  </mergeCells>
  <printOptions horizontalCentered="1"/>
  <pageMargins left="0" right="0" top="0.98425196850393704" bottom="0" header="0.15748031496062992" footer="0.15748031496062992"/>
  <pageSetup paperSize="9" scale="60" orientation="landscape" r:id="rId1"/>
  <headerFooter alignWithMargins="0"/>
  <rowBreaks count="3" manualBreakCount="3">
    <brk id="43" max="16" man="1"/>
    <brk id="88" max="16383" man="1"/>
    <brk id="11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163"/>
  <sheetViews>
    <sheetView topLeftCell="B1" workbookViewId="0">
      <pane ySplit="2" topLeftCell="A137" activePane="bottomLeft" state="frozen"/>
      <selection pane="bottomLeft" activeCell="H171" sqref="H171"/>
    </sheetView>
  </sheetViews>
  <sheetFormatPr defaultColWidth="9.140625" defaultRowHeight="15"/>
  <cols>
    <col min="1" max="1" width="39.5703125" style="1614" bestFit="1" customWidth="1"/>
    <col min="2" max="2" width="5.5703125" style="1614" bestFit="1" customWidth="1"/>
    <col min="3" max="3" width="30.85546875" style="1615" customWidth="1"/>
    <col min="4" max="4" width="17.5703125" style="1614" bestFit="1" customWidth="1"/>
    <col min="5" max="5" width="27.7109375" style="1614" bestFit="1" customWidth="1"/>
    <col min="6" max="6" width="16.85546875" style="1616" bestFit="1" customWidth="1"/>
    <col min="7" max="8" width="16.85546875" style="1616" customWidth="1"/>
    <col min="9" max="9" width="15.5703125" style="1617" bestFit="1" customWidth="1"/>
    <col min="10" max="10" width="14.28515625" style="1617" bestFit="1" customWidth="1"/>
    <col min="11" max="11" width="10.5703125" style="1614" customWidth="1"/>
    <col min="12" max="12" width="17.5703125" style="1614" bestFit="1" customWidth="1"/>
    <col min="13" max="13" width="16.85546875" style="1614" bestFit="1" customWidth="1"/>
    <col min="14" max="17" width="9.140625" style="1614"/>
    <col min="18" max="18" width="17.5703125" style="1614" bestFit="1" customWidth="1"/>
    <col min="19" max="19" width="12.140625" style="1614" bestFit="1" customWidth="1"/>
    <col min="20" max="20" width="17.5703125" style="1614" bestFit="1" customWidth="1"/>
    <col min="21" max="21" width="16.5703125" style="1614" bestFit="1" customWidth="1"/>
    <col min="22" max="16384" width="9.140625" style="1614"/>
  </cols>
  <sheetData>
    <row r="1" spans="1:21">
      <c r="F1" s="2180"/>
      <c r="G1" s="2180" t="s">
        <v>1887</v>
      </c>
      <c r="H1" s="2180" t="s">
        <v>1888</v>
      </c>
      <c r="I1" s="1617" t="s">
        <v>239</v>
      </c>
      <c r="M1" s="2453"/>
    </row>
    <row r="2" spans="1:21">
      <c r="A2" s="1618" t="s">
        <v>1889</v>
      </c>
      <c r="B2" s="1618" t="s">
        <v>376</v>
      </c>
      <c r="C2" s="1619" t="s">
        <v>1890</v>
      </c>
      <c r="D2" s="1620" t="s">
        <v>1891</v>
      </c>
      <c r="E2" s="1620" t="s">
        <v>1892</v>
      </c>
      <c r="F2" s="1621" t="s">
        <v>842</v>
      </c>
      <c r="G2" s="1621" t="s">
        <v>1893</v>
      </c>
      <c r="H2" s="1621" t="s">
        <v>1894</v>
      </c>
      <c r="I2" s="1622" t="s">
        <v>922</v>
      </c>
      <c r="J2" s="1622" t="s">
        <v>923</v>
      </c>
      <c r="K2" s="1620" t="s">
        <v>1895</v>
      </c>
    </row>
    <row r="3" spans="1:21">
      <c r="A3" s="1623" t="s">
        <v>1896</v>
      </c>
      <c r="B3" s="1624">
        <v>1</v>
      </c>
      <c r="C3" s="1625" t="s">
        <v>1787</v>
      </c>
      <c r="D3" s="1626">
        <v>4075104</v>
      </c>
      <c r="E3" s="1627" t="s">
        <v>1897</v>
      </c>
      <c r="F3" s="1628">
        <v>999994690.24000025</v>
      </c>
      <c r="G3" s="1628">
        <v>575690528.42999995</v>
      </c>
      <c r="H3" s="1628">
        <f>SUM('[24]Erstwhile salaries'!L5:P5)</f>
        <v>404154953.65159994</v>
      </c>
      <c r="I3" s="1628">
        <f t="shared" ref="I3:I24" si="0">G3+H3</f>
        <v>979845482.08159995</v>
      </c>
      <c r="J3" s="1682">
        <v>1000137230.9559751</v>
      </c>
      <c r="K3" s="2057" t="s">
        <v>745</v>
      </c>
      <c r="L3" s="2454"/>
      <c r="M3" s="1629">
        <f>L3-J3</f>
        <v>-1000137230.9559751</v>
      </c>
      <c r="O3" s="2455">
        <f t="shared" ref="O3:O43" si="1">(I3-F3)/F3</f>
        <v>-2.0149315146427885E-2</v>
      </c>
      <c r="P3" s="2455">
        <f t="shared" ref="P3:P43" si="2">(J3-I3)/I3</f>
        <v>2.0709131434955414E-2</v>
      </c>
      <c r="R3" s="2454">
        <v>979845482.08159995</v>
      </c>
      <c r="S3" s="2066">
        <f>R3-I3</f>
        <v>0</v>
      </c>
      <c r="T3" s="2454">
        <v>1000137230.9559751</v>
      </c>
      <c r="U3" s="2454">
        <f>T3-J3</f>
        <v>0</v>
      </c>
    </row>
    <row r="4" spans="1:21">
      <c r="A4" s="1623" t="s">
        <v>1896</v>
      </c>
      <c r="B4" s="1624">
        <f>B3+1</f>
        <v>2</v>
      </c>
      <c r="C4" s="1625" t="s">
        <v>1792</v>
      </c>
      <c r="D4" s="1626">
        <v>4075204</v>
      </c>
      <c r="E4" s="1627" t="s">
        <v>1898</v>
      </c>
      <c r="F4" s="1628">
        <v>11147987</v>
      </c>
      <c r="G4" s="1628">
        <v>3891421</v>
      </c>
      <c r="H4" s="1628">
        <v>7300000</v>
      </c>
      <c r="I4" s="1628">
        <f t="shared" si="0"/>
        <v>11191421</v>
      </c>
      <c r="J4" s="1628">
        <v>14077984</v>
      </c>
      <c r="K4" s="2057" t="s">
        <v>745</v>
      </c>
      <c r="L4" s="2454"/>
      <c r="M4" s="1629">
        <f t="shared" ref="M4:M67" si="3">L4-J4</f>
        <v>-14077984</v>
      </c>
      <c r="O4" s="2455">
        <f t="shared" si="1"/>
        <v>3.8961294088340793E-3</v>
      </c>
      <c r="P4" s="2455">
        <f t="shared" si="2"/>
        <v>0.25792640630711683</v>
      </c>
      <c r="R4" s="2454">
        <v>11191421</v>
      </c>
      <c r="S4" s="2066">
        <f t="shared" ref="S4:S67" si="4">R4-I4</f>
        <v>0</v>
      </c>
      <c r="T4" s="2454">
        <v>14077984</v>
      </c>
      <c r="U4" s="2454">
        <f t="shared" ref="U4:U67" si="5">T4-J4</f>
        <v>0</v>
      </c>
    </row>
    <row r="5" spans="1:21">
      <c r="A5" s="1623" t="s">
        <v>1896</v>
      </c>
      <c r="B5" s="1624">
        <f>B4+1</f>
        <v>3</v>
      </c>
      <c r="C5" s="1625" t="s">
        <v>1789</v>
      </c>
      <c r="D5" s="1626">
        <v>4075304</v>
      </c>
      <c r="E5" s="1627" t="s">
        <v>1899</v>
      </c>
      <c r="F5" s="1628">
        <v>370144569.02999997</v>
      </c>
      <c r="G5" s="1628">
        <v>263858221.56</v>
      </c>
      <c r="H5" s="1628">
        <f>H3*46%</f>
        <v>185911278.67973599</v>
      </c>
      <c r="I5" s="1628">
        <f t="shared" si="0"/>
        <v>449769500.23973596</v>
      </c>
      <c r="J5" s="1628">
        <v>499940398.4637363</v>
      </c>
      <c r="K5" s="2057" t="s">
        <v>745</v>
      </c>
      <c r="L5" s="2454"/>
      <c r="M5" s="1629">
        <f t="shared" si="3"/>
        <v>-499940398.4637363</v>
      </c>
      <c r="O5" s="2455">
        <f t="shared" si="1"/>
        <v>0.21511846416766536</v>
      </c>
      <c r="P5" s="2455">
        <f t="shared" si="2"/>
        <v>0.11154802225864195</v>
      </c>
      <c r="R5" s="2454">
        <v>264130525.46000001</v>
      </c>
      <c r="S5" s="2066">
        <f t="shared" si="4"/>
        <v>-185638974.77973595</v>
      </c>
      <c r="T5" s="2454">
        <v>499940398.4637363</v>
      </c>
      <c r="U5" s="2454">
        <f t="shared" si="5"/>
        <v>0</v>
      </c>
    </row>
    <row r="6" spans="1:21">
      <c r="A6" s="1623" t="s">
        <v>1896</v>
      </c>
      <c r="B6" s="1624">
        <f>B5+1</f>
        <v>4</v>
      </c>
      <c r="C6" s="1625" t="s">
        <v>1790</v>
      </c>
      <c r="D6" s="1626">
        <v>4075305</v>
      </c>
      <c r="E6" s="1627" t="s">
        <v>1900</v>
      </c>
      <c r="F6" s="1628">
        <v>166133605.29999998</v>
      </c>
      <c r="G6" s="1628">
        <v>104998710.45</v>
      </c>
      <c r="H6" s="1628">
        <f>H3*20%</f>
        <v>80830990.730319992</v>
      </c>
      <c r="I6" s="1628">
        <f t="shared" si="0"/>
        <v>185829701.18031999</v>
      </c>
      <c r="J6" s="1628">
        <v>200027446.19119498</v>
      </c>
      <c r="K6" s="2057" t="s">
        <v>745</v>
      </c>
      <c r="L6" s="2454"/>
      <c r="M6" s="1629">
        <f t="shared" si="3"/>
        <v>-200027446.19119498</v>
      </c>
      <c r="O6" s="2455">
        <f t="shared" si="1"/>
        <v>0.11855576025544794</v>
      </c>
      <c r="P6" s="2455">
        <f t="shared" si="2"/>
        <v>7.6401914875266333E-2</v>
      </c>
      <c r="R6" s="2454">
        <v>105117103.45</v>
      </c>
      <c r="S6" s="2066">
        <f t="shared" si="4"/>
        <v>-80712597.730319992</v>
      </c>
      <c r="T6" s="2454">
        <v>200027446.19119498</v>
      </c>
      <c r="U6" s="2454">
        <f t="shared" si="5"/>
        <v>0</v>
      </c>
    </row>
    <row r="7" spans="1:21" ht="30">
      <c r="A7" s="1623" t="s">
        <v>1896</v>
      </c>
      <c r="B7" s="1624">
        <f t="shared" ref="B7:B70" si="6">B6+1</f>
        <v>5</v>
      </c>
      <c r="C7" s="1625" t="s">
        <v>1801</v>
      </c>
      <c r="D7" s="1626">
        <v>4075306</v>
      </c>
      <c r="E7" s="1627" t="s">
        <v>1901</v>
      </c>
      <c r="F7" s="1628">
        <v>49266503.739999995</v>
      </c>
      <c r="G7" s="1628">
        <v>28716269.890000001</v>
      </c>
      <c r="H7" s="1628">
        <f>H3*7%</f>
        <v>28290846.755611997</v>
      </c>
      <c r="I7" s="1628">
        <f t="shared" si="0"/>
        <v>57007116.645612001</v>
      </c>
      <c r="J7" s="1628">
        <v>50006861.547798745</v>
      </c>
      <c r="K7" s="2057" t="s">
        <v>745</v>
      </c>
      <c r="L7" s="2454"/>
      <c r="M7" s="1629">
        <f t="shared" si="3"/>
        <v>-50006861.547798745</v>
      </c>
      <c r="O7" s="2455">
        <f t="shared" si="1"/>
        <v>0.15711715502408022</v>
      </c>
      <c r="P7" s="2455">
        <f t="shared" si="2"/>
        <v>-0.1227961614219281</v>
      </c>
      <c r="R7" s="2454">
        <v>28716269.890000001</v>
      </c>
      <c r="S7" s="2066">
        <f t="shared" si="4"/>
        <v>-28290846.755612001</v>
      </c>
      <c r="T7" s="2454">
        <v>50006861.547798745</v>
      </c>
      <c r="U7" s="2454">
        <f t="shared" si="5"/>
        <v>0</v>
      </c>
    </row>
    <row r="8" spans="1:21">
      <c r="A8" s="1623" t="s">
        <v>1896</v>
      </c>
      <c r="B8" s="1624">
        <f t="shared" si="6"/>
        <v>6</v>
      </c>
      <c r="C8" s="1625" t="s">
        <v>1791</v>
      </c>
      <c r="D8" s="1626">
        <v>4075307</v>
      </c>
      <c r="E8" s="1627" t="s">
        <v>1902</v>
      </c>
      <c r="F8" s="1628">
        <v>15571561</v>
      </c>
      <c r="G8" s="1628">
        <v>8662000</v>
      </c>
      <c r="H8" s="1628">
        <f t="shared" ref="H8:H16" si="7">G8/7*5</f>
        <v>6187142.8571428563</v>
      </c>
      <c r="I8" s="1628">
        <f t="shared" si="0"/>
        <v>14849142.857142856</v>
      </c>
      <c r="J8" s="1628">
        <v>18494358.369968712</v>
      </c>
      <c r="K8" s="2057" t="s">
        <v>745</v>
      </c>
      <c r="L8" s="2454"/>
      <c r="M8" s="1629">
        <f t="shared" si="3"/>
        <v>-18494358.369968712</v>
      </c>
      <c r="O8" s="2455">
        <f t="shared" si="1"/>
        <v>-4.6393431131094925E-2</v>
      </c>
      <c r="P8" s="2455">
        <f t="shared" si="2"/>
        <v>0.2454832274088066</v>
      </c>
      <c r="R8" s="2454">
        <v>14849142.857142856</v>
      </c>
      <c r="S8" s="2066">
        <f t="shared" si="4"/>
        <v>0</v>
      </c>
      <c r="T8" s="2454">
        <v>18494358.369968712</v>
      </c>
      <c r="U8" s="2454">
        <f t="shared" si="5"/>
        <v>0</v>
      </c>
    </row>
    <row r="9" spans="1:21">
      <c r="A9" s="1623" t="s">
        <v>1896</v>
      </c>
      <c r="B9" s="1624">
        <f t="shared" si="6"/>
        <v>7</v>
      </c>
      <c r="C9" s="1625" t="s">
        <v>1791</v>
      </c>
      <c r="D9" s="1626">
        <v>4075308</v>
      </c>
      <c r="E9" s="1627" t="s">
        <v>1903</v>
      </c>
      <c r="F9" s="1628">
        <v>3601713.1</v>
      </c>
      <c r="G9" s="1628">
        <v>116816.7</v>
      </c>
      <c r="H9" s="1628">
        <f t="shared" si="7"/>
        <v>83440.5</v>
      </c>
      <c r="I9" s="1628">
        <f t="shared" si="0"/>
        <v>200257.2</v>
      </c>
      <c r="J9" s="1628">
        <v>385595.18678603717</v>
      </c>
      <c r="K9" s="2057" t="s">
        <v>745</v>
      </c>
      <c r="L9" s="2454"/>
      <c r="M9" s="1629">
        <f>L9-J9</f>
        <v>-385595.18678603717</v>
      </c>
      <c r="O9" s="2455">
        <f t="shared" si="1"/>
        <v>-0.94439945813562987</v>
      </c>
      <c r="P9" s="2455">
        <f t="shared" si="2"/>
        <v>0.92549974126292167</v>
      </c>
      <c r="R9" s="2454">
        <v>200257.2</v>
      </c>
      <c r="S9" s="2066">
        <f t="shared" si="4"/>
        <v>0</v>
      </c>
      <c r="T9" s="2454">
        <v>604443.45451832388</v>
      </c>
      <c r="U9" s="2454">
        <f t="shared" si="5"/>
        <v>218848.26773228671</v>
      </c>
    </row>
    <row r="10" spans="1:21">
      <c r="A10" s="1623" t="s">
        <v>1896</v>
      </c>
      <c r="B10" s="1624">
        <f t="shared" si="6"/>
        <v>8</v>
      </c>
      <c r="C10" s="1625" t="s">
        <v>1791</v>
      </c>
      <c r="D10" s="1626">
        <v>4075391</v>
      </c>
      <c r="E10" s="1627" t="s">
        <v>1904</v>
      </c>
      <c r="F10" s="1628">
        <v>261279</v>
      </c>
      <c r="G10" s="1628">
        <v>229591</v>
      </c>
      <c r="H10" s="1628">
        <f t="shared" si="7"/>
        <v>163993.57142857142</v>
      </c>
      <c r="I10" s="1628">
        <f t="shared" si="0"/>
        <v>393584.57142857142</v>
      </c>
      <c r="J10" s="1628">
        <v>249271.20000000004</v>
      </c>
      <c r="K10" s="2057" t="s">
        <v>745</v>
      </c>
      <c r="L10" s="2456"/>
      <c r="M10" s="1629">
        <f t="shared" si="3"/>
        <v>-249271.20000000004</v>
      </c>
      <c r="O10" s="2455">
        <f t="shared" si="1"/>
        <v>0.50637659907061583</v>
      </c>
      <c r="P10" s="2455">
        <f t="shared" si="2"/>
        <v>-0.36666419850952336</v>
      </c>
      <c r="R10" s="2454">
        <v>393584.57142857142</v>
      </c>
      <c r="S10" s="2066">
        <f t="shared" si="4"/>
        <v>0</v>
      </c>
      <c r="T10" s="2454">
        <v>249271.20000000004</v>
      </c>
      <c r="U10" s="2454">
        <f t="shared" si="5"/>
        <v>0</v>
      </c>
    </row>
    <row r="11" spans="1:21">
      <c r="A11" s="1623" t="s">
        <v>1896</v>
      </c>
      <c r="B11" s="1624">
        <f t="shared" si="6"/>
        <v>9</v>
      </c>
      <c r="C11" s="1625" t="s">
        <v>1791</v>
      </c>
      <c r="D11" s="1626">
        <v>4075392</v>
      </c>
      <c r="E11" s="1627" t="s">
        <v>1905</v>
      </c>
      <c r="F11" s="1628">
        <v>110884</v>
      </c>
      <c r="G11" s="1628">
        <v>52990</v>
      </c>
      <c r="H11" s="1628">
        <f t="shared" si="7"/>
        <v>37850</v>
      </c>
      <c r="I11" s="1628">
        <f t="shared" si="0"/>
        <v>90840</v>
      </c>
      <c r="J11" s="1628">
        <v>93134.39999999998</v>
      </c>
      <c r="K11" s="2057" t="s">
        <v>745</v>
      </c>
      <c r="L11" s="2454"/>
      <c r="M11" s="1629">
        <f t="shared" si="3"/>
        <v>-93134.39999999998</v>
      </c>
      <c r="O11" s="2455">
        <f t="shared" si="1"/>
        <v>-0.18076548465062589</v>
      </c>
      <c r="P11" s="2455">
        <f t="shared" si="2"/>
        <v>2.5257595772787095E-2</v>
      </c>
      <c r="R11" s="2454">
        <v>90840</v>
      </c>
      <c r="S11" s="2066">
        <f t="shared" si="4"/>
        <v>0</v>
      </c>
      <c r="T11" s="2454">
        <v>93134.39999999998</v>
      </c>
      <c r="U11" s="2454">
        <f t="shared" si="5"/>
        <v>0</v>
      </c>
    </row>
    <row r="12" spans="1:21">
      <c r="A12" s="1623" t="s">
        <v>1896</v>
      </c>
      <c r="B12" s="1624">
        <f t="shared" si="6"/>
        <v>10</v>
      </c>
      <c r="C12" s="1625" t="s">
        <v>1791</v>
      </c>
      <c r="D12" s="1626">
        <v>4075393</v>
      </c>
      <c r="E12" s="1627" t="s">
        <v>1906</v>
      </c>
      <c r="F12" s="1628">
        <v>1903829.4</v>
      </c>
      <c r="G12" s="1628">
        <v>1055882</v>
      </c>
      <c r="H12" s="1628">
        <f t="shared" si="7"/>
        <v>754201.42857142852</v>
      </c>
      <c r="I12" s="1628">
        <f t="shared" si="0"/>
        <v>1810083.4285714286</v>
      </c>
      <c r="J12" s="1628">
        <v>1820275.2000000004</v>
      </c>
      <c r="K12" s="2057" t="s">
        <v>745</v>
      </c>
      <c r="L12" s="2454"/>
      <c r="M12" s="1629">
        <f t="shared" si="3"/>
        <v>-1820275.2000000004</v>
      </c>
      <c r="O12" s="2455">
        <f t="shared" si="1"/>
        <v>-4.9240741543633726E-2</v>
      </c>
      <c r="P12" s="2455">
        <f t="shared" si="2"/>
        <v>5.6305534141127562E-3</v>
      </c>
      <c r="R12" s="2454">
        <v>1810083.4285714286</v>
      </c>
      <c r="S12" s="2066">
        <f t="shared" si="4"/>
        <v>0</v>
      </c>
      <c r="T12" s="2454">
        <v>1820275.2000000004</v>
      </c>
      <c r="U12" s="2454">
        <f t="shared" si="5"/>
        <v>0</v>
      </c>
    </row>
    <row r="13" spans="1:21">
      <c r="A13" s="1623" t="s">
        <v>1896</v>
      </c>
      <c r="B13" s="1624">
        <f t="shared" si="6"/>
        <v>11</v>
      </c>
      <c r="C13" s="1625" t="s">
        <v>1791</v>
      </c>
      <c r="D13" s="1626">
        <v>4075690</v>
      </c>
      <c r="E13" s="1627" t="s">
        <v>1907</v>
      </c>
      <c r="F13" s="1628">
        <v>45213325.450000003</v>
      </c>
      <c r="G13" s="1628">
        <v>29466949.890000001</v>
      </c>
      <c r="H13" s="1628">
        <f t="shared" si="7"/>
        <v>21047821.350000001</v>
      </c>
      <c r="I13" s="1628">
        <f t="shared" si="0"/>
        <v>50514771.240000002</v>
      </c>
      <c r="J13" s="1628">
        <v>59766178.952575669</v>
      </c>
      <c r="K13" s="2057" t="s">
        <v>745</v>
      </c>
      <c r="L13" s="2456"/>
      <c r="M13" s="1629">
        <f t="shared" si="3"/>
        <v>-59766178.952575669</v>
      </c>
      <c r="O13" s="2455">
        <f t="shared" si="1"/>
        <v>0.11725405590576835</v>
      </c>
      <c r="P13" s="2455">
        <f t="shared" si="2"/>
        <v>0.18314262314722632</v>
      </c>
      <c r="R13" s="2454">
        <v>50514771.240000002</v>
      </c>
      <c r="S13" s="2066">
        <f t="shared" si="4"/>
        <v>0</v>
      </c>
      <c r="T13" s="2454">
        <v>114970537.05189365</v>
      </c>
      <c r="U13" s="2454">
        <f t="shared" si="5"/>
        <v>55204358.099317983</v>
      </c>
    </row>
    <row r="14" spans="1:21">
      <c r="A14" s="1623" t="s">
        <v>1896</v>
      </c>
      <c r="B14" s="1624">
        <f t="shared" si="6"/>
        <v>12</v>
      </c>
      <c r="C14" s="1625" t="s">
        <v>1791</v>
      </c>
      <c r="D14" s="1626">
        <v>4075703</v>
      </c>
      <c r="E14" s="1627" t="s">
        <v>1908</v>
      </c>
      <c r="F14" s="1628">
        <v>1872870</v>
      </c>
      <c r="G14" s="1628">
        <v>1265950.0000000002</v>
      </c>
      <c r="H14" s="1628">
        <f t="shared" si="7"/>
        <v>904250.00000000012</v>
      </c>
      <c r="I14" s="1628">
        <f t="shared" si="0"/>
        <v>2170200.0000000005</v>
      </c>
      <c r="J14" s="1628">
        <v>2153856</v>
      </c>
      <c r="K14" s="2057" t="s">
        <v>745</v>
      </c>
      <c r="L14" s="2454"/>
      <c r="M14" s="1629">
        <f t="shared" si="3"/>
        <v>-2153856</v>
      </c>
      <c r="O14" s="2455">
        <f t="shared" si="1"/>
        <v>0.1587563472104313</v>
      </c>
      <c r="P14" s="2455">
        <f t="shared" si="2"/>
        <v>-7.5311031241362377E-3</v>
      </c>
      <c r="R14" s="2454">
        <v>2170200.0000000005</v>
      </c>
      <c r="S14" s="2066">
        <f t="shared" si="4"/>
        <v>0</v>
      </c>
      <c r="T14" s="2454">
        <v>2153856</v>
      </c>
      <c r="U14" s="2454">
        <f t="shared" si="5"/>
        <v>0</v>
      </c>
    </row>
    <row r="15" spans="1:21">
      <c r="A15" s="1623" t="s">
        <v>1896</v>
      </c>
      <c r="B15" s="1624">
        <f t="shared" si="6"/>
        <v>13</v>
      </c>
      <c r="C15" s="1625" t="s">
        <v>1810</v>
      </c>
      <c r="D15" s="1626">
        <v>4079530</v>
      </c>
      <c r="E15" s="1627" t="s">
        <v>1909</v>
      </c>
      <c r="F15" s="1628">
        <v>0</v>
      </c>
      <c r="G15" s="1628">
        <v>200000</v>
      </c>
      <c r="H15" s="1628">
        <f t="shared" si="7"/>
        <v>142857.14285714287</v>
      </c>
      <c r="I15" s="1628">
        <f t="shared" si="0"/>
        <v>342857.14285714284</v>
      </c>
      <c r="J15" s="1628">
        <v>305670.79470510798</v>
      </c>
      <c r="K15" s="2057" t="s">
        <v>745</v>
      </c>
      <c r="L15" s="2454"/>
      <c r="M15" s="1629">
        <f t="shared" si="3"/>
        <v>-305670.79470510798</v>
      </c>
      <c r="O15" s="2455" t="e">
        <f t="shared" si="1"/>
        <v>#DIV/0!</v>
      </c>
      <c r="P15" s="2455">
        <f t="shared" si="2"/>
        <v>-0.10846018211010168</v>
      </c>
      <c r="R15" s="2454">
        <v>342857.14285714284</v>
      </c>
      <c r="S15" s="2066">
        <f t="shared" si="4"/>
        <v>0</v>
      </c>
      <c r="T15" s="2454">
        <v>2525378.5125176692</v>
      </c>
      <c r="U15" s="2454">
        <f t="shared" si="5"/>
        <v>2219707.7178125614</v>
      </c>
    </row>
    <row r="16" spans="1:21">
      <c r="A16" s="1623" t="s">
        <v>1910</v>
      </c>
      <c r="B16" s="1624">
        <f t="shared" si="6"/>
        <v>14</v>
      </c>
      <c r="C16" s="1625" t="s">
        <v>1811</v>
      </c>
      <c r="D16" s="1626">
        <v>4075718</v>
      </c>
      <c r="E16" s="1627" t="s">
        <v>1911</v>
      </c>
      <c r="F16" s="1628">
        <v>29124376.600000001</v>
      </c>
      <c r="G16" s="1628">
        <v>17009566</v>
      </c>
      <c r="H16" s="1628">
        <f t="shared" si="7"/>
        <v>12149690</v>
      </c>
      <c r="I16" s="1628">
        <f t="shared" si="0"/>
        <v>29159256</v>
      </c>
      <c r="J16" s="1628">
        <v>33573303.747369006</v>
      </c>
      <c r="K16" s="2057" t="s">
        <v>745</v>
      </c>
      <c r="L16" s="2454"/>
      <c r="M16" s="1629">
        <f t="shared" si="3"/>
        <v>-33573303.747369006</v>
      </c>
      <c r="O16" s="2455">
        <f t="shared" si="1"/>
        <v>1.1976015994793346E-3</v>
      </c>
      <c r="P16" s="2455">
        <f t="shared" si="2"/>
        <v>0.15137724183940104</v>
      </c>
      <c r="R16" s="2454">
        <v>29159256</v>
      </c>
      <c r="S16" s="2066">
        <f t="shared" si="4"/>
        <v>0</v>
      </c>
      <c r="T16" s="2454">
        <v>33573303.747369006</v>
      </c>
      <c r="U16" s="2454">
        <f t="shared" si="5"/>
        <v>0</v>
      </c>
    </row>
    <row r="17" spans="1:21">
      <c r="A17" s="1623" t="s">
        <v>1910</v>
      </c>
      <c r="B17" s="1624">
        <f t="shared" si="6"/>
        <v>15</v>
      </c>
      <c r="C17" s="1625" t="s">
        <v>1811</v>
      </c>
      <c r="D17" s="1626">
        <v>4075802</v>
      </c>
      <c r="E17" s="1627" t="s">
        <v>1912</v>
      </c>
      <c r="F17" s="1628">
        <v>198800</v>
      </c>
      <c r="G17" s="1628">
        <v>746700</v>
      </c>
      <c r="H17" s="1628">
        <v>533000</v>
      </c>
      <c r="I17" s="1628">
        <f t="shared" si="0"/>
        <v>1279700</v>
      </c>
      <c r="J17" s="1628">
        <v>1737585.9657947682</v>
      </c>
      <c r="K17" s="2057" t="s">
        <v>745</v>
      </c>
      <c r="L17" s="2454"/>
      <c r="M17" s="1629">
        <f t="shared" si="3"/>
        <v>-1737585.9657947682</v>
      </c>
      <c r="O17" s="2455">
        <f t="shared" si="1"/>
        <v>5.4371227364185106</v>
      </c>
      <c r="P17" s="2455">
        <f t="shared" si="2"/>
        <v>0.35780727185650402</v>
      </c>
      <c r="R17" s="2454">
        <v>1279700</v>
      </c>
      <c r="S17" s="2066">
        <f t="shared" si="4"/>
        <v>0</v>
      </c>
      <c r="T17" s="2454">
        <v>1737585.9657947682</v>
      </c>
      <c r="U17" s="2454">
        <f t="shared" si="5"/>
        <v>0</v>
      </c>
    </row>
    <row r="18" spans="1:21">
      <c r="A18" s="1623" t="s">
        <v>1896</v>
      </c>
      <c r="B18" s="1624">
        <f t="shared" si="6"/>
        <v>16</v>
      </c>
      <c r="C18" s="1625" t="s">
        <v>1791</v>
      </c>
      <c r="D18" s="1626">
        <v>4075394</v>
      </c>
      <c r="E18" s="1627" t="s">
        <v>1913</v>
      </c>
      <c r="F18" s="1628">
        <v>0</v>
      </c>
      <c r="G18" s="1628">
        <v>0</v>
      </c>
      <c r="H18" s="1628">
        <v>0</v>
      </c>
      <c r="I18" s="1628">
        <f t="shared" si="0"/>
        <v>0</v>
      </c>
      <c r="J18" s="1628">
        <v>0</v>
      </c>
      <c r="K18" s="2057" t="s">
        <v>745</v>
      </c>
      <c r="L18" s="2454"/>
      <c r="M18" s="1629">
        <f t="shared" si="3"/>
        <v>0</v>
      </c>
      <c r="O18" s="2455" t="e">
        <f t="shared" si="1"/>
        <v>#DIV/0!</v>
      </c>
      <c r="P18" s="2455" t="e">
        <f t="shared" si="2"/>
        <v>#DIV/0!</v>
      </c>
      <c r="R18" s="2454">
        <v>0</v>
      </c>
      <c r="S18" s="2066">
        <f t="shared" si="4"/>
        <v>0</v>
      </c>
      <c r="T18" s="2454">
        <v>0</v>
      </c>
      <c r="U18" s="2454">
        <f t="shared" si="5"/>
        <v>0</v>
      </c>
    </row>
    <row r="19" spans="1:21">
      <c r="A19" s="1623" t="s">
        <v>1896</v>
      </c>
      <c r="B19" s="1624">
        <f t="shared" si="6"/>
        <v>17</v>
      </c>
      <c r="C19" s="1625" t="s">
        <v>1791</v>
      </c>
      <c r="D19" s="2070">
        <v>4075404</v>
      </c>
      <c r="E19" s="1627" t="s">
        <v>1914</v>
      </c>
      <c r="F19" s="1628">
        <v>18452625.719999999</v>
      </c>
      <c r="G19" s="1628">
        <v>37449771.939999998</v>
      </c>
      <c r="H19" s="1628">
        <f>4000000*5</f>
        <v>20000000</v>
      </c>
      <c r="I19" s="1628">
        <f t="shared" si="0"/>
        <v>57449771.939999998</v>
      </c>
      <c r="J19" s="1628">
        <v>76077984</v>
      </c>
      <c r="K19" s="2057" t="s">
        <v>745</v>
      </c>
      <c r="L19" s="2454"/>
      <c r="M19" s="1629">
        <f t="shared" si="3"/>
        <v>-76077984</v>
      </c>
      <c r="N19" s="2457" t="s">
        <v>1915</v>
      </c>
      <c r="O19" s="2455">
        <f t="shared" si="1"/>
        <v>2.1133656972044195</v>
      </c>
      <c r="P19" s="2455">
        <f t="shared" si="2"/>
        <v>0.32425214985109307</v>
      </c>
      <c r="R19" s="2454">
        <v>57449771.939999998</v>
      </c>
      <c r="S19" s="2066">
        <f t="shared" si="4"/>
        <v>0</v>
      </c>
      <c r="T19" s="2454">
        <v>76077984</v>
      </c>
      <c r="U19" s="2454">
        <f t="shared" si="5"/>
        <v>0</v>
      </c>
    </row>
    <row r="20" spans="1:21">
      <c r="A20" s="1623" t="s">
        <v>1896</v>
      </c>
      <c r="B20" s="1624">
        <f t="shared" si="6"/>
        <v>18</v>
      </c>
      <c r="C20" s="1625" t="s">
        <v>1796</v>
      </c>
      <c r="D20" s="1626">
        <v>4075501</v>
      </c>
      <c r="E20" s="1627" t="s">
        <v>1916</v>
      </c>
      <c r="F20" s="1628">
        <v>1575694</v>
      </c>
      <c r="G20" s="1628">
        <v>333871</v>
      </c>
      <c r="H20" s="1628">
        <f>263000*5</f>
        <v>1315000</v>
      </c>
      <c r="I20" s="1628">
        <f t="shared" si="0"/>
        <v>1648871</v>
      </c>
      <c r="J20" s="1628">
        <v>1725446.4221105115</v>
      </c>
      <c r="K20" s="2057" t="s">
        <v>745</v>
      </c>
      <c r="L20" s="2454"/>
      <c r="M20" s="1629">
        <f t="shared" si="3"/>
        <v>-1725446.4221105115</v>
      </c>
      <c r="O20" s="2455">
        <f t="shared" si="1"/>
        <v>4.6441123720722427E-2</v>
      </c>
      <c r="P20" s="2455">
        <f t="shared" si="2"/>
        <v>4.6441123720722517E-2</v>
      </c>
      <c r="R20" s="2454">
        <v>1648871</v>
      </c>
      <c r="S20" s="2066">
        <f t="shared" si="4"/>
        <v>0</v>
      </c>
      <c r="T20" s="2454">
        <v>1725446.4221105115</v>
      </c>
      <c r="U20" s="2454">
        <f t="shared" si="5"/>
        <v>0</v>
      </c>
    </row>
    <row r="21" spans="1:21">
      <c r="A21" s="1623" t="s">
        <v>1896</v>
      </c>
      <c r="B21" s="1624">
        <f t="shared" si="6"/>
        <v>19</v>
      </c>
      <c r="C21" s="1625" t="s">
        <v>1798</v>
      </c>
      <c r="D21" s="1626">
        <v>4075502</v>
      </c>
      <c r="E21" s="1627" t="s">
        <v>1917</v>
      </c>
      <c r="F21" s="1628">
        <v>5256572</v>
      </c>
      <c r="G21" s="1628">
        <v>6841657</v>
      </c>
      <c r="H21" s="1628">
        <f>746200*5</f>
        <v>3731000</v>
      </c>
      <c r="I21" s="1628">
        <f t="shared" si="0"/>
        <v>10572657</v>
      </c>
      <c r="J21" s="1628">
        <v>20149417</v>
      </c>
      <c r="K21" s="2057" t="s">
        <v>745</v>
      </c>
      <c r="L21" s="2454"/>
      <c r="M21" s="1629">
        <f t="shared" si="3"/>
        <v>-20149417</v>
      </c>
      <c r="O21" s="2455">
        <f t="shared" si="1"/>
        <v>1.0113216369907994</v>
      </c>
      <c r="P21" s="2455">
        <f t="shared" si="2"/>
        <v>0.90580447280186993</v>
      </c>
      <c r="R21" s="2454">
        <v>10572657</v>
      </c>
      <c r="S21" s="2066">
        <f t="shared" si="4"/>
        <v>0</v>
      </c>
      <c r="T21" s="2454">
        <v>20149417</v>
      </c>
      <c r="U21" s="2454">
        <f t="shared" si="5"/>
        <v>0</v>
      </c>
    </row>
    <row r="22" spans="1:21">
      <c r="A22" s="1623" t="s">
        <v>1896</v>
      </c>
      <c r="B22" s="1624">
        <f t="shared" si="6"/>
        <v>20</v>
      </c>
      <c r="C22" s="1625" t="s">
        <v>1797</v>
      </c>
      <c r="D22" s="1626">
        <v>4075503</v>
      </c>
      <c r="E22" s="1627" t="s">
        <v>1918</v>
      </c>
      <c r="F22" s="1628">
        <v>2430085</v>
      </c>
      <c r="G22" s="1628">
        <v>5256776</v>
      </c>
      <c r="H22" s="1628">
        <f>G22/7*5</f>
        <v>3754840</v>
      </c>
      <c r="I22" s="1628">
        <f t="shared" si="0"/>
        <v>9011616</v>
      </c>
      <c r="J22" s="1628">
        <v>18418264.353492163</v>
      </c>
      <c r="K22" s="2057" t="s">
        <v>745</v>
      </c>
      <c r="L22" s="2454"/>
      <c r="M22" s="1629">
        <f t="shared" si="3"/>
        <v>-18418264.353492163</v>
      </c>
      <c r="O22" s="2455">
        <f t="shared" si="1"/>
        <v>2.7083542345226608</v>
      </c>
      <c r="P22" s="2455">
        <f t="shared" si="2"/>
        <v>1.0438359061784439</v>
      </c>
      <c r="R22" s="2454">
        <v>9011616</v>
      </c>
      <c r="S22" s="2066">
        <f t="shared" si="4"/>
        <v>0</v>
      </c>
      <c r="T22" s="2454">
        <v>18418264.353492163</v>
      </c>
      <c r="U22" s="2454">
        <f t="shared" si="5"/>
        <v>0</v>
      </c>
    </row>
    <row r="23" spans="1:21">
      <c r="A23" s="1623" t="s">
        <v>1896</v>
      </c>
      <c r="B23" s="1624">
        <f t="shared" si="6"/>
        <v>21</v>
      </c>
      <c r="C23" s="1625" t="s">
        <v>1793</v>
      </c>
      <c r="D23" s="1626">
        <v>4075504</v>
      </c>
      <c r="E23" s="1627" t="s">
        <v>1919</v>
      </c>
      <c r="F23" s="1628">
        <v>43455976</v>
      </c>
      <c r="G23" s="1628">
        <v>25477333.670000002</v>
      </c>
      <c r="H23" s="1628">
        <f>3445417*5</f>
        <v>17227085</v>
      </c>
      <c r="I23" s="1628">
        <f t="shared" si="0"/>
        <v>42704418.670000002</v>
      </c>
      <c r="J23" s="1628">
        <v>79094827</v>
      </c>
      <c r="K23" s="2057" t="s">
        <v>745</v>
      </c>
      <c r="L23" s="2454"/>
      <c r="M23" s="1629">
        <f t="shared" si="3"/>
        <v>-79094827</v>
      </c>
      <c r="O23" s="2455">
        <f t="shared" si="1"/>
        <v>-1.7294683014368338E-2</v>
      </c>
      <c r="P23" s="2455">
        <f t="shared" si="2"/>
        <v>0.8521462055532999</v>
      </c>
      <c r="R23" s="2454">
        <v>42704418.670000002</v>
      </c>
      <c r="S23" s="2066">
        <f t="shared" si="4"/>
        <v>0</v>
      </c>
      <c r="T23" s="2454">
        <v>79094827</v>
      </c>
      <c r="U23" s="2454">
        <f t="shared" si="5"/>
        <v>0</v>
      </c>
    </row>
    <row r="24" spans="1:21">
      <c r="A24" s="1623" t="s">
        <v>1896</v>
      </c>
      <c r="B24" s="1624">
        <f t="shared" si="6"/>
        <v>22</v>
      </c>
      <c r="C24" s="1625" t="s">
        <v>1807</v>
      </c>
      <c r="D24" s="1626">
        <v>4075505</v>
      </c>
      <c r="E24" s="1627" t="s">
        <v>1920</v>
      </c>
      <c r="F24" s="1628">
        <v>428449</v>
      </c>
      <c r="G24" s="1628">
        <v>0</v>
      </c>
      <c r="H24" s="1628">
        <v>1000000</v>
      </c>
      <c r="I24" s="1628">
        <f t="shared" si="0"/>
        <v>1000000</v>
      </c>
      <c r="J24" s="1628">
        <v>2334000.0793560026</v>
      </c>
      <c r="K24" s="2057" t="s">
        <v>745</v>
      </c>
      <c r="L24" s="2454"/>
      <c r="M24" s="1629">
        <f t="shared" si="3"/>
        <v>-2334000.0793560026</v>
      </c>
      <c r="O24" s="2455">
        <f t="shared" si="1"/>
        <v>1.3340000793560027</v>
      </c>
      <c r="P24" s="2455">
        <f t="shared" si="2"/>
        <v>1.3340000793560025</v>
      </c>
      <c r="R24" s="2454">
        <v>1000000</v>
      </c>
      <c r="S24" s="2066">
        <f t="shared" si="4"/>
        <v>0</v>
      </c>
      <c r="T24" s="2454">
        <v>2334000.0793560026</v>
      </c>
      <c r="U24" s="2454">
        <f t="shared" si="5"/>
        <v>0</v>
      </c>
    </row>
    <row r="25" spans="1:21">
      <c r="A25" s="1623" t="s">
        <v>1896</v>
      </c>
      <c r="B25" s="1624">
        <f t="shared" si="6"/>
        <v>23</v>
      </c>
      <c r="C25" s="1625" t="s">
        <v>1802</v>
      </c>
      <c r="D25" s="1626">
        <v>4075612</v>
      </c>
      <c r="E25" s="1627" t="s">
        <v>1921</v>
      </c>
      <c r="F25" s="1628"/>
      <c r="G25" s="1628"/>
      <c r="H25" s="1628"/>
      <c r="I25" s="1628"/>
      <c r="J25" s="1628">
        <v>1071902.3999999997</v>
      </c>
      <c r="K25" s="2057" t="s">
        <v>745</v>
      </c>
      <c r="L25" s="2454"/>
      <c r="M25" s="1629">
        <f t="shared" si="3"/>
        <v>-1071902.3999999997</v>
      </c>
      <c r="O25" s="2455" t="e">
        <f t="shared" si="1"/>
        <v>#DIV/0!</v>
      </c>
      <c r="P25" s="2455" t="e">
        <f t="shared" si="2"/>
        <v>#DIV/0!</v>
      </c>
      <c r="R25" s="2454"/>
      <c r="S25" s="2066">
        <f t="shared" si="4"/>
        <v>0</v>
      </c>
      <c r="T25" s="2454">
        <v>1071902.3999999997</v>
      </c>
      <c r="U25" s="2454">
        <f t="shared" si="5"/>
        <v>0</v>
      </c>
    </row>
    <row r="26" spans="1:21">
      <c r="A26" s="1631" t="s">
        <v>1922</v>
      </c>
      <c r="B26" s="1624">
        <f t="shared" si="6"/>
        <v>24</v>
      </c>
      <c r="C26" s="2060" t="s">
        <v>1811</v>
      </c>
      <c r="D26" s="1626">
        <v>4075801</v>
      </c>
      <c r="E26" s="1627" t="s">
        <v>1923</v>
      </c>
      <c r="F26" s="1628">
        <v>95841911</v>
      </c>
      <c r="G26" s="1628">
        <v>56379240</v>
      </c>
      <c r="H26" s="1628">
        <f>G26/7*5</f>
        <v>40270885.714285716</v>
      </c>
      <c r="I26" s="1682">
        <f t="shared" ref="I26:I57" si="8">G26+H26</f>
        <v>96650125.714285716</v>
      </c>
      <c r="J26" s="1628">
        <v>97465155.933579341</v>
      </c>
      <c r="K26" s="2057" t="s">
        <v>745</v>
      </c>
      <c r="L26" s="2454"/>
      <c r="M26" s="1629">
        <f t="shared" si="3"/>
        <v>-97465155.933579341</v>
      </c>
      <c r="O26" s="2455">
        <f t="shared" si="1"/>
        <v>8.4327900586802403E-3</v>
      </c>
      <c r="P26" s="2455">
        <f t="shared" si="2"/>
        <v>8.432790058680242E-3</v>
      </c>
      <c r="R26" s="2454">
        <v>96650125.714285716</v>
      </c>
      <c r="S26" s="2066">
        <f t="shared" si="4"/>
        <v>0</v>
      </c>
      <c r="T26" s="2454">
        <v>97465155.933579341</v>
      </c>
      <c r="U26" s="2454">
        <f t="shared" si="5"/>
        <v>0</v>
      </c>
    </row>
    <row r="27" spans="1:21">
      <c r="A27" s="1631" t="s">
        <v>1922</v>
      </c>
      <c r="B27" s="1624">
        <f t="shared" si="6"/>
        <v>25</v>
      </c>
      <c r="C27" s="1625" t="s">
        <v>1811</v>
      </c>
      <c r="D27" s="1626">
        <v>4075803</v>
      </c>
      <c r="E27" s="1627" t="s">
        <v>1924</v>
      </c>
      <c r="F27" s="1628">
        <v>0</v>
      </c>
      <c r="G27" s="1628">
        <v>0</v>
      </c>
      <c r="H27" s="1628">
        <f>G27/7*5</f>
        <v>0</v>
      </c>
      <c r="I27" s="1628">
        <f t="shared" si="8"/>
        <v>0</v>
      </c>
      <c r="J27" s="1628">
        <v>0</v>
      </c>
      <c r="K27" s="2057" t="s">
        <v>745</v>
      </c>
      <c r="L27" s="2454"/>
      <c r="M27" s="1629">
        <f t="shared" si="3"/>
        <v>0</v>
      </c>
      <c r="O27" s="2455" t="e">
        <f t="shared" si="1"/>
        <v>#DIV/0!</v>
      </c>
      <c r="P27" s="2455" t="e">
        <f t="shared" si="2"/>
        <v>#DIV/0!</v>
      </c>
      <c r="R27" s="2454">
        <v>0</v>
      </c>
      <c r="S27" s="2066">
        <f t="shared" si="4"/>
        <v>0</v>
      </c>
      <c r="T27" s="2454">
        <v>0</v>
      </c>
      <c r="U27" s="2454">
        <f t="shared" si="5"/>
        <v>0</v>
      </c>
    </row>
    <row r="28" spans="1:21">
      <c r="A28" s="1631" t="s">
        <v>1922</v>
      </c>
      <c r="B28" s="1624">
        <f t="shared" si="6"/>
        <v>26</v>
      </c>
      <c r="C28" s="1625" t="s">
        <v>1811</v>
      </c>
      <c r="D28" s="1626">
        <v>4075804</v>
      </c>
      <c r="E28" s="1627" t="s">
        <v>1925</v>
      </c>
      <c r="F28" s="1628">
        <v>0</v>
      </c>
      <c r="G28" s="1628">
        <v>0</v>
      </c>
      <c r="H28" s="1628">
        <f>G28/7*5</f>
        <v>0</v>
      </c>
      <c r="I28" s="1628">
        <f t="shared" si="8"/>
        <v>0</v>
      </c>
      <c r="J28" s="1628">
        <v>0</v>
      </c>
      <c r="K28" s="2057" t="s">
        <v>745</v>
      </c>
      <c r="L28" s="2454"/>
      <c r="M28" s="1629">
        <f t="shared" si="3"/>
        <v>0</v>
      </c>
      <c r="O28" s="2455" t="e">
        <f t="shared" si="1"/>
        <v>#DIV/0!</v>
      </c>
      <c r="P28" s="2455" t="e">
        <f t="shared" si="2"/>
        <v>#DIV/0!</v>
      </c>
      <c r="R28" s="2454">
        <v>0</v>
      </c>
      <c r="S28" s="2066">
        <f t="shared" si="4"/>
        <v>0</v>
      </c>
      <c r="T28" s="2454">
        <v>0</v>
      </c>
      <c r="U28" s="2454">
        <f t="shared" si="5"/>
        <v>0</v>
      </c>
    </row>
    <row r="29" spans="1:21">
      <c r="A29" s="1631" t="s">
        <v>1922</v>
      </c>
      <c r="B29" s="1624">
        <f t="shared" si="6"/>
        <v>27</v>
      </c>
      <c r="C29" s="1625" t="s">
        <v>1798</v>
      </c>
      <c r="D29" s="1626">
        <v>4075805</v>
      </c>
      <c r="E29" s="1627" t="s">
        <v>1926</v>
      </c>
      <c r="F29" s="1628">
        <v>5108496.49</v>
      </c>
      <c r="G29" s="1628">
        <v>3003954.05</v>
      </c>
      <c r="H29" s="1628">
        <f>G29/7*5</f>
        <v>2145681.4642857141</v>
      </c>
      <c r="I29" s="1682">
        <f t="shared" si="8"/>
        <v>5149635.5142857134</v>
      </c>
      <c r="J29" s="1628">
        <v>5969771.7086014058</v>
      </c>
      <c r="K29" s="2057" t="s">
        <v>745</v>
      </c>
      <c r="L29" s="2454"/>
      <c r="M29" s="1629">
        <f t="shared" si="3"/>
        <v>-5969771.7086014058</v>
      </c>
      <c r="O29" s="2455">
        <f t="shared" si="1"/>
        <v>8.0530591273271501E-3</v>
      </c>
      <c r="P29" s="2455">
        <f t="shared" si="2"/>
        <v>0.1592610179964262</v>
      </c>
      <c r="R29" s="2454">
        <v>5149635.5142857134</v>
      </c>
      <c r="S29" s="2066">
        <f t="shared" si="4"/>
        <v>0</v>
      </c>
      <c r="T29" s="2454">
        <v>5969771.7086014058</v>
      </c>
      <c r="U29" s="2454">
        <f t="shared" si="5"/>
        <v>0</v>
      </c>
    </row>
    <row r="30" spans="1:21">
      <c r="A30" s="1631" t="s">
        <v>1910</v>
      </c>
      <c r="B30" s="1624">
        <f t="shared" si="6"/>
        <v>28</v>
      </c>
      <c r="C30" s="1625" t="s">
        <v>1811</v>
      </c>
      <c r="D30" s="1626">
        <v>4075806</v>
      </c>
      <c r="E30" s="1627" t="s">
        <v>1927</v>
      </c>
      <c r="F30" s="1628">
        <v>68896004</v>
      </c>
      <c r="G30" s="1628">
        <v>41309779.000000007</v>
      </c>
      <c r="H30" s="1628">
        <f>G30/7*5</f>
        <v>29506985.000000004</v>
      </c>
      <c r="I30" s="1628">
        <f t="shared" si="8"/>
        <v>70816764.000000015</v>
      </c>
      <c r="J30" s="1628">
        <v>72791073.099561751</v>
      </c>
      <c r="K30" s="2057" t="s">
        <v>745</v>
      </c>
      <c r="L30" s="2454"/>
      <c r="M30" s="1629">
        <f t="shared" si="3"/>
        <v>-72791073.099561751</v>
      </c>
      <c r="O30" s="2455">
        <f t="shared" si="1"/>
        <v>2.787912053651203E-2</v>
      </c>
      <c r="P30" s="2455">
        <f t="shared" si="2"/>
        <v>2.7879120536512168E-2</v>
      </c>
      <c r="R30" s="2454">
        <v>70816764.000000015</v>
      </c>
      <c r="S30" s="2066">
        <f t="shared" si="4"/>
        <v>0</v>
      </c>
      <c r="T30" s="2454">
        <v>72791073.099561751</v>
      </c>
      <c r="U30" s="2454">
        <f t="shared" si="5"/>
        <v>0</v>
      </c>
    </row>
    <row r="31" spans="1:21">
      <c r="A31" s="1623" t="s">
        <v>1910</v>
      </c>
      <c r="B31" s="1624">
        <f t="shared" si="6"/>
        <v>29</v>
      </c>
      <c r="C31" s="1625" t="s">
        <v>1811</v>
      </c>
      <c r="D31" s="1626">
        <v>4075807</v>
      </c>
      <c r="E31" s="1627" t="s">
        <v>1928</v>
      </c>
      <c r="F31" s="1628">
        <v>1196733525.2</v>
      </c>
      <c r="G31" s="1628">
        <v>717690765</v>
      </c>
      <c r="H31" s="1628">
        <f>108358722*5</f>
        <v>541793610</v>
      </c>
      <c r="I31" s="1682">
        <f t="shared" si="8"/>
        <v>1259484375</v>
      </c>
      <c r="J31" s="1682">
        <v>1325525572.2898173</v>
      </c>
      <c r="K31" s="2057" t="s">
        <v>745</v>
      </c>
      <c r="L31" s="2454"/>
      <c r="M31" s="1629">
        <f t="shared" si="3"/>
        <v>-1325525572.2898173</v>
      </c>
      <c r="O31" s="2455">
        <f t="shared" si="1"/>
        <v>5.2435106461576675E-2</v>
      </c>
      <c r="P31" s="2455">
        <f t="shared" si="2"/>
        <v>5.2435106461576654E-2</v>
      </c>
      <c r="R31" s="2454">
        <v>1259484375</v>
      </c>
      <c r="S31" s="2066">
        <f t="shared" si="4"/>
        <v>0</v>
      </c>
      <c r="T31" s="2454">
        <v>1325525572.2898173</v>
      </c>
      <c r="U31" s="2454">
        <f t="shared" si="5"/>
        <v>0</v>
      </c>
    </row>
    <row r="32" spans="1:21">
      <c r="A32" s="1623" t="s">
        <v>1929</v>
      </c>
      <c r="B32" s="1624">
        <f t="shared" si="6"/>
        <v>30</v>
      </c>
      <c r="C32" s="1625" t="s">
        <v>1810</v>
      </c>
      <c r="D32" s="1626">
        <v>4075619</v>
      </c>
      <c r="E32" s="1627" t="s">
        <v>1930</v>
      </c>
      <c r="F32" s="1628">
        <v>360750</v>
      </c>
      <c r="G32" s="1628">
        <v>22750</v>
      </c>
      <c r="H32" s="1628">
        <f>G32/7*5</f>
        <v>16250</v>
      </c>
      <c r="I32" s="1628">
        <f t="shared" si="8"/>
        <v>39000</v>
      </c>
      <c r="J32" s="1628">
        <v>34770.052897706038</v>
      </c>
      <c r="K32" s="2057" t="s">
        <v>745</v>
      </c>
      <c r="L32" s="2454"/>
      <c r="M32" s="1629">
        <f t="shared" si="3"/>
        <v>-34770.052897706038</v>
      </c>
      <c r="N32" s="2458"/>
      <c r="O32" s="2455">
        <f t="shared" si="1"/>
        <v>-0.89189189189189189</v>
      </c>
      <c r="P32" s="2455">
        <f t="shared" si="2"/>
        <v>-0.10846018211010158</v>
      </c>
      <c r="R32" s="2454">
        <v>39000</v>
      </c>
      <c r="S32" s="2066">
        <f t="shared" si="4"/>
        <v>0</v>
      </c>
      <c r="T32" s="2454">
        <v>287261.80579888489</v>
      </c>
      <c r="U32" s="2454">
        <f t="shared" si="5"/>
        <v>252491.75290117884</v>
      </c>
    </row>
    <row r="33" spans="1:21">
      <c r="A33" s="1623" t="s">
        <v>1929</v>
      </c>
      <c r="B33" s="1624">
        <f t="shared" si="6"/>
        <v>31</v>
      </c>
      <c r="C33" s="1625" t="s">
        <v>1810</v>
      </c>
      <c r="D33" s="1633">
        <v>4075709</v>
      </c>
      <c r="E33" s="1634" t="s">
        <v>1931</v>
      </c>
      <c r="F33" s="1628">
        <v>2542988</v>
      </c>
      <c r="G33" s="1628">
        <v>12710</v>
      </c>
      <c r="H33" s="1628">
        <f>G33/7*5</f>
        <v>9078.5714285714294</v>
      </c>
      <c r="I33" s="1628">
        <f t="shared" si="8"/>
        <v>21788.571428571428</v>
      </c>
      <c r="J33" s="1628">
        <v>19425.379003509614</v>
      </c>
      <c r="K33" s="2057" t="s">
        <v>745</v>
      </c>
      <c r="L33" s="2454"/>
      <c r="M33" s="1629">
        <f t="shared" si="3"/>
        <v>-19425.379003509614</v>
      </c>
      <c r="O33" s="2455">
        <f t="shared" si="1"/>
        <v>-0.99143190159427752</v>
      </c>
      <c r="P33" s="2455">
        <f t="shared" si="2"/>
        <v>-0.10846018211010162</v>
      </c>
      <c r="R33" s="2454">
        <v>21788.571428571428</v>
      </c>
      <c r="S33" s="2066">
        <f t="shared" si="4"/>
        <v>0</v>
      </c>
      <c r="T33" s="2454">
        <v>160487.80447049788</v>
      </c>
      <c r="U33" s="2454">
        <f t="shared" si="5"/>
        <v>141062.42546698826</v>
      </c>
    </row>
    <row r="34" spans="1:21">
      <c r="A34" s="1623" t="s">
        <v>1929</v>
      </c>
      <c r="B34" s="1624">
        <f t="shared" si="6"/>
        <v>32</v>
      </c>
      <c r="C34" s="1625" t="s">
        <v>1810</v>
      </c>
      <c r="D34" s="1633">
        <v>4075702</v>
      </c>
      <c r="E34" s="1634" t="s">
        <v>1932</v>
      </c>
      <c r="F34" s="1628">
        <v>0</v>
      </c>
      <c r="G34" s="1628">
        <v>5910.0000000000009</v>
      </c>
      <c r="H34" s="1628">
        <f>G34/7*5</f>
        <v>4221.4285714285725</v>
      </c>
      <c r="I34" s="1628">
        <f t="shared" si="8"/>
        <v>10131.428571428572</v>
      </c>
      <c r="J34" s="1628">
        <v>9032.5719835359432</v>
      </c>
      <c r="K34" s="2057" t="s">
        <v>745</v>
      </c>
      <c r="L34" s="2454"/>
      <c r="M34" s="1629">
        <f t="shared" si="3"/>
        <v>-9032.5719835359432</v>
      </c>
      <c r="O34" s="2455" t="e">
        <f t="shared" si="1"/>
        <v>#DIV/0!</v>
      </c>
      <c r="P34" s="2455">
        <f t="shared" si="2"/>
        <v>-0.10846018211010158</v>
      </c>
      <c r="R34" s="2454">
        <v>10131.428571428572</v>
      </c>
      <c r="S34" s="2066">
        <f t="shared" si="4"/>
        <v>0</v>
      </c>
      <c r="T34" s="2454">
        <v>74624.935044897138</v>
      </c>
      <c r="U34" s="2454">
        <f t="shared" si="5"/>
        <v>65592.363061361189</v>
      </c>
    </row>
    <row r="35" spans="1:21">
      <c r="A35" s="1623" t="s">
        <v>1929</v>
      </c>
      <c r="B35" s="1624">
        <f t="shared" si="6"/>
        <v>33</v>
      </c>
      <c r="C35" s="1625" t="s">
        <v>1810</v>
      </c>
      <c r="D35" s="1633">
        <v>4076133</v>
      </c>
      <c r="E35" s="1634" t="s">
        <v>1933</v>
      </c>
      <c r="F35" s="1628">
        <v>0</v>
      </c>
      <c r="G35" s="1628">
        <v>3563232.44</v>
      </c>
      <c r="H35" s="1628">
        <f>G35/7*5</f>
        <v>2545166.0285714287</v>
      </c>
      <c r="I35" s="1628">
        <f t="shared" si="8"/>
        <v>6108398.4685714282</v>
      </c>
      <c r="J35" s="1628">
        <v>9940238.8282378167</v>
      </c>
      <c r="K35" s="2057" t="s">
        <v>745</v>
      </c>
      <c r="L35" s="2454"/>
      <c r="M35" s="1629">
        <f t="shared" si="3"/>
        <v>-9940238.8282378167</v>
      </c>
      <c r="O35" s="2455" t="e">
        <f t="shared" si="1"/>
        <v>#DIV/0!</v>
      </c>
      <c r="P35" s="2455">
        <f t="shared" si="2"/>
        <v>0.62730687583361622</v>
      </c>
      <c r="R35" s="2454">
        <v>6108398.4685714282</v>
      </c>
      <c r="S35" s="2066">
        <f t="shared" si="4"/>
        <v>0</v>
      </c>
      <c r="T35" s="2454">
        <v>49486911.565378234</v>
      </c>
      <c r="U35" s="2454">
        <f t="shared" si="5"/>
        <v>39546672.737140417</v>
      </c>
    </row>
    <row r="36" spans="1:21">
      <c r="A36" s="1623" t="s">
        <v>1910</v>
      </c>
      <c r="B36" s="1624">
        <f t="shared" si="6"/>
        <v>34</v>
      </c>
      <c r="C36" s="1625" t="s">
        <v>1811</v>
      </c>
      <c r="D36" s="1626">
        <v>4075808</v>
      </c>
      <c r="E36" s="1627" t="s">
        <v>1934</v>
      </c>
      <c r="F36" s="1628">
        <f>14040255+6964560</f>
        <v>21004815</v>
      </c>
      <c r="G36" s="1628">
        <v>4615401</v>
      </c>
      <c r="H36" s="1628">
        <f>659343*5</f>
        <v>3296715</v>
      </c>
      <c r="I36" s="1628">
        <f t="shared" si="8"/>
        <v>7912116</v>
      </c>
      <c r="J36" s="1628">
        <v>7912116</v>
      </c>
      <c r="K36" s="2057" t="s">
        <v>745</v>
      </c>
      <c r="L36" s="2454"/>
      <c r="M36" s="1629">
        <f t="shared" si="3"/>
        <v>-7912116</v>
      </c>
      <c r="O36" s="2455">
        <f t="shared" si="1"/>
        <v>-0.62331893901469737</v>
      </c>
      <c r="P36" s="2455">
        <f t="shared" si="2"/>
        <v>0</v>
      </c>
      <c r="R36" s="2454">
        <v>7912116</v>
      </c>
      <c r="S36" s="2066">
        <f t="shared" si="4"/>
        <v>0</v>
      </c>
      <c r="T36" s="2454">
        <v>7912116</v>
      </c>
      <c r="U36" s="2454">
        <f t="shared" si="5"/>
        <v>0</v>
      </c>
    </row>
    <row r="37" spans="1:21">
      <c r="A37" s="1623" t="s">
        <v>1910</v>
      </c>
      <c r="B37" s="1624">
        <f t="shared" si="6"/>
        <v>35</v>
      </c>
      <c r="C37" s="1625" t="s">
        <v>1811</v>
      </c>
      <c r="D37" s="1626">
        <v>4075890</v>
      </c>
      <c r="E37" s="1627" t="s">
        <v>1935</v>
      </c>
      <c r="F37" s="1628">
        <f>68276162+22768555</f>
        <v>91044717</v>
      </c>
      <c r="G37" s="1628">
        <v>53173427.999999993</v>
      </c>
      <c r="H37" s="1628">
        <f>G37/7*5</f>
        <v>37981019.999999993</v>
      </c>
      <c r="I37" s="1628">
        <f t="shared" si="8"/>
        <v>91154447.999999985</v>
      </c>
      <c r="J37" s="1628">
        <v>91264311.252510145</v>
      </c>
      <c r="K37" s="2057" t="s">
        <v>745</v>
      </c>
      <c r="L37" s="2454"/>
      <c r="M37" s="1629">
        <f t="shared" si="3"/>
        <v>-91264311.252510145</v>
      </c>
      <c r="O37" s="2455">
        <f t="shared" si="1"/>
        <v>1.2052429137649481E-3</v>
      </c>
      <c r="P37" s="2455">
        <f t="shared" si="2"/>
        <v>1.2052429137650005E-3</v>
      </c>
      <c r="R37" s="2454">
        <v>91154447.999999985</v>
      </c>
      <c r="S37" s="2066">
        <f t="shared" si="4"/>
        <v>0</v>
      </c>
      <c r="T37" s="2454">
        <v>91264311.252510145</v>
      </c>
      <c r="U37" s="2454">
        <f t="shared" si="5"/>
        <v>0</v>
      </c>
    </row>
    <row r="38" spans="1:21">
      <c r="A38" s="1623" t="s">
        <v>1896</v>
      </c>
      <c r="B38" s="1624">
        <f t="shared" si="6"/>
        <v>36</v>
      </c>
      <c r="C38" s="1625" t="s">
        <v>1787</v>
      </c>
      <c r="D38" s="1626">
        <v>4075675</v>
      </c>
      <c r="E38" s="1627" t="s">
        <v>1936</v>
      </c>
      <c r="F38" s="1628">
        <v>225399405.53</v>
      </c>
      <c r="G38" s="1628">
        <v>172718645.47</v>
      </c>
      <c r="H38" s="1628">
        <f>G38/7*5+2*10^7</f>
        <v>143370461.05000001</v>
      </c>
      <c r="I38" s="1628">
        <f t="shared" si="8"/>
        <v>316089106.51999998</v>
      </c>
      <c r="J38" s="1628">
        <v>349531631.16800016</v>
      </c>
      <c r="K38" s="2057" t="s">
        <v>1937</v>
      </c>
      <c r="L38" s="2454"/>
      <c r="M38" s="1629">
        <f t="shared" si="3"/>
        <v>-349531631.16800016</v>
      </c>
      <c r="O38" s="2455">
        <f t="shared" si="1"/>
        <v>0.40235110991865258</v>
      </c>
      <c r="P38" s="2455">
        <f t="shared" si="2"/>
        <v>0.10580094017217946</v>
      </c>
      <c r="R38" s="2454">
        <v>316089106.51999998</v>
      </c>
      <c r="S38" s="2066">
        <f t="shared" si="4"/>
        <v>0</v>
      </c>
      <c r="T38" s="2454">
        <v>349531631.16800016</v>
      </c>
      <c r="U38" s="2454">
        <f t="shared" si="5"/>
        <v>0</v>
      </c>
    </row>
    <row r="39" spans="1:21">
      <c r="A39" s="1623" t="s">
        <v>1896</v>
      </c>
      <c r="B39" s="1624">
        <f t="shared" si="6"/>
        <v>37</v>
      </c>
      <c r="C39" s="1625" t="s">
        <v>1790</v>
      </c>
      <c r="D39" s="1626">
        <v>4075678</v>
      </c>
      <c r="E39" s="1627" t="s">
        <v>1938</v>
      </c>
      <c r="F39" s="1628">
        <v>15130262.390000001</v>
      </c>
      <c r="G39" s="1628">
        <v>11307025.25</v>
      </c>
      <c r="H39" s="1628">
        <f t="shared" ref="H39:H44" si="9">G39/7*5</f>
        <v>8076446.6071428563</v>
      </c>
      <c r="I39" s="1628">
        <f t="shared" si="8"/>
        <v>19383471.857142858</v>
      </c>
      <c r="J39" s="1628">
        <v>24832284.566655766</v>
      </c>
      <c r="K39" s="2057" t="s">
        <v>1937</v>
      </c>
      <c r="L39" s="2454"/>
      <c r="M39" s="1629">
        <f t="shared" si="3"/>
        <v>-24832284.566655766</v>
      </c>
      <c r="O39" s="2455">
        <f t="shared" si="1"/>
        <v>0.28110612740952323</v>
      </c>
      <c r="P39" s="2455">
        <f t="shared" si="2"/>
        <v>0.28110612740952323</v>
      </c>
      <c r="R39" s="2454">
        <v>19383471.857142858</v>
      </c>
      <c r="S39" s="2066">
        <f t="shared" si="4"/>
        <v>0</v>
      </c>
      <c r="T39" s="2454">
        <v>24832284.566655766</v>
      </c>
      <c r="U39" s="2454">
        <f t="shared" si="5"/>
        <v>0</v>
      </c>
    </row>
    <row r="40" spans="1:21" ht="30">
      <c r="A40" s="1623" t="s">
        <v>1896</v>
      </c>
      <c r="B40" s="1624">
        <f t="shared" si="6"/>
        <v>38</v>
      </c>
      <c r="C40" s="1625" t="s">
        <v>1801</v>
      </c>
      <c r="D40" s="1626">
        <v>4075611</v>
      </c>
      <c r="E40" s="1627" t="s">
        <v>1939</v>
      </c>
      <c r="F40" s="1628">
        <v>957835.63</v>
      </c>
      <c r="G40" s="1628">
        <v>244159</v>
      </c>
      <c r="H40" s="1628">
        <f t="shared" si="9"/>
        <v>174399.28571428574</v>
      </c>
      <c r="I40" s="1628">
        <f t="shared" si="8"/>
        <v>418558.28571428574</v>
      </c>
      <c r="J40" s="1628">
        <v>637000</v>
      </c>
      <c r="K40" s="2057" t="s">
        <v>1937</v>
      </c>
      <c r="L40" s="2454"/>
      <c r="M40" s="1629">
        <f t="shared" si="3"/>
        <v>-637000</v>
      </c>
      <c r="O40" s="2455">
        <f t="shared" si="1"/>
        <v>-0.56301658384300679</v>
      </c>
      <c r="P40" s="2455">
        <f t="shared" si="2"/>
        <v>0.52189078974493386</v>
      </c>
      <c r="R40" s="2454">
        <v>418558.28571428574</v>
      </c>
      <c r="S40" s="2066">
        <f t="shared" si="4"/>
        <v>0</v>
      </c>
      <c r="T40" s="2454">
        <v>637000</v>
      </c>
      <c r="U40" s="2454">
        <f t="shared" si="5"/>
        <v>0</v>
      </c>
    </row>
    <row r="41" spans="1:21">
      <c r="A41" s="1623" t="s">
        <v>1896</v>
      </c>
      <c r="B41" s="1624">
        <f t="shared" si="6"/>
        <v>39</v>
      </c>
      <c r="C41" s="1625" t="s">
        <v>1791</v>
      </c>
      <c r="D41" s="1626">
        <v>4075390</v>
      </c>
      <c r="E41" s="1627" t="s">
        <v>1940</v>
      </c>
      <c r="F41" s="1628">
        <v>1671232.9100000001</v>
      </c>
      <c r="G41" s="1628">
        <v>1178872.3400000001</v>
      </c>
      <c r="H41" s="1628">
        <f t="shared" si="9"/>
        <v>842051.67142857146</v>
      </c>
      <c r="I41" s="1628">
        <f t="shared" si="8"/>
        <v>2020924.0114285715</v>
      </c>
      <c r="J41" s="1628">
        <v>3891288.66111774</v>
      </c>
      <c r="K41" s="2057" t="s">
        <v>1937</v>
      </c>
      <c r="L41" s="2454"/>
      <c r="M41" s="1629">
        <f t="shared" si="3"/>
        <v>-3891288.66111774</v>
      </c>
      <c r="O41" s="2455">
        <f t="shared" si="1"/>
        <v>0.20924139258876331</v>
      </c>
      <c r="P41" s="2455">
        <f t="shared" si="2"/>
        <v>0.92549974126292156</v>
      </c>
      <c r="R41" s="2454">
        <v>2020924.0114285715</v>
      </c>
      <c r="S41" s="2066">
        <f t="shared" si="4"/>
        <v>0</v>
      </c>
      <c r="T41" s="2454">
        <v>6099827.0763144316</v>
      </c>
      <c r="U41" s="2454">
        <f t="shared" si="5"/>
        <v>2208538.4151966916</v>
      </c>
    </row>
    <row r="42" spans="1:21">
      <c r="A42" s="1623" t="s">
        <v>1896</v>
      </c>
      <c r="B42" s="1624">
        <f t="shared" si="6"/>
        <v>40</v>
      </c>
      <c r="C42" s="1625" t="s">
        <v>1791</v>
      </c>
      <c r="D42" s="1626">
        <v>4075391</v>
      </c>
      <c r="E42" s="1627" t="s">
        <v>1941</v>
      </c>
      <c r="F42" s="1628">
        <v>11700</v>
      </c>
      <c r="G42" s="1628"/>
      <c r="H42" s="1628">
        <f t="shared" si="9"/>
        <v>0</v>
      </c>
      <c r="I42" s="1628">
        <f t="shared" si="8"/>
        <v>0</v>
      </c>
      <c r="J42" s="1628"/>
      <c r="K42" s="2057" t="s">
        <v>1937</v>
      </c>
      <c r="L42" s="2454"/>
      <c r="M42" s="1629">
        <f t="shared" si="3"/>
        <v>0</v>
      </c>
      <c r="O42" s="2455">
        <f t="shared" si="1"/>
        <v>-1</v>
      </c>
      <c r="P42" s="2455" t="e">
        <f t="shared" si="2"/>
        <v>#DIV/0!</v>
      </c>
      <c r="R42" s="2454">
        <v>0</v>
      </c>
      <c r="S42" s="2066">
        <f t="shared" si="4"/>
        <v>0</v>
      </c>
      <c r="T42" s="2454">
        <v>0</v>
      </c>
      <c r="U42" s="2454">
        <f t="shared" si="5"/>
        <v>0</v>
      </c>
    </row>
    <row r="43" spans="1:21">
      <c r="A43" s="1623" t="s">
        <v>1896</v>
      </c>
      <c r="B43" s="1624">
        <f t="shared" si="6"/>
        <v>41</v>
      </c>
      <c r="C43" s="1625" t="s">
        <v>1791</v>
      </c>
      <c r="D43" s="1626">
        <v>4075614</v>
      </c>
      <c r="E43" s="1627" t="s">
        <v>1942</v>
      </c>
      <c r="F43" s="1628">
        <v>4333</v>
      </c>
      <c r="G43" s="1628">
        <v>0</v>
      </c>
      <c r="H43" s="1628">
        <f t="shared" si="9"/>
        <v>0</v>
      </c>
      <c r="I43" s="1628">
        <f t="shared" si="8"/>
        <v>0</v>
      </c>
      <c r="J43" s="1628">
        <v>0</v>
      </c>
      <c r="K43" s="2057" t="s">
        <v>1937</v>
      </c>
      <c r="L43" s="2454"/>
      <c r="M43" s="1629">
        <f t="shared" si="3"/>
        <v>0</v>
      </c>
      <c r="O43" s="2455">
        <f t="shared" si="1"/>
        <v>-1</v>
      </c>
      <c r="P43" s="2455" t="e">
        <f t="shared" si="2"/>
        <v>#DIV/0!</v>
      </c>
      <c r="R43" s="2454">
        <v>0</v>
      </c>
      <c r="S43" s="2066">
        <f t="shared" si="4"/>
        <v>0</v>
      </c>
      <c r="T43" s="2454">
        <v>0</v>
      </c>
      <c r="U43" s="2454">
        <f t="shared" si="5"/>
        <v>0</v>
      </c>
    </row>
    <row r="44" spans="1:21">
      <c r="A44" s="1623" t="s">
        <v>1896</v>
      </c>
      <c r="B44" s="1624">
        <f t="shared" si="6"/>
        <v>42</v>
      </c>
      <c r="C44" s="1625" t="s">
        <v>1791</v>
      </c>
      <c r="D44" s="1626">
        <v>4075676</v>
      </c>
      <c r="E44" s="1627" t="s">
        <v>1943</v>
      </c>
      <c r="F44" s="1628">
        <v>14356046.68</v>
      </c>
      <c r="G44" s="1628">
        <v>6153242</v>
      </c>
      <c r="H44" s="1628">
        <f t="shared" si="9"/>
        <v>4395172.8571428573</v>
      </c>
      <c r="I44" s="1628">
        <f t="shared" si="8"/>
        <v>10548414.857142858</v>
      </c>
      <c r="J44" s="1628">
        <v>20310970.078162532</v>
      </c>
      <c r="K44" s="2057" t="s">
        <v>1937</v>
      </c>
      <c r="L44" s="2454"/>
      <c r="M44" s="1629">
        <f t="shared" si="3"/>
        <v>-20310970.078162532</v>
      </c>
      <c r="O44" s="2455">
        <f t="shared" ref="O44:O81" si="10">(I44-F44)/F44</f>
        <v>-0.26522843702937454</v>
      </c>
      <c r="P44" s="2455">
        <f t="shared" ref="P44:P81" si="11">(J44-I44)/I44</f>
        <v>0.92549974126292167</v>
      </c>
      <c r="R44" s="2454">
        <v>10548414.857142858</v>
      </c>
      <c r="S44" s="2066">
        <f t="shared" si="4"/>
        <v>0</v>
      </c>
      <c r="T44" s="2454">
        <v>31838657.06673139</v>
      </c>
      <c r="U44" s="2454">
        <f t="shared" si="5"/>
        <v>11527686.988568857</v>
      </c>
    </row>
    <row r="45" spans="1:21">
      <c r="A45" s="1623" t="s">
        <v>1910</v>
      </c>
      <c r="B45" s="1624">
        <f t="shared" si="6"/>
        <v>43</v>
      </c>
      <c r="C45" s="1625" t="s">
        <v>1811</v>
      </c>
      <c r="D45" s="1630">
        <v>4075677</v>
      </c>
      <c r="E45" s="1630" t="s">
        <v>1944</v>
      </c>
      <c r="F45" s="1628">
        <v>13081526</v>
      </c>
      <c r="G45" s="1628">
        <v>7630889</v>
      </c>
      <c r="H45" s="1628">
        <f>1090127*5</f>
        <v>5450635</v>
      </c>
      <c r="I45" s="1628">
        <f t="shared" si="8"/>
        <v>13081524</v>
      </c>
      <c r="J45" s="1628">
        <v>15043750.300000351</v>
      </c>
      <c r="K45" s="2057" t="s">
        <v>1937</v>
      </c>
      <c r="L45" s="2454"/>
      <c r="M45" s="1629">
        <f t="shared" si="3"/>
        <v>-15043750.300000351</v>
      </c>
      <c r="O45" s="2455">
        <f t="shared" si="10"/>
        <v>-1.5288736191786798E-7</v>
      </c>
      <c r="P45" s="2455">
        <f t="shared" si="11"/>
        <v>0.14999982417953375</v>
      </c>
      <c r="R45" s="2454">
        <v>13081524</v>
      </c>
      <c r="S45" s="2066">
        <f t="shared" si="4"/>
        <v>0</v>
      </c>
      <c r="T45" s="2454">
        <v>15043750.300000351</v>
      </c>
      <c r="U45" s="2454">
        <f t="shared" si="5"/>
        <v>0</v>
      </c>
    </row>
    <row r="46" spans="1:21">
      <c r="A46" s="1623" t="s">
        <v>1896</v>
      </c>
      <c r="B46" s="1624">
        <f t="shared" si="6"/>
        <v>44</v>
      </c>
      <c r="C46" s="1625" t="s">
        <v>1791</v>
      </c>
      <c r="D46" s="1626">
        <v>4075684</v>
      </c>
      <c r="E46" s="1627" t="s">
        <v>1945</v>
      </c>
      <c r="F46" s="1628">
        <v>12849548.4</v>
      </c>
      <c r="G46" s="1628">
        <v>7459572.1299999999</v>
      </c>
      <c r="H46" s="1628">
        <f>G46/7*5</f>
        <v>5328265.8071428575</v>
      </c>
      <c r="I46" s="1628">
        <f t="shared" si="8"/>
        <v>12787837.937142856</v>
      </c>
      <c r="J46" s="1628">
        <v>16622978.639280744</v>
      </c>
      <c r="K46" s="2057" t="s">
        <v>1937</v>
      </c>
      <c r="L46" s="2454"/>
      <c r="M46" s="1629">
        <f t="shared" si="3"/>
        <v>-16622978.639280744</v>
      </c>
      <c r="O46" s="2455">
        <f t="shared" si="10"/>
        <v>-4.8025394306576525E-3</v>
      </c>
      <c r="P46" s="2455">
        <f t="shared" si="11"/>
        <v>0.29990532574693857</v>
      </c>
      <c r="R46" s="2454">
        <v>12787837.937142856</v>
      </c>
      <c r="S46" s="2066">
        <f t="shared" si="4"/>
        <v>0</v>
      </c>
      <c r="T46" s="2454">
        <v>30597987.680578299</v>
      </c>
      <c r="U46" s="2454">
        <f t="shared" si="5"/>
        <v>13975009.041297555</v>
      </c>
    </row>
    <row r="47" spans="1:21">
      <c r="A47" s="1631" t="s">
        <v>1922</v>
      </c>
      <c r="B47" s="1624">
        <f t="shared" si="6"/>
        <v>45</v>
      </c>
      <c r="C47" s="1625" t="s">
        <v>1810</v>
      </c>
      <c r="D47" s="1626">
        <v>4075687</v>
      </c>
      <c r="E47" s="1627" t="s">
        <v>1946</v>
      </c>
      <c r="F47" s="1628">
        <v>287899</v>
      </c>
      <c r="G47" s="1628">
        <v>561056</v>
      </c>
      <c r="H47" s="1628">
        <f>G47/7*5</f>
        <v>400754.28571428574</v>
      </c>
      <c r="I47" s="1682">
        <f t="shared" si="8"/>
        <v>961810.28571428568</v>
      </c>
      <c r="J47" s="1628">
        <v>1007492.1669703453</v>
      </c>
      <c r="K47" s="2057" t="s">
        <v>1937</v>
      </c>
      <c r="L47" s="2454"/>
      <c r="M47" s="1629">
        <f t="shared" si="3"/>
        <v>-1007492.1669703453</v>
      </c>
      <c r="O47" s="2455">
        <f t="shared" si="10"/>
        <v>2.3407906443380688</v>
      </c>
      <c r="P47" s="2455">
        <f t="shared" si="11"/>
        <v>4.7495729599246389E-2</v>
      </c>
      <c r="R47" s="2454">
        <v>961810.28571428568</v>
      </c>
      <c r="S47" s="2066">
        <f t="shared" si="4"/>
        <v>0</v>
      </c>
      <c r="T47" s="2454">
        <v>7234393.8335955665</v>
      </c>
      <c r="U47" s="2454">
        <f t="shared" si="5"/>
        <v>6226901.6666252213</v>
      </c>
    </row>
    <row r="48" spans="1:21">
      <c r="A48" s="1623" t="s">
        <v>1896</v>
      </c>
      <c r="B48" s="1624">
        <f t="shared" si="6"/>
        <v>46</v>
      </c>
      <c r="C48" s="1625" t="s">
        <v>1791</v>
      </c>
      <c r="D48" s="1626">
        <v>4075688</v>
      </c>
      <c r="E48" s="1627" t="s">
        <v>1947</v>
      </c>
      <c r="F48" s="1628">
        <v>0</v>
      </c>
      <c r="G48" s="1628">
        <v>0</v>
      </c>
      <c r="H48" s="1628">
        <f>G48/7*5+M48</f>
        <v>0</v>
      </c>
      <c r="I48" s="1628">
        <f t="shared" si="8"/>
        <v>0</v>
      </c>
      <c r="J48" s="1628">
        <v>0</v>
      </c>
      <c r="K48" s="2057" t="s">
        <v>1937</v>
      </c>
      <c r="L48" s="2454"/>
      <c r="M48" s="1629">
        <f t="shared" si="3"/>
        <v>0</v>
      </c>
      <c r="O48" s="2455" t="e">
        <f t="shared" si="10"/>
        <v>#DIV/0!</v>
      </c>
      <c r="P48" s="2455" t="e">
        <f t="shared" si="11"/>
        <v>#DIV/0!</v>
      </c>
      <c r="R48" s="2454">
        <v>0</v>
      </c>
      <c r="S48" s="2066">
        <f t="shared" si="4"/>
        <v>0</v>
      </c>
      <c r="T48" s="2454">
        <v>0</v>
      </c>
      <c r="U48" s="2454">
        <f t="shared" si="5"/>
        <v>0</v>
      </c>
    </row>
    <row r="49" spans="1:21">
      <c r="A49" s="1623" t="s">
        <v>1896</v>
      </c>
      <c r="B49" s="1624">
        <f t="shared" si="6"/>
        <v>47</v>
      </c>
      <c r="C49" s="1625" t="s">
        <v>1810</v>
      </c>
      <c r="D49" s="1626">
        <v>4075689</v>
      </c>
      <c r="E49" s="1627" t="s">
        <v>1948</v>
      </c>
      <c r="F49" s="1628">
        <v>0</v>
      </c>
      <c r="G49" s="1628">
        <v>0</v>
      </c>
      <c r="H49" s="1628">
        <f>G49/7*5+M49</f>
        <v>0</v>
      </c>
      <c r="I49" s="1628">
        <f t="shared" si="8"/>
        <v>0</v>
      </c>
      <c r="J49" s="1628">
        <v>0</v>
      </c>
      <c r="K49" s="2057" t="s">
        <v>1937</v>
      </c>
      <c r="L49" s="2454"/>
      <c r="M49" s="1629">
        <f t="shared" si="3"/>
        <v>0</v>
      </c>
      <c r="O49" s="2455"/>
      <c r="P49" s="2455"/>
      <c r="R49" s="2454">
        <v>0</v>
      </c>
      <c r="S49" s="2066">
        <f t="shared" si="4"/>
        <v>0</v>
      </c>
      <c r="T49" s="2454">
        <v>0</v>
      </c>
      <c r="U49" s="2454">
        <f t="shared" si="5"/>
        <v>0</v>
      </c>
    </row>
    <row r="50" spans="1:21">
      <c r="A50" s="1623" t="s">
        <v>1896</v>
      </c>
      <c r="B50" s="1624">
        <f t="shared" si="6"/>
        <v>48</v>
      </c>
      <c r="C50" s="1625" t="s">
        <v>1791</v>
      </c>
      <c r="D50" s="1626">
        <v>4075690</v>
      </c>
      <c r="E50" s="1627" t="s">
        <v>1949</v>
      </c>
      <c r="F50" s="1628">
        <v>23855669.480000004</v>
      </c>
      <c r="G50" s="1628"/>
      <c r="H50" s="1628">
        <f>G50/7*5+M50</f>
        <v>0</v>
      </c>
      <c r="I50" s="1628">
        <f t="shared" si="8"/>
        <v>0</v>
      </c>
      <c r="J50" s="1628">
        <v>0</v>
      </c>
      <c r="K50" s="2057" t="s">
        <v>1937</v>
      </c>
      <c r="L50" s="2454"/>
      <c r="M50" s="1629">
        <f t="shared" si="3"/>
        <v>0</v>
      </c>
      <c r="O50" s="2455">
        <f t="shared" si="10"/>
        <v>-1</v>
      </c>
      <c r="P50" s="2455" t="e">
        <f t="shared" si="11"/>
        <v>#DIV/0!</v>
      </c>
      <c r="R50" s="2454">
        <v>0</v>
      </c>
      <c r="S50" s="2066">
        <f t="shared" si="4"/>
        <v>0</v>
      </c>
      <c r="T50" s="2454">
        <v>0</v>
      </c>
      <c r="U50" s="2454">
        <f t="shared" si="5"/>
        <v>0</v>
      </c>
    </row>
    <row r="51" spans="1:21">
      <c r="A51" s="1623" t="s">
        <v>1896</v>
      </c>
      <c r="B51" s="1624">
        <f t="shared" si="6"/>
        <v>49</v>
      </c>
      <c r="C51" s="1625" t="s">
        <v>1810</v>
      </c>
      <c r="D51" s="1626">
        <v>4075704</v>
      </c>
      <c r="E51" s="1627" t="s">
        <v>1950</v>
      </c>
      <c r="F51" s="1628">
        <v>0</v>
      </c>
      <c r="G51" s="1628">
        <v>0</v>
      </c>
      <c r="H51" s="1628">
        <f>G51/7*5+M51</f>
        <v>0</v>
      </c>
      <c r="I51" s="1628">
        <f t="shared" si="8"/>
        <v>0</v>
      </c>
      <c r="J51" s="1628">
        <v>0</v>
      </c>
      <c r="K51" s="2057" t="s">
        <v>1937</v>
      </c>
      <c r="L51" s="2454"/>
      <c r="M51" s="1629">
        <f t="shared" si="3"/>
        <v>0</v>
      </c>
      <c r="O51" s="2455" t="e">
        <f t="shared" si="10"/>
        <v>#DIV/0!</v>
      </c>
      <c r="P51" s="2455" t="e">
        <f t="shared" si="11"/>
        <v>#DIV/0!</v>
      </c>
      <c r="R51" s="2454">
        <v>0</v>
      </c>
      <c r="S51" s="2066">
        <f t="shared" si="4"/>
        <v>0</v>
      </c>
      <c r="T51" s="2454">
        <v>0</v>
      </c>
      <c r="U51" s="2454">
        <f t="shared" si="5"/>
        <v>0</v>
      </c>
    </row>
    <row r="52" spans="1:21">
      <c r="A52" s="1623" t="s">
        <v>1896</v>
      </c>
      <c r="B52" s="1624">
        <f t="shared" si="6"/>
        <v>50</v>
      </c>
      <c r="C52" s="1625" t="s">
        <v>1810</v>
      </c>
      <c r="D52" s="1626">
        <v>4075691</v>
      </c>
      <c r="E52" s="1627" t="s">
        <v>1951</v>
      </c>
      <c r="F52" s="1628">
        <v>0</v>
      </c>
      <c r="G52" s="1628">
        <v>7072955.4000000004</v>
      </c>
      <c r="H52" s="1628">
        <f>3500000*5</f>
        <v>17500000</v>
      </c>
      <c r="I52" s="1628">
        <f t="shared" si="8"/>
        <v>24572955.399999999</v>
      </c>
      <c r="J52" s="1628">
        <v>25907768.182332594</v>
      </c>
      <c r="K52" s="2057" t="s">
        <v>1937</v>
      </c>
      <c r="L52" s="2454"/>
      <c r="M52" s="1629">
        <f t="shared" si="3"/>
        <v>-25907768.182332594</v>
      </c>
      <c r="O52" s="2455" t="e">
        <f t="shared" si="10"/>
        <v>#DIV/0!</v>
      </c>
      <c r="P52" s="2455">
        <f t="shared" si="11"/>
        <v>5.4320400643896316E-2</v>
      </c>
      <c r="R52" s="2454">
        <v>24572955.399999999</v>
      </c>
      <c r="S52" s="2066">
        <f t="shared" si="4"/>
        <v>0</v>
      </c>
      <c r="T52" s="2454">
        <v>184996706.20562714</v>
      </c>
      <c r="U52" s="2454">
        <f t="shared" si="5"/>
        <v>159088938.02329454</v>
      </c>
    </row>
    <row r="53" spans="1:21">
      <c r="A53" s="1623" t="s">
        <v>1910</v>
      </c>
      <c r="B53" s="1624">
        <f t="shared" si="6"/>
        <v>51</v>
      </c>
      <c r="C53" s="1625" t="s">
        <v>1811</v>
      </c>
      <c r="D53" s="1630">
        <v>4075711</v>
      </c>
      <c r="E53" s="1630" t="s">
        <v>1952</v>
      </c>
      <c r="F53" s="1628">
        <f>1417938+557071</f>
        <v>1975009</v>
      </c>
      <c r="G53" s="1628">
        <v>1152088</v>
      </c>
      <c r="H53" s="1628">
        <f>G53/7*5</f>
        <v>822920</v>
      </c>
      <c r="I53" s="1628">
        <f t="shared" si="8"/>
        <v>1975008</v>
      </c>
      <c r="J53" s="1628">
        <v>2271258.0500005824</v>
      </c>
      <c r="K53" s="2057" t="s">
        <v>1937</v>
      </c>
      <c r="L53" s="2454"/>
      <c r="M53" s="1629">
        <f t="shared" si="3"/>
        <v>-2271258.0500005824</v>
      </c>
      <c r="O53" s="2455">
        <f t="shared" si="10"/>
        <v>-5.0632680661202055E-7</v>
      </c>
      <c r="P53" s="2455">
        <f t="shared" si="11"/>
        <v>0.14999941772417244</v>
      </c>
      <c r="R53" s="2454">
        <v>1975008</v>
      </c>
      <c r="S53" s="2066">
        <f t="shared" si="4"/>
        <v>0</v>
      </c>
      <c r="T53" s="2454">
        <v>2271258.0500005824</v>
      </c>
      <c r="U53" s="2454">
        <f t="shared" si="5"/>
        <v>0</v>
      </c>
    </row>
    <row r="54" spans="1:21">
      <c r="A54" s="1631" t="s">
        <v>1922</v>
      </c>
      <c r="B54" s="1624">
        <f t="shared" si="6"/>
        <v>52</v>
      </c>
      <c r="C54" s="2059" t="s">
        <v>1798</v>
      </c>
      <c r="D54" s="1626">
        <v>4075714</v>
      </c>
      <c r="E54" s="1627" t="s">
        <v>1953</v>
      </c>
      <c r="F54" s="1628">
        <v>1894067.67</v>
      </c>
      <c r="G54" s="1628">
        <v>1440106.56</v>
      </c>
      <c r="H54" s="1628">
        <f>G54/7*5</f>
        <v>1028647.5428571429</v>
      </c>
      <c r="I54" s="1682">
        <f t="shared" si="8"/>
        <v>2468754.1028571427</v>
      </c>
      <c r="J54" s="1628">
        <v>3217808.3797681713</v>
      </c>
      <c r="K54" s="2057" t="s">
        <v>1937</v>
      </c>
      <c r="L54" s="2454"/>
      <c r="M54" s="1629">
        <f t="shared" si="3"/>
        <v>-3217808.3797681713</v>
      </c>
      <c r="O54" s="2455">
        <f t="shared" si="10"/>
        <v>0.30341388639886491</v>
      </c>
      <c r="P54" s="2455">
        <f t="shared" si="11"/>
        <v>0.30341388639886485</v>
      </c>
      <c r="R54" s="2454">
        <v>2468754.1028571427</v>
      </c>
      <c r="S54" s="2066">
        <f t="shared" si="4"/>
        <v>0</v>
      </c>
      <c r="T54" s="2454">
        <v>3217808.3797681713</v>
      </c>
      <c r="U54" s="2454">
        <f t="shared" si="5"/>
        <v>0</v>
      </c>
    </row>
    <row r="55" spans="1:21">
      <c r="A55" s="1623" t="s">
        <v>1910</v>
      </c>
      <c r="B55" s="1624">
        <f t="shared" si="6"/>
        <v>53</v>
      </c>
      <c r="C55" s="1625" t="s">
        <v>1811</v>
      </c>
      <c r="D55" s="1630">
        <v>4075716</v>
      </c>
      <c r="E55" s="1630" t="s">
        <v>1954</v>
      </c>
      <c r="F55" s="1628">
        <v>199805</v>
      </c>
      <c r="G55" s="1628">
        <v>1069089</v>
      </c>
      <c r="H55" s="1628">
        <f>152727*5</f>
        <v>763635</v>
      </c>
      <c r="I55" s="1628">
        <f t="shared" si="8"/>
        <v>1832724</v>
      </c>
      <c r="J55" s="1628">
        <v>2810776.808268059</v>
      </c>
      <c r="K55" s="2057" t="s">
        <v>1937</v>
      </c>
      <c r="L55" s="2454"/>
      <c r="M55" s="1629">
        <f t="shared" si="3"/>
        <v>-2810776.808268059</v>
      </c>
      <c r="O55" s="2455">
        <f t="shared" si="10"/>
        <v>8.1725632491679381</v>
      </c>
      <c r="P55" s="2455">
        <f t="shared" si="11"/>
        <v>0.53366071938167392</v>
      </c>
      <c r="R55" s="2454">
        <v>1832724</v>
      </c>
      <c r="S55" s="2066">
        <f t="shared" si="4"/>
        <v>0</v>
      </c>
      <c r="T55" s="2454">
        <v>2810776.808268059</v>
      </c>
      <c r="U55" s="2454">
        <f t="shared" si="5"/>
        <v>0</v>
      </c>
    </row>
    <row r="56" spans="1:21">
      <c r="A56" s="1623" t="s">
        <v>1910</v>
      </c>
      <c r="B56" s="1624">
        <f t="shared" si="6"/>
        <v>54</v>
      </c>
      <c r="C56" s="1625" t="s">
        <v>1811</v>
      </c>
      <c r="D56" s="1626">
        <v>4075802</v>
      </c>
      <c r="E56" s="1627" t="s">
        <v>1955</v>
      </c>
      <c r="F56" s="1628">
        <v>668100</v>
      </c>
      <c r="G56" s="1628"/>
      <c r="H56" s="1628">
        <f>G56/7*5+M56</f>
        <v>0</v>
      </c>
      <c r="I56" s="1628">
        <f t="shared" si="8"/>
        <v>0</v>
      </c>
      <c r="J56" s="1628">
        <v>0</v>
      </c>
      <c r="K56" s="2057" t="s">
        <v>1937</v>
      </c>
      <c r="L56" s="2454"/>
      <c r="M56" s="1629"/>
      <c r="O56" s="2455">
        <f t="shared" si="10"/>
        <v>-1</v>
      </c>
      <c r="P56" s="2455" t="e">
        <f t="shared" si="11"/>
        <v>#DIV/0!</v>
      </c>
      <c r="R56" s="2454">
        <v>0</v>
      </c>
      <c r="S56" s="2066">
        <f t="shared" si="4"/>
        <v>0</v>
      </c>
      <c r="T56" s="2454">
        <v>0</v>
      </c>
      <c r="U56" s="2454">
        <f t="shared" si="5"/>
        <v>0</v>
      </c>
    </row>
    <row r="57" spans="1:21">
      <c r="A57" s="1623" t="s">
        <v>1896</v>
      </c>
      <c r="B57" s="1624">
        <f t="shared" si="6"/>
        <v>55</v>
      </c>
      <c r="C57" s="1625" t="s">
        <v>1791</v>
      </c>
      <c r="D57" s="1626">
        <v>4075395</v>
      </c>
      <c r="E57" s="1627" t="s">
        <v>1956</v>
      </c>
      <c r="F57" s="1628">
        <v>129880180.59</v>
      </c>
      <c r="G57" s="1628">
        <v>103545693.12</v>
      </c>
      <c r="H57" s="1628">
        <f>G57/7*5</f>
        <v>73961209.371428579</v>
      </c>
      <c r="I57" s="1628">
        <f t="shared" si="8"/>
        <v>177506902.49142858</v>
      </c>
      <c r="J57" s="1628">
        <v>205789494.81962836</v>
      </c>
      <c r="K57" s="2057" t="s">
        <v>1937</v>
      </c>
      <c r="L57" s="2454"/>
      <c r="M57" s="1629">
        <f t="shared" si="3"/>
        <v>-205789494.81962836</v>
      </c>
      <c r="O57" s="2455">
        <f t="shared" si="10"/>
        <v>0.36669737973166594</v>
      </c>
      <c r="P57" s="2455">
        <f t="shared" si="11"/>
        <v>0.15933235232678053</v>
      </c>
      <c r="R57" s="2454">
        <v>177506902.49142858</v>
      </c>
      <c r="S57" s="2066">
        <f t="shared" si="4"/>
        <v>0</v>
      </c>
      <c r="T57" s="2454">
        <v>399775419.52432358</v>
      </c>
      <c r="U57" s="2454">
        <f t="shared" si="5"/>
        <v>193985924.70469522</v>
      </c>
    </row>
    <row r="58" spans="1:21">
      <c r="A58" s="1623" t="s">
        <v>1896</v>
      </c>
      <c r="B58" s="1624">
        <f t="shared" si="6"/>
        <v>56</v>
      </c>
      <c r="C58" s="1625" t="s">
        <v>1791</v>
      </c>
      <c r="D58" s="1626">
        <v>4075396</v>
      </c>
      <c r="E58" s="1627" t="s">
        <v>1957</v>
      </c>
      <c r="F58" s="1628">
        <v>0</v>
      </c>
      <c r="G58" s="1628">
        <v>0</v>
      </c>
      <c r="H58" s="1628">
        <f>G58/7*5+M58</f>
        <v>0</v>
      </c>
      <c r="I58" s="1628">
        <f t="shared" ref="I58:I88" si="12">G58+H58</f>
        <v>0</v>
      </c>
      <c r="J58" s="1628">
        <v>0</v>
      </c>
      <c r="K58" s="2057" t="s">
        <v>1937</v>
      </c>
      <c r="L58" s="2454"/>
      <c r="M58" s="1629">
        <f t="shared" si="3"/>
        <v>0</v>
      </c>
      <c r="O58" s="2455" t="e">
        <f t="shared" si="10"/>
        <v>#DIV/0!</v>
      </c>
      <c r="P58" s="2455" t="e">
        <f t="shared" si="11"/>
        <v>#DIV/0!</v>
      </c>
      <c r="R58" s="2454">
        <v>0</v>
      </c>
      <c r="S58" s="2066">
        <f t="shared" si="4"/>
        <v>0</v>
      </c>
      <c r="T58" s="2454">
        <v>0</v>
      </c>
      <c r="U58" s="2454">
        <f t="shared" si="5"/>
        <v>0</v>
      </c>
    </row>
    <row r="59" spans="1:21">
      <c r="A59" s="1623" t="s">
        <v>1896</v>
      </c>
      <c r="B59" s="1624">
        <f t="shared" si="6"/>
        <v>57</v>
      </c>
      <c r="C59" s="1625" t="s">
        <v>1791</v>
      </c>
      <c r="D59" s="1626">
        <v>4075397</v>
      </c>
      <c r="E59" s="1627" t="s">
        <v>1958</v>
      </c>
      <c r="F59" s="1628">
        <v>4627383.42</v>
      </c>
      <c r="G59" s="1628">
        <v>3598368.2700000005</v>
      </c>
      <c r="H59" s="1628">
        <f>G59/7*5</f>
        <v>2570263.0500000003</v>
      </c>
      <c r="I59" s="1628">
        <f t="shared" si="12"/>
        <v>6168631.3200000003</v>
      </c>
      <c r="J59" s="1628">
        <v>11877698.010606354</v>
      </c>
      <c r="K59" s="2057" t="s">
        <v>1937</v>
      </c>
      <c r="L59" s="2454"/>
      <c r="M59" s="1629">
        <f t="shared" si="3"/>
        <v>-11877698.010606354</v>
      </c>
      <c r="O59" s="2455">
        <f t="shared" si="10"/>
        <v>0.33307114628508577</v>
      </c>
      <c r="P59" s="2455">
        <f t="shared" si="11"/>
        <v>0.92549974126292145</v>
      </c>
      <c r="R59" s="2454">
        <v>6168631.3200000003</v>
      </c>
      <c r="S59" s="2066">
        <f t="shared" si="4"/>
        <v>0</v>
      </c>
      <c r="T59" s="2454">
        <v>18619000.089438625</v>
      </c>
      <c r="U59" s="2454">
        <f t="shared" si="5"/>
        <v>6741302.0788322706</v>
      </c>
    </row>
    <row r="60" spans="1:21">
      <c r="A60" s="1623" t="s">
        <v>1896</v>
      </c>
      <c r="B60" s="1624">
        <f t="shared" si="6"/>
        <v>58</v>
      </c>
      <c r="C60" s="1625" t="s">
        <v>1791</v>
      </c>
      <c r="D60" s="1626">
        <v>4075398</v>
      </c>
      <c r="E60" s="1627" t="s">
        <v>1959</v>
      </c>
      <c r="F60" s="1628">
        <v>28508501.920000002</v>
      </c>
      <c r="G60" s="1628">
        <v>23147538.84</v>
      </c>
      <c r="H60" s="1628">
        <f>G60/7*5</f>
        <v>16533956.314285714</v>
      </c>
      <c r="I60" s="1628">
        <f t="shared" si="12"/>
        <v>39681495.154285714</v>
      </c>
      <c r="J60" s="1628">
        <v>76406708.652503014</v>
      </c>
      <c r="K60" s="2057" t="s">
        <v>1937</v>
      </c>
      <c r="L60" s="2454"/>
      <c r="M60" s="1629">
        <f t="shared" si="3"/>
        <v>-76406708.652503014</v>
      </c>
      <c r="O60" s="2455">
        <f t="shared" si="10"/>
        <v>0.39191793611741321</v>
      </c>
      <c r="P60" s="2455">
        <f t="shared" si="11"/>
        <v>0.92549974126292145</v>
      </c>
      <c r="R60" s="2454">
        <v>39681495.154285714</v>
      </c>
      <c r="S60" s="2066">
        <f t="shared" si="4"/>
        <v>0</v>
      </c>
      <c r="T60" s="2454">
        <v>119772073.17144446</v>
      </c>
      <c r="U60" s="2454">
        <f t="shared" si="5"/>
        <v>43365364.518941447</v>
      </c>
    </row>
    <row r="61" spans="1:21">
      <c r="A61" s="1623" t="s">
        <v>1896</v>
      </c>
      <c r="B61" s="1624">
        <f t="shared" si="6"/>
        <v>59</v>
      </c>
      <c r="C61" s="1625" t="s">
        <v>1791</v>
      </c>
      <c r="D61" s="1626">
        <v>4075399</v>
      </c>
      <c r="E61" s="1627" t="s">
        <v>1960</v>
      </c>
      <c r="F61" s="1628">
        <v>4810030.4000000004</v>
      </c>
      <c r="G61" s="1628">
        <v>2394515.0499999998</v>
      </c>
      <c r="H61" s="1628">
        <f>G61/7*5</f>
        <v>1710367.8928571427</v>
      </c>
      <c r="I61" s="1628">
        <f t="shared" si="12"/>
        <v>4104882.9428571425</v>
      </c>
      <c r="J61" s="1628">
        <v>7903951.0443860078</v>
      </c>
      <c r="K61" s="2057" t="s">
        <v>1937</v>
      </c>
      <c r="L61" s="2454"/>
      <c r="M61" s="1629">
        <f t="shared" si="3"/>
        <v>-7903951.0443860078</v>
      </c>
      <c r="O61" s="2455">
        <f t="shared" si="10"/>
        <v>-0.14659937640786175</v>
      </c>
      <c r="P61" s="2455">
        <f t="shared" si="11"/>
        <v>0.92549974126292156</v>
      </c>
      <c r="R61" s="2454">
        <v>4104882.9428571425</v>
      </c>
      <c r="S61" s="2066">
        <f t="shared" si="4"/>
        <v>0</v>
      </c>
      <c r="T61" s="2454">
        <v>12389914.701563364</v>
      </c>
      <c r="U61" s="2454">
        <f t="shared" si="5"/>
        <v>4485963.6571773561</v>
      </c>
    </row>
    <row r="62" spans="1:21">
      <c r="A62" s="1623" t="s">
        <v>1896</v>
      </c>
      <c r="B62" s="1624">
        <f t="shared" si="6"/>
        <v>60</v>
      </c>
      <c r="C62" s="1625" t="s">
        <v>1791</v>
      </c>
      <c r="D62" s="1626">
        <v>4075400</v>
      </c>
      <c r="E62" s="1627" t="s">
        <v>1961</v>
      </c>
      <c r="F62" s="1628">
        <v>3123893.5999999996</v>
      </c>
      <c r="G62" s="1628">
        <v>3682283.03</v>
      </c>
      <c r="H62" s="1628">
        <f>G62/7*5</f>
        <v>2630202.1642857143</v>
      </c>
      <c r="I62" s="1628">
        <f t="shared" si="12"/>
        <v>6312485.1942857141</v>
      </c>
      <c r="J62" s="1628">
        <v>12154688.608323166</v>
      </c>
      <c r="K62" s="2057" t="s">
        <v>1937</v>
      </c>
      <c r="L62" s="2454"/>
      <c r="M62" s="1629">
        <f t="shared" si="3"/>
        <v>-12154688.608323166</v>
      </c>
      <c r="O62" s="2455">
        <f t="shared" si="10"/>
        <v>1.0207106907500674</v>
      </c>
      <c r="P62" s="2455">
        <f t="shared" si="11"/>
        <v>0.92549974126292167</v>
      </c>
      <c r="R62" s="2454">
        <v>6312485.1942857141</v>
      </c>
      <c r="S62" s="2066">
        <f t="shared" si="4"/>
        <v>0</v>
      </c>
      <c r="T62" s="2454">
        <v>19053199.372755785</v>
      </c>
      <c r="U62" s="2454">
        <f t="shared" si="5"/>
        <v>6898510.7644326184</v>
      </c>
    </row>
    <row r="63" spans="1:21">
      <c r="A63" s="1623" t="s">
        <v>1896</v>
      </c>
      <c r="B63" s="1624">
        <f t="shared" si="6"/>
        <v>61</v>
      </c>
      <c r="C63" s="1625" t="s">
        <v>1791</v>
      </c>
      <c r="D63" s="1626">
        <v>4075401</v>
      </c>
      <c r="E63" s="1627" t="s">
        <v>1962</v>
      </c>
      <c r="F63" s="1628">
        <v>0</v>
      </c>
      <c r="G63" s="1628">
        <v>0</v>
      </c>
      <c r="H63" s="1628">
        <v>0</v>
      </c>
      <c r="I63" s="1628">
        <f t="shared" si="12"/>
        <v>0</v>
      </c>
      <c r="J63" s="1628">
        <v>0</v>
      </c>
      <c r="K63" s="2057" t="s">
        <v>1937</v>
      </c>
      <c r="L63" s="2454"/>
      <c r="M63" s="1629">
        <f t="shared" si="3"/>
        <v>0</v>
      </c>
      <c r="O63" s="2455" t="e">
        <f t="shared" si="10"/>
        <v>#DIV/0!</v>
      </c>
      <c r="P63" s="2455" t="e">
        <f t="shared" si="11"/>
        <v>#DIV/0!</v>
      </c>
      <c r="R63" s="2454">
        <v>0</v>
      </c>
      <c r="S63" s="2066">
        <f t="shared" si="4"/>
        <v>0</v>
      </c>
      <c r="T63" s="2454">
        <v>0</v>
      </c>
      <c r="U63" s="2454">
        <f t="shared" si="5"/>
        <v>0</v>
      </c>
    </row>
    <row r="64" spans="1:21">
      <c r="A64" s="1623" t="s">
        <v>1896</v>
      </c>
      <c r="B64" s="1624">
        <f t="shared" si="6"/>
        <v>62</v>
      </c>
      <c r="C64" s="1625" t="s">
        <v>1791</v>
      </c>
      <c r="D64" s="1626">
        <v>4075402</v>
      </c>
      <c r="E64" s="1627" t="s">
        <v>1963</v>
      </c>
      <c r="F64" s="1628">
        <v>305399.23</v>
      </c>
      <c r="G64" s="1628">
        <v>93937</v>
      </c>
      <c r="H64" s="1628">
        <f>G64/7*5</f>
        <v>67097.857142857145</v>
      </c>
      <c r="I64" s="1628">
        <f t="shared" si="12"/>
        <v>161034.85714285716</v>
      </c>
      <c r="J64" s="1628">
        <v>310072.575762883</v>
      </c>
      <c r="K64" s="2057" t="s">
        <v>1937</v>
      </c>
      <c r="L64" s="2454"/>
      <c r="M64" s="1629">
        <f t="shared" si="3"/>
        <v>-310072.575762883</v>
      </c>
      <c r="O64" s="2455">
        <f t="shared" si="10"/>
        <v>-0.47270706234964255</v>
      </c>
      <c r="P64" s="2455">
        <f t="shared" si="11"/>
        <v>0.92549974126292156</v>
      </c>
      <c r="R64" s="2454">
        <v>161034.85714285716</v>
      </c>
      <c r="S64" s="2066">
        <f t="shared" si="4"/>
        <v>0</v>
      </c>
      <c r="T64" s="2454">
        <v>486057.25711381849</v>
      </c>
      <c r="U64" s="2454">
        <f t="shared" si="5"/>
        <v>175984.68135093548</v>
      </c>
    </row>
    <row r="65" spans="1:21">
      <c r="A65" s="1623" t="s">
        <v>1896</v>
      </c>
      <c r="B65" s="1624">
        <f t="shared" si="6"/>
        <v>63</v>
      </c>
      <c r="C65" s="1625" t="s">
        <v>1793</v>
      </c>
      <c r="D65" s="1626">
        <v>4075682</v>
      </c>
      <c r="E65" s="1627" t="s">
        <v>1964</v>
      </c>
      <c r="F65" s="1628">
        <v>136275658</v>
      </c>
      <c r="G65" s="1628">
        <v>110584806.67</v>
      </c>
      <c r="H65" s="1628">
        <f>15182532*5</f>
        <v>75912660</v>
      </c>
      <c r="I65" s="1628">
        <f t="shared" si="12"/>
        <v>186497466.67000002</v>
      </c>
      <c r="J65" s="1628">
        <v>205147213.33700004</v>
      </c>
      <c r="K65" s="2057" t="s">
        <v>1937</v>
      </c>
      <c r="L65" s="2454"/>
      <c r="M65" s="1629">
        <f t="shared" si="3"/>
        <v>-205147213.33700004</v>
      </c>
      <c r="O65" s="2455">
        <f t="shared" si="10"/>
        <v>0.36853103046473651</v>
      </c>
      <c r="P65" s="2455">
        <f t="shared" si="11"/>
        <v>0.10000000000000013</v>
      </c>
      <c r="R65" s="2454">
        <v>186497466.67000002</v>
      </c>
      <c r="S65" s="2066">
        <f t="shared" si="4"/>
        <v>0</v>
      </c>
      <c r="T65" s="2454">
        <v>205147213.33700004</v>
      </c>
      <c r="U65" s="2454">
        <f t="shared" si="5"/>
        <v>0</v>
      </c>
    </row>
    <row r="66" spans="1:21">
      <c r="A66" s="1623" t="s">
        <v>1910</v>
      </c>
      <c r="B66" s="1624">
        <f t="shared" si="6"/>
        <v>64</v>
      </c>
      <c r="C66" s="1625" t="s">
        <v>1807</v>
      </c>
      <c r="D66" s="1630">
        <v>4075506</v>
      </c>
      <c r="E66" s="1630" t="s">
        <v>1965</v>
      </c>
      <c r="F66" s="1628">
        <v>2083618</v>
      </c>
      <c r="G66" s="1628">
        <v>1215445</v>
      </c>
      <c r="H66" s="1628">
        <f>173635*5</f>
        <v>868175</v>
      </c>
      <c r="I66" s="1628">
        <f t="shared" si="12"/>
        <v>2083620</v>
      </c>
      <c r="J66" s="1628">
        <v>2396165.3000022075</v>
      </c>
      <c r="K66" s="2057" t="s">
        <v>1937</v>
      </c>
      <c r="L66" s="2454"/>
      <c r="M66" s="1629">
        <f t="shared" si="3"/>
        <v>-2396165.3000022075</v>
      </c>
      <c r="O66" s="2455">
        <f t="shared" si="10"/>
        <v>9.5986884352122116E-7</v>
      </c>
      <c r="P66" s="2455">
        <f t="shared" si="11"/>
        <v>0.15000110384916995</v>
      </c>
      <c r="R66" s="2454">
        <v>2083620</v>
      </c>
      <c r="S66" s="2066">
        <f t="shared" si="4"/>
        <v>0</v>
      </c>
      <c r="T66" s="2454">
        <v>2396165.3000022075</v>
      </c>
      <c r="U66" s="2454">
        <f t="shared" si="5"/>
        <v>0</v>
      </c>
    </row>
    <row r="67" spans="1:21">
      <c r="A67" s="1623" t="s">
        <v>1896</v>
      </c>
      <c r="B67" s="1624">
        <f t="shared" si="6"/>
        <v>65</v>
      </c>
      <c r="C67" s="1625" t="s">
        <v>1802</v>
      </c>
      <c r="D67" s="1626">
        <v>4075612</v>
      </c>
      <c r="E67" s="1627" t="s">
        <v>1921</v>
      </c>
      <c r="F67" s="1628">
        <v>517440</v>
      </c>
      <c r="G67" s="1628">
        <v>446625.99999999994</v>
      </c>
      <c r="H67" s="1628">
        <f>G67/7*5</f>
        <v>319018.57142857136</v>
      </c>
      <c r="I67" s="1628">
        <f t="shared" si="12"/>
        <v>765644.57142857136</v>
      </c>
      <c r="J67" s="1628">
        <v>1071902.3999999997</v>
      </c>
      <c r="K67" s="2057" t="s">
        <v>1937</v>
      </c>
      <c r="L67" s="2454"/>
      <c r="M67" s="1629">
        <f t="shared" si="3"/>
        <v>-1071902.3999999997</v>
      </c>
      <c r="O67" s="2455">
        <f t="shared" si="10"/>
        <v>0.47967797508613824</v>
      </c>
      <c r="P67" s="2455">
        <f t="shared" si="11"/>
        <v>0.39999999999999969</v>
      </c>
      <c r="R67" s="2454">
        <v>765644.57142857136</v>
      </c>
      <c r="S67" s="2066">
        <f t="shared" si="4"/>
        <v>0</v>
      </c>
      <c r="T67" s="2454">
        <v>1071902.3999999997</v>
      </c>
      <c r="U67" s="2454">
        <f t="shared" si="5"/>
        <v>0</v>
      </c>
    </row>
    <row r="68" spans="1:21">
      <c r="A68" s="1623" t="s">
        <v>1896</v>
      </c>
      <c r="B68" s="1624">
        <f t="shared" si="6"/>
        <v>66</v>
      </c>
      <c r="C68" s="1625" t="s">
        <v>1791</v>
      </c>
      <c r="D68" s="1626">
        <v>4075680</v>
      </c>
      <c r="E68" s="1627" t="s">
        <v>1966</v>
      </c>
      <c r="F68" s="1628">
        <v>571073</v>
      </c>
      <c r="G68" s="1628">
        <v>18313.580000000002</v>
      </c>
      <c r="H68" s="1628">
        <f>G68/7*5</f>
        <v>13081.128571428573</v>
      </c>
      <c r="I68" s="1628">
        <f t="shared" si="12"/>
        <v>31394.708571428575</v>
      </c>
      <c r="J68" s="1628">
        <v>60450.503231310548</v>
      </c>
      <c r="K68" s="2057" t="s">
        <v>1937</v>
      </c>
      <c r="L68" s="2454"/>
      <c r="M68" s="1629">
        <f t="shared" ref="M68:M88" si="13">L68-J68</f>
        <v>-60450.503231310548</v>
      </c>
      <c r="O68" s="2455">
        <f t="shared" si="10"/>
        <v>-0.9450250518385066</v>
      </c>
      <c r="P68" s="2455">
        <f t="shared" si="11"/>
        <v>0.92549974126292156</v>
      </c>
      <c r="R68" s="2454">
        <v>31394.708571428575</v>
      </c>
      <c r="S68" s="2066">
        <f t="shared" ref="S68:S88" si="14">R68-I68</f>
        <v>0</v>
      </c>
      <c r="T68" s="2454">
        <v>94759.769449040148</v>
      </c>
      <c r="U68" s="2454">
        <f t="shared" ref="U68:U88" si="15">T68-J68</f>
        <v>34309.266217729601</v>
      </c>
    </row>
    <row r="69" spans="1:21">
      <c r="A69" s="1623" t="s">
        <v>1910</v>
      </c>
      <c r="B69" s="1624">
        <f t="shared" si="6"/>
        <v>67</v>
      </c>
      <c r="C69" s="1625" t="s">
        <v>1804</v>
      </c>
      <c r="D69" s="1626">
        <v>4075679</v>
      </c>
      <c r="E69" s="1627" t="s">
        <v>1967</v>
      </c>
      <c r="F69" s="1628">
        <f>9260687.81+4509382</f>
        <v>13770069.810000001</v>
      </c>
      <c r="G69" s="1628">
        <v>8012790</v>
      </c>
      <c r="H69" s="1628">
        <f>1200000*5</f>
        <v>6000000</v>
      </c>
      <c r="I69" s="1628">
        <f t="shared" si="12"/>
        <v>14012790</v>
      </c>
      <c r="J69" s="1628">
        <v>30400000</v>
      </c>
      <c r="K69" s="2057" t="s">
        <v>1937</v>
      </c>
      <c r="L69" s="2454"/>
      <c r="M69" s="1629">
        <f t="shared" si="13"/>
        <v>-30400000</v>
      </c>
      <c r="O69" s="2455">
        <f t="shared" si="10"/>
        <v>1.7626649199972318E-2</v>
      </c>
      <c r="P69" s="2455">
        <f t="shared" si="11"/>
        <v>1.1694466269743571</v>
      </c>
      <c r="R69" s="2454">
        <v>14012790</v>
      </c>
      <c r="S69" s="2066">
        <f t="shared" si="14"/>
        <v>0</v>
      </c>
      <c r="T69" s="2454">
        <v>30400000</v>
      </c>
      <c r="U69" s="2454">
        <f t="shared" si="15"/>
        <v>0</v>
      </c>
    </row>
    <row r="70" spans="1:21">
      <c r="A70" s="1623" t="s">
        <v>1896</v>
      </c>
      <c r="B70" s="1624">
        <f t="shared" si="6"/>
        <v>68</v>
      </c>
      <c r="C70" s="1625" t="s">
        <v>1805</v>
      </c>
      <c r="D70" s="1626">
        <v>4075618</v>
      </c>
      <c r="E70" s="1627" t="s">
        <v>1968</v>
      </c>
      <c r="F70" s="1628">
        <v>15000</v>
      </c>
      <c r="G70" s="1628">
        <v>0</v>
      </c>
      <c r="H70" s="1628">
        <f>G70/7*5+M70</f>
        <v>0</v>
      </c>
      <c r="I70" s="1628">
        <f t="shared" si="12"/>
        <v>0</v>
      </c>
      <c r="J70" s="1628">
        <v>0</v>
      </c>
      <c r="K70" s="2057" t="s">
        <v>1937</v>
      </c>
      <c r="L70" s="2454"/>
      <c r="M70" s="1629">
        <f t="shared" si="13"/>
        <v>0</v>
      </c>
      <c r="O70" s="2455">
        <f t="shared" si="10"/>
        <v>-1</v>
      </c>
      <c r="P70" s="2455" t="e">
        <f t="shared" si="11"/>
        <v>#DIV/0!</v>
      </c>
      <c r="R70" s="2454">
        <v>0</v>
      </c>
      <c r="S70" s="2066">
        <f t="shared" si="14"/>
        <v>0</v>
      </c>
      <c r="T70" s="2454">
        <v>0</v>
      </c>
      <c r="U70" s="2454">
        <f t="shared" si="15"/>
        <v>0</v>
      </c>
    </row>
    <row r="71" spans="1:21">
      <c r="A71" s="1623" t="s">
        <v>1896</v>
      </c>
      <c r="B71" s="1624">
        <f t="shared" ref="B71:B88" si="16">B70+1</f>
        <v>69</v>
      </c>
      <c r="C71" s="1625"/>
      <c r="D71" s="1626">
        <v>4076179</v>
      </c>
      <c r="E71" s="1632" t="s">
        <v>1969</v>
      </c>
      <c r="F71" s="1628">
        <v>0</v>
      </c>
      <c r="G71" s="1628">
        <v>0</v>
      </c>
      <c r="H71" s="1628">
        <f>G71/7*5+M71</f>
        <v>0</v>
      </c>
      <c r="I71" s="1628">
        <f t="shared" si="12"/>
        <v>0</v>
      </c>
      <c r="J71" s="1628">
        <v>0</v>
      </c>
      <c r="K71" s="2057" t="s">
        <v>1937</v>
      </c>
      <c r="L71" s="2454"/>
      <c r="M71" s="1629">
        <f t="shared" si="13"/>
        <v>0</v>
      </c>
      <c r="O71" s="2455" t="e">
        <f t="shared" si="10"/>
        <v>#DIV/0!</v>
      </c>
      <c r="P71" s="2455" t="e">
        <f t="shared" si="11"/>
        <v>#DIV/0!</v>
      </c>
      <c r="R71" s="2454">
        <v>0</v>
      </c>
      <c r="S71" s="2066">
        <f t="shared" si="14"/>
        <v>0</v>
      </c>
      <c r="T71" s="2454">
        <v>0</v>
      </c>
      <c r="U71" s="2454">
        <f t="shared" si="15"/>
        <v>0</v>
      </c>
    </row>
    <row r="72" spans="1:21">
      <c r="A72" s="1631" t="s">
        <v>1922</v>
      </c>
      <c r="B72" s="1624">
        <f t="shared" si="16"/>
        <v>70</v>
      </c>
      <c r="C72" s="1625" t="s">
        <v>1811</v>
      </c>
      <c r="D72" s="1626">
        <v>4075683</v>
      </c>
      <c r="E72" s="1627" t="s">
        <v>1970</v>
      </c>
      <c r="F72" s="1628">
        <v>28610904</v>
      </c>
      <c r="G72" s="1628">
        <v>22498729</v>
      </c>
      <c r="H72" s="1628">
        <f>G72/7*5</f>
        <v>16070520.714285713</v>
      </c>
      <c r="I72" s="1682">
        <f t="shared" si="12"/>
        <v>38569249.714285716</v>
      </c>
      <c r="J72" s="1628">
        <v>51993709.234875239</v>
      </c>
      <c r="K72" s="2057" t="s">
        <v>1937</v>
      </c>
      <c r="L72" s="2454"/>
      <c r="M72" s="1629">
        <f t="shared" si="13"/>
        <v>-51993709.234875239</v>
      </c>
      <c r="O72" s="2455">
        <f t="shared" si="10"/>
        <v>0.34806120471711471</v>
      </c>
      <c r="P72" s="2455">
        <f t="shared" si="11"/>
        <v>0.34806120471711482</v>
      </c>
      <c r="R72" s="2454">
        <v>38569249.714285716</v>
      </c>
      <c r="S72" s="2066">
        <f t="shared" si="14"/>
        <v>0</v>
      </c>
      <c r="T72" s="2454">
        <v>51993709.234875239</v>
      </c>
      <c r="U72" s="2454">
        <f t="shared" si="15"/>
        <v>0</v>
      </c>
    </row>
    <row r="73" spans="1:21">
      <c r="A73" s="1631" t="s">
        <v>1922</v>
      </c>
      <c r="B73" s="1624">
        <f t="shared" si="16"/>
        <v>71</v>
      </c>
      <c r="C73" s="1625" t="s">
        <v>1811</v>
      </c>
      <c r="D73" s="1626">
        <v>4075686</v>
      </c>
      <c r="E73" s="1627" t="s">
        <v>1971</v>
      </c>
      <c r="F73" s="1628">
        <v>4030895</v>
      </c>
      <c r="G73" s="1628">
        <v>2853491</v>
      </c>
      <c r="H73" s="1628">
        <f>G73/7*5</f>
        <v>2038207.857142857</v>
      </c>
      <c r="I73" s="1682">
        <f t="shared" si="12"/>
        <v>4891698.8571428573</v>
      </c>
      <c r="J73" s="1628">
        <v>5936328.7083818205</v>
      </c>
      <c r="K73" s="2057" t="s">
        <v>1937</v>
      </c>
      <c r="L73" s="2454"/>
      <c r="M73" s="1629">
        <f t="shared" si="13"/>
        <v>-5936328.7083818205</v>
      </c>
      <c r="O73" s="2455">
        <f t="shared" si="10"/>
        <v>0.21355154553588154</v>
      </c>
      <c r="P73" s="2455">
        <f t="shared" si="11"/>
        <v>0.21355154553588165</v>
      </c>
      <c r="R73" s="2454">
        <v>4891698.8571428573</v>
      </c>
      <c r="S73" s="2066">
        <f t="shared" si="14"/>
        <v>0</v>
      </c>
      <c r="T73" s="2454">
        <v>5936328.7083818205</v>
      </c>
      <c r="U73" s="2454">
        <f t="shared" si="15"/>
        <v>0</v>
      </c>
    </row>
    <row r="74" spans="1:21">
      <c r="A74" s="1623" t="s">
        <v>1929</v>
      </c>
      <c r="B74" s="1624">
        <f t="shared" si="16"/>
        <v>72</v>
      </c>
      <c r="C74" s="1625" t="s">
        <v>1810</v>
      </c>
      <c r="D74" s="1626">
        <v>4075685</v>
      </c>
      <c r="E74" s="1627" t="s">
        <v>1972</v>
      </c>
      <c r="F74" s="1628">
        <v>790390</v>
      </c>
      <c r="G74" s="1628">
        <v>805700</v>
      </c>
      <c r="H74" s="1628">
        <f>G74/7*5</f>
        <v>575500</v>
      </c>
      <c r="I74" s="1628">
        <f t="shared" si="12"/>
        <v>1381200</v>
      </c>
      <c r="J74" s="1628">
        <v>1231394.7964695275</v>
      </c>
      <c r="K74" s="2057" t="s">
        <v>1937</v>
      </c>
      <c r="L74" s="2454"/>
      <c r="M74" s="1629">
        <f t="shared" si="13"/>
        <v>-1231394.7964695275</v>
      </c>
      <c r="O74" s="2455">
        <f t="shared" si="10"/>
        <v>0.74749174458178869</v>
      </c>
      <c r="P74" s="2455">
        <f t="shared" si="11"/>
        <v>-0.10846018211010171</v>
      </c>
      <c r="R74" s="2454">
        <v>1381200</v>
      </c>
      <c r="S74" s="2066">
        <f t="shared" si="14"/>
        <v>0</v>
      </c>
      <c r="T74" s="2454">
        <v>10173487.33767743</v>
      </c>
      <c r="U74" s="2454">
        <f t="shared" si="15"/>
        <v>8942092.5412079021</v>
      </c>
    </row>
    <row r="75" spans="1:21">
      <c r="A75" s="1623" t="s">
        <v>1929</v>
      </c>
      <c r="B75" s="1624">
        <f t="shared" si="16"/>
        <v>73</v>
      </c>
      <c r="C75" s="1625" t="s">
        <v>1810</v>
      </c>
      <c r="D75" s="1626">
        <v>4075706</v>
      </c>
      <c r="E75" s="1627" t="s">
        <v>1973</v>
      </c>
      <c r="F75" s="1628">
        <f>1122091+2402</f>
        <v>1124493</v>
      </c>
      <c r="G75" s="1628">
        <v>1850169.9999999998</v>
      </c>
      <c r="H75" s="1628">
        <f>G75/7*5</f>
        <v>1321549.9999999998</v>
      </c>
      <c r="I75" s="1628">
        <f t="shared" si="12"/>
        <v>3171719.9999999995</v>
      </c>
      <c r="J75" s="1628">
        <v>3110486.1383175231</v>
      </c>
      <c r="K75" s="2057" t="s">
        <v>1937</v>
      </c>
      <c r="L75" s="2454"/>
      <c r="M75" s="1629">
        <f t="shared" si="13"/>
        <v>-3110486.1383175231</v>
      </c>
      <c r="O75" s="2455">
        <f t="shared" si="10"/>
        <v>1.8205778070650502</v>
      </c>
      <c r="P75" s="2455">
        <f t="shared" si="11"/>
        <v>-1.9306200321111727E-2</v>
      </c>
      <c r="R75" s="2454">
        <v>3171719.9999999995</v>
      </c>
      <c r="S75" s="2066">
        <f t="shared" si="14"/>
        <v>0</v>
      </c>
      <c r="T75" s="2454">
        <v>25698087.593776487</v>
      </c>
      <c r="U75" s="2454">
        <f t="shared" si="15"/>
        <v>22587601.455458965</v>
      </c>
    </row>
    <row r="76" spans="1:21">
      <c r="A76" s="1623" t="s">
        <v>1929</v>
      </c>
      <c r="B76" s="1624">
        <f t="shared" si="16"/>
        <v>74</v>
      </c>
      <c r="C76" s="1625" t="s">
        <v>1810</v>
      </c>
      <c r="D76" s="1626">
        <v>4075708</v>
      </c>
      <c r="E76" s="1627" t="s">
        <v>1974</v>
      </c>
      <c r="F76" s="1628">
        <v>1622751.8900000001</v>
      </c>
      <c r="G76" s="1628">
        <v>15596.97</v>
      </c>
      <c r="H76" s="1628">
        <f>67295.97*5</f>
        <v>336479.85</v>
      </c>
      <c r="I76" s="1628">
        <f t="shared" si="12"/>
        <v>352076.81999999995</v>
      </c>
      <c r="J76" s="1628">
        <v>313890.50398605445</v>
      </c>
      <c r="K76" s="2057" t="s">
        <v>1937</v>
      </c>
      <c r="L76" s="2454"/>
      <c r="M76" s="1629">
        <f t="shared" si="13"/>
        <v>-313890.50398605445</v>
      </c>
      <c r="O76" s="2455">
        <f t="shared" si="10"/>
        <v>-0.78303718382974752</v>
      </c>
      <c r="P76" s="2455">
        <f t="shared" si="11"/>
        <v>-0.10846018211010172</v>
      </c>
      <c r="R76" s="2454">
        <v>352076.81999999995</v>
      </c>
      <c r="S76" s="2066">
        <f t="shared" si="14"/>
        <v>0</v>
      </c>
      <c r="T76" s="2454">
        <v>2593287.7716186903</v>
      </c>
      <c r="U76" s="2454">
        <f t="shared" si="15"/>
        <v>2279397.2676326358</v>
      </c>
    </row>
    <row r="77" spans="1:21">
      <c r="A77" s="1623" t="s">
        <v>1929</v>
      </c>
      <c r="B77" s="1624">
        <f t="shared" si="16"/>
        <v>75</v>
      </c>
      <c r="C77" s="1625" t="s">
        <v>1810</v>
      </c>
      <c r="D77" s="1633">
        <v>4075709</v>
      </c>
      <c r="E77" s="1634" t="s">
        <v>1975</v>
      </c>
      <c r="F77" s="1628">
        <v>178078</v>
      </c>
      <c r="G77" s="1628"/>
      <c r="H77" s="1628">
        <f>G77/7*5</f>
        <v>0</v>
      </c>
      <c r="I77" s="1628">
        <f t="shared" si="12"/>
        <v>0</v>
      </c>
      <c r="J77" s="1628"/>
      <c r="K77" s="2057" t="s">
        <v>1937</v>
      </c>
      <c r="L77" s="2454"/>
      <c r="M77" s="1629">
        <f t="shared" si="13"/>
        <v>0</v>
      </c>
      <c r="O77" s="2455">
        <f t="shared" si="10"/>
        <v>-1</v>
      </c>
      <c r="P77" s="2455" t="e">
        <f t="shared" si="11"/>
        <v>#DIV/0!</v>
      </c>
      <c r="R77" s="2454">
        <v>0</v>
      </c>
      <c r="S77" s="2066">
        <f t="shared" si="14"/>
        <v>0</v>
      </c>
      <c r="T77" s="2454">
        <v>0</v>
      </c>
      <c r="U77" s="2454">
        <f t="shared" si="15"/>
        <v>0</v>
      </c>
    </row>
    <row r="78" spans="1:21">
      <c r="A78" s="1623" t="s">
        <v>1929</v>
      </c>
      <c r="B78" s="1624">
        <f t="shared" si="16"/>
        <v>76</v>
      </c>
      <c r="C78" s="1625" t="s">
        <v>1810</v>
      </c>
      <c r="D78" s="1633">
        <v>4075717</v>
      </c>
      <c r="E78" s="1634" t="s">
        <v>1976</v>
      </c>
      <c r="F78" s="1628">
        <v>0</v>
      </c>
      <c r="G78" s="1628">
        <v>116550</v>
      </c>
      <c r="H78" s="1628">
        <f>G78/7*5</f>
        <v>83250</v>
      </c>
      <c r="I78" s="1628">
        <f t="shared" si="12"/>
        <v>199800</v>
      </c>
      <c r="J78" s="1628">
        <v>178129.65561440168</v>
      </c>
      <c r="K78" s="2057" t="s">
        <v>1937</v>
      </c>
      <c r="L78" s="2454"/>
      <c r="M78" s="1629">
        <f t="shared" si="13"/>
        <v>-178129.65561440168</v>
      </c>
      <c r="O78" s="2455" t="e">
        <f t="shared" si="10"/>
        <v>#DIV/0!</v>
      </c>
      <c r="P78" s="2455">
        <f t="shared" si="11"/>
        <v>-0.10846018211010171</v>
      </c>
      <c r="R78" s="2454">
        <v>199800</v>
      </c>
      <c r="S78" s="2066">
        <f t="shared" si="14"/>
        <v>0</v>
      </c>
      <c r="T78" s="2454">
        <v>1471664.3281696718</v>
      </c>
      <c r="U78" s="2454">
        <f t="shared" si="15"/>
        <v>1293534.6725552701</v>
      </c>
    </row>
    <row r="79" spans="1:21">
      <c r="A79" s="1623" t="s">
        <v>1929</v>
      </c>
      <c r="B79" s="1624">
        <f t="shared" si="16"/>
        <v>77</v>
      </c>
      <c r="C79" s="1625" t="s">
        <v>1810</v>
      </c>
      <c r="D79" s="1633">
        <v>4076245</v>
      </c>
      <c r="E79" s="1634" t="s">
        <v>1977</v>
      </c>
      <c r="F79" s="1628">
        <v>0</v>
      </c>
      <c r="G79" s="1628">
        <v>8901609.1799999997</v>
      </c>
      <c r="H79" s="1628">
        <f>G79/7*5</f>
        <v>6358292.271428572</v>
      </c>
      <c r="I79" s="1628">
        <f t="shared" si="12"/>
        <v>15259901.451428572</v>
      </c>
      <c r="J79" s="1628">
        <v>17204809.761024423</v>
      </c>
      <c r="K79" s="2057" t="s">
        <v>1937</v>
      </c>
      <c r="L79" s="2454"/>
      <c r="M79" s="1629">
        <f t="shared" si="13"/>
        <v>-17204809.761024423</v>
      </c>
      <c r="O79" s="2455" t="e">
        <f t="shared" si="10"/>
        <v>#DIV/0!</v>
      </c>
      <c r="P79" s="2455">
        <f t="shared" si="11"/>
        <v>0.12745221951703867</v>
      </c>
      <c r="R79" s="2454">
        <v>15259901.451428572</v>
      </c>
      <c r="S79" s="2066">
        <f t="shared" si="14"/>
        <v>0</v>
      </c>
      <c r="T79" s="2454">
        <v>115999662.75001015</v>
      </c>
      <c r="U79" s="2454">
        <f t="shared" si="15"/>
        <v>98794852.988985717</v>
      </c>
    </row>
    <row r="80" spans="1:21">
      <c r="A80" s="1623" t="s">
        <v>1910</v>
      </c>
      <c r="B80" s="1624">
        <f t="shared" si="16"/>
        <v>78</v>
      </c>
      <c r="C80" s="1625" t="s">
        <v>1811</v>
      </c>
      <c r="D80" s="1626">
        <v>4075813</v>
      </c>
      <c r="E80" s="1627" t="s">
        <v>1978</v>
      </c>
      <c r="F80" s="1628">
        <v>0</v>
      </c>
      <c r="G80" s="1628">
        <v>0</v>
      </c>
      <c r="H80" s="1628">
        <f>G80/7*5+M80</f>
        <v>0</v>
      </c>
      <c r="I80" s="1682">
        <f t="shared" si="12"/>
        <v>0</v>
      </c>
      <c r="J80" s="1682">
        <v>0</v>
      </c>
      <c r="K80" s="1635" t="s">
        <v>1937</v>
      </c>
      <c r="L80" s="2454"/>
      <c r="M80" s="1629">
        <f t="shared" si="13"/>
        <v>0</v>
      </c>
      <c r="O80" s="2455" t="e">
        <f t="shared" si="10"/>
        <v>#DIV/0!</v>
      </c>
      <c r="P80" s="2455" t="e">
        <f t="shared" si="11"/>
        <v>#DIV/0!</v>
      </c>
      <c r="R80" s="2454">
        <v>0</v>
      </c>
      <c r="S80" s="2066">
        <f t="shared" si="14"/>
        <v>0</v>
      </c>
      <c r="T80" s="2454">
        <v>0</v>
      </c>
      <c r="U80" s="2454">
        <f t="shared" si="15"/>
        <v>0</v>
      </c>
    </row>
    <row r="81" spans="1:21">
      <c r="A81" s="1623" t="s">
        <v>1910</v>
      </c>
      <c r="B81" s="1624">
        <f t="shared" si="16"/>
        <v>79</v>
      </c>
      <c r="C81" s="1625" t="s">
        <v>1811</v>
      </c>
      <c r="D81" s="1626">
        <v>4075715</v>
      </c>
      <c r="E81" s="1627" t="s">
        <v>1979</v>
      </c>
      <c r="F81" s="1628">
        <v>0</v>
      </c>
      <c r="G81" s="1628">
        <v>828750</v>
      </c>
      <c r="H81" s="1628">
        <f>118393*5</f>
        <v>591965</v>
      </c>
      <c r="I81" s="1628">
        <f t="shared" si="12"/>
        <v>1420715</v>
      </c>
      <c r="J81" s="1628">
        <v>0</v>
      </c>
      <c r="K81" s="1635" t="s">
        <v>1937</v>
      </c>
      <c r="L81" s="2454"/>
      <c r="M81" s="1629">
        <f t="shared" si="13"/>
        <v>0</v>
      </c>
      <c r="O81" s="2455" t="e">
        <f t="shared" si="10"/>
        <v>#DIV/0!</v>
      </c>
      <c r="P81" s="2455">
        <f t="shared" si="11"/>
        <v>-1</v>
      </c>
      <c r="R81" s="2454">
        <v>1420715</v>
      </c>
      <c r="S81" s="2066">
        <f t="shared" si="14"/>
        <v>0</v>
      </c>
      <c r="T81" s="2454">
        <v>0</v>
      </c>
      <c r="U81" s="2454">
        <f t="shared" si="15"/>
        <v>0</v>
      </c>
    </row>
    <row r="82" spans="1:21">
      <c r="A82" s="1623" t="s">
        <v>1910</v>
      </c>
      <c r="B82" s="1624">
        <f t="shared" si="16"/>
        <v>80</v>
      </c>
      <c r="C82" s="1625" t="s">
        <v>1804</v>
      </c>
      <c r="D82" s="1626">
        <v>4075617</v>
      </c>
      <c r="E82" s="1627" t="s">
        <v>1980</v>
      </c>
      <c r="F82" s="1628">
        <v>0</v>
      </c>
      <c r="G82" s="1628">
        <v>0</v>
      </c>
      <c r="H82" s="1628">
        <f>G82/7*5+M82</f>
        <v>0</v>
      </c>
      <c r="I82" s="1628">
        <f t="shared" si="12"/>
        <v>0</v>
      </c>
      <c r="J82" s="1628">
        <v>0</v>
      </c>
      <c r="K82" s="1635"/>
      <c r="L82" s="2454"/>
      <c r="M82" s="1629">
        <f t="shared" si="13"/>
        <v>0</v>
      </c>
      <c r="O82" s="2455" t="e">
        <f t="shared" ref="O82:O88" si="17">(I82-F82)/F82</f>
        <v>#DIV/0!</v>
      </c>
      <c r="P82" s="2455" t="e">
        <f t="shared" ref="P82:P88" si="18">(J82-I82)/I82</f>
        <v>#DIV/0!</v>
      </c>
      <c r="R82" s="2454">
        <v>0</v>
      </c>
      <c r="S82" s="2066">
        <f t="shared" si="14"/>
        <v>0</v>
      </c>
      <c r="T82" s="2454">
        <v>0</v>
      </c>
      <c r="U82" s="2454">
        <f t="shared" si="15"/>
        <v>0</v>
      </c>
    </row>
    <row r="83" spans="1:21">
      <c r="A83" s="1623" t="s">
        <v>1929</v>
      </c>
      <c r="B83" s="1624">
        <f t="shared" si="16"/>
        <v>81</v>
      </c>
      <c r="C83" s="1625" t="s">
        <v>1810</v>
      </c>
      <c r="D83" s="1626">
        <v>4075707</v>
      </c>
      <c r="E83" s="1627" t="s">
        <v>1981</v>
      </c>
      <c r="F83" s="1628">
        <v>7479293.2000000011</v>
      </c>
      <c r="G83" s="1628">
        <v>0</v>
      </c>
      <c r="H83" s="1628">
        <f>G83/7*5+M83</f>
        <v>0</v>
      </c>
      <c r="I83" s="1628">
        <f t="shared" si="12"/>
        <v>0</v>
      </c>
      <c r="J83" s="1628">
        <v>0</v>
      </c>
      <c r="K83" s="2057" t="s">
        <v>1982</v>
      </c>
      <c r="L83" s="2454"/>
      <c r="M83" s="1629">
        <f t="shared" si="13"/>
        <v>0</v>
      </c>
      <c r="O83" s="2455">
        <f t="shared" si="17"/>
        <v>-1</v>
      </c>
      <c r="P83" s="2455" t="e">
        <f t="shared" si="18"/>
        <v>#DIV/0!</v>
      </c>
    </row>
    <row r="84" spans="1:21">
      <c r="A84" s="1623" t="s">
        <v>1929</v>
      </c>
      <c r="B84" s="1624">
        <f t="shared" si="16"/>
        <v>82</v>
      </c>
      <c r="C84" s="1625" t="s">
        <v>1810</v>
      </c>
      <c r="D84" s="1626">
        <v>4075790</v>
      </c>
      <c r="E84" s="1627" t="s">
        <v>1983</v>
      </c>
      <c r="F84" s="1628">
        <f>2236921+13500</f>
        <v>2250421</v>
      </c>
      <c r="G84" s="1628">
        <v>401089</v>
      </c>
      <c r="H84" s="1628">
        <f>G84/7*5</f>
        <v>286492.14285714284</v>
      </c>
      <c r="I84" s="1628">
        <f t="shared" si="12"/>
        <v>687581.14285714284</v>
      </c>
      <c r="J84" s="1628">
        <v>613005.96688738535</v>
      </c>
      <c r="K84" s="2057" t="s">
        <v>1982</v>
      </c>
      <c r="L84" s="2454"/>
      <c r="M84" s="1629">
        <f t="shared" si="13"/>
        <v>-613005.96688738535</v>
      </c>
      <c r="O84" s="2455">
        <f t="shared" si="17"/>
        <v>-0.6944655498428326</v>
      </c>
      <c r="P84" s="2455">
        <f t="shared" si="18"/>
        <v>-0.10846018211010158</v>
      </c>
      <c r="R84" s="2454">
        <v>687581.14285714284</v>
      </c>
      <c r="S84" s="2066">
        <f t="shared" si="14"/>
        <v>0</v>
      </c>
      <c r="T84" s="2454">
        <v>5064507.7110359967</v>
      </c>
      <c r="U84" s="2454">
        <f t="shared" si="15"/>
        <v>4451501.7441486111</v>
      </c>
    </row>
    <row r="85" spans="1:21">
      <c r="A85" s="1623" t="s">
        <v>1929</v>
      </c>
      <c r="B85" s="1624">
        <f t="shared" si="16"/>
        <v>83</v>
      </c>
      <c r="C85" s="1625" t="s">
        <v>1810</v>
      </c>
      <c r="D85" s="1626">
        <v>4076142</v>
      </c>
      <c r="E85" s="1627" t="s">
        <v>1984</v>
      </c>
      <c r="F85" s="1628">
        <v>11066732.5</v>
      </c>
      <c r="G85" s="1628">
        <v>1952779.4</v>
      </c>
      <c r="H85" s="1628">
        <f>G85/7*5</f>
        <v>1394842.4285714284</v>
      </c>
      <c r="I85" s="1628">
        <f t="shared" si="12"/>
        <v>3347621.8285714285</v>
      </c>
      <c r="J85" s="1628">
        <v>2984538.1554088197</v>
      </c>
      <c r="K85" s="2057" t="s">
        <v>1982</v>
      </c>
      <c r="L85" s="2454"/>
      <c r="M85" s="1629">
        <f t="shared" si="13"/>
        <v>-2984538.1554088197</v>
      </c>
      <c r="O85" s="2455">
        <f t="shared" si="17"/>
        <v>-0.69750585111084695</v>
      </c>
      <c r="P85" s="2455">
        <f t="shared" si="18"/>
        <v>-0.10846018211010172</v>
      </c>
      <c r="R85" s="2454">
        <v>3347621.8285714285</v>
      </c>
      <c r="S85" s="2066">
        <f t="shared" si="14"/>
        <v>0</v>
      </c>
      <c r="T85" s="2454">
        <v>24657535.682235733</v>
      </c>
      <c r="U85" s="2454">
        <f t="shared" si="15"/>
        <v>21672997.526826914</v>
      </c>
    </row>
    <row r="86" spans="1:21">
      <c r="A86" s="1623" t="s">
        <v>1929</v>
      </c>
      <c r="B86" s="1624">
        <f t="shared" si="16"/>
        <v>84</v>
      </c>
      <c r="C86" s="1625" t="s">
        <v>1810</v>
      </c>
      <c r="D86" s="1626">
        <v>4076161</v>
      </c>
      <c r="E86" s="1627" t="s">
        <v>1985</v>
      </c>
      <c r="F86" s="1628">
        <v>11003622.15</v>
      </c>
      <c r="G86" s="1628">
        <v>5063570.5</v>
      </c>
      <c r="H86" s="1628">
        <f>G86/7*5</f>
        <v>3616836.0714285718</v>
      </c>
      <c r="I86" s="1628">
        <f t="shared" si="12"/>
        <v>8680406.5714285709</v>
      </c>
      <c r="J86" s="1628">
        <v>7738928.093901705</v>
      </c>
      <c r="K86" s="2057" t="s">
        <v>1982</v>
      </c>
      <c r="L86" s="2454"/>
      <c r="M86" s="1629">
        <f t="shared" si="13"/>
        <v>-7738928.093901705</v>
      </c>
      <c r="O86" s="2455">
        <f t="shared" si="17"/>
        <v>-0.21113189338034744</v>
      </c>
      <c r="P86" s="2455">
        <f t="shared" si="18"/>
        <v>-0.10846018211010165</v>
      </c>
      <c r="R86" s="2454">
        <v>8680406.5714285709</v>
      </c>
      <c r="S86" s="2066">
        <f t="shared" si="14"/>
        <v>0</v>
      </c>
      <c r="T86" s="2454">
        <v>63937160.686591752</v>
      </c>
      <c r="U86" s="2454">
        <f t="shared" si="15"/>
        <v>56198232.592690051</v>
      </c>
    </row>
    <row r="87" spans="1:21">
      <c r="A87" s="1623" t="s">
        <v>1929</v>
      </c>
      <c r="B87" s="1624">
        <f t="shared" si="16"/>
        <v>85</v>
      </c>
      <c r="C87" s="1625" t="s">
        <v>1810</v>
      </c>
      <c r="D87" s="1626">
        <v>4076109</v>
      </c>
      <c r="E87" s="1627" t="s">
        <v>1986</v>
      </c>
      <c r="F87" s="1628">
        <f>80367626.57</f>
        <v>80367626.569999993</v>
      </c>
      <c r="G87" s="1628">
        <v>56266970</v>
      </c>
      <c r="H87" s="1628">
        <f>9368803*5</f>
        <v>46844015</v>
      </c>
      <c r="I87" s="1628">
        <f t="shared" si="12"/>
        <v>103110985</v>
      </c>
      <c r="J87" s="1628">
        <v>110313058.54721764</v>
      </c>
      <c r="K87" s="2057" t="s">
        <v>1982</v>
      </c>
      <c r="L87" s="2454"/>
      <c r="M87" s="1629">
        <f t="shared" si="13"/>
        <v>-110313058.54721764</v>
      </c>
      <c r="O87" s="2455">
        <f t="shared" si="17"/>
        <v>0.28299154025894496</v>
      </c>
      <c r="P87" s="2455">
        <f t="shared" si="18"/>
        <v>6.9847781467877915E-2</v>
      </c>
      <c r="R87" s="2454">
        <v>103110985</v>
      </c>
      <c r="S87" s="2066">
        <f t="shared" si="14"/>
        <v>0</v>
      </c>
      <c r="T87" s="2454">
        <v>911379930.73236096</v>
      </c>
      <c r="U87" s="2454">
        <f t="shared" si="15"/>
        <v>801066872.18514335</v>
      </c>
    </row>
    <row r="88" spans="1:21" ht="30">
      <c r="A88" s="1636" t="s">
        <v>1987</v>
      </c>
      <c r="B88" s="1624">
        <f t="shared" si="16"/>
        <v>86</v>
      </c>
      <c r="C88" s="1625" t="s">
        <v>1988</v>
      </c>
      <c r="D88" s="1637">
        <v>4075910</v>
      </c>
      <c r="E88" s="1638" t="s">
        <v>1989</v>
      </c>
      <c r="F88" s="1639">
        <f>-128483950.9</f>
        <v>-128483950.90000001</v>
      </c>
      <c r="G88" s="1639">
        <v>-42709258.399999991</v>
      </c>
      <c r="H88" s="1628">
        <f>(F88*1.15)-G88</f>
        <v>-105047285.13500001</v>
      </c>
      <c r="I88" s="1628">
        <f t="shared" si="12"/>
        <v>-147756543.535</v>
      </c>
      <c r="J88" s="1628">
        <v>-169920025.06524998</v>
      </c>
      <c r="K88" s="2058" t="s">
        <v>1982</v>
      </c>
      <c r="L88" s="2454"/>
      <c r="M88" s="1629">
        <f t="shared" si="13"/>
        <v>169920025.06524998</v>
      </c>
      <c r="O88" s="2455">
        <f t="shared" si="17"/>
        <v>0.14999999999999991</v>
      </c>
      <c r="P88" s="2455">
        <f t="shared" si="18"/>
        <v>0.14999999999999988</v>
      </c>
      <c r="R88" s="2454">
        <v>-147756543.535</v>
      </c>
      <c r="S88" s="2066">
        <f t="shared" si="14"/>
        <v>0</v>
      </c>
      <c r="T88" s="2454">
        <v>-169920025.06524998</v>
      </c>
      <c r="U88" s="2454">
        <f t="shared" si="15"/>
        <v>0</v>
      </c>
    </row>
    <row r="89" spans="1:21" ht="15.75" thickBot="1">
      <c r="F89" s="1641">
        <f>SUM(F3:F88)</f>
        <v>3904550547.3400006</v>
      </c>
      <c r="G89" s="1641">
        <f>SUM(G3:G88)</f>
        <v>2524671939.3800006</v>
      </c>
      <c r="H89" s="1641">
        <f>SUM(H3:H88)</f>
        <v>1796299941.5322683</v>
      </c>
      <c r="I89" s="1641">
        <f>SUM(I3:I88)</f>
        <v>4320971880.9122677</v>
      </c>
      <c r="J89" s="1641">
        <f>SUM(J3:J88)</f>
        <v>4743874066.09589</v>
      </c>
      <c r="K89" s="1642"/>
      <c r="L89" s="1641"/>
      <c r="M89" s="1629"/>
      <c r="R89" s="1641">
        <f>SUM(R3:R88)</f>
        <v>4026329461.6466012</v>
      </c>
      <c r="S89" s="2066"/>
      <c r="T89" s="1641">
        <f>SUM(T3:T88)</f>
        <v>6307524316.2406034</v>
      </c>
    </row>
    <row r="90" spans="1:21" ht="15.75" thickTop="1">
      <c r="E90" s="1643" t="s">
        <v>1990</v>
      </c>
      <c r="F90" s="1644">
        <v>3904550547.3399997</v>
      </c>
      <c r="G90" s="1644">
        <f>252.467193938*10^7</f>
        <v>2524671939.3800001</v>
      </c>
      <c r="H90" s="1644"/>
      <c r="I90" s="1645">
        <f>(I89-F89)/F89</f>
        <v>0.10665026064420056</v>
      </c>
      <c r="J90" s="1645">
        <f>(J89-I89)/I89</f>
        <v>9.7872005844744564E-2</v>
      </c>
      <c r="M90" s="1629"/>
    </row>
    <row r="91" spans="1:21">
      <c r="E91" s="1643" t="s">
        <v>880</v>
      </c>
      <c r="F91" s="2180">
        <f>F89-F90</f>
        <v>0</v>
      </c>
      <c r="G91" s="2180">
        <f>G89-G90</f>
        <v>0</v>
      </c>
      <c r="H91" s="2180"/>
      <c r="I91" s="1617">
        <f>512.79-59.24</f>
        <v>453.54999999999995</v>
      </c>
      <c r="J91" s="1645">
        <f>470.8/I91-1</f>
        <v>3.8033292911476169E-2</v>
      </c>
      <c r="L91" s="1640"/>
      <c r="M91" s="1629"/>
      <c r="R91" s="1640" t="e">
        <f>R89-#REF!</f>
        <v>#REF!</v>
      </c>
    </row>
    <row r="92" spans="1:21">
      <c r="D92" s="2071">
        <v>79094827</v>
      </c>
      <c r="F92" s="2180"/>
      <c r="G92" s="2180"/>
      <c r="H92" s="2180"/>
      <c r="L92" s="1629"/>
    </row>
    <row r="94" spans="1:21">
      <c r="A94" s="1614" t="s">
        <v>1896</v>
      </c>
      <c r="F94" s="2180">
        <f>SUMIF($A$3:$A$88,A94,$F$3:$F$88)</f>
        <v>2339692813.1600008</v>
      </c>
      <c r="G94" s="1646">
        <f>SUMIF($A$3:$A$88,A94,$G$3:$G$88)</f>
        <v>1547211293.6800001</v>
      </c>
      <c r="H94" s="2180">
        <f>SUMIF($A$3:$A$88,A94,$H$3:$H$88)</f>
        <v>1136242205.2958393</v>
      </c>
      <c r="I94" s="2180">
        <f>SUMIF($A$3:$A$88,A94,$I$3:$I$88)</f>
        <v>2683453498.9758401</v>
      </c>
      <c r="J94" s="2180"/>
    </row>
    <row r="95" spans="1:21">
      <c r="A95" s="1614" t="s">
        <v>1922</v>
      </c>
      <c r="F95" s="2180">
        <f>SUMIF($A$3:$A$88,A95,$F$3:$F$88)</f>
        <v>135774173.16</v>
      </c>
      <c r="G95" s="1646">
        <f>SUMIF($A$3:$A$88,A95,$G$3:$G$88)</f>
        <v>86736576.609999999</v>
      </c>
      <c r="H95" s="2180">
        <f>SUMIF($A$3:$A$88,A95,$H$3:$H$88)</f>
        <v>61954697.578571431</v>
      </c>
      <c r="I95" s="2459">
        <f>SUMIF($A$3:$A$88,A95,$I$3:$I$88)</f>
        <v>148691274.18857145</v>
      </c>
      <c r="J95" s="2459">
        <f>I95/I94</f>
        <v>5.5410415811312022E-2</v>
      </c>
    </row>
    <row r="96" spans="1:21">
      <c r="A96" s="1614" t="s">
        <v>1929</v>
      </c>
      <c r="F96" s="2180">
        <f>SUMIF($A$3:$A$88,A96,$F$3:$F$88)</f>
        <v>118787146.31</v>
      </c>
      <c r="G96" s="1646">
        <f>SUMIF($A$3:$A$88,A96,$G$3:$G$88)</f>
        <v>78978637.489999995</v>
      </c>
      <c r="H96" s="2180">
        <f>SUMIF($A$3:$A$88,A96,$H$3:$H$88)</f>
        <v>63391973.79285714</v>
      </c>
      <c r="I96" s="2180">
        <f>SUMIF($A$3:$A$88,A96,$I$3:$I$88)</f>
        <v>142370611.28285715</v>
      </c>
      <c r="J96" s="2180"/>
    </row>
    <row r="97" spans="1:10">
      <c r="A97" s="1614" t="s">
        <v>1910</v>
      </c>
      <c r="F97" s="2180">
        <f>SUMIF($A$3:$A$88,A97,$F$3:$F$88)</f>
        <v>1438780365.6099999</v>
      </c>
      <c r="G97" s="1646">
        <f>SUMIF($A$3:$A$88,A97,$G$3:$G$88)</f>
        <v>854454690</v>
      </c>
      <c r="H97" s="2180">
        <f>SUMIF($A$3:$A$88,A97,$H$3:$H$88)</f>
        <v>639758350</v>
      </c>
      <c r="I97" s="2459">
        <f>SUMIF($A$3:$A$88,A97,$I$3:$I$88)</f>
        <v>1494213040</v>
      </c>
      <c r="J97" s="2459">
        <f>I97/I94</f>
        <v>0.55682464427659262</v>
      </c>
    </row>
    <row r="98" spans="1:10">
      <c r="A98" s="1614" t="s">
        <v>1987</v>
      </c>
      <c r="F98" s="2180">
        <f>SUMIF($A$3:$A$88,A98,$F$3:$F$88)</f>
        <v>-128483950.90000001</v>
      </c>
      <c r="G98" s="1646">
        <f>SUMIF($A$3:$A$88,A98,$G$3:$G$88)</f>
        <v>-42709258.399999991</v>
      </c>
      <c r="H98" s="2180">
        <f>SUMIF($A$3:$A$88,A98,$H$3:$H$88)</f>
        <v>-105047285.13500001</v>
      </c>
      <c r="I98" s="2180">
        <f>SUMIF($A$3:$A$88,A98,$I$3:$I$88)</f>
        <v>-147756543.535</v>
      </c>
      <c r="J98" s="2180"/>
    </row>
    <row r="99" spans="1:10">
      <c r="F99" s="2180">
        <f>SUM(F94:F98)</f>
        <v>3904550547.3400006</v>
      </c>
      <c r="G99" s="2180">
        <f t="shared" ref="G99:I99" si="19">SUM(G94:G98)</f>
        <v>2524671939.3799996</v>
      </c>
      <c r="H99" s="2180">
        <f t="shared" si="19"/>
        <v>1796299941.5322678</v>
      </c>
      <c r="I99" s="2180">
        <f t="shared" si="19"/>
        <v>4320971880.9122686</v>
      </c>
      <c r="J99" s="2180"/>
    </row>
    <row r="102" spans="1:10">
      <c r="C102" s="2061" t="s">
        <v>1991</v>
      </c>
      <c r="F102" s="2180"/>
      <c r="G102" s="2180"/>
      <c r="H102" s="2180"/>
    </row>
    <row r="103" spans="1:10">
      <c r="C103" s="1615" t="s">
        <v>1787</v>
      </c>
      <c r="E103" s="1629"/>
      <c r="F103" s="2180">
        <f>SUMIF($C$3:$C$37,C103,$F$3:$F$37)</f>
        <v>999994690.24000025</v>
      </c>
      <c r="G103" s="2180">
        <f>SUMIF($C$3:$C$37,C103,$G$3:$G$37)</f>
        <v>575690528.42999995</v>
      </c>
      <c r="H103" s="2180">
        <f>SUMIF($C$3:$C$37,C103,$H$3:$H$37)</f>
        <v>404154953.65159994</v>
      </c>
      <c r="I103" s="2180">
        <f>SUMIF($C$3:$C$37,C103,$I$3:$I$37)</f>
        <v>979845482.08159995</v>
      </c>
      <c r="J103" s="2180">
        <f>SUMIF($C$3:$C$37,C103,$J$3:$J$37)</f>
        <v>1000137230.9559751</v>
      </c>
    </row>
    <row r="104" spans="1:10">
      <c r="C104" s="1615" t="s">
        <v>1792</v>
      </c>
      <c r="F104" s="2180">
        <f t="shared" ref="F104:F120" si="20">SUMIF($C$3:$C$37,C104,$F$3:$F$37)</f>
        <v>11147987</v>
      </c>
      <c r="G104" s="2180">
        <f t="shared" ref="G104:G120" si="21">SUMIF($C$3:$C$37,C104,$G$3:$G$37)</f>
        <v>3891421</v>
      </c>
      <c r="H104" s="2180">
        <f t="shared" ref="H104:H120" si="22">SUMIF($C$3:$C$37,C104,$H$3:$H$37)</f>
        <v>7300000</v>
      </c>
      <c r="I104" s="2180">
        <f t="shared" ref="I104:I120" si="23">SUMIF($C$3:$C$37,C104,$I$3:$I$37)</f>
        <v>11191421</v>
      </c>
      <c r="J104" s="2180">
        <f t="shared" ref="J104:J120" si="24">SUMIF($C$3:$C$37,C104,$J$3:$J$37)</f>
        <v>14077984</v>
      </c>
    </row>
    <row r="105" spans="1:10">
      <c r="C105" s="1615" t="s">
        <v>1789</v>
      </c>
      <c r="F105" s="2180">
        <f t="shared" si="20"/>
        <v>370144569.02999997</v>
      </c>
      <c r="G105" s="2180">
        <f t="shared" si="21"/>
        <v>263858221.56</v>
      </c>
      <c r="H105" s="2180">
        <f t="shared" si="22"/>
        <v>185911278.67973599</v>
      </c>
      <c r="I105" s="2180">
        <f t="shared" si="23"/>
        <v>449769500.23973596</v>
      </c>
      <c r="J105" s="2180">
        <f t="shared" si="24"/>
        <v>499940398.4637363</v>
      </c>
    </row>
    <row r="106" spans="1:10">
      <c r="C106" s="1615" t="s">
        <v>1790</v>
      </c>
      <c r="F106" s="2180">
        <f t="shared" si="20"/>
        <v>166133605.29999998</v>
      </c>
      <c r="G106" s="2180">
        <f t="shared" si="21"/>
        <v>104998710.45</v>
      </c>
      <c r="H106" s="2180">
        <f t="shared" si="22"/>
        <v>80830990.730319992</v>
      </c>
      <c r="I106" s="2180">
        <f t="shared" si="23"/>
        <v>185829701.18031999</v>
      </c>
      <c r="J106" s="2180">
        <f t="shared" si="24"/>
        <v>200027446.19119498</v>
      </c>
    </row>
    <row r="107" spans="1:10">
      <c r="C107" s="1615" t="s">
        <v>1801</v>
      </c>
      <c r="F107" s="2180">
        <f t="shared" si="20"/>
        <v>49266503.739999995</v>
      </c>
      <c r="G107" s="2180">
        <f t="shared" si="21"/>
        <v>28716269.890000001</v>
      </c>
      <c r="H107" s="2180">
        <f t="shared" si="22"/>
        <v>28290846.755611997</v>
      </c>
      <c r="I107" s="2180">
        <f t="shared" si="23"/>
        <v>57007116.645612001</v>
      </c>
      <c r="J107" s="2180">
        <f t="shared" si="24"/>
        <v>50006861.547798745</v>
      </c>
    </row>
    <row r="108" spans="1:10">
      <c r="C108" s="1615" t="s">
        <v>1791</v>
      </c>
      <c r="F108" s="2180">
        <f t="shared" si="20"/>
        <v>86988087.670000002</v>
      </c>
      <c r="G108" s="2180">
        <f t="shared" si="21"/>
        <v>78299951.530000001</v>
      </c>
      <c r="H108" s="2180">
        <f t="shared" si="22"/>
        <v>49178699.70714286</v>
      </c>
      <c r="I108" s="2180">
        <f t="shared" si="23"/>
        <v>127478651.23714286</v>
      </c>
      <c r="J108" s="2180">
        <f t="shared" si="24"/>
        <v>159040653.3093304</v>
      </c>
    </row>
    <row r="109" spans="1:10">
      <c r="C109" s="1615" t="s">
        <v>1808</v>
      </c>
      <c r="F109" s="2180">
        <f t="shared" si="20"/>
        <v>0</v>
      </c>
      <c r="G109" s="2180">
        <f t="shared" si="21"/>
        <v>0</v>
      </c>
      <c r="H109" s="2180">
        <f t="shared" si="22"/>
        <v>0</v>
      </c>
      <c r="I109" s="2180">
        <f t="shared" si="23"/>
        <v>0</v>
      </c>
      <c r="J109" s="2180">
        <f t="shared" si="24"/>
        <v>0</v>
      </c>
    </row>
    <row r="110" spans="1:10">
      <c r="C110" s="1615" t="s">
        <v>1796</v>
      </c>
      <c r="F110" s="2180">
        <f t="shared" si="20"/>
        <v>1575694</v>
      </c>
      <c r="G110" s="2180">
        <f t="shared" si="21"/>
        <v>333871</v>
      </c>
      <c r="H110" s="2180">
        <f t="shared" si="22"/>
        <v>1315000</v>
      </c>
      <c r="I110" s="2180">
        <f t="shared" si="23"/>
        <v>1648871</v>
      </c>
      <c r="J110" s="2180">
        <f t="shared" si="24"/>
        <v>1725446.4221105115</v>
      </c>
    </row>
    <row r="111" spans="1:10">
      <c r="C111" s="1615" t="s">
        <v>1798</v>
      </c>
      <c r="F111" s="2180">
        <f t="shared" si="20"/>
        <v>10365068.49</v>
      </c>
      <c r="G111" s="2180">
        <f t="shared" si="21"/>
        <v>9845611.0500000007</v>
      </c>
      <c r="H111" s="2180">
        <f t="shared" si="22"/>
        <v>5876681.4642857146</v>
      </c>
      <c r="I111" s="2180">
        <f t="shared" si="23"/>
        <v>15722292.514285713</v>
      </c>
      <c r="J111" s="2180">
        <f t="shared" si="24"/>
        <v>26119188.708601408</v>
      </c>
    </row>
    <row r="112" spans="1:10">
      <c r="C112" s="1615" t="s">
        <v>1797</v>
      </c>
      <c r="F112" s="2180">
        <f t="shared" si="20"/>
        <v>2430085</v>
      </c>
      <c r="G112" s="2180">
        <f t="shared" si="21"/>
        <v>5256776</v>
      </c>
      <c r="H112" s="2180">
        <f t="shared" si="22"/>
        <v>3754840</v>
      </c>
      <c r="I112" s="2180">
        <f t="shared" si="23"/>
        <v>9011616</v>
      </c>
      <c r="J112" s="2180">
        <f t="shared" si="24"/>
        <v>18418264.353492163</v>
      </c>
    </row>
    <row r="113" spans="3:10">
      <c r="C113" s="1615" t="s">
        <v>1793</v>
      </c>
      <c r="F113" s="2180">
        <f t="shared" si="20"/>
        <v>43455976</v>
      </c>
      <c r="G113" s="2180">
        <f t="shared" si="21"/>
        <v>25477333.670000002</v>
      </c>
      <c r="H113" s="2180">
        <f t="shared" si="22"/>
        <v>17227085</v>
      </c>
      <c r="I113" s="2180">
        <f t="shared" si="23"/>
        <v>42704418.670000002</v>
      </c>
      <c r="J113" s="2180">
        <f t="shared" si="24"/>
        <v>79094827</v>
      </c>
    </row>
    <row r="114" spans="3:10">
      <c r="C114" s="1615" t="s">
        <v>1807</v>
      </c>
      <c r="F114" s="2180">
        <f t="shared" si="20"/>
        <v>428449</v>
      </c>
      <c r="G114" s="2180">
        <f t="shared" si="21"/>
        <v>0</v>
      </c>
      <c r="H114" s="2180">
        <f t="shared" si="22"/>
        <v>1000000</v>
      </c>
      <c r="I114" s="2180">
        <f t="shared" si="23"/>
        <v>1000000</v>
      </c>
      <c r="J114" s="2180">
        <f t="shared" si="24"/>
        <v>2334000.0793560026</v>
      </c>
    </row>
    <row r="115" spans="3:10">
      <c r="C115" s="1615" t="s">
        <v>1802</v>
      </c>
      <c r="F115" s="2180">
        <f t="shared" si="20"/>
        <v>0</v>
      </c>
      <c r="G115" s="2180">
        <f t="shared" si="21"/>
        <v>0</v>
      </c>
      <c r="H115" s="2180">
        <f t="shared" si="22"/>
        <v>0</v>
      </c>
      <c r="I115" s="2180">
        <f t="shared" si="23"/>
        <v>0</v>
      </c>
      <c r="J115" s="2180">
        <f t="shared" si="24"/>
        <v>1071902.3999999997</v>
      </c>
    </row>
    <row r="116" spans="3:10">
      <c r="C116" s="1615" t="s">
        <v>1804</v>
      </c>
      <c r="F116" s="2180">
        <f t="shared" si="20"/>
        <v>0</v>
      </c>
      <c r="G116" s="2180">
        <f t="shared" si="21"/>
        <v>0</v>
      </c>
      <c r="H116" s="2180">
        <f t="shared" si="22"/>
        <v>0</v>
      </c>
      <c r="I116" s="2180">
        <f t="shared" si="23"/>
        <v>0</v>
      </c>
      <c r="J116" s="2180">
        <f t="shared" si="24"/>
        <v>0</v>
      </c>
    </row>
    <row r="117" spans="3:10">
      <c r="C117" s="1615" t="s">
        <v>1805</v>
      </c>
      <c r="F117" s="2180">
        <f t="shared" si="20"/>
        <v>0</v>
      </c>
      <c r="G117" s="2180">
        <f t="shared" si="21"/>
        <v>0</v>
      </c>
      <c r="H117" s="2180">
        <f t="shared" si="22"/>
        <v>0</v>
      </c>
      <c r="I117" s="2180">
        <f t="shared" si="23"/>
        <v>0</v>
      </c>
      <c r="J117" s="2180">
        <f t="shared" si="24"/>
        <v>0</v>
      </c>
    </row>
    <row r="118" spans="3:10">
      <c r="C118" s="1615" t="s">
        <v>1811</v>
      </c>
      <c r="F118" s="2180">
        <f t="shared" si="20"/>
        <v>1502844148.8</v>
      </c>
      <c r="G118" s="2180">
        <f t="shared" si="21"/>
        <v>890924879</v>
      </c>
      <c r="H118" s="2180">
        <f t="shared" si="22"/>
        <v>665531905.71428573</v>
      </c>
      <c r="I118" s="2180">
        <f t="shared" si="23"/>
        <v>1556456784.7142859</v>
      </c>
      <c r="J118" s="2180">
        <f t="shared" si="24"/>
        <v>1630269118.2886324</v>
      </c>
    </row>
    <row r="119" spans="3:10">
      <c r="C119" s="1615" t="s">
        <v>1810</v>
      </c>
      <c r="F119" s="2459">
        <f>SUMIF($C$3:$C$37,C119,$F$3:$F$37)+F148+F151</f>
        <v>50367028.21448648</v>
      </c>
      <c r="G119" s="2180">
        <f t="shared" si="21"/>
        <v>3804602.44</v>
      </c>
      <c r="H119" s="2180">
        <f t="shared" si="22"/>
        <v>2717573.1714285715</v>
      </c>
      <c r="I119" s="2459">
        <f>SUMIF($C$3:$C$37,C119,$I$3:$I$37)+I148+I151</f>
        <v>48442640.4263421</v>
      </c>
      <c r="J119" s="2459">
        <f>SUMIF($C$3:$C$37,C119,$J$3:$J$37)+J148+J151</f>
        <v>53385198.895700812</v>
      </c>
    </row>
    <row r="120" spans="3:10">
      <c r="C120" s="1615" t="s">
        <v>1988</v>
      </c>
      <c r="F120" s="2180">
        <f t="shared" si="20"/>
        <v>0</v>
      </c>
      <c r="G120" s="2180">
        <f t="shared" si="21"/>
        <v>0</v>
      </c>
      <c r="H120" s="2180">
        <f t="shared" si="22"/>
        <v>0</v>
      </c>
      <c r="I120" s="2180">
        <f t="shared" si="23"/>
        <v>0</v>
      </c>
      <c r="J120" s="2180">
        <f t="shared" si="24"/>
        <v>0</v>
      </c>
    </row>
    <row r="121" spans="3:10" ht="15.75" thickBot="1">
      <c r="F121" s="1647">
        <f>SUM(F103:F120)</f>
        <v>3295141892.4844871</v>
      </c>
      <c r="G121" s="1647">
        <f t="shared" ref="G121:J121" si="25">SUM(G103:G120)</f>
        <v>1991098176.02</v>
      </c>
      <c r="H121" s="1647">
        <f t="shared" si="25"/>
        <v>1453089854.8744109</v>
      </c>
      <c r="I121" s="1647">
        <f t="shared" si="25"/>
        <v>3486108495.7093244</v>
      </c>
      <c r="J121" s="1647">
        <f t="shared" si="25"/>
        <v>3735648520.6159291</v>
      </c>
    </row>
    <row r="122" spans="3:10" ht="15.75" thickTop="1">
      <c r="F122" s="2180"/>
      <c r="G122" s="2180"/>
      <c r="H122" s="2180"/>
    </row>
    <row r="124" spans="3:10">
      <c r="C124" s="2061" t="s">
        <v>1992</v>
      </c>
      <c r="F124" s="2180"/>
      <c r="G124" s="2180"/>
      <c r="H124" s="2180"/>
    </row>
    <row r="125" spans="3:10">
      <c r="C125" s="1615" t="s">
        <v>1787</v>
      </c>
      <c r="F125" s="2180">
        <f>SUMIF($C$38:$C$81,C125,$F$38:$F$81)</f>
        <v>225399405.53</v>
      </c>
      <c r="G125" s="2180">
        <f>SUMIF($C$38:$C$81,C125,$G$38:$G$81)</f>
        <v>172718645.47</v>
      </c>
      <c r="H125" s="2180">
        <f>SUMIF($C$38:$C$81,C125,$H$38:$H$81)</f>
        <v>143370461.05000001</v>
      </c>
      <c r="I125" s="2180">
        <f>SUMIF($C$38:$C$81,C125,$I$38:$I$81)</f>
        <v>316089106.51999998</v>
      </c>
      <c r="J125" s="2180">
        <f>SUMIF($C$38:$C$81,C125,$J$38:$J$81)</f>
        <v>349531631.16800016</v>
      </c>
    </row>
    <row r="126" spans="3:10">
      <c r="C126" s="1615" t="s">
        <v>1792</v>
      </c>
      <c r="F126" s="2180">
        <f t="shared" ref="F126:F142" si="26">SUMIF($C$38:$C$81,C126,$F$38:$F$81)</f>
        <v>0</v>
      </c>
      <c r="G126" s="2180">
        <f t="shared" ref="G126:G142" si="27">SUMIF($C$38:$C$81,C126,$G$38:$G$81)</f>
        <v>0</v>
      </c>
      <c r="H126" s="2180">
        <f t="shared" ref="H126:H142" si="28">SUMIF($C$38:$C$81,C126,$H$38:$H$81)</f>
        <v>0</v>
      </c>
      <c r="I126" s="2180">
        <f t="shared" ref="I126:I142" si="29">SUMIF($C$38:$C$81,C126,$I$38:$I$81)</f>
        <v>0</v>
      </c>
      <c r="J126" s="2180">
        <f t="shared" ref="J126:J142" si="30">SUMIF($C$38:$C$81,C126,$J$38:$J$81)</f>
        <v>0</v>
      </c>
    </row>
    <row r="127" spans="3:10">
      <c r="C127" s="1615" t="s">
        <v>1789</v>
      </c>
      <c r="F127" s="2180">
        <f t="shared" si="26"/>
        <v>0</v>
      </c>
      <c r="G127" s="2180">
        <f t="shared" si="27"/>
        <v>0</v>
      </c>
      <c r="H127" s="2180">
        <f t="shared" si="28"/>
        <v>0</v>
      </c>
      <c r="I127" s="2180">
        <f t="shared" si="29"/>
        <v>0</v>
      </c>
      <c r="J127" s="2180">
        <f t="shared" si="30"/>
        <v>0</v>
      </c>
    </row>
    <row r="128" spans="3:10">
      <c r="C128" s="1615" t="s">
        <v>1790</v>
      </c>
      <c r="F128" s="2180">
        <f t="shared" si="26"/>
        <v>15130262.390000001</v>
      </c>
      <c r="G128" s="2180">
        <f t="shared" si="27"/>
        <v>11307025.25</v>
      </c>
      <c r="H128" s="2180">
        <f t="shared" si="28"/>
        <v>8076446.6071428563</v>
      </c>
      <c r="I128" s="2180">
        <f t="shared" si="29"/>
        <v>19383471.857142858</v>
      </c>
      <c r="J128" s="2180">
        <f t="shared" si="30"/>
        <v>24832284.566655766</v>
      </c>
    </row>
    <row r="129" spans="3:10">
      <c r="C129" s="1615" t="s">
        <v>1801</v>
      </c>
      <c r="F129" s="2180">
        <f t="shared" si="26"/>
        <v>957835.63</v>
      </c>
      <c r="G129" s="2180">
        <f t="shared" si="27"/>
        <v>244159</v>
      </c>
      <c r="H129" s="2180">
        <f t="shared" si="28"/>
        <v>174399.28571428574</v>
      </c>
      <c r="I129" s="2180">
        <f t="shared" si="29"/>
        <v>418558.28571428574</v>
      </c>
      <c r="J129" s="2180">
        <f t="shared" si="30"/>
        <v>637000</v>
      </c>
    </row>
    <row r="130" spans="3:10">
      <c r="C130" s="1615" t="s">
        <v>1791</v>
      </c>
      <c r="F130" s="2180">
        <f t="shared" si="26"/>
        <v>224574992.62999997</v>
      </c>
      <c r="G130" s="2180">
        <f t="shared" si="27"/>
        <v>151272335.36000001</v>
      </c>
      <c r="H130" s="2180">
        <f t="shared" si="28"/>
        <v>108051668.11428572</v>
      </c>
      <c r="I130" s="2180">
        <f t="shared" si="29"/>
        <v>259324003.47428575</v>
      </c>
      <c r="J130" s="2180">
        <f t="shared" si="30"/>
        <v>355328301.59300208</v>
      </c>
    </row>
    <row r="131" spans="3:10">
      <c r="C131" s="1615" t="s">
        <v>1808</v>
      </c>
      <c r="F131" s="2180">
        <f t="shared" si="26"/>
        <v>0</v>
      </c>
      <c r="G131" s="2180">
        <f t="shared" si="27"/>
        <v>0</v>
      </c>
      <c r="H131" s="2180">
        <f t="shared" si="28"/>
        <v>0</v>
      </c>
      <c r="I131" s="2180">
        <f t="shared" si="29"/>
        <v>0</v>
      </c>
      <c r="J131" s="2180">
        <f t="shared" si="30"/>
        <v>0</v>
      </c>
    </row>
    <row r="132" spans="3:10">
      <c r="C132" s="1615" t="s">
        <v>1796</v>
      </c>
      <c r="F132" s="2180">
        <f t="shared" si="26"/>
        <v>0</v>
      </c>
      <c r="G132" s="2180">
        <f t="shared" si="27"/>
        <v>0</v>
      </c>
      <c r="H132" s="2180">
        <f t="shared" si="28"/>
        <v>0</v>
      </c>
      <c r="I132" s="2180">
        <f t="shared" si="29"/>
        <v>0</v>
      </c>
      <c r="J132" s="2180">
        <f t="shared" si="30"/>
        <v>0</v>
      </c>
    </row>
    <row r="133" spans="3:10">
      <c r="C133" s="1615" t="s">
        <v>1798</v>
      </c>
      <c r="F133" s="2180">
        <f t="shared" si="26"/>
        <v>1894067.67</v>
      </c>
      <c r="G133" s="2180">
        <f t="shared" si="27"/>
        <v>1440106.56</v>
      </c>
      <c r="H133" s="2180">
        <f t="shared" si="28"/>
        <v>1028647.5428571429</v>
      </c>
      <c r="I133" s="2180">
        <f t="shared" si="29"/>
        <v>2468754.1028571427</v>
      </c>
      <c r="J133" s="2180">
        <f t="shared" si="30"/>
        <v>3217808.3797681713</v>
      </c>
    </row>
    <row r="134" spans="3:10">
      <c r="C134" s="1615" t="s">
        <v>1797</v>
      </c>
      <c r="F134" s="2180">
        <f t="shared" si="26"/>
        <v>0</v>
      </c>
      <c r="G134" s="2180">
        <f t="shared" si="27"/>
        <v>0</v>
      </c>
      <c r="H134" s="2180">
        <f t="shared" si="28"/>
        <v>0</v>
      </c>
      <c r="I134" s="2180">
        <f t="shared" si="29"/>
        <v>0</v>
      </c>
      <c r="J134" s="2180">
        <f t="shared" si="30"/>
        <v>0</v>
      </c>
    </row>
    <row r="135" spans="3:10">
      <c r="C135" s="1615" t="s">
        <v>1793</v>
      </c>
      <c r="F135" s="2180">
        <f t="shared" si="26"/>
        <v>136275658</v>
      </c>
      <c r="G135" s="2180">
        <f t="shared" si="27"/>
        <v>110584806.67</v>
      </c>
      <c r="H135" s="2180">
        <f t="shared" si="28"/>
        <v>75912660</v>
      </c>
      <c r="I135" s="2180">
        <f t="shared" si="29"/>
        <v>186497466.67000002</v>
      </c>
      <c r="J135" s="2180">
        <f t="shared" si="30"/>
        <v>205147213.33700004</v>
      </c>
    </row>
    <row r="136" spans="3:10">
      <c r="C136" s="1615" t="s">
        <v>1807</v>
      </c>
      <c r="F136" s="2180">
        <f t="shared" si="26"/>
        <v>2083618</v>
      </c>
      <c r="G136" s="2180">
        <f t="shared" si="27"/>
        <v>1215445</v>
      </c>
      <c r="H136" s="2180">
        <f t="shared" si="28"/>
        <v>868175</v>
      </c>
      <c r="I136" s="2180">
        <f t="shared" si="29"/>
        <v>2083620</v>
      </c>
      <c r="J136" s="2180">
        <f t="shared" si="30"/>
        <v>2396165.3000022075</v>
      </c>
    </row>
    <row r="137" spans="3:10">
      <c r="C137" s="1615" t="s">
        <v>1802</v>
      </c>
      <c r="F137" s="2180">
        <f t="shared" si="26"/>
        <v>517440</v>
      </c>
      <c r="G137" s="2180">
        <f t="shared" si="27"/>
        <v>446625.99999999994</v>
      </c>
      <c r="H137" s="2180">
        <f t="shared" si="28"/>
        <v>319018.57142857136</v>
      </c>
      <c r="I137" s="2180">
        <f t="shared" si="29"/>
        <v>765644.57142857136</v>
      </c>
      <c r="J137" s="2180">
        <f t="shared" si="30"/>
        <v>1071902.3999999997</v>
      </c>
    </row>
    <row r="138" spans="3:10">
      <c r="C138" s="1615" t="s">
        <v>1804</v>
      </c>
      <c r="F138" s="2180">
        <f t="shared" si="26"/>
        <v>13770069.810000001</v>
      </c>
      <c r="G138" s="2180">
        <f t="shared" si="27"/>
        <v>8012790</v>
      </c>
      <c r="H138" s="2180">
        <f t="shared" si="28"/>
        <v>6000000</v>
      </c>
      <c r="I138" s="2180">
        <f t="shared" si="29"/>
        <v>14012790</v>
      </c>
      <c r="J138" s="2180">
        <f t="shared" si="30"/>
        <v>30400000</v>
      </c>
    </row>
    <row r="139" spans="3:10">
      <c r="C139" s="1615" t="s">
        <v>1805</v>
      </c>
      <c r="F139" s="2180">
        <f t="shared" si="26"/>
        <v>15000</v>
      </c>
      <c r="G139" s="2180">
        <f t="shared" si="27"/>
        <v>0</v>
      </c>
      <c r="H139" s="2180">
        <f t="shared" si="28"/>
        <v>0</v>
      </c>
      <c r="I139" s="2180">
        <f t="shared" si="29"/>
        <v>0</v>
      </c>
      <c r="J139" s="2180">
        <f t="shared" si="30"/>
        <v>0</v>
      </c>
    </row>
    <row r="140" spans="3:10">
      <c r="C140" s="1615" t="s">
        <v>1811</v>
      </c>
      <c r="F140" s="2180">
        <f t="shared" si="26"/>
        <v>48566239</v>
      </c>
      <c r="G140" s="2180">
        <f t="shared" si="27"/>
        <v>36033036</v>
      </c>
      <c r="H140" s="2180">
        <f t="shared" si="28"/>
        <v>25737883.571428571</v>
      </c>
      <c r="I140" s="2180">
        <f t="shared" si="29"/>
        <v>61770919.571428575</v>
      </c>
      <c r="J140" s="2180">
        <f t="shared" si="30"/>
        <v>78055823.101526052</v>
      </c>
    </row>
    <row r="141" spans="3:10">
      <c r="C141" s="1615" t="s">
        <v>1810</v>
      </c>
      <c r="F141" s="2459">
        <f>SUMIF($C$38:$C$81,C141,$F$38:$F$81)+F147+F150</f>
        <v>68708017.095513523</v>
      </c>
      <c r="G141" s="2180">
        <f t="shared" si="27"/>
        <v>19323637.550000001</v>
      </c>
      <c r="H141" s="2180">
        <f t="shared" si="28"/>
        <v>26575826.407142863</v>
      </c>
      <c r="I141" s="2459">
        <f>SUMIF($C$38:$C$81,C141,$I$38:$I$81)+I147+I150</f>
        <v>119805593.68508647</v>
      </c>
      <c r="J141" s="2459">
        <f>SUMIF($C$38:$C$81,C141,$J$38:$J$81)+J147+J150</f>
        <v>127527440.69925728</v>
      </c>
    </row>
    <row r="142" spans="3:10">
      <c r="C142" s="1615" t="s">
        <v>1988</v>
      </c>
      <c r="F142" s="2180">
        <f t="shared" si="26"/>
        <v>0</v>
      </c>
      <c r="G142" s="2180">
        <f t="shared" si="27"/>
        <v>0</v>
      </c>
      <c r="H142" s="2180">
        <f t="shared" si="28"/>
        <v>0</v>
      </c>
      <c r="I142" s="2180">
        <f t="shared" si="29"/>
        <v>0</v>
      </c>
      <c r="J142" s="2180">
        <f t="shared" si="30"/>
        <v>0</v>
      </c>
    </row>
    <row r="143" spans="3:10" ht="15.75" thickBot="1">
      <c r="F143" s="1647">
        <f>SUM(F125:F142)</f>
        <v>737892605.75551343</v>
      </c>
      <c r="G143" s="1647">
        <f t="shared" ref="G143:J143" si="31">SUM(G125:G142)</f>
        <v>512598612.86000007</v>
      </c>
      <c r="H143" s="1647">
        <f t="shared" si="31"/>
        <v>396115186.1500001</v>
      </c>
      <c r="I143" s="1647">
        <f t="shared" si="31"/>
        <v>982619928.73794365</v>
      </c>
      <c r="J143" s="1647">
        <f t="shared" si="31"/>
        <v>1178145570.5452116</v>
      </c>
    </row>
    <row r="144" spans="3:10" ht="15.75" thickTop="1">
      <c r="F144" s="2180"/>
      <c r="G144" s="2180"/>
      <c r="H144" s="2180"/>
    </row>
    <row r="147" spans="3:10">
      <c r="C147" s="1614" t="s">
        <v>1810</v>
      </c>
      <c r="E147" s="2460" t="s">
        <v>1993</v>
      </c>
      <c r="F147" s="2180">
        <v>53931881.051744007</v>
      </c>
      <c r="G147" s="2180"/>
      <c r="H147" s="2180"/>
      <c r="I147" s="2064">
        <f>I87/SUM(F147:F148)*F147</f>
        <v>69194147.139639243</v>
      </c>
      <c r="J147" s="2064">
        <f>J87/SUM(I147:I148)*I147</f>
        <v>74027204.807904959</v>
      </c>
    </row>
    <row r="148" spans="3:10">
      <c r="C148" s="1614" t="s">
        <v>1810</v>
      </c>
      <c r="E148" s="2460" t="s">
        <v>1994</v>
      </c>
      <c r="F148" s="2180">
        <v>26435745.518255994</v>
      </c>
      <c r="G148" s="2180"/>
      <c r="H148" s="2180"/>
      <c r="I148" s="2064">
        <f>I87/SUM(F147:F148)*F148</f>
        <v>33916837.860360757</v>
      </c>
      <c r="J148" s="2064">
        <f>J87/SUM(I147:I148)*I148</f>
        <v>36285853.739312686</v>
      </c>
    </row>
    <row r="149" spans="3:10">
      <c r="C149" s="2062" t="s">
        <v>1810</v>
      </c>
      <c r="D149" s="2062"/>
      <c r="E149" s="2061" t="s">
        <v>1982</v>
      </c>
      <c r="F149" s="2063">
        <f>SUM(F83:F86)</f>
        <v>31800068.850000001</v>
      </c>
      <c r="G149" s="2180"/>
      <c r="H149" s="2180"/>
      <c r="I149" s="2063">
        <f t="shared" ref="I149:J149" si="32">SUM(I83:I86)</f>
        <v>12715609.542857142</v>
      </c>
      <c r="J149" s="2063">
        <f t="shared" si="32"/>
        <v>11336472.21619791</v>
      </c>
    </row>
    <row r="150" spans="3:10">
      <c r="C150" s="1614" t="s">
        <v>1810</v>
      </c>
      <c r="E150" s="2460" t="s">
        <v>1995</v>
      </c>
      <c r="F150" s="2180">
        <f>F149/F155*F153</f>
        <v>10772524.153769512</v>
      </c>
      <c r="G150" s="2180"/>
      <c r="H150" s="2180"/>
      <c r="I150" s="2180">
        <f t="shared" ref="I150:J150" si="33">I149/I155*I153</f>
        <v>4711982.5883043706</v>
      </c>
      <c r="J150" s="2180">
        <f t="shared" si="33"/>
        <v>4546264.686637463</v>
      </c>
    </row>
    <row r="151" spans="3:10">
      <c r="C151" s="1614" t="s">
        <v>1810</v>
      </c>
      <c r="E151" s="2460" t="s">
        <v>1991</v>
      </c>
      <c r="F151" s="2180">
        <f>F149/F155*F154</f>
        <v>21027544.69623049</v>
      </c>
      <c r="G151" s="2180"/>
      <c r="H151" s="2180"/>
      <c r="I151" s="2180">
        <f t="shared" ref="I151:J151" si="34">I149/I155*I154</f>
        <v>8003626.9545527725</v>
      </c>
      <c r="J151" s="2180">
        <f t="shared" si="34"/>
        <v>6790207.5295604477</v>
      </c>
    </row>
    <row r="152" spans="3:10">
      <c r="C152" s="1614"/>
      <c r="E152" s="2460"/>
      <c r="F152" s="2180"/>
      <c r="G152" s="2180"/>
      <c r="H152" s="2180"/>
    </row>
    <row r="153" spans="3:10">
      <c r="C153" s="1614"/>
      <c r="E153" s="2460" t="s">
        <v>1995</v>
      </c>
      <c r="F153" s="2180">
        <v>1020</v>
      </c>
      <c r="G153" s="2180"/>
      <c r="H153" s="2180"/>
      <c r="I153" s="2064">
        <v>1118</v>
      </c>
      <c r="J153" s="2064">
        <v>1246</v>
      </c>
    </row>
    <row r="154" spans="3:10">
      <c r="C154" s="1614"/>
      <c r="E154" s="2460" t="s">
        <v>1991</v>
      </c>
      <c r="F154" s="2180">
        <v>1991</v>
      </c>
      <c r="G154" s="2180"/>
      <c r="H154" s="2180"/>
      <c r="I154" s="2064">
        <v>1899</v>
      </c>
      <c r="J154" s="2064">
        <v>1861</v>
      </c>
    </row>
    <row r="155" spans="3:10">
      <c r="E155" s="2460"/>
      <c r="F155" s="2065">
        <f>SUM(F153:F154)</f>
        <v>3011</v>
      </c>
      <c r="G155" s="2180"/>
      <c r="H155" s="2180"/>
      <c r="I155" s="2065">
        <f>SUM(I153:I154)</f>
        <v>3017</v>
      </c>
      <c r="J155" s="2065">
        <f>SUM(J153:J154)</f>
        <v>3107</v>
      </c>
    </row>
    <row r="156" spans="3:10">
      <c r="F156" s="2180"/>
      <c r="G156" s="2180"/>
      <c r="H156" s="2180"/>
      <c r="I156" s="2180"/>
      <c r="J156" s="2180"/>
    </row>
    <row r="157" spans="3:10">
      <c r="C157" s="2181" t="s">
        <v>887</v>
      </c>
      <c r="D157" s="2182" t="s">
        <v>175</v>
      </c>
      <c r="E157" s="2182" t="s">
        <v>173</v>
      </c>
      <c r="F157" s="2182" t="s">
        <v>171</v>
      </c>
      <c r="G157" s="2180"/>
      <c r="H157" s="2180"/>
    </row>
    <row r="158" spans="3:10">
      <c r="C158" s="2183" t="s">
        <v>1996</v>
      </c>
      <c r="D158" s="2184">
        <f>F26+F29+F47+F54+F72+F73</f>
        <v>135774173.16</v>
      </c>
      <c r="E158" s="2185">
        <f>I26+I29+I47+I54+I72+I73</f>
        <v>148691274.18857145</v>
      </c>
      <c r="F158" s="2185">
        <f>J26+J29+J47+J54+J72+J73</f>
        <v>165590266.13217634</v>
      </c>
      <c r="G158" s="2180"/>
      <c r="H158" s="2180"/>
    </row>
    <row r="159" spans="3:10">
      <c r="C159" s="2183" t="s">
        <v>1868</v>
      </c>
      <c r="D159" s="2185">
        <f>F31+F80</f>
        <v>1196733525.2</v>
      </c>
      <c r="E159" s="2185">
        <f>I31+I80</f>
        <v>1259484375</v>
      </c>
      <c r="F159" s="2185">
        <f>J31+J80</f>
        <v>1325525572.2898173</v>
      </c>
      <c r="G159" s="2180"/>
      <c r="H159" s="2180"/>
    </row>
    <row r="160" spans="3:10">
      <c r="C160" s="2183" t="s">
        <v>1869</v>
      </c>
      <c r="D160" s="2185">
        <f>F30+F45</f>
        <v>81977530</v>
      </c>
      <c r="E160" s="2185">
        <f>I30+I45</f>
        <v>83898288.000000015</v>
      </c>
      <c r="F160" s="2185">
        <f>J30+J45</f>
        <v>87834823.399562106</v>
      </c>
      <c r="G160" s="2180"/>
      <c r="H160" s="2180"/>
    </row>
    <row r="161" spans="3:6">
      <c r="C161" s="2183" t="s">
        <v>1870</v>
      </c>
      <c r="D161" s="2185">
        <f>F36</f>
        <v>21004815</v>
      </c>
      <c r="E161" s="2185">
        <f>I36</f>
        <v>7912116</v>
      </c>
      <c r="F161" s="2185">
        <f>J36</f>
        <v>7912116</v>
      </c>
    </row>
    <row r="162" spans="3:6">
      <c r="C162" s="2183" t="s">
        <v>1997</v>
      </c>
      <c r="D162" s="2185">
        <f>F16+F37+F53+F69</f>
        <v>135914172.41</v>
      </c>
      <c r="E162" s="2185">
        <f>I16+I37+I53+I69</f>
        <v>136301502</v>
      </c>
      <c r="F162" s="2185">
        <f>J16+J37+J53+J69</f>
        <v>157508873.04987973</v>
      </c>
    </row>
    <row r="163" spans="3:6">
      <c r="C163" s="2181" t="s">
        <v>239</v>
      </c>
      <c r="D163" s="2186">
        <f>SUM(D158:D162)</f>
        <v>1571404215.7700002</v>
      </c>
      <c r="E163" s="2186">
        <f>SUM(E158:E162)</f>
        <v>1636287555.1885715</v>
      </c>
      <c r="F163" s="2186">
        <f>SUM(F158:F162)</f>
        <v>1744371650.8714356</v>
      </c>
    </row>
  </sheetData>
  <autoFilter ref="A2:L91" xr:uid="{00000000-0009-0000-0000-00002E000000}"/>
  <conditionalFormatting sqref="A83 C83:C84">
    <cfRule type="expression" dxfId="38" priority="23" stopIfTrue="1">
      <formula>#REF!-#REF!=0</formula>
    </cfRule>
  </conditionalFormatting>
  <conditionalFormatting sqref="D54:D61">
    <cfRule type="duplicateValues" dxfId="37" priority="19"/>
    <cfRule type="duplicateValues" dxfId="36" priority="20"/>
  </conditionalFormatting>
  <conditionalFormatting sqref="D54:D61">
    <cfRule type="duplicateValues" dxfId="35" priority="21"/>
    <cfRule type="duplicateValues" dxfId="34" priority="22"/>
  </conditionalFormatting>
  <conditionalFormatting sqref="D77 D81">
    <cfRule type="duplicateValues" dxfId="33" priority="24"/>
    <cfRule type="duplicateValues" dxfId="32" priority="25"/>
  </conditionalFormatting>
  <conditionalFormatting sqref="D77 D81">
    <cfRule type="duplicateValues" dxfId="31" priority="26"/>
    <cfRule type="duplicateValues" dxfId="30" priority="27"/>
  </conditionalFormatting>
  <conditionalFormatting sqref="D78:D80">
    <cfRule type="duplicateValues" dxfId="29" priority="15"/>
    <cfRule type="duplicateValues" dxfId="28" priority="16"/>
  </conditionalFormatting>
  <conditionalFormatting sqref="D78:D80">
    <cfRule type="duplicateValues" dxfId="27" priority="17"/>
    <cfRule type="duplicateValues" dxfId="26" priority="18"/>
  </conditionalFormatting>
  <conditionalFormatting sqref="D19">
    <cfRule type="duplicateValues" dxfId="25" priority="11"/>
    <cfRule type="duplicateValues" dxfId="24" priority="12"/>
  </conditionalFormatting>
  <conditionalFormatting sqref="D19">
    <cfRule type="duplicateValues" dxfId="23" priority="13"/>
    <cfRule type="duplicateValues" dxfId="22" priority="14"/>
  </conditionalFormatting>
  <conditionalFormatting sqref="D68:D72">
    <cfRule type="duplicateValues" dxfId="21" priority="7"/>
    <cfRule type="duplicateValues" dxfId="20" priority="8"/>
  </conditionalFormatting>
  <conditionalFormatting sqref="D68:D72">
    <cfRule type="duplicateValues" dxfId="19" priority="9"/>
    <cfRule type="duplicateValues" dxfId="18" priority="10"/>
  </conditionalFormatting>
  <conditionalFormatting sqref="D9">
    <cfRule type="duplicateValues" dxfId="17" priority="3"/>
    <cfRule type="duplicateValues" dxfId="16" priority="4"/>
  </conditionalFormatting>
  <conditionalFormatting sqref="D9">
    <cfRule type="duplicateValues" dxfId="15" priority="5"/>
    <cfRule type="duplicateValues" dxfId="14" priority="6"/>
  </conditionalFormatting>
  <conditionalFormatting sqref="D62:D67 D73:D76">
    <cfRule type="duplicateValues" dxfId="13" priority="28"/>
    <cfRule type="duplicateValues" dxfId="12" priority="29"/>
  </conditionalFormatting>
  <conditionalFormatting sqref="D62:D67 D73:D76">
    <cfRule type="duplicateValues" dxfId="11" priority="30"/>
    <cfRule type="duplicateValues" dxfId="10" priority="31"/>
  </conditionalFormatting>
  <conditionalFormatting sqref="D15:D18 D3:D8 D82:D88 D26 D28:D29 D20:D24 D53 D10:D13 D31:D46 D48:D51">
    <cfRule type="duplicateValues" dxfId="9" priority="32"/>
    <cfRule type="duplicateValues" dxfId="8" priority="33"/>
  </conditionalFormatting>
  <conditionalFormatting sqref="D15:D18 D3:D8 D82:D88 D26 D28:D29 D20:D24 D53 D10:D13 D31:D46 D48:D51">
    <cfRule type="duplicateValues" dxfId="7" priority="34"/>
    <cfRule type="duplicateValues" dxfId="6" priority="35"/>
  </conditionalFormatting>
  <conditionalFormatting sqref="D52 D30">
    <cfRule type="duplicateValues" dxfId="5" priority="36"/>
    <cfRule type="duplicateValues" dxfId="4" priority="37"/>
  </conditionalFormatting>
  <conditionalFormatting sqref="D52 D30">
    <cfRule type="duplicateValues" dxfId="3" priority="38"/>
    <cfRule type="duplicateValues" dxfId="2" priority="39"/>
  </conditionalFormatting>
  <conditionalFormatting sqref="A52:A53 A31:A46 A17:A24 A15 A48:A50 A3:A13 A84:A88">
    <cfRule type="expression" dxfId="1" priority="1" stopIfTrue="1">
      <formula>#REF!-#REF!=0</formula>
    </cfRule>
  </conditionalFormatting>
  <conditionalFormatting sqref="D3:D88">
    <cfRule type="duplicateValues" dxfId="0" priority="145"/>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8000"/>
  </sheetPr>
  <dimension ref="A1:P47"/>
  <sheetViews>
    <sheetView view="pageBreakPreview" topLeftCell="A7" zoomScaleNormal="100" zoomScaleSheetLayoutView="100" workbookViewId="0">
      <selection activeCell="I15" sqref="I15"/>
    </sheetView>
  </sheetViews>
  <sheetFormatPr defaultRowHeight="15.75"/>
  <cols>
    <col min="1" max="1" width="6.42578125" style="1228" customWidth="1"/>
    <col min="2" max="2" width="36.28515625" style="1228" bestFit="1" customWidth="1"/>
    <col min="3" max="3" width="18.28515625" style="1228" bestFit="1" customWidth="1"/>
    <col min="4" max="4" width="16.42578125" style="1228" customWidth="1"/>
    <col min="5" max="5" width="18.28515625" style="1228" bestFit="1" customWidth="1"/>
    <col min="6" max="6" width="14.28515625" style="1228" customWidth="1"/>
    <col min="7" max="7" width="27.5703125" style="1228" customWidth="1"/>
    <col min="8" max="8" width="10.28515625" style="1228" bestFit="1" customWidth="1"/>
    <col min="9" max="9" width="18.28515625" style="1228" bestFit="1" customWidth="1"/>
    <col min="10" max="10" width="11.5703125" style="1228" bestFit="1" customWidth="1"/>
    <col min="11" max="11" width="11.5703125" style="1228" customWidth="1"/>
    <col min="12" max="13" width="9.140625" style="1228"/>
    <col min="14" max="15" width="11.28515625" style="1228" bestFit="1" customWidth="1"/>
    <col min="16" max="16" width="11.5703125" style="1228" bestFit="1" customWidth="1"/>
    <col min="17" max="257" width="9.140625" style="1228"/>
    <col min="258" max="258" width="6.42578125" style="1228" customWidth="1"/>
    <col min="259" max="259" width="36.28515625" style="1228" bestFit="1" customWidth="1"/>
    <col min="260" max="260" width="18.28515625" style="1228" bestFit="1" customWidth="1"/>
    <col min="261" max="261" width="16.42578125" style="1228" customWidth="1"/>
    <col min="262" max="262" width="18.28515625" style="1228" bestFit="1" customWidth="1"/>
    <col min="263" max="263" width="13.42578125" style="1228" customWidth="1"/>
    <col min="264" max="264" width="18.28515625" style="1228" bestFit="1" customWidth="1"/>
    <col min="265" max="265" width="10.28515625" style="1228" bestFit="1" customWidth="1"/>
    <col min="266" max="266" width="18.28515625" style="1228" bestFit="1" customWidth="1"/>
    <col min="267" max="267" width="10.28515625" style="1228" bestFit="1" customWidth="1"/>
    <col min="268" max="513" width="9.140625" style="1228"/>
    <col min="514" max="514" width="6.42578125" style="1228" customWidth="1"/>
    <col min="515" max="515" width="36.28515625" style="1228" bestFit="1" customWidth="1"/>
    <col min="516" max="516" width="18.28515625" style="1228" bestFit="1" customWidth="1"/>
    <col min="517" max="517" width="16.42578125" style="1228" customWidth="1"/>
    <col min="518" max="518" width="18.28515625" style="1228" bestFit="1" customWidth="1"/>
    <col min="519" max="519" width="13.42578125" style="1228" customWidth="1"/>
    <col min="520" max="520" width="18.28515625" style="1228" bestFit="1" customWidth="1"/>
    <col min="521" max="521" width="10.28515625" style="1228" bestFit="1" customWidth="1"/>
    <col min="522" max="522" width="18.28515625" style="1228" bestFit="1" customWidth="1"/>
    <col min="523" max="523" width="10.28515625" style="1228" bestFit="1" customWidth="1"/>
    <col min="524" max="769" width="9.140625" style="1228"/>
    <col min="770" max="770" width="6.42578125" style="1228" customWidth="1"/>
    <col min="771" max="771" width="36.28515625" style="1228" bestFit="1" customWidth="1"/>
    <col min="772" max="772" width="18.28515625" style="1228" bestFit="1" customWidth="1"/>
    <col min="773" max="773" width="16.42578125" style="1228" customWidth="1"/>
    <col min="774" max="774" width="18.28515625" style="1228" bestFit="1" customWidth="1"/>
    <col min="775" max="775" width="13.42578125" style="1228" customWidth="1"/>
    <col min="776" max="776" width="18.28515625" style="1228" bestFit="1" customWidth="1"/>
    <col min="777" max="777" width="10.28515625" style="1228" bestFit="1" customWidth="1"/>
    <col min="778" max="778" width="18.28515625" style="1228" bestFit="1" customWidth="1"/>
    <col min="779" max="779" width="10.28515625" style="1228" bestFit="1" customWidth="1"/>
    <col min="780" max="1025" width="9.140625" style="1228"/>
    <col min="1026" max="1026" width="6.42578125" style="1228" customWidth="1"/>
    <col min="1027" max="1027" width="36.28515625" style="1228" bestFit="1" customWidth="1"/>
    <col min="1028" max="1028" width="18.28515625" style="1228" bestFit="1" customWidth="1"/>
    <col min="1029" max="1029" width="16.42578125" style="1228" customWidth="1"/>
    <col min="1030" max="1030" width="18.28515625" style="1228" bestFit="1" customWidth="1"/>
    <col min="1031" max="1031" width="13.42578125" style="1228" customWidth="1"/>
    <col min="1032" max="1032" width="18.28515625" style="1228" bestFit="1" customWidth="1"/>
    <col min="1033" max="1033" width="10.28515625" style="1228" bestFit="1" customWidth="1"/>
    <col min="1034" max="1034" width="18.28515625" style="1228" bestFit="1" customWidth="1"/>
    <col min="1035" max="1035" width="10.28515625" style="1228" bestFit="1" customWidth="1"/>
    <col min="1036" max="1281" width="9.140625" style="1228"/>
    <col min="1282" max="1282" width="6.42578125" style="1228" customWidth="1"/>
    <col min="1283" max="1283" width="36.28515625" style="1228" bestFit="1" customWidth="1"/>
    <col min="1284" max="1284" width="18.28515625" style="1228" bestFit="1" customWidth="1"/>
    <col min="1285" max="1285" width="16.42578125" style="1228" customWidth="1"/>
    <col min="1286" max="1286" width="18.28515625" style="1228" bestFit="1" customWidth="1"/>
    <col min="1287" max="1287" width="13.42578125" style="1228" customWidth="1"/>
    <col min="1288" max="1288" width="18.28515625" style="1228" bestFit="1" customWidth="1"/>
    <col min="1289" max="1289" width="10.28515625" style="1228" bestFit="1" customWidth="1"/>
    <col min="1290" max="1290" width="18.28515625" style="1228" bestFit="1" customWidth="1"/>
    <col min="1291" max="1291" width="10.28515625" style="1228" bestFit="1" customWidth="1"/>
    <col min="1292" max="1537" width="9.140625" style="1228"/>
    <col min="1538" max="1538" width="6.42578125" style="1228" customWidth="1"/>
    <col min="1539" max="1539" width="36.28515625" style="1228" bestFit="1" customWidth="1"/>
    <col min="1540" max="1540" width="18.28515625" style="1228" bestFit="1" customWidth="1"/>
    <col min="1541" max="1541" width="16.42578125" style="1228" customWidth="1"/>
    <col min="1542" max="1542" width="18.28515625" style="1228" bestFit="1" customWidth="1"/>
    <col min="1543" max="1543" width="13.42578125" style="1228" customWidth="1"/>
    <col min="1544" max="1544" width="18.28515625" style="1228" bestFit="1" customWidth="1"/>
    <col min="1545" max="1545" width="10.28515625" style="1228" bestFit="1" customWidth="1"/>
    <col min="1546" max="1546" width="18.28515625" style="1228" bestFit="1" customWidth="1"/>
    <col min="1547" max="1547" width="10.28515625" style="1228" bestFit="1" customWidth="1"/>
    <col min="1548" max="1793" width="9.140625" style="1228"/>
    <col min="1794" max="1794" width="6.42578125" style="1228" customWidth="1"/>
    <col min="1795" max="1795" width="36.28515625" style="1228" bestFit="1" customWidth="1"/>
    <col min="1796" max="1796" width="18.28515625" style="1228" bestFit="1" customWidth="1"/>
    <col min="1797" max="1797" width="16.42578125" style="1228" customWidth="1"/>
    <col min="1798" max="1798" width="18.28515625" style="1228" bestFit="1" customWidth="1"/>
    <col min="1799" max="1799" width="13.42578125" style="1228" customWidth="1"/>
    <col min="1800" max="1800" width="18.28515625" style="1228" bestFit="1" customWidth="1"/>
    <col min="1801" max="1801" width="10.28515625" style="1228" bestFit="1" customWidth="1"/>
    <col min="1802" max="1802" width="18.28515625" style="1228" bestFit="1" customWidth="1"/>
    <col min="1803" max="1803" width="10.28515625" style="1228" bestFit="1" customWidth="1"/>
    <col min="1804" max="2049" width="9.140625" style="1228"/>
    <col min="2050" max="2050" width="6.42578125" style="1228" customWidth="1"/>
    <col min="2051" max="2051" width="36.28515625" style="1228" bestFit="1" customWidth="1"/>
    <col min="2052" max="2052" width="18.28515625" style="1228" bestFit="1" customWidth="1"/>
    <col min="2053" max="2053" width="16.42578125" style="1228" customWidth="1"/>
    <col min="2054" max="2054" width="18.28515625" style="1228" bestFit="1" customWidth="1"/>
    <col min="2055" max="2055" width="13.42578125" style="1228" customWidth="1"/>
    <col min="2056" max="2056" width="18.28515625" style="1228" bestFit="1" customWidth="1"/>
    <col min="2057" max="2057" width="10.28515625" style="1228" bestFit="1" customWidth="1"/>
    <col min="2058" max="2058" width="18.28515625" style="1228" bestFit="1" customWidth="1"/>
    <col min="2059" max="2059" width="10.28515625" style="1228" bestFit="1" customWidth="1"/>
    <col min="2060" max="2305" width="9.140625" style="1228"/>
    <col min="2306" max="2306" width="6.42578125" style="1228" customWidth="1"/>
    <col min="2307" max="2307" width="36.28515625" style="1228" bestFit="1" customWidth="1"/>
    <col min="2308" max="2308" width="18.28515625" style="1228" bestFit="1" customWidth="1"/>
    <col min="2309" max="2309" width="16.42578125" style="1228" customWidth="1"/>
    <col min="2310" max="2310" width="18.28515625" style="1228" bestFit="1" customWidth="1"/>
    <col min="2311" max="2311" width="13.42578125" style="1228" customWidth="1"/>
    <col min="2312" max="2312" width="18.28515625" style="1228" bestFit="1" customWidth="1"/>
    <col min="2313" max="2313" width="10.28515625" style="1228" bestFit="1" customWidth="1"/>
    <col min="2314" max="2314" width="18.28515625" style="1228" bestFit="1" customWidth="1"/>
    <col min="2315" max="2315" width="10.28515625" style="1228" bestFit="1" customWidth="1"/>
    <col min="2316" max="2561" width="9.140625" style="1228"/>
    <col min="2562" max="2562" width="6.42578125" style="1228" customWidth="1"/>
    <col min="2563" max="2563" width="36.28515625" style="1228" bestFit="1" customWidth="1"/>
    <col min="2564" max="2564" width="18.28515625" style="1228" bestFit="1" customWidth="1"/>
    <col min="2565" max="2565" width="16.42578125" style="1228" customWidth="1"/>
    <col min="2566" max="2566" width="18.28515625" style="1228" bestFit="1" customWidth="1"/>
    <col min="2567" max="2567" width="13.42578125" style="1228" customWidth="1"/>
    <col min="2568" max="2568" width="18.28515625" style="1228" bestFit="1" customWidth="1"/>
    <col min="2569" max="2569" width="10.28515625" style="1228" bestFit="1" customWidth="1"/>
    <col min="2570" max="2570" width="18.28515625" style="1228" bestFit="1" customWidth="1"/>
    <col min="2571" max="2571" width="10.28515625" style="1228" bestFit="1" customWidth="1"/>
    <col min="2572" max="2817" width="9.140625" style="1228"/>
    <col min="2818" max="2818" width="6.42578125" style="1228" customWidth="1"/>
    <col min="2819" max="2819" width="36.28515625" style="1228" bestFit="1" customWidth="1"/>
    <col min="2820" max="2820" width="18.28515625" style="1228" bestFit="1" customWidth="1"/>
    <col min="2821" max="2821" width="16.42578125" style="1228" customWidth="1"/>
    <col min="2822" max="2822" width="18.28515625" style="1228" bestFit="1" customWidth="1"/>
    <col min="2823" max="2823" width="13.42578125" style="1228" customWidth="1"/>
    <col min="2824" max="2824" width="18.28515625" style="1228" bestFit="1" customWidth="1"/>
    <col min="2825" max="2825" width="10.28515625" style="1228" bestFit="1" customWidth="1"/>
    <col min="2826" max="2826" width="18.28515625" style="1228" bestFit="1" customWidth="1"/>
    <col min="2827" max="2827" width="10.28515625" style="1228" bestFit="1" customWidth="1"/>
    <col min="2828" max="3073" width="9.140625" style="1228"/>
    <col min="3074" max="3074" width="6.42578125" style="1228" customWidth="1"/>
    <col min="3075" max="3075" width="36.28515625" style="1228" bestFit="1" customWidth="1"/>
    <col min="3076" max="3076" width="18.28515625" style="1228" bestFit="1" customWidth="1"/>
    <col min="3077" max="3077" width="16.42578125" style="1228" customWidth="1"/>
    <col min="3078" max="3078" width="18.28515625" style="1228" bestFit="1" customWidth="1"/>
    <col min="3079" max="3079" width="13.42578125" style="1228" customWidth="1"/>
    <col min="3080" max="3080" width="18.28515625" style="1228" bestFit="1" customWidth="1"/>
    <col min="3081" max="3081" width="10.28515625" style="1228" bestFit="1" customWidth="1"/>
    <col min="3082" max="3082" width="18.28515625" style="1228" bestFit="1" customWidth="1"/>
    <col min="3083" max="3083" width="10.28515625" style="1228" bestFit="1" customWidth="1"/>
    <col min="3084" max="3329" width="9.140625" style="1228"/>
    <col min="3330" max="3330" width="6.42578125" style="1228" customWidth="1"/>
    <col min="3331" max="3331" width="36.28515625" style="1228" bestFit="1" customWidth="1"/>
    <col min="3332" max="3332" width="18.28515625" style="1228" bestFit="1" customWidth="1"/>
    <col min="3333" max="3333" width="16.42578125" style="1228" customWidth="1"/>
    <col min="3334" max="3334" width="18.28515625" style="1228" bestFit="1" customWidth="1"/>
    <col min="3335" max="3335" width="13.42578125" style="1228" customWidth="1"/>
    <col min="3336" max="3336" width="18.28515625" style="1228" bestFit="1" customWidth="1"/>
    <col min="3337" max="3337" width="10.28515625" style="1228" bestFit="1" customWidth="1"/>
    <col min="3338" max="3338" width="18.28515625" style="1228" bestFit="1" customWidth="1"/>
    <col min="3339" max="3339" width="10.28515625" style="1228" bestFit="1" customWidth="1"/>
    <col min="3340" max="3585" width="9.140625" style="1228"/>
    <col min="3586" max="3586" width="6.42578125" style="1228" customWidth="1"/>
    <col min="3587" max="3587" width="36.28515625" style="1228" bestFit="1" customWidth="1"/>
    <col min="3588" max="3588" width="18.28515625" style="1228" bestFit="1" customWidth="1"/>
    <col min="3589" max="3589" width="16.42578125" style="1228" customWidth="1"/>
    <col min="3590" max="3590" width="18.28515625" style="1228" bestFit="1" customWidth="1"/>
    <col min="3591" max="3591" width="13.42578125" style="1228" customWidth="1"/>
    <col min="3592" max="3592" width="18.28515625" style="1228" bestFit="1" customWidth="1"/>
    <col min="3593" max="3593" width="10.28515625" style="1228" bestFit="1" customWidth="1"/>
    <col min="3594" max="3594" width="18.28515625" style="1228" bestFit="1" customWidth="1"/>
    <col min="3595" max="3595" width="10.28515625" style="1228" bestFit="1" customWidth="1"/>
    <col min="3596" max="3841" width="9.140625" style="1228"/>
    <col min="3842" max="3842" width="6.42578125" style="1228" customWidth="1"/>
    <col min="3843" max="3843" width="36.28515625" style="1228" bestFit="1" customWidth="1"/>
    <col min="3844" max="3844" width="18.28515625" style="1228" bestFit="1" customWidth="1"/>
    <col min="3845" max="3845" width="16.42578125" style="1228" customWidth="1"/>
    <col min="3846" max="3846" width="18.28515625" style="1228" bestFit="1" customWidth="1"/>
    <col min="3847" max="3847" width="13.42578125" style="1228" customWidth="1"/>
    <col min="3848" max="3848" width="18.28515625" style="1228" bestFit="1" customWidth="1"/>
    <col min="3849" max="3849" width="10.28515625" style="1228" bestFit="1" customWidth="1"/>
    <col min="3850" max="3850" width="18.28515625" style="1228" bestFit="1" customWidth="1"/>
    <col min="3851" max="3851" width="10.28515625" style="1228" bestFit="1" customWidth="1"/>
    <col min="3852" max="4097" width="9.140625" style="1228"/>
    <col min="4098" max="4098" width="6.42578125" style="1228" customWidth="1"/>
    <col min="4099" max="4099" width="36.28515625" style="1228" bestFit="1" customWidth="1"/>
    <col min="4100" max="4100" width="18.28515625" style="1228" bestFit="1" customWidth="1"/>
    <col min="4101" max="4101" width="16.42578125" style="1228" customWidth="1"/>
    <col min="4102" max="4102" width="18.28515625" style="1228" bestFit="1" customWidth="1"/>
    <col min="4103" max="4103" width="13.42578125" style="1228" customWidth="1"/>
    <col min="4104" max="4104" width="18.28515625" style="1228" bestFit="1" customWidth="1"/>
    <col min="4105" max="4105" width="10.28515625" style="1228" bestFit="1" customWidth="1"/>
    <col min="4106" max="4106" width="18.28515625" style="1228" bestFit="1" customWidth="1"/>
    <col min="4107" max="4107" width="10.28515625" style="1228" bestFit="1" customWidth="1"/>
    <col min="4108" max="4353" width="9.140625" style="1228"/>
    <col min="4354" max="4354" width="6.42578125" style="1228" customWidth="1"/>
    <col min="4355" max="4355" width="36.28515625" style="1228" bestFit="1" customWidth="1"/>
    <col min="4356" max="4356" width="18.28515625" style="1228" bestFit="1" customWidth="1"/>
    <col min="4357" max="4357" width="16.42578125" style="1228" customWidth="1"/>
    <col min="4358" max="4358" width="18.28515625" style="1228" bestFit="1" customWidth="1"/>
    <col min="4359" max="4359" width="13.42578125" style="1228" customWidth="1"/>
    <col min="4360" max="4360" width="18.28515625" style="1228" bestFit="1" customWidth="1"/>
    <col min="4361" max="4361" width="10.28515625" style="1228" bestFit="1" customWidth="1"/>
    <col min="4362" max="4362" width="18.28515625" style="1228" bestFit="1" customWidth="1"/>
    <col min="4363" max="4363" width="10.28515625" style="1228" bestFit="1" customWidth="1"/>
    <col min="4364" max="4609" width="9.140625" style="1228"/>
    <col min="4610" max="4610" width="6.42578125" style="1228" customWidth="1"/>
    <col min="4611" max="4611" width="36.28515625" style="1228" bestFit="1" customWidth="1"/>
    <col min="4612" max="4612" width="18.28515625" style="1228" bestFit="1" customWidth="1"/>
    <col min="4613" max="4613" width="16.42578125" style="1228" customWidth="1"/>
    <col min="4614" max="4614" width="18.28515625" style="1228" bestFit="1" customWidth="1"/>
    <col min="4615" max="4615" width="13.42578125" style="1228" customWidth="1"/>
    <col min="4616" max="4616" width="18.28515625" style="1228" bestFit="1" customWidth="1"/>
    <col min="4617" max="4617" width="10.28515625" style="1228" bestFit="1" customWidth="1"/>
    <col min="4618" max="4618" width="18.28515625" style="1228" bestFit="1" customWidth="1"/>
    <col min="4619" max="4619" width="10.28515625" style="1228" bestFit="1" customWidth="1"/>
    <col min="4620" max="4865" width="9.140625" style="1228"/>
    <col min="4866" max="4866" width="6.42578125" style="1228" customWidth="1"/>
    <col min="4867" max="4867" width="36.28515625" style="1228" bestFit="1" customWidth="1"/>
    <col min="4868" max="4868" width="18.28515625" style="1228" bestFit="1" customWidth="1"/>
    <col min="4869" max="4869" width="16.42578125" style="1228" customWidth="1"/>
    <col min="4870" max="4870" width="18.28515625" style="1228" bestFit="1" customWidth="1"/>
    <col min="4871" max="4871" width="13.42578125" style="1228" customWidth="1"/>
    <col min="4872" max="4872" width="18.28515625" style="1228" bestFit="1" customWidth="1"/>
    <col min="4873" max="4873" width="10.28515625" style="1228" bestFit="1" customWidth="1"/>
    <col min="4874" max="4874" width="18.28515625" style="1228" bestFit="1" customWidth="1"/>
    <col min="4875" max="4875" width="10.28515625" style="1228" bestFit="1" customWidth="1"/>
    <col min="4876" max="5121" width="9.140625" style="1228"/>
    <col min="5122" max="5122" width="6.42578125" style="1228" customWidth="1"/>
    <col min="5123" max="5123" width="36.28515625" style="1228" bestFit="1" customWidth="1"/>
    <col min="5124" max="5124" width="18.28515625" style="1228" bestFit="1" customWidth="1"/>
    <col min="5125" max="5125" width="16.42578125" style="1228" customWidth="1"/>
    <col min="5126" max="5126" width="18.28515625" style="1228" bestFit="1" customWidth="1"/>
    <col min="5127" max="5127" width="13.42578125" style="1228" customWidth="1"/>
    <col min="5128" max="5128" width="18.28515625" style="1228" bestFit="1" customWidth="1"/>
    <col min="5129" max="5129" width="10.28515625" style="1228" bestFit="1" customWidth="1"/>
    <col min="5130" max="5130" width="18.28515625" style="1228" bestFit="1" customWidth="1"/>
    <col min="5131" max="5131" width="10.28515625" style="1228" bestFit="1" customWidth="1"/>
    <col min="5132" max="5377" width="9.140625" style="1228"/>
    <col min="5378" max="5378" width="6.42578125" style="1228" customWidth="1"/>
    <col min="5379" max="5379" width="36.28515625" style="1228" bestFit="1" customWidth="1"/>
    <col min="5380" max="5380" width="18.28515625" style="1228" bestFit="1" customWidth="1"/>
    <col min="5381" max="5381" width="16.42578125" style="1228" customWidth="1"/>
    <col min="5382" max="5382" width="18.28515625" style="1228" bestFit="1" customWidth="1"/>
    <col min="5383" max="5383" width="13.42578125" style="1228" customWidth="1"/>
    <col min="5384" max="5384" width="18.28515625" style="1228" bestFit="1" customWidth="1"/>
    <col min="5385" max="5385" width="10.28515625" style="1228" bestFit="1" customWidth="1"/>
    <col min="5386" max="5386" width="18.28515625" style="1228" bestFit="1" customWidth="1"/>
    <col min="5387" max="5387" width="10.28515625" style="1228" bestFit="1" customWidth="1"/>
    <col min="5388" max="5633" width="9.140625" style="1228"/>
    <col min="5634" max="5634" width="6.42578125" style="1228" customWidth="1"/>
    <col min="5635" max="5635" width="36.28515625" style="1228" bestFit="1" customWidth="1"/>
    <col min="5636" max="5636" width="18.28515625" style="1228" bestFit="1" customWidth="1"/>
    <col min="5637" max="5637" width="16.42578125" style="1228" customWidth="1"/>
    <col min="5638" max="5638" width="18.28515625" style="1228" bestFit="1" customWidth="1"/>
    <col min="5639" max="5639" width="13.42578125" style="1228" customWidth="1"/>
    <col min="5640" max="5640" width="18.28515625" style="1228" bestFit="1" customWidth="1"/>
    <col min="5641" max="5641" width="10.28515625" style="1228" bestFit="1" customWidth="1"/>
    <col min="5642" max="5642" width="18.28515625" style="1228" bestFit="1" customWidth="1"/>
    <col min="5643" max="5643" width="10.28515625" style="1228" bestFit="1" customWidth="1"/>
    <col min="5644" max="5889" width="9.140625" style="1228"/>
    <col min="5890" max="5890" width="6.42578125" style="1228" customWidth="1"/>
    <col min="5891" max="5891" width="36.28515625" style="1228" bestFit="1" customWidth="1"/>
    <col min="5892" max="5892" width="18.28515625" style="1228" bestFit="1" customWidth="1"/>
    <col min="5893" max="5893" width="16.42578125" style="1228" customWidth="1"/>
    <col min="5894" max="5894" width="18.28515625" style="1228" bestFit="1" customWidth="1"/>
    <col min="5895" max="5895" width="13.42578125" style="1228" customWidth="1"/>
    <col min="5896" max="5896" width="18.28515625" style="1228" bestFit="1" customWidth="1"/>
    <col min="5897" max="5897" width="10.28515625" style="1228" bestFit="1" customWidth="1"/>
    <col min="5898" max="5898" width="18.28515625" style="1228" bestFit="1" customWidth="1"/>
    <col min="5899" max="5899" width="10.28515625" style="1228" bestFit="1" customWidth="1"/>
    <col min="5900" max="6145" width="9.140625" style="1228"/>
    <col min="6146" max="6146" width="6.42578125" style="1228" customWidth="1"/>
    <col min="6147" max="6147" width="36.28515625" style="1228" bestFit="1" customWidth="1"/>
    <col min="6148" max="6148" width="18.28515625" style="1228" bestFit="1" customWidth="1"/>
    <col min="6149" max="6149" width="16.42578125" style="1228" customWidth="1"/>
    <col min="6150" max="6150" width="18.28515625" style="1228" bestFit="1" customWidth="1"/>
    <col min="6151" max="6151" width="13.42578125" style="1228" customWidth="1"/>
    <col min="6152" max="6152" width="18.28515625" style="1228" bestFit="1" customWidth="1"/>
    <col min="6153" max="6153" width="10.28515625" style="1228" bestFit="1" customWidth="1"/>
    <col min="6154" max="6154" width="18.28515625" style="1228" bestFit="1" customWidth="1"/>
    <col min="6155" max="6155" width="10.28515625" style="1228" bestFit="1" customWidth="1"/>
    <col min="6156" max="6401" width="9.140625" style="1228"/>
    <col min="6402" max="6402" width="6.42578125" style="1228" customWidth="1"/>
    <col min="6403" max="6403" width="36.28515625" style="1228" bestFit="1" customWidth="1"/>
    <col min="6404" max="6404" width="18.28515625" style="1228" bestFit="1" customWidth="1"/>
    <col min="6405" max="6405" width="16.42578125" style="1228" customWidth="1"/>
    <col min="6406" max="6406" width="18.28515625" style="1228" bestFit="1" customWidth="1"/>
    <col min="6407" max="6407" width="13.42578125" style="1228" customWidth="1"/>
    <col min="6408" max="6408" width="18.28515625" style="1228" bestFit="1" customWidth="1"/>
    <col min="6409" max="6409" width="10.28515625" style="1228" bestFit="1" customWidth="1"/>
    <col min="6410" max="6410" width="18.28515625" style="1228" bestFit="1" customWidth="1"/>
    <col min="6411" max="6411" width="10.28515625" style="1228" bestFit="1" customWidth="1"/>
    <col min="6412" max="6657" width="9.140625" style="1228"/>
    <col min="6658" max="6658" width="6.42578125" style="1228" customWidth="1"/>
    <col min="6659" max="6659" width="36.28515625" style="1228" bestFit="1" customWidth="1"/>
    <col min="6660" max="6660" width="18.28515625" style="1228" bestFit="1" customWidth="1"/>
    <col min="6661" max="6661" width="16.42578125" style="1228" customWidth="1"/>
    <col min="6662" max="6662" width="18.28515625" style="1228" bestFit="1" customWidth="1"/>
    <col min="6663" max="6663" width="13.42578125" style="1228" customWidth="1"/>
    <col min="6664" max="6664" width="18.28515625" style="1228" bestFit="1" customWidth="1"/>
    <col min="6665" max="6665" width="10.28515625" style="1228" bestFit="1" customWidth="1"/>
    <col min="6666" max="6666" width="18.28515625" style="1228" bestFit="1" customWidth="1"/>
    <col min="6667" max="6667" width="10.28515625" style="1228" bestFit="1" customWidth="1"/>
    <col min="6668" max="6913" width="9.140625" style="1228"/>
    <col min="6914" max="6914" width="6.42578125" style="1228" customWidth="1"/>
    <col min="6915" max="6915" width="36.28515625" style="1228" bestFit="1" customWidth="1"/>
    <col min="6916" max="6916" width="18.28515625" style="1228" bestFit="1" customWidth="1"/>
    <col min="6917" max="6917" width="16.42578125" style="1228" customWidth="1"/>
    <col min="6918" max="6918" width="18.28515625" style="1228" bestFit="1" customWidth="1"/>
    <col min="6919" max="6919" width="13.42578125" style="1228" customWidth="1"/>
    <col min="6920" max="6920" width="18.28515625" style="1228" bestFit="1" customWidth="1"/>
    <col min="6921" max="6921" width="10.28515625" style="1228" bestFit="1" customWidth="1"/>
    <col min="6922" max="6922" width="18.28515625" style="1228" bestFit="1" customWidth="1"/>
    <col min="6923" max="6923" width="10.28515625" style="1228" bestFit="1" customWidth="1"/>
    <col min="6924" max="7169" width="9.140625" style="1228"/>
    <col min="7170" max="7170" width="6.42578125" style="1228" customWidth="1"/>
    <col min="7171" max="7171" width="36.28515625" style="1228" bestFit="1" customWidth="1"/>
    <col min="7172" max="7172" width="18.28515625" style="1228" bestFit="1" customWidth="1"/>
    <col min="7173" max="7173" width="16.42578125" style="1228" customWidth="1"/>
    <col min="7174" max="7174" width="18.28515625" style="1228" bestFit="1" customWidth="1"/>
    <col min="7175" max="7175" width="13.42578125" style="1228" customWidth="1"/>
    <col min="7176" max="7176" width="18.28515625" style="1228" bestFit="1" customWidth="1"/>
    <col min="7177" max="7177" width="10.28515625" style="1228" bestFit="1" customWidth="1"/>
    <col min="7178" max="7178" width="18.28515625" style="1228" bestFit="1" customWidth="1"/>
    <col min="7179" max="7179" width="10.28515625" style="1228" bestFit="1" customWidth="1"/>
    <col min="7180" max="7425" width="9.140625" style="1228"/>
    <col min="7426" max="7426" width="6.42578125" style="1228" customWidth="1"/>
    <col min="7427" max="7427" width="36.28515625" style="1228" bestFit="1" customWidth="1"/>
    <col min="7428" max="7428" width="18.28515625" style="1228" bestFit="1" customWidth="1"/>
    <col min="7429" max="7429" width="16.42578125" style="1228" customWidth="1"/>
    <col min="7430" max="7430" width="18.28515625" style="1228" bestFit="1" customWidth="1"/>
    <col min="7431" max="7431" width="13.42578125" style="1228" customWidth="1"/>
    <col min="7432" max="7432" width="18.28515625" style="1228" bestFit="1" customWidth="1"/>
    <col min="7433" max="7433" width="10.28515625" style="1228" bestFit="1" customWidth="1"/>
    <col min="7434" max="7434" width="18.28515625" style="1228" bestFit="1" customWidth="1"/>
    <col min="7435" max="7435" width="10.28515625" style="1228" bestFit="1" customWidth="1"/>
    <col min="7436" max="7681" width="9.140625" style="1228"/>
    <col min="7682" max="7682" width="6.42578125" style="1228" customWidth="1"/>
    <col min="7683" max="7683" width="36.28515625" style="1228" bestFit="1" customWidth="1"/>
    <col min="7684" max="7684" width="18.28515625" style="1228" bestFit="1" customWidth="1"/>
    <col min="7685" max="7685" width="16.42578125" style="1228" customWidth="1"/>
    <col min="7686" max="7686" width="18.28515625" style="1228" bestFit="1" customWidth="1"/>
    <col min="7687" max="7687" width="13.42578125" style="1228" customWidth="1"/>
    <col min="7688" max="7688" width="18.28515625" style="1228" bestFit="1" customWidth="1"/>
    <col min="7689" max="7689" width="10.28515625" style="1228" bestFit="1" customWidth="1"/>
    <col min="7690" max="7690" width="18.28515625" style="1228" bestFit="1" customWidth="1"/>
    <col min="7691" max="7691" width="10.28515625" style="1228" bestFit="1" customWidth="1"/>
    <col min="7692" max="7937" width="9.140625" style="1228"/>
    <col min="7938" max="7938" width="6.42578125" style="1228" customWidth="1"/>
    <col min="7939" max="7939" width="36.28515625" style="1228" bestFit="1" customWidth="1"/>
    <col min="7940" max="7940" width="18.28515625" style="1228" bestFit="1" customWidth="1"/>
    <col min="7941" max="7941" width="16.42578125" style="1228" customWidth="1"/>
    <col min="7942" max="7942" width="18.28515625" style="1228" bestFit="1" customWidth="1"/>
    <col min="7943" max="7943" width="13.42578125" style="1228" customWidth="1"/>
    <col min="7944" max="7944" width="18.28515625" style="1228" bestFit="1" customWidth="1"/>
    <col min="7945" max="7945" width="10.28515625" style="1228" bestFit="1" customWidth="1"/>
    <col min="7946" max="7946" width="18.28515625" style="1228" bestFit="1" customWidth="1"/>
    <col min="7947" max="7947" width="10.28515625" style="1228" bestFit="1" customWidth="1"/>
    <col min="7948" max="8193" width="9.140625" style="1228"/>
    <col min="8194" max="8194" width="6.42578125" style="1228" customWidth="1"/>
    <col min="8195" max="8195" width="36.28515625" style="1228" bestFit="1" customWidth="1"/>
    <col min="8196" max="8196" width="18.28515625" style="1228" bestFit="1" customWidth="1"/>
    <col min="8197" max="8197" width="16.42578125" style="1228" customWidth="1"/>
    <col min="8198" max="8198" width="18.28515625" style="1228" bestFit="1" customWidth="1"/>
    <col min="8199" max="8199" width="13.42578125" style="1228" customWidth="1"/>
    <col min="8200" max="8200" width="18.28515625" style="1228" bestFit="1" customWidth="1"/>
    <col min="8201" max="8201" width="10.28515625" style="1228" bestFit="1" customWidth="1"/>
    <col min="8202" max="8202" width="18.28515625" style="1228" bestFit="1" customWidth="1"/>
    <col min="8203" max="8203" width="10.28515625" style="1228" bestFit="1" customWidth="1"/>
    <col min="8204" max="8449" width="9.140625" style="1228"/>
    <col min="8450" max="8450" width="6.42578125" style="1228" customWidth="1"/>
    <col min="8451" max="8451" width="36.28515625" style="1228" bestFit="1" customWidth="1"/>
    <col min="8452" max="8452" width="18.28515625" style="1228" bestFit="1" customWidth="1"/>
    <col min="8453" max="8453" width="16.42578125" style="1228" customWidth="1"/>
    <col min="8454" max="8454" width="18.28515625" style="1228" bestFit="1" customWidth="1"/>
    <col min="8455" max="8455" width="13.42578125" style="1228" customWidth="1"/>
    <col min="8456" max="8456" width="18.28515625" style="1228" bestFit="1" customWidth="1"/>
    <col min="8457" max="8457" width="10.28515625" style="1228" bestFit="1" customWidth="1"/>
    <col min="8458" max="8458" width="18.28515625" style="1228" bestFit="1" customWidth="1"/>
    <col min="8459" max="8459" width="10.28515625" style="1228" bestFit="1" customWidth="1"/>
    <col min="8460" max="8705" width="9.140625" style="1228"/>
    <col min="8706" max="8706" width="6.42578125" style="1228" customWidth="1"/>
    <col min="8707" max="8707" width="36.28515625" style="1228" bestFit="1" customWidth="1"/>
    <col min="8708" max="8708" width="18.28515625" style="1228" bestFit="1" customWidth="1"/>
    <col min="8709" max="8709" width="16.42578125" style="1228" customWidth="1"/>
    <col min="8710" max="8710" width="18.28515625" style="1228" bestFit="1" customWidth="1"/>
    <col min="8711" max="8711" width="13.42578125" style="1228" customWidth="1"/>
    <col min="8712" max="8712" width="18.28515625" style="1228" bestFit="1" customWidth="1"/>
    <col min="8713" max="8713" width="10.28515625" style="1228" bestFit="1" customWidth="1"/>
    <col min="8714" max="8714" width="18.28515625" style="1228" bestFit="1" customWidth="1"/>
    <col min="8715" max="8715" width="10.28515625" style="1228" bestFit="1" customWidth="1"/>
    <col min="8716" max="8961" width="9.140625" style="1228"/>
    <col min="8962" max="8962" width="6.42578125" style="1228" customWidth="1"/>
    <col min="8963" max="8963" width="36.28515625" style="1228" bestFit="1" customWidth="1"/>
    <col min="8964" max="8964" width="18.28515625" style="1228" bestFit="1" customWidth="1"/>
    <col min="8965" max="8965" width="16.42578125" style="1228" customWidth="1"/>
    <col min="8966" max="8966" width="18.28515625" style="1228" bestFit="1" customWidth="1"/>
    <col min="8967" max="8967" width="13.42578125" style="1228" customWidth="1"/>
    <col min="8968" max="8968" width="18.28515625" style="1228" bestFit="1" customWidth="1"/>
    <col min="8969" max="8969" width="10.28515625" style="1228" bestFit="1" customWidth="1"/>
    <col min="8970" max="8970" width="18.28515625" style="1228" bestFit="1" customWidth="1"/>
    <col min="8971" max="8971" width="10.28515625" style="1228" bestFit="1" customWidth="1"/>
    <col min="8972" max="9217" width="9.140625" style="1228"/>
    <col min="9218" max="9218" width="6.42578125" style="1228" customWidth="1"/>
    <col min="9219" max="9219" width="36.28515625" style="1228" bestFit="1" customWidth="1"/>
    <col min="9220" max="9220" width="18.28515625" style="1228" bestFit="1" customWidth="1"/>
    <col min="9221" max="9221" width="16.42578125" style="1228" customWidth="1"/>
    <col min="9222" max="9222" width="18.28515625" style="1228" bestFit="1" customWidth="1"/>
    <col min="9223" max="9223" width="13.42578125" style="1228" customWidth="1"/>
    <col min="9224" max="9224" width="18.28515625" style="1228" bestFit="1" customWidth="1"/>
    <col min="9225" max="9225" width="10.28515625" style="1228" bestFit="1" customWidth="1"/>
    <col min="9226" max="9226" width="18.28515625" style="1228" bestFit="1" customWidth="1"/>
    <col min="9227" max="9227" width="10.28515625" style="1228" bestFit="1" customWidth="1"/>
    <col min="9228" max="9473" width="9.140625" style="1228"/>
    <col min="9474" max="9474" width="6.42578125" style="1228" customWidth="1"/>
    <col min="9475" max="9475" width="36.28515625" style="1228" bestFit="1" customWidth="1"/>
    <col min="9476" max="9476" width="18.28515625" style="1228" bestFit="1" customWidth="1"/>
    <col min="9477" max="9477" width="16.42578125" style="1228" customWidth="1"/>
    <col min="9478" max="9478" width="18.28515625" style="1228" bestFit="1" customWidth="1"/>
    <col min="9479" max="9479" width="13.42578125" style="1228" customWidth="1"/>
    <col min="9480" max="9480" width="18.28515625" style="1228" bestFit="1" customWidth="1"/>
    <col min="9481" max="9481" width="10.28515625" style="1228" bestFit="1" customWidth="1"/>
    <col min="9482" max="9482" width="18.28515625" style="1228" bestFit="1" customWidth="1"/>
    <col min="9483" max="9483" width="10.28515625" style="1228" bestFit="1" customWidth="1"/>
    <col min="9484" max="9729" width="9.140625" style="1228"/>
    <col min="9730" max="9730" width="6.42578125" style="1228" customWidth="1"/>
    <col min="9731" max="9731" width="36.28515625" style="1228" bestFit="1" customWidth="1"/>
    <col min="9732" max="9732" width="18.28515625" style="1228" bestFit="1" customWidth="1"/>
    <col min="9733" max="9733" width="16.42578125" style="1228" customWidth="1"/>
    <col min="9734" max="9734" width="18.28515625" style="1228" bestFit="1" customWidth="1"/>
    <col min="9735" max="9735" width="13.42578125" style="1228" customWidth="1"/>
    <col min="9736" max="9736" width="18.28515625" style="1228" bestFit="1" customWidth="1"/>
    <col min="9737" max="9737" width="10.28515625" style="1228" bestFit="1" customWidth="1"/>
    <col min="9738" max="9738" width="18.28515625" style="1228" bestFit="1" customWidth="1"/>
    <col min="9739" max="9739" width="10.28515625" style="1228" bestFit="1" customWidth="1"/>
    <col min="9740" max="9985" width="9.140625" style="1228"/>
    <col min="9986" max="9986" width="6.42578125" style="1228" customWidth="1"/>
    <col min="9987" max="9987" width="36.28515625" style="1228" bestFit="1" customWidth="1"/>
    <col min="9988" max="9988" width="18.28515625" style="1228" bestFit="1" customWidth="1"/>
    <col min="9989" max="9989" width="16.42578125" style="1228" customWidth="1"/>
    <col min="9990" max="9990" width="18.28515625" style="1228" bestFit="1" customWidth="1"/>
    <col min="9991" max="9991" width="13.42578125" style="1228" customWidth="1"/>
    <col min="9992" max="9992" width="18.28515625" style="1228" bestFit="1" customWidth="1"/>
    <col min="9993" max="9993" width="10.28515625" style="1228" bestFit="1" customWidth="1"/>
    <col min="9994" max="9994" width="18.28515625" style="1228" bestFit="1" customWidth="1"/>
    <col min="9995" max="9995" width="10.28515625" style="1228" bestFit="1" customWidth="1"/>
    <col min="9996" max="10241" width="9.140625" style="1228"/>
    <col min="10242" max="10242" width="6.42578125" style="1228" customWidth="1"/>
    <col min="10243" max="10243" width="36.28515625" style="1228" bestFit="1" customWidth="1"/>
    <col min="10244" max="10244" width="18.28515625" style="1228" bestFit="1" customWidth="1"/>
    <col min="10245" max="10245" width="16.42578125" style="1228" customWidth="1"/>
    <col min="10246" max="10246" width="18.28515625" style="1228" bestFit="1" customWidth="1"/>
    <col min="10247" max="10247" width="13.42578125" style="1228" customWidth="1"/>
    <col min="10248" max="10248" width="18.28515625" style="1228" bestFit="1" customWidth="1"/>
    <col min="10249" max="10249" width="10.28515625" style="1228" bestFit="1" customWidth="1"/>
    <col min="10250" max="10250" width="18.28515625" style="1228" bestFit="1" customWidth="1"/>
    <col min="10251" max="10251" width="10.28515625" style="1228" bestFit="1" customWidth="1"/>
    <col min="10252" max="10497" width="9.140625" style="1228"/>
    <col min="10498" max="10498" width="6.42578125" style="1228" customWidth="1"/>
    <col min="10499" max="10499" width="36.28515625" style="1228" bestFit="1" customWidth="1"/>
    <col min="10500" max="10500" width="18.28515625" style="1228" bestFit="1" customWidth="1"/>
    <col min="10501" max="10501" width="16.42578125" style="1228" customWidth="1"/>
    <col min="10502" max="10502" width="18.28515625" style="1228" bestFit="1" customWidth="1"/>
    <col min="10503" max="10503" width="13.42578125" style="1228" customWidth="1"/>
    <col min="10504" max="10504" width="18.28515625" style="1228" bestFit="1" customWidth="1"/>
    <col min="10505" max="10505" width="10.28515625" style="1228" bestFit="1" customWidth="1"/>
    <col min="10506" max="10506" width="18.28515625" style="1228" bestFit="1" customWidth="1"/>
    <col min="10507" max="10507" width="10.28515625" style="1228" bestFit="1" customWidth="1"/>
    <col min="10508" max="10753" width="9.140625" style="1228"/>
    <col min="10754" max="10754" width="6.42578125" style="1228" customWidth="1"/>
    <col min="10755" max="10755" width="36.28515625" style="1228" bestFit="1" customWidth="1"/>
    <col min="10756" max="10756" width="18.28515625" style="1228" bestFit="1" customWidth="1"/>
    <col min="10757" max="10757" width="16.42578125" style="1228" customWidth="1"/>
    <col min="10758" max="10758" width="18.28515625" style="1228" bestFit="1" customWidth="1"/>
    <col min="10759" max="10759" width="13.42578125" style="1228" customWidth="1"/>
    <col min="10760" max="10760" width="18.28515625" style="1228" bestFit="1" customWidth="1"/>
    <col min="10761" max="10761" width="10.28515625" style="1228" bestFit="1" customWidth="1"/>
    <col min="10762" max="10762" width="18.28515625" style="1228" bestFit="1" customWidth="1"/>
    <col min="10763" max="10763" width="10.28515625" style="1228" bestFit="1" customWidth="1"/>
    <col min="10764" max="11009" width="9.140625" style="1228"/>
    <col min="11010" max="11010" width="6.42578125" style="1228" customWidth="1"/>
    <col min="11011" max="11011" width="36.28515625" style="1228" bestFit="1" customWidth="1"/>
    <col min="11012" max="11012" width="18.28515625" style="1228" bestFit="1" customWidth="1"/>
    <col min="11013" max="11013" width="16.42578125" style="1228" customWidth="1"/>
    <col min="11014" max="11014" width="18.28515625" style="1228" bestFit="1" customWidth="1"/>
    <col min="11015" max="11015" width="13.42578125" style="1228" customWidth="1"/>
    <col min="11016" max="11016" width="18.28515625" style="1228" bestFit="1" customWidth="1"/>
    <col min="11017" max="11017" width="10.28515625" style="1228" bestFit="1" customWidth="1"/>
    <col min="11018" max="11018" width="18.28515625" style="1228" bestFit="1" customWidth="1"/>
    <col min="11019" max="11019" width="10.28515625" style="1228" bestFit="1" customWidth="1"/>
    <col min="11020" max="11265" width="9.140625" style="1228"/>
    <col min="11266" max="11266" width="6.42578125" style="1228" customWidth="1"/>
    <col min="11267" max="11267" width="36.28515625" style="1228" bestFit="1" customWidth="1"/>
    <col min="11268" max="11268" width="18.28515625" style="1228" bestFit="1" customWidth="1"/>
    <col min="11269" max="11269" width="16.42578125" style="1228" customWidth="1"/>
    <col min="11270" max="11270" width="18.28515625" style="1228" bestFit="1" customWidth="1"/>
    <col min="11271" max="11271" width="13.42578125" style="1228" customWidth="1"/>
    <col min="11272" max="11272" width="18.28515625" style="1228" bestFit="1" customWidth="1"/>
    <col min="11273" max="11273" width="10.28515625" style="1228" bestFit="1" customWidth="1"/>
    <col min="11274" max="11274" width="18.28515625" style="1228" bestFit="1" customWidth="1"/>
    <col min="11275" max="11275" width="10.28515625" style="1228" bestFit="1" customWidth="1"/>
    <col min="11276" max="11521" width="9.140625" style="1228"/>
    <col min="11522" max="11522" width="6.42578125" style="1228" customWidth="1"/>
    <col min="11523" max="11523" width="36.28515625" style="1228" bestFit="1" customWidth="1"/>
    <col min="11524" max="11524" width="18.28515625" style="1228" bestFit="1" customWidth="1"/>
    <col min="11525" max="11525" width="16.42578125" style="1228" customWidth="1"/>
    <col min="11526" max="11526" width="18.28515625" style="1228" bestFit="1" customWidth="1"/>
    <col min="11527" max="11527" width="13.42578125" style="1228" customWidth="1"/>
    <col min="11528" max="11528" width="18.28515625" style="1228" bestFit="1" customWidth="1"/>
    <col min="11529" max="11529" width="10.28515625" style="1228" bestFit="1" customWidth="1"/>
    <col min="11530" max="11530" width="18.28515625" style="1228" bestFit="1" customWidth="1"/>
    <col min="11531" max="11531" width="10.28515625" style="1228" bestFit="1" customWidth="1"/>
    <col min="11532" max="11777" width="9.140625" style="1228"/>
    <col min="11778" max="11778" width="6.42578125" style="1228" customWidth="1"/>
    <col min="11779" max="11779" width="36.28515625" style="1228" bestFit="1" customWidth="1"/>
    <col min="11780" max="11780" width="18.28515625" style="1228" bestFit="1" customWidth="1"/>
    <col min="11781" max="11781" width="16.42578125" style="1228" customWidth="1"/>
    <col min="11782" max="11782" width="18.28515625" style="1228" bestFit="1" customWidth="1"/>
    <col min="11783" max="11783" width="13.42578125" style="1228" customWidth="1"/>
    <col min="11784" max="11784" width="18.28515625" style="1228" bestFit="1" customWidth="1"/>
    <col min="11785" max="11785" width="10.28515625" style="1228" bestFit="1" customWidth="1"/>
    <col min="11786" max="11786" width="18.28515625" style="1228" bestFit="1" customWidth="1"/>
    <col min="11787" max="11787" width="10.28515625" style="1228" bestFit="1" customWidth="1"/>
    <col min="11788" max="12033" width="9.140625" style="1228"/>
    <col min="12034" max="12034" width="6.42578125" style="1228" customWidth="1"/>
    <col min="12035" max="12035" width="36.28515625" style="1228" bestFit="1" customWidth="1"/>
    <col min="12036" max="12036" width="18.28515625" style="1228" bestFit="1" customWidth="1"/>
    <col min="12037" max="12037" width="16.42578125" style="1228" customWidth="1"/>
    <col min="12038" max="12038" width="18.28515625" style="1228" bestFit="1" customWidth="1"/>
    <col min="12039" max="12039" width="13.42578125" style="1228" customWidth="1"/>
    <col min="12040" max="12040" width="18.28515625" style="1228" bestFit="1" customWidth="1"/>
    <col min="12041" max="12041" width="10.28515625" style="1228" bestFit="1" customWidth="1"/>
    <col min="12042" max="12042" width="18.28515625" style="1228" bestFit="1" customWidth="1"/>
    <col min="12043" max="12043" width="10.28515625" style="1228" bestFit="1" customWidth="1"/>
    <col min="12044" max="12289" width="9.140625" style="1228"/>
    <col min="12290" max="12290" width="6.42578125" style="1228" customWidth="1"/>
    <col min="12291" max="12291" width="36.28515625" style="1228" bestFit="1" customWidth="1"/>
    <col min="12292" max="12292" width="18.28515625" style="1228" bestFit="1" customWidth="1"/>
    <col min="12293" max="12293" width="16.42578125" style="1228" customWidth="1"/>
    <col min="12294" max="12294" width="18.28515625" style="1228" bestFit="1" customWidth="1"/>
    <col min="12295" max="12295" width="13.42578125" style="1228" customWidth="1"/>
    <col min="12296" max="12296" width="18.28515625" style="1228" bestFit="1" customWidth="1"/>
    <col min="12297" max="12297" width="10.28515625" style="1228" bestFit="1" customWidth="1"/>
    <col min="12298" max="12298" width="18.28515625" style="1228" bestFit="1" customWidth="1"/>
    <col min="12299" max="12299" width="10.28515625" style="1228" bestFit="1" customWidth="1"/>
    <col min="12300" max="12545" width="9.140625" style="1228"/>
    <col min="12546" max="12546" width="6.42578125" style="1228" customWidth="1"/>
    <col min="12547" max="12547" width="36.28515625" style="1228" bestFit="1" customWidth="1"/>
    <col min="12548" max="12548" width="18.28515625" style="1228" bestFit="1" customWidth="1"/>
    <col min="12549" max="12549" width="16.42578125" style="1228" customWidth="1"/>
    <col min="12550" max="12550" width="18.28515625" style="1228" bestFit="1" customWidth="1"/>
    <col min="12551" max="12551" width="13.42578125" style="1228" customWidth="1"/>
    <col min="12552" max="12552" width="18.28515625" style="1228" bestFit="1" customWidth="1"/>
    <col min="12553" max="12553" width="10.28515625" style="1228" bestFit="1" customWidth="1"/>
    <col min="12554" max="12554" width="18.28515625" style="1228" bestFit="1" customWidth="1"/>
    <col min="12555" max="12555" width="10.28515625" style="1228" bestFit="1" customWidth="1"/>
    <col min="12556" max="12801" width="9.140625" style="1228"/>
    <col min="12802" max="12802" width="6.42578125" style="1228" customWidth="1"/>
    <col min="12803" max="12803" width="36.28515625" style="1228" bestFit="1" customWidth="1"/>
    <col min="12804" max="12804" width="18.28515625" style="1228" bestFit="1" customWidth="1"/>
    <col min="12805" max="12805" width="16.42578125" style="1228" customWidth="1"/>
    <col min="12806" max="12806" width="18.28515625" style="1228" bestFit="1" customWidth="1"/>
    <col min="12807" max="12807" width="13.42578125" style="1228" customWidth="1"/>
    <col min="12808" max="12808" width="18.28515625" style="1228" bestFit="1" customWidth="1"/>
    <col min="12809" max="12809" width="10.28515625" style="1228" bestFit="1" customWidth="1"/>
    <col min="12810" max="12810" width="18.28515625" style="1228" bestFit="1" customWidth="1"/>
    <col min="12811" max="12811" width="10.28515625" style="1228" bestFit="1" customWidth="1"/>
    <col min="12812" max="13057" width="9.140625" style="1228"/>
    <col min="13058" max="13058" width="6.42578125" style="1228" customWidth="1"/>
    <col min="13059" max="13059" width="36.28515625" style="1228" bestFit="1" customWidth="1"/>
    <col min="13060" max="13060" width="18.28515625" style="1228" bestFit="1" customWidth="1"/>
    <col min="13061" max="13061" width="16.42578125" style="1228" customWidth="1"/>
    <col min="13062" max="13062" width="18.28515625" style="1228" bestFit="1" customWidth="1"/>
    <col min="13063" max="13063" width="13.42578125" style="1228" customWidth="1"/>
    <col min="13064" max="13064" width="18.28515625" style="1228" bestFit="1" customWidth="1"/>
    <col min="13065" max="13065" width="10.28515625" style="1228" bestFit="1" customWidth="1"/>
    <col min="13066" max="13066" width="18.28515625" style="1228" bestFit="1" customWidth="1"/>
    <col min="13067" max="13067" width="10.28515625" style="1228" bestFit="1" customWidth="1"/>
    <col min="13068" max="13313" width="9.140625" style="1228"/>
    <col min="13314" max="13314" width="6.42578125" style="1228" customWidth="1"/>
    <col min="13315" max="13315" width="36.28515625" style="1228" bestFit="1" customWidth="1"/>
    <col min="13316" max="13316" width="18.28515625" style="1228" bestFit="1" customWidth="1"/>
    <col min="13317" max="13317" width="16.42578125" style="1228" customWidth="1"/>
    <col min="13318" max="13318" width="18.28515625" style="1228" bestFit="1" customWidth="1"/>
    <col min="13319" max="13319" width="13.42578125" style="1228" customWidth="1"/>
    <col min="13320" max="13320" width="18.28515625" style="1228" bestFit="1" customWidth="1"/>
    <col min="13321" max="13321" width="10.28515625" style="1228" bestFit="1" customWidth="1"/>
    <col min="13322" max="13322" width="18.28515625" style="1228" bestFit="1" customWidth="1"/>
    <col min="13323" max="13323" width="10.28515625" style="1228" bestFit="1" customWidth="1"/>
    <col min="13324" max="13569" width="9.140625" style="1228"/>
    <col min="13570" max="13570" width="6.42578125" style="1228" customWidth="1"/>
    <col min="13571" max="13571" width="36.28515625" style="1228" bestFit="1" customWidth="1"/>
    <col min="13572" max="13572" width="18.28515625" style="1228" bestFit="1" customWidth="1"/>
    <col min="13573" max="13573" width="16.42578125" style="1228" customWidth="1"/>
    <col min="13574" max="13574" width="18.28515625" style="1228" bestFit="1" customWidth="1"/>
    <col min="13575" max="13575" width="13.42578125" style="1228" customWidth="1"/>
    <col min="13576" max="13576" width="18.28515625" style="1228" bestFit="1" customWidth="1"/>
    <col min="13577" max="13577" width="10.28515625" style="1228" bestFit="1" customWidth="1"/>
    <col min="13578" max="13578" width="18.28515625" style="1228" bestFit="1" customWidth="1"/>
    <col min="13579" max="13579" width="10.28515625" style="1228" bestFit="1" customWidth="1"/>
    <col min="13580" max="13825" width="9.140625" style="1228"/>
    <col min="13826" max="13826" width="6.42578125" style="1228" customWidth="1"/>
    <col min="13827" max="13827" width="36.28515625" style="1228" bestFit="1" customWidth="1"/>
    <col min="13828" max="13828" width="18.28515625" style="1228" bestFit="1" customWidth="1"/>
    <col min="13829" max="13829" width="16.42578125" style="1228" customWidth="1"/>
    <col min="13830" max="13830" width="18.28515625" style="1228" bestFit="1" customWidth="1"/>
    <col min="13831" max="13831" width="13.42578125" style="1228" customWidth="1"/>
    <col min="13832" max="13832" width="18.28515625" style="1228" bestFit="1" customWidth="1"/>
    <col min="13833" max="13833" width="10.28515625" style="1228" bestFit="1" customWidth="1"/>
    <col min="13834" max="13834" width="18.28515625" style="1228" bestFit="1" customWidth="1"/>
    <col min="13835" max="13835" width="10.28515625" style="1228" bestFit="1" customWidth="1"/>
    <col min="13836" max="14081" width="9.140625" style="1228"/>
    <col min="14082" max="14082" width="6.42578125" style="1228" customWidth="1"/>
    <col min="14083" max="14083" width="36.28515625" style="1228" bestFit="1" customWidth="1"/>
    <col min="14084" max="14084" width="18.28515625" style="1228" bestFit="1" customWidth="1"/>
    <col min="14085" max="14085" width="16.42578125" style="1228" customWidth="1"/>
    <col min="14086" max="14086" width="18.28515625" style="1228" bestFit="1" customWidth="1"/>
    <col min="14087" max="14087" width="13.42578125" style="1228" customWidth="1"/>
    <col min="14088" max="14088" width="18.28515625" style="1228" bestFit="1" customWidth="1"/>
    <col min="14089" max="14089" width="10.28515625" style="1228" bestFit="1" customWidth="1"/>
    <col min="14090" max="14090" width="18.28515625" style="1228" bestFit="1" customWidth="1"/>
    <col min="14091" max="14091" width="10.28515625" style="1228" bestFit="1" customWidth="1"/>
    <col min="14092" max="14337" width="9.140625" style="1228"/>
    <col min="14338" max="14338" width="6.42578125" style="1228" customWidth="1"/>
    <col min="14339" max="14339" width="36.28515625" style="1228" bestFit="1" customWidth="1"/>
    <col min="14340" max="14340" width="18.28515625" style="1228" bestFit="1" customWidth="1"/>
    <col min="14341" max="14341" width="16.42578125" style="1228" customWidth="1"/>
    <col min="14342" max="14342" width="18.28515625" style="1228" bestFit="1" customWidth="1"/>
    <col min="14343" max="14343" width="13.42578125" style="1228" customWidth="1"/>
    <col min="14344" max="14344" width="18.28515625" style="1228" bestFit="1" customWidth="1"/>
    <col min="14345" max="14345" width="10.28515625" style="1228" bestFit="1" customWidth="1"/>
    <col min="14346" max="14346" width="18.28515625" style="1228" bestFit="1" customWidth="1"/>
    <col min="14347" max="14347" width="10.28515625" style="1228" bestFit="1" customWidth="1"/>
    <col min="14348" max="14593" width="9.140625" style="1228"/>
    <col min="14594" max="14594" width="6.42578125" style="1228" customWidth="1"/>
    <col min="14595" max="14595" width="36.28515625" style="1228" bestFit="1" customWidth="1"/>
    <col min="14596" max="14596" width="18.28515625" style="1228" bestFit="1" customWidth="1"/>
    <col min="14597" max="14597" width="16.42578125" style="1228" customWidth="1"/>
    <col min="14598" max="14598" width="18.28515625" style="1228" bestFit="1" customWidth="1"/>
    <col min="14599" max="14599" width="13.42578125" style="1228" customWidth="1"/>
    <col min="14600" max="14600" width="18.28515625" style="1228" bestFit="1" customWidth="1"/>
    <col min="14601" max="14601" width="10.28515625" style="1228" bestFit="1" customWidth="1"/>
    <col min="14602" max="14602" width="18.28515625" style="1228" bestFit="1" customWidth="1"/>
    <col min="14603" max="14603" width="10.28515625" style="1228" bestFit="1" customWidth="1"/>
    <col min="14604" max="14849" width="9.140625" style="1228"/>
    <col min="14850" max="14850" width="6.42578125" style="1228" customWidth="1"/>
    <col min="14851" max="14851" width="36.28515625" style="1228" bestFit="1" customWidth="1"/>
    <col min="14852" max="14852" width="18.28515625" style="1228" bestFit="1" customWidth="1"/>
    <col min="14853" max="14853" width="16.42578125" style="1228" customWidth="1"/>
    <col min="14854" max="14854" width="18.28515625" style="1228" bestFit="1" customWidth="1"/>
    <col min="14855" max="14855" width="13.42578125" style="1228" customWidth="1"/>
    <col min="14856" max="14856" width="18.28515625" style="1228" bestFit="1" customWidth="1"/>
    <col min="14857" max="14857" width="10.28515625" style="1228" bestFit="1" customWidth="1"/>
    <col min="14858" max="14858" width="18.28515625" style="1228" bestFit="1" customWidth="1"/>
    <col min="14859" max="14859" width="10.28515625" style="1228" bestFit="1" customWidth="1"/>
    <col min="14860" max="15105" width="9.140625" style="1228"/>
    <col min="15106" max="15106" width="6.42578125" style="1228" customWidth="1"/>
    <col min="15107" max="15107" width="36.28515625" style="1228" bestFit="1" customWidth="1"/>
    <col min="15108" max="15108" width="18.28515625" style="1228" bestFit="1" customWidth="1"/>
    <col min="15109" max="15109" width="16.42578125" style="1228" customWidth="1"/>
    <col min="15110" max="15110" width="18.28515625" style="1228" bestFit="1" customWidth="1"/>
    <col min="15111" max="15111" width="13.42578125" style="1228" customWidth="1"/>
    <col min="15112" max="15112" width="18.28515625" style="1228" bestFit="1" customWidth="1"/>
    <col min="15113" max="15113" width="10.28515625" style="1228" bestFit="1" customWidth="1"/>
    <col min="15114" max="15114" width="18.28515625" style="1228" bestFit="1" customWidth="1"/>
    <col min="15115" max="15115" width="10.28515625" style="1228" bestFit="1" customWidth="1"/>
    <col min="15116" max="15361" width="9.140625" style="1228"/>
    <col min="15362" max="15362" width="6.42578125" style="1228" customWidth="1"/>
    <col min="15363" max="15363" width="36.28515625" style="1228" bestFit="1" customWidth="1"/>
    <col min="15364" max="15364" width="18.28515625" style="1228" bestFit="1" customWidth="1"/>
    <col min="15365" max="15365" width="16.42578125" style="1228" customWidth="1"/>
    <col min="15366" max="15366" width="18.28515625" style="1228" bestFit="1" customWidth="1"/>
    <col min="15367" max="15367" width="13.42578125" style="1228" customWidth="1"/>
    <col min="15368" max="15368" width="18.28515625" style="1228" bestFit="1" customWidth="1"/>
    <col min="15369" max="15369" width="10.28515625" style="1228" bestFit="1" customWidth="1"/>
    <col min="15370" max="15370" width="18.28515625" style="1228" bestFit="1" customWidth="1"/>
    <col min="15371" max="15371" width="10.28515625" style="1228" bestFit="1" customWidth="1"/>
    <col min="15372" max="15617" width="9.140625" style="1228"/>
    <col min="15618" max="15618" width="6.42578125" style="1228" customWidth="1"/>
    <col min="15619" max="15619" width="36.28515625" style="1228" bestFit="1" customWidth="1"/>
    <col min="15620" max="15620" width="18.28515625" style="1228" bestFit="1" customWidth="1"/>
    <col min="15621" max="15621" width="16.42578125" style="1228" customWidth="1"/>
    <col min="15622" max="15622" width="18.28515625" style="1228" bestFit="1" customWidth="1"/>
    <col min="15623" max="15623" width="13.42578125" style="1228" customWidth="1"/>
    <col min="15624" max="15624" width="18.28515625" style="1228" bestFit="1" customWidth="1"/>
    <col min="15625" max="15625" width="10.28515625" style="1228" bestFit="1" customWidth="1"/>
    <col min="15626" max="15626" width="18.28515625" style="1228" bestFit="1" customWidth="1"/>
    <col min="15627" max="15627" width="10.28515625" style="1228" bestFit="1" customWidth="1"/>
    <col min="15628" max="15873" width="9.140625" style="1228"/>
    <col min="15874" max="15874" width="6.42578125" style="1228" customWidth="1"/>
    <col min="15875" max="15875" width="36.28515625" style="1228" bestFit="1" customWidth="1"/>
    <col min="15876" max="15876" width="18.28515625" style="1228" bestFit="1" customWidth="1"/>
    <col min="15877" max="15877" width="16.42578125" style="1228" customWidth="1"/>
    <col min="15878" max="15878" width="18.28515625" style="1228" bestFit="1" customWidth="1"/>
    <col min="15879" max="15879" width="13.42578125" style="1228" customWidth="1"/>
    <col min="15880" max="15880" width="18.28515625" style="1228" bestFit="1" customWidth="1"/>
    <col min="15881" max="15881" width="10.28515625" style="1228" bestFit="1" customWidth="1"/>
    <col min="15882" max="15882" width="18.28515625" style="1228" bestFit="1" customWidth="1"/>
    <col min="15883" max="15883" width="10.28515625" style="1228" bestFit="1" customWidth="1"/>
    <col min="15884" max="16129" width="9.140625" style="1228"/>
    <col min="16130" max="16130" width="6.42578125" style="1228" customWidth="1"/>
    <col min="16131" max="16131" width="36.28515625" style="1228" bestFit="1" customWidth="1"/>
    <col min="16132" max="16132" width="18.28515625" style="1228" bestFit="1" customWidth="1"/>
    <col min="16133" max="16133" width="16.42578125" style="1228" customWidth="1"/>
    <col min="16134" max="16134" width="18.28515625" style="1228" bestFit="1" customWidth="1"/>
    <col min="16135" max="16135" width="13.42578125" style="1228" customWidth="1"/>
    <col min="16136" max="16136" width="18.28515625" style="1228" bestFit="1" customWidth="1"/>
    <col min="16137" max="16137" width="10.28515625" style="1228" bestFit="1" customWidth="1"/>
    <col min="16138" max="16138" width="18.28515625" style="1228" bestFit="1" customWidth="1"/>
    <col min="16139" max="16139" width="10.28515625" style="1228" bestFit="1" customWidth="1"/>
    <col min="16140" max="16384" width="9.140625" style="1228"/>
  </cols>
  <sheetData>
    <row r="1" spans="1:9">
      <c r="A1" s="229"/>
      <c r="B1" s="2654" t="s">
        <v>1998</v>
      </c>
      <c r="C1" s="2654"/>
      <c r="D1" s="2654"/>
      <c r="E1" s="2654"/>
      <c r="F1" s="2654"/>
    </row>
    <row r="2" spans="1:9">
      <c r="A2" s="2280"/>
      <c r="B2" s="2658" t="s">
        <v>1999</v>
      </c>
      <c r="C2" s="2658"/>
      <c r="D2" s="2658"/>
      <c r="E2" s="2281"/>
      <c r="F2" s="2281"/>
    </row>
    <row r="3" spans="1:9">
      <c r="A3" s="2280"/>
      <c r="B3" s="2659" t="s">
        <v>2000</v>
      </c>
      <c r="C3" s="2659" t="s">
        <v>1848</v>
      </c>
      <c r="D3" s="2659"/>
      <c r="E3" s="2281"/>
      <c r="F3" s="2281"/>
    </row>
    <row r="4" spans="1:9" ht="30">
      <c r="A4" s="2280"/>
      <c r="B4" s="2659"/>
      <c r="C4" s="2282" t="s">
        <v>2001</v>
      </c>
      <c r="D4" s="2282" t="s">
        <v>2002</v>
      </c>
      <c r="E4" s="2283" t="s">
        <v>2003</v>
      </c>
      <c r="F4" s="2283" t="s">
        <v>2004</v>
      </c>
    </row>
    <row r="5" spans="1:9" ht="28.5">
      <c r="A5" s="2280"/>
      <c r="B5" s="2284" t="s">
        <v>2005</v>
      </c>
      <c r="C5" s="2285">
        <f>('Depreciation New'!F22-'Depreciation New'!F19)/100-C8</f>
        <v>3595.0213155461774</v>
      </c>
      <c r="D5" s="2285"/>
      <c r="E5" s="2281"/>
      <c r="F5" s="2281"/>
    </row>
    <row r="6" spans="1:9">
      <c r="A6" s="2280"/>
      <c r="B6" s="2284" t="s">
        <v>2006</v>
      </c>
      <c r="C6" s="2286">
        <v>4.4999999999999998E-2</v>
      </c>
      <c r="D6" s="2287">
        <v>0.03</v>
      </c>
      <c r="E6" s="2281"/>
      <c r="F6" s="2281"/>
    </row>
    <row r="7" spans="1:9">
      <c r="A7" s="2280"/>
      <c r="B7" s="2284" t="s">
        <v>2007</v>
      </c>
      <c r="C7" s="2285">
        <f>C5*C6</f>
        <v>161.77595919957798</v>
      </c>
      <c r="D7" s="2285">
        <f>D5*D6</f>
        <v>0</v>
      </c>
      <c r="E7" s="2281"/>
      <c r="F7" s="2281"/>
    </row>
    <row r="8" spans="1:9" ht="28.5">
      <c r="A8" s="2280"/>
      <c r="B8" s="2284" t="s">
        <v>2008</v>
      </c>
      <c r="C8" s="2288">
        <f>'Depreciation New'!F21/100</f>
        <v>648.21804156870394</v>
      </c>
      <c r="D8" s="2288">
        <v>3051.85</v>
      </c>
      <c r="E8" s="2281"/>
      <c r="F8" s="2281"/>
    </row>
    <row r="9" spans="1:9" ht="28.5">
      <c r="A9" s="2280"/>
      <c r="B9" s="2284" t="s">
        <v>2009</v>
      </c>
      <c r="C9" s="2287">
        <v>0.03</v>
      </c>
      <c r="D9" s="2287">
        <v>0.03</v>
      </c>
      <c r="E9" s="2281"/>
      <c r="F9" s="2281"/>
    </row>
    <row r="10" spans="1:9">
      <c r="A10" s="2280"/>
      <c r="B10" s="2284" t="s">
        <v>2010</v>
      </c>
      <c r="C10" s="2285">
        <f>C8*C9</f>
        <v>19.446541247061116</v>
      </c>
      <c r="D10" s="2285">
        <f>D8*D9</f>
        <v>91.555499999999995</v>
      </c>
      <c r="E10" s="2281"/>
      <c r="F10" s="2281"/>
      <c r="G10" s="2277" t="s">
        <v>2011</v>
      </c>
      <c r="H10" s="2277" t="s">
        <v>239</v>
      </c>
    </row>
    <row r="11" spans="1:9">
      <c r="A11" s="2280"/>
      <c r="B11" s="2281" t="s">
        <v>2012</v>
      </c>
      <c r="C11" s="2289">
        <f>C7+C10</f>
        <v>181.22250044663909</v>
      </c>
      <c r="D11" s="2289">
        <f>D7+D10</f>
        <v>91.555499999999995</v>
      </c>
      <c r="E11" s="2290">
        <f>C11+D11</f>
        <v>272.77800044663911</v>
      </c>
      <c r="F11" s="2281"/>
      <c r="G11" s="2278">
        <v>43.46</v>
      </c>
      <c r="H11" s="2279">
        <f>E11+G11</f>
        <v>316.23800044663909</v>
      </c>
    </row>
    <row r="12" spans="1:9">
      <c r="A12" s="2280"/>
      <c r="B12" s="2280"/>
      <c r="C12" s="2280"/>
      <c r="D12" s="2280"/>
      <c r="E12" s="2280"/>
      <c r="F12" s="2280"/>
    </row>
    <row r="13" spans="1:9">
      <c r="A13" s="2660" t="s">
        <v>2013</v>
      </c>
      <c r="B13" s="2660"/>
      <c r="C13" s="2660"/>
      <c r="D13" s="2660"/>
      <c r="E13" s="2660"/>
      <c r="F13" s="2660"/>
    </row>
    <row r="14" spans="1:9">
      <c r="A14" s="2660" t="s">
        <v>2014</v>
      </c>
      <c r="B14" s="2660"/>
      <c r="C14" s="2660"/>
      <c r="D14" s="2660"/>
      <c r="E14" s="2660"/>
      <c r="F14" s="2660"/>
    </row>
    <row r="15" spans="1:9" ht="45">
      <c r="A15" s="2291" t="s">
        <v>509</v>
      </c>
      <c r="B15" s="2292" t="s">
        <v>2015</v>
      </c>
      <c r="C15" s="2282" t="s">
        <v>2016</v>
      </c>
      <c r="D15" s="2282" t="s">
        <v>2017</v>
      </c>
      <c r="E15" s="2282" t="s">
        <v>2018</v>
      </c>
      <c r="F15" s="2282" t="s">
        <v>2019</v>
      </c>
    </row>
    <row r="16" spans="1:9">
      <c r="A16" s="2293">
        <v>1</v>
      </c>
      <c r="B16" s="2281" t="s">
        <v>2020</v>
      </c>
      <c r="C16" s="2294">
        <f>'[25]TU-4-R&amp;M'!$D$14*100</f>
        <v>39</v>
      </c>
      <c r="D16" s="2290">
        <v>22.057229569001809</v>
      </c>
      <c r="E16" s="2290">
        <v>42.215365598780579</v>
      </c>
      <c r="F16" s="2290">
        <v>52.778125912143025</v>
      </c>
      <c r="I16" s="1229"/>
    </row>
    <row r="17" spans="1:16">
      <c r="A17" s="2293">
        <v>2</v>
      </c>
      <c r="B17" s="2281" t="s">
        <v>2021</v>
      </c>
      <c r="C17" s="2290">
        <f>SUM('[25]TU-4-R&amp;M'!$D$9:$D$11)*100</f>
        <v>2254</v>
      </c>
      <c r="D17" s="2290">
        <v>1274.7947550905146</v>
      </c>
      <c r="E17" s="2290">
        <v>2439.8316425551643</v>
      </c>
      <c r="F17" s="2290">
        <v>3050.3050206659073</v>
      </c>
      <c r="K17" s="1594"/>
      <c r="L17" s="1594"/>
      <c r="M17" s="1594"/>
    </row>
    <row r="18" spans="1:16">
      <c r="A18" s="2293">
        <v>3</v>
      </c>
      <c r="B18" s="2281" t="s">
        <v>2022</v>
      </c>
      <c r="C18" s="2290">
        <v>0</v>
      </c>
      <c r="D18" s="2290">
        <v>0</v>
      </c>
      <c r="E18" s="2290">
        <v>0</v>
      </c>
      <c r="F18" s="2290">
        <v>0</v>
      </c>
      <c r="J18" s="1594"/>
      <c r="K18" s="1596"/>
      <c r="L18" s="1596"/>
      <c r="M18" s="1596"/>
      <c r="N18" s="1596"/>
      <c r="O18" s="1596"/>
      <c r="P18" s="1596"/>
    </row>
    <row r="19" spans="1:16">
      <c r="A19" s="2293">
        <v>4</v>
      </c>
      <c r="B19" s="2281" t="s">
        <v>2023</v>
      </c>
      <c r="C19" s="2290">
        <v>0</v>
      </c>
      <c r="D19" s="2290">
        <v>0</v>
      </c>
      <c r="E19" s="2290">
        <v>0</v>
      </c>
      <c r="F19" s="2290">
        <v>0</v>
      </c>
      <c r="J19" s="1594"/>
      <c r="K19" s="1596"/>
      <c r="L19" s="1596"/>
      <c r="M19" s="1596"/>
      <c r="N19" s="1596"/>
      <c r="O19" s="1596"/>
      <c r="P19" s="1596"/>
    </row>
    <row r="20" spans="1:16">
      <c r="A20" s="2293">
        <v>5</v>
      </c>
      <c r="B20" s="2281" t="s">
        <v>2024</v>
      </c>
      <c r="C20" s="2290">
        <f>SUM('[25]TU-4-R&amp;M'!$D$4:$D$7)*100</f>
        <v>6072</v>
      </c>
      <c r="D20" s="2290">
        <v>3434.140972896897</v>
      </c>
      <c r="E20" s="2290">
        <v>6572.6076901486067</v>
      </c>
      <c r="F20" s="2290">
        <v>8217.1482189367307</v>
      </c>
      <c r="J20" s="1594"/>
      <c r="K20" s="1596"/>
      <c r="L20" s="1596"/>
      <c r="M20" s="1596"/>
      <c r="N20" s="1596"/>
      <c r="O20" s="1596"/>
      <c r="P20" s="1596"/>
    </row>
    <row r="21" spans="1:16">
      <c r="A21" s="2293">
        <v>6</v>
      </c>
      <c r="B21" s="2281" t="s">
        <v>2025</v>
      </c>
      <c r="C21" s="2290">
        <f>('[25]TU-4-R&amp;M'!$D$12+'[25]TU-4-R&amp;M'!$D$13)*100</f>
        <v>27.999999999999996</v>
      </c>
      <c r="D21" s="2290">
        <v>15.835959690565399</v>
      </c>
      <c r="E21" s="2290">
        <v>30.308467609380923</v>
      </c>
      <c r="F21" s="2290">
        <v>37.891987834359092</v>
      </c>
      <c r="J21" s="1594"/>
      <c r="K21" s="1596"/>
      <c r="L21" s="1596"/>
      <c r="M21" s="1596"/>
      <c r="N21" s="1596"/>
      <c r="O21" s="1596"/>
      <c r="P21" s="1596"/>
    </row>
    <row r="22" spans="1:16" ht="28.5">
      <c r="A22" s="2293">
        <v>8</v>
      </c>
      <c r="B22" s="2295" t="s">
        <v>2026</v>
      </c>
      <c r="C22" s="2290">
        <v>0</v>
      </c>
      <c r="D22" s="2290">
        <v>0</v>
      </c>
      <c r="E22" s="2290">
        <v>0</v>
      </c>
      <c r="F22" s="2290">
        <v>0</v>
      </c>
      <c r="J22" s="1594"/>
      <c r="K22" s="1596"/>
      <c r="L22" s="1596"/>
      <c r="M22" s="1596"/>
      <c r="N22" s="1596"/>
      <c r="O22" s="1596"/>
      <c r="P22" s="1596"/>
    </row>
    <row r="23" spans="1:16">
      <c r="A23" s="2293">
        <v>9</v>
      </c>
      <c r="B23" s="2296" t="s">
        <v>274</v>
      </c>
      <c r="C23" s="2297">
        <f>SUM(C16:C22)</f>
        <v>8393</v>
      </c>
      <c r="D23" s="2297">
        <f>SUM(D16:D22)</f>
        <v>4746.8289172469786</v>
      </c>
      <c r="E23" s="2297">
        <f>SUM(E16:E22)</f>
        <v>9084.9631659119314</v>
      </c>
      <c r="F23" s="2297">
        <f>SUM(F16:F22)</f>
        <v>11358.12335334914</v>
      </c>
      <c r="J23" s="1595"/>
      <c r="K23" s="1595"/>
      <c r="L23" s="1595"/>
      <c r="M23" s="1595"/>
      <c r="N23" s="1595"/>
      <c r="O23" s="1595"/>
      <c r="P23" s="1595"/>
    </row>
    <row r="24" spans="1:16">
      <c r="A24" s="2660" t="s">
        <v>2027</v>
      </c>
      <c r="B24" s="2660"/>
      <c r="C24" s="2660"/>
      <c r="D24" s="2660"/>
      <c r="E24" s="2660"/>
      <c r="F24" s="2660"/>
    </row>
    <row r="25" spans="1:16" ht="45">
      <c r="A25" s="2291" t="s">
        <v>509</v>
      </c>
      <c r="B25" s="2292" t="s">
        <v>2028</v>
      </c>
      <c r="C25" s="2282" t="s">
        <v>2016</v>
      </c>
      <c r="D25" s="2282" t="s">
        <v>2017</v>
      </c>
      <c r="E25" s="2282" t="s">
        <v>2018</v>
      </c>
      <c r="F25" s="2282" t="s">
        <v>2029</v>
      </c>
    </row>
    <row r="26" spans="1:16">
      <c r="A26" s="2293">
        <v>1</v>
      </c>
      <c r="B26" s="2281" t="s">
        <v>2020</v>
      </c>
      <c r="C26" s="2290">
        <v>0</v>
      </c>
      <c r="D26" s="2290">
        <v>0</v>
      </c>
      <c r="E26" s="2290">
        <v>0</v>
      </c>
      <c r="F26" s="2290">
        <v>0</v>
      </c>
    </row>
    <row r="27" spans="1:16">
      <c r="A27" s="2293">
        <v>2</v>
      </c>
      <c r="B27" s="2281" t="s">
        <v>2021</v>
      </c>
      <c r="C27" s="253">
        <v>15360</v>
      </c>
      <c r="D27" s="253">
        <v>8687.1550302530213</v>
      </c>
      <c r="E27" s="253">
        <v>16626.359374288968</v>
      </c>
      <c r="F27" s="253">
        <v>20786.461897705565</v>
      </c>
    </row>
    <row r="28" spans="1:16">
      <c r="A28" s="2293">
        <v>3</v>
      </c>
      <c r="B28" s="2281" t="s">
        <v>2022</v>
      </c>
      <c r="C28" s="253">
        <v>0</v>
      </c>
      <c r="D28" s="253">
        <v>0</v>
      </c>
      <c r="E28" s="253">
        <v>0</v>
      </c>
      <c r="F28" s="253">
        <v>0</v>
      </c>
    </row>
    <row r="29" spans="1:16">
      <c r="A29" s="2293">
        <v>4</v>
      </c>
      <c r="B29" s="2281" t="s">
        <v>2023</v>
      </c>
      <c r="C29" s="253">
        <v>0</v>
      </c>
      <c r="D29" s="253">
        <v>0</v>
      </c>
      <c r="E29" s="253">
        <v>0</v>
      </c>
      <c r="F29" s="253">
        <v>0</v>
      </c>
    </row>
    <row r="30" spans="1:16">
      <c r="A30" s="2293">
        <v>5</v>
      </c>
      <c r="B30" s="2281" t="s">
        <v>2024</v>
      </c>
      <c r="C30" s="253">
        <v>0</v>
      </c>
      <c r="D30" s="253">
        <v>0</v>
      </c>
      <c r="E30" s="253">
        <v>0</v>
      </c>
      <c r="F30" s="253">
        <v>0</v>
      </c>
    </row>
    <row r="31" spans="1:16">
      <c r="A31" s="2293">
        <v>6</v>
      </c>
      <c r="B31" s="2281" t="s">
        <v>2025</v>
      </c>
      <c r="C31" s="253">
        <v>0</v>
      </c>
      <c r="D31" s="253">
        <v>0</v>
      </c>
      <c r="E31" s="253">
        <v>0</v>
      </c>
      <c r="F31" s="253">
        <v>0</v>
      </c>
    </row>
    <row r="32" spans="1:16" ht="28.5">
      <c r="A32" s="2293">
        <v>8</v>
      </c>
      <c r="B32" s="2295" t="s">
        <v>2026</v>
      </c>
      <c r="C32" s="253">
        <v>0</v>
      </c>
      <c r="D32" s="253">
        <v>0</v>
      </c>
      <c r="E32" s="253">
        <v>0</v>
      </c>
      <c r="F32" s="253">
        <v>0</v>
      </c>
    </row>
    <row r="33" spans="1:11">
      <c r="A33" s="2293">
        <v>9</v>
      </c>
      <c r="B33" s="2296" t="s">
        <v>274</v>
      </c>
      <c r="C33" s="2297">
        <f>SUM(C26:C32)</f>
        <v>15360</v>
      </c>
      <c r="D33" s="2297">
        <f>SUM(D26:D32)</f>
        <v>8687.1550302530213</v>
      </c>
      <c r="E33" s="2297">
        <f>SUM(E26:E32)</f>
        <v>16626.359374288968</v>
      </c>
      <c r="F33" s="2297">
        <f>SUM(F26:F32)</f>
        <v>20786.461897705565</v>
      </c>
    </row>
    <row r="34" spans="1:11">
      <c r="A34" s="2655" t="s">
        <v>2030</v>
      </c>
      <c r="B34" s="2655"/>
      <c r="C34" s="2655"/>
      <c r="D34" s="2655"/>
      <c r="E34" s="2655"/>
      <c r="F34" s="2655"/>
    </row>
    <row r="35" spans="1:11">
      <c r="A35" s="248"/>
      <c r="B35" s="2298"/>
      <c r="C35" s="2299"/>
      <c r="D35" s="2299"/>
      <c r="E35" s="2299"/>
      <c r="F35" s="2299"/>
    </row>
    <row r="36" spans="1:11">
      <c r="A36" s="232">
        <v>10</v>
      </c>
      <c r="B36" s="230" t="s">
        <v>2031</v>
      </c>
      <c r="C36" s="243">
        <f>C33+C23</f>
        <v>23753</v>
      </c>
      <c r="D36" s="243">
        <f t="shared" ref="D36:F36" si="0">D33+D23</f>
        <v>13433.983947500001</v>
      </c>
      <c r="E36" s="243">
        <f t="shared" si="0"/>
        <v>25711.322540200897</v>
      </c>
      <c r="F36" s="243">
        <f t="shared" si="0"/>
        <v>32144.585251054705</v>
      </c>
    </row>
    <row r="37" spans="1:11">
      <c r="C37" s="1230"/>
      <c r="D37" s="1229"/>
      <c r="E37" s="2656"/>
      <c r="F37" s="2657"/>
      <c r="G37" s="2657"/>
      <c r="H37" s="2657"/>
      <c r="I37" s="2657"/>
      <c r="J37" s="2657"/>
      <c r="K37" s="1231"/>
    </row>
    <row r="38" spans="1:11">
      <c r="E38" s="1231"/>
      <c r="F38" s="1231"/>
      <c r="G38" s="1231"/>
      <c r="H38" s="1231"/>
      <c r="I38" s="1231"/>
      <c r="J38" s="1231"/>
      <c r="K38" s="1231"/>
    </row>
    <row r="39" spans="1:11">
      <c r="E39" s="1232"/>
      <c r="F39" s="1232"/>
      <c r="G39" s="1233"/>
      <c r="H39" s="1232"/>
      <c r="I39" s="1232"/>
      <c r="J39" s="1232"/>
      <c r="K39" s="1232"/>
    </row>
    <row r="40" spans="1:11">
      <c r="E40" s="1234"/>
      <c r="F40" s="1234"/>
      <c r="G40" s="1233"/>
      <c r="H40" s="1234"/>
      <c r="I40" s="1234"/>
      <c r="J40" s="1234"/>
      <c r="K40" s="1234"/>
    </row>
    <row r="41" spans="1:11">
      <c r="E41" s="1232"/>
      <c r="F41" s="1767" t="s">
        <v>1882</v>
      </c>
      <c r="G41" s="1232"/>
      <c r="H41" s="1232"/>
      <c r="I41" s="1232"/>
      <c r="J41" s="1232"/>
      <c r="K41" s="1232"/>
    </row>
    <row r="42" spans="1:11" ht="45">
      <c r="B42" s="1787" t="s">
        <v>887</v>
      </c>
      <c r="C42" s="1788" t="s">
        <v>2032</v>
      </c>
      <c r="D42" s="1788" t="s">
        <v>2017</v>
      </c>
      <c r="E42" s="1788" t="s">
        <v>2033</v>
      </c>
      <c r="F42" s="1788" t="s">
        <v>2034</v>
      </c>
      <c r="H42" s="1235"/>
      <c r="I42" s="1235"/>
      <c r="J42" s="1235"/>
      <c r="K42" s="1235"/>
    </row>
    <row r="43" spans="1:11">
      <c r="B43" s="1766" t="s">
        <v>2020</v>
      </c>
      <c r="C43" s="1765">
        <f t="shared" ref="C43:F44" si="1">(C16)/100</f>
        <v>0.39</v>
      </c>
      <c r="D43" s="1765">
        <f t="shared" si="1"/>
        <v>0.2205722956900181</v>
      </c>
      <c r="E43" s="1765">
        <f t="shared" si="1"/>
        <v>0.4221536559878058</v>
      </c>
      <c r="F43" s="1765">
        <f t="shared" si="1"/>
        <v>0.52778125912143026</v>
      </c>
      <c r="G43" s="1228">
        <v>100</v>
      </c>
      <c r="H43" s="1234"/>
      <c r="I43" s="1234"/>
      <c r="J43" s="1234"/>
      <c r="K43" s="1234"/>
    </row>
    <row r="44" spans="1:11">
      <c r="B44" s="1766" t="s">
        <v>2021</v>
      </c>
      <c r="C44" s="1765">
        <f t="shared" si="1"/>
        <v>22.54</v>
      </c>
      <c r="D44" s="1765">
        <f t="shared" si="1"/>
        <v>12.747947550905145</v>
      </c>
      <c r="E44" s="1765">
        <f t="shared" si="1"/>
        <v>24.398316425551641</v>
      </c>
      <c r="F44" s="1765">
        <f t="shared" si="1"/>
        <v>30.503050206659072</v>
      </c>
      <c r="H44" s="1232"/>
      <c r="I44" s="1232"/>
      <c r="J44" s="1232"/>
      <c r="K44" s="1232"/>
    </row>
    <row r="45" spans="1:11">
      <c r="B45" s="1766" t="s">
        <v>2035</v>
      </c>
      <c r="C45" s="1765">
        <f>(C20)/100</f>
        <v>60.72</v>
      </c>
      <c r="D45" s="1765">
        <f>(D20)/100</f>
        <v>34.341409728968969</v>
      </c>
      <c r="E45" s="1765">
        <f>(E20)/100</f>
        <v>65.726076901486067</v>
      </c>
      <c r="F45" s="1765">
        <f>(F20)/100</f>
        <v>82.17148218936731</v>
      </c>
      <c r="H45" s="1236"/>
      <c r="I45" s="1236"/>
      <c r="J45" s="1236"/>
      <c r="K45" s="1236"/>
    </row>
    <row r="46" spans="1:11">
      <c r="B46" s="1766" t="s">
        <v>2025</v>
      </c>
      <c r="C46" s="1765">
        <f>C47-(C43+C44+C45)</f>
        <v>153.88</v>
      </c>
      <c r="D46" s="1765">
        <f t="shared" ref="D46:F46" si="2">D47-(D43+D44+D45)</f>
        <v>87.029909899435893</v>
      </c>
      <c r="E46" s="1765">
        <f t="shared" si="2"/>
        <v>166.56667841898349</v>
      </c>
      <c r="F46" s="1765">
        <f t="shared" si="2"/>
        <v>208.24353885539927</v>
      </c>
    </row>
    <row r="47" spans="1:11">
      <c r="B47" s="1789" t="s">
        <v>274</v>
      </c>
      <c r="C47" s="1790">
        <f>(C36)/100</f>
        <v>237.53</v>
      </c>
      <c r="D47" s="1790">
        <f>(D36)/100</f>
        <v>134.33983947500002</v>
      </c>
      <c r="E47" s="1790">
        <f>(E36)/100</f>
        <v>257.11322540200899</v>
      </c>
      <c r="F47" s="1790">
        <f>(F36)/100</f>
        <v>321.44585251054707</v>
      </c>
    </row>
  </sheetData>
  <mergeCells count="11">
    <mergeCell ref="B1:F1"/>
    <mergeCell ref="A34:F34"/>
    <mergeCell ref="E37:F37"/>
    <mergeCell ref="G37:H37"/>
    <mergeCell ref="I37:J37"/>
    <mergeCell ref="B2:D2"/>
    <mergeCell ref="B3:B4"/>
    <mergeCell ref="C3:D3"/>
    <mergeCell ref="A13:F13"/>
    <mergeCell ref="A14:F14"/>
    <mergeCell ref="A24:F24"/>
  </mergeCells>
  <printOptions horizontalCentered="1" verticalCentered="1"/>
  <pageMargins left="0.23622047244094491" right="0.35433070866141736" top="0.35433070866141736" bottom="0.23622047244094491" header="0.19685039370078741" footer="0.19685039370078741"/>
  <pageSetup scale="8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P64"/>
  <sheetViews>
    <sheetView workbookViewId="0">
      <pane ySplit="1" topLeftCell="A13" activePane="bottomLeft" state="frozen"/>
      <selection pane="bottomLeft" activeCell="M30" sqref="M30"/>
    </sheetView>
  </sheetViews>
  <sheetFormatPr defaultColWidth="9.140625" defaultRowHeight="12.75"/>
  <cols>
    <col min="1" max="1" width="45.140625" style="816" customWidth="1"/>
    <col min="2" max="2" width="11.42578125" style="816" customWidth="1"/>
    <col min="3" max="3" width="11.42578125" style="817" customWidth="1"/>
    <col min="4" max="4" width="4.28515625" style="814" customWidth="1"/>
    <col min="5" max="5" width="10.85546875" style="814" bestFit="1" customWidth="1"/>
    <col min="6" max="6" width="10.28515625" style="814" bestFit="1" customWidth="1"/>
    <col min="7" max="7" width="9.140625" style="814"/>
    <col min="8" max="8" width="11.5703125" style="814" bestFit="1" customWidth="1"/>
    <col min="9" max="9" width="9.5703125" bestFit="1" customWidth="1"/>
    <col min="10" max="11" width="8.7109375" customWidth="1"/>
    <col min="12" max="16384" width="9.140625" style="814"/>
  </cols>
  <sheetData>
    <row r="1" spans="1:9" ht="13.5" customHeight="1">
      <c r="A1" s="811" t="s">
        <v>2036</v>
      </c>
      <c r="B1" s="812" t="s">
        <v>2037</v>
      </c>
      <c r="C1" s="813" t="s">
        <v>2038</v>
      </c>
      <c r="D1" s="813" t="s">
        <v>1713</v>
      </c>
      <c r="E1" s="813" t="s">
        <v>940</v>
      </c>
      <c r="F1" s="813" t="s">
        <v>941</v>
      </c>
      <c r="H1" s="813" t="s">
        <v>1325</v>
      </c>
      <c r="I1" s="813" t="s">
        <v>937</v>
      </c>
    </row>
    <row r="3" spans="1:9">
      <c r="A3" s="815" t="s">
        <v>2039</v>
      </c>
      <c r="B3" s="815"/>
      <c r="C3" s="815"/>
    </row>
    <row r="4" spans="1:9">
      <c r="A4" s="816" t="s">
        <v>2040</v>
      </c>
      <c r="B4" s="1328">
        <f>2.24309129+0.27</f>
        <v>2.5130912900000002</v>
      </c>
      <c r="C4" s="1328">
        <f>2.467400419+0.05</f>
        <v>2.5174004189999999</v>
      </c>
      <c r="E4" s="823">
        <f>B4*10^2</f>
        <v>251.30912900000001</v>
      </c>
      <c r="F4" s="823">
        <f>C4*10^2+(C3*10^2-F3)</f>
        <v>251.74004189999999</v>
      </c>
      <c r="H4" s="1073">
        <v>1.412229006</v>
      </c>
      <c r="I4" s="3">
        <v>2.4718458679999999</v>
      </c>
    </row>
    <row r="5" spans="1:9">
      <c r="A5" s="816" t="s">
        <v>2041</v>
      </c>
      <c r="B5" s="1328">
        <f>IFERROR(VLOOKUP(A5,'[26]ARR A&amp;G Group'!$A$4:$E$32,4,0),0)</f>
        <v>0</v>
      </c>
      <c r="C5" s="1328">
        <f>IFERROR(VLOOKUP(A5,'[26]ARR A&amp;G Group'!$A$4:$E$32,5,0),0)</f>
        <v>0</v>
      </c>
      <c r="E5" s="823">
        <f>B5*10^2</f>
        <v>0</v>
      </c>
      <c r="F5" s="823">
        <f>C5*10^2+(C4*10^2-F4)</f>
        <v>0</v>
      </c>
      <c r="I5" s="3"/>
    </row>
    <row r="6" spans="1:9">
      <c r="A6" s="816" t="s">
        <v>2042</v>
      </c>
      <c r="B6" s="1328">
        <v>2.8258460159999998</v>
      </c>
      <c r="C6" s="1328">
        <v>3.5</v>
      </c>
      <c r="E6" s="823">
        <f t="shared" ref="E6" si="0">B6*10^2</f>
        <v>282.58460159999998</v>
      </c>
      <c r="F6" s="823">
        <f>C6*10^2</f>
        <v>350</v>
      </c>
      <c r="H6" s="1073">
        <v>1.5</v>
      </c>
      <c r="I6" s="3">
        <v>1.9986263609999999</v>
      </c>
    </row>
    <row r="7" spans="1:9">
      <c r="A7" s="816" t="s">
        <v>2043</v>
      </c>
      <c r="B7" s="1328">
        <v>3.732021204</v>
      </c>
      <c r="C7" s="1328">
        <v>5</v>
      </c>
      <c r="E7" s="823">
        <f t="shared" ref="E7" si="1">B7*10^2</f>
        <v>373.20212040000001</v>
      </c>
      <c r="F7" s="823">
        <f>C7*10^2</f>
        <v>500</v>
      </c>
      <c r="H7" s="1073">
        <v>1.3821299</v>
      </c>
      <c r="I7" s="3">
        <v>2.8847656320000001</v>
      </c>
    </row>
    <row r="8" spans="1:9">
      <c r="A8" s="818" t="s">
        <v>2044</v>
      </c>
      <c r="B8" s="819">
        <f>SUM(B4:B7)</f>
        <v>9.0709585100000005</v>
      </c>
      <c r="C8" s="819">
        <f>SUM(C4:C7)</f>
        <v>11.017400418999999</v>
      </c>
      <c r="E8" s="824">
        <f>SUM(E4:E7)</f>
        <v>907.09585100000004</v>
      </c>
      <c r="F8" s="824">
        <f>SUM(F4:F7)</f>
        <v>1101.7400419000001</v>
      </c>
      <c r="H8" s="824">
        <f>SUM(H4:H7)</f>
        <v>4.2943589060000003</v>
      </c>
      <c r="I8" s="1075">
        <f>SUM(I4:I7)</f>
        <v>7.3552378610000009</v>
      </c>
    </row>
    <row r="9" spans="1:9">
      <c r="A9" s="815" t="s">
        <v>2045</v>
      </c>
      <c r="B9" s="815"/>
      <c r="C9" s="815"/>
      <c r="H9" s="1073"/>
      <c r="I9" s="3"/>
    </row>
    <row r="10" spans="1:9">
      <c r="A10" s="816" t="s">
        <v>2046</v>
      </c>
      <c r="B10" s="1328">
        <f>2.149420822+0.35</f>
        <v>2.4994208220000003</v>
      </c>
      <c r="C10" s="1328">
        <v>2.5</v>
      </c>
      <c r="E10" s="823">
        <f t="shared" ref="E10:E11" si="2">B10*10^2</f>
        <v>249.94208220000002</v>
      </c>
      <c r="F10" s="823">
        <f t="shared" ref="F10:F11" si="3">C10*10^2</f>
        <v>250</v>
      </c>
      <c r="H10" s="1073">
        <v>0.71862504400000005</v>
      </c>
      <c r="I10" s="3">
        <v>2.3827882579999997</v>
      </c>
    </row>
    <row r="11" spans="1:9">
      <c r="A11" s="816" t="s">
        <v>2047</v>
      </c>
      <c r="B11" s="1328">
        <f>0.0321947+0.75</f>
        <v>0.78219470000000002</v>
      </c>
      <c r="C11" s="1328">
        <f>0.094+0.76</f>
        <v>0.85399999999999998</v>
      </c>
      <c r="E11" s="823">
        <f t="shared" si="2"/>
        <v>78.219470000000001</v>
      </c>
      <c r="F11" s="823">
        <f t="shared" si="3"/>
        <v>85.399999999999991</v>
      </c>
      <c r="H11" s="1073">
        <v>1.4555539999999999E-2</v>
      </c>
      <c r="I11" s="3">
        <v>0.68205954000000002</v>
      </c>
    </row>
    <row r="12" spans="1:9">
      <c r="A12" s="818" t="s">
        <v>2044</v>
      </c>
      <c r="B12" s="820">
        <f>SUM(B10:B11)</f>
        <v>3.2816155220000001</v>
      </c>
      <c r="C12" s="820">
        <f>SUM(C10:C11)</f>
        <v>3.3540000000000001</v>
      </c>
      <c r="E12" s="824">
        <f t="shared" ref="E12:I12" si="4">SUM(E10:E11)</f>
        <v>328.16155220000002</v>
      </c>
      <c r="F12" s="824">
        <f t="shared" si="4"/>
        <v>335.4</v>
      </c>
      <c r="H12" s="824">
        <f t="shared" si="4"/>
        <v>0.73318058400000008</v>
      </c>
      <c r="I12" s="1075">
        <f t="shared" si="4"/>
        <v>3.0648477979999997</v>
      </c>
    </row>
    <row r="13" spans="1:9">
      <c r="A13" s="815" t="s">
        <v>2048</v>
      </c>
      <c r="B13" s="815"/>
      <c r="C13" s="815"/>
      <c r="H13" s="1073"/>
      <c r="I13" s="3"/>
    </row>
    <row r="14" spans="1:9">
      <c r="A14" s="816" t="s">
        <v>2049</v>
      </c>
      <c r="B14" s="1328">
        <f>0.8814192+0.5</f>
        <v>1.3814191999999998</v>
      </c>
      <c r="C14" s="1328">
        <f>1.1+0.5</f>
        <v>1.6</v>
      </c>
      <c r="E14" s="823">
        <f t="shared" ref="E14:F18" si="5">B14*10^2</f>
        <v>138.14191999999997</v>
      </c>
      <c r="F14" s="823">
        <f t="shared" si="5"/>
        <v>160</v>
      </c>
      <c r="H14" s="1073">
        <v>0.17025589999999999</v>
      </c>
      <c r="I14" s="3">
        <v>1.0679453000000001</v>
      </c>
    </row>
    <row r="15" spans="1:9">
      <c r="A15" s="816" t="s">
        <v>2050</v>
      </c>
      <c r="B15" s="1328">
        <v>4.5028800000000001E-2</v>
      </c>
      <c r="C15" s="1328">
        <v>0.42149600000000009</v>
      </c>
      <c r="E15" s="823">
        <f t="shared" si="5"/>
        <v>4.5028800000000002</v>
      </c>
      <c r="F15" s="823">
        <f t="shared" ref="F15:F18" si="6">C15*10^2</f>
        <v>42.149600000000007</v>
      </c>
      <c r="H15" s="1073"/>
      <c r="I15" s="3">
        <v>4.2479999999999997E-2</v>
      </c>
    </row>
    <row r="16" spans="1:9">
      <c r="A16" s="816" t="s">
        <v>2051</v>
      </c>
      <c r="B16" s="1328">
        <f>7.188913676+0.32</f>
        <v>7.5089136760000006</v>
      </c>
      <c r="C16" s="1328">
        <f>7.1411255688+0.5</f>
        <v>7.6411255687999997</v>
      </c>
      <c r="E16" s="823">
        <f t="shared" si="5"/>
        <v>750.89136760000008</v>
      </c>
      <c r="F16" s="823">
        <f t="shared" si="6"/>
        <v>764.11255687999994</v>
      </c>
      <c r="H16" s="1073">
        <f>5.217122557-0.6-H41</f>
        <v>3.9287811050000001</v>
      </c>
      <c r="I16" s="3">
        <v>7.4427326530000002</v>
      </c>
    </row>
    <row r="17" spans="1:16">
      <c r="A17" s="816" t="s">
        <v>2052</v>
      </c>
      <c r="B17" s="1328">
        <f>IFERROR(VLOOKUP(A17,'[26]ARR A&amp;G Group'!$A$4:$E$32,4,0),0)</f>
        <v>0</v>
      </c>
      <c r="C17" s="1328">
        <f>IFERROR(VLOOKUP(A17,'[26]ARR A&amp;G Group'!$A$4:$E$32,5,0),0)</f>
        <v>0</v>
      </c>
      <c r="E17" s="823">
        <f t="shared" si="5"/>
        <v>0</v>
      </c>
      <c r="F17" s="823">
        <f t="shared" si="6"/>
        <v>0</v>
      </c>
      <c r="H17" s="1073">
        <v>1.73</v>
      </c>
      <c r="I17" s="3">
        <v>0</v>
      </c>
    </row>
    <row r="18" spans="1:16">
      <c r="A18" s="816" t="s">
        <v>2053</v>
      </c>
      <c r="B18" s="1328">
        <f>0.757699084+1</f>
        <v>1.757699084</v>
      </c>
      <c r="C18" s="1328">
        <v>1.9373784312000002</v>
      </c>
      <c r="E18" s="823">
        <f t="shared" si="5"/>
        <v>175.76990839999999</v>
      </c>
      <c r="F18" s="823">
        <f t="shared" si="6"/>
        <v>193.73784312000001</v>
      </c>
      <c r="H18" s="1073">
        <v>0.6</v>
      </c>
      <c r="I18" s="3">
        <v>1.6144820259999999</v>
      </c>
    </row>
    <row r="19" spans="1:16">
      <c r="A19" s="818" t="s">
        <v>2044</v>
      </c>
      <c r="B19" s="819">
        <f>SUM(B14:B18)</f>
        <v>10.693060760000002</v>
      </c>
      <c r="C19" s="819">
        <f>SUM(C14:C18)</f>
        <v>11.6</v>
      </c>
      <c r="E19" s="824">
        <f t="shared" ref="E19:I19" si="7">SUM(E14:E18)</f>
        <v>1069.3060760000001</v>
      </c>
      <c r="F19" s="824">
        <f t="shared" si="7"/>
        <v>1160</v>
      </c>
      <c r="H19" s="824">
        <f t="shared" si="7"/>
        <v>6.4290370049999996</v>
      </c>
      <c r="I19" s="1075">
        <f t="shared" si="7"/>
        <v>10.167639978999999</v>
      </c>
    </row>
    <row r="20" spans="1:16">
      <c r="A20" s="815" t="s">
        <v>2054</v>
      </c>
      <c r="B20" s="815"/>
      <c r="C20" s="815"/>
      <c r="H20" s="1073"/>
      <c r="I20" s="3"/>
    </row>
    <row r="21" spans="1:16">
      <c r="A21" s="816" t="s">
        <v>2055</v>
      </c>
      <c r="B21" s="1328">
        <f>IFERROR(VLOOKUP(A21,'[26]ARR A&amp;G Group'!$A$4:$E$32,4,0),0)</f>
        <v>0</v>
      </c>
      <c r="C21" s="1328">
        <f>IFERROR(VLOOKUP(A21,'[26]ARR A&amp;G Group'!$A$4:$E$32,5,0),0)</f>
        <v>0</v>
      </c>
      <c r="E21" s="823">
        <f t="shared" ref="E21:E23" si="8">B21*10^2</f>
        <v>0</v>
      </c>
      <c r="F21" s="823">
        <f t="shared" ref="F21:F23" si="9">C21*10^2</f>
        <v>0</v>
      </c>
      <c r="H21" s="1073">
        <f>10762/10000000</f>
        <v>1.0762E-3</v>
      </c>
      <c r="I21" s="3">
        <v>0</v>
      </c>
    </row>
    <row r="22" spans="1:16">
      <c r="A22" s="816" t="s">
        <v>2056</v>
      </c>
      <c r="B22" s="1328">
        <f>2.705571774+1.29</f>
        <v>3.9955717740000001</v>
      </c>
      <c r="C22" s="1328">
        <f>4+0.5</f>
        <v>4.5</v>
      </c>
      <c r="E22" s="823">
        <f t="shared" si="8"/>
        <v>399.5571774</v>
      </c>
      <c r="F22" s="823">
        <f t="shared" si="9"/>
        <v>450</v>
      </c>
      <c r="H22" s="1073">
        <f>5.909163512-H23-1.5</f>
        <v>1.5291635120000002</v>
      </c>
      <c r="I22" s="3">
        <v>3.967577318</v>
      </c>
    </row>
    <row r="23" spans="1:16">
      <c r="A23" s="816" t="s">
        <v>2057</v>
      </c>
      <c r="B23" s="1328">
        <f>8.99162033+2.01</f>
        <v>11.00162033</v>
      </c>
      <c r="C23" s="1328">
        <f>8.57546894416667+3</f>
        <v>11.575468944166669</v>
      </c>
      <c r="E23" s="823">
        <f t="shared" si="8"/>
        <v>1100.1620330000001</v>
      </c>
      <c r="F23" s="823">
        <f t="shared" si="9"/>
        <v>1157.5468944166669</v>
      </c>
      <c r="H23" s="1073">
        <v>2.88</v>
      </c>
      <c r="I23" s="3">
        <v>10.655500668</v>
      </c>
    </row>
    <row r="24" spans="1:16">
      <c r="A24" s="818" t="s">
        <v>2044</v>
      </c>
      <c r="B24" s="1083">
        <f>SUM(B21:B23)</f>
        <v>14.997192104</v>
      </c>
      <c r="C24" s="819">
        <f>SUM(C21:C23)</f>
        <v>16.075468944166669</v>
      </c>
      <c r="E24" s="824">
        <f t="shared" ref="E24:I24" si="10">SUM(E21:E23)</f>
        <v>1499.7192104000001</v>
      </c>
      <c r="F24" s="824">
        <f t="shared" si="10"/>
        <v>1607.5468944166669</v>
      </c>
      <c r="H24" s="824">
        <f t="shared" si="10"/>
        <v>4.4102397120000001</v>
      </c>
      <c r="I24" s="1075">
        <f t="shared" si="10"/>
        <v>14.623077986</v>
      </c>
    </row>
    <row r="25" spans="1:16">
      <c r="A25" s="815" t="s">
        <v>2058</v>
      </c>
      <c r="B25" s="815"/>
      <c r="C25" s="815"/>
      <c r="H25" s="1073"/>
      <c r="I25" s="3"/>
    </row>
    <row r="26" spans="1:16">
      <c r="A26" s="816" t="s">
        <v>2059</v>
      </c>
      <c r="B26" s="1328">
        <v>0.30482799999999999</v>
      </c>
      <c r="C26" s="1328">
        <v>0.35831080000000004</v>
      </c>
      <c r="E26" s="823">
        <f t="shared" ref="E26:E47" si="11">B26*10^2</f>
        <v>30.482799999999997</v>
      </c>
      <c r="F26" s="823">
        <f t="shared" ref="F26:F47" si="12">C26*10^2</f>
        <v>35.831080000000007</v>
      </c>
      <c r="H26" s="1073">
        <v>7.4145799999999998E-2</v>
      </c>
      <c r="I26" s="3">
        <v>0.28524333800000001</v>
      </c>
    </row>
    <row r="27" spans="1:16">
      <c r="A27" s="816" t="s">
        <v>2060</v>
      </c>
      <c r="B27" s="1328">
        <v>0.50914486199999998</v>
      </c>
      <c r="C27" s="1328">
        <v>0.56005934819999981</v>
      </c>
      <c r="E27" s="823">
        <f t="shared" si="11"/>
        <v>50.914486199999999</v>
      </c>
      <c r="F27" s="823">
        <f t="shared" si="12"/>
        <v>56.005934819999979</v>
      </c>
      <c r="H27" s="1073">
        <v>6.0581000000000003E-3</v>
      </c>
      <c r="I27" s="3">
        <v>5.7723400000000001E-2</v>
      </c>
    </row>
    <row r="28" spans="1:16">
      <c r="A28" s="816" t="s">
        <v>2061</v>
      </c>
      <c r="B28" s="1328">
        <v>1.059071106</v>
      </c>
      <c r="C28" s="1328">
        <v>1.1000000000000001</v>
      </c>
      <c r="E28" s="823">
        <f t="shared" si="11"/>
        <v>105.9071106</v>
      </c>
      <c r="F28" s="823">
        <f t="shared" si="12"/>
        <v>110.00000000000001</v>
      </c>
      <c r="H28" s="1073">
        <v>0.60049079500000002</v>
      </c>
      <c r="I28" s="3">
        <v>0.59283998500000001</v>
      </c>
    </row>
    <row r="29" spans="1:16">
      <c r="A29" s="816" t="s">
        <v>2062</v>
      </c>
      <c r="B29" s="1328">
        <v>2.0912718140000002</v>
      </c>
      <c r="C29" s="1328">
        <v>3.0976955064999991</v>
      </c>
      <c r="E29" s="823">
        <f t="shared" si="11"/>
        <v>209.12718140000001</v>
      </c>
      <c r="F29" s="823">
        <f t="shared" si="12"/>
        <v>309.76955064999993</v>
      </c>
      <c r="H29" s="1073">
        <v>1.843583035</v>
      </c>
      <c r="I29" s="3">
        <v>4.9069959149999995</v>
      </c>
    </row>
    <row r="30" spans="1:16">
      <c r="A30" s="816" t="s">
        <v>2063</v>
      </c>
      <c r="B30" s="1328">
        <v>0</v>
      </c>
      <c r="C30" s="1328">
        <v>0</v>
      </c>
      <c r="E30" s="823">
        <f t="shared" si="11"/>
        <v>0</v>
      </c>
      <c r="F30" s="823">
        <f t="shared" si="12"/>
        <v>0</v>
      </c>
      <c r="H30" s="1073"/>
      <c r="I30" s="3"/>
    </row>
    <row r="31" spans="1:16">
      <c r="A31" s="816" t="s">
        <v>2064</v>
      </c>
      <c r="B31" s="1328">
        <v>0.54736100281493938</v>
      </c>
      <c r="C31" s="1328">
        <v>0.76097043446795798</v>
      </c>
      <c r="E31" s="823">
        <f t="shared" si="11"/>
        <v>54.73610028149394</v>
      </c>
      <c r="F31" s="823">
        <f t="shared" si="12"/>
        <v>76.097043446795794</v>
      </c>
      <c r="H31" s="1073">
        <v>0.30006128600000004</v>
      </c>
      <c r="I31" s="3">
        <v>0.5</v>
      </c>
      <c r="L31" s="877"/>
      <c r="M31" s="1684"/>
      <c r="N31" s="1684"/>
      <c r="O31" s="1684"/>
      <c r="P31" s="824"/>
    </row>
    <row r="32" spans="1:16">
      <c r="A32" s="816" t="s">
        <v>2065</v>
      </c>
      <c r="B32" s="1328">
        <v>54.012650581064257</v>
      </c>
      <c r="C32" s="1328">
        <v>56.27405675694645</v>
      </c>
      <c r="E32" s="823">
        <f t="shared" si="11"/>
        <v>5401.2650581064254</v>
      </c>
      <c r="F32" s="823">
        <f t="shared" si="12"/>
        <v>5627.4056756946447</v>
      </c>
      <c r="H32" s="1073">
        <v>38.227711257999999</v>
      </c>
      <c r="I32" s="3">
        <v>52.701494508999801</v>
      </c>
      <c r="M32" s="1331"/>
      <c r="N32" s="823"/>
      <c r="O32" s="823"/>
      <c r="P32" s="823"/>
    </row>
    <row r="33" spans="1:16">
      <c r="A33" s="816" t="s">
        <v>2066</v>
      </c>
      <c r="B33" s="1328">
        <v>5.1410229059999999</v>
      </c>
      <c r="C33" s="1328">
        <v>5.4298177251428585</v>
      </c>
      <c r="E33" s="823">
        <f t="shared" si="11"/>
        <v>514.10229059999995</v>
      </c>
      <c r="F33" s="823">
        <f t="shared" si="12"/>
        <v>542.98177251428581</v>
      </c>
      <c r="H33" s="1073">
        <v>1.4990289000000001</v>
      </c>
      <c r="I33" s="1077">
        <v>3.5258127039999998</v>
      </c>
      <c r="M33" s="1680"/>
      <c r="N33" s="823"/>
      <c r="O33" s="823"/>
      <c r="P33" s="823"/>
    </row>
    <row r="34" spans="1:16">
      <c r="A34" s="816" t="s">
        <v>2067</v>
      </c>
      <c r="B34" s="1328">
        <v>1.4398486543384972</v>
      </c>
      <c r="C34" s="1328">
        <v>1.6874815130540908</v>
      </c>
      <c r="E34" s="823">
        <f t="shared" si="11"/>
        <v>143.98486543384971</v>
      </c>
      <c r="F34" s="823">
        <f t="shared" si="12"/>
        <v>168.74815130540907</v>
      </c>
      <c r="H34" s="1073">
        <v>0.70621834200000011</v>
      </c>
      <c r="I34" s="3">
        <v>1.2270847499999999</v>
      </c>
      <c r="L34" s="1680"/>
      <c r="M34" s="1680"/>
      <c r="N34" s="823"/>
      <c r="O34" s="823"/>
      <c r="P34" s="823"/>
    </row>
    <row r="35" spans="1:16">
      <c r="A35" s="816" t="s">
        <v>2068</v>
      </c>
      <c r="B35" s="1328">
        <v>1.5259440898985375</v>
      </c>
      <c r="C35" s="1328">
        <v>2.3163879611334144</v>
      </c>
      <c r="E35" s="823">
        <f t="shared" si="11"/>
        <v>152.59440898985375</v>
      </c>
      <c r="F35" s="823">
        <f t="shared" si="12"/>
        <v>231.63879611334144</v>
      </c>
      <c r="H35" s="1073">
        <v>0.263230835</v>
      </c>
      <c r="I35" s="3">
        <v>0.63046149799999895</v>
      </c>
      <c r="M35" s="1680"/>
      <c r="N35" s="823"/>
      <c r="O35" s="823"/>
      <c r="P35" s="823"/>
    </row>
    <row r="36" spans="1:16">
      <c r="A36" s="816" t="s">
        <v>2069</v>
      </c>
      <c r="B36" s="1328">
        <v>0</v>
      </c>
      <c r="C36" s="1328">
        <v>0</v>
      </c>
      <c r="E36" s="823">
        <f t="shared" si="11"/>
        <v>0</v>
      </c>
      <c r="F36" s="823">
        <f t="shared" si="12"/>
        <v>0</v>
      </c>
      <c r="H36" s="1073"/>
      <c r="I36" s="3"/>
      <c r="M36" s="1680"/>
      <c r="N36" s="823"/>
      <c r="O36" s="823"/>
      <c r="P36" s="823"/>
    </row>
    <row r="37" spans="1:16">
      <c r="A37" s="816" t="s">
        <v>2070</v>
      </c>
      <c r="B37" s="1328">
        <v>3.2531472929804996</v>
      </c>
      <c r="C37" s="1328">
        <v>3.3910128611829822</v>
      </c>
      <c r="E37" s="823">
        <f t="shared" si="11"/>
        <v>325.31472929804994</v>
      </c>
      <c r="F37" s="823">
        <f t="shared" si="12"/>
        <v>339.10128611829822</v>
      </c>
      <c r="H37" s="1073">
        <v>1.640804717</v>
      </c>
      <c r="I37" s="3">
        <v>0</v>
      </c>
      <c r="M37" s="1680"/>
      <c r="N37" s="823"/>
      <c r="O37" s="823"/>
      <c r="P37" s="823"/>
    </row>
    <row r="38" spans="1:16">
      <c r="A38" s="816" t="s">
        <v>2071</v>
      </c>
      <c r="B38" s="1328">
        <v>1.2446762499999999</v>
      </c>
      <c r="C38" s="1328">
        <v>1.3003744449999999</v>
      </c>
      <c r="E38" s="823">
        <f t="shared" si="11"/>
        <v>124.467625</v>
      </c>
      <c r="F38" s="823">
        <f t="shared" si="12"/>
        <v>130.03744449999999</v>
      </c>
      <c r="H38" s="1073">
        <v>0.17233812500000001</v>
      </c>
      <c r="I38" s="3">
        <v>1.0457949499999999</v>
      </c>
      <c r="M38" s="823"/>
      <c r="N38" s="823"/>
      <c r="O38" s="823"/>
      <c r="P38" s="823"/>
    </row>
    <row r="39" spans="1:16">
      <c r="A39" s="816" t="s">
        <v>2072</v>
      </c>
      <c r="B39" s="1328">
        <v>2.3289948189033209</v>
      </c>
      <c r="C39" s="1328">
        <v>2.8882640378659232</v>
      </c>
      <c r="E39" s="823">
        <f t="shared" si="11"/>
        <v>232.89948189033208</v>
      </c>
      <c r="F39" s="823">
        <f t="shared" si="12"/>
        <v>288.82640378659232</v>
      </c>
      <c r="H39" s="1073"/>
      <c r="I39" s="3">
        <v>1.6479999999940986E-4</v>
      </c>
    </row>
    <row r="40" spans="1:16">
      <c r="A40" s="816" t="s">
        <v>2073</v>
      </c>
      <c r="B40" s="1328">
        <v>1.8826741999999999</v>
      </c>
      <c r="C40" s="1328">
        <v>1.9709416200000001</v>
      </c>
      <c r="E40" s="823">
        <f t="shared" si="11"/>
        <v>188.26741999999999</v>
      </c>
      <c r="F40" s="823">
        <f t="shared" si="12"/>
        <v>197.09416200000001</v>
      </c>
      <c r="H40" s="1073">
        <v>1.1561697999999998</v>
      </c>
      <c r="I40" s="3">
        <v>1.443700467</v>
      </c>
      <c r="N40" s="1680"/>
      <c r="O40" s="1680"/>
    </row>
    <row r="41" spans="1:16">
      <c r="A41" s="816" t="s">
        <v>2074</v>
      </c>
      <c r="B41" s="1328">
        <v>0.75</v>
      </c>
      <c r="C41" s="1328">
        <v>0.8</v>
      </c>
      <c r="E41" s="823">
        <f t="shared" si="11"/>
        <v>75</v>
      </c>
      <c r="F41" s="823">
        <f t="shared" si="12"/>
        <v>80</v>
      </c>
      <c r="H41" s="1073">
        <v>0.68834145199999996</v>
      </c>
      <c r="I41" s="3">
        <v>0</v>
      </c>
      <c r="N41" s="823"/>
      <c r="O41" s="823"/>
    </row>
    <row r="42" spans="1:16">
      <c r="A42" s="816" t="s">
        <v>2075</v>
      </c>
      <c r="B42" s="1328">
        <v>0</v>
      </c>
      <c r="C42" s="1328">
        <v>0</v>
      </c>
      <c r="E42" s="823">
        <f t="shared" si="11"/>
        <v>0</v>
      </c>
      <c r="F42" s="823">
        <f t="shared" si="12"/>
        <v>0</v>
      </c>
      <c r="G42" s="814" t="s">
        <v>2076</v>
      </c>
      <c r="H42" s="1073"/>
      <c r="I42" s="3"/>
    </row>
    <row r="43" spans="1:16">
      <c r="A43" s="816" t="s">
        <v>2077</v>
      </c>
      <c r="B43" s="1328">
        <v>0.82892921399999997</v>
      </c>
      <c r="C43" s="1328">
        <v>1</v>
      </c>
      <c r="D43" s="814" t="s">
        <v>2078</v>
      </c>
      <c r="E43" s="823">
        <f t="shared" si="11"/>
        <v>82.892921399999992</v>
      </c>
      <c r="F43" s="823">
        <f t="shared" si="12"/>
        <v>100</v>
      </c>
      <c r="H43" s="1073">
        <v>0.29490085499999996</v>
      </c>
      <c r="I43" s="3">
        <v>0.792676504</v>
      </c>
    </row>
    <row r="44" spans="1:16">
      <c r="A44" s="816" t="s">
        <v>2079</v>
      </c>
      <c r="B44" s="1328">
        <v>0</v>
      </c>
      <c r="C44" s="1328">
        <v>0</v>
      </c>
      <c r="E44" s="823">
        <f t="shared" si="11"/>
        <v>0</v>
      </c>
      <c r="F44" s="823">
        <f t="shared" si="12"/>
        <v>0</v>
      </c>
      <c r="H44" s="1073"/>
      <c r="I44" s="3"/>
    </row>
    <row r="45" spans="1:16">
      <c r="A45" s="816" t="s">
        <v>2080</v>
      </c>
      <c r="B45" s="1328">
        <v>7.0887269600000007</v>
      </c>
      <c r="C45" s="1328">
        <v>7.2837793</v>
      </c>
      <c r="E45" s="823">
        <f t="shared" si="11"/>
        <v>708.87269600000002</v>
      </c>
      <c r="F45" s="823">
        <f t="shared" si="12"/>
        <v>728.37792999999999</v>
      </c>
      <c r="H45" s="1073">
        <v>2.03131474</v>
      </c>
      <c r="I45" s="3">
        <v>6.7436022449999999</v>
      </c>
    </row>
    <row r="46" spans="1:16">
      <c r="A46" s="816" t="s">
        <v>2081</v>
      </c>
      <c r="B46" s="1328">
        <v>0</v>
      </c>
      <c r="C46" s="1328">
        <v>0</v>
      </c>
      <c r="E46" s="823">
        <f t="shared" si="11"/>
        <v>0</v>
      </c>
      <c r="F46" s="823">
        <f t="shared" si="12"/>
        <v>0</v>
      </c>
      <c r="H46" s="1073"/>
      <c r="I46" s="3"/>
    </row>
    <row r="47" spans="1:16">
      <c r="A47" s="1329" t="s">
        <v>2082</v>
      </c>
      <c r="B47" s="1328">
        <v>1.0769984739999998</v>
      </c>
      <c r="C47" s="1328">
        <v>2.1290513333333303</v>
      </c>
      <c r="E47" s="823">
        <f t="shared" si="11"/>
        <v>107.69984739999998</v>
      </c>
      <c r="F47" s="823">
        <f t="shared" si="12"/>
        <v>212.90513333333303</v>
      </c>
      <c r="H47" s="1073">
        <v>3.9502871380000002</v>
      </c>
      <c r="I47" s="3">
        <v>2.8851353099999999</v>
      </c>
    </row>
    <row r="48" spans="1:16" ht="13.5" customHeight="1">
      <c r="A48" s="818" t="s">
        <v>2044</v>
      </c>
      <c r="B48" s="820">
        <f>SUM(B26:B47)</f>
        <v>85.085290226000041</v>
      </c>
      <c r="C48" s="820">
        <f>SUM(C26:C47)</f>
        <v>92.348203642827031</v>
      </c>
      <c r="D48" s="823"/>
      <c r="E48" s="824">
        <f t="shared" ref="E48:H48" si="13">SUM(E26:E47)</f>
        <v>8508.5290226000034</v>
      </c>
      <c r="F48" s="824">
        <f t="shared" si="13"/>
        <v>9234.8203642827011</v>
      </c>
      <c r="H48" s="824">
        <f t="shared" si="13"/>
        <v>53.454685178000013</v>
      </c>
      <c r="I48" s="1075">
        <f>SUM(I26:I47)</f>
        <v>77.338730374999798</v>
      </c>
    </row>
    <row r="49" spans="1:10" ht="13.5" customHeight="1">
      <c r="A49" s="815" t="s">
        <v>2083</v>
      </c>
      <c r="B49" s="815"/>
      <c r="C49" s="815"/>
      <c r="H49" s="1073"/>
      <c r="I49" s="3"/>
    </row>
    <row r="50" spans="1:10" ht="13.5" customHeight="1">
      <c r="A50" s="816" t="s">
        <v>2084</v>
      </c>
      <c r="C50" s="1081">
        <f>1.5-1.5</f>
        <v>0</v>
      </c>
      <c r="E50" s="823">
        <f t="shared" ref="E50" si="14">B50*10^2</f>
        <v>0</v>
      </c>
      <c r="F50" s="823">
        <f t="shared" ref="F50" si="15">C50*10^2</f>
        <v>0</v>
      </c>
      <c r="H50" s="1073"/>
      <c r="I50" s="3"/>
    </row>
    <row r="51" spans="1:10" ht="13.5" customHeight="1">
      <c r="A51" s="818" t="s">
        <v>2044</v>
      </c>
      <c r="B51" s="818"/>
      <c r="C51" s="819">
        <f>SUM(C50)</f>
        <v>0</v>
      </c>
      <c r="E51" s="819">
        <f t="shared" ref="E51:F51" si="16">SUM(E50)</f>
        <v>0</v>
      </c>
      <c r="F51" s="819">
        <f t="shared" si="16"/>
        <v>0</v>
      </c>
      <c r="H51" s="1073"/>
      <c r="I51" s="3"/>
    </row>
    <row r="52" spans="1:10" ht="13.5" customHeight="1">
      <c r="A52" s="821" t="s">
        <v>274</v>
      </c>
      <c r="B52" s="822">
        <f>B51+B48+B24+B19+B12+B8</f>
        <v>123.12811712200003</v>
      </c>
      <c r="C52" s="822">
        <f>C51+C48+C24+C19+C12+C8</f>
        <v>134.39507300599371</v>
      </c>
      <c r="D52" s="823"/>
      <c r="E52" s="822">
        <f>E51+E48+E24+E19+E12+E8</f>
        <v>12312.811712200004</v>
      </c>
      <c r="F52" s="822">
        <f>F51+F48+F24+F19+F12+F8</f>
        <v>13439.507300599367</v>
      </c>
      <c r="H52" s="822">
        <f>H51+H48+H24+H19+H12+H8</f>
        <v>69.321501385000005</v>
      </c>
      <c r="I52" s="1076">
        <f>I51+I48+I24+I19+I12+I8</f>
        <v>112.54953399899981</v>
      </c>
    </row>
    <row r="53" spans="1:10">
      <c r="B53" s="1330"/>
      <c r="C53" s="1330"/>
      <c r="E53" s="823">
        <f>E52/100-B52</f>
        <v>0</v>
      </c>
      <c r="F53" s="823">
        <f>F52/100-C52</f>
        <v>0</v>
      </c>
      <c r="H53" s="1073"/>
      <c r="I53" s="3"/>
      <c r="J53" s="1331"/>
    </row>
    <row r="54" spans="1:10" ht="13.5" customHeight="1">
      <c r="A54" s="811" t="s">
        <v>74</v>
      </c>
      <c r="B54" s="811"/>
      <c r="C54" s="811"/>
      <c r="H54" s="1073"/>
      <c r="I54" s="3"/>
      <c r="J54" s="1331"/>
    </row>
    <row r="55" spans="1:10">
      <c r="E55" s="1082" t="s">
        <v>939</v>
      </c>
      <c r="F55" s="1082" t="s">
        <v>940</v>
      </c>
      <c r="H55" s="1073"/>
      <c r="I55" s="3"/>
      <c r="J55" s="1331"/>
    </row>
    <row r="56" spans="1:10" ht="13.5" customHeight="1">
      <c r="A56" s="816" t="s">
        <v>1216</v>
      </c>
      <c r="B56" s="1084">
        <v>0.5</v>
      </c>
      <c r="C56" s="817">
        <f>1.5+1.5</f>
        <v>3</v>
      </c>
      <c r="D56" s="823"/>
      <c r="E56" s="823">
        <f>B56</f>
        <v>0.5</v>
      </c>
      <c r="F56" s="823">
        <f>C56</f>
        <v>3</v>
      </c>
      <c r="H56" s="1073">
        <v>0.39475880000000013</v>
      </c>
      <c r="I56" s="3">
        <v>4.1325051210000012</v>
      </c>
    </row>
    <row r="57" spans="1:10" ht="13.5" customHeight="1">
      <c r="A57" s="816" t="s">
        <v>2085</v>
      </c>
      <c r="B57" s="1084">
        <f>255.840395402009-0.5</f>
        <v>255.34039540200899</v>
      </c>
      <c r="C57" s="817">
        <f>286.559317988467+26.27</f>
        <v>312.82931798846698</v>
      </c>
      <c r="D57" s="823"/>
      <c r="E57" s="823">
        <f t="shared" ref="E57:E59" si="17">B57</f>
        <v>255.34039540200899</v>
      </c>
      <c r="F57" s="823">
        <f t="shared" ref="F57:F59" si="18">C57</f>
        <v>312.82931798846698</v>
      </c>
      <c r="H57" s="1074">
        <v>133.63228067500012</v>
      </c>
      <c r="I57" s="3">
        <v>243.02447154800734</v>
      </c>
    </row>
    <row r="58" spans="1:10" ht="13.5" customHeight="1">
      <c r="A58" s="816" t="s">
        <v>2086</v>
      </c>
      <c r="B58" s="1084">
        <v>0</v>
      </c>
      <c r="C58" s="817">
        <v>2.1120000000000001</v>
      </c>
      <c r="D58" s="823"/>
      <c r="E58" s="823">
        <f t="shared" si="17"/>
        <v>0</v>
      </c>
      <c r="F58" s="823">
        <f t="shared" si="18"/>
        <v>2.1120000000000001</v>
      </c>
      <c r="H58" s="1073"/>
      <c r="I58" s="3"/>
    </row>
    <row r="59" spans="1:10" ht="13.5" customHeight="1">
      <c r="A59" s="816" t="s">
        <v>2087</v>
      </c>
      <c r="B59" s="1084">
        <v>1.2728299999999999</v>
      </c>
      <c r="C59" s="817">
        <f>0.5015123829+3</f>
        <v>3.5015123829000001</v>
      </c>
      <c r="D59" s="823"/>
      <c r="E59" s="823">
        <f t="shared" si="17"/>
        <v>1.2728299999999999</v>
      </c>
      <c r="F59" s="823">
        <f t="shared" si="18"/>
        <v>3.5015123829000001</v>
      </c>
      <c r="H59" s="1073">
        <f>0.12708286+0.185745327</f>
        <v>0.31282818699999998</v>
      </c>
      <c r="I59" s="3">
        <f>0.715089221+0.469614625</f>
        <v>1.1847038460000001</v>
      </c>
    </row>
    <row r="60" spans="1:10" ht="13.5" customHeight="1">
      <c r="A60" s="821" t="s">
        <v>239</v>
      </c>
      <c r="B60" s="822">
        <f>SUM(B56:B59)</f>
        <v>257.11322540200899</v>
      </c>
      <c r="C60" s="822">
        <f>SUM(C56:C59)</f>
        <v>321.44283037136699</v>
      </c>
      <c r="D60" s="877"/>
      <c r="E60" s="824">
        <f>SUM(E56:E59)</f>
        <v>257.11322540200899</v>
      </c>
      <c r="F60" s="824">
        <f>SUM(F56:F59)</f>
        <v>321.44283037136699</v>
      </c>
      <c r="H60" s="1075">
        <f>SUM(H56:H59)</f>
        <v>134.33986766200013</v>
      </c>
      <c r="I60" s="1075">
        <f>SUM(I56:I59)</f>
        <v>248.34168051500734</v>
      </c>
    </row>
    <row r="61" spans="1:10" ht="13.5" customHeight="1"/>
    <row r="62" spans="1:10">
      <c r="H62" s="1073"/>
    </row>
    <row r="63" spans="1:10">
      <c r="C63" s="1686"/>
      <c r="H63" s="1073"/>
    </row>
    <row r="64" spans="1:10">
      <c r="H64" s="1073"/>
    </row>
  </sheetData>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A1:Q70"/>
  <sheetViews>
    <sheetView view="pageBreakPreview" zoomScale="80" zoomScaleNormal="75" zoomScaleSheetLayoutView="80" workbookViewId="0">
      <pane xSplit="2" ySplit="8" topLeftCell="D9" activePane="bottomRight" state="frozen"/>
      <selection pane="bottomRight" activeCell="E58" sqref="E58"/>
      <selection pane="bottomLeft" activeCell="A9" sqref="A9"/>
      <selection pane="topRight" activeCell="C1" sqref="C1"/>
    </sheetView>
  </sheetViews>
  <sheetFormatPr defaultColWidth="14.7109375" defaultRowHeight="15"/>
  <cols>
    <col min="1" max="1" width="6" style="336" customWidth="1"/>
    <col min="2" max="2" width="37.140625" style="316" customWidth="1"/>
    <col min="3" max="3" width="13.5703125" style="308" customWidth="1"/>
    <col min="4" max="4" width="13.7109375" style="308" customWidth="1"/>
    <col min="5" max="8" width="12.5703125" style="308" customWidth="1"/>
    <col min="9" max="9" width="13.140625" style="308" customWidth="1"/>
    <col min="10" max="12" width="12.5703125" style="308" customWidth="1"/>
    <col min="13" max="13" width="14.7109375" style="308" customWidth="1"/>
    <col min="14" max="14" width="14.7109375" style="308"/>
    <col min="15" max="15" width="14.7109375" style="371"/>
    <col min="16" max="16384" width="14.7109375" style="308"/>
  </cols>
  <sheetData>
    <row r="1" spans="1:15" ht="18">
      <c r="B1" s="337" t="s">
        <v>209</v>
      </c>
      <c r="C1" s="338"/>
      <c r="D1" s="338"/>
      <c r="E1" s="338"/>
      <c r="F1" s="338"/>
      <c r="G1" s="338"/>
      <c r="H1" s="338"/>
      <c r="I1" s="338"/>
      <c r="J1" s="338"/>
      <c r="K1" s="311" t="s">
        <v>210</v>
      </c>
      <c r="L1" s="330" t="s">
        <v>288</v>
      </c>
      <c r="O1" s="308"/>
    </row>
    <row r="2" spans="1:15" ht="18">
      <c r="B2" s="308"/>
      <c r="C2" s="338"/>
      <c r="D2" s="338"/>
      <c r="E2" s="338"/>
      <c r="F2" s="338"/>
      <c r="G2" s="339"/>
      <c r="H2" s="339"/>
      <c r="I2" s="339"/>
      <c r="J2" s="338"/>
      <c r="K2" s="338"/>
      <c r="L2" s="338"/>
      <c r="O2" s="308"/>
    </row>
    <row r="3" spans="1:15" ht="18">
      <c r="A3" s="2482" t="s">
        <v>289</v>
      </c>
      <c r="B3" s="2482"/>
      <c r="C3" s="2482"/>
      <c r="D3" s="2482"/>
      <c r="E3" s="2482"/>
      <c r="F3" s="2482"/>
      <c r="G3" s="2482"/>
      <c r="H3" s="2482"/>
      <c r="I3" s="2482"/>
      <c r="J3" s="2482"/>
      <c r="K3" s="2482"/>
      <c r="L3" s="2482"/>
      <c r="O3" s="308"/>
    </row>
    <row r="4" spans="1:15" ht="18">
      <c r="B4" s="340" t="s">
        <v>290</v>
      </c>
      <c r="C4" s="338"/>
      <c r="D4" s="338"/>
      <c r="E4" s="338"/>
      <c r="F4" s="338"/>
      <c r="G4" s="338"/>
      <c r="H4" s="338"/>
      <c r="I4" s="338"/>
      <c r="J4" s="338"/>
      <c r="K4" s="338"/>
      <c r="L4" s="338"/>
      <c r="O4" s="308"/>
    </row>
    <row r="5" spans="1:15" ht="18">
      <c r="A5" s="341" t="s">
        <v>291</v>
      </c>
      <c r="B5" s="342" t="s">
        <v>292</v>
      </c>
      <c r="C5" s="343" t="s">
        <v>293</v>
      </c>
      <c r="D5" s="338"/>
      <c r="E5" s="338"/>
      <c r="G5" s="338"/>
      <c r="H5" s="338"/>
      <c r="I5" s="338"/>
      <c r="J5" s="338"/>
      <c r="K5" s="338"/>
      <c r="L5" s="338"/>
      <c r="O5" s="308"/>
    </row>
    <row r="6" spans="1:15" ht="18">
      <c r="B6" s="338"/>
      <c r="C6" s="340"/>
      <c r="D6" s="338"/>
      <c r="E6" s="338"/>
      <c r="F6" s="343" t="s">
        <v>294</v>
      </c>
      <c r="G6" s="338"/>
      <c r="H6" s="338"/>
      <c r="I6" s="343" t="s">
        <v>295</v>
      </c>
      <c r="J6" s="338"/>
      <c r="K6" s="338"/>
      <c r="L6" s="338"/>
      <c r="O6" s="308"/>
    </row>
    <row r="7" spans="1:15" ht="18" customHeight="1">
      <c r="A7" s="2477"/>
      <c r="B7" s="2478" t="s">
        <v>296</v>
      </c>
      <c r="C7" s="2478" t="s">
        <v>297</v>
      </c>
      <c r="D7" s="2478" t="s">
        <v>298</v>
      </c>
      <c r="E7" s="344"/>
      <c r="F7" s="345" t="s">
        <v>299</v>
      </c>
      <c r="G7" s="345"/>
      <c r="H7" s="345"/>
      <c r="I7" s="345"/>
      <c r="J7" s="344"/>
      <c r="K7" s="2474" t="s">
        <v>300</v>
      </c>
      <c r="L7" s="2475"/>
      <c r="O7" s="308"/>
    </row>
    <row r="8" spans="1:15" s="346" customFormat="1" ht="85.5" customHeight="1">
      <c r="A8" s="2477"/>
      <c r="B8" s="2478"/>
      <c r="C8" s="2478"/>
      <c r="D8" s="2478"/>
      <c r="E8" s="625" t="s">
        <v>301</v>
      </c>
      <c r="F8" s="625" t="s">
        <v>302</v>
      </c>
      <c r="G8" s="625" t="s">
        <v>303</v>
      </c>
      <c r="H8" s="625" t="s">
        <v>304</v>
      </c>
      <c r="I8" s="625" t="s">
        <v>305</v>
      </c>
      <c r="J8" s="625" t="s">
        <v>306</v>
      </c>
      <c r="K8" s="625" t="s">
        <v>307</v>
      </c>
      <c r="L8" s="625" t="s">
        <v>308</v>
      </c>
    </row>
    <row r="9" spans="1:15" ht="18">
      <c r="A9" s="624"/>
      <c r="B9" s="625" t="s">
        <v>309</v>
      </c>
      <c r="C9" s="344"/>
      <c r="D9" s="344"/>
      <c r="E9" s="344"/>
      <c r="F9" s="344"/>
      <c r="G9" s="344"/>
      <c r="H9" s="344"/>
      <c r="I9" s="344"/>
      <c r="J9" s="344"/>
      <c r="K9" s="347"/>
      <c r="L9" s="347"/>
      <c r="O9" s="308"/>
    </row>
    <row r="10" spans="1:15" ht="21.75" customHeight="1">
      <c r="A10" s="624">
        <v>1</v>
      </c>
      <c r="B10" s="348" t="s">
        <v>310</v>
      </c>
      <c r="C10" s="344">
        <v>103314</v>
      </c>
      <c r="D10" s="349">
        <v>90021</v>
      </c>
      <c r="E10" s="344"/>
      <c r="F10" s="350">
        <v>61.667000000000002</v>
      </c>
      <c r="G10" s="350">
        <v>67.826999999999998</v>
      </c>
      <c r="H10" s="350">
        <v>6.218</v>
      </c>
      <c r="I10" s="350">
        <v>5.2240000000000002</v>
      </c>
      <c r="J10" s="351">
        <f>SUM(F10:I10)</f>
        <v>140.93599999999998</v>
      </c>
      <c r="K10" s="352">
        <v>6038.19</v>
      </c>
      <c r="L10" s="352">
        <v>4793.58</v>
      </c>
      <c r="O10" s="308"/>
    </row>
    <row r="11" spans="1:15" ht="21.75" customHeight="1">
      <c r="A11" s="624">
        <v>2</v>
      </c>
      <c r="B11" s="348" t="s">
        <v>311</v>
      </c>
      <c r="C11" s="344">
        <v>51546</v>
      </c>
      <c r="D11" s="349">
        <v>91034</v>
      </c>
      <c r="E11" s="344"/>
      <c r="F11" s="350">
        <v>29.404</v>
      </c>
      <c r="G11" s="350">
        <v>50.863</v>
      </c>
      <c r="H11" s="350">
        <v>9.2579999999999991</v>
      </c>
      <c r="I11" s="350">
        <v>4.1660000000000004</v>
      </c>
      <c r="J11" s="351">
        <f>SUM(F11:I11)</f>
        <v>93.690999999999988</v>
      </c>
      <c r="K11" s="352">
        <v>4366.22</v>
      </c>
      <c r="L11" s="352">
        <v>3661.16</v>
      </c>
      <c r="O11" s="308"/>
    </row>
    <row r="12" spans="1:15" ht="21.75" customHeight="1">
      <c r="A12" s="624">
        <v>3</v>
      </c>
      <c r="B12" s="348" t="s">
        <v>312</v>
      </c>
      <c r="C12" s="344">
        <v>26821</v>
      </c>
      <c r="D12" s="349">
        <v>78307</v>
      </c>
      <c r="E12" s="344"/>
      <c r="F12" s="350">
        <v>15.012</v>
      </c>
      <c r="G12" s="350">
        <v>27.449000000000002</v>
      </c>
      <c r="H12" s="350">
        <v>13.093</v>
      </c>
      <c r="I12" s="350">
        <v>5.5970000000000004</v>
      </c>
      <c r="J12" s="351">
        <f>SUM(F12:I12)</f>
        <v>61.151000000000003</v>
      </c>
      <c r="K12" s="352">
        <v>3067.43</v>
      </c>
      <c r="L12" s="352">
        <v>2649.97</v>
      </c>
      <c r="O12" s="308"/>
    </row>
    <row r="13" spans="1:15" ht="21.75" customHeight="1">
      <c r="A13" s="624">
        <v>4</v>
      </c>
      <c r="B13" s="348">
        <v>4</v>
      </c>
      <c r="C13" s="344">
        <v>11715</v>
      </c>
      <c r="D13" s="349">
        <v>45536</v>
      </c>
      <c r="E13" s="344"/>
      <c r="F13" s="350">
        <v>6.3109999999999999</v>
      </c>
      <c r="G13" s="350">
        <v>12.201000000000001</v>
      </c>
      <c r="H13" s="350">
        <v>9.7569999999999997</v>
      </c>
      <c r="I13" s="350">
        <v>4.2279999999999998</v>
      </c>
      <c r="J13" s="351">
        <f>SUM(F13:I13)</f>
        <v>32.497</v>
      </c>
      <c r="K13" s="352">
        <v>1715.48</v>
      </c>
      <c r="L13" s="352">
        <v>1625.47</v>
      </c>
      <c r="O13" s="308"/>
    </row>
    <row r="14" spans="1:15" ht="21.75" customHeight="1">
      <c r="A14" s="624">
        <v>5</v>
      </c>
      <c r="B14" s="357" t="s">
        <v>313</v>
      </c>
      <c r="C14" s="344">
        <v>10527</v>
      </c>
      <c r="D14" s="349">
        <v>64156</v>
      </c>
      <c r="E14" s="344"/>
      <c r="F14" s="350">
        <v>6.2110000000000003</v>
      </c>
      <c r="G14" s="350">
        <v>10.115</v>
      </c>
      <c r="H14" s="350">
        <v>12.928000000000001</v>
      </c>
      <c r="I14" s="350">
        <v>11.79</v>
      </c>
      <c r="J14" s="351">
        <f>SUM(F14:I14)</f>
        <v>41.043999999999997</v>
      </c>
      <c r="K14" s="352">
        <v>2304.2399999999998</v>
      </c>
      <c r="L14" s="352">
        <v>2285.9699999999998</v>
      </c>
      <c r="O14" s="308"/>
    </row>
    <row r="15" spans="1:15" ht="21.75" customHeight="1">
      <c r="A15" s="624">
        <v>6</v>
      </c>
      <c r="B15" s="357" t="s">
        <v>314</v>
      </c>
      <c r="C15" s="345">
        <f t="shared" ref="C15:L15" si="0">SUM(C10:C14)</f>
        <v>203923</v>
      </c>
      <c r="D15" s="358">
        <f t="shared" si="0"/>
        <v>369054</v>
      </c>
      <c r="E15" s="345">
        <f t="shared" si="0"/>
        <v>0</v>
      </c>
      <c r="F15" s="351">
        <f t="shared" si="0"/>
        <v>118.605</v>
      </c>
      <c r="G15" s="351">
        <f t="shared" si="0"/>
        <v>168.45500000000001</v>
      </c>
      <c r="H15" s="351">
        <f t="shared" si="0"/>
        <v>51.254000000000005</v>
      </c>
      <c r="I15" s="351">
        <f t="shared" si="0"/>
        <v>31.005000000000003</v>
      </c>
      <c r="J15" s="351">
        <f t="shared" si="0"/>
        <v>369.31899999999996</v>
      </c>
      <c r="K15" s="362">
        <f t="shared" si="0"/>
        <v>17491.559999999998</v>
      </c>
      <c r="L15" s="362">
        <f t="shared" si="0"/>
        <v>15016.149999999998</v>
      </c>
      <c r="N15" s="356"/>
      <c r="O15" s="308"/>
    </row>
    <row r="16" spans="1:15" ht="36">
      <c r="A16" s="624">
        <v>7</v>
      </c>
      <c r="B16" s="359" t="s">
        <v>315</v>
      </c>
      <c r="C16" s="344"/>
      <c r="D16" s="349"/>
      <c r="E16" s="344"/>
      <c r="F16" s="344"/>
      <c r="G16" s="344"/>
      <c r="H16" s="344"/>
      <c r="I16" s="344"/>
      <c r="J16" s="344"/>
      <c r="K16" s="352"/>
      <c r="L16" s="352"/>
      <c r="M16" s="356"/>
      <c r="O16" s="308"/>
    </row>
    <row r="17" spans="1:15" ht="20.25" customHeight="1">
      <c r="A17" s="624">
        <v>8</v>
      </c>
      <c r="B17" s="357" t="s">
        <v>314</v>
      </c>
      <c r="C17" s="345">
        <f t="shared" ref="C17:L17" si="1">+C15+C16</f>
        <v>203923</v>
      </c>
      <c r="D17" s="358">
        <f t="shared" si="1"/>
        <v>369054</v>
      </c>
      <c r="E17" s="345">
        <f t="shared" si="1"/>
        <v>0</v>
      </c>
      <c r="F17" s="345">
        <f t="shared" si="1"/>
        <v>118.605</v>
      </c>
      <c r="G17" s="345">
        <f t="shared" si="1"/>
        <v>168.45500000000001</v>
      </c>
      <c r="H17" s="345">
        <f t="shared" si="1"/>
        <v>51.254000000000005</v>
      </c>
      <c r="I17" s="351">
        <f t="shared" si="1"/>
        <v>31.005000000000003</v>
      </c>
      <c r="J17" s="345">
        <f t="shared" si="1"/>
        <v>369.31899999999996</v>
      </c>
      <c r="K17" s="362">
        <f t="shared" si="1"/>
        <v>17491.559999999998</v>
      </c>
      <c r="L17" s="362">
        <f t="shared" si="1"/>
        <v>15016.149999999998</v>
      </c>
      <c r="O17" s="308"/>
    </row>
    <row r="18" spans="1:15" ht="20.25" customHeight="1">
      <c r="A18" s="624">
        <v>9</v>
      </c>
      <c r="B18" s="357" t="s">
        <v>316</v>
      </c>
      <c r="C18" s="344"/>
      <c r="D18" s="349"/>
      <c r="E18" s="344"/>
      <c r="F18" s="344"/>
      <c r="G18" s="344"/>
      <c r="H18" s="344"/>
      <c r="I18" s="344"/>
      <c r="J18" s="344"/>
      <c r="K18" s="352"/>
      <c r="L18" s="352"/>
      <c r="O18" s="308"/>
    </row>
    <row r="19" spans="1:15" ht="20.25" customHeight="1">
      <c r="A19" s="624">
        <v>10</v>
      </c>
      <c r="B19" s="357" t="s">
        <v>317</v>
      </c>
      <c r="C19" s="344"/>
      <c r="D19" s="349"/>
      <c r="E19" s="344"/>
      <c r="F19" s="344"/>
      <c r="G19" s="344"/>
      <c r="H19" s="344"/>
      <c r="I19" s="344"/>
      <c r="J19" s="344"/>
      <c r="K19" s="352"/>
      <c r="L19" s="352"/>
      <c r="O19" s="308"/>
    </row>
    <row r="20" spans="1:15" ht="20.25" customHeight="1">
      <c r="A20" s="624">
        <v>11</v>
      </c>
      <c r="B20" s="357" t="s">
        <v>318</v>
      </c>
      <c r="C20" s="345">
        <f t="shared" ref="C20:L20" si="2">+C18</f>
        <v>0</v>
      </c>
      <c r="D20" s="358">
        <f t="shared" si="2"/>
        <v>0</v>
      </c>
      <c r="E20" s="345">
        <f t="shared" si="2"/>
        <v>0</v>
      </c>
      <c r="F20" s="345">
        <f t="shared" si="2"/>
        <v>0</v>
      </c>
      <c r="G20" s="345">
        <f t="shared" si="2"/>
        <v>0</v>
      </c>
      <c r="H20" s="345">
        <f t="shared" si="2"/>
        <v>0</v>
      </c>
      <c r="I20" s="345">
        <f t="shared" si="2"/>
        <v>0</v>
      </c>
      <c r="J20" s="345">
        <f t="shared" si="2"/>
        <v>0</v>
      </c>
      <c r="K20" s="362">
        <f t="shared" si="2"/>
        <v>0</v>
      </c>
      <c r="L20" s="362">
        <f t="shared" si="2"/>
        <v>0</v>
      </c>
      <c r="O20" s="308"/>
    </row>
    <row r="21" spans="1:15" ht="20.25" customHeight="1">
      <c r="A21" s="624"/>
      <c r="B21" s="357"/>
      <c r="C21" s="344"/>
      <c r="D21" s="349"/>
      <c r="E21" s="344"/>
      <c r="F21" s="344"/>
      <c r="G21" s="344"/>
      <c r="H21" s="344"/>
      <c r="I21" s="344"/>
      <c r="J21" s="344"/>
      <c r="K21" s="352"/>
      <c r="L21" s="352"/>
      <c r="O21" s="308"/>
    </row>
    <row r="22" spans="1:15" ht="20.25" customHeight="1">
      <c r="A22" s="624">
        <v>12</v>
      </c>
      <c r="B22" s="357" t="s">
        <v>319</v>
      </c>
      <c r="C22" s="345">
        <f t="shared" ref="C22:L22" si="3">+C17+C20</f>
        <v>203923</v>
      </c>
      <c r="D22" s="358">
        <f t="shared" si="3"/>
        <v>369054</v>
      </c>
      <c r="E22" s="345">
        <f t="shared" si="3"/>
        <v>0</v>
      </c>
      <c r="F22" s="345">
        <f t="shared" si="3"/>
        <v>118.605</v>
      </c>
      <c r="G22" s="345">
        <f t="shared" si="3"/>
        <v>168.45500000000001</v>
      </c>
      <c r="H22" s="345">
        <f t="shared" si="3"/>
        <v>51.254000000000005</v>
      </c>
      <c r="I22" s="351">
        <f t="shared" si="3"/>
        <v>31.005000000000003</v>
      </c>
      <c r="J22" s="345">
        <f t="shared" si="3"/>
        <v>369.31899999999996</v>
      </c>
      <c r="K22" s="362">
        <f t="shared" si="3"/>
        <v>17491.559999999998</v>
      </c>
      <c r="L22" s="362">
        <f t="shared" si="3"/>
        <v>15016.149999999998</v>
      </c>
      <c r="O22" s="308"/>
    </row>
    <row r="23" spans="1:15" ht="18">
      <c r="B23" s="360"/>
      <c r="C23" s="338"/>
      <c r="D23" s="361"/>
      <c r="E23" s="338"/>
      <c r="F23" s="338"/>
      <c r="G23" s="338"/>
      <c r="H23" s="338"/>
      <c r="I23" s="338"/>
      <c r="J23" s="338"/>
      <c r="K23" s="355"/>
      <c r="L23" s="355"/>
      <c r="O23" s="308"/>
    </row>
    <row r="24" spans="1:15" ht="18">
      <c r="A24" s="341" t="s">
        <v>320</v>
      </c>
      <c r="B24" s="342" t="s">
        <v>292</v>
      </c>
      <c r="C24" s="343" t="s">
        <v>321</v>
      </c>
      <c r="D24" s="361"/>
      <c r="E24" s="338"/>
      <c r="G24" s="338"/>
      <c r="H24" s="338"/>
      <c r="I24" s="338"/>
      <c r="J24" s="338"/>
      <c r="K24" s="355"/>
      <c r="L24" s="355"/>
      <c r="O24" s="308"/>
    </row>
    <row r="25" spans="1:15" ht="18">
      <c r="B25" s="360"/>
      <c r="C25" s="340"/>
      <c r="D25" s="361"/>
      <c r="E25" s="338"/>
      <c r="F25" s="343" t="s">
        <v>294</v>
      </c>
      <c r="G25" s="338"/>
      <c r="H25" s="338"/>
      <c r="I25" s="343" t="s">
        <v>295</v>
      </c>
      <c r="J25" s="338"/>
      <c r="K25" s="355"/>
      <c r="L25" s="355"/>
      <c r="O25" s="308"/>
    </row>
    <row r="26" spans="1:15" ht="18" customHeight="1">
      <c r="A26" s="2477"/>
      <c r="B26" s="2478" t="s">
        <v>296</v>
      </c>
      <c r="C26" s="2478" t="s">
        <v>297</v>
      </c>
      <c r="D26" s="2479" t="s">
        <v>298</v>
      </c>
      <c r="E26" s="344"/>
      <c r="F26" s="345" t="s">
        <v>299</v>
      </c>
      <c r="G26" s="345"/>
      <c r="H26" s="345"/>
      <c r="I26" s="345"/>
      <c r="J26" s="344"/>
      <c r="K26" s="2480" t="s">
        <v>300</v>
      </c>
      <c r="L26" s="2481"/>
      <c r="O26" s="308"/>
    </row>
    <row r="27" spans="1:15" s="346" customFormat="1" ht="87.75" customHeight="1">
      <c r="A27" s="2477"/>
      <c r="B27" s="2478"/>
      <c r="C27" s="2478"/>
      <c r="D27" s="2479"/>
      <c r="E27" s="625" t="s">
        <v>301</v>
      </c>
      <c r="F27" s="625" t="s">
        <v>302</v>
      </c>
      <c r="G27" s="625" t="s">
        <v>303</v>
      </c>
      <c r="H27" s="625" t="s">
        <v>304</v>
      </c>
      <c r="I27" s="625" t="s">
        <v>305</v>
      </c>
      <c r="J27" s="625" t="s">
        <v>306</v>
      </c>
      <c r="K27" s="374" t="s">
        <v>307</v>
      </c>
      <c r="L27" s="374" t="s">
        <v>308</v>
      </c>
    </row>
    <row r="28" spans="1:15" ht="18">
      <c r="A28" s="624"/>
      <c r="B28" s="625" t="s">
        <v>309</v>
      </c>
      <c r="C28" s="344"/>
      <c r="D28" s="349"/>
      <c r="E28" s="344"/>
      <c r="F28" s="344"/>
      <c r="G28" s="344"/>
      <c r="H28" s="344"/>
      <c r="I28" s="344"/>
      <c r="J28" s="344"/>
      <c r="K28" s="373"/>
      <c r="L28" s="373"/>
      <c r="O28" s="308"/>
    </row>
    <row r="29" spans="1:15" ht="24" customHeight="1">
      <c r="A29" s="624">
        <v>1</v>
      </c>
      <c r="B29" s="348" t="s">
        <v>310</v>
      </c>
      <c r="C29" s="344">
        <v>1445674</v>
      </c>
      <c r="D29" s="349">
        <v>1038879</v>
      </c>
      <c r="E29" s="344"/>
      <c r="F29" s="350">
        <v>430.56400000000002</v>
      </c>
      <c r="G29" s="350">
        <v>367.12800000000016</v>
      </c>
      <c r="H29" s="350">
        <v>20.145</v>
      </c>
      <c r="I29" s="350">
        <v>9.2349999999999994</v>
      </c>
      <c r="J29" s="351">
        <f>SUM(F29:I29)</f>
        <v>827.07200000000023</v>
      </c>
      <c r="K29" s="352">
        <v>35749.660000000003</v>
      </c>
      <c r="L29" s="352">
        <v>25259.22</v>
      </c>
      <c r="O29" s="308"/>
    </row>
    <row r="30" spans="1:15" ht="24" customHeight="1">
      <c r="A30" s="624">
        <v>2</v>
      </c>
      <c r="B30" s="348" t="s">
        <v>311</v>
      </c>
      <c r="C30" s="344">
        <v>160413</v>
      </c>
      <c r="D30" s="349">
        <v>258623</v>
      </c>
      <c r="E30" s="344"/>
      <c r="F30" s="350">
        <v>86.192999999999998</v>
      </c>
      <c r="G30" s="350">
        <v>60.529000000000003</v>
      </c>
      <c r="H30" s="350">
        <v>8.1020000000000003</v>
      </c>
      <c r="I30" s="350">
        <v>2.7309999999999999</v>
      </c>
      <c r="J30" s="351">
        <f>SUM(F30:I30)</f>
        <v>157.55500000000001</v>
      </c>
      <c r="K30" s="352">
        <v>6900.4</v>
      </c>
      <c r="L30" s="352">
        <v>5219.75</v>
      </c>
      <c r="O30" s="308"/>
    </row>
    <row r="31" spans="1:15" ht="24" customHeight="1">
      <c r="A31" s="624">
        <v>3</v>
      </c>
      <c r="B31" s="348" t="s">
        <v>312</v>
      </c>
      <c r="C31" s="344">
        <v>35320</v>
      </c>
      <c r="D31" s="349">
        <v>97324</v>
      </c>
      <c r="E31" s="344"/>
      <c r="F31" s="350">
        <v>19.879000000000001</v>
      </c>
      <c r="G31" s="350">
        <v>23.532</v>
      </c>
      <c r="H31" s="350">
        <v>7.1539999999999999</v>
      </c>
      <c r="I31" s="350">
        <v>2.0920000000000001</v>
      </c>
      <c r="J31" s="351">
        <f>SUM(F31:I31)</f>
        <v>52.656999999999996</v>
      </c>
      <c r="K31" s="352">
        <v>2524.85</v>
      </c>
      <c r="L31" s="352">
        <v>2056.5700000000002</v>
      </c>
      <c r="O31" s="308"/>
    </row>
    <row r="32" spans="1:15" ht="24" customHeight="1">
      <c r="A32" s="624">
        <v>4</v>
      </c>
      <c r="B32" s="348">
        <v>4</v>
      </c>
      <c r="C32" s="344">
        <v>9149</v>
      </c>
      <c r="D32" s="349">
        <v>33869</v>
      </c>
      <c r="E32" s="344"/>
      <c r="F32" s="350">
        <v>4.9480000000000004</v>
      </c>
      <c r="G32" s="350">
        <v>6.4379999999999997</v>
      </c>
      <c r="H32" s="350">
        <v>5.1550000000000002</v>
      </c>
      <c r="I32" s="350">
        <v>2.173</v>
      </c>
      <c r="J32" s="351">
        <f>SUM(F32:I32)</f>
        <v>18.713999999999999</v>
      </c>
      <c r="K32" s="352">
        <v>979.01</v>
      </c>
      <c r="L32" s="352">
        <v>869.26</v>
      </c>
      <c r="O32" s="308"/>
    </row>
    <row r="33" spans="1:17" ht="24" customHeight="1">
      <c r="A33" s="624">
        <v>5</v>
      </c>
      <c r="B33" s="357" t="s">
        <v>313</v>
      </c>
      <c r="C33" s="344">
        <v>6697</v>
      </c>
      <c r="D33" s="349">
        <v>36432</v>
      </c>
      <c r="E33" s="344"/>
      <c r="F33" s="350">
        <v>3.9929999999999999</v>
      </c>
      <c r="G33" s="350">
        <v>6.4770000000000003</v>
      </c>
      <c r="H33" s="350">
        <v>3.1829999999999998</v>
      </c>
      <c r="I33" s="350">
        <v>2.4540000000000002</v>
      </c>
      <c r="J33" s="351">
        <f>SUM(F33:I33)</f>
        <v>16.106999999999999</v>
      </c>
      <c r="K33" s="352">
        <v>863.88</v>
      </c>
      <c r="L33" s="352">
        <v>787.8</v>
      </c>
      <c r="O33" s="308"/>
    </row>
    <row r="34" spans="1:17" ht="24" customHeight="1">
      <c r="A34" s="624">
        <v>6</v>
      </c>
      <c r="B34" s="357" t="s">
        <v>314</v>
      </c>
      <c r="C34" s="345">
        <f t="shared" ref="C34:L34" si="4">SUM(C29:C33)</f>
        <v>1657253</v>
      </c>
      <c r="D34" s="358">
        <f t="shared" si="4"/>
        <v>1465127</v>
      </c>
      <c r="E34" s="345">
        <f t="shared" si="4"/>
        <v>0</v>
      </c>
      <c r="F34" s="351">
        <f t="shared" si="4"/>
        <v>545.57700000000011</v>
      </c>
      <c r="G34" s="351">
        <f t="shared" si="4"/>
        <v>464.1040000000001</v>
      </c>
      <c r="H34" s="351">
        <f t="shared" si="4"/>
        <v>43.738999999999997</v>
      </c>
      <c r="I34" s="351">
        <f t="shared" si="4"/>
        <v>18.685000000000002</v>
      </c>
      <c r="J34" s="351">
        <f t="shared" si="4"/>
        <v>1072.105</v>
      </c>
      <c r="K34" s="362">
        <f t="shared" si="4"/>
        <v>47017.8</v>
      </c>
      <c r="L34" s="362">
        <f t="shared" si="4"/>
        <v>34192.600000000006</v>
      </c>
      <c r="O34" s="308"/>
    </row>
    <row r="35" spans="1:17" ht="39" customHeight="1">
      <c r="A35" s="624">
        <v>7</v>
      </c>
      <c r="B35" s="359" t="s">
        <v>315</v>
      </c>
      <c r="C35" s="344"/>
      <c r="D35" s="349"/>
      <c r="E35" s="344"/>
      <c r="F35" s="344"/>
      <c r="G35" s="344"/>
      <c r="H35" s="344"/>
      <c r="I35" s="344"/>
      <c r="J35" s="344"/>
      <c r="K35" s="352"/>
      <c r="L35" s="352"/>
      <c r="O35" s="308"/>
    </row>
    <row r="36" spans="1:17" ht="21" customHeight="1">
      <c r="A36" s="624">
        <v>8</v>
      </c>
      <c r="B36" s="357" t="s">
        <v>314</v>
      </c>
      <c r="C36" s="345">
        <f t="shared" ref="C36:L36" si="5">+C34+C35</f>
        <v>1657253</v>
      </c>
      <c r="D36" s="358">
        <f t="shared" si="5"/>
        <v>1465127</v>
      </c>
      <c r="E36" s="345">
        <f t="shared" si="5"/>
        <v>0</v>
      </c>
      <c r="F36" s="345">
        <f t="shared" si="5"/>
        <v>545.57700000000011</v>
      </c>
      <c r="G36" s="345">
        <f t="shared" si="5"/>
        <v>464.1040000000001</v>
      </c>
      <c r="H36" s="345">
        <f t="shared" si="5"/>
        <v>43.738999999999997</v>
      </c>
      <c r="I36" s="345">
        <f t="shared" si="5"/>
        <v>18.685000000000002</v>
      </c>
      <c r="J36" s="345">
        <f t="shared" si="5"/>
        <v>1072.105</v>
      </c>
      <c r="K36" s="362">
        <f t="shared" si="5"/>
        <v>47017.8</v>
      </c>
      <c r="L36" s="362">
        <f t="shared" si="5"/>
        <v>34192.600000000006</v>
      </c>
      <c r="O36" s="308"/>
    </row>
    <row r="37" spans="1:17" ht="21" customHeight="1">
      <c r="A37" s="624">
        <v>9</v>
      </c>
      <c r="B37" s="357" t="s">
        <v>316</v>
      </c>
      <c r="C37" s="1123">
        <v>75673</v>
      </c>
      <c r="D37" s="1124">
        <v>19738</v>
      </c>
      <c r="E37" s="350">
        <v>5.9350000000000005</v>
      </c>
      <c r="F37" s="344">
        <v>0</v>
      </c>
      <c r="G37" s="344">
        <v>0</v>
      </c>
      <c r="H37" s="344">
        <v>0</v>
      </c>
      <c r="I37" s="344">
        <v>0</v>
      </c>
      <c r="J37" s="351">
        <f>SUM(E37:I37)</f>
        <v>5.9350000000000005</v>
      </c>
      <c r="K37" s="352">
        <v>164.97</v>
      </c>
      <c r="L37" s="352">
        <v>86.3</v>
      </c>
      <c r="O37" s="308"/>
    </row>
    <row r="38" spans="1:17" ht="21" customHeight="1">
      <c r="A38" s="624">
        <v>10</v>
      </c>
      <c r="B38" s="357" t="s">
        <v>317</v>
      </c>
      <c r="C38" s="344"/>
      <c r="D38" s="349"/>
      <c r="E38" s="344"/>
      <c r="F38" s="344"/>
      <c r="G38" s="344"/>
      <c r="H38" s="344"/>
      <c r="I38" s="344"/>
      <c r="J38" s="344"/>
      <c r="K38" s="352"/>
      <c r="L38" s="352"/>
      <c r="O38" s="308"/>
    </row>
    <row r="39" spans="1:17" ht="21" customHeight="1">
      <c r="A39" s="624">
        <v>11</v>
      </c>
      <c r="B39" s="357" t="s">
        <v>318</v>
      </c>
      <c r="C39" s="345">
        <f t="shared" ref="C39:L39" si="6">+C37</f>
        <v>75673</v>
      </c>
      <c r="D39" s="358">
        <f t="shared" si="6"/>
        <v>19738</v>
      </c>
      <c r="E39" s="351">
        <f t="shared" si="6"/>
        <v>5.9350000000000005</v>
      </c>
      <c r="F39" s="345">
        <f t="shared" si="6"/>
        <v>0</v>
      </c>
      <c r="G39" s="345">
        <f t="shared" si="6"/>
        <v>0</v>
      </c>
      <c r="H39" s="345">
        <f t="shared" si="6"/>
        <v>0</v>
      </c>
      <c r="I39" s="345">
        <f t="shared" si="6"/>
        <v>0</v>
      </c>
      <c r="J39" s="351">
        <f t="shared" si="6"/>
        <v>5.9350000000000005</v>
      </c>
      <c r="K39" s="362">
        <f t="shared" si="6"/>
        <v>164.97</v>
      </c>
      <c r="L39" s="362">
        <f t="shared" si="6"/>
        <v>86.3</v>
      </c>
      <c r="O39" s="308"/>
    </row>
    <row r="40" spans="1:17" ht="21" customHeight="1">
      <c r="A40" s="624"/>
      <c r="B40" s="357"/>
      <c r="C40" s="344"/>
      <c r="D40" s="349"/>
      <c r="E40" s="344"/>
      <c r="F40" s="344"/>
      <c r="G40" s="344"/>
      <c r="H40" s="344"/>
      <c r="I40" s="344"/>
      <c r="J40" s="344"/>
      <c r="K40" s="352"/>
      <c r="L40" s="352"/>
      <c r="O40" s="308"/>
    </row>
    <row r="41" spans="1:17" ht="21" customHeight="1">
      <c r="A41" s="624">
        <v>12</v>
      </c>
      <c r="B41" s="357" t="s">
        <v>322</v>
      </c>
      <c r="C41" s="345">
        <f t="shared" ref="C41:L41" si="7">+C36+C39</f>
        <v>1732926</v>
      </c>
      <c r="D41" s="358">
        <f t="shared" si="7"/>
        <v>1484865</v>
      </c>
      <c r="E41" s="351">
        <f t="shared" si="7"/>
        <v>5.9350000000000005</v>
      </c>
      <c r="F41" s="345">
        <f t="shared" si="7"/>
        <v>545.57700000000011</v>
      </c>
      <c r="G41" s="345">
        <f t="shared" si="7"/>
        <v>464.1040000000001</v>
      </c>
      <c r="H41" s="345">
        <f t="shared" si="7"/>
        <v>43.738999999999997</v>
      </c>
      <c r="I41" s="345">
        <f t="shared" si="7"/>
        <v>18.685000000000002</v>
      </c>
      <c r="J41" s="345">
        <f t="shared" si="7"/>
        <v>1078.04</v>
      </c>
      <c r="K41" s="362">
        <f t="shared" si="7"/>
        <v>47182.770000000004</v>
      </c>
      <c r="L41" s="362">
        <f t="shared" si="7"/>
        <v>34278.900000000009</v>
      </c>
      <c r="O41" s="308"/>
    </row>
    <row r="42" spans="1:17" ht="21" customHeight="1">
      <c r="A42" s="624"/>
      <c r="B42" s="357"/>
      <c r="C42" s="344"/>
      <c r="D42" s="349"/>
      <c r="E42" s="344"/>
      <c r="F42" s="344"/>
      <c r="G42" s="344"/>
      <c r="H42" s="344"/>
      <c r="I42" s="344"/>
      <c r="J42" s="344"/>
      <c r="K42" s="352"/>
      <c r="L42" s="352"/>
      <c r="O42" s="308"/>
    </row>
    <row r="43" spans="1:17" ht="21" customHeight="1">
      <c r="A43" s="624"/>
      <c r="B43" s="363" t="s">
        <v>323</v>
      </c>
      <c r="C43" s="345">
        <f t="shared" ref="C43:L43" si="8">+C22+C41</f>
        <v>1936849</v>
      </c>
      <c r="D43" s="358">
        <f t="shared" si="8"/>
        <v>1853919</v>
      </c>
      <c r="E43" s="351">
        <f t="shared" si="8"/>
        <v>5.9350000000000005</v>
      </c>
      <c r="F43" s="351">
        <f t="shared" si="8"/>
        <v>664.18200000000013</v>
      </c>
      <c r="G43" s="351">
        <f t="shared" si="8"/>
        <v>632.55900000000008</v>
      </c>
      <c r="H43" s="351">
        <f t="shared" si="8"/>
        <v>94.992999999999995</v>
      </c>
      <c r="I43" s="351">
        <f t="shared" si="8"/>
        <v>49.690000000000005</v>
      </c>
      <c r="J43" s="351">
        <f t="shared" si="8"/>
        <v>1447.3589999999999</v>
      </c>
      <c r="K43" s="362">
        <f t="shared" si="8"/>
        <v>64674.33</v>
      </c>
      <c r="L43" s="362">
        <f t="shared" si="8"/>
        <v>49295.05</v>
      </c>
      <c r="N43" s="979"/>
      <c r="O43" s="979"/>
      <c r="P43" s="979"/>
      <c r="Q43" s="979"/>
    </row>
    <row r="44" spans="1:17" ht="18" customHeight="1">
      <c r="B44" s="360"/>
      <c r="C44" s="338"/>
      <c r="D44" s="338"/>
      <c r="E44" s="338"/>
      <c r="F44" s="338"/>
      <c r="G44" s="338"/>
      <c r="H44" s="338"/>
      <c r="I44" s="338"/>
      <c r="J44" s="338"/>
      <c r="K44" s="338"/>
      <c r="L44" s="364"/>
      <c r="O44" s="308"/>
    </row>
    <row r="45" spans="1:17" ht="18" customHeight="1">
      <c r="B45" s="343" t="s">
        <v>324</v>
      </c>
      <c r="C45" s="340"/>
      <c r="D45" s="340"/>
      <c r="E45" s="338"/>
      <c r="F45" s="338"/>
      <c r="G45" s="338"/>
      <c r="H45" s="338"/>
      <c r="I45" s="338"/>
      <c r="J45" s="339"/>
      <c r="K45" s="339"/>
      <c r="L45" s="339"/>
      <c r="O45" s="308"/>
    </row>
    <row r="46" spans="1:17" ht="42.75" customHeight="1">
      <c r="A46" s="624"/>
      <c r="B46" s="365"/>
      <c r="C46" s="2476" t="s">
        <v>325</v>
      </c>
      <c r="D46" s="2476"/>
      <c r="E46" s="2476" t="s">
        <v>326</v>
      </c>
      <c r="F46" s="2476"/>
      <c r="G46" s="2476" t="s">
        <v>327</v>
      </c>
      <c r="H46" s="2476"/>
      <c r="I46" s="2474" t="s">
        <v>239</v>
      </c>
      <c r="J46" s="2475"/>
      <c r="K46" s="344"/>
      <c r="L46" s="352"/>
      <c r="O46" s="308"/>
    </row>
    <row r="47" spans="1:17" ht="24" customHeight="1">
      <c r="A47" s="624"/>
      <c r="B47" s="357"/>
      <c r="C47" s="366" t="s">
        <v>293</v>
      </c>
      <c r="D47" s="366" t="s">
        <v>321</v>
      </c>
      <c r="E47" s="366" t="s">
        <v>293</v>
      </c>
      <c r="F47" s="366" t="s">
        <v>321</v>
      </c>
      <c r="G47" s="366" t="s">
        <v>293</v>
      </c>
      <c r="H47" s="366" t="s">
        <v>321</v>
      </c>
      <c r="I47" s="366" t="s">
        <v>293</v>
      </c>
      <c r="J47" s="366" t="s">
        <v>321</v>
      </c>
      <c r="K47" s="344"/>
      <c r="L47" s="344"/>
      <c r="O47" s="308"/>
    </row>
    <row r="48" spans="1:17" ht="24" customHeight="1">
      <c r="A48" s="624">
        <v>1</v>
      </c>
      <c r="B48" s="625" t="s">
        <v>328</v>
      </c>
      <c r="C48" s="344">
        <v>0</v>
      </c>
      <c r="D48" s="344">
        <v>46532</v>
      </c>
      <c r="E48" s="344">
        <v>0</v>
      </c>
      <c r="F48" s="344">
        <v>2104</v>
      </c>
      <c r="G48" s="344">
        <v>0</v>
      </c>
      <c r="H48" s="344">
        <v>27037</v>
      </c>
      <c r="I48" s="344">
        <f>+C48+E48+G48</f>
        <v>0</v>
      </c>
      <c r="J48" s="344">
        <f>+D48+F48+H48</f>
        <v>75673</v>
      </c>
      <c r="K48" s="344"/>
      <c r="L48" s="344"/>
      <c r="O48" s="308"/>
    </row>
    <row r="49" spans="1:15" ht="24" customHeight="1">
      <c r="A49" s="624"/>
      <c r="B49" s="625" t="s">
        <v>309</v>
      </c>
      <c r="C49" s="344"/>
      <c r="D49" s="344"/>
      <c r="E49" s="344"/>
      <c r="F49" s="344"/>
      <c r="G49" s="344"/>
      <c r="H49" s="344"/>
      <c r="I49" s="344"/>
      <c r="J49" s="344"/>
      <c r="K49" s="344"/>
      <c r="L49" s="344"/>
      <c r="O49" s="308"/>
    </row>
    <row r="50" spans="1:15" ht="24" customHeight="1">
      <c r="A50" s="624">
        <v>2</v>
      </c>
      <c r="B50" s="348" t="s">
        <v>310</v>
      </c>
      <c r="C50" s="344">
        <v>85635</v>
      </c>
      <c r="D50" s="344">
        <v>1176614</v>
      </c>
      <c r="E50" s="344">
        <v>8502</v>
      </c>
      <c r="F50" s="344">
        <v>62064</v>
      </c>
      <c r="G50" s="344">
        <v>9177</v>
      </c>
      <c r="H50" s="344">
        <v>206996</v>
      </c>
      <c r="I50" s="344">
        <f t="shared" ref="I50:J54" si="9">+C50+E50+G50</f>
        <v>103314</v>
      </c>
      <c r="J50" s="344">
        <f t="shared" si="9"/>
        <v>1445674</v>
      </c>
      <c r="K50" s="344"/>
      <c r="L50" s="344"/>
      <c r="O50" s="308"/>
    </row>
    <row r="51" spans="1:15" ht="24" customHeight="1">
      <c r="A51" s="624">
        <v>3</v>
      </c>
      <c r="B51" s="348" t="s">
        <v>311</v>
      </c>
      <c r="C51" s="344">
        <v>49612</v>
      </c>
      <c r="D51" s="344">
        <v>142421</v>
      </c>
      <c r="E51" s="344">
        <v>21</v>
      </c>
      <c r="F51" s="344">
        <v>371</v>
      </c>
      <c r="G51" s="344">
        <v>1913</v>
      </c>
      <c r="H51" s="344">
        <v>17621</v>
      </c>
      <c r="I51" s="344">
        <f t="shared" si="9"/>
        <v>51546</v>
      </c>
      <c r="J51" s="344">
        <f t="shared" si="9"/>
        <v>160413</v>
      </c>
      <c r="K51" s="344"/>
      <c r="L51" s="344"/>
      <c r="O51" s="308"/>
    </row>
    <row r="52" spans="1:15" ht="24" customHeight="1">
      <c r="A52" s="624">
        <v>4</v>
      </c>
      <c r="B52" s="348" t="s">
        <v>312</v>
      </c>
      <c r="C52" s="344">
        <v>26551</v>
      </c>
      <c r="D52" s="344">
        <v>33519</v>
      </c>
      <c r="E52" s="344">
        <v>2</v>
      </c>
      <c r="F52" s="344">
        <v>24</v>
      </c>
      <c r="G52" s="344">
        <v>268</v>
      </c>
      <c r="H52" s="344">
        <v>1777</v>
      </c>
      <c r="I52" s="344">
        <f t="shared" si="9"/>
        <v>26821</v>
      </c>
      <c r="J52" s="344">
        <f t="shared" si="9"/>
        <v>35320</v>
      </c>
      <c r="K52" s="344"/>
      <c r="L52" s="344"/>
      <c r="O52" s="308"/>
    </row>
    <row r="53" spans="1:15" ht="24" customHeight="1">
      <c r="A53" s="624">
        <v>5</v>
      </c>
      <c r="B53" s="348">
        <v>4</v>
      </c>
      <c r="C53" s="344">
        <v>11631</v>
      </c>
      <c r="D53" s="344">
        <v>8651</v>
      </c>
      <c r="E53" s="344">
        <v>0</v>
      </c>
      <c r="F53" s="344">
        <v>5</v>
      </c>
      <c r="G53" s="344">
        <v>84</v>
      </c>
      <c r="H53" s="344">
        <v>493</v>
      </c>
      <c r="I53" s="344">
        <f t="shared" si="9"/>
        <v>11715</v>
      </c>
      <c r="J53" s="344">
        <f t="shared" si="9"/>
        <v>9149</v>
      </c>
      <c r="K53" s="344"/>
      <c r="L53" s="344"/>
      <c r="O53" s="308"/>
    </row>
    <row r="54" spans="1:15" ht="24" customHeight="1">
      <c r="A54" s="624">
        <v>6</v>
      </c>
      <c r="B54" s="357" t="s">
        <v>313</v>
      </c>
      <c r="C54" s="344">
        <v>10452</v>
      </c>
      <c r="D54" s="344">
        <v>6479</v>
      </c>
      <c r="E54" s="344">
        <v>0</v>
      </c>
      <c r="F54" s="344">
        <v>2</v>
      </c>
      <c r="G54" s="344">
        <v>75</v>
      </c>
      <c r="H54" s="344">
        <v>216</v>
      </c>
      <c r="I54" s="344">
        <f t="shared" si="9"/>
        <v>10527</v>
      </c>
      <c r="J54" s="344">
        <f t="shared" si="9"/>
        <v>6697</v>
      </c>
      <c r="K54" s="344"/>
      <c r="L54" s="344"/>
      <c r="O54" s="308"/>
    </row>
    <row r="55" spans="1:15" ht="24" customHeight="1">
      <c r="A55" s="624">
        <v>7</v>
      </c>
      <c r="B55" s="367" t="s">
        <v>239</v>
      </c>
      <c r="C55" s="345">
        <f t="shared" ref="C55:J55" si="10">SUM(C48:C54)</f>
        <v>183881</v>
      </c>
      <c r="D55" s="345">
        <f t="shared" si="10"/>
        <v>1414216</v>
      </c>
      <c r="E55" s="345">
        <f t="shared" si="10"/>
        <v>8525</v>
      </c>
      <c r="F55" s="345">
        <f t="shared" si="10"/>
        <v>64570</v>
      </c>
      <c r="G55" s="345">
        <f t="shared" si="10"/>
        <v>11517</v>
      </c>
      <c r="H55" s="345">
        <f t="shared" si="10"/>
        <v>254140</v>
      </c>
      <c r="I55" s="345">
        <f t="shared" si="10"/>
        <v>203923</v>
      </c>
      <c r="J55" s="345">
        <f t="shared" si="10"/>
        <v>1732926</v>
      </c>
      <c r="K55" s="345"/>
      <c r="L55" s="345"/>
      <c r="O55" s="308"/>
    </row>
    <row r="56" spans="1:15" ht="18">
      <c r="A56" s="368"/>
      <c r="B56" s="360"/>
      <c r="C56" s="338"/>
      <c r="D56" s="338"/>
      <c r="G56" s="338"/>
      <c r="H56" s="338"/>
      <c r="I56" s="338"/>
      <c r="J56" s="338"/>
      <c r="K56" s="338"/>
      <c r="L56" s="338"/>
      <c r="O56" s="308"/>
    </row>
    <row r="57" spans="1:15">
      <c r="O57" s="308"/>
    </row>
    <row r="59" spans="1:15">
      <c r="O59" s="308"/>
    </row>
    <row r="61" spans="1:15" ht="15.75">
      <c r="J61" s="330"/>
    </row>
    <row r="64" spans="1:15">
      <c r="J64" s="356"/>
      <c r="O64" s="308"/>
    </row>
    <row r="65" spans="1:15" s="308" customFormat="1"/>
    <row r="67" spans="1:15" s="308" customFormat="1"/>
    <row r="70" spans="1:15">
      <c r="A70" s="308"/>
      <c r="B70" s="308"/>
      <c r="D70" s="370"/>
      <c r="J70" s="356"/>
      <c r="O70" s="308"/>
    </row>
  </sheetData>
  <mergeCells count="15">
    <mergeCell ref="K26:L26"/>
    <mergeCell ref="A3:L3"/>
    <mergeCell ref="A7:A8"/>
    <mergeCell ref="B7:B8"/>
    <mergeCell ref="C7:C8"/>
    <mergeCell ref="D7:D8"/>
    <mergeCell ref="K7:L7"/>
    <mergeCell ref="I46:J46"/>
    <mergeCell ref="C46:D46"/>
    <mergeCell ref="E46:F46"/>
    <mergeCell ref="G46:H46"/>
    <mergeCell ref="A26:A27"/>
    <mergeCell ref="B26:B27"/>
    <mergeCell ref="C26:C27"/>
    <mergeCell ref="D26:D27"/>
  </mergeCells>
  <printOptions horizontalCentered="1"/>
  <pageMargins left="0.15748031496062992" right="0.23622047244094491" top="0.59055118110236227" bottom="0.31496062992125984" header="0.35433070866141736" footer="0.23622047244094491"/>
  <pageSetup paperSize="9" scale="5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008000"/>
  </sheetPr>
  <dimension ref="A1:Y106"/>
  <sheetViews>
    <sheetView view="pageBreakPreview" zoomScale="106" zoomScaleSheetLayoutView="106" workbookViewId="0">
      <pane xSplit="2" ySplit="6" topLeftCell="C47" activePane="bottomRight" state="frozen"/>
      <selection pane="bottomRight" activeCell="H37" sqref="H37"/>
      <selection pane="bottomLeft" activeCell="A7" sqref="A7"/>
      <selection pane="topRight" activeCell="C1" sqref="C1"/>
    </sheetView>
  </sheetViews>
  <sheetFormatPr defaultColWidth="9.140625" defaultRowHeight="12.75"/>
  <cols>
    <col min="1" max="1" width="11.7109375" style="129" customWidth="1"/>
    <col min="2" max="2" width="36.5703125" style="129" customWidth="1"/>
    <col min="3" max="3" width="15.85546875" style="129" customWidth="1"/>
    <col min="4" max="4" width="13.85546875" style="129" customWidth="1"/>
    <col min="5" max="5" width="16.5703125" style="129" bestFit="1" customWidth="1"/>
    <col min="6" max="6" width="15.140625" style="129" customWidth="1"/>
    <col min="7" max="7" width="10" customWidth="1"/>
    <col min="8" max="14" width="9.140625" customWidth="1"/>
    <col min="15" max="15" width="9.5703125" bestFit="1" customWidth="1"/>
    <col min="16" max="18" width="9.7109375" customWidth="1"/>
    <col min="19" max="19" width="10.42578125" customWidth="1"/>
    <col min="20" max="20" width="7.5703125" customWidth="1"/>
    <col min="21" max="23" width="8.7109375"/>
    <col min="24" max="24" width="18.7109375" customWidth="1"/>
    <col min="25" max="16384" width="9.140625" style="129"/>
  </cols>
  <sheetData>
    <row r="1" spans="1:15" ht="15.75">
      <c r="A1" s="2"/>
      <c r="B1" s="1" t="s">
        <v>2088</v>
      </c>
      <c r="E1" s="8" t="s">
        <v>210</v>
      </c>
      <c r="F1" s="567" t="s">
        <v>2089</v>
      </c>
    </row>
    <row r="3" spans="1:15" ht="15.75">
      <c r="A3" s="18" t="s">
        <v>2090</v>
      </c>
      <c r="B3" s="52"/>
      <c r="C3" s="18"/>
      <c r="D3" s="18"/>
      <c r="E3" s="18"/>
      <c r="F3" s="18"/>
    </row>
    <row r="4" spans="1:15">
      <c r="F4" s="1" t="s">
        <v>2091</v>
      </c>
    </row>
    <row r="5" spans="1:15">
      <c r="A5" s="11" t="s">
        <v>2092</v>
      </c>
      <c r="B5" s="305" t="s">
        <v>887</v>
      </c>
      <c r="C5" s="305" t="s">
        <v>174</v>
      </c>
      <c r="D5" s="305" t="s">
        <v>345</v>
      </c>
      <c r="E5" s="305" t="s">
        <v>345</v>
      </c>
      <c r="F5" s="305" t="s">
        <v>170</v>
      </c>
    </row>
    <row r="6" spans="1:15" ht="38.25">
      <c r="A6" s="11"/>
      <c r="B6" s="269"/>
      <c r="C6" s="305" t="s">
        <v>175</v>
      </c>
      <c r="D6" s="125" t="s">
        <v>2017</v>
      </c>
      <c r="E6" s="1085" t="s">
        <v>173</v>
      </c>
      <c r="F6" s="1085" t="s">
        <v>171</v>
      </c>
    </row>
    <row r="7" spans="1:15">
      <c r="A7" s="124"/>
      <c r="B7" s="11" t="s">
        <v>2039</v>
      </c>
      <c r="C7" s="1078"/>
      <c r="D7" s="137"/>
      <c r="E7" s="1078"/>
      <c r="F7" s="1078"/>
    </row>
    <row r="8" spans="1:15" ht="12" customHeight="1">
      <c r="A8" s="124"/>
      <c r="B8" s="124" t="s">
        <v>2040</v>
      </c>
      <c r="C8" s="130">
        <f>'A &amp; G - Expns'!I4*10^2</f>
        <v>247.18458680000001</v>
      </c>
      <c r="D8" s="130">
        <f>'A &amp; G - Expns'!H4*10^2</f>
        <v>141.2229006</v>
      </c>
      <c r="E8" s="130">
        <f>'A &amp; G - Expns'!E4</f>
        <v>251.30912900000001</v>
      </c>
      <c r="F8" s="130">
        <f>'A &amp; G - Expns'!F4</f>
        <v>251.74004189999999</v>
      </c>
      <c r="G8" s="3"/>
      <c r="O8" s="826"/>
    </row>
    <row r="9" spans="1:15" hidden="1">
      <c r="A9" s="124"/>
      <c r="B9" s="124" t="s">
        <v>2041</v>
      </c>
      <c r="C9" s="130">
        <f>'A &amp; G - Expns'!I5*10^2</f>
        <v>0</v>
      </c>
      <c r="D9" s="130">
        <f>'A &amp; G - Expns'!H5*10^2</f>
        <v>0</v>
      </c>
      <c r="E9" s="130">
        <f>'A &amp; G - Expns'!E5</f>
        <v>0</v>
      </c>
      <c r="F9" s="130">
        <f>'A &amp; G - Expns'!F5</f>
        <v>0</v>
      </c>
      <c r="G9" s="3"/>
      <c r="O9" s="826"/>
    </row>
    <row r="10" spans="1:15">
      <c r="A10" s="124"/>
      <c r="B10" s="124" t="s">
        <v>2042</v>
      </c>
      <c r="C10" s="130">
        <f>'A &amp; G - Expns'!I6*10^2</f>
        <v>199.8626361</v>
      </c>
      <c r="D10" s="130">
        <f>'A &amp; G - Expns'!H6*10^2</f>
        <v>150</v>
      </c>
      <c r="E10" s="130">
        <f>'A &amp; G - Expns'!E6</f>
        <v>282.58460159999998</v>
      </c>
      <c r="F10" s="130">
        <f>'A &amp; G - Expns'!F6</f>
        <v>350</v>
      </c>
      <c r="G10" s="3"/>
      <c r="O10" s="826"/>
    </row>
    <row r="11" spans="1:15">
      <c r="A11" s="124"/>
      <c r="B11" s="124" t="s">
        <v>2043</v>
      </c>
      <c r="C11" s="130">
        <f>'A &amp; G - Expns'!I7*10^2</f>
        <v>288.47656319999999</v>
      </c>
      <c r="D11" s="130">
        <f>'A &amp; G - Expns'!H7*10^2</f>
        <v>138.21298999999999</v>
      </c>
      <c r="E11" s="130">
        <f>'A &amp; G - Expns'!E7</f>
        <v>373.20212040000001</v>
      </c>
      <c r="F11" s="130">
        <f>'A &amp; G - Expns'!F7</f>
        <v>500</v>
      </c>
      <c r="G11" s="3"/>
      <c r="O11" s="826"/>
    </row>
    <row r="12" spans="1:15" hidden="1">
      <c r="A12" s="124"/>
      <c r="B12" s="124" t="s">
        <v>2093</v>
      </c>
      <c r="C12" s="130"/>
      <c r="D12" s="136"/>
      <c r="E12" s="130"/>
      <c r="F12" s="130"/>
      <c r="G12" s="3"/>
      <c r="O12" s="826"/>
    </row>
    <row r="13" spans="1:15">
      <c r="A13" s="124"/>
      <c r="B13" s="11" t="s">
        <v>2044</v>
      </c>
      <c r="C13" s="13">
        <f>SUM(C8:C12)</f>
        <v>735.52378610000005</v>
      </c>
      <c r="D13" s="549">
        <f>SUM(D8:D12)</f>
        <v>429.43589059999999</v>
      </c>
      <c r="E13" s="13">
        <f>SUM(E8:E12)</f>
        <v>907.09585100000004</v>
      </c>
      <c r="F13" s="13">
        <f>SUM(F8:F12)</f>
        <v>1101.7400419000001</v>
      </c>
      <c r="G13" s="3"/>
      <c r="O13" s="826"/>
    </row>
    <row r="14" spans="1:15">
      <c r="A14" s="124"/>
      <c r="B14" s="11" t="s">
        <v>2045</v>
      </c>
      <c r="C14" s="130"/>
      <c r="D14" s="136"/>
      <c r="E14" s="130"/>
      <c r="F14" s="130"/>
      <c r="G14" s="3"/>
      <c r="O14" s="826"/>
    </row>
    <row r="15" spans="1:15">
      <c r="A15" s="124"/>
      <c r="B15" s="124" t="s">
        <v>2094</v>
      </c>
      <c r="C15" s="130">
        <f>'A &amp; G - Expns'!I10*10^2</f>
        <v>238.27882579999996</v>
      </c>
      <c r="D15" s="130">
        <f>'A &amp; G - Expns'!H10*10^2</f>
        <v>71.862504400000006</v>
      </c>
      <c r="E15" s="130">
        <f>'A &amp; G - Expns'!E10</f>
        <v>249.94208220000002</v>
      </c>
      <c r="F15" s="130">
        <f>'A &amp; G - Expns'!F10</f>
        <v>250</v>
      </c>
      <c r="G15" s="3"/>
      <c r="O15" s="826"/>
    </row>
    <row r="16" spans="1:15">
      <c r="A16" s="124"/>
      <c r="B16" s="124" t="s">
        <v>2047</v>
      </c>
      <c r="C16" s="130">
        <f>'A &amp; G - Expns'!I11*10^2</f>
        <v>68.205954000000006</v>
      </c>
      <c r="D16" s="130">
        <f>'A &amp; G - Expns'!H11*10^2</f>
        <v>1.4555539999999998</v>
      </c>
      <c r="E16" s="130">
        <f>'A &amp; G - Expns'!E11</f>
        <v>78.219470000000001</v>
      </c>
      <c r="F16" s="130">
        <f>'A &amp; G - Expns'!F11</f>
        <v>85.399999999999991</v>
      </c>
      <c r="G16" s="3"/>
      <c r="O16" s="826"/>
    </row>
    <row r="17" spans="1:15" hidden="1">
      <c r="A17" s="124"/>
      <c r="B17" s="124" t="s">
        <v>2095</v>
      </c>
      <c r="C17" s="130">
        <v>0</v>
      </c>
      <c r="D17" s="130">
        <v>0</v>
      </c>
      <c r="E17" s="130">
        <v>0</v>
      </c>
      <c r="F17" s="130">
        <v>0</v>
      </c>
      <c r="G17" s="3"/>
      <c r="O17" s="826"/>
    </row>
    <row r="18" spans="1:15" hidden="1">
      <c r="A18" s="124"/>
      <c r="B18" s="124" t="s">
        <v>2096</v>
      </c>
      <c r="C18" s="130">
        <v>0</v>
      </c>
      <c r="D18" s="130">
        <v>0</v>
      </c>
      <c r="E18" s="130">
        <v>0</v>
      </c>
      <c r="F18" s="130">
        <v>0</v>
      </c>
      <c r="G18" s="3"/>
      <c r="O18" s="826"/>
    </row>
    <row r="19" spans="1:15" hidden="1">
      <c r="A19" s="124"/>
      <c r="B19" s="124" t="s">
        <v>1334</v>
      </c>
      <c r="C19" s="130"/>
      <c r="D19" s="136"/>
      <c r="E19" s="130"/>
      <c r="F19" s="124"/>
      <c r="G19" s="3"/>
      <c r="O19" s="826"/>
    </row>
    <row r="20" spans="1:15">
      <c r="A20" s="124"/>
      <c r="B20" s="11" t="s">
        <v>2044</v>
      </c>
      <c r="C20" s="13">
        <f>SUM(C15:C19)</f>
        <v>306.48477979999996</v>
      </c>
      <c r="D20" s="549">
        <f>SUM(D15:D19)</f>
        <v>73.318058400000012</v>
      </c>
      <c r="E20" s="13">
        <f>SUM(E15:E19)</f>
        <v>328.16155220000002</v>
      </c>
      <c r="F20" s="13">
        <f>SUM(F15:F19)</f>
        <v>335.4</v>
      </c>
      <c r="G20" s="3"/>
      <c r="O20" s="826"/>
    </row>
    <row r="21" spans="1:15">
      <c r="A21" s="124"/>
      <c r="B21" s="11" t="s">
        <v>2048</v>
      </c>
      <c r="C21" s="130"/>
      <c r="D21" s="136"/>
      <c r="E21" s="130"/>
      <c r="F21" s="130"/>
      <c r="G21" s="3"/>
      <c r="O21" s="826"/>
    </row>
    <row r="22" spans="1:15">
      <c r="A22" s="124"/>
      <c r="B22" s="124" t="s">
        <v>2049</v>
      </c>
      <c r="C22" s="130">
        <f>'A &amp; G - Expns'!I14*10^2</f>
        <v>106.79453000000001</v>
      </c>
      <c r="D22" s="130">
        <f>'A &amp; G - Expns'!H14*10^2</f>
        <v>17.025589999999998</v>
      </c>
      <c r="E22" s="130">
        <f>'A &amp; G - Expns'!E14</f>
        <v>138.14191999999997</v>
      </c>
      <c r="F22" s="130">
        <f>'A &amp; G - Expns'!F14</f>
        <v>160</v>
      </c>
      <c r="G22" s="3"/>
      <c r="O22" s="826"/>
    </row>
    <row r="23" spans="1:15">
      <c r="A23" s="124"/>
      <c r="B23" s="1079" t="s">
        <v>2050</v>
      </c>
      <c r="C23" s="130">
        <f>'A &amp; G - Expns'!I15*10^2</f>
        <v>4.2479999999999993</v>
      </c>
      <c r="D23" s="130">
        <f>'A &amp; G - Expns'!H15*10^2</f>
        <v>0</v>
      </c>
      <c r="E23" s="130">
        <f>'A &amp; G - Expns'!E15</f>
        <v>4.5028800000000002</v>
      </c>
      <c r="F23" s="130">
        <f>'A &amp; G - Expns'!F15</f>
        <v>42.149600000000007</v>
      </c>
      <c r="G23" s="3"/>
      <c r="O23" s="826"/>
    </row>
    <row r="24" spans="1:15">
      <c r="A24" s="124"/>
      <c r="B24" s="124" t="s">
        <v>2051</v>
      </c>
      <c r="C24" s="130">
        <f>'A &amp; G - Expns'!I16*10^2</f>
        <v>744.27326530000005</v>
      </c>
      <c r="D24" s="130">
        <f>'A &amp; G - Expns'!H16*10^2</f>
        <v>392.87811049999999</v>
      </c>
      <c r="E24" s="130">
        <f>'A &amp; G - Expns'!E16</f>
        <v>750.89136760000008</v>
      </c>
      <c r="F24" s="130">
        <f>'A &amp; G - Expns'!F16</f>
        <v>764.11255687999994</v>
      </c>
      <c r="G24" s="3"/>
      <c r="O24" s="826"/>
    </row>
    <row r="25" spans="1:15" ht="25.5" hidden="1">
      <c r="A25" s="124"/>
      <c r="B25" s="1087" t="s">
        <v>2052</v>
      </c>
      <c r="C25" s="1088">
        <f>'A &amp; G - Expns'!I17*10^2*0</f>
        <v>0</v>
      </c>
      <c r="D25" s="1088">
        <f>'A &amp; G - Expns'!H17*10^2*0</f>
        <v>0</v>
      </c>
      <c r="E25" s="1088">
        <f>'A &amp; G - Expns'!E17</f>
        <v>0</v>
      </c>
      <c r="F25" s="1088">
        <f>'A &amp; G - Expns'!F17</f>
        <v>0</v>
      </c>
      <c r="G25" s="3"/>
      <c r="O25" s="826"/>
    </row>
    <row r="26" spans="1:15">
      <c r="A26" s="124"/>
      <c r="B26" s="124" t="s">
        <v>2053</v>
      </c>
      <c r="C26" s="130">
        <f>'A &amp; G - Expns'!I18*10^2</f>
        <v>161.4482026</v>
      </c>
      <c r="D26" s="130">
        <f>'A &amp; G - Expns'!H18*10^2</f>
        <v>60</v>
      </c>
      <c r="E26" s="130">
        <f>'A &amp; G - Expns'!E18</f>
        <v>175.76990839999999</v>
      </c>
      <c r="F26" s="130">
        <f>'A &amp; G - Expns'!F18</f>
        <v>193.73784312000001</v>
      </c>
      <c r="G26" s="3"/>
      <c r="O26" s="826"/>
    </row>
    <row r="27" spans="1:15">
      <c r="A27" s="124"/>
      <c r="B27" s="11" t="s">
        <v>2044</v>
      </c>
      <c r="C27" s="13">
        <f>SUM(C22:C26)</f>
        <v>1016.7639979</v>
      </c>
      <c r="D27" s="549">
        <f>SUM(D22:D26)</f>
        <v>469.90370050000001</v>
      </c>
      <c r="E27" s="13">
        <f>SUM(E22:E26)</f>
        <v>1069.3060760000001</v>
      </c>
      <c r="F27" s="13">
        <f>SUM(F22:F26)</f>
        <v>1160</v>
      </c>
      <c r="G27" s="3"/>
      <c r="O27" s="826"/>
    </row>
    <row r="28" spans="1:15">
      <c r="A28" s="124"/>
      <c r="B28" s="11" t="s">
        <v>2054</v>
      </c>
      <c r="C28" s="130"/>
      <c r="D28" s="136"/>
      <c r="E28" s="130"/>
      <c r="F28" s="130"/>
      <c r="G28" s="3"/>
      <c r="O28" s="826"/>
    </row>
    <row r="29" spans="1:15" hidden="1">
      <c r="A29" s="124"/>
      <c r="B29" s="124" t="s">
        <v>2055</v>
      </c>
      <c r="C29" s="130">
        <f>'A &amp; G - Expns'!I21*10^2*0</f>
        <v>0</v>
      </c>
      <c r="D29" s="130">
        <f>'A &amp; G - Expns'!H21*10^2*0</f>
        <v>0</v>
      </c>
      <c r="E29" s="130">
        <f>'A &amp; G - Expns'!E21</f>
        <v>0</v>
      </c>
      <c r="F29" s="130">
        <f>'A &amp; G - Expns'!F21</f>
        <v>0</v>
      </c>
      <c r="G29" s="3"/>
      <c r="O29" s="826"/>
    </row>
    <row r="30" spans="1:15">
      <c r="A30" s="124"/>
      <c r="B30" s="124" t="s">
        <v>2097</v>
      </c>
      <c r="C30" s="130">
        <f>'A &amp; G - Expns'!I22*10^2+'A &amp; G - Expns'!I21*10^2</f>
        <v>396.75773179999999</v>
      </c>
      <c r="D30" s="130">
        <f>'A &amp; G - Expns'!H22*10^2+'A &amp; G - Expns'!H21*10^2</f>
        <v>153.02397120000001</v>
      </c>
      <c r="E30" s="130">
        <f>'A &amp; G - Expns'!E22</f>
        <v>399.5571774</v>
      </c>
      <c r="F30" s="130">
        <f>'A &amp; G - Expns'!F22</f>
        <v>450</v>
      </c>
      <c r="G30" s="3"/>
      <c r="O30" s="826"/>
    </row>
    <row r="31" spans="1:15">
      <c r="A31" s="124"/>
      <c r="B31" s="124" t="s">
        <v>2057</v>
      </c>
      <c r="C31" s="130">
        <f>'A &amp; G - Expns'!I23*10^2</f>
        <v>1065.5500668</v>
      </c>
      <c r="D31" s="130">
        <f>'A &amp; G - Expns'!H23*10^2</f>
        <v>288</v>
      </c>
      <c r="E31" s="130">
        <f>'A &amp; G - Expns'!E23</f>
        <v>1100.1620330000001</v>
      </c>
      <c r="F31" s="130">
        <f>'A &amp; G - Expns'!F23</f>
        <v>1157.5468944166669</v>
      </c>
      <c r="G31" s="3"/>
      <c r="O31" s="826"/>
    </row>
    <row r="32" spans="1:15" hidden="1">
      <c r="A32" s="124"/>
      <c r="B32" s="124" t="s">
        <v>234</v>
      </c>
      <c r="C32" s="130">
        <v>0</v>
      </c>
      <c r="D32" s="130">
        <v>0</v>
      </c>
      <c r="E32" s="130">
        <v>0</v>
      </c>
      <c r="F32" s="130">
        <v>0</v>
      </c>
      <c r="G32" s="3"/>
      <c r="O32" s="826"/>
    </row>
    <row r="33" spans="1:17">
      <c r="A33" s="124"/>
      <c r="B33" s="11" t="s">
        <v>2044</v>
      </c>
      <c r="C33" s="13">
        <f>SUM(C29:C32)</f>
        <v>1462.3077985999998</v>
      </c>
      <c r="D33" s="549">
        <f>SUM(D29:D32)</f>
        <v>441.02397120000001</v>
      </c>
      <c r="E33" s="13">
        <f>SUM(E29:E32)</f>
        <v>1499.7192104000001</v>
      </c>
      <c r="F33" s="13">
        <f>SUM(F29:F32)</f>
        <v>1607.5468944166669</v>
      </c>
      <c r="G33" s="3"/>
      <c r="O33" s="826"/>
    </row>
    <row r="34" spans="1:17">
      <c r="A34" s="124"/>
      <c r="B34" s="11" t="s">
        <v>2058</v>
      </c>
      <c r="C34" s="130"/>
      <c r="D34" s="136"/>
      <c r="E34" s="130"/>
      <c r="F34" s="130"/>
      <c r="G34" s="3"/>
      <c r="O34" s="826"/>
    </row>
    <row r="35" spans="1:17">
      <c r="A35" s="1079"/>
      <c r="B35" s="124" t="s">
        <v>2059</v>
      </c>
      <c r="C35" s="130">
        <f>'A &amp; G - Expns'!I26*10^2</f>
        <v>28.524333800000001</v>
      </c>
      <c r="D35" s="130">
        <f>'A &amp; G - Expns'!H26*10^2</f>
        <v>7.4145799999999999</v>
      </c>
      <c r="E35" s="130">
        <f>'A &amp; G - Expns'!E26</f>
        <v>30.482799999999997</v>
      </c>
      <c r="F35" s="130">
        <f>'A &amp; G - Expns'!F26</f>
        <v>35.831080000000007</v>
      </c>
      <c r="G35" s="3"/>
      <c r="O35" s="826"/>
    </row>
    <row r="36" spans="1:17">
      <c r="A36" s="1079"/>
      <c r="B36" s="124" t="s">
        <v>2060</v>
      </c>
      <c r="C36" s="130">
        <f>'A &amp; G - Expns'!I27*10^2</f>
        <v>5.7723399999999998</v>
      </c>
      <c r="D36" s="130">
        <f>'A &amp; G - Expns'!H27*10^2</f>
        <v>0.60581000000000007</v>
      </c>
      <c r="E36" s="130">
        <f>'A &amp; G - Expns'!E27</f>
        <v>50.914486199999999</v>
      </c>
      <c r="F36" s="130">
        <f>'A &amp; G - Expns'!F27</f>
        <v>56.005934819999979</v>
      </c>
      <c r="G36" s="3"/>
      <c r="O36" s="826"/>
    </row>
    <row r="37" spans="1:17">
      <c r="A37" s="1079"/>
      <c r="B37" s="124" t="s">
        <v>2061</v>
      </c>
      <c r="C37" s="130">
        <f>'A &amp; G - Expns'!I28*10^2</f>
        <v>59.283998500000003</v>
      </c>
      <c r="D37" s="130">
        <f>'A &amp; G - Expns'!H28*10^2</f>
        <v>60.049079500000005</v>
      </c>
      <c r="E37" s="130">
        <f>'A &amp; G - Expns'!E28</f>
        <v>105.9071106</v>
      </c>
      <c r="F37" s="130">
        <f>'A &amp; G - Expns'!F28</f>
        <v>110.00000000000001</v>
      </c>
      <c r="G37" s="3"/>
      <c r="O37" s="826"/>
    </row>
    <row r="38" spans="1:17">
      <c r="A38" s="1079"/>
      <c r="B38" s="124" t="s">
        <v>2098</v>
      </c>
      <c r="C38" s="130">
        <f>'A &amp; G - Expns'!I29*10^2</f>
        <v>490.69959149999994</v>
      </c>
      <c r="D38" s="130">
        <f>'A &amp; G - Expns'!H29*10^2</f>
        <v>184.35830350000001</v>
      </c>
      <c r="E38" s="130">
        <f>'A &amp; G - Expns'!E29</f>
        <v>209.12718140000001</v>
      </c>
      <c r="F38" s="130">
        <f>'A &amp; G - Expns'!F29</f>
        <v>309.76955064999993</v>
      </c>
      <c r="G38" s="3"/>
      <c r="O38" s="826"/>
      <c r="Q38" s="1717"/>
    </row>
    <row r="39" spans="1:17" hidden="1">
      <c r="A39" s="1079"/>
      <c r="B39" s="1079" t="s">
        <v>2063</v>
      </c>
      <c r="C39" s="130">
        <f>'A &amp; G - Expns'!I30*10^2</f>
        <v>0</v>
      </c>
      <c r="D39" s="130">
        <f>'A &amp; G - Expns'!H30*10^2</f>
        <v>0</v>
      </c>
      <c r="E39" s="130">
        <f>'A &amp; G - Expns'!E30</f>
        <v>0</v>
      </c>
      <c r="F39" s="130">
        <f>'A &amp; G - Expns'!F30</f>
        <v>0</v>
      </c>
      <c r="G39" s="3"/>
      <c r="O39" s="826"/>
    </row>
    <row r="40" spans="1:17">
      <c r="A40" s="1079"/>
      <c r="B40" s="124" t="s">
        <v>2099</v>
      </c>
      <c r="C40" s="130">
        <f>'A &amp; G - Expns'!I31*10^2</f>
        <v>50</v>
      </c>
      <c r="D40" s="130">
        <f>'A &amp; G - Expns'!H31*10^2</f>
        <v>30.006128600000004</v>
      </c>
      <c r="E40" s="130">
        <f>'A &amp; G - Expns'!E31</f>
        <v>54.73610028149394</v>
      </c>
      <c r="F40" s="130">
        <f>'A &amp; G - Expns'!F31</f>
        <v>76.097043446795794</v>
      </c>
      <c r="G40" s="3"/>
      <c r="O40" s="826"/>
    </row>
    <row r="41" spans="1:17">
      <c r="A41" s="1079"/>
      <c r="B41" s="124" t="s">
        <v>2100</v>
      </c>
      <c r="C41" s="130">
        <f>'A &amp; G - Expns'!I32*10^2+'A &amp; G - Expns'!I17*10^2</f>
        <v>5270.1494508999804</v>
      </c>
      <c r="D41" s="130">
        <f>'A &amp; G - Expns'!H32*10^2+'A &amp; G - Expns'!H17*10^2</f>
        <v>3995.7711257999999</v>
      </c>
      <c r="E41" s="130">
        <f>'A &amp; G - Expns'!E32</f>
        <v>5401.2650581064254</v>
      </c>
      <c r="F41" s="130">
        <f>'A &amp; G - Expns'!F32</f>
        <v>5627.4056756946447</v>
      </c>
      <c r="G41" s="3"/>
      <c r="O41" s="826"/>
      <c r="Q41" s="129"/>
    </row>
    <row r="42" spans="1:17" hidden="1">
      <c r="A42" s="124"/>
      <c r="B42" s="124" t="s">
        <v>2101</v>
      </c>
      <c r="C42" s="130"/>
      <c r="D42" s="130"/>
      <c r="E42" s="130"/>
      <c r="F42" s="130"/>
      <c r="G42" s="3"/>
      <c r="O42" s="826"/>
    </row>
    <row r="43" spans="1:17">
      <c r="A43" s="1079"/>
      <c r="B43" s="124" t="s">
        <v>2066</v>
      </c>
      <c r="C43" s="130">
        <f>'A &amp; G - Expns'!I33*10^2</f>
        <v>352.58127039999999</v>
      </c>
      <c r="D43" s="130">
        <f>'A &amp; G - Expns'!H33*10^2</f>
        <v>149.90289000000001</v>
      </c>
      <c r="E43" s="130">
        <f>'A &amp; G - Expns'!E33</f>
        <v>514.10229059999995</v>
      </c>
      <c r="F43" s="130">
        <f>'A &amp; G - Expns'!F33</f>
        <v>542.98177251428581</v>
      </c>
      <c r="G43" s="3"/>
      <c r="O43" s="826"/>
    </row>
    <row r="44" spans="1:17">
      <c r="A44" s="1079"/>
      <c r="B44" s="124" t="s">
        <v>2102</v>
      </c>
      <c r="C44" s="130">
        <f>'A &amp; G - Expns'!I34*10^2</f>
        <v>122.70847499999999</v>
      </c>
      <c r="D44" s="130">
        <f>'A &amp; G - Expns'!H34*10^2</f>
        <v>70.621834200000009</v>
      </c>
      <c r="E44" s="130">
        <f>'A &amp; G - Expns'!E34</f>
        <v>143.98486543384971</v>
      </c>
      <c r="F44" s="130">
        <f>'A &amp; G - Expns'!F34</f>
        <v>168.74815130540907</v>
      </c>
      <c r="G44" s="3"/>
      <c r="O44" s="826"/>
    </row>
    <row r="45" spans="1:17">
      <c r="A45" s="1079"/>
      <c r="B45" s="124" t="s">
        <v>2103</v>
      </c>
      <c r="C45" s="130">
        <f>'A &amp; G - Expns'!I35*10^2</f>
        <v>63.046149799999895</v>
      </c>
      <c r="D45" s="130">
        <f>'A &amp; G - Expns'!H35*10^2</f>
        <v>26.323083499999999</v>
      </c>
      <c r="E45" s="130">
        <f>'A &amp; G - Expns'!E35</f>
        <v>152.59440898985375</v>
      </c>
      <c r="F45" s="130">
        <f>'A &amp; G - Expns'!F35+'A &amp; G - Expns'!F46</f>
        <v>231.63879611334144</v>
      </c>
      <c r="G45" s="3"/>
      <c r="O45" s="826"/>
    </row>
    <row r="46" spans="1:17" hidden="1">
      <c r="A46" s="1079"/>
      <c r="B46" s="124" t="s">
        <v>2069</v>
      </c>
      <c r="C46" s="130">
        <f>'A &amp; G - Expns'!I36*10^2</f>
        <v>0</v>
      </c>
      <c r="D46" s="130">
        <f>'A &amp; G - Expns'!H36*10^2</f>
        <v>0</v>
      </c>
      <c r="E46" s="130">
        <f>'A &amp; G - Expns'!E36</f>
        <v>0</v>
      </c>
      <c r="F46" s="130">
        <f>'A &amp; G - Expns'!F36</f>
        <v>0</v>
      </c>
      <c r="G46" s="3"/>
      <c r="O46" s="826"/>
    </row>
    <row r="47" spans="1:17">
      <c r="A47" s="1079"/>
      <c r="B47" s="124" t="s">
        <v>2072</v>
      </c>
      <c r="C47" s="130">
        <f>'A &amp; G - Expns'!I39*10^2</f>
        <v>1.6479999999940986E-2</v>
      </c>
      <c r="D47" s="130">
        <f>'A &amp; G - Expns'!H39*10^2</f>
        <v>0</v>
      </c>
      <c r="E47" s="130">
        <f>'A &amp; G - Expns'!E39</f>
        <v>232.89948189033208</v>
      </c>
      <c r="F47" s="130">
        <f>'A &amp; G - Expns'!F39</f>
        <v>288.82640378659232</v>
      </c>
      <c r="G47" s="3"/>
      <c r="O47" s="826"/>
    </row>
    <row r="48" spans="1:17">
      <c r="A48" s="1079"/>
      <c r="B48" s="1079" t="s">
        <v>2070</v>
      </c>
      <c r="C48" s="130">
        <f>'A &amp; G - Expns'!I37*10^2</f>
        <v>0</v>
      </c>
      <c r="D48" s="130">
        <f>'A &amp; G - Expns'!H37*10^2</f>
        <v>164.0804717</v>
      </c>
      <c r="E48" s="130">
        <f>'A &amp; G - Expns'!E37</f>
        <v>325.31472929804994</v>
      </c>
      <c r="F48" s="130">
        <f>'A &amp; G - Expns'!F37</f>
        <v>339.10128611829822</v>
      </c>
      <c r="G48" s="3"/>
      <c r="O48" s="826"/>
    </row>
    <row r="49" spans="1:18">
      <c r="A49" s="1079"/>
      <c r="B49" s="1079" t="s">
        <v>2071</v>
      </c>
      <c r="C49" s="130">
        <f>'A &amp; G - Expns'!I38*10^2</f>
        <v>104.57949499999999</v>
      </c>
      <c r="D49" s="130">
        <f>'A &amp; G - Expns'!H38*10^2</f>
        <v>17.233812499999999</v>
      </c>
      <c r="E49" s="130">
        <f>'A &amp; G - Expns'!E38</f>
        <v>124.467625</v>
      </c>
      <c r="F49" s="130">
        <f>'A &amp; G - Expns'!F38</f>
        <v>130.03744449999999</v>
      </c>
      <c r="G49" s="3"/>
      <c r="O49" s="826"/>
    </row>
    <row r="50" spans="1:18">
      <c r="A50" s="1079"/>
      <c r="B50" s="124" t="s">
        <v>2104</v>
      </c>
      <c r="C50" s="130">
        <f>'A &amp; G - Expns'!I40*10^2</f>
        <v>144.37004669999999</v>
      </c>
      <c r="D50" s="130">
        <f>'A &amp; G - Expns'!H40*10^2</f>
        <v>115.61697999999998</v>
      </c>
      <c r="E50" s="130">
        <f>'A &amp; G - Expns'!E40</f>
        <v>188.26741999999999</v>
      </c>
      <c r="F50" s="130">
        <f>'A &amp; G - Expns'!F40</f>
        <v>197.09416200000001</v>
      </c>
      <c r="G50" s="3"/>
      <c r="O50" s="826"/>
    </row>
    <row r="51" spans="1:18" hidden="1">
      <c r="A51" s="1079"/>
      <c r="B51" s="124" t="s">
        <v>2105</v>
      </c>
      <c r="C51" s="130"/>
      <c r="D51" s="130"/>
      <c r="E51" s="130"/>
      <c r="F51" s="130"/>
      <c r="G51" s="3"/>
      <c r="O51" s="826"/>
    </row>
    <row r="52" spans="1:18">
      <c r="A52" s="1079"/>
      <c r="B52" s="124" t="s">
        <v>2077</v>
      </c>
      <c r="C52" s="130">
        <f>'A &amp; G - Expns'!I43*10^2</f>
        <v>79.267650399999994</v>
      </c>
      <c r="D52" s="130">
        <f>'A &amp; G - Expns'!H43*10^2</f>
        <v>29.490085499999996</v>
      </c>
      <c r="E52" s="130">
        <f>'A &amp; G - Expns'!E43</f>
        <v>82.892921399999992</v>
      </c>
      <c r="F52" s="130">
        <f>'A &amp; G - Expns'!F43</f>
        <v>100</v>
      </c>
      <c r="G52" s="3"/>
      <c r="O52" s="826"/>
    </row>
    <row r="53" spans="1:18">
      <c r="A53" s="1079"/>
      <c r="B53" s="1079" t="s">
        <v>2074</v>
      </c>
      <c r="C53" s="130">
        <f>'A &amp; G - Expns'!I41</f>
        <v>0</v>
      </c>
      <c r="D53" s="130">
        <f>'A &amp; G - Expns'!H41*10^2</f>
        <v>68.834145199999995</v>
      </c>
      <c r="E53" s="130">
        <f>'A &amp; G - Expns'!E41</f>
        <v>75</v>
      </c>
      <c r="F53" s="130">
        <f>'A &amp; G - Expns'!F41</f>
        <v>80</v>
      </c>
      <c r="G53" s="3"/>
      <c r="O53" s="826"/>
    </row>
    <row r="54" spans="1:18" hidden="1">
      <c r="A54" s="1079"/>
      <c r="B54" s="1079" t="s">
        <v>2075</v>
      </c>
      <c r="C54" s="130">
        <f>'A &amp; G - Expns'!I42</f>
        <v>0</v>
      </c>
      <c r="D54" s="130">
        <f>'A &amp; G - Expns'!H42</f>
        <v>0</v>
      </c>
      <c r="E54" s="130">
        <f>'A &amp; G - Expns'!E42</f>
        <v>0</v>
      </c>
      <c r="F54" s="130">
        <f>'A &amp; G - Expns'!F42</f>
        <v>0</v>
      </c>
      <c r="G54" s="3"/>
      <c r="O54" s="826"/>
    </row>
    <row r="55" spans="1:18" hidden="1">
      <c r="A55" s="1079"/>
      <c r="B55" s="1079" t="s">
        <v>2079</v>
      </c>
      <c r="C55" s="130">
        <f>'A &amp; G - Expns'!I44</f>
        <v>0</v>
      </c>
      <c r="D55" s="130">
        <f>'A &amp; G - Expns'!H44</f>
        <v>0</v>
      </c>
      <c r="E55" s="130">
        <f>'A &amp; G - Expns'!E44</f>
        <v>0</v>
      </c>
      <c r="F55" s="130">
        <f>'A &amp; G - Expns'!F44</f>
        <v>0</v>
      </c>
      <c r="G55" s="3"/>
      <c r="O55" s="826"/>
    </row>
    <row r="56" spans="1:18">
      <c r="A56" s="1079"/>
      <c r="B56" s="1079" t="s">
        <v>2080</v>
      </c>
      <c r="C56" s="130">
        <f>'A &amp; G - Expns'!I45*10^2</f>
        <v>674.36022449999996</v>
      </c>
      <c r="D56" s="130">
        <f>'A &amp; G - Expns'!H45*10^2</f>
        <v>203.131474</v>
      </c>
      <c r="E56" s="130">
        <f>'A &amp; G - Expns'!E45</f>
        <v>708.87269600000002</v>
      </c>
      <c r="F56" s="130">
        <f>'A &amp; G - Expns'!F45</f>
        <v>728.37792999999999</v>
      </c>
      <c r="G56" s="3"/>
      <c r="O56" s="826"/>
    </row>
    <row r="57" spans="1:18" hidden="1">
      <c r="A57" s="1079"/>
      <c r="B57" s="1079" t="s">
        <v>2081</v>
      </c>
      <c r="C57" s="130">
        <f>'A &amp; G - Expns'!I46*10^2</f>
        <v>0</v>
      </c>
      <c r="D57" s="130">
        <f>'A &amp; G - Expns'!H46*10^2</f>
        <v>0</v>
      </c>
      <c r="E57" s="130">
        <f>'A &amp; G - Expns'!E46</f>
        <v>0</v>
      </c>
      <c r="F57" s="130">
        <f>'A &amp; G - Expns'!F46*0</f>
        <v>0</v>
      </c>
      <c r="G57" s="3"/>
      <c r="O57" s="826"/>
    </row>
    <row r="58" spans="1:18">
      <c r="A58" s="124"/>
      <c r="B58" s="124" t="s">
        <v>1808</v>
      </c>
      <c r="C58" s="130">
        <f>'A &amp; G - Expns'!I47*10^2</f>
        <v>288.513531</v>
      </c>
      <c r="D58" s="130">
        <f>'A &amp; G - Expns'!H47*10^2</f>
        <v>395.02871379999999</v>
      </c>
      <c r="E58" s="130">
        <f>'A &amp; G - Expns'!E47</f>
        <v>107.69984739999998</v>
      </c>
      <c r="F58" s="130">
        <f>'A &amp; G - Expns'!F47</f>
        <v>212.90513333333303</v>
      </c>
      <c r="G58" s="3"/>
      <c r="O58" s="826"/>
      <c r="R58" s="1717"/>
    </row>
    <row r="59" spans="1:18">
      <c r="A59" s="1079"/>
      <c r="B59" s="11" t="s">
        <v>787</v>
      </c>
      <c r="C59" s="13">
        <f>SUM(C35:C58)</f>
        <v>7733.8730374999805</v>
      </c>
      <c r="D59" s="13">
        <f t="shared" ref="D59:F59" si="0">SUM(D35:D58)</f>
        <v>5518.4685178000009</v>
      </c>
      <c r="E59" s="13">
        <f t="shared" si="0"/>
        <v>8508.5290226000034</v>
      </c>
      <c r="F59" s="13">
        <f t="shared" si="0"/>
        <v>9234.8203642827011</v>
      </c>
      <c r="G59" s="3"/>
      <c r="O59" s="826"/>
    </row>
    <row r="60" spans="1:18" hidden="1">
      <c r="A60" s="1079"/>
      <c r="B60" s="124" t="s">
        <v>2083</v>
      </c>
      <c r="C60" s="130"/>
      <c r="D60" s="136"/>
      <c r="E60" s="130"/>
      <c r="F60" s="130"/>
      <c r="G60" s="3"/>
      <c r="O60" s="826"/>
    </row>
    <row r="61" spans="1:18" hidden="1">
      <c r="A61" s="1079"/>
      <c r="B61" s="124" t="s">
        <v>2106</v>
      </c>
      <c r="C61" s="130"/>
      <c r="D61" s="136"/>
      <c r="E61" s="130"/>
      <c r="F61" s="130"/>
      <c r="G61" s="3"/>
      <c r="O61" s="826"/>
    </row>
    <row r="62" spans="1:18" hidden="1">
      <c r="A62" s="1079"/>
      <c r="B62" s="124" t="s">
        <v>2107</v>
      </c>
      <c r="C62" s="130"/>
      <c r="D62" s="136"/>
      <c r="E62" s="130"/>
      <c r="F62" s="130"/>
      <c r="G62" s="3"/>
      <c r="O62" s="826"/>
    </row>
    <row r="63" spans="1:18" hidden="1">
      <c r="A63" s="1079"/>
      <c r="B63" s="124" t="s">
        <v>2108</v>
      </c>
      <c r="C63" s="130"/>
      <c r="D63" s="136"/>
      <c r="E63" s="130"/>
      <c r="F63" s="130"/>
      <c r="G63" s="3"/>
      <c r="O63" s="826"/>
    </row>
    <row r="64" spans="1:18" hidden="1">
      <c r="A64" s="1080"/>
      <c r="B64" s="124" t="s">
        <v>234</v>
      </c>
      <c r="C64" s="130">
        <v>0</v>
      </c>
      <c r="D64" s="136">
        <v>0</v>
      </c>
      <c r="E64" s="130">
        <f>'A &amp; G - Expns'!E50</f>
        <v>0</v>
      </c>
      <c r="F64" s="130">
        <f>'A &amp; G - Expns'!F50</f>
        <v>0</v>
      </c>
      <c r="G64" s="3"/>
      <c r="O64" s="826"/>
    </row>
    <row r="65" spans="1:18" hidden="1">
      <c r="A65" s="124"/>
      <c r="B65" s="124" t="s">
        <v>2044</v>
      </c>
      <c r="C65" s="13">
        <f>SUM(C61:C64)</f>
        <v>0</v>
      </c>
      <c r="D65" s="549">
        <f>SUM(D61:D64)</f>
        <v>0</v>
      </c>
      <c r="E65" s="13">
        <f>SUM(E61:E64)</f>
        <v>0</v>
      </c>
      <c r="F65" s="13">
        <f>SUM(F61:F64)</f>
        <v>0</v>
      </c>
      <c r="G65" s="3"/>
      <c r="O65" s="826"/>
    </row>
    <row r="66" spans="1:18">
      <c r="A66" s="124"/>
      <c r="B66" s="11" t="s">
        <v>274</v>
      </c>
      <c r="C66" s="13">
        <f>C13+C20+C27+C33+C59+C65</f>
        <v>11254.95339989998</v>
      </c>
      <c r="D66" s="13">
        <f>D13+D20+D27+D33+D59+D65</f>
        <v>6932.150138500001</v>
      </c>
      <c r="E66" s="13">
        <f>E13+E20+E27+E33+E59+E65</f>
        <v>12312.811712200004</v>
      </c>
      <c r="F66" s="13">
        <f>F13+F20+F27+F33+F59+F65</f>
        <v>13439.507300599369</v>
      </c>
      <c r="G66" s="3"/>
      <c r="O66" s="826"/>
    </row>
    <row r="67" spans="1:18">
      <c r="B67" s="1"/>
      <c r="C67" s="1716"/>
      <c r="D67" s="1716"/>
      <c r="E67" s="1716"/>
      <c r="F67" s="1716"/>
    </row>
    <row r="68" spans="1:18" ht="13.5" thickBot="1">
      <c r="B68" s="2661" t="s">
        <v>2109</v>
      </c>
      <c r="C68" s="2661"/>
      <c r="D68" s="2661"/>
      <c r="E68" s="2661"/>
      <c r="F68" s="567"/>
      <c r="O68" s="653"/>
      <c r="P68" s="653"/>
      <c r="Q68" s="653"/>
      <c r="R68" s="653"/>
    </row>
    <row r="69" spans="1:18" ht="12.75" customHeight="1">
      <c r="A69" s="138"/>
      <c r="B69" s="2461"/>
      <c r="C69" s="2462" t="s">
        <v>2110</v>
      </c>
      <c r="D69" s="2462"/>
      <c r="E69" s="2462"/>
      <c r="F69" s="139"/>
    </row>
    <row r="70" spans="1:18" ht="12.75" customHeight="1" thickBot="1">
      <c r="A70" s="140"/>
      <c r="B70" s="141" t="s">
        <v>271</v>
      </c>
      <c r="C70" s="134" t="s">
        <v>259</v>
      </c>
      <c r="D70" s="134" t="s">
        <v>232</v>
      </c>
      <c r="E70" s="142" t="s">
        <v>239</v>
      </c>
      <c r="F70" s="558"/>
    </row>
    <row r="71" spans="1:18" ht="12.75" customHeight="1" thickTop="1" thickBot="1">
      <c r="A71" s="143" t="s">
        <v>2111</v>
      </c>
      <c r="B71" s="2451">
        <f>'F-12 New'!B164</f>
        <v>2651.9310000000005</v>
      </c>
      <c r="C71" s="2451">
        <f>'F-12 New'!C164</f>
        <v>625.41700000000003</v>
      </c>
      <c r="D71" s="2451">
        <f>'F-12 New'!D164</f>
        <v>2132.7040000000002</v>
      </c>
      <c r="E71" s="144">
        <f>B71+C71+D71</f>
        <v>5410.0520000000006</v>
      </c>
      <c r="F71" s="558"/>
    </row>
    <row r="72" spans="1:18">
      <c r="A72" s="140"/>
      <c r="C72" s="128"/>
      <c r="D72" s="128"/>
      <c r="E72" s="145"/>
      <c r="F72" s="558"/>
    </row>
    <row r="73" spans="1:18">
      <c r="A73" s="143" t="s">
        <v>2112</v>
      </c>
      <c r="B73" s="128">
        <f>C66*2%</f>
        <v>225.09906799799958</v>
      </c>
      <c r="C73" s="128">
        <f>(E73-B73)/SUM(C71:D71)*C71</f>
        <v>2501.0717103039133</v>
      </c>
      <c r="D73" s="128">
        <f>(E73-B73)/SUM(C71:D71)*D71</f>
        <v>8528.7826215980658</v>
      </c>
      <c r="E73" s="145">
        <f>C66</f>
        <v>11254.95339989998</v>
      </c>
      <c r="F73" s="558"/>
    </row>
    <row r="74" spans="1:18">
      <c r="A74" s="140"/>
      <c r="C74" s="128"/>
      <c r="D74" s="128"/>
      <c r="E74" s="145"/>
      <c r="F74" s="558"/>
    </row>
    <row r="75" spans="1:18" ht="13.5" thickBot="1">
      <c r="A75" s="143" t="s">
        <v>469</v>
      </c>
      <c r="B75" s="135">
        <f>B73/E73</f>
        <v>0.02</v>
      </c>
      <c r="C75" s="135">
        <f>C73/E73</f>
        <v>0.22221964156032309</v>
      </c>
      <c r="D75" s="135">
        <f>D73/E73</f>
        <v>0.75778035843967684</v>
      </c>
      <c r="E75" s="146">
        <f>SUM(B75:D75)</f>
        <v>0.99999999999999989</v>
      </c>
      <c r="F75" s="558"/>
    </row>
    <row r="76" spans="1:18" ht="13.5" thickTop="1">
      <c r="A76" s="140"/>
      <c r="B76" s="567"/>
      <c r="C76" s="567"/>
      <c r="D76" s="567"/>
      <c r="E76" s="567"/>
      <c r="F76" s="559"/>
    </row>
    <row r="77" spans="1:18">
      <c r="A77" s="140"/>
      <c r="B77" s="567"/>
      <c r="C77" s="567"/>
      <c r="D77" s="567"/>
      <c r="E77" s="567"/>
      <c r="F77" s="559"/>
    </row>
    <row r="78" spans="1:18">
      <c r="A78" s="140"/>
      <c r="B78" s="567"/>
      <c r="C78" s="567"/>
      <c r="D78" s="567"/>
      <c r="E78" s="567"/>
      <c r="F78" s="559"/>
    </row>
    <row r="79" spans="1:18">
      <c r="A79" s="140"/>
      <c r="C79" s="128" t="s">
        <v>2113</v>
      </c>
      <c r="D79" s="128"/>
      <c r="E79" s="128"/>
      <c r="F79" s="145"/>
    </row>
    <row r="80" spans="1:18" ht="13.5" thickBot="1">
      <c r="A80" s="140"/>
      <c r="B80" s="141" t="s">
        <v>271</v>
      </c>
      <c r="C80" s="134" t="s">
        <v>259</v>
      </c>
      <c r="D80" s="134" t="s">
        <v>232</v>
      </c>
      <c r="E80" s="142" t="s">
        <v>239</v>
      </c>
      <c r="F80" s="558"/>
    </row>
    <row r="81" spans="1:6" ht="14.25" thickTop="1" thickBot="1">
      <c r="A81" s="143" t="s">
        <v>2111</v>
      </c>
      <c r="B81" s="2451">
        <f>'F-12 New'!H164</f>
        <v>3314.5659999999993</v>
      </c>
      <c r="C81" s="2451">
        <f>'F-12 New'!I164</f>
        <v>665.56799999999998</v>
      </c>
      <c r="D81" s="2451">
        <f>'F-12 New'!J164</f>
        <v>2483.5770000000002</v>
      </c>
      <c r="E81" s="144">
        <f>B81+C81+D81</f>
        <v>6463.7109999999993</v>
      </c>
      <c r="F81" s="558"/>
    </row>
    <row r="82" spans="1:6">
      <c r="A82" s="140"/>
      <c r="C82" s="128"/>
      <c r="D82" s="128"/>
      <c r="E82" s="145"/>
      <c r="F82" s="558"/>
    </row>
    <row r="83" spans="1:6">
      <c r="A83" s="143" t="s">
        <v>2112</v>
      </c>
      <c r="B83" s="128">
        <f>E66*2%</f>
        <v>246.2562342440001</v>
      </c>
      <c r="C83" s="128">
        <f>(E83-B82:B83)/SUM(C81:D81)*C81</f>
        <v>2550.2519561189533</v>
      </c>
      <c r="D83" s="128">
        <f>(E83-B83)/SUM(C81:D81)*D81</f>
        <v>9516.3035218370514</v>
      </c>
      <c r="E83" s="145">
        <f>E66</f>
        <v>12312.811712200004</v>
      </c>
      <c r="F83" s="558"/>
    </row>
    <row r="84" spans="1:6">
      <c r="A84" s="140"/>
      <c r="C84" s="128"/>
      <c r="D84" s="128"/>
      <c r="E84" s="145"/>
      <c r="F84" s="558"/>
    </row>
    <row r="85" spans="1:6" ht="13.5" thickBot="1">
      <c r="A85" s="143" t="s">
        <v>469</v>
      </c>
      <c r="B85" s="135">
        <f>B83/E83</f>
        <v>0.02</v>
      </c>
      <c r="C85" s="135">
        <f>C83/E83</f>
        <v>0.20712181877938296</v>
      </c>
      <c r="D85" s="135">
        <f>D83/E83</f>
        <v>0.77287818122061713</v>
      </c>
      <c r="E85" s="146">
        <f>SUM(B85:D85)</f>
        <v>1</v>
      </c>
      <c r="F85" s="558"/>
    </row>
    <row r="86" spans="1:6" ht="13.5" thickTop="1">
      <c r="A86" s="140"/>
      <c r="C86" s="128"/>
      <c r="D86" s="128"/>
      <c r="E86" s="145"/>
      <c r="F86" s="558"/>
    </row>
    <row r="87" spans="1:6">
      <c r="A87" s="140"/>
      <c r="C87" s="128" t="s">
        <v>2114</v>
      </c>
      <c r="D87" s="128"/>
      <c r="E87" s="145"/>
      <c r="F87" s="558"/>
    </row>
    <row r="88" spans="1:6" ht="13.5" thickBot="1">
      <c r="A88" s="140"/>
      <c r="B88" s="141" t="s">
        <v>271</v>
      </c>
      <c r="C88" s="134" t="s">
        <v>259</v>
      </c>
      <c r="D88" s="134" t="s">
        <v>232</v>
      </c>
      <c r="E88" s="142" t="s">
        <v>239</v>
      </c>
      <c r="F88" s="558"/>
    </row>
    <row r="89" spans="1:6" ht="14.25" thickTop="1" thickBot="1">
      <c r="A89" s="143" t="s">
        <v>2115</v>
      </c>
      <c r="B89" s="2451">
        <f>'F-12 New'!M164</f>
        <v>3555.2799999999997</v>
      </c>
      <c r="C89" s="2451">
        <f>'F-12 New'!N164</f>
        <v>773.04600000000005</v>
      </c>
      <c r="D89" s="2451">
        <f>'F-12 New'!O164</f>
        <v>2678.7820000000002</v>
      </c>
      <c r="E89" s="144">
        <f>B89+C89+D89</f>
        <v>7007.1080000000002</v>
      </c>
      <c r="F89" s="558"/>
    </row>
    <row r="90" spans="1:6">
      <c r="A90" s="140"/>
      <c r="C90" s="128"/>
      <c r="D90" s="128"/>
      <c r="E90" s="145"/>
      <c r="F90" s="558"/>
    </row>
    <row r="91" spans="1:6">
      <c r="A91" s="143" t="s">
        <v>2116</v>
      </c>
      <c r="B91" s="128">
        <f>F66*2%</f>
        <v>268.79014601198736</v>
      </c>
      <c r="C91" s="128">
        <f>(E91-B91)/SUM(C89:D89)*C89</f>
        <v>2949.616902547044</v>
      </c>
      <c r="D91" s="128">
        <f>(E91-B91)/SUM(C89:D89)*D89</f>
        <v>10221.100252040338</v>
      </c>
      <c r="E91" s="145">
        <f>F66</f>
        <v>13439.507300599369</v>
      </c>
      <c r="F91" s="558"/>
    </row>
    <row r="92" spans="1:6">
      <c r="A92" s="140"/>
      <c r="C92" s="128"/>
      <c r="D92" s="128"/>
      <c r="E92" s="145"/>
      <c r="F92" s="558"/>
    </row>
    <row r="93" spans="1:6" ht="13.5" thickBot="1">
      <c r="A93" s="143" t="s">
        <v>469</v>
      </c>
      <c r="B93" s="135">
        <f>B91/E91</f>
        <v>1.9999999999999997E-2</v>
      </c>
      <c r="C93" s="135">
        <f>C91/E91</f>
        <v>0.21947358906643091</v>
      </c>
      <c r="D93" s="135">
        <f>D91/E91</f>
        <v>0.7605264109335691</v>
      </c>
      <c r="E93" s="146">
        <f>SUM(B93:D93)</f>
        <v>1</v>
      </c>
      <c r="F93" s="558"/>
    </row>
    <row r="94" spans="1:6" ht="14.25" thickTop="1" thickBot="1">
      <c r="A94" s="2463"/>
      <c r="B94" s="2405"/>
      <c r="C94" s="2405"/>
      <c r="D94" s="2405"/>
      <c r="E94" s="2405"/>
      <c r="F94" s="2464"/>
    </row>
    <row r="99" spans="1:25" ht="15">
      <c r="A99" s="1780" t="s">
        <v>509</v>
      </c>
      <c r="B99" s="1781" t="s">
        <v>887</v>
      </c>
      <c r="C99" s="1781" t="s">
        <v>174</v>
      </c>
      <c r="D99" s="1781" t="s">
        <v>2117</v>
      </c>
      <c r="E99" s="1782" t="s">
        <v>922</v>
      </c>
      <c r="F99" s="1781" t="s">
        <v>923</v>
      </c>
      <c r="G99" s="129"/>
      <c r="Y99"/>
    </row>
    <row r="100" spans="1:25" ht="15">
      <c r="A100" s="1783">
        <v>1</v>
      </c>
      <c r="B100" s="1778" t="s">
        <v>2118</v>
      </c>
      <c r="C100" s="130">
        <f>(C13)/100</f>
        <v>7.3552378610000009</v>
      </c>
      <c r="D100" s="130">
        <f>(D13)/100</f>
        <v>4.2943589060000003</v>
      </c>
      <c r="E100" s="130">
        <f>(E13)/100</f>
        <v>9.0709585100000005</v>
      </c>
      <c r="F100" s="130">
        <f>(F13)/100</f>
        <v>11.017400419000001</v>
      </c>
      <c r="G100" s="129">
        <v>100</v>
      </c>
      <c r="Y100"/>
    </row>
    <row r="101" spans="1:25" ht="15">
      <c r="A101" s="1783">
        <v>2</v>
      </c>
      <c r="B101" s="1778" t="s">
        <v>1195</v>
      </c>
      <c r="C101" s="130">
        <f>(C20)/100</f>
        <v>3.0648477979999997</v>
      </c>
      <c r="D101" s="130">
        <f>(D20)/100</f>
        <v>0.73318058400000008</v>
      </c>
      <c r="E101" s="130">
        <f>(E20)/100</f>
        <v>3.2816155220000001</v>
      </c>
      <c r="F101" s="130">
        <f>(F20)/100</f>
        <v>3.3539999999999996</v>
      </c>
      <c r="G101" s="129"/>
      <c r="Y101"/>
    </row>
    <row r="102" spans="1:25" ht="15">
      <c r="A102" s="1783">
        <v>3</v>
      </c>
      <c r="B102" s="1778" t="s">
        <v>2119</v>
      </c>
      <c r="C102" s="130">
        <f>(C27)/100</f>
        <v>10.167639979</v>
      </c>
      <c r="D102" s="130">
        <f>(D27)/100</f>
        <v>4.6990370050000001</v>
      </c>
      <c r="E102" s="130">
        <f>(E27)/100</f>
        <v>10.693060760000002</v>
      </c>
      <c r="F102" s="130">
        <f>(F27)/100</f>
        <v>11.6</v>
      </c>
      <c r="G102" s="129"/>
      <c r="Y102"/>
    </row>
    <row r="103" spans="1:25" ht="15">
      <c r="A103" s="1783">
        <v>4</v>
      </c>
      <c r="B103" s="1778" t="s">
        <v>2120</v>
      </c>
      <c r="C103" s="130">
        <f>(C33)/100</f>
        <v>14.623077985999998</v>
      </c>
      <c r="D103" s="130">
        <f>(D33)/100</f>
        <v>4.4102397120000001</v>
      </c>
      <c r="E103" s="130">
        <f>(E33)/100</f>
        <v>14.997192104</v>
      </c>
      <c r="F103" s="130">
        <f>(F33)/100</f>
        <v>16.075468944166669</v>
      </c>
      <c r="G103" s="129"/>
      <c r="Y103"/>
    </row>
    <row r="104" spans="1:25" ht="15">
      <c r="A104" s="1783">
        <v>5</v>
      </c>
      <c r="B104" s="1779" t="s">
        <v>2077</v>
      </c>
      <c r="C104" s="130">
        <f>(C52)/100</f>
        <v>0.79267650399999989</v>
      </c>
      <c r="D104" s="130">
        <f>(D52)/100</f>
        <v>0.29490085499999996</v>
      </c>
      <c r="E104" s="130">
        <f>(E52)/100</f>
        <v>0.82892921399999997</v>
      </c>
      <c r="F104" s="130">
        <f>(F52)/100</f>
        <v>1</v>
      </c>
      <c r="G104" s="129"/>
      <c r="Y104"/>
    </row>
    <row r="105" spans="1:25" ht="15">
      <c r="A105" s="1783">
        <v>7</v>
      </c>
      <c r="B105" s="1778" t="s">
        <v>234</v>
      </c>
      <c r="C105" s="130">
        <f>C106-C100-C101-C102-C103-C104</f>
        <v>76.546053870999785</v>
      </c>
      <c r="D105" s="130">
        <f t="shared" ref="D105:F105" si="1">D106-D100-D101-D102-D103-D104</f>
        <v>54.889784323000008</v>
      </c>
      <c r="E105" s="130">
        <f t="shared" si="1"/>
        <v>84.256361012000042</v>
      </c>
      <c r="F105" s="130">
        <f t="shared" si="1"/>
        <v>91.348203642827016</v>
      </c>
      <c r="G105" s="129"/>
      <c r="Y105"/>
    </row>
    <row r="106" spans="1:25" ht="15">
      <c r="A106" s="1784">
        <v>8</v>
      </c>
      <c r="B106" s="1785" t="s">
        <v>1225</v>
      </c>
      <c r="C106" s="1786">
        <f>(C66)/100</f>
        <v>112.54953399899979</v>
      </c>
      <c r="D106" s="1786">
        <f>(D66)/100</f>
        <v>69.321501385000005</v>
      </c>
      <c r="E106" s="1786">
        <f>(E66)/100</f>
        <v>123.12811712200003</v>
      </c>
      <c r="F106" s="1786">
        <f>(F66)/100</f>
        <v>134.39507300599368</v>
      </c>
    </row>
  </sheetData>
  <mergeCells count="1">
    <mergeCell ref="B68:E68"/>
  </mergeCells>
  <phoneticPr fontId="0" type="noConversion"/>
  <printOptions horizontalCentered="1"/>
  <pageMargins left="0.47244094488188981" right="0.74803149606299213" top="0.74803149606299213" bottom="0.27559055118110237" header="0.19685039370078741" footer="0.15748031496062992"/>
  <pageSetup paperSize="9" scale="90"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8000"/>
  </sheetPr>
  <dimension ref="A1:N26"/>
  <sheetViews>
    <sheetView view="pageBreakPreview" zoomScaleSheetLayoutView="100" workbookViewId="0">
      <pane xSplit="1" ySplit="5" topLeftCell="B6" activePane="bottomRight" state="frozen"/>
      <selection pane="bottomRight" activeCell="O11" sqref="O11"/>
      <selection pane="bottomLeft" activeCell="H64" sqref="H64"/>
      <selection pane="topRight" activeCell="H64" sqref="H64"/>
    </sheetView>
  </sheetViews>
  <sheetFormatPr defaultColWidth="9.140625" defaultRowHeight="12.75"/>
  <cols>
    <col min="1" max="1" width="23.28515625" style="584" customWidth="1"/>
    <col min="2" max="2" width="9.28515625" style="584" customWidth="1"/>
    <col min="3" max="3" width="9.5703125" style="584" customWidth="1"/>
    <col min="4" max="4" width="10.5703125" style="584" customWidth="1"/>
    <col min="5" max="5" width="10.28515625" style="584" customWidth="1"/>
    <col min="6" max="6" width="15" style="584" customWidth="1"/>
    <col min="7" max="7" width="15.5703125" style="584" customWidth="1"/>
    <col min="8" max="8" width="10.28515625" style="584" customWidth="1"/>
    <col min="9" max="10" width="11" style="584" customWidth="1"/>
    <col min="11" max="12" width="9.140625" style="584"/>
    <col min="13" max="13" width="12.42578125" style="584" customWidth="1"/>
    <col min="14" max="14" width="9.5703125" style="584" bestFit="1" customWidth="1"/>
    <col min="15" max="16384" width="9.140625" style="584"/>
  </cols>
  <sheetData>
    <row r="1" spans="1:14" ht="15.75">
      <c r="A1" s="2300" t="s">
        <v>2121</v>
      </c>
      <c r="K1" s="1173" t="s">
        <v>210</v>
      </c>
      <c r="L1" s="1174" t="s">
        <v>2122</v>
      </c>
      <c r="M1" s="1174"/>
    </row>
    <row r="2" spans="1:14">
      <c r="L2" s="1174"/>
      <c r="M2" s="1174"/>
    </row>
    <row r="3" spans="1:14" ht="15.75">
      <c r="A3" s="1283" t="s">
        <v>2123</v>
      </c>
      <c r="B3" s="1284"/>
      <c r="C3" s="1284"/>
      <c r="D3" s="1284"/>
      <c r="E3" s="1284"/>
      <c r="F3" s="1284"/>
      <c r="G3" s="1284"/>
      <c r="H3" s="1284"/>
      <c r="I3" s="1284"/>
      <c r="J3" s="1284"/>
      <c r="K3" s="1283"/>
      <c r="L3" s="1283"/>
      <c r="M3" s="583"/>
    </row>
    <row r="4" spans="1:14">
      <c r="L4" s="1174"/>
      <c r="M4" s="1174" t="s">
        <v>2124</v>
      </c>
    </row>
    <row r="5" spans="1:14" ht="59.25" customHeight="1">
      <c r="A5" s="1600" t="s">
        <v>2125</v>
      </c>
      <c r="B5" s="1176" t="s">
        <v>2126</v>
      </c>
      <c r="C5" s="1176" t="s">
        <v>2127</v>
      </c>
      <c r="D5" s="1176" t="s">
        <v>2128</v>
      </c>
      <c r="E5" s="1176" t="s">
        <v>2129</v>
      </c>
      <c r="F5" s="1176" t="s">
        <v>2130</v>
      </c>
      <c r="G5" s="1175" t="s">
        <v>2131</v>
      </c>
      <c r="H5" s="1175" t="s">
        <v>2132</v>
      </c>
      <c r="I5" s="1175" t="s">
        <v>2133</v>
      </c>
      <c r="J5" s="1175" t="s">
        <v>2134</v>
      </c>
      <c r="K5" s="1175" t="s">
        <v>2135</v>
      </c>
      <c r="L5" s="1175" t="s">
        <v>2136</v>
      </c>
      <c r="M5" s="1175" t="s">
        <v>2137</v>
      </c>
      <c r="N5" s="1177"/>
    </row>
    <row r="6" spans="1:14" ht="20.25" customHeight="1">
      <c r="A6" s="1178" t="s">
        <v>2138</v>
      </c>
      <c r="B6" s="1181">
        <v>15.2965880436</v>
      </c>
      <c r="C6" s="1181">
        <v>24.1084913953</v>
      </c>
      <c r="D6" s="1181">
        <v>35.305841748399999</v>
      </c>
      <c r="E6" s="1181">
        <v>0</v>
      </c>
      <c r="F6" s="1181"/>
      <c r="G6" s="1712">
        <v>74.710921187300002</v>
      </c>
      <c r="H6" s="1712">
        <v>527</v>
      </c>
      <c r="I6" s="1179">
        <f>G6/(H6/365)</f>
        <v>51.74475566103321</v>
      </c>
      <c r="J6" s="189"/>
      <c r="K6" s="189"/>
      <c r="L6" s="189"/>
      <c r="M6" s="189"/>
      <c r="N6" s="1177"/>
    </row>
    <row r="7" spans="1:14" ht="20.25" customHeight="1">
      <c r="A7" s="1178" t="s">
        <v>771</v>
      </c>
      <c r="B7" s="1181">
        <v>15900.919672752299</v>
      </c>
      <c r="C7" s="1181">
        <v>7067.9504766482996</v>
      </c>
      <c r="D7" s="1181">
        <v>4438.4400644785937</v>
      </c>
      <c r="E7" s="1181">
        <v>0</v>
      </c>
      <c r="F7" s="1181"/>
      <c r="G7" s="1712">
        <v>27407.310213879191</v>
      </c>
      <c r="H7" s="1712">
        <v>66526</v>
      </c>
      <c r="I7" s="1179">
        <f>G7/(H7/365)</f>
        <v>150.37230899296372</v>
      </c>
      <c r="J7" s="1180"/>
      <c r="K7" s="1180"/>
      <c r="L7" s="1180"/>
      <c r="M7" s="1181"/>
    </row>
    <row r="8" spans="1:14" ht="20.25" customHeight="1">
      <c r="A8" s="1182" t="s">
        <v>2139</v>
      </c>
      <c r="B8" s="1181">
        <v>-76.8752801232</v>
      </c>
      <c r="C8" s="1181">
        <v>31.868265580799999</v>
      </c>
      <c r="D8" s="1181">
        <v>96.30761069830001</v>
      </c>
      <c r="E8" s="1181">
        <v>0</v>
      </c>
      <c r="F8" s="1181"/>
      <c r="G8" s="1712">
        <v>51.30059615590001</v>
      </c>
      <c r="H8" s="1712">
        <v>38322</v>
      </c>
      <c r="I8" s="1179">
        <f>G8/(H8/365)</f>
        <v>0.48861535402388973</v>
      </c>
      <c r="J8" s="1180"/>
      <c r="K8" s="1180"/>
      <c r="L8" s="1180"/>
      <c r="M8" s="1181"/>
    </row>
    <row r="9" spans="1:14" ht="20.25" customHeight="1">
      <c r="A9" s="1178" t="s">
        <v>2140</v>
      </c>
      <c r="B9" s="1181">
        <v>228.67364454130001</v>
      </c>
      <c r="C9" s="1181">
        <v>123.49698685570002</v>
      </c>
      <c r="D9" s="1181">
        <v>144.80197490339998</v>
      </c>
      <c r="E9" s="1181">
        <v>0</v>
      </c>
      <c r="F9" s="1181"/>
      <c r="G9" s="1712">
        <v>496.9726063004</v>
      </c>
      <c r="H9" s="1712">
        <v>11887</v>
      </c>
      <c r="I9" s="1179">
        <f>G9/(H9/365)</f>
        <v>15.259947951513924</v>
      </c>
      <c r="J9" s="1180"/>
      <c r="K9" s="1180"/>
      <c r="L9" s="1180"/>
      <c r="M9" s="1181"/>
    </row>
    <row r="10" spans="1:14" ht="20.25" customHeight="1">
      <c r="A10" s="1178" t="s">
        <v>2141</v>
      </c>
      <c r="B10" s="1181">
        <v>1104.7875066839001</v>
      </c>
      <c r="C10" s="1181">
        <v>1298.8499832006</v>
      </c>
      <c r="D10" s="1181">
        <v>1193.6510701005</v>
      </c>
      <c r="E10" s="1181">
        <v>0</v>
      </c>
      <c r="F10" s="1181"/>
      <c r="G10" s="1712">
        <v>3597.2885599850001</v>
      </c>
      <c r="H10" s="1712">
        <v>154717</v>
      </c>
      <c r="I10" s="1179">
        <f t="shared" ref="I10:I15" si="0">G10/(H10/365)</f>
        <v>8.4865291105342333</v>
      </c>
      <c r="J10" s="1180"/>
      <c r="K10" s="1180"/>
      <c r="L10" s="1180"/>
      <c r="M10" s="1181"/>
    </row>
    <row r="11" spans="1:14" ht="20.25" customHeight="1">
      <c r="A11" s="1178" t="s">
        <v>2142</v>
      </c>
      <c r="B11" s="1181">
        <v>0</v>
      </c>
      <c r="C11" s="1181">
        <v>0</v>
      </c>
      <c r="D11" s="1181">
        <v>0</v>
      </c>
      <c r="E11" s="1181">
        <v>0</v>
      </c>
      <c r="F11" s="1181"/>
      <c r="G11" s="1712">
        <v>0</v>
      </c>
      <c r="H11" s="1712">
        <v>0</v>
      </c>
      <c r="I11" s="1179">
        <v>0</v>
      </c>
      <c r="J11" s="1180"/>
      <c r="K11" s="1180"/>
      <c r="L11" s="1180"/>
      <c r="M11" s="1181"/>
    </row>
    <row r="12" spans="1:14" ht="20.25" customHeight="1">
      <c r="A12" s="1182" t="s">
        <v>1597</v>
      </c>
      <c r="B12" s="1181">
        <v>89.555386327700006</v>
      </c>
      <c r="C12" s="1181">
        <v>108.3839902981</v>
      </c>
      <c r="D12" s="1181">
        <v>146.2596331133</v>
      </c>
      <c r="E12" s="1181">
        <v>0</v>
      </c>
      <c r="F12" s="1181"/>
      <c r="G12" s="1712">
        <v>344.19900973910001</v>
      </c>
      <c r="H12" s="1712">
        <v>1604</v>
      </c>
      <c r="I12" s="1179">
        <f t="shared" si="0"/>
        <v>78.324587627663036</v>
      </c>
      <c r="J12" s="1180"/>
      <c r="K12" s="1180"/>
      <c r="L12" s="1180"/>
      <c r="M12" s="1181"/>
    </row>
    <row r="13" spans="1:14" ht="20.25" customHeight="1">
      <c r="A13" s="1178" t="s">
        <v>2143</v>
      </c>
      <c r="B13" s="1181">
        <v>624.56083903930005</v>
      </c>
      <c r="C13" s="1181">
        <v>649.43071433709997</v>
      </c>
      <c r="D13" s="1181">
        <v>1147.4513078334001</v>
      </c>
      <c r="E13" s="1181">
        <v>0</v>
      </c>
      <c r="F13" s="1181"/>
      <c r="G13" s="1712">
        <v>2421.4428612098</v>
      </c>
      <c r="H13" s="1712">
        <v>3984</v>
      </c>
      <c r="I13" s="1179">
        <f t="shared" si="0"/>
        <v>221.84403723433158</v>
      </c>
      <c r="J13" s="1180"/>
      <c r="K13" s="1180"/>
      <c r="L13" s="1180"/>
      <c r="M13" s="1181"/>
    </row>
    <row r="14" spans="1:14" ht="24" customHeight="1">
      <c r="A14" s="1178" t="s">
        <v>2144</v>
      </c>
      <c r="B14" s="1181">
        <v>142.72027845549999</v>
      </c>
      <c r="C14" s="1181">
        <v>241.32717811200001</v>
      </c>
      <c r="D14" s="1181">
        <v>564.49919897129996</v>
      </c>
      <c r="E14" s="1181">
        <v>0</v>
      </c>
      <c r="F14" s="1181"/>
      <c r="G14" s="1712">
        <v>948.5466555388</v>
      </c>
      <c r="H14" s="1712">
        <v>5816</v>
      </c>
      <c r="I14" s="1179">
        <f t="shared" si="0"/>
        <v>59.528804895402686</v>
      </c>
      <c r="J14" s="1180"/>
      <c r="K14" s="1180"/>
      <c r="L14" s="1180"/>
      <c r="M14" s="1181"/>
    </row>
    <row r="15" spans="1:14" ht="20.25" customHeight="1">
      <c r="A15" s="1178" t="s">
        <v>2145</v>
      </c>
      <c r="B15" s="1712">
        <v>1.9999999999999999E-7</v>
      </c>
      <c r="C15" s="1181">
        <v>0</v>
      </c>
      <c r="D15" s="1181">
        <v>7.1299999999999999E-7</v>
      </c>
      <c r="E15" s="1181">
        <v>0</v>
      </c>
      <c r="F15" s="1181"/>
      <c r="G15" s="1712">
        <v>9.1299999999999998E-7</v>
      </c>
      <c r="H15" s="1712">
        <v>31485</v>
      </c>
      <c r="I15" s="1179">
        <f t="shared" si="0"/>
        <v>1.0584246466571381E-8</v>
      </c>
      <c r="J15" s="1180"/>
      <c r="K15" s="1180"/>
      <c r="L15" s="1180"/>
      <c r="M15" s="1181"/>
    </row>
    <row r="16" spans="1:14" ht="20.25" customHeight="1">
      <c r="A16" s="1178" t="s">
        <v>248</v>
      </c>
      <c r="B16" s="1181">
        <v>0</v>
      </c>
      <c r="C16" s="1181">
        <v>0</v>
      </c>
      <c r="D16" s="1181">
        <v>0</v>
      </c>
      <c r="E16" s="1181">
        <v>0</v>
      </c>
      <c r="F16" s="1181"/>
      <c r="G16" s="1712">
        <v>0</v>
      </c>
      <c r="H16" s="1712">
        <v>0</v>
      </c>
      <c r="I16" s="1179">
        <v>0</v>
      </c>
      <c r="J16" s="1180"/>
      <c r="K16" s="1180"/>
      <c r="L16" s="1180"/>
      <c r="M16" s="1181"/>
    </row>
    <row r="17" spans="1:14" ht="20.25" customHeight="1">
      <c r="A17" s="1178" t="s">
        <v>2146</v>
      </c>
      <c r="B17" s="1181">
        <v>0</v>
      </c>
      <c r="C17" s="1181">
        <v>0</v>
      </c>
      <c r="D17" s="1181">
        <v>0</v>
      </c>
      <c r="E17" s="1181">
        <v>0</v>
      </c>
      <c r="F17" s="1181"/>
      <c r="G17" s="1712">
        <v>0</v>
      </c>
      <c r="H17" s="1712">
        <v>0</v>
      </c>
      <c r="I17" s="1179">
        <v>0</v>
      </c>
      <c r="J17" s="1180"/>
      <c r="K17" s="1180"/>
      <c r="L17" s="1180"/>
      <c r="M17" s="1181"/>
    </row>
    <row r="18" spans="1:14" ht="27" customHeight="1">
      <c r="A18" s="1178" t="s">
        <v>2147</v>
      </c>
      <c r="B18" s="1181">
        <v>0</v>
      </c>
      <c r="C18" s="1181">
        <v>0</v>
      </c>
      <c r="D18" s="1181">
        <v>0</v>
      </c>
      <c r="E18" s="1181">
        <v>0</v>
      </c>
      <c r="F18" s="1181"/>
      <c r="G18" s="1712">
        <v>0</v>
      </c>
      <c r="H18" s="1712">
        <v>0</v>
      </c>
      <c r="I18" s="1179">
        <v>0</v>
      </c>
      <c r="J18" s="1180"/>
      <c r="K18" s="1180"/>
      <c r="L18" s="1180"/>
      <c r="M18" s="1181"/>
    </row>
    <row r="19" spans="1:14" ht="20.25" customHeight="1">
      <c r="A19" s="1178" t="s">
        <v>2148</v>
      </c>
      <c r="B19" s="1183">
        <v>-4.6623518599999698E-2</v>
      </c>
      <c r="C19" s="1181">
        <v>12.504124771700001</v>
      </c>
      <c r="D19" s="1181">
        <v>3.4772596930000002</v>
      </c>
      <c r="E19" s="1181">
        <v>0</v>
      </c>
      <c r="F19" s="1181"/>
      <c r="G19" s="1712">
        <v>15.934760946100001</v>
      </c>
      <c r="H19" s="1712">
        <v>983</v>
      </c>
      <c r="I19" s="1179">
        <f>G19/(H19/365)</f>
        <v>5.9167728843606309</v>
      </c>
      <c r="J19" s="1180"/>
      <c r="K19" s="1180"/>
      <c r="L19" s="1180"/>
      <c r="M19" s="1181"/>
    </row>
    <row r="20" spans="1:14" ht="20.25" customHeight="1">
      <c r="A20" s="1178" t="s">
        <v>2149</v>
      </c>
      <c r="B20" s="1181">
        <v>-688.058519782801</v>
      </c>
      <c r="C20" s="1181">
        <v>229.45218418799999</v>
      </c>
      <c r="D20" s="1181">
        <v>141.3544786402</v>
      </c>
      <c r="E20" s="1181">
        <v>0</v>
      </c>
      <c r="F20" s="1181"/>
      <c r="G20" s="1712">
        <v>-317.25185695460101</v>
      </c>
      <c r="H20" s="1712">
        <v>4030</v>
      </c>
      <c r="I20" s="1179">
        <f>G20/(H20/365)</f>
        <v>-28.733728979759146</v>
      </c>
      <c r="J20" s="1180"/>
      <c r="K20" s="1180"/>
      <c r="L20" s="1180"/>
      <c r="M20" s="1181"/>
    </row>
    <row r="21" spans="1:14" ht="20.25" customHeight="1">
      <c r="A21" s="189" t="s">
        <v>274</v>
      </c>
      <c r="B21" s="1181">
        <f>SUM(B6:B20)</f>
        <v>17341.533492619001</v>
      </c>
      <c r="C21" s="1181">
        <f t="shared" ref="C21:H21" si="1">SUM(C6:C20)</f>
        <v>9787.3723953875997</v>
      </c>
      <c r="D21" s="1181">
        <f t="shared" si="1"/>
        <v>7911.5484408933935</v>
      </c>
      <c r="E21" s="1181">
        <f t="shared" si="1"/>
        <v>0</v>
      </c>
      <c r="F21" s="1181">
        <f t="shared" si="1"/>
        <v>0</v>
      </c>
      <c r="G21" s="1181">
        <f t="shared" si="1"/>
        <v>35040.454328899985</v>
      </c>
      <c r="H21" s="1181">
        <f t="shared" si="1"/>
        <v>319881</v>
      </c>
      <c r="I21" s="1179">
        <f>G21/(H21/365)</f>
        <v>39.982886854950735</v>
      </c>
      <c r="J21" s="1180"/>
      <c r="K21" s="1180"/>
      <c r="L21" s="1180"/>
      <c r="M21" s="1181"/>
      <c r="N21" s="1183"/>
    </row>
    <row r="22" spans="1:14" ht="14.25">
      <c r="A22" s="1180"/>
      <c r="B22" s="1180"/>
      <c r="C22" s="1180"/>
      <c r="D22" s="1180"/>
      <c r="E22" s="1180"/>
      <c r="F22" s="1180"/>
      <c r="G22" s="1180"/>
      <c r="H22" s="1180"/>
      <c r="I22" s="1180"/>
      <c r="J22" s="1180"/>
      <c r="K22" s="1180"/>
      <c r="L22" s="1181"/>
      <c r="M22" s="1181"/>
      <c r="N22" s="1184"/>
    </row>
    <row r="23" spans="1:14">
      <c r="A23" s="1180"/>
      <c r="B23" s="1180"/>
      <c r="C23" s="1180"/>
      <c r="D23" s="1180"/>
      <c r="E23" s="1181"/>
      <c r="F23" s="1181"/>
      <c r="G23" s="1181"/>
      <c r="H23" s="1180"/>
      <c r="I23" s="1180"/>
      <c r="J23" s="1180"/>
      <c r="K23" s="1180"/>
      <c r="L23" s="1180"/>
      <c r="M23" s="1180"/>
      <c r="N23" s="1183"/>
    </row>
    <row r="24" spans="1:14">
      <c r="A24" s="584" t="s">
        <v>432</v>
      </c>
      <c r="B24" s="1183"/>
      <c r="C24" s="1183"/>
      <c r="D24" s="1183"/>
      <c r="E24" s="1183"/>
      <c r="F24" s="1183"/>
      <c r="G24" s="1183"/>
      <c r="H24" s="1183"/>
      <c r="I24" s="1183"/>
    </row>
    <row r="25" spans="1:14">
      <c r="B25" s="1183"/>
      <c r="C25" s="1183"/>
      <c r="D25" s="1183"/>
      <c r="E25" s="1183"/>
      <c r="F25" s="1183"/>
    </row>
    <row r="26" spans="1:14">
      <c r="H26" s="1183"/>
    </row>
  </sheetData>
  <printOptions horizontalCentered="1"/>
  <pageMargins left="0.15748031496062992" right="0.15748031496062992" top="0.82677165354330717" bottom="0.51181102362204722" header="0.51181102362204722" footer="0.39370078740157483"/>
  <pageSetup paperSize="9" scale="80" orientation="landscape" r:id="rId1"/>
  <headerFooter alignWithMargins="0"/>
  <colBreaks count="1" manualBreakCount="1">
    <brk id="13" max="2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8">
    <tabColor rgb="FF008000"/>
  </sheetPr>
  <dimension ref="A1:I72"/>
  <sheetViews>
    <sheetView view="pageBreakPreview" zoomScaleNormal="100" zoomScaleSheetLayoutView="100" workbookViewId="0">
      <selection activeCell="J16" sqref="J16"/>
    </sheetView>
  </sheetViews>
  <sheetFormatPr defaultColWidth="9.140625" defaultRowHeight="14.25"/>
  <cols>
    <col min="1" max="1" width="22" style="1186" customWidth="1"/>
    <col min="2" max="2" width="14.5703125" style="1186" customWidth="1"/>
    <col min="3" max="3" width="15" style="1186" customWidth="1"/>
    <col min="4" max="4" width="15.85546875" style="1186" customWidth="1"/>
    <col min="5" max="5" width="14.5703125" style="1186" customWidth="1"/>
    <col min="6" max="6" width="10.7109375" style="1186" customWidth="1"/>
    <col min="7" max="7" width="14.7109375" style="1186" customWidth="1"/>
    <col min="8" max="8" width="19.28515625" style="1186" customWidth="1"/>
    <col min="9" max="16384" width="9.140625" style="1186"/>
  </cols>
  <sheetData>
    <row r="1" spans="1:8" ht="15">
      <c r="A1" s="1185" t="s">
        <v>2121</v>
      </c>
      <c r="B1" s="1185"/>
      <c r="C1" s="1185"/>
      <c r="D1" s="1185"/>
      <c r="G1" s="1187" t="s">
        <v>210</v>
      </c>
      <c r="H1" s="1188" t="s">
        <v>2150</v>
      </c>
    </row>
    <row r="2" spans="1:8" ht="8.25" customHeight="1"/>
    <row r="3" spans="1:8" ht="15">
      <c r="A3" s="1189" t="s">
        <v>2151</v>
      </c>
      <c r="B3" s="1189"/>
      <c r="C3" s="1189"/>
      <c r="D3" s="1189"/>
      <c r="E3" s="1189"/>
      <c r="F3" s="1189"/>
      <c r="G3" s="1189"/>
      <c r="H3" s="1189"/>
    </row>
    <row r="4" spans="1:8" ht="14.25" customHeight="1">
      <c r="H4" s="1188" t="s">
        <v>2152</v>
      </c>
    </row>
    <row r="5" spans="1:8" ht="24" customHeight="1">
      <c r="A5" s="2304" t="s">
        <v>2153</v>
      </c>
    </row>
    <row r="6" spans="1:8" ht="15" customHeight="1">
      <c r="A6" s="2301" t="s">
        <v>887</v>
      </c>
      <c r="B6" s="2662" t="s">
        <v>2154</v>
      </c>
      <c r="C6" s="2663"/>
      <c r="D6" s="2663"/>
      <c r="E6" s="2663"/>
      <c r="F6" s="2664"/>
      <c r="G6" s="2301" t="s">
        <v>2155</v>
      </c>
      <c r="H6" s="2302" t="s">
        <v>2156</v>
      </c>
    </row>
    <row r="7" spans="1:8" ht="45" customHeight="1">
      <c r="A7" s="2301"/>
      <c r="B7" s="2302" t="s">
        <v>2157</v>
      </c>
      <c r="C7" s="2302" t="s">
        <v>2158</v>
      </c>
      <c r="D7" s="2302" t="s">
        <v>2159</v>
      </c>
      <c r="E7" s="2302" t="s">
        <v>2160</v>
      </c>
      <c r="F7" s="2302" t="s">
        <v>2161</v>
      </c>
      <c r="G7" s="2303">
        <v>45016</v>
      </c>
      <c r="H7" s="2301" t="s">
        <v>2162</v>
      </c>
    </row>
    <row r="8" spans="1:8">
      <c r="A8" s="1191"/>
      <c r="B8" s="1192"/>
      <c r="C8" s="1192"/>
      <c r="D8" s="1192"/>
      <c r="E8" s="1192"/>
      <c r="F8" s="1191"/>
      <c r="G8" s="1191"/>
      <c r="H8" s="1191"/>
    </row>
    <row r="9" spans="1:8" ht="15">
      <c r="A9" s="1190" t="s">
        <v>2163</v>
      </c>
      <c r="B9" s="1193"/>
      <c r="C9" s="1193"/>
      <c r="D9" s="1193"/>
      <c r="E9" s="1192"/>
      <c r="F9" s="1191"/>
      <c r="G9" s="1191"/>
      <c r="H9" s="1191"/>
    </row>
    <row r="10" spans="1:8">
      <c r="A10" s="1194" t="s">
        <v>2164</v>
      </c>
      <c r="B10" s="1195"/>
      <c r="C10" s="1195"/>
      <c r="D10" s="1195"/>
      <c r="E10" s="1192"/>
      <c r="F10" s="1191"/>
      <c r="G10" s="1191"/>
      <c r="H10" s="1191"/>
    </row>
    <row r="11" spans="1:8">
      <c r="A11" s="1194" t="s">
        <v>2165</v>
      </c>
      <c r="B11" s="1195"/>
      <c r="C11" s="1195"/>
      <c r="D11" s="1195"/>
      <c r="E11" s="1192"/>
      <c r="F11" s="1191"/>
      <c r="G11" s="1191"/>
      <c r="H11" s="1191"/>
    </row>
    <row r="12" spans="1:8">
      <c r="A12" s="1194" t="s">
        <v>2166</v>
      </c>
      <c r="B12" s="1195"/>
      <c r="C12" s="1195"/>
      <c r="D12" s="1195"/>
      <c r="E12" s="1192"/>
      <c r="F12" s="1191"/>
      <c r="G12" s="1191"/>
      <c r="H12" s="1191"/>
    </row>
    <row r="13" spans="1:8">
      <c r="A13" s="1194" t="s">
        <v>2167</v>
      </c>
      <c r="B13" s="1195"/>
      <c r="C13" s="1195"/>
      <c r="D13" s="1195"/>
      <c r="E13" s="1192"/>
      <c r="F13" s="1191"/>
      <c r="G13" s="1191"/>
      <c r="H13" s="1191"/>
    </row>
    <row r="14" spans="1:8">
      <c r="A14" s="1194" t="s">
        <v>2168</v>
      </c>
      <c r="B14" s="1195"/>
      <c r="C14" s="1195"/>
      <c r="D14" s="1195"/>
      <c r="E14" s="1192"/>
      <c r="F14" s="1191"/>
      <c r="G14" s="1191"/>
      <c r="H14" s="1191"/>
    </row>
    <row r="15" spans="1:8">
      <c r="A15" s="1194" t="s">
        <v>2168</v>
      </c>
      <c r="B15" s="1195"/>
      <c r="C15" s="1195"/>
      <c r="D15" s="1195"/>
      <c r="E15" s="1192"/>
      <c r="F15" s="1191"/>
      <c r="G15" s="1191"/>
      <c r="H15" s="1191"/>
    </row>
    <row r="16" spans="1:8" ht="30">
      <c r="A16" s="1190" t="s">
        <v>2169</v>
      </c>
      <c r="B16" s="1193"/>
      <c r="C16" s="1193"/>
      <c r="D16" s="1193"/>
      <c r="E16" s="1192"/>
      <c r="F16" s="1191"/>
      <c r="G16" s="1191"/>
      <c r="H16" s="1191"/>
    </row>
    <row r="17" spans="1:8" ht="28.5">
      <c r="A17" s="1194" t="s">
        <v>2170</v>
      </c>
      <c r="B17" s="1581">
        <v>4.1084920000000009E-3</v>
      </c>
      <c r="C17" s="1581">
        <v>0.47987465900000037</v>
      </c>
      <c r="D17" s="1581">
        <v>1.3283980450000006</v>
      </c>
      <c r="E17" s="1581">
        <v>4.1321694050000009</v>
      </c>
      <c r="F17" s="1581">
        <v>5.9445506010000013</v>
      </c>
      <c r="G17" s="1581">
        <v>18.411086105999985</v>
      </c>
      <c r="H17" s="1582">
        <f t="shared" ref="H17:H27" si="0">G17/(F17/12)</f>
        <v>37.165640954395123</v>
      </c>
    </row>
    <row r="18" spans="1:8" ht="15">
      <c r="A18" s="1194" t="s">
        <v>2171</v>
      </c>
      <c r="B18" s="1581">
        <v>0.164098565</v>
      </c>
      <c r="C18" s="1581">
        <v>0.12771040100000011</v>
      </c>
      <c r="D18" s="1581">
        <v>0.13965241699999975</v>
      </c>
      <c r="E18" s="1581">
        <v>0.67507736199999835</v>
      </c>
      <c r="F18" s="1581">
        <v>1.1065387449999982</v>
      </c>
      <c r="G18" s="1581">
        <v>5.368437139000001</v>
      </c>
      <c r="H18" s="1582">
        <f t="shared" si="0"/>
        <v>58.218698585199668</v>
      </c>
    </row>
    <row r="19" spans="1:8" ht="15">
      <c r="A19" s="1194" t="s">
        <v>2172</v>
      </c>
      <c r="B19" s="1581">
        <v>0</v>
      </c>
      <c r="C19" s="1581">
        <v>6.7529100000000017E-4</v>
      </c>
      <c r="D19" s="1581">
        <v>1.8489329999999984E-2</v>
      </c>
      <c r="E19" s="1581">
        <v>0</v>
      </c>
      <c r="F19" s="1581">
        <v>1.9164620999999986E-2</v>
      </c>
      <c r="G19" s="1581">
        <v>0.14590257100000001</v>
      </c>
      <c r="H19" s="1582">
        <f t="shared" si="0"/>
        <v>91.357447246152233</v>
      </c>
    </row>
    <row r="20" spans="1:8" ht="15">
      <c r="A20" s="1194" t="s">
        <v>2173</v>
      </c>
      <c r="B20" s="1581">
        <v>1.4078929999999995E-3</v>
      </c>
      <c r="C20" s="1581">
        <v>3.8985697000000055E-2</v>
      </c>
      <c r="D20" s="1581">
        <v>0.11564345500000003</v>
      </c>
      <c r="E20" s="1581">
        <v>0.55693011900000045</v>
      </c>
      <c r="F20" s="1581">
        <v>0.7129671640000006</v>
      </c>
      <c r="G20" s="1581">
        <v>1.6513729360000002</v>
      </c>
      <c r="H20" s="1582">
        <f t="shared" si="0"/>
        <v>27.794372914486683</v>
      </c>
    </row>
    <row r="21" spans="1:8" ht="15">
      <c r="A21" s="1194" t="s">
        <v>2174</v>
      </c>
      <c r="B21" s="1581">
        <v>8.3474099999999996E-4</v>
      </c>
      <c r="C21" s="1581">
        <v>0.31053280900000024</v>
      </c>
      <c r="D21" s="1581">
        <v>0.329909913</v>
      </c>
      <c r="E21" s="1581">
        <v>2.2993966260000001</v>
      </c>
      <c r="F21" s="1581">
        <v>2.9406740890000003</v>
      </c>
      <c r="G21" s="1581">
        <v>2.8990249919999997</v>
      </c>
      <c r="H21" s="1582">
        <f t="shared" si="0"/>
        <v>11.830042653869894</v>
      </c>
    </row>
    <row r="22" spans="1:8" ht="15">
      <c r="A22" s="1186" t="s">
        <v>2175</v>
      </c>
      <c r="B22" s="1581">
        <v>1.0783780000000001E-3</v>
      </c>
      <c r="C22" s="1581">
        <v>0.19656398199999994</v>
      </c>
      <c r="D22" s="1581">
        <v>3.4141473660000066</v>
      </c>
      <c r="E22" s="1581">
        <v>1.6265545769999978</v>
      </c>
      <c r="F22" s="1581">
        <v>5.2383443030000043</v>
      </c>
      <c r="G22" s="1581">
        <v>2.1609019950000001</v>
      </c>
      <c r="H22" s="1582">
        <f t="shared" si="0"/>
        <v>4.9501946493187541</v>
      </c>
    </row>
    <row r="23" spans="1:8" ht="15">
      <c r="A23" s="1194" t="s">
        <v>234</v>
      </c>
      <c r="B23" s="1581">
        <v>9.3375220000000009E-2</v>
      </c>
      <c r="C23" s="1581">
        <v>0.12</v>
      </c>
      <c r="D23" s="1581">
        <v>0.44773875499999805</v>
      </c>
      <c r="E23" s="1581">
        <v>0.89936033599999943</v>
      </c>
      <c r="F23" s="1581">
        <v>1.5604743109999974</v>
      </c>
      <c r="G23" s="1581">
        <v>2.3092711960000059</v>
      </c>
      <c r="H23" s="1582">
        <f t="shared" si="0"/>
        <v>17.758225275904664</v>
      </c>
    </row>
    <row r="24" spans="1:8" ht="15">
      <c r="A24" s="1194" t="s">
        <v>2176</v>
      </c>
      <c r="B24" s="1581">
        <v>3.8503603999999997E-2</v>
      </c>
      <c r="C24" s="1581">
        <v>0.17275744500000001</v>
      </c>
      <c r="D24" s="1581">
        <v>0.16689698300000008</v>
      </c>
      <c r="E24" s="1581">
        <v>0.26882990200000018</v>
      </c>
      <c r="F24" s="1581">
        <v>0.64698793400000021</v>
      </c>
      <c r="G24" s="1581">
        <v>2.7301866690000005</v>
      </c>
      <c r="H24" s="1582">
        <f t="shared" si="0"/>
        <v>50.638100505905257</v>
      </c>
    </row>
    <row r="25" spans="1:8" ht="15">
      <c r="A25" s="1194" t="s">
        <v>2177</v>
      </c>
      <c r="B25" s="1581">
        <v>1.6702494000000002E-2</v>
      </c>
      <c r="C25" s="1581">
        <v>0.14545923699999988</v>
      </c>
      <c r="D25" s="1581">
        <v>0.14656872100000012</v>
      </c>
      <c r="E25" s="1581">
        <v>0.89561016000000149</v>
      </c>
      <c r="F25" s="1581">
        <v>1.2043406120000015</v>
      </c>
      <c r="G25" s="1581">
        <v>10.15064551400001</v>
      </c>
      <c r="H25" s="1582">
        <f t="shared" si="0"/>
        <v>101.14061167938091</v>
      </c>
    </row>
    <row r="26" spans="1:8" ht="15">
      <c r="A26" s="1194" t="s">
        <v>2178</v>
      </c>
      <c r="B26" s="1581">
        <v>0.11461671099999998</v>
      </c>
      <c r="C26" s="1581">
        <v>0.77887631599999929</v>
      </c>
      <c r="D26" s="1581">
        <v>3.2245566209999992</v>
      </c>
      <c r="E26" s="1581">
        <v>0.36260039200000643</v>
      </c>
      <c r="F26" s="1581">
        <v>4.4806500400000049</v>
      </c>
      <c r="G26" s="1581">
        <v>8.1451270959999977</v>
      </c>
      <c r="H26" s="1582">
        <f t="shared" si="0"/>
        <v>21.814139528736742</v>
      </c>
    </row>
    <row r="27" spans="1:8" ht="15.75">
      <c r="A27" s="1190" t="s">
        <v>274</v>
      </c>
      <c r="B27" s="1583">
        <f>SUM(B17:B26)</f>
        <v>0.43472609800000001</v>
      </c>
      <c r="C27" s="1583">
        <f t="shared" ref="C27:G27" si="1">SUM(C17:C26)</f>
        <v>2.3714358369999999</v>
      </c>
      <c r="D27" s="1583">
        <f t="shared" si="1"/>
        <v>9.3320016060000039</v>
      </c>
      <c r="E27" s="1583">
        <f t="shared" si="1"/>
        <v>11.716528879000006</v>
      </c>
      <c r="F27" s="1583">
        <f t="shared" si="1"/>
        <v>23.85469242000001</v>
      </c>
      <c r="G27" s="1583">
        <f t="shared" si="1"/>
        <v>53.971956214000002</v>
      </c>
      <c r="H27" s="1582">
        <f t="shared" si="0"/>
        <v>27.150359483360706</v>
      </c>
    </row>
    <row r="28" spans="1:8" ht="9.75" customHeight="1">
      <c r="B28" s="1196"/>
      <c r="C28" s="1196"/>
      <c r="D28" s="1196"/>
      <c r="E28" s="1196"/>
      <c r="F28" s="1196"/>
      <c r="G28" s="1196"/>
      <c r="H28" s="1196"/>
    </row>
    <row r="29" spans="1:8" ht="1.5" hidden="1" customHeight="1">
      <c r="B29" s="1196"/>
      <c r="C29" s="1196"/>
      <c r="D29" s="1196"/>
      <c r="E29" s="1196"/>
      <c r="F29" s="1196"/>
      <c r="G29" s="1196"/>
      <c r="H29" s="1196"/>
    </row>
    <row r="30" spans="1:8" ht="15">
      <c r="A30" s="1185" t="s">
        <v>2121</v>
      </c>
      <c r="B30" s="1185"/>
      <c r="C30" s="1185"/>
      <c r="D30" s="1185"/>
      <c r="G30" s="1187" t="s">
        <v>210</v>
      </c>
      <c r="H30" s="1188" t="s">
        <v>2150</v>
      </c>
    </row>
    <row r="31" spans="1:8" ht="9" customHeight="1"/>
    <row r="32" spans="1:8" ht="15">
      <c r="A32" s="1189" t="s">
        <v>2151</v>
      </c>
      <c r="B32" s="1189"/>
      <c r="C32" s="1189"/>
      <c r="D32" s="1189"/>
      <c r="E32" s="1189"/>
      <c r="F32" s="1189"/>
      <c r="G32" s="1189"/>
      <c r="H32" s="1189"/>
    </row>
    <row r="33" spans="1:9" ht="15">
      <c r="H33" s="1188" t="s">
        <v>2179</v>
      </c>
    </row>
    <row r="34" spans="1:9" ht="15.75">
      <c r="A34" s="2304" t="s">
        <v>2180</v>
      </c>
    </row>
    <row r="35" spans="1:9" ht="30">
      <c r="A35" s="2301" t="s">
        <v>887</v>
      </c>
      <c r="B35" s="2662" t="s">
        <v>2154</v>
      </c>
      <c r="C35" s="2663"/>
      <c r="D35" s="2663"/>
      <c r="E35" s="2663"/>
      <c r="F35" s="2664"/>
      <c r="G35" s="2301" t="s">
        <v>2155</v>
      </c>
      <c r="H35" s="2302" t="s">
        <v>2156</v>
      </c>
    </row>
    <row r="36" spans="1:9" ht="45">
      <c r="A36" s="2301"/>
      <c r="B36" s="2302" t="s">
        <v>2157</v>
      </c>
      <c r="C36" s="2302" t="s">
        <v>2158</v>
      </c>
      <c r="D36" s="2302" t="s">
        <v>2159</v>
      </c>
      <c r="E36" s="2302" t="s">
        <v>2160</v>
      </c>
      <c r="F36" s="2302" t="s">
        <v>2161</v>
      </c>
      <c r="G36" s="2301" t="s">
        <v>2181</v>
      </c>
      <c r="H36" s="2301" t="s">
        <v>2162</v>
      </c>
    </row>
    <row r="37" spans="1:9">
      <c r="A37" s="1191"/>
      <c r="B37" s="1191"/>
      <c r="C37" s="1191"/>
      <c r="D37" s="1191"/>
      <c r="E37" s="1191"/>
      <c r="F37" s="1191"/>
      <c r="G37" s="1191"/>
      <c r="H37" s="1191"/>
    </row>
    <row r="38" spans="1:9" ht="30">
      <c r="A38" s="1190" t="s">
        <v>2182</v>
      </c>
      <c r="B38" s="1190"/>
      <c r="C38" s="1190"/>
      <c r="D38" s="1190"/>
      <c r="E38" s="1191"/>
      <c r="F38" s="1191"/>
      <c r="G38" s="1191"/>
      <c r="H38" s="1191"/>
    </row>
    <row r="39" spans="1:9">
      <c r="A39" s="1194" t="s">
        <v>2164</v>
      </c>
      <c r="B39" s="1194"/>
      <c r="C39" s="1194"/>
      <c r="D39" s="1194"/>
      <c r="E39" s="1191"/>
      <c r="F39" s="1191"/>
      <c r="G39" s="1191"/>
      <c r="H39" s="1191"/>
    </row>
    <row r="40" spans="1:9">
      <c r="A40" s="1194" t="s">
        <v>2165</v>
      </c>
      <c r="B40" s="1194"/>
      <c r="C40" s="1194"/>
      <c r="D40" s="1194"/>
      <c r="E40" s="1191"/>
      <c r="F40" s="1191"/>
      <c r="G40" s="1191"/>
      <c r="H40" s="1191"/>
    </row>
    <row r="41" spans="1:9">
      <c r="A41" s="1194" t="s">
        <v>2166</v>
      </c>
      <c r="B41" s="1194"/>
      <c r="C41" s="1194"/>
      <c r="D41" s="1194"/>
      <c r="E41" s="1191"/>
      <c r="F41" s="1191"/>
      <c r="G41" s="1191"/>
      <c r="H41" s="1191"/>
    </row>
    <row r="42" spans="1:9">
      <c r="A42" s="1194" t="s">
        <v>2167</v>
      </c>
      <c r="B42" s="1194"/>
      <c r="C42" s="1194"/>
      <c r="D42" s="1194"/>
      <c r="E42" s="1191"/>
      <c r="F42" s="1191"/>
      <c r="G42" s="1191"/>
      <c r="H42" s="1191"/>
    </row>
    <row r="43" spans="1:9">
      <c r="A43" s="1194" t="s">
        <v>2168</v>
      </c>
      <c r="B43" s="1194"/>
      <c r="C43" s="1194"/>
      <c r="D43" s="1194"/>
      <c r="E43" s="1191"/>
      <c r="F43" s="1191"/>
      <c r="G43" s="1191"/>
      <c r="H43" s="1191"/>
    </row>
    <row r="44" spans="1:9">
      <c r="A44" s="1194" t="s">
        <v>2168</v>
      </c>
      <c r="B44" s="1194"/>
      <c r="C44" s="1194"/>
      <c r="D44" s="1194"/>
      <c r="E44" s="1191"/>
      <c r="F44" s="1191"/>
      <c r="G44" s="1191"/>
      <c r="H44" s="1191"/>
    </row>
    <row r="45" spans="1:9" ht="30">
      <c r="A45" s="1190" t="s">
        <v>2169</v>
      </c>
      <c r="B45" s="1190"/>
      <c r="C45" s="1190"/>
      <c r="D45" s="1190"/>
      <c r="E45" s="1191"/>
      <c r="F45" s="1191"/>
      <c r="G45" s="1191"/>
      <c r="H45" s="1191"/>
    </row>
    <row r="46" spans="1:9" ht="28.5">
      <c r="A46" s="1194" t="s">
        <v>2170</v>
      </c>
      <c r="B46" s="1584">
        <v>2.5030542829999964</v>
      </c>
      <c r="C46" s="1584">
        <v>2.1710131240000048</v>
      </c>
      <c r="D46" s="1584">
        <v>2.9251071978260628</v>
      </c>
      <c r="E46" s="1584">
        <v>3.3429796546583574</v>
      </c>
      <c r="F46" s="1584">
        <v>10.942154259484422</v>
      </c>
      <c r="G46" s="1584">
        <v>19.709049948270902</v>
      </c>
      <c r="H46" s="1582">
        <f t="shared" ref="H46:H56" si="2">G46/(F46/12)</f>
        <v>21.614445727106279</v>
      </c>
      <c r="I46" s="1585"/>
    </row>
    <row r="47" spans="1:9" ht="15">
      <c r="A47" s="1194" t="s">
        <v>2171</v>
      </c>
      <c r="B47" s="1584">
        <v>0.42815260599999949</v>
      </c>
      <c r="C47" s="1584">
        <v>0.70092996500000104</v>
      </c>
      <c r="D47" s="1584">
        <v>0.7065981869294119</v>
      </c>
      <c r="E47" s="1584">
        <v>0.80754078506218496</v>
      </c>
      <c r="F47" s="1584">
        <v>2.6432215429915975</v>
      </c>
      <c r="G47" s="1584">
        <v>5.7469067879826063</v>
      </c>
      <c r="H47" s="1582">
        <f t="shared" si="2"/>
        <v>26.090465870575155</v>
      </c>
    </row>
    <row r="48" spans="1:9" ht="15">
      <c r="A48" s="1194" t="s">
        <v>2172</v>
      </c>
      <c r="B48" s="1584">
        <v>2.9859399000000005E-2</v>
      </c>
      <c r="C48" s="1584">
        <v>1.8660092E-2</v>
      </c>
      <c r="D48" s="1584">
        <v>3.0364284465903692E-2</v>
      </c>
      <c r="E48" s="1584">
        <v>3.4702039389604221E-2</v>
      </c>
      <c r="F48" s="1584">
        <v>0.11358581485550792</v>
      </c>
      <c r="G48" s="1584">
        <v>0.15618856176458878</v>
      </c>
      <c r="H48" s="1582">
        <f t="shared" si="2"/>
        <v>16.500852184397388</v>
      </c>
    </row>
    <row r="49" spans="1:8" ht="15">
      <c r="A49" s="1194" t="s">
        <v>2173</v>
      </c>
      <c r="B49" s="1584">
        <v>0.25054862700000002</v>
      </c>
      <c r="C49" s="1584">
        <v>0.31902283000000009</v>
      </c>
      <c r="D49" s="1584">
        <v>0.35644705638002744</v>
      </c>
      <c r="E49" s="1584">
        <v>0.40736806443431706</v>
      </c>
      <c r="F49" s="1584">
        <v>1.3333865778143448</v>
      </c>
      <c r="G49" s="1584">
        <v>1.7677931378659968</v>
      </c>
      <c r="H49" s="1582">
        <f t="shared" si="2"/>
        <v>15.909502920874342</v>
      </c>
    </row>
    <row r="50" spans="1:8" ht="15">
      <c r="A50" s="1194" t="s">
        <v>2174</v>
      </c>
      <c r="B50" s="1584">
        <v>1.7796297970000003</v>
      </c>
      <c r="C50" s="1584">
        <v>1.0683632860000014</v>
      </c>
      <c r="D50" s="1584">
        <v>1.7823202664912152</v>
      </c>
      <c r="E50" s="1584">
        <v>2.036937447418532</v>
      </c>
      <c r="F50" s="1584">
        <v>6.6672507969097499</v>
      </c>
      <c r="G50" s="1584">
        <v>3.1034034624384961</v>
      </c>
      <c r="H50" s="1582">
        <f t="shared" si="2"/>
        <v>5.5856368214801471</v>
      </c>
    </row>
    <row r="51" spans="1:8" ht="15">
      <c r="A51" s="1186" t="s">
        <v>2175</v>
      </c>
      <c r="B51" s="1584">
        <v>0.95755789900000099</v>
      </c>
      <c r="C51" s="1584">
        <v>1.0690409290000005</v>
      </c>
      <c r="D51" s="1584">
        <v>1.2682784184949316</v>
      </c>
      <c r="E51" s="1584">
        <v>1.4494610497084932</v>
      </c>
      <c r="F51" s="1584">
        <v>4.7443382962034262</v>
      </c>
      <c r="G51" s="1584">
        <v>2.3132435048953366</v>
      </c>
      <c r="H51" s="1582">
        <f t="shared" si="2"/>
        <v>5.8509575678778285</v>
      </c>
    </row>
    <row r="52" spans="1:8" ht="15">
      <c r="A52" s="1194" t="s">
        <v>234</v>
      </c>
      <c r="B52" s="1584">
        <v>0.3191264839999996</v>
      </c>
      <c r="C52" s="1584">
        <v>0.47350421399999998</v>
      </c>
      <c r="D52" s="1584">
        <v>0.49604114747369848</v>
      </c>
      <c r="E52" s="1584">
        <v>0.56690416854136971</v>
      </c>
      <c r="F52" s="1584">
        <v>1.8555760140150679</v>
      </c>
      <c r="G52" s="1584">
        <v>2.4720725916997912</v>
      </c>
      <c r="H52" s="1582">
        <f t="shared" si="2"/>
        <v>15.986880018032291</v>
      </c>
    </row>
    <row r="53" spans="1:8" ht="15">
      <c r="A53" s="1194" t="s">
        <v>2176</v>
      </c>
      <c r="B53" s="1584">
        <v>0.24671671300000003</v>
      </c>
      <c r="C53" s="1584">
        <v>0.27737666799999983</v>
      </c>
      <c r="D53" s="1584">
        <v>0.32798613875362465</v>
      </c>
      <c r="E53" s="1584">
        <v>0.37484130143271388</v>
      </c>
      <c r="F53" s="1584">
        <v>1.2269208211863385</v>
      </c>
      <c r="G53" s="1584">
        <v>2.9226622002429523</v>
      </c>
      <c r="H53" s="1582">
        <f t="shared" si="2"/>
        <v>28.58533802450556</v>
      </c>
    </row>
    <row r="54" spans="1:8" ht="15">
      <c r="A54" s="1194" t="s">
        <v>2177</v>
      </c>
      <c r="B54" s="1584">
        <v>0.53923790500000068</v>
      </c>
      <c r="C54" s="1584">
        <v>0.49985362500000141</v>
      </c>
      <c r="D54" s="1584">
        <v>0.65028033379474581</v>
      </c>
      <c r="E54" s="1584">
        <v>0.74317752433685236</v>
      </c>
      <c r="F54" s="1584">
        <v>2.4325493881316005</v>
      </c>
      <c r="G54" s="1584">
        <v>10.866256248588222</v>
      </c>
      <c r="H54" s="1582">
        <f t="shared" si="2"/>
        <v>53.604286769779783</v>
      </c>
    </row>
    <row r="55" spans="1:8" ht="15">
      <c r="A55" s="1194" t="s">
        <v>2178</v>
      </c>
      <c r="B55" s="1584">
        <v>1.5218819779999984</v>
      </c>
      <c r="C55" s="1584">
        <v>1.6045581909999933</v>
      </c>
      <c r="D55" s="1584">
        <v>1.9565769693903787</v>
      </c>
      <c r="E55" s="1584">
        <v>2.2360879650175756</v>
      </c>
      <c r="F55" s="1584">
        <v>7.3191051034079457</v>
      </c>
      <c r="G55" s="1584">
        <v>8.7193507132511154</v>
      </c>
      <c r="H55" s="1582">
        <f t="shared" si="2"/>
        <v>14.295765271944816</v>
      </c>
    </row>
    <row r="56" spans="1:8" ht="15.75">
      <c r="A56" s="1190" t="s">
        <v>274</v>
      </c>
      <c r="B56" s="1583">
        <f t="shared" ref="B56:G56" si="3">SUM(B46:B55)</f>
        <v>8.5757656909999955</v>
      </c>
      <c r="C56" s="1583">
        <f t="shared" si="3"/>
        <v>8.2023229240000024</v>
      </c>
      <c r="D56" s="1583">
        <f t="shared" si="3"/>
        <v>10.5</v>
      </c>
      <c r="E56" s="1583">
        <f t="shared" si="3"/>
        <v>12</v>
      </c>
      <c r="F56" s="1583">
        <f t="shared" si="3"/>
        <v>39.278088615000001</v>
      </c>
      <c r="G56" s="1583">
        <f t="shared" si="3"/>
        <v>57.77692715700001</v>
      </c>
      <c r="H56" s="1582">
        <f t="shared" si="2"/>
        <v>17.651651348920918</v>
      </c>
    </row>
    <row r="61" spans="1:8">
      <c r="B61" s="1195">
        <f t="shared" ref="B61:G70" si="4">B46/$G$56*$G$71</f>
        <v>0.38817167127523095</v>
      </c>
      <c r="C61" s="1195">
        <f t="shared" si="4"/>
        <v>0.33667899191283468</v>
      </c>
      <c r="D61" s="1195">
        <f t="shared" si="4"/>
        <v>0.4536233022795183</v>
      </c>
      <c r="E61" s="1195">
        <f t="shared" si="4"/>
        <v>0.51842663117659238</v>
      </c>
      <c r="F61" s="1195">
        <f t="shared" si="4"/>
        <v>1.6969005966441761</v>
      </c>
      <c r="G61" s="1195">
        <f t="shared" si="4"/>
        <v>3.056463820871651</v>
      </c>
    </row>
    <row r="62" spans="1:8">
      <c r="B62" s="1195">
        <f t="shared" si="4"/>
        <v>6.6397566269586775E-2</v>
      </c>
      <c r="C62" s="1195">
        <f t="shared" si="4"/>
        <v>0.10869966257177648</v>
      </c>
      <c r="D62" s="1195">
        <f t="shared" si="4"/>
        <v>0.10957868592913701</v>
      </c>
      <c r="E62" s="1195">
        <f t="shared" si="4"/>
        <v>0.12523278391901371</v>
      </c>
      <c r="F62" s="1195">
        <f t="shared" si="4"/>
        <v>0.40990869868951402</v>
      </c>
      <c r="G62" s="1195">
        <f t="shared" si="4"/>
        <v>0.89122574276755329</v>
      </c>
    </row>
    <row r="63" spans="1:8">
      <c r="B63" s="1195">
        <f t="shared" si="4"/>
        <v>4.6305718944346114E-3</v>
      </c>
      <c r="C63" s="1195">
        <f t="shared" si="4"/>
        <v>2.8937922549199368E-3</v>
      </c>
      <c r="D63" s="1195">
        <f t="shared" si="4"/>
        <v>4.7088691317072754E-3</v>
      </c>
      <c r="E63" s="1195">
        <f t="shared" si="4"/>
        <v>5.3815647219511717E-3</v>
      </c>
      <c r="F63" s="1195">
        <f t="shared" si="4"/>
        <v>1.7614798003012997E-2</v>
      </c>
      <c r="G63" s="1195">
        <f t="shared" si="4"/>
        <v>2.422159817547798E-2</v>
      </c>
    </row>
    <row r="64" spans="1:8">
      <c r="B64" s="1195">
        <f t="shared" si="4"/>
        <v>3.8854882188867255E-2</v>
      </c>
      <c r="C64" s="1195">
        <f t="shared" si="4"/>
        <v>4.94738072350683E-2</v>
      </c>
      <c r="D64" s="1195">
        <f t="shared" si="4"/>
        <v>5.527752655461364E-2</v>
      </c>
      <c r="E64" s="1195">
        <f t="shared" si="4"/>
        <v>6.3174316062415595E-2</v>
      </c>
      <c r="F64" s="1195">
        <f t="shared" si="4"/>
        <v>0.2067805320409648</v>
      </c>
      <c r="G64" s="1195">
        <f t="shared" si="4"/>
        <v>0.27414795654047336</v>
      </c>
    </row>
    <row r="65" spans="2:7">
      <c r="B65" s="1195">
        <f t="shared" si="4"/>
        <v>0.27598357624299713</v>
      </c>
      <c r="C65" s="1195">
        <f t="shared" si="4"/>
        <v>0.16568093032272391</v>
      </c>
      <c r="D65" s="1195">
        <f t="shared" si="4"/>
        <v>0.27640081211599155</v>
      </c>
      <c r="E65" s="1195">
        <f t="shared" si="4"/>
        <v>0.31588664241827613</v>
      </c>
      <c r="F65" s="1195">
        <f t="shared" si="4"/>
        <v>1.033951961099989</v>
      </c>
      <c r="G65" s="1195">
        <f t="shared" si="4"/>
        <v>0.48127334546347555</v>
      </c>
    </row>
    <row r="66" spans="2:7">
      <c r="B66" s="1195">
        <f t="shared" si="4"/>
        <v>0.1484973188644306</v>
      </c>
      <c r="C66" s="1195">
        <f t="shared" si="4"/>
        <v>0.16578601866124859</v>
      </c>
      <c r="D66" s="1195">
        <f t="shared" si="4"/>
        <v>0.19668361037677304</v>
      </c>
      <c r="E66" s="1195">
        <f t="shared" si="4"/>
        <v>0.22478126900202636</v>
      </c>
      <c r="F66" s="1195">
        <f t="shared" si="4"/>
        <v>0.73574821690447867</v>
      </c>
      <c r="G66" s="1195">
        <f t="shared" si="4"/>
        <v>0.3587359664791564</v>
      </c>
    </row>
    <row r="67" spans="2:7">
      <c r="B67" s="1195">
        <f t="shared" si="4"/>
        <v>4.9489881815107349E-2</v>
      </c>
      <c r="C67" s="1195">
        <f t="shared" si="4"/>
        <v>7.3430657637976945E-2</v>
      </c>
      <c r="D67" s="1195">
        <f t="shared" si="4"/>
        <v>7.6925667391189015E-2</v>
      </c>
      <c r="E67" s="1195">
        <f t="shared" si="4"/>
        <v>8.7915048447073152E-2</v>
      </c>
      <c r="F67" s="1195">
        <f t="shared" si="4"/>
        <v>0.2877612552913465</v>
      </c>
      <c r="G67" s="1195">
        <f t="shared" si="4"/>
        <v>0.38336705518175967</v>
      </c>
    </row>
    <row r="68" spans="2:7">
      <c r="B68" s="1195">
        <f t="shared" si="4"/>
        <v>3.8260632007532706E-2</v>
      </c>
      <c r="C68" s="1195">
        <f t="shared" si="4"/>
        <v>4.3015353490963401E-2</v>
      </c>
      <c r="D68" s="1195">
        <f t="shared" si="4"/>
        <v>5.0863830041477549E-2</v>
      </c>
      <c r="E68" s="1195">
        <f t="shared" si="4"/>
        <v>5.8130091475974338E-2</v>
      </c>
      <c r="F68" s="1195">
        <f t="shared" si="4"/>
        <v>0.19026990701594801</v>
      </c>
      <c r="G68" s="1195">
        <f t="shared" si="4"/>
        <v>0.45324413399517632</v>
      </c>
    </row>
    <row r="69" spans="2:7">
      <c r="B69" s="1195">
        <f t="shared" si="4"/>
        <v>8.3624586258645175E-2</v>
      </c>
      <c r="C69" s="1195">
        <f t="shared" si="4"/>
        <v>7.7516903379611354E-2</v>
      </c>
      <c r="D69" s="1195">
        <f t="shared" si="4"/>
        <v>0.10084495797030298</v>
      </c>
      <c r="E69" s="1195">
        <f t="shared" si="4"/>
        <v>0.11525138053748912</v>
      </c>
      <c r="F69" s="1195">
        <f t="shared" si="4"/>
        <v>0.37723782814604867</v>
      </c>
      <c r="G69" s="1195">
        <f t="shared" si="4"/>
        <v>1.6851303933624748</v>
      </c>
    </row>
    <row r="70" spans="2:7">
      <c r="B70" s="1195">
        <f t="shared" si="4"/>
        <v>0.23601224907351095</v>
      </c>
      <c r="C70" s="1195">
        <f t="shared" si="4"/>
        <v>0.24883361055691075</v>
      </c>
      <c r="D70" s="1195">
        <f t="shared" si="4"/>
        <v>0.30342440327607179</v>
      </c>
      <c r="E70" s="1195">
        <f t="shared" si="4"/>
        <v>0.34677074660122487</v>
      </c>
      <c r="F70" s="1195">
        <f t="shared" si="4"/>
        <v>1.1350410095077184</v>
      </c>
      <c r="G70" s="1195">
        <f t="shared" si="4"/>
        <v>1.352189987162802</v>
      </c>
    </row>
    <row r="71" spans="2:7" ht="15">
      <c r="B71" s="1193">
        <f>SUM(B61:B70)</f>
        <v>1.3299229358903435</v>
      </c>
      <c r="C71" s="1193">
        <f>SUM(C61:C70)</f>
        <v>1.2720097280240343</v>
      </c>
      <c r="D71" s="1193">
        <f>SUM(D61:D70)</f>
        <v>1.6283316650667823</v>
      </c>
      <c r="E71" s="1193">
        <f>SUM(E61:E70)</f>
        <v>1.8609504743620369</v>
      </c>
      <c r="F71" s="1193">
        <f>SUM(F61:F70)</f>
        <v>6.0912148033431981</v>
      </c>
      <c r="G71" s="1193">
        <v>8.9600000000000009</v>
      </c>
    </row>
    <row r="72" spans="2:7">
      <c r="B72" s="1197">
        <f t="shared" ref="B72:G72" si="5">SUM(B61:B70)</f>
        <v>1.3299229358903435</v>
      </c>
      <c r="C72" s="1197">
        <f t="shared" si="5"/>
        <v>1.2720097280240343</v>
      </c>
      <c r="D72" s="1197">
        <f t="shared" si="5"/>
        <v>1.6283316650667823</v>
      </c>
      <c r="E72" s="1197">
        <f t="shared" si="5"/>
        <v>1.8609504743620369</v>
      </c>
      <c r="F72" s="1197">
        <f t="shared" si="5"/>
        <v>6.0912148033431981</v>
      </c>
      <c r="G72" s="1197">
        <f t="shared" si="5"/>
        <v>8.9600000000000009</v>
      </c>
    </row>
  </sheetData>
  <mergeCells count="2">
    <mergeCell ref="B6:F6"/>
    <mergeCell ref="B35:F35"/>
  </mergeCells>
  <phoneticPr fontId="103" type="noConversion"/>
  <printOptions horizontalCentered="1" verticalCentered="1"/>
  <pageMargins left="0.15748031496062992" right="0.23622047244094491" top="0.59055118110236227" bottom="0.39370078740157483" header="0.51181102362204722" footer="0.23622047244094491"/>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1">
    <tabColor rgb="FF008000"/>
  </sheetPr>
  <dimension ref="A1:X17"/>
  <sheetViews>
    <sheetView view="pageBreakPreview" zoomScale="80" zoomScaleSheetLayoutView="80" workbookViewId="0">
      <pane xSplit="3" ySplit="7" topLeftCell="G8" activePane="bottomRight" state="frozen"/>
      <selection pane="bottomRight" activeCell="U13" sqref="U13"/>
      <selection pane="bottomLeft" activeCell="B10" sqref="B10:F13"/>
      <selection pane="topRight" activeCell="B10" sqref="B10:F13"/>
    </sheetView>
  </sheetViews>
  <sheetFormatPr defaultColWidth="9.140625" defaultRowHeight="14.25"/>
  <cols>
    <col min="1" max="1" width="14.42578125" style="281" customWidth="1"/>
    <col min="2" max="2" width="12.5703125" style="281" customWidth="1"/>
    <col min="3" max="3" width="16.28515625" style="281" customWidth="1"/>
    <col min="4" max="4" width="8" style="281" bestFit="1" customWidth="1"/>
    <col min="5" max="5" width="14.28515625" style="281" customWidth="1"/>
    <col min="6" max="6" width="15.42578125" style="281" bestFit="1" customWidth="1"/>
    <col min="7" max="7" width="11.42578125" style="281" customWidth="1"/>
    <col min="8" max="8" width="8.7109375" style="281" bestFit="1" customWidth="1"/>
    <col min="9" max="9" width="9.85546875" style="281" bestFit="1" customWidth="1"/>
    <col min="10" max="10" width="12.28515625" style="281" customWidth="1"/>
    <col min="11" max="11" width="12.140625" style="281" bestFit="1" customWidth="1"/>
    <col min="12" max="12" width="14.85546875" style="281" bestFit="1" customWidth="1"/>
    <col min="13" max="13" width="12.42578125" style="281" bestFit="1" customWidth="1"/>
    <col min="14" max="15" width="13.7109375" style="281" bestFit="1" customWidth="1"/>
    <col min="16" max="16" width="10.85546875" style="298" bestFit="1" customWidth="1"/>
    <col min="17" max="17" width="8.140625" style="281" customWidth="1"/>
    <col min="18" max="18" width="11.140625" style="281" customWidth="1"/>
    <col min="19" max="19" width="14.5703125" style="281" bestFit="1" customWidth="1"/>
    <col min="20" max="16384" width="9.140625" style="281"/>
  </cols>
  <sheetData>
    <row r="1" spans="1:24" ht="15">
      <c r="A1" s="252" t="s">
        <v>774</v>
      </c>
      <c r="B1" s="229"/>
      <c r="C1" s="229"/>
      <c r="D1" s="229"/>
      <c r="E1" s="229"/>
      <c r="F1" s="229"/>
      <c r="G1" s="229"/>
      <c r="H1" s="229"/>
      <c r="I1" s="229"/>
      <c r="J1" s="229"/>
      <c r="K1" s="229"/>
      <c r="L1" s="229"/>
      <c r="M1" s="229"/>
      <c r="N1" s="229"/>
      <c r="O1" s="278"/>
      <c r="P1" s="279"/>
      <c r="Q1" s="280" t="s">
        <v>210</v>
      </c>
      <c r="R1" s="252" t="s">
        <v>2183</v>
      </c>
      <c r="S1" s="229"/>
    </row>
    <row r="2" spans="1:24">
      <c r="A2" s="229"/>
      <c r="B2" s="229"/>
      <c r="C2" s="229"/>
      <c r="D2" s="229"/>
      <c r="E2" s="229"/>
      <c r="F2" s="229"/>
      <c r="G2" s="229"/>
      <c r="H2" s="229"/>
      <c r="I2" s="229"/>
      <c r="J2" s="229"/>
      <c r="K2" s="229"/>
      <c r="L2" s="229"/>
      <c r="M2" s="229"/>
      <c r="N2" s="229"/>
      <c r="O2" s="278"/>
      <c r="P2" s="279"/>
      <c r="Q2" s="229"/>
      <c r="R2" s="229"/>
      <c r="S2" s="229"/>
    </row>
    <row r="3" spans="1:24" ht="15">
      <c r="A3" s="282" t="s">
        <v>2184</v>
      </c>
      <c r="B3" s="282"/>
      <c r="C3" s="282"/>
      <c r="D3" s="282"/>
      <c r="E3" s="283"/>
      <c r="F3" s="283"/>
      <c r="G3" s="283"/>
      <c r="H3" s="283"/>
      <c r="I3" s="283"/>
      <c r="J3" s="283"/>
      <c r="K3" s="283"/>
      <c r="L3" s="283"/>
      <c r="M3" s="283"/>
      <c r="N3" s="283"/>
      <c r="O3" s="283"/>
      <c r="P3" s="284"/>
      <c r="Q3" s="283"/>
      <c r="R3" s="283"/>
      <c r="S3" s="283"/>
    </row>
    <row r="4" spans="1:24" ht="15">
      <c r="A4" s="229"/>
      <c r="B4" s="229"/>
      <c r="C4" s="229"/>
      <c r="D4" s="229"/>
      <c r="E4" s="229"/>
      <c r="F4" s="229"/>
      <c r="G4" s="229"/>
      <c r="H4" s="229"/>
      <c r="I4" s="229"/>
      <c r="J4" s="229"/>
      <c r="K4" s="229"/>
      <c r="L4" s="229"/>
      <c r="M4" s="229"/>
      <c r="N4" s="229"/>
      <c r="O4" s="229"/>
      <c r="P4" s="285"/>
      <c r="Q4" s="229"/>
      <c r="R4" s="229"/>
      <c r="S4" s="252" t="s">
        <v>2185</v>
      </c>
    </row>
    <row r="5" spans="1:24" ht="15">
      <c r="A5" s="286" t="s">
        <v>2186</v>
      </c>
      <c r="B5" s="287"/>
      <c r="C5" s="287"/>
      <c r="D5" s="287"/>
      <c r="E5" s="287"/>
      <c r="F5" s="287"/>
      <c r="G5" s="287"/>
      <c r="H5" s="287"/>
      <c r="I5" s="287"/>
      <c r="J5" s="287"/>
      <c r="K5" s="286" t="s">
        <v>2187</v>
      </c>
      <c r="L5" s="287"/>
      <c r="M5" s="287"/>
      <c r="N5" s="286" t="s">
        <v>2188</v>
      </c>
      <c r="O5" s="287"/>
      <c r="P5" s="288" t="s">
        <v>2189</v>
      </c>
      <c r="Q5" s="287"/>
      <c r="R5" s="287"/>
      <c r="S5" s="287"/>
    </row>
    <row r="6" spans="1:24" ht="86.25" customHeight="1">
      <c r="A6" s="299" t="s">
        <v>2190</v>
      </c>
      <c r="B6" s="299" t="s">
        <v>2191</v>
      </c>
      <c r="C6" s="299" t="s">
        <v>2192</v>
      </c>
      <c r="D6" s="299" t="s">
        <v>2193</v>
      </c>
      <c r="E6" s="299" t="s">
        <v>2194</v>
      </c>
      <c r="F6" s="299" t="s">
        <v>2195</v>
      </c>
      <c r="G6" s="299" t="s">
        <v>2196</v>
      </c>
      <c r="H6" s="299" t="s">
        <v>957</v>
      </c>
      <c r="I6" s="299" t="s">
        <v>2197</v>
      </c>
      <c r="J6" s="299" t="s">
        <v>2198</v>
      </c>
      <c r="K6" s="299" t="s">
        <v>2199</v>
      </c>
      <c r="L6" s="299" t="s">
        <v>2200</v>
      </c>
      <c r="M6" s="299" t="s">
        <v>2201</v>
      </c>
      <c r="N6" s="299" t="s">
        <v>2202</v>
      </c>
      <c r="O6" s="299" t="s">
        <v>2203</v>
      </c>
      <c r="P6" s="2305" t="s">
        <v>2204</v>
      </c>
      <c r="Q6" s="299" t="s">
        <v>2205</v>
      </c>
      <c r="R6" s="299" t="s">
        <v>2206</v>
      </c>
      <c r="S6" s="299" t="s">
        <v>2207</v>
      </c>
      <c r="T6" s="289"/>
      <c r="U6" s="289"/>
      <c r="V6" s="289"/>
      <c r="W6" s="289"/>
      <c r="X6" s="289"/>
    </row>
    <row r="7" spans="1:24">
      <c r="A7" s="240"/>
      <c r="B7" s="240"/>
      <c r="C7" s="240"/>
      <c r="D7" s="240"/>
      <c r="E7" s="240"/>
      <c r="F7" s="240"/>
      <c r="G7" s="240"/>
      <c r="H7" s="240"/>
      <c r="I7" s="240"/>
      <c r="J7" s="240"/>
      <c r="K7" s="240"/>
      <c r="L7" s="240"/>
      <c r="M7" s="240"/>
      <c r="N7" s="240"/>
      <c r="O7" s="240"/>
      <c r="P7" s="290"/>
      <c r="Q7" s="240"/>
      <c r="R7" s="240"/>
      <c r="S7" s="240"/>
    </row>
    <row r="8" spans="1:24" ht="15">
      <c r="A8" s="240"/>
      <c r="B8" s="240"/>
      <c r="C8" s="230"/>
      <c r="D8" s="240"/>
      <c r="E8" s="240"/>
      <c r="F8" s="240"/>
      <c r="G8" s="240"/>
      <c r="H8" s="240"/>
      <c r="I8" s="240"/>
      <c r="J8" s="240"/>
      <c r="K8" s="240"/>
      <c r="L8" s="240"/>
      <c r="M8" s="240"/>
      <c r="N8" s="240"/>
      <c r="O8" s="240"/>
      <c r="P8" s="290"/>
      <c r="Q8" s="240"/>
      <c r="R8" s="240"/>
      <c r="S8" s="240"/>
    </row>
    <row r="9" spans="1:24" ht="15">
      <c r="A9" s="240"/>
      <c r="B9" s="240"/>
      <c r="C9" s="230"/>
      <c r="D9" s="240"/>
      <c r="E9" s="240"/>
      <c r="F9" s="240"/>
      <c r="G9" s="240"/>
      <c r="H9" s="240"/>
      <c r="I9" s="240"/>
      <c r="J9" s="240"/>
      <c r="K9" s="240"/>
      <c r="L9" s="240"/>
      <c r="M9" s="240"/>
      <c r="N9" s="240"/>
      <c r="O9" s="240"/>
      <c r="P9" s="290"/>
      <c r="Q9" s="240"/>
      <c r="R9" s="240"/>
      <c r="S9" s="240"/>
    </row>
    <row r="10" spans="1:24" ht="45">
      <c r="A10" s="230" t="s">
        <v>2208</v>
      </c>
      <c r="B10" s="293" t="s">
        <v>2209</v>
      </c>
      <c r="C10" s="293" t="s">
        <v>2210</v>
      </c>
      <c r="D10" s="240"/>
      <c r="E10" s="1566">
        <v>45017</v>
      </c>
      <c r="F10" s="1568">
        <f>'Interest New'!G6</f>
        <v>31330.397807609996</v>
      </c>
      <c r="G10" s="240"/>
      <c r="H10" s="291">
        <v>8.5000000000000006E-2</v>
      </c>
      <c r="I10" s="240"/>
      <c r="J10" s="1568">
        <v>0</v>
      </c>
      <c r="K10" s="1568">
        <v>0</v>
      </c>
      <c r="L10" s="1568">
        <f>'F-3'!D8</f>
        <v>5868.5390259885944</v>
      </c>
      <c r="M10" s="1568">
        <f>K10+L10</f>
        <v>5868.5390259885944</v>
      </c>
      <c r="N10" s="1568">
        <f>F10</f>
        <v>31330.397807609996</v>
      </c>
      <c r="O10" s="1568">
        <f>N10+F11-M10</f>
        <v>67153.469997543594</v>
      </c>
      <c r="P10" s="1569">
        <f>'Interest New'!C6</f>
        <v>4185.5643817190285</v>
      </c>
      <c r="Q10" s="1568">
        <v>0</v>
      </c>
      <c r="R10" s="1568"/>
      <c r="S10" s="1568"/>
    </row>
    <row r="11" spans="1:24" ht="30" customHeight="1">
      <c r="A11" s="240"/>
      <c r="B11" s="240"/>
      <c r="C11" s="293" t="s">
        <v>2211</v>
      </c>
      <c r="D11" s="240"/>
      <c r="E11" s="1568">
        <v>0</v>
      </c>
      <c r="F11" s="1568">
        <f>'F-3'!C8</f>
        <v>41691.611215922196</v>
      </c>
      <c r="G11" s="240"/>
      <c r="H11" s="291"/>
      <c r="I11" s="240"/>
      <c r="J11" s="1568"/>
      <c r="K11" s="1568"/>
      <c r="L11" s="1568"/>
      <c r="M11" s="1568"/>
      <c r="N11" s="1568"/>
      <c r="O11" s="1568"/>
      <c r="P11" s="1570"/>
      <c r="Q11" s="1568"/>
      <c r="R11" s="1568"/>
      <c r="S11" s="1568"/>
    </row>
    <row r="12" spans="1:24" ht="30" hidden="1" customHeight="1">
      <c r="A12" s="240"/>
      <c r="B12" s="240"/>
      <c r="C12" s="257"/>
      <c r="D12" s="240"/>
      <c r="E12" s="1568"/>
      <c r="F12" s="1568"/>
      <c r="G12" s="240"/>
      <c r="H12" s="291"/>
      <c r="I12" s="240"/>
      <c r="J12" s="1568"/>
      <c r="K12" s="1568"/>
      <c r="L12" s="1568"/>
      <c r="M12" s="1568"/>
      <c r="N12" s="1568"/>
      <c r="O12" s="1568"/>
      <c r="P12" s="1570"/>
      <c r="Q12" s="1568"/>
      <c r="R12" s="1568"/>
      <c r="S12" s="1568"/>
    </row>
    <row r="13" spans="1:24" ht="30" customHeight="1">
      <c r="A13" s="240"/>
      <c r="B13" s="240"/>
      <c r="C13" s="240" t="s">
        <v>928</v>
      </c>
      <c r="D13" s="240"/>
      <c r="E13" s="1568"/>
      <c r="F13" s="1568">
        <f>O10</f>
        <v>67153.469997543594</v>
      </c>
      <c r="G13" s="240"/>
      <c r="H13" s="291">
        <v>8.5000000000000006E-2</v>
      </c>
      <c r="I13" s="240"/>
      <c r="J13" s="1568"/>
      <c r="K13" s="1568">
        <v>0</v>
      </c>
      <c r="L13" s="1568">
        <f>'F-3'!H8</f>
        <v>8689.7973282041858</v>
      </c>
      <c r="M13" s="1568">
        <f>K13+L13</f>
        <v>8689.7973282041858</v>
      </c>
      <c r="N13" s="1568">
        <f>F13</f>
        <v>67153.469997543594</v>
      </c>
      <c r="O13" s="1568">
        <f>N13+F14-M13</f>
        <v>79310.418568178138</v>
      </c>
      <c r="P13" s="1569">
        <f>'Interest New'!D6</f>
        <v>6224.715264043175</v>
      </c>
      <c r="Q13" s="1568">
        <v>0</v>
      </c>
      <c r="R13" s="1568"/>
      <c r="S13" s="1568"/>
    </row>
    <row r="14" spans="1:24" ht="30" customHeight="1">
      <c r="A14" s="240"/>
      <c r="B14" s="240"/>
      <c r="C14" s="257" t="s">
        <v>2212</v>
      </c>
      <c r="D14" s="240"/>
      <c r="E14" s="1568">
        <v>0</v>
      </c>
      <c r="F14" s="1568">
        <f>'F-3'!G8</f>
        <v>20846.745898838719</v>
      </c>
      <c r="G14" s="240"/>
      <c r="H14" s="291"/>
      <c r="I14" s="240"/>
      <c r="J14" s="1568"/>
      <c r="K14" s="1568">
        <f>M10</f>
        <v>5868.5390259885944</v>
      </c>
      <c r="L14" s="1568"/>
      <c r="M14" s="1568"/>
      <c r="N14" s="1568"/>
      <c r="O14" s="1568"/>
      <c r="P14" s="1569"/>
      <c r="Q14" s="1568"/>
      <c r="R14" s="1568"/>
      <c r="S14" s="1568"/>
    </row>
    <row r="15" spans="1:24" ht="15">
      <c r="A15" s="297"/>
      <c r="B15" s="257"/>
      <c r="C15" s="257"/>
      <c r="D15" s="294"/>
      <c r="E15" s="1567"/>
      <c r="F15" s="253"/>
      <c r="G15" s="240"/>
      <c r="H15" s="291"/>
      <c r="I15" s="240"/>
      <c r="J15" s="253"/>
      <c r="K15" s="253"/>
      <c r="L15" s="253"/>
      <c r="M15" s="253"/>
      <c r="N15" s="253"/>
      <c r="O15" s="253"/>
      <c r="P15" s="292"/>
      <c r="Q15" s="295"/>
      <c r="R15" s="296"/>
      <c r="S15" s="294"/>
    </row>
    <row r="16" spans="1:24" ht="15">
      <c r="A16" s="297"/>
      <c r="B16" s="257"/>
      <c r="C16" s="257"/>
      <c r="D16" s="294"/>
      <c r="E16" s="1567"/>
      <c r="F16" s="253"/>
      <c r="G16" s="240"/>
      <c r="H16" s="291"/>
      <c r="I16" s="240"/>
      <c r="J16" s="253"/>
      <c r="K16" s="253"/>
      <c r="L16" s="253"/>
      <c r="M16" s="253"/>
      <c r="N16" s="253"/>
      <c r="O16" s="253"/>
      <c r="P16" s="292"/>
      <c r="Q16" s="295"/>
      <c r="R16" s="296"/>
      <c r="S16" s="294"/>
    </row>
    <row r="17" spans="1:1" ht="15">
      <c r="A17" s="566"/>
    </row>
  </sheetData>
  <phoneticPr fontId="0" type="noConversion"/>
  <printOptions horizontalCentered="1"/>
  <pageMargins left="0.31496062992125984" right="0.15748031496062992" top="1.299212598425197" bottom="0.23622047244094491" header="0.23622047244094491" footer="0.15748031496062992"/>
  <pageSetup paperSize="9" scale="6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4">
    <tabColor rgb="FF008000"/>
  </sheetPr>
  <dimension ref="A1:I14"/>
  <sheetViews>
    <sheetView view="pageBreakPreview" zoomScaleSheetLayoutView="100" workbookViewId="0">
      <selection activeCell="J18" sqref="J18"/>
    </sheetView>
  </sheetViews>
  <sheetFormatPr defaultRowHeight="12.75"/>
  <cols>
    <col min="2" max="2" width="23" customWidth="1"/>
    <col min="3" max="3" width="18.140625" customWidth="1"/>
    <col min="4" max="4" width="20.7109375" customWidth="1"/>
    <col min="5" max="5" width="26.5703125" customWidth="1"/>
    <col min="6" max="6" width="20.5703125" customWidth="1"/>
  </cols>
  <sheetData>
    <row r="1" spans="1:9" ht="15.75">
      <c r="A1" s="7" t="s">
        <v>774</v>
      </c>
      <c r="E1" s="25" t="s">
        <v>210</v>
      </c>
      <c r="F1" s="2" t="s">
        <v>2213</v>
      </c>
    </row>
    <row r="3" spans="1:9">
      <c r="A3" s="18" t="s">
        <v>2214</v>
      </c>
      <c r="B3" s="18"/>
      <c r="C3" s="18"/>
      <c r="D3" s="18"/>
      <c r="E3" s="18"/>
      <c r="F3" s="18"/>
    </row>
    <row r="4" spans="1:9">
      <c r="A4" t="s">
        <v>2215</v>
      </c>
    </row>
    <row r="5" spans="1:9" ht="12.75" customHeight="1">
      <c r="F5" s="1" t="s">
        <v>2216</v>
      </c>
    </row>
    <row r="6" spans="1:9" ht="54" customHeight="1">
      <c r="A6" s="19" t="s">
        <v>509</v>
      </c>
      <c r="B6" s="20" t="s">
        <v>2217</v>
      </c>
      <c r="C6" s="20" t="s">
        <v>2218</v>
      </c>
      <c r="D6" s="20" t="s">
        <v>2219</v>
      </c>
      <c r="E6" s="20" t="s">
        <v>2220</v>
      </c>
      <c r="F6" s="20" t="s">
        <v>2221</v>
      </c>
      <c r="G6" s="17"/>
      <c r="H6" s="17"/>
      <c r="I6" s="17"/>
    </row>
    <row r="7" spans="1:9">
      <c r="A7" s="11"/>
      <c r="B7" s="2665" t="s">
        <v>2222</v>
      </c>
      <c r="C7" s="2666"/>
      <c r="D7" s="2666"/>
      <c r="E7" s="2666"/>
      <c r="F7" s="2667"/>
    </row>
    <row r="8" spans="1:9">
      <c r="A8" s="11"/>
      <c r="B8" s="2668"/>
      <c r="C8" s="2669"/>
      <c r="D8" s="2669"/>
      <c r="E8" s="2669"/>
      <c r="F8" s="2670"/>
    </row>
    <row r="9" spans="1:9">
      <c r="A9" s="11"/>
      <c r="B9" s="2668"/>
      <c r="C9" s="2669"/>
      <c r="D9" s="2669"/>
      <c r="E9" s="2669"/>
      <c r="F9" s="2670"/>
    </row>
    <row r="10" spans="1:9">
      <c r="A10" s="11"/>
      <c r="B10" s="2668"/>
      <c r="C10" s="2669"/>
      <c r="D10" s="2669"/>
      <c r="E10" s="2669"/>
      <c r="F10" s="2670"/>
    </row>
    <row r="11" spans="1:9">
      <c r="A11" s="11"/>
      <c r="B11" s="2668"/>
      <c r="C11" s="2669"/>
      <c r="D11" s="2669"/>
      <c r="E11" s="2669"/>
      <c r="F11" s="2670"/>
    </row>
    <row r="12" spans="1:9">
      <c r="A12" s="11"/>
      <c r="B12" s="2668"/>
      <c r="C12" s="2669"/>
      <c r="D12" s="2669"/>
      <c r="E12" s="2669"/>
      <c r="F12" s="2670"/>
    </row>
    <row r="13" spans="1:9">
      <c r="A13" s="11"/>
      <c r="B13" s="2668"/>
      <c r="C13" s="2669"/>
      <c r="D13" s="2669"/>
      <c r="E13" s="2669"/>
      <c r="F13" s="2670"/>
    </row>
    <row r="14" spans="1:9">
      <c r="A14" s="11"/>
      <c r="B14" s="2671"/>
      <c r="C14" s="2672"/>
      <c r="D14" s="2672"/>
      <c r="E14" s="2672"/>
      <c r="F14" s="2673"/>
    </row>
  </sheetData>
  <mergeCells count="1">
    <mergeCell ref="B7:F14"/>
  </mergeCells>
  <phoneticPr fontId="0" type="noConversion"/>
  <printOptions horizontalCentered="1" verticalCentered="1" gridLines="1"/>
  <pageMargins left="0.74803149606299213" right="0.74803149606299213" top="0.98425196850393704" bottom="0.98425196850393704" header="0.51181102362204722" footer="0.51181102362204722"/>
  <pageSetup orientation="landscape" r:id="rId1"/>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B1:AU149"/>
  <sheetViews>
    <sheetView showGridLines="0" topLeftCell="A110" workbookViewId="0">
      <selection activeCell="G138" sqref="G138"/>
    </sheetView>
  </sheetViews>
  <sheetFormatPr defaultColWidth="9.140625" defaultRowHeight="11.25"/>
  <cols>
    <col min="1" max="1" width="9.140625" style="1092"/>
    <col min="2" max="2" width="33.42578125" style="1092" bestFit="1" customWidth="1"/>
    <col min="3" max="3" width="15.42578125" style="1092" bestFit="1" customWidth="1"/>
    <col min="4" max="4" width="14.5703125" style="1092" bestFit="1" customWidth="1"/>
    <col min="5" max="5" width="15.42578125" style="1092" bestFit="1" customWidth="1"/>
    <col min="6" max="6" width="14.5703125" style="1092" bestFit="1" customWidth="1"/>
    <col min="7" max="9" width="15.42578125" style="1092" bestFit="1" customWidth="1"/>
    <col min="10" max="10" width="14.85546875" style="1092" customWidth="1"/>
    <col min="11" max="11" width="21.140625" style="1092" customWidth="1"/>
    <col min="12" max="12" width="13.5703125" style="1092" bestFit="1" customWidth="1"/>
    <col min="13" max="13" width="15" style="1092" customWidth="1"/>
    <col min="14" max="14" width="13.28515625" style="1092" customWidth="1"/>
    <col min="15" max="15" width="15" style="1092" customWidth="1"/>
    <col min="16" max="16" width="13.28515625" style="1092" customWidth="1"/>
    <col min="17" max="17" width="15" style="1092" customWidth="1"/>
    <col min="18" max="18" width="7.7109375" style="1092" customWidth="1"/>
    <col min="19" max="23" width="12" style="1092" customWidth="1"/>
    <col min="24" max="24" width="9.7109375" style="1092" customWidth="1"/>
    <col min="25" max="25" width="10.140625" style="1092" customWidth="1"/>
    <col min="26" max="26" width="12.140625" style="1092" customWidth="1"/>
    <col min="27" max="27" width="10.140625" style="1092" customWidth="1"/>
    <col min="28" max="28" width="10.5703125" style="1092" customWidth="1"/>
    <col min="29" max="29" width="10.140625" style="1092" customWidth="1"/>
    <col min="30" max="30" width="10.7109375" style="1092" customWidth="1"/>
    <col min="31" max="31" width="10.140625" style="1092" customWidth="1"/>
    <col min="32" max="32" width="10.5703125" style="1092" customWidth="1"/>
    <col min="33" max="33" width="9.140625" style="1092"/>
    <col min="34" max="34" width="37" style="1092" bestFit="1" customWidth="1"/>
    <col min="35" max="39" width="10.42578125" style="1092" customWidth="1"/>
    <col min="40" max="47" width="12.7109375" style="1092" customWidth="1"/>
    <col min="48" max="16384" width="9.140625" style="1092"/>
  </cols>
  <sheetData>
    <row r="1" spans="2:16">
      <c r="B1" s="1092" t="s">
        <v>877</v>
      </c>
      <c r="C1" s="1093">
        <f>C14-C22</f>
        <v>0</v>
      </c>
      <c r="D1" s="1093">
        <f t="shared" ref="D1:J1" si="0">D14-D22</f>
        <v>0</v>
      </c>
      <c r="E1" s="1093">
        <f t="shared" si="0"/>
        <v>0</v>
      </c>
      <c r="F1" s="1093">
        <f t="shared" si="0"/>
        <v>0</v>
      </c>
      <c r="G1" s="1093">
        <f t="shared" si="0"/>
        <v>0</v>
      </c>
      <c r="H1" s="1093">
        <f t="shared" si="0"/>
        <v>0</v>
      </c>
      <c r="I1" s="1093">
        <f t="shared" si="0"/>
        <v>0</v>
      </c>
      <c r="J1" s="1093">
        <f t="shared" si="0"/>
        <v>0</v>
      </c>
    </row>
    <row r="3" spans="2:16">
      <c r="B3" s="1094" t="s">
        <v>2223</v>
      </c>
    </row>
    <row r="5" spans="2:16" ht="12" thickBot="1">
      <c r="B5" s="1095" t="s">
        <v>2224</v>
      </c>
      <c r="C5" s="1096" t="s">
        <v>2225</v>
      </c>
      <c r="D5" s="1096" t="s">
        <v>886</v>
      </c>
      <c r="E5" s="1096" t="s">
        <v>175</v>
      </c>
      <c r="F5" s="1096" t="s">
        <v>173</v>
      </c>
      <c r="G5" s="1096" t="s">
        <v>171</v>
      </c>
      <c r="H5" s="1096" t="s">
        <v>2226</v>
      </c>
      <c r="I5" s="1096" t="s">
        <v>2227</v>
      </c>
      <c r="J5" s="1096" t="s">
        <v>2228</v>
      </c>
    </row>
    <row r="6" spans="2:16" ht="12" thickTop="1">
      <c r="B6" s="1092" t="s">
        <v>1247</v>
      </c>
      <c r="C6" s="1097">
        <f t="shared" ref="C6:C11" si="1">C75</f>
        <v>0</v>
      </c>
      <c r="D6" s="1097">
        <f t="shared" ref="D6:D12" si="2">E75</f>
        <v>0</v>
      </c>
      <c r="E6" s="1097">
        <f t="shared" ref="E6:E12" si="3">G75</f>
        <v>0</v>
      </c>
      <c r="F6" s="1097">
        <f t="shared" ref="F6:F11" si="4">I75</f>
        <v>0</v>
      </c>
      <c r="G6" s="1097">
        <f>K75</f>
        <v>0</v>
      </c>
      <c r="H6" s="1097">
        <f>M75</f>
        <v>0</v>
      </c>
      <c r="I6" s="1097">
        <f>O75</f>
        <v>0</v>
      </c>
      <c r="J6" s="1097">
        <f>Q75</f>
        <v>0</v>
      </c>
    </row>
    <row r="7" spans="2:16">
      <c r="B7" s="1092" t="s">
        <v>1216</v>
      </c>
      <c r="C7" s="1097">
        <f t="shared" si="1"/>
        <v>559.08000000000004</v>
      </c>
      <c r="D7" s="1097">
        <f t="shared" si="2"/>
        <v>961.16000000000008</v>
      </c>
      <c r="E7" s="1097">
        <f t="shared" si="3"/>
        <v>7004.7802882000005</v>
      </c>
      <c r="F7" s="1097">
        <f t="shared" si="4"/>
        <v>12086.485867899999</v>
      </c>
      <c r="G7" s="1097">
        <f t="shared" ref="G7:G13" si="5">K76</f>
        <v>16997.6858679</v>
      </c>
      <c r="H7" s="1097">
        <f t="shared" ref="H7:H13" si="6">M76</f>
        <v>20705.285867899998</v>
      </c>
      <c r="I7" s="1097">
        <f t="shared" ref="I7:I13" si="7">O76</f>
        <v>23516.885867899997</v>
      </c>
      <c r="J7" s="1097">
        <f t="shared" ref="J7:J13" si="8">Q76</f>
        <v>26098.885867899997</v>
      </c>
    </row>
    <row r="8" spans="2:16">
      <c r="B8" s="1092" t="s">
        <v>1248</v>
      </c>
      <c r="C8" s="1097">
        <f t="shared" si="1"/>
        <v>218467.90781550005</v>
      </c>
      <c r="D8" s="1097">
        <f t="shared" si="2"/>
        <v>232552.41781550006</v>
      </c>
      <c r="E8" s="1097">
        <f t="shared" si="3"/>
        <v>283792.21606440027</v>
      </c>
      <c r="F8" s="1097">
        <f t="shared" si="4"/>
        <v>406678.48440168815</v>
      </c>
      <c r="G8" s="1097">
        <f t="shared" si="5"/>
        <v>472356.51151951111</v>
      </c>
      <c r="H8" s="1097">
        <f t="shared" si="6"/>
        <v>512231.71630993026</v>
      </c>
      <c r="I8" s="1097">
        <f t="shared" si="7"/>
        <v>551261.84086082852</v>
      </c>
      <c r="J8" s="1097">
        <f t="shared" si="8"/>
        <v>589956.1666093315</v>
      </c>
    </row>
    <row r="9" spans="2:16">
      <c r="B9" s="1092" t="s">
        <v>1249</v>
      </c>
      <c r="C9" s="1097">
        <f t="shared" si="1"/>
        <v>225.56119899999999</v>
      </c>
      <c r="D9" s="1097">
        <f t="shared" si="2"/>
        <v>306.801199</v>
      </c>
      <c r="E9" s="1097">
        <f t="shared" si="3"/>
        <v>829.228077500003</v>
      </c>
      <c r="F9" s="1097">
        <f t="shared" si="4"/>
        <v>1250.9758421000033</v>
      </c>
      <c r="G9" s="1097">
        <f t="shared" si="5"/>
        <v>1369.4758421000033</v>
      </c>
      <c r="H9" s="1097">
        <f t="shared" si="6"/>
        <v>2059.4758421000033</v>
      </c>
      <c r="I9" s="1097">
        <f t="shared" si="7"/>
        <v>2369.4758421000033</v>
      </c>
      <c r="J9" s="1097">
        <f t="shared" si="8"/>
        <v>2519.4758421000033</v>
      </c>
      <c r="L9" s="1093"/>
      <c r="M9" s="1093"/>
      <c r="N9" s="1093"/>
      <c r="O9" s="1093"/>
    </row>
    <row r="10" spans="2:16">
      <c r="B10" s="1092" t="s">
        <v>1218</v>
      </c>
      <c r="C10" s="1097">
        <f t="shared" si="1"/>
        <v>54.637999999999998</v>
      </c>
      <c r="D10" s="1097">
        <f t="shared" si="2"/>
        <v>86.608000000000004</v>
      </c>
      <c r="E10" s="1097">
        <f t="shared" si="3"/>
        <v>204.39639099999999</v>
      </c>
      <c r="F10" s="1097">
        <f t="shared" si="4"/>
        <v>331.60749099999998</v>
      </c>
      <c r="G10" s="1097">
        <f t="shared" si="5"/>
        <v>491.60749099999998</v>
      </c>
      <c r="H10" s="1097">
        <f t="shared" si="6"/>
        <v>531.60749099999998</v>
      </c>
      <c r="I10" s="1097">
        <f t="shared" si="7"/>
        <v>531.60749099999998</v>
      </c>
      <c r="J10" s="1097">
        <f t="shared" si="8"/>
        <v>531.60749099999998</v>
      </c>
    </row>
    <row r="11" spans="2:16">
      <c r="B11" s="1092" t="s">
        <v>1050</v>
      </c>
      <c r="C11" s="1097">
        <f t="shared" si="1"/>
        <v>0</v>
      </c>
      <c r="D11" s="1097">
        <f t="shared" si="2"/>
        <v>1381.13247400002</v>
      </c>
      <c r="E11" s="1097">
        <f t="shared" si="3"/>
        <v>4059.4218321999701</v>
      </c>
      <c r="F11" s="1097">
        <f t="shared" si="4"/>
        <v>13198.510183999981</v>
      </c>
      <c r="G11" s="1097">
        <f t="shared" si="5"/>
        <v>19113.81018399998</v>
      </c>
      <c r="H11" s="1097">
        <f t="shared" si="6"/>
        <v>19877.81018399998</v>
      </c>
      <c r="I11" s="1097">
        <f t="shared" si="7"/>
        <v>20912.81018399998</v>
      </c>
      <c r="J11" s="1097">
        <f t="shared" si="8"/>
        <v>22238.610183999979</v>
      </c>
    </row>
    <row r="12" spans="2:16">
      <c r="B12" s="1092" t="s">
        <v>1222</v>
      </c>
      <c r="C12" s="1097"/>
      <c r="D12" s="1097">
        <f t="shared" si="2"/>
        <v>1941.9569071999999</v>
      </c>
      <c r="E12" s="1097">
        <f t="shared" si="3"/>
        <v>5690.0462829999997</v>
      </c>
      <c r="F12" s="1097">
        <f t="shared" ref="F12" si="9">G81</f>
        <v>5690.0462829999997</v>
      </c>
      <c r="G12" s="1097">
        <f t="shared" si="5"/>
        <v>5690.0462829999997</v>
      </c>
      <c r="H12" s="1097">
        <f t="shared" si="6"/>
        <v>5690.0462829999997</v>
      </c>
      <c r="I12" s="1097">
        <f t="shared" si="7"/>
        <v>6381.0462829999997</v>
      </c>
      <c r="J12" s="1097">
        <f t="shared" si="8"/>
        <v>7226.0462829999997</v>
      </c>
    </row>
    <row r="13" spans="2:16">
      <c r="B13" s="1092" t="s">
        <v>851</v>
      </c>
      <c r="C13" s="1097">
        <f t="shared" ref="C13" si="10">C82</f>
        <v>633.3529479</v>
      </c>
      <c r="D13" s="1097">
        <f t="shared" ref="D13" si="11">E82</f>
        <v>768.78294789999995</v>
      </c>
      <c r="E13" s="1097">
        <f t="shared" ref="E13" si="12">G82</f>
        <v>1397.4358623999819</v>
      </c>
      <c r="F13" s="1097">
        <f t="shared" ref="F13" si="13">I82</f>
        <v>2511.824911899982</v>
      </c>
      <c r="G13" s="1097">
        <f t="shared" si="5"/>
        <v>2919.2249118999821</v>
      </c>
      <c r="H13" s="1097">
        <f t="shared" si="6"/>
        <v>4300.0249118999818</v>
      </c>
      <c r="I13" s="1097">
        <f t="shared" si="7"/>
        <v>4540.0249118999818</v>
      </c>
      <c r="J13" s="1097">
        <f t="shared" si="8"/>
        <v>4800.0249118999818</v>
      </c>
    </row>
    <row r="14" spans="2:16" ht="12" thickBot="1">
      <c r="B14" s="1098" t="s">
        <v>2229</v>
      </c>
      <c r="C14" s="1099">
        <f>SUM(C6:C13)</f>
        <v>219940.53996240004</v>
      </c>
      <c r="D14" s="1099">
        <f>SUM(D6:D13)</f>
        <v>237998.85934360008</v>
      </c>
      <c r="E14" s="1099">
        <f>SUM(E6:E13)</f>
        <v>302977.52479870024</v>
      </c>
      <c r="F14" s="1099">
        <f>SUM(F6:F13)</f>
        <v>441747.93498158804</v>
      </c>
      <c r="G14" s="1099">
        <f t="shared" ref="G14:J14" si="14">SUM(G6:G13)</f>
        <v>518938.36209941108</v>
      </c>
      <c r="H14" s="1099">
        <f t="shared" si="14"/>
        <v>565395.96688983007</v>
      </c>
      <c r="I14" s="1099">
        <f t="shared" si="14"/>
        <v>609513.69144072838</v>
      </c>
      <c r="J14" s="1099">
        <f t="shared" si="14"/>
        <v>653370.8171892314</v>
      </c>
    </row>
    <row r="15" spans="2:16" ht="12" thickTop="1">
      <c r="B15" s="1100"/>
      <c r="C15" s="1101"/>
      <c r="D15" s="1101"/>
      <c r="E15" s="1101"/>
      <c r="F15" s="1101"/>
      <c r="G15" s="1101"/>
      <c r="H15" s="1101"/>
      <c r="I15" s="1101"/>
      <c r="J15" s="1101"/>
    </row>
    <row r="16" spans="2:16" ht="12" thickBot="1">
      <c r="B16" s="1095" t="s">
        <v>2230</v>
      </c>
      <c r="C16" s="1096" t="s">
        <v>2225</v>
      </c>
      <c r="D16" s="1096" t="s">
        <v>886</v>
      </c>
      <c r="E16" s="1096" t="s">
        <v>175</v>
      </c>
      <c r="F16" s="1096" t="s">
        <v>173</v>
      </c>
      <c r="G16" s="1096" t="s">
        <v>171</v>
      </c>
      <c r="H16" s="1096" t="s">
        <v>2226</v>
      </c>
      <c r="I16" s="1096" t="s">
        <v>2227</v>
      </c>
      <c r="J16" s="1096" t="s">
        <v>2228</v>
      </c>
      <c r="K16" s="1102" t="s">
        <v>2231</v>
      </c>
      <c r="L16" s="1102" t="s">
        <v>2232</v>
      </c>
      <c r="M16" s="1103" t="s">
        <v>2233</v>
      </c>
      <c r="N16" s="1104" t="s">
        <v>2234</v>
      </c>
      <c r="O16" s="1092" t="s">
        <v>2235</v>
      </c>
      <c r="P16" s="1092" t="s">
        <v>2236</v>
      </c>
    </row>
    <row r="17" spans="2:16" ht="12" thickTop="1">
      <c r="B17" s="1100" t="s">
        <v>1381</v>
      </c>
      <c r="C17" s="1101">
        <f>C131</f>
        <v>54723.60917146963</v>
      </c>
      <c r="D17" s="1101">
        <f>C17</f>
        <v>54723.60917146963</v>
      </c>
      <c r="E17" s="1101">
        <f t="shared" ref="E17:F17" si="15">D17</f>
        <v>54723.60917146963</v>
      </c>
      <c r="F17" s="1101">
        <f t="shared" si="15"/>
        <v>54723.60917146963</v>
      </c>
      <c r="G17" s="1101">
        <f>F17</f>
        <v>54723.60917146963</v>
      </c>
      <c r="H17" s="1101">
        <f t="shared" ref="H17:J19" si="16">G17</f>
        <v>54723.60917146963</v>
      </c>
      <c r="I17" s="1101">
        <f t="shared" si="16"/>
        <v>54723.60917146963</v>
      </c>
      <c r="J17" s="1101">
        <f t="shared" si="16"/>
        <v>54723.60917146963</v>
      </c>
      <c r="K17" s="1105"/>
    </row>
    <row r="18" spans="2:16">
      <c r="B18" s="1100" t="s">
        <v>874</v>
      </c>
      <c r="C18" s="1105">
        <v>0</v>
      </c>
      <c r="D18" s="1101">
        <f>E131-$C$131</f>
        <v>6640.2793812000236</v>
      </c>
      <c r="E18" s="1101">
        <f>G131-$C$131</f>
        <v>47514.479187600147</v>
      </c>
      <c r="F18" s="1755">
        <f>I131-$C$131</f>
        <v>107073.92378177471</v>
      </c>
      <c r="G18" s="1755">
        <f>K131-$C$131</f>
        <v>136854.9893515443</v>
      </c>
      <c r="H18" s="1755">
        <f>M131-$C$131</f>
        <v>164612.59414196349</v>
      </c>
      <c r="I18" s="1755">
        <f>O131-$C$131</f>
        <v>190030.31869286171</v>
      </c>
      <c r="J18" s="1755">
        <f>Q131-$C$131</f>
        <v>215187.44444136467</v>
      </c>
      <c r="K18" s="1105">
        <v>18493.727173584855</v>
      </c>
      <c r="L18" s="1093">
        <f>F18+K18</f>
        <v>125567.65095535957</v>
      </c>
      <c r="M18" s="1105">
        <f>(258.78+326.54)*100/0.853</f>
        <v>68618.991793669396</v>
      </c>
      <c r="N18" s="1092">
        <f>59900/0.853</f>
        <v>70222.743259085575</v>
      </c>
      <c r="O18" s="1106">
        <f>M18+N18</f>
        <v>138841.73505275499</v>
      </c>
      <c r="P18" s="1107">
        <f>O18-L18</f>
        <v>13274.084097395418</v>
      </c>
    </row>
    <row r="19" spans="2:16">
      <c r="B19" s="1100" t="s">
        <v>885</v>
      </c>
      <c r="C19" s="1101">
        <f>C119</f>
        <v>0</v>
      </c>
      <c r="D19" s="1101">
        <f>E119</f>
        <v>275.74</v>
      </c>
      <c r="E19" s="1101">
        <f>G119</f>
        <v>4095.6478238</v>
      </c>
      <c r="F19" s="1755">
        <f>I119</f>
        <v>17423.999270100001</v>
      </c>
      <c r="G19" s="1755">
        <f>K119</f>
        <v>26834.4362301</v>
      </c>
      <c r="H19" s="1755">
        <f t="shared" si="16"/>
        <v>26834.4362301</v>
      </c>
      <c r="I19" s="1755">
        <f t="shared" si="16"/>
        <v>26834.4362301</v>
      </c>
      <c r="J19" s="1755">
        <f t="shared" si="16"/>
        <v>26834.4362301</v>
      </c>
      <c r="K19" s="1105">
        <v>3999.26</v>
      </c>
    </row>
    <row r="20" spans="2:16">
      <c r="B20" s="1100" t="s">
        <v>1379</v>
      </c>
      <c r="C20" s="1101">
        <f>C95</f>
        <v>139271.0265634</v>
      </c>
      <c r="D20" s="1101">
        <f>E95</f>
        <v>149437.1265634</v>
      </c>
      <c r="E20" s="1101">
        <f>G95</f>
        <v>167750.46203960001</v>
      </c>
      <c r="F20" s="1101">
        <f>I95</f>
        <v>197704.59860137335</v>
      </c>
      <c r="G20" s="1101">
        <f>K95</f>
        <v>220933.81557786668</v>
      </c>
      <c r="H20" s="1101">
        <f>M95</f>
        <v>239633.81557786668</v>
      </c>
      <c r="I20" s="1101">
        <f>O95</f>
        <v>258333.81557786668</v>
      </c>
      <c r="J20" s="1101">
        <f>Q95</f>
        <v>277033.81557786668</v>
      </c>
      <c r="K20" s="1105">
        <v>1779.3387000000002</v>
      </c>
    </row>
    <row r="21" spans="2:16">
      <c r="B21" s="1100" t="s">
        <v>883</v>
      </c>
      <c r="C21" s="1101">
        <f>C107</f>
        <v>25945.904227530398</v>
      </c>
      <c r="D21" s="1101">
        <f>E107</f>
        <v>26922.104227530399</v>
      </c>
      <c r="E21" s="1101">
        <f>G107</f>
        <v>28893.3265762304</v>
      </c>
      <c r="F21" s="1101">
        <f>I107</f>
        <v>64821.804156870392</v>
      </c>
      <c r="G21" s="1101">
        <f>K107</f>
        <v>79591.511768430384</v>
      </c>
      <c r="H21" s="1101">
        <f>M107</f>
        <v>79591.511768430384</v>
      </c>
      <c r="I21" s="1101">
        <f>O107</f>
        <v>79591.511768430384</v>
      </c>
      <c r="J21" s="1101">
        <f>Q107</f>
        <v>79591.511768430384</v>
      </c>
      <c r="K21" s="1105">
        <v>6781.6299999999992</v>
      </c>
    </row>
    <row r="22" spans="2:16" ht="12" thickBot="1">
      <c r="B22" s="1098" t="s">
        <v>2229</v>
      </c>
      <c r="C22" s="1099">
        <f>SUM(C17:C21)</f>
        <v>219940.53996240004</v>
      </c>
      <c r="D22" s="1099">
        <f t="shared" ref="D22:J22" si="17">SUM(D17:D21)</f>
        <v>237998.85934360005</v>
      </c>
      <c r="E22" s="1099">
        <f t="shared" si="17"/>
        <v>302977.52479870018</v>
      </c>
      <c r="F22" s="1099">
        <f t="shared" si="17"/>
        <v>441747.9349815881</v>
      </c>
      <c r="G22" s="1099">
        <f t="shared" si="17"/>
        <v>518938.36209941097</v>
      </c>
      <c r="H22" s="1099">
        <f t="shared" si="17"/>
        <v>565395.96688983019</v>
      </c>
      <c r="I22" s="1099">
        <f t="shared" si="17"/>
        <v>609513.69144072838</v>
      </c>
      <c r="J22" s="1099">
        <f t="shared" si="17"/>
        <v>653370.8171892314</v>
      </c>
      <c r="K22" s="1107">
        <f>SUM(K17:K21)</f>
        <v>31053.955873584855</v>
      </c>
      <c r="L22" s="1107">
        <f>SUM(L17:L21)</f>
        <v>125567.65095535957</v>
      </c>
    </row>
    <row r="23" spans="2:16" ht="12" thickTop="1">
      <c r="B23" s="1100"/>
      <c r="C23" s="1101"/>
      <c r="D23" s="1101"/>
      <c r="E23" s="1101"/>
      <c r="F23" s="1101"/>
      <c r="G23" s="1101"/>
      <c r="H23" s="1101"/>
      <c r="I23" s="1101"/>
      <c r="J23" s="1101"/>
    </row>
    <row r="24" spans="2:16" ht="12" thickBot="1">
      <c r="B24" s="1108" t="s">
        <v>2237</v>
      </c>
      <c r="C24" s="1109" t="s">
        <v>2225</v>
      </c>
      <c r="D24" s="1109" t="s">
        <v>886</v>
      </c>
      <c r="E24" s="1109" t="s">
        <v>175</v>
      </c>
      <c r="F24" s="1109" t="s">
        <v>173</v>
      </c>
      <c r="G24" s="1109" t="s">
        <v>171</v>
      </c>
      <c r="H24" s="1109" t="s">
        <v>2226</v>
      </c>
      <c r="I24" s="1109" t="s">
        <v>2227</v>
      </c>
      <c r="J24" s="1109" t="s">
        <v>2228</v>
      </c>
      <c r="K24" s="1093"/>
    </row>
    <row r="25" spans="2:16" ht="12" thickTop="1">
      <c r="B25" s="1092" t="s">
        <v>1247</v>
      </c>
      <c r="C25" s="1097">
        <f>C37+C49+C61</f>
        <v>0</v>
      </c>
      <c r="D25" s="1097">
        <f>T75+AI75</f>
        <v>0</v>
      </c>
      <c r="E25" s="1097">
        <f t="shared" ref="E25" si="18">(U75+V75+AK75)</f>
        <v>0</v>
      </c>
      <c r="F25" s="1097">
        <f t="shared" ref="F25" si="19">(W75+X75+AM75)</f>
        <v>0</v>
      </c>
      <c r="G25" s="1097">
        <f>(Y75+Z75+AO75)</f>
        <v>0</v>
      </c>
      <c r="H25" s="1097">
        <f>(AA75+AB75+AQ75)</f>
        <v>0</v>
      </c>
      <c r="I25" s="1097">
        <f>(AC75+AD75+AS75)</f>
        <v>0</v>
      </c>
      <c r="J25" s="1097">
        <f>(AE75+AF75+AU75)</f>
        <v>0</v>
      </c>
      <c r="L25" s="1093"/>
    </row>
    <row r="26" spans="2:16">
      <c r="B26" s="1092" t="s">
        <v>1216</v>
      </c>
      <c r="C26" s="1097">
        <f t="shared" ref="C26:C32" si="20">C38+C50+C62</f>
        <v>211.88541000000001</v>
      </c>
      <c r="D26" s="1097">
        <f>T76+AI76</f>
        <v>12.94036</v>
      </c>
      <c r="E26" s="1097">
        <f t="shared" ref="E26" si="21">(U76+V76+AK76)</f>
        <v>111.1580647</v>
      </c>
      <c r="F26" s="1097">
        <f t="shared" ref="F26" si="22">(W76+X76+AM76)</f>
        <v>310.21431280687</v>
      </c>
      <c r="G26" s="1097">
        <f t="shared" ref="G26:G32" si="23">(Y76+Z76+AO76)</f>
        <v>477.09583598785997</v>
      </c>
      <c r="H26" s="1097">
        <f t="shared" ref="H26:H32" si="24">(AA76+AB76+AQ76)</f>
        <v>621.02979598785998</v>
      </c>
      <c r="I26" s="1097">
        <f t="shared" ref="I26:I32" si="25">(AC76+AD76+AS76)</f>
        <v>729.90043598785985</v>
      </c>
      <c r="J26" s="1097">
        <f t="shared" ref="J26:J32" si="26">(AE76+AF76+AU76)</f>
        <v>819.97355598785987</v>
      </c>
      <c r="M26" s="1093"/>
      <c r="N26" s="1093"/>
    </row>
    <row r="27" spans="2:16">
      <c r="B27" s="1092" t="s">
        <v>1248</v>
      </c>
      <c r="C27" s="1097">
        <f t="shared" si="20"/>
        <v>71657.712270199801</v>
      </c>
      <c r="D27" s="1097">
        <f t="shared" ref="D27:D32" si="27">T77+AI77</f>
        <v>8638.0393981999987</v>
      </c>
      <c r="E27" s="1097">
        <f t="shared" ref="E27:E32" si="28">(U77+V77+AK77)</f>
        <v>9336.2962864017791</v>
      </c>
      <c r="F27" s="1097">
        <f t="shared" ref="F27:F32" si="29">(W77+X77+AM77)</f>
        <v>15233.409686568353</v>
      </c>
      <c r="G27" s="1097">
        <f t="shared" si="23"/>
        <v>21696.15280991601</v>
      </c>
      <c r="H27" s="1097">
        <f t="shared" si="24"/>
        <v>25055.062487951025</v>
      </c>
      <c r="I27" s="1097">
        <f t="shared" si="25"/>
        <v>27011.571928070785</v>
      </c>
      <c r="J27" s="1097">
        <f t="shared" si="26"/>
        <v>28940.507842561801</v>
      </c>
      <c r="L27" s="1093"/>
      <c r="M27" s="1093"/>
      <c r="N27" s="1093"/>
    </row>
    <row r="28" spans="2:16">
      <c r="B28" s="1092" t="s">
        <v>1249</v>
      </c>
      <c r="C28" s="1097">
        <f t="shared" si="20"/>
        <v>197.24780089115447</v>
      </c>
      <c r="D28" s="1097">
        <f t="shared" si="27"/>
        <v>35.41078522165499</v>
      </c>
      <c r="E28" s="1097">
        <f t="shared" si="28"/>
        <v>120.90010600000001</v>
      </c>
      <c r="F28" s="1097">
        <f t="shared" si="29"/>
        <v>61.823464713140197</v>
      </c>
      <c r="G28" s="1097">
        <f t="shared" si="23"/>
        <v>78.922306462730191</v>
      </c>
      <c r="H28" s="1097">
        <f t="shared" si="24"/>
        <v>104.5113314627302</v>
      </c>
      <c r="I28" s="1097">
        <f t="shared" si="25"/>
        <v>136.1613314627302</v>
      </c>
      <c r="J28" s="1097">
        <f t="shared" si="26"/>
        <v>150.7203314627302</v>
      </c>
      <c r="K28" s="1093"/>
      <c r="M28" s="1093"/>
      <c r="N28" s="1093"/>
    </row>
    <row r="29" spans="2:16">
      <c r="B29" s="1092" t="s">
        <v>1218</v>
      </c>
      <c r="C29" s="1097">
        <f t="shared" si="20"/>
        <v>39.478119999999997</v>
      </c>
      <c r="D29" s="1097">
        <f t="shared" si="27"/>
        <v>5.8016000000000005</v>
      </c>
      <c r="E29" s="1097">
        <f t="shared" si="28"/>
        <v>8.5992062999999987</v>
      </c>
      <c r="F29" s="1097">
        <f t="shared" si="29"/>
        <v>27.296021194999998</v>
      </c>
      <c r="G29" s="1097">
        <f t="shared" si="23"/>
        <v>40.938548445000002</v>
      </c>
      <c r="H29" s="1097">
        <f t="shared" si="24"/>
        <v>50.438548445000002</v>
      </c>
      <c r="I29" s="1097">
        <f t="shared" si="25"/>
        <v>52.338548445000001</v>
      </c>
      <c r="J29" s="1097">
        <f t="shared" si="26"/>
        <v>52.338548445000001</v>
      </c>
      <c r="M29" s="1093"/>
      <c r="N29" s="1093"/>
    </row>
    <row r="30" spans="2:16">
      <c r="B30" s="1092" t="s">
        <v>1050</v>
      </c>
      <c r="C30" s="1097">
        <f t="shared" si="20"/>
        <v>371.66843034254993</v>
      </c>
      <c r="D30" s="1097">
        <f t="shared" si="27"/>
        <v>112.42886558230026</v>
      </c>
      <c r="E30" s="1097">
        <f t="shared" si="28"/>
        <v>386.06456309998703</v>
      </c>
      <c r="F30" s="1097">
        <f t="shared" si="29"/>
        <v>1294.3449012149963</v>
      </c>
      <c r="G30" s="1097">
        <f t="shared" si="23"/>
        <v>2423.4240275999969</v>
      </c>
      <c r="H30" s="1097">
        <f t="shared" si="24"/>
        <v>2924.3715275999971</v>
      </c>
      <c r="I30" s="1097">
        <f t="shared" si="25"/>
        <v>3059.2965275999968</v>
      </c>
      <c r="J30" s="1097">
        <f t="shared" si="26"/>
        <v>3236.3565275999968</v>
      </c>
      <c r="M30" s="1093"/>
      <c r="N30" s="1093"/>
    </row>
    <row r="31" spans="2:16">
      <c r="B31" s="1092" t="s">
        <v>1222</v>
      </c>
      <c r="C31" s="1097">
        <f t="shared" si="20"/>
        <v>0</v>
      </c>
      <c r="D31" s="1097">
        <f t="shared" si="27"/>
        <v>116.4168592</v>
      </c>
      <c r="E31" s="1097">
        <f t="shared" si="28"/>
        <v>502.19948479999994</v>
      </c>
      <c r="F31" s="1097">
        <f t="shared" si="29"/>
        <v>1707.0138848999998</v>
      </c>
      <c r="G31" s="1097">
        <f t="shared" si="23"/>
        <v>1707.0138848999998</v>
      </c>
      <c r="H31" s="1097">
        <f t="shared" si="24"/>
        <v>1707.0138848999998</v>
      </c>
      <c r="I31" s="1097">
        <f t="shared" si="25"/>
        <v>1810.6638848999999</v>
      </c>
      <c r="J31" s="1097">
        <f t="shared" si="26"/>
        <v>2041.0638848999997</v>
      </c>
      <c r="M31" s="1093"/>
      <c r="N31" s="1093"/>
    </row>
    <row r="32" spans="2:16">
      <c r="B32" s="1092" t="s">
        <v>851</v>
      </c>
      <c r="C32" s="1097">
        <f t="shared" si="20"/>
        <v>120.32037083954714</v>
      </c>
      <c r="D32" s="1097">
        <f t="shared" si="27"/>
        <v>12.872354999999995</v>
      </c>
      <c r="E32" s="1097">
        <f t="shared" si="28"/>
        <v>47.0373853999996</v>
      </c>
      <c r="F32" s="1097">
        <f t="shared" si="29"/>
        <v>102.83862721552386</v>
      </c>
      <c r="G32" s="1097">
        <f t="shared" si="23"/>
        <v>151.00325063219884</v>
      </c>
      <c r="H32" s="1097">
        <f t="shared" si="24"/>
        <v>207.59978063219884</v>
      </c>
      <c r="I32" s="1097">
        <f t="shared" si="25"/>
        <v>258.8981006321988</v>
      </c>
      <c r="J32" s="1097">
        <f t="shared" si="26"/>
        <v>274.72310063219879</v>
      </c>
      <c r="M32" s="1093"/>
      <c r="N32" s="1093"/>
    </row>
    <row r="33" spans="2:11" ht="12" thickBot="1">
      <c r="B33" s="1098" t="s">
        <v>2229</v>
      </c>
      <c r="C33" s="1099">
        <f>SUM(C25:C32)</f>
        <v>72598.312402273048</v>
      </c>
      <c r="D33" s="1099">
        <f>SUM(D25:D32)</f>
        <v>8933.910223203955</v>
      </c>
      <c r="E33" s="1099">
        <f t="shared" ref="E33:J33" si="30">SUM(E25:E32)</f>
        <v>10512.255096701763</v>
      </c>
      <c r="F33" s="1099">
        <f t="shared" si="30"/>
        <v>18736.940898613881</v>
      </c>
      <c r="G33" s="1099">
        <f t="shared" si="30"/>
        <v>26574.550663943795</v>
      </c>
      <c r="H33" s="1099">
        <f t="shared" si="30"/>
        <v>30670.027356978808</v>
      </c>
      <c r="I33" s="1099">
        <f t="shared" si="30"/>
        <v>33058.830757098571</v>
      </c>
      <c r="J33" s="1099">
        <f t="shared" si="30"/>
        <v>35515.683791589589</v>
      </c>
    </row>
    <row r="34" spans="2:11" ht="12" thickTop="1">
      <c r="E34" s="1093"/>
      <c r="F34" s="1093"/>
    </row>
    <row r="35" spans="2:11">
      <c r="B35" s="1111" t="s">
        <v>2238</v>
      </c>
      <c r="G35" s="1093"/>
    </row>
    <row r="36" spans="2:11" ht="23.25" thickBot="1">
      <c r="B36" s="1098" t="s">
        <v>2239</v>
      </c>
      <c r="C36" s="1110" t="s">
        <v>2225</v>
      </c>
      <c r="D36" s="1110" t="s">
        <v>886</v>
      </c>
      <c r="E36" s="1110" t="s">
        <v>175</v>
      </c>
      <c r="F36" s="1110" t="s">
        <v>173</v>
      </c>
      <c r="G36" s="1110" t="s">
        <v>171</v>
      </c>
      <c r="H36" s="1110" t="s">
        <v>2226</v>
      </c>
      <c r="I36" s="1110" t="s">
        <v>2227</v>
      </c>
      <c r="J36" s="1110" t="s">
        <v>2228</v>
      </c>
    </row>
    <row r="37" spans="2:11" ht="12" thickTop="1">
      <c r="B37" s="1092" t="s">
        <v>1247</v>
      </c>
      <c r="C37" s="1097"/>
      <c r="D37" s="1097">
        <f>T123+AI123</f>
        <v>0</v>
      </c>
      <c r="E37" s="1097">
        <f>U123+V123+AK123</f>
        <v>0</v>
      </c>
      <c r="F37" s="1097">
        <f>W123+X123+AM123</f>
        <v>0</v>
      </c>
      <c r="G37" s="1097">
        <f>Y123+Z123+AO123</f>
        <v>0</v>
      </c>
      <c r="H37" s="1097">
        <f>AA123+AB123+AQ123</f>
        <v>0</v>
      </c>
      <c r="I37" s="1097">
        <f>AC123+AD123+AS123</f>
        <v>0</v>
      </c>
      <c r="J37" s="1097">
        <f>AE123+AF123+AU123</f>
        <v>0</v>
      </c>
      <c r="K37" s="1093"/>
    </row>
    <row r="38" spans="2:11">
      <c r="B38" s="1092" t="s">
        <v>1216</v>
      </c>
      <c r="C38" s="1097">
        <v>211.88541000000001</v>
      </c>
      <c r="D38" s="1097">
        <f t="shared" ref="D38:D44" si="31">T124+AI124</f>
        <v>12.94036</v>
      </c>
      <c r="E38" s="1097">
        <f t="shared" ref="E38:E44" si="32">U124+V124+AK124</f>
        <v>111.1580647</v>
      </c>
      <c r="F38" s="1097">
        <f t="shared" ref="F38:F44" si="33">W124+X124+AM124</f>
        <v>310.21431280687</v>
      </c>
      <c r="G38" s="1097">
        <f t="shared" ref="G38:G44" si="34">Y124+Z124+AO124</f>
        <v>477.09583598785997</v>
      </c>
      <c r="H38" s="1097">
        <f t="shared" ref="H38:H44" si="35">AA124+AB124+AQ124</f>
        <v>621.02979598785998</v>
      </c>
      <c r="I38" s="1097">
        <f t="shared" ref="I38:I44" si="36">AC124+AD124+AS124</f>
        <v>729.90043598785985</v>
      </c>
      <c r="J38" s="1097">
        <f t="shared" ref="J38:J44" si="37">AE124+AF124+AU124</f>
        <v>819.97355598785987</v>
      </c>
      <c r="K38" s="1093"/>
    </row>
    <row r="39" spans="2:11">
      <c r="B39" s="1092" t="s">
        <v>1248</v>
      </c>
      <c r="C39" s="1097">
        <f>37864.2104943046-C63</f>
        <v>36825.583340804602</v>
      </c>
      <c r="D39" s="1097">
        <f t="shared" si="31"/>
        <v>1938.6713172907994</v>
      </c>
      <c r="E39" s="1097">
        <f t="shared" si="32"/>
        <v>1474.09919330001</v>
      </c>
      <c r="F39" s="1097">
        <f t="shared" si="33"/>
        <v>3404.5625006085647</v>
      </c>
      <c r="G39" s="1097">
        <f t="shared" si="34"/>
        <v>4850.9541608419004</v>
      </c>
      <c r="H39" s="1097">
        <f t="shared" si="35"/>
        <v>5771.9685337523078</v>
      </c>
      <c r="I39" s="1097">
        <f t="shared" si="36"/>
        <v>6741.1179738720684</v>
      </c>
      <c r="J39" s="1097">
        <f t="shared" si="37"/>
        <v>7682.6938883630883</v>
      </c>
      <c r="K39" s="1093"/>
    </row>
    <row r="40" spans="2:11">
      <c r="B40" s="1092" t="s">
        <v>1249</v>
      </c>
      <c r="C40" s="1097">
        <v>197.24780089115447</v>
      </c>
      <c r="D40" s="1097">
        <f t="shared" si="31"/>
        <v>35.41078522165499</v>
      </c>
      <c r="E40" s="1097">
        <f t="shared" si="32"/>
        <v>120.90010600000001</v>
      </c>
      <c r="F40" s="1097">
        <f t="shared" si="33"/>
        <v>61.823464713140197</v>
      </c>
      <c r="G40" s="1097">
        <f t="shared" si="34"/>
        <v>78.922306462730191</v>
      </c>
      <c r="H40" s="1097">
        <f t="shared" si="35"/>
        <v>104.5113314627302</v>
      </c>
      <c r="I40" s="1097">
        <f t="shared" si="36"/>
        <v>136.1613314627302</v>
      </c>
      <c r="J40" s="1097">
        <f t="shared" si="37"/>
        <v>150.7203314627302</v>
      </c>
      <c r="K40" s="1093"/>
    </row>
    <row r="41" spans="2:11">
      <c r="B41" s="1092" t="s">
        <v>1218</v>
      </c>
      <c r="C41" s="1097">
        <v>39.478119999999997</v>
      </c>
      <c r="D41" s="1097">
        <f t="shared" si="31"/>
        <v>5.8016000000000005</v>
      </c>
      <c r="E41" s="1097">
        <f t="shared" si="32"/>
        <v>8.5992062999999987</v>
      </c>
      <c r="F41" s="1097">
        <f t="shared" si="33"/>
        <v>27.296021194999998</v>
      </c>
      <c r="G41" s="1097">
        <f t="shared" si="34"/>
        <v>40.938548445000002</v>
      </c>
      <c r="H41" s="1097">
        <f t="shared" si="35"/>
        <v>50.438548445000002</v>
      </c>
      <c r="I41" s="1097">
        <f t="shared" si="36"/>
        <v>52.338548445000001</v>
      </c>
      <c r="J41" s="1097">
        <f t="shared" si="37"/>
        <v>52.338548445000001</v>
      </c>
      <c r="K41" s="1093"/>
    </row>
    <row r="42" spans="2:11">
      <c r="B42" s="1092" t="s">
        <v>1050</v>
      </c>
      <c r="C42" s="1097">
        <v>371.66843034254993</v>
      </c>
      <c r="D42" s="1097">
        <f t="shared" si="31"/>
        <v>112.42886558230026</v>
      </c>
      <c r="E42" s="1097">
        <f t="shared" si="32"/>
        <v>386.06456309998703</v>
      </c>
      <c r="F42" s="1097">
        <f t="shared" si="33"/>
        <v>1294.3449012149963</v>
      </c>
      <c r="G42" s="1097">
        <f t="shared" si="34"/>
        <v>2423.4240275999969</v>
      </c>
      <c r="H42" s="1097">
        <f t="shared" si="35"/>
        <v>2924.3715275999971</v>
      </c>
      <c r="I42" s="1097">
        <f t="shared" si="36"/>
        <v>3059.2965275999968</v>
      </c>
      <c r="J42" s="1097">
        <f t="shared" si="37"/>
        <v>3236.3565275999968</v>
      </c>
      <c r="K42" s="1093"/>
    </row>
    <row r="43" spans="2:11">
      <c r="B43" s="1092" t="s">
        <v>1222</v>
      </c>
      <c r="C43" s="1097">
        <v>0</v>
      </c>
      <c r="D43" s="1097">
        <f t="shared" si="31"/>
        <v>116.4168592</v>
      </c>
      <c r="E43" s="1097">
        <f t="shared" si="32"/>
        <v>502.19948479999994</v>
      </c>
      <c r="F43" s="1097">
        <f t="shared" si="33"/>
        <v>1707.0138848999998</v>
      </c>
      <c r="G43" s="1097">
        <f t="shared" si="34"/>
        <v>1707.0138848999998</v>
      </c>
      <c r="H43" s="1097">
        <f t="shared" si="35"/>
        <v>1707.0138848999998</v>
      </c>
      <c r="I43" s="1097">
        <f t="shared" si="36"/>
        <v>1810.6638848999999</v>
      </c>
      <c r="J43" s="1097">
        <f t="shared" si="37"/>
        <v>2041.0638848999997</v>
      </c>
      <c r="K43" s="1093"/>
    </row>
    <row r="44" spans="2:11">
      <c r="B44" s="1092" t="s">
        <v>851</v>
      </c>
      <c r="C44" s="1097">
        <v>120.32037083954714</v>
      </c>
      <c r="D44" s="1097">
        <f t="shared" si="31"/>
        <v>12.872354999999995</v>
      </c>
      <c r="E44" s="1097">
        <f t="shared" si="32"/>
        <v>47.0373853999996</v>
      </c>
      <c r="F44" s="1097">
        <f t="shared" si="33"/>
        <v>102.83862721552386</v>
      </c>
      <c r="G44" s="1097">
        <f t="shared" si="34"/>
        <v>151.00325063219884</v>
      </c>
      <c r="H44" s="1097">
        <f t="shared" si="35"/>
        <v>207.59978063219884</v>
      </c>
      <c r="I44" s="1097">
        <f t="shared" si="36"/>
        <v>258.8981006321988</v>
      </c>
      <c r="J44" s="1097">
        <f t="shared" si="37"/>
        <v>274.72310063219879</v>
      </c>
      <c r="K44" s="1093"/>
    </row>
    <row r="45" spans="2:11" ht="12" thickBot="1">
      <c r="B45" s="1098" t="s">
        <v>2229</v>
      </c>
      <c r="C45" s="1099">
        <f t="shared" ref="C45:E45" si="38">SUM(C37:C44)</f>
        <v>37766.183472877856</v>
      </c>
      <c r="D45" s="1099">
        <f t="shared" si="38"/>
        <v>2234.5421422947547</v>
      </c>
      <c r="E45" s="1099">
        <f t="shared" si="38"/>
        <v>2650.0580035999965</v>
      </c>
      <c r="F45" s="1099">
        <f t="shared" ref="F45:J45" si="39">SUM(F37:F44)</f>
        <v>6908.0937126540948</v>
      </c>
      <c r="G45" s="1099">
        <f t="shared" si="39"/>
        <v>9729.3520148696862</v>
      </c>
      <c r="H45" s="1099">
        <f t="shared" si="39"/>
        <v>11386.933402780094</v>
      </c>
      <c r="I45" s="1099">
        <f t="shared" si="39"/>
        <v>12788.376802899855</v>
      </c>
      <c r="J45" s="1099">
        <f t="shared" si="39"/>
        <v>14257.869837390872</v>
      </c>
    </row>
    <row r="46" spans="2:11" ht="12" thickTop="1"/>
    <row r="48" spans="2:11" ht="23.25" thickBot="1">
      <c r="B48" s="1098" t="s">
        <v>2240</v>
      </c>
      <c r="C48" s="1110" t="s">
        <v>2225</v>
      </c>
      <c r="D48" s="1110" t="s">
        <v>886</v>
      </c>
      <c r="E48" s="1110" t="s">
        <v>175</v>
      </c>
      <c r="F48" s="1110" t="s">
        <v>173</v>
      </c>
      <c r="G48" s="1110" t="s">
        <v>171</v>
      </c>
      <c r="H48" s="1110" t="s">
        <v>2226</v>
      </c>
      <c r="I48" s="1110" t="s">
        <v>2227</v>
      </c>
      <c r="J48" s="1110" t="s">
        <v>2228</v>
      </c>
    </row>
    <row r="49" spans="2:14" ht="12" thickTop="1">
      <c r="B49" s="1092" t="s">
        <v>1247</v>
      </c>
      <c r="C49" s="1097"/>
      <c r="D49" s="1097">
        <f>T87+T99+AI87+AI99</f>
        <v>0</v>
      </c>
      <c r="E49" s="1097">
        <f>(U99+V99+AK99+U87+V87+AK87)</f>
        <v>0</v>
      </c>
      <c r="F49" s="1097">
        <f>(W99+X99+AM99+W87+X87+AM87)</f>
        <v>0</v>
      </c>
      <c r="G49" s="1097">
        <f>(Y99+Z99+AO99+Y87+Z87+AO87)</f>
        <v>0</v>
      </c>
      <c r="H49" s="1097">
        <f>(AA99+AB99+AQ99+AA87+AB87+AQ87)</f>
        <v>0</v>
      </c>
      <c r="I49" s="1097">
        <f>(AC99+AD99+AS99+AC87+AD87+AS87)</f>
        <v>0</v>
      </c>
      <c r="J49" s="1097">
        <f>(AE99+AF99+AU99+AE87+AF87+AU87)</f>
        <v>0</v>
      </c>
    </row>
    <row r="50" spans="2:14">
      <c r="B50" s="1092" t="s">
        <v>1216</v>
      </c>
      <c r="C50" s="1097"/>
      <c r="D50" s="1097">
        <f t="shared" ref="D50:D56" si="40">T88+T100+AI88+AI100</f>
        <v>0</v>
      </c>
      <c r="E50" s="1097">
        <f t="shared" ref="E50:E56" si="41">(U100+V100+AK100+U88+V88+AK88)</f>
        <v>0</v>
      </c>
      <c r="F50" s="1097">
        <f t="shared" ref="F50:F56" si="42">(W100+X100+AM100+W88+X88+AM88)</f>
        <v>0</v>
      </c>
      <c r="G50" s="1097">
        <f t="shared" ref="G50:G56" si="43">(Y100+Z100+AO100+Y88+Z88+AO88)</f>
        <v>0</v>
      </c>
      <c r="H50" s="1097">
        <f t="shared" ref="H50:H56" si="44">(AA100+AB100+AQ100+AA88+AB88+AQ88)</f>
        <v>0</v>
      </c>
      <c r="I50" s="1097">
        <f t="shared" ref="I50:I56" si="45">(AC100+AD100+AS100+AC88+AD88+AS88)</f>
        <v>0</v>
      </c>
      <c r="J50" s="1097">
        <f t="shared" ref="J50:J56" si="46">(AE100+AF100+AU100+AE88+AF88+AU88)</f>
        <v>0</v>
      </c>
    </row>
    <row r="51" spans="2:14">
      <c r="B51" s="1092" t="s">
        <v>1248</v>
      </c>
      <c r="C51" s="1097">
        <f>3379350177.58952/10^5</f>
        <v>33793.501775895202</v>
      </c>
      <c r="D51" s="1097">
        <f t="shared" si="40"/>
        <v>6572.3700700091995</v>
      </c>
      <c r="E51" s="1097">
        <f t="shared" si="41"/>
        <v>7442.0087033017699</v>
      </c>
      <c r="F51" s="1097">
        <f t="shared" si="42"/>
        <v>9676.8824765697864</v>
      </c>
      <c r="G51" s="1097">
        <f t="shared" si="43"/>
        <v>12419.355099054108</v>
      </c>
      <c r="H51" s="1097">
        <f t="shared" si="44"/>
        <v>13916.206708178714</v>
      </c>
      <c r="I51" s="1097">
        <f t="shared" si="45"/>
        <v>14903.566708178714</v>
      </c>
      <c r="J51" s="1097">
        <f t="shared" si="46"/>
        <v>15890.926708178715</v>
      </c>
      <c r="K51" s="1093"/>
      <c r="L51" s="1093"/>
    </row>
    <row r="52" spans="2:14">
      <c r="B52" s="1092" t="s">
        <v>1249</v>
      </c>
      <c r="C52" s="1097"/>
      <c r="D52" s="1097">
        <f t="shared" si="40"/>
        <v>0</v>
      </c>
      <c r="E52" s="1097">
        <f t="shared" si="41"/>
        <v>0</v>
      </c>
      <c r="F52" s="1097">
        <f t="shared" si="42"/>
        <v>0</v>
      </c>
      <c r="G52" s="1097">
        <f t="shared" si="43"/>
        <v>0</v>
      </c>
      <c r="H52" s="1097">
        <f t="shared" si="44"/>
        <v>0</v>
      </c>
      <c r="I52" s="1097">
        <f t="shared" si="45"/>
        <v>0</v>
      </c>
      <c r="J52" s="1097">
        <f t="shared" si="46"/>
        <v>0</v>
      </c>
    </row>
    <row r="53" spans="2:14">
      <c r="B53" s="1092" t="s">
        <v>1218</v>
      </c>
      <c r="C53" s="1097"/>
      <c r="D53" s="1097">
        <f t="shared" si="40"/>
        <v>0</v>
      </c>
      <c r="E53" s="1097">
        <f t="shared" si="41"/>
        <v>0</v>
      </c>
      <c r="F53" s="1097">
        <f t="shared" si="42"/>
        <v>0</v>
      </c>
      <c r="G53" s="1097">
        <f t="shared" si="43"/>
        <v>0</v>
      </c>
      <c r="H53" s="1097">
        <f t="shared" si="44"/>
        <v>0</v>
      </c>
      <c r="I53" s="1097">
        <f t="shared" si="45"/>
        <v>0</v>
      </c>
      <c r="J53" s="1097">
        <f t="shared" si="46"/>
        <v>0</v>
      </c>
    </row>
    <row r="54" spans="2:14">
      <c r="B54" s="1092" t="s">
        <v>1050</v>
      </c>
      <c r="C54" s="1097"/>
      <c r="D54" s="1097">
        <f t="shared" si="40"/>
        <v>0</v>
      </c>
      <c r="E54" s="1097">
        <f t="shared" si="41"/>
        <v>0</v>
      </c>
      <c r="F54" s="1097">
        <f t="shared" si="42"/>
        <v>0</v>
      </c>
      <c r="G54" s="1097">
        <f t="shared" si="43"/>
        <v>0</v>
      </c>
      <c r="H54" s="1097">
        <f t="shared" si="44"/>
        <v>0</v>
      </c>
      <c r="I54" s="1097">
        <f t="shared" si="45"/>
        <v>0</v>
      </c>
      <c r="J54" s="1097">
        <f t="shared" si="46"/>
        <v>0</v>
      </c>
    </row>
    <row r="55" spans="2:14">
      <c r="B55" s="1092" t="s">
        <v>1222</v>
      </c>
      <c r="C55" s="1097"/>
      <c r="D55" s="1097">
        <f t="shared" si="40"/>
        <v>0</v>
      </c>
      <c r="E55" s="1097">
        <f t="shared" si="41"/>
        <v>0</v>
      </c>
      <c r="F55" s="1097">
        <f t="shared" si="42"/>
        <v>0</v>
      </c>
      <c r="G55" s="1097">
        <f t="shared" si="43"/>
        <v>0</v>
      </c>
      <c r="H55" s="1097">
        <f t="shared" si="44"/>
        <v>0</v>
      </c>
      <c r="I55" s="1097">
        <f t="shared" si="45"/>
        <v>0</v>
      </c>
      <c r="J55" s="1097">
        <f t="shared" si="46"/>
        <v>0</v>
      </c>
    </row>
    <row r="56" spans="2:14">
      <c r="B56" s="1092" t="s">
        <v>851</v>
      </c>
      <c r="C56" s="1097"/>
      <c r="D56" s="1097">
        <f t="shared" si="40"/>
        <v>0</v>
      </c>
      <c r="E56" s="1097">
        <f t="shared" si="41"/>
        <v>0</v>
      </c>
      <c r="F56" s="1097">
        <f t="shared" si="42"/>
        <v>0</v>
      </c>
      <c r="G56" s="1097">
        <f t="shared" si="43"/>
        <v>0</v>
      </c>
      <c r="H56" s="1097">
        <f t="shared" si="44"/>
        <v>0</v>
      </c>
      <c r="I56" s="1097">
        <f t="shared" si="45"/>
        <v>0</v>
      </c>
      <c r="J56" s="1097">
        <f t="shared" si="46"/>
        <v>0</v>
      </c>
    </row>
    <row r="57" spans="2:14" ht="12" thickBot="1">
      <c r="B57" s="1098" t="s">
        <v>2229</v>
      </c>
      <c r="C57" s="1110"/>
      <c r="D57" s="1099">
        <f t="shared" ref="D57:E57" si="47">SUM(D49:D56)</f>
        <v>6572.3700700091995</v>
      </c>
      <c r="E57" s="1099">
        <f t="shared" si="47"/>
        <v>7442.0087033017699</v>
      </c>
      <c r="F57" s="1099">
        <f t="shared" ref="F57:J57" si="48">SUM(F49:F56)</f>
        <v>9676.8824765697864</v>
      </c>
      <c r="G57" s="1099">
        <f t="shared" si="48"/>
        <v>12419.355099054108</v>
      </c>
      <c r="H57" s="1099">
        <f t="shared" si="48"/>
        <v>13916.206708178714</v>
      </c>
      <c r="I57" s="1099">
        <f t="shared" si="48"/>
        <v>14903.566708178714</v>
      </c>
      <c r="J57" s="1099">
        <f t="shared" si="48"/>
        <v>15890.926708178715</v>
      </c>
      <c r="M57" s="1093"/>
      <c r="N57" s="1093"/>
    </row>
    <row r="58" spans="2:14" ht="12" thickTop="1"/>
    <row r="60" spans="2:14" ht="12" thickBot="1">
      <c r="B60" s="1098" t="s">
        <v>2241</v>
      </c>
      <c r="C60" s="1110" t="s">
        <v>2225</v>
      </c>
      <c r="D60" s="1110" t="s">
        <v>886</v>
      </c>
      <c r="E60" s="1110" t="s">
        <v>175</v>
      </c>
      <c r="F60" s="1110" t="s">
        <v>173</v>
      </c>
      <c r="G60" s="1110" t="s">
        <v>171</v>
      </c>
      <c r="H60" s="1110" t="s">
        <v>2226</v>
      </c>
      <c r="I60" s="1110" t="s">
        <v>2227</v>
      </c>
      <c r="J60" s="1110" t="s">
        <v>2228</v>
      </c>
    </row>
    <row r="61" spans="2:14" ht="12" thickTop="1">
      <c r="B61" s="1092" t="s">
        <v>1247</v>
      </c>
      <c r="C61" s="1097"/>
      <c r="D61" s="1097">
        <f>T111+AI111</f>
        <v>0</v>
      </c>
      <c r="E61" s="1097">
        <f>U111+V111+AK111</f>
        <v>0</v>
      </c>
      <c r="F61" s="1097">
        <f>(W111+X111)</f>
        <v>0</v>
      </c>
      <c r="G61" s="1097">
        <f>(Y111+Z111)</f>
        <v>0</v>
      </c>
      <c r="H61" s="1097">
        <f>(AA111+AB111)</f>
        <v>0</v>
      </c>
      <c r="I61" s="1097">
        <f>(AC111+AD111)</f>
        <v>0</v>
      </c>
      <c r="J61" s="1097">
        <f>(AE111+AF111)</f>
        <v>0</v>
      </c>
    </row>
    <row r="62" spans="2:14">
      <c r="B62" s="1092" t="s">
        <v>1216</v>
      </c>
      <c r="C62" s="1097"/>
      <c r="D62" s="1097">
        <f t="shared" ref="D62:D68" si="49">T112+AI112</f>
        <v>0</v>
      </c>
      <c r="E62" s="1097">
        <f t="shared" ref="E62:E68" si="50">U112+V112+AK112</f>
        <v>0</v>
      </c>
      <c r="F62" s="1097">
        <f t="shared" ref="F62:F68" si="51">(W112+X112)</f>
        <v>0</v>
      </c>
      <c r="G62" s="1097">
        <f t="shared" ref="G62:G68" si="52">(Y112+Z112)</f>
        <v>0</v>
      </c>
      <c r="H62" s="1097">
        <f t="shared" ref="H62:H68" si="53">(AA112+AB112)</f>
        <v>0</v>
      </c>
      <c r="I62" s="1097">
        <f t="shared" ref="I62:I68" si="54">(AC112+AD112)</f>
        <v>0</v>
      </c>
      <c r="J62" s="1097">
        <f t="shared" ref="J62:J68" si="55">(AE112+AF112)</f>
        <v>0</v>
      </c>
    </row>
    <row r="63" spans="2:14">
      <c r="B63" s="1092" t="s">
        <v>1248</v>
      </c>
      <c r="C63" s="1097">
        <f>103862715.35/10^5</f>
        <v>1038.6271534999998</v>
      </c>
      <c r="D63" s="1097">
        <f t="shared" si="49"/>
        <v>126.99801090000001</v>
      </c>
      <c r="E63" s="1097">
        <f t="shared" si="50"/>
        <v>420.18838979999998</v>
      </c>
      <c r="F63" s="1097">
        <f t="shared" si="51"/>
        <v>2151.9647093900003</v>
      </c>
      <c r="G63" s="1097">
        <f t="shared" si="52"/>
        <v>4425.8435500200012</v>
      </c>
      <c r="H63" s="1097">
        <f t="shared" si="53"/>
        <v>5366.88724602</v>
      </c>
      <c r="I63" s="1097">
        <f t="shared" si="54"/>
        <v>5366.88724602</v>
      </c>
      <c r="J63" s="1097">
        <f t="shared" si="55"/>
        <v>5366.88724602</v>
      </c>
    </row>
    <row r="64" spans="2:14">
      <c r="B64" s="1092" t="s">
        <v>1249</v>
      </c>
      <c r="C64" s="1097"/>
      <c r="D64" s="1097">
        <f t="shared" si="49"/>
        <v>0</v>
      </c>
      <c r="E64" s="1097">
        <f t="shared" si="50"/>
        <v>0</v>
      </c>
      <c r="F64" s="1097">
        <f t="shared" si="51"/>
        <v>0</v>
      </c>
      <c r="G64" s="1097">
        <f t="shared" si="52"/>
        <v>0</v>
      </c>
      <c r="H64" s="1097">
        <f t="shared" si="53"/>
        <v>0</v>
      </c>
      <c r="I64" s="1097">
        <f t="shared" si="54"/>
        <v>0</v>
      </c>
      <c r="J64" s="1097">
        <f t="shared" si="55"/>
        <v>0</v>
      </c>
    </row>
    <row r="65" spans="2:47">
      <c r="B65" s="1092" t="s">
        <v>1218</v>
      </c>
      <c r="C65" s="1097"/>
      <c r="D65" s="1097">
        <f t="shared" si="49"/>
        <v>0</v>
      </c>
      <c r="E65" s="1097">
        <f t="shared" si="50"/>
        <v>0</v>
      </c>
      <c r="F65" s="1097">
        <f t="shared" si="51"/>
        <v>0</v>
      </c>
      <c r="G65" s="1097">
        <f t="shared" si="52"/>
        <v>0</v>
      </c>
      <c r="H65" s="1097">
        <f t="shared" si="53"/>
        <v>0</v>
      </c>
      <c r="I65" s="1097">
        <f t="shared" si="54"/>
        <v>0</v>
      </c>
      <c r="J65" s="1097">
        <f t="shared" si="55"/>
        <v>0</v>
      </c>
    </row>
    <row r="66" spans="2:47">
      <c r="B66" s="1092" t="s">
        <v>1050</v>
      </c>
      <c r="C66" s="1097"/>
      <c r="D66" s="1097">
        <f t="shared" si="49"/>
        <v>0</v>
      </c>
      <c r="E66" s="1097">
        <f t="shared" si="50"/>
        <v>0</v>
      </c>
      <c r="F66" s="1097">
        <f t="shared" si="51"/>
        <v>0</v>
      </c>
      <c r="G66" s="1097">
        <f t="shared" si="52"/>
        <v>0</v>
      </c>
      <c r="H66" s="1097">
        <f t="shared" si="53"/>
        <v>0</v>
      </c>
      <c r="I66" s="1097">
        <f t="shared" si="54"/>
        <v>0</v>
      </c>
      <c r="J66" s="1097">
        <f t="shared" si="55"/>
        <v>0</v>
      </c>
    </row>
    <row r="67" spans="2:47">
      <c r="B67" s="1092" t="s">
        <v>1222</v>
      </c>
      <c r="C67" s="1097"/>
      <c r="D67" s="1097">
        <f t="shared" si="49"/>
        <v>0</v>
      </c>
      <c r="E67" s="1097">
        <f t="shared" si="50"/>
        <v>0</v>
      </c>
      <c r="F67" s="1097">
        <f t="shared" si="51"/>
        <v>0</v>
      </c>
      <c r="G67" s="1097">
        <f t="shared" si="52"/>
        <v>0</v>
      </c>
      <c r="H67" s="1097">
        <f t="shared" si="53"/>
        <v>0</v>
      </c>
      <c r="I67" s="1097">
        <f t="shared" si="54"/>
        <v>0</v>
      </c>
      <c r="J67" s="1097">
        <f t="shared" si="55"/>
        <v>0</v>
      </c>
    </row>
    <row r="68" spans="2:47">
      <c r="B68" s="1092" t="s">
        <v>851</v>
      </c>
      <c r="C68" s="1097"/>
      <c r="D68" s="1097">
        <f t="shared" si="49"/>
        <v>0</v>
      </c>
      <c r="E68" s="1097">
        <f t="shared" si="50"/>
        <v>0</v>
      </c>
      <c r="F68" s="1097">
        <f t="shared" si="51"/>
        <v>0</v>
      </c>
      <c r="G68" s="1097">
        <f t="shared" si="52"/>
        <v>0</v>
      </c>
      <c r="H68" s="1097">
        <f t="shared" si="53"/>
        <v>0</v>
      </c>
      <c r="I68" s="1097">
        <f t="shared" si="54"/>
        <v>0</v>
      </c>
      <c r="J68" s="1097">
        <f t="shared" si="55"/>
        <v>0</v>
      </c>
    </row>
    <row r="69" spans="2:47" ht="12" thickBot="1">
      <c r="B69" s="1098" t="s">
        <v>2229</v>
      </c>
      <c r="C69" s="1110"/>
      <c r="D69" s="1099">
        <f t="shared" ref="D69:J69" si="56">SUM(D61:D68)</f>
        <v>126.99801090000001</v>
      </c>
      <c r="E69" s="1099">
        <f t="shared" si="56"/>
        <v>420.18838979999998</v>
      </c>
      <c r="F69" s="1099">
        <f t="shared" si="56"/>
        <v>2151.9647093900003</v>
      </c>
      <c r="G69" s="1099">
        <f t="shared" si="56"/>
        <v>4425.8435500200012</v>
      </c>
      <c r="H69" s="1099">
        <f t="shared" si="56"/>
        <v>5366.88724602</v>
      </c>
      <c r="I69" s="1099">
        <f t="shared" si="56"/>
        <v>5366.88724602</v>
      </c>
      <c r="J69" s="1099">
        <f t="shared" si="56"/>
        <v>5366.88724602</v>
      </c>
    </row>
    <row r="70" spans="2:47" ht="12" thickTop="1"/>
    <row r="71" spans="2:47">
      <c r="B71" s="1112" t="s">
        <v>2242</v>
      </c>
      <c r="C71" s="1112"/>
      <c r="D71" s="1112"/>
      <c r="E71" s="1112"/>
      <c r="F71" s="1112"/>
      <c r="G71" s="1112"/>
      <c r="H71" s="1112"/>
      <c r="I71" s="1112"/>
      <c r="J71" s="1112"/>
      <c r="K71" s="1112"/>
      <c r="L71" s="1112"/>
      <c r="M71" s="1112"/>
      <c r="N71" s="1112"/>
      <c r="O71" s="1112"/>
      <c r="P71" s="1112"/>
      <c r="Q71" s="1112"/>
      <c r="R71" s="1112"/>
      <c r="S71" s="1112"/>
      <c r="T71" s="1112"/>
      <c r="U71" s="1112"/>
      <c r="V71" s="1112"/>
      <c r="W71" s="1112"/>
    </row>
    <row r="72" spans="2:47">
      <c r="B72" s="1094" t="s">
        <v>2243</v>
      </c>
      <c r="S72" s="1340" t="s">
        <v>2244</v>
      </c>
      <c r="AH72" s="1281" t="s">
        <v>2245</v>
      </c>
    </row>
    <row r="73" spans="2:47">
      <c r="T73" s="2674" t="s">
        <v>2246</v>
      </c>
      <c r="U73" s="2674"/>
      <c r="V73" s="2675" t="s">
        <v>2247</v>
      </c>
      <c r="W73" s="2675"/>
    </row>
    <row r="74" spans="2:47" s="1113" customFormat="1" ht="34.5" thickBot="1">
      <c r="B74" s="1110" t="s">
        <v>2248</v>
      </c>
      <c r="C74" s="1110" t="s">
        <v>2225</v>
      </c>
      <c r="D74" s="1110" t="s">
        <v>2249</v>
      </c>
      <c r="E74" s="1110" t="s">
        <v>886</v>
      </c>
      <c r="F74" s="1110" t="s">
        <v>2250</v>
      </c>
      <c r="G74" s="1110" t="s">
        <v>175</v>
      </c>
      <c r="H74" s="1110" t="s">
        <v>2251</v>
      </c>
      <c r="I74" s="1110" t="s">
        <v>173</v>
      </c>
      <c r="J74" s="1110" t="s">
        <v>2252</v>
      </c>
      <c r="K74" s="1110" t="s">
        <v>171</v>
      </c>
      <c r="L74" s="1110" t="s">
        <v>2253</v>
      </c>
      <c r="M74" s="1110" t="s">
        <v>2226</v>
      </c>
      <c r="N74" s="1110" t="s">
        <v>2254</v>
      </c>
      <c r="O74" s="1110" t="s">
        <v>2227</v>
      </c>
      <c r="P74" s="1110" t="s">
        <v>2255</v>
      </c>
      <c r="Q74" s="1110" t="s">
        <v>2228</v>
      </c>
      <c r="S74" s="1110" t="s">
        <v>2256</v>
      </c>
      <c r="T74" s="1110" t="s">
        <v>886</v>
      </c>
      <c r="U74" s="1110" t="s">
        <v>2250</v>
      </c>
      <c r="V74" s="1110" t="s">
        <v>175</v>
      </c>
      <c r="W74" s="1110" t="s">
        <v>2251</v>
      </c>
      <c r="X74" s="1110" t="s">
        <v>173</v>
      </c>
      <c r="Y74" s="1110" t="s">
        <v>2252</v>
      </c>
      <c r="Z74" s="1110" t="s">
        <v>171</v>
      </c>
      <c r="AA74" s="1110" t="s">
        <v>2253</v>
      </c>
      <c r="AB74" s="1110" t="s">
        <v>2226</v>
      </c>
      <c r="AC74" s="1110" t="s">
        <v>2254</v>
      </c>
      <c r="AD74" s="1110" t="s">
        <v>2227</v>
      </c>
      <c r="AE74" s="1110" t="s">
        <v>2255</v>
      </c>
      <c r="AF74" s="1110" t="s">
        <v>2228</v>
      </c>
      <c r="AH74" s="1110" t="s">
        <v>2256</v>
      </c>
      <c r="AI74" s="1110" t="s">
        <v>886</v>
      </c>
      <c r="AJ74" s="1110" t="s">
        <v>2250</v>
      </c>
      <c r="AK74" s="1110" t="s">
        <v>175</v>
      </c>
      <c r="AL74" s="1110" t="s">
        <v>2251</v>
      </c>
      <c r="AM74" s="1110" t="s">
        <v>173</v>
      </c>
      <c r="AN74" s="1110" t="s">
        <v>2252</v>
      </c>
      <c r="AO74" s="1110" t="s">
        <v>171</v>
      </c>
      <c r="AP74" s="1110" t="s">
        <v>2253</v>
      </c>
      <c r="AQ74" s="1110" t="s">
        <v>2226</v>
      </c>
      <c r="AR74" s="1110" t="s">
        <v>2254</v>
      </c>
      <c r="AS74" s="1110" t="s">
        <v>2227</v>
      </c>
      <c r="AT74" s="1110" t="s">
        <v>2255</v>
      </c>
      <c r="AU74" s="1110" t="s">
        <v>2228</v>
      </c>
    </row>
    <row r="75" spans="2:47" ht="12" thickTop="1">
      <c r="B75" s="1092" t="s">
        <v>1247</v>
      </c>
      <c r="C75" s="1114"/>
      <c r="D75" s="1114"/>
      <c r="E75" s="1115">
        <f>C75+D75</f>
        <v>0</v>
      </c>
      <c r="F75" s="1115"/>
      <c r="G75" s="1115">
        <f>E75+F75</f>
        <v>0</v>
      </c>
      <c r="H75" s="1115"/>
      <c r="I75" s="1115">
        <f>G75+H75</f>
        <v>0</v>
      </c>
      <c r="J75" s="1115">
        <f>J87+J99+J111+J123</f>
        <v>0</v>
      </c>
      <c r="K75" s="1115">
        <f>I75+J75</f>
        <v>0</v>
      </c>
      <c r="L75" s="1115">
        <f>L87+L99+L111+L123</f>
        <v>0</v>
      </c>
      <c r="M75" s="1115">
        <f>K75+L75</f>
        <v>0</v>
      </c>
      <c r="N75" s="1115">
        <f>N87+N99+N111+N123</f>
        <v>0</v>
      </c>
      <c r="O75" s="1115">
        <f>M75+N75</f>
        <v>0</v>
      </c>
      <c r="P75" s="1115">
        <f>P87+P99+P111+P123</f>
        <v>0</v>
      </c>
      <c r="Q75" s="1115">
        <f>O75+P75</f>
        <v>0</v>
      </c>
      <c r="S75" s="1092" t="s">
        <v>1247</v>
      </c>
      <c r="T75" s="1274"/>
      <c r="U75" s="1274">
        <f t="shared" ref="U75:AF82" si="57">U87+U99+U111+U123</f>
        <v>0</v>
      </c>
      <c r="V75" s="1274">
        <f t="shared" si="57"/>
        <v>0</v>
      </c>
      <c r="W75" s="1274">
        <f t="shared" si="57"/>
        <v>0</v>
      </c>
      <c r="X75" s="1274">
        <f t="shared" si="57"/>
        <v>0</v>
      </c>
      <c r="Y75" s="1274">
        <f t="shared" si="57"/>
        <v>0</v>
      </c>
      <c r="Z75" s="1274">
        <f t="shared" si="57"/>
        <v>0</v>
      </c>
      <c r="AA75" s="1274">
        <f t="shared" si="57"/>
        <v>0</v>
      </c>
      <c r="AB75" s="1274">
        <f t="shared" si="57"/>
        <v>0</v>
      </c>
      <c r="AC75" s="1274">
        <f t="shared" si="57"/>
        <v>0</v>
      </c>
      <c r="AD75" s="1274">
        <f t="shared" si="57"/>
        <v>0</v>
      </c>
      <c r="AE75" s="1274">
        <f t="shared" si="57"/>
        <v>0</v>
      </c>
      <c r="AF75" s="1274">
        <f t="shared" si="57"/>
        <v>0</v>
      </c>
      <c r="AH75" s="1092" t="s">
        <v>1247</v>
      </c>
      <c r="AI75" s="1274">
        <v>0</v>
      </c>
      <c r="AJ75" s="1274"/>
      <c r="AK75" s="1274">
        <f>AK87+AK99+AK111+AK123</f>
        <v>0</v>
      </c>
      <c r="AL75" s="1274"/>
      <c r="AM75" s="1274">
        <f t="shared" ref="AM75:AU75" si="58">AM87+AM99+AM111+AM123</f>
        <v>0</v>
      </c>
      <c r="AN75" s="1274"/>
      <c r="AO75" s="1274">
        <f t="shared" si="58"/>
        <v>0</v>
      </c>
      <c r="AP75" s="1274"/>
      <c r="AQ75" s="1274">
        <f t="shared" si="58"/>
        <v>0</v>
      </c>
      <c r="AR75" s="1274"/>
      <c r="AS75" s="1274">
        <f t="shared" si="58"/>
        <v>0</v>
      </c>
      <c r="AT75" s="1274"/>
      <c r="AU75" s="1274">
        <f t="shared" si="58"/>
        <v>0</v>
      </c>
    </row>
    <row r="76" spans="2:47">
      <c r="B76" s="1092" t="s">
        <v>1216</v>
      </c>
      <c r="C76" s="1115">
        <f>C88+C100+C112+C124</f>
        <v>559.08000000000004</v>
      </c>
      <c r="D76" s="1115">
        <f>D88+D100+D112+D124</f>
        <v>402.08</v>
      </c>
      <c r="E76" s="1115">
        <f>C76+D76</f>
        <v>961.16000000000008</v>
      </c>
      <c r="F76" s="1115">
        <f>F88+F100+F112+F124</f>
        <v>6043.6202882000007</v>
      </c>
      <c r="G76" s="1115">
        <f t="shared" ref="E76:I82" si="59">E76+F76</f>
        <v>7004.7802882000005</v>
      </c>
      <c r="H76" s="1115">
        <f>H88+H100+H112+H124</f>
        <v>5081.7055796999975</v>
      </c>
      <c r="I76" s="1115">
        <f t="shared" si="59"/>
        <v>12086.485867899999</v>
      </c>
      <c r="J76" s="1115">
        <f t="shared" ref="H76:J77" si="60">J88+J100+J112+J124</f>
        <v>4911.2</v>
      </c>
      <c r="K76" s="1115">
        <f t="shared" ref="K76:K82" si="61">I76+J76</f>
        <v>16997.6858679</v>
      </c>
      <c r="L76" s="1115">
        <f t="shared" ref="L76:N77" si="62">L88+L100+L112+L124</f>
        <v>3707.6</v>
      </c>
      <c r="M76" s="1115">
        <f t="shared" ref="M76:M82" si="63">K76+L76</f>
        <v>20705.285867899998</v>
      </c>
      <c r="N76" s="1115">
        <f t="shared" si="62"/>
        <v>2811.6</v>
      </c>
      <c r="O76" s="1115">
        <f t="shared" ref="O76:O82" si="64">M76+N76</f>
        <v>23516.885867899997</v>
      </c>
      <c r="P76" s="1115">
        <f t="shared" ref="P76:P77" si="65">P88+P100+P112+P124</f>
        <v>2582</v>
      </c>
      <c r="Q76" s="1115">
        <f t="shared" ref="Q76:Q82" si="66">O76+P76</f>
        <v>26098.885867899997</v>
      </c>
      <c r="S76" s="1092" t="s">
        <v>1216</v>
      </c>
      <c r="T76" s="1115">
        <v>3.82823</v>
      </c>
      <c r="U76" s="1274">
        <f t="shared" si="57"/>
        <v>0</v>
      </c>
      <c r="V76" s="1274">
        <f t="shared" si="57"/>
        <v>102.0459309</v>
      </c>
      <c r="W76" s="1274">
        <f t="shared" si="57"/>
        <v>84.86448318098995</v>
      </c>
      <c r="X76" s="1274">
        <f t="shared" si="57"/>
        <v>215.28638962588002</v>
      </c>
      <c r="Y76" s="1274">
        <f t="shared" si="57"/>
        <v>82.017039999999994</v>
      </c>
      <c r="Z76" s="1274">
        <f t="shared" si="57"/>
        <v>385.01535598785995</v>
      </c>
      <c r="AA76" s="1274">
        <f t="shared" si="57"/>
        <v>61.916919999999998</v>
      </c>
      <c r="AB76" s="1274">
        <f t="shared" si="57"/>
        <v>549.04943598785997</v>
      </c>
      <c r="AC76" s="1274">
        <f t="shared" si="57"/>
        <v>46.953719999999997</v>
      </c>
      <c r="AD76" s="1274">
        <f t="shared" si="57"/>
        <v>672.88327598785986</v>
      </c>
      <c r="AE76" s="1274">
        <f t="shared" si="57"/>
        <v>43.119399999999999</v>
      </c>
      <c r="AF76" s="1274">
        <f t="shared" si="57"/>
        <v>766.79071598785981</v>
      </c>
      <c r="AH76" s="1092" t="s">
        <v>1216</v>
      </c>
      <c r="AI76" s="1115">
        <v>9.1121300000000005</v>
      </c>
      <c r="AJ76" s="1274"/>
      <c r="AK76" s="1274">
        <f t="shared" ref="AK76:AU82" si="67">AK88+AK100+AK112+AK124</f>
        <v>9.1121338000000005</v>
      </c>
      <c r="AL76" s="1274"/>
      <c r="AM76" s="1274">
        <f t="shared" si="67"/>
        <v>10.063440000000002</v>
      </c>
      <c r="AN76" s="1274"/>
      <c r="AO76" s="1274">
        <f t="shared" si="67"/>
        <v>10.063440000000002</v>
      </c>
      <c r="AP76" s="1274"/>
      <c r="AQ76" s="1274">
        <f t="shared" si="67"/>
        <v>10.063440000000002</v>
      </c>
      <c r="AR76" s="1274"/>
      <c r="AS76" s="1274">
        <f t="shared" si="67"/>
        <v>10.063440000000002</v>
      </c>
      <c r="AT76" s="1274"/>
      <c r="AU76" s="1274">
        <f t="shared" si="67"/>
        <v>10.063440000000002</v>
      </c>
    </row>
    <row r="77" spans="2:47">
      <c r="B77" s="1092" t="s">
        <v>1248</v>
      </c>
      <c r="C77" s="1115">
        <f t="shared" ref="C77:F82" si="68">C89+C101+C113+C125</f>
        <v>218467.90781550005</v>
      </c>
      <c r="D77" s="1115">
        <f t="shared" si="68"/>
        <v>14084.510000000002</v>
      </c>
      <c r="E77" s="1115">
        <f t="shared" si="59"/>
        <v>232552.41781550006</v>
      </c>
      <c r="F77" s="1115">
        <f t="shared" si="68"/>
        <v>51239.798248900202</v>
      </c>
      <c r="G77" s="1115">
        <f t="shared" si="59"/>
        <v>283792.21606440027</v>
      </c>
      <c r="H77" s="1115">
        <f t="shared" si="60"/>
        <v>122886.26833728787</v>
      </c>
      <c r="I77" s="1115">
        <f t="shared" si="59"/>
        <v>406678.48440168815</v>
      </c>
      <c r="J77" s="1115">
        <f t="shared" si="60"/>
        <v>65678.02711782293</v>
      </c>
      <c r="K77" s="1115">
        <f t="shared" si="61"/>
        <v>472356.51151951111</v>
      </c>
      <c r="L77" s="1115">
        <f t="shared" si="62"/>
        <v>39875.204790419164</v>
      </c>
      <c r="M77" s="1115">
        <f t="shared" si="63"/>
        <v>512231.71630993026</v>
      </c>
      <c r="N77" s="1115">
        <f t="shared" si="62"/>
        <v>39030.12455089821</v>
      </c>
      <c r="O77" s="1115">
        <f t="shared" si="64"/>
        <v>551261.84086082852</v>
      </c>
      <c r="P77" s="1115">
        <f t="shared" si="65"/>
        <v>38694.325748502997</v>
      </c>
      <c r="Q77" s="1115">
        <f t="shared" si="66"/>
        <v>589956.1666093315</v>
      </c>
      <c r="S77" s="1092" t="s">
        <v>2257</v>
      </c>
      <c r="T77" s="1115">
        <v>337.99509820000003</v>
      </c>
      <c r="U77" s="1274">
        <f t="shared" si="57"/>
        <v>0</v>
      </c>
      <c r="V77" s="1274">
        <f t="shared" si="57"/>
        <v>1968.8772419017814</v>
      </c>
      <c r="W77" s="1274">
        <f t="shared" si="57"/>
        <v>4091.9544771689275</v>
      </c>
      <c r="X77" s="1274">
        <f t="shared" si="57"/>
        <v>3870.2118393440701</v>
      </c>
      <c r="Y77" s="1274">
        <f t="shared" si="57"/>
        <v>2370.788646178728</v>
      </c>
      <c r="Z77" s="1274">
        <f t="shared" si="57"/>
        <v>12054.120793681926</v>
      </c>
      <c r="AA77" s="1274">
        <f t="shared" si="57"/>
        <v>988.12103185628746</v>
      </c>
      <c r="AB77" s="1274">
        <f t="shared" si="57"/>
        <v>16795.698086039381</v>
      </c>
      <c r="AC77" s="1274">
        <f t="shared" si="57"/>
        <v>968.38840826347314</v>
      </c>
      <c r="AD77" s="1274">
        <f t="shared" si="57"/>
        <v>18771.940149751958</v>
      </c>
      <c r="AE77" s="1274">
        <f t="shared" si="57"/>
        <v>960.547506227545</v>
      </c>
      <c r="AF77" s="1274">
        <f t="shared" si="57"/>
        <v>20708.716966278902</v>
      </c>
      <c r="AH77" s="1092" t="s">
        <v>1248</v>
      </c>
      <c r="AI77" s="1115">
        <v>8300.0442999999996</v>
      </c>
      <c r="AJ77" s="1274"/>
      <c r="AK77" s="1274">
        <f t="shared" si="67"/>
        <v>7367.4190444999986</v>
      </c>
      <c r="AL77" s="1274"/>
      <c r="AM77" s="1274">
        <f t="shared" si="67"/>
        <v>7271.2433700553547</v>
      </c>
      <c r="AN77" s="1274"/>
      <c r="AO77" s="1274">
        <f t="shared" si="67"/>
        <v>7271.2433700553547</v>
      </c>
      <c r="AP77" s="1274"/>
      <c r="AQ77" s="1274">
        <f t="shared" si="67"/>
        <v>7271.2433700553547</v>
      </c>
      <c r="AR77" s="1274"/>
      <c r="AS77" s="1274">
        <f t="shared" si="67"/>
        <v>7271.2433700553547</v>
      </c>
      <c r="AT77" s="1274"/>
      <c r="AU77" s="1274">
        <f t="shared" si="67"/>
        <v>7271.2433700553547</v>
      </c>
    </row>
    <row r="78" spans="2:47">
      <c r="B78" s="1092" t="s">
        <v>1249</v>
      </c>
      <c r="C78" s="1115">
        <f t="shared" si="68"/>
        <v>225.56119899999999</v>
      </c>
      <c r="D78" s="1115">
        <f t="shared" si="68"/>
        <v>81.239999999999995</v>
      </c>
      <c r="E78" s="1115">
        <f t="shared" si="59"/>
        <v>306.801199</v>
      </c>
      <c r="F78" s="1115">
        <f>F90+F102+F114+F126</f>
        <v>522.426878500003</v>
      </c>
      <c r="G78" s="1115">
        <f t="shared" si="59"/>
        <v>829.228077500003</v>
      </c>
      <c r="H78" s="1115">
        <f>H90+H102+H114+H126</f>
        <v>421.74776460000027</v>
      </c>
      <c r="I78" s="1115">
        <f t="shared" si="59"/>
        <v>1250.9758421000033</v>
      </c>
      <c r="J78" s="1115">
        <f>J90+J102+J114+J126</f>
        <v>118.5</v>
      </c>
      <c r="K78" s="1115">
        <f t="shared" si="61"/>
        <v>1369.4758421000033</v>
      </c>
      <c r="L78" s="1115">
        <f>L90+L102+L114+L126</f>
        <v>690</v>
      </c>
      <c r="M78" s="1115">
        <f t="shared" si="63"/>
        <v>2059.4758421000033</v>
      </c>
      <c r="N78" s="1115">
        <f>N90+N102+N114+N126</f>
        <v>310</v>
      </c>
      <c r="O78" s="1115">
        <f t="shared" si="64"/>
        <v>2369.4758421000033</v>
      </c>
      <c r="P78" s="1115">
        <f>P90+P102+P114+P126</f>
        <v>150</v>
      </c>
      <c r="Q78" s="1115">
        <f t="shared" si="66"/>
        <v>2519.4758421000033</v>
      </c>
      <c r="S78" s="1092" t="s">
        <v>1249</v>
      </c>
      <c r="T78" s="1115">
        <v>26.384100279999998</v>
      </c>
      <c r="U78" s="1274">
        <f t="shared" si="57"/>
        <v>0</v>
      </c>
      <c r="V78" s="1274">
        <f t="shared" si="57"/>
        <v>130.2940528</v>
      </c>
      <c r="W78" s="1274">
        <f t="shared" si="57"/>
        <v>13.348316749590007</v>
      </c>
      <c r="X78" s="1274">
        <f t="shared" si="57"/>
        <v>38.21211340905019</v>
      </c>
      <c r="Y78" s="1274">
        <f t="shared" si="57"/>
        <v>3.7505249999999997</v>
      </c>
      <c r="Z78" s="1274">
        <f t="shared" si="57"/>
        <v>64.908746908230199</v>
      </c>
      <c r="AA78" s="1274">
        <f t="shared" si="57"/>
        <v>21.8385</v>
      </c>
      <c r="AB78" s="1274">
        <f t="shared" si="57"/>
        <v>72.409796908230206</v>
      </c>
      <c r="AC78" s="1274">
        <f t="shared" si="57"/>
        <v>9.8114999999999988</v>
      </c>
      <c r="AD78" s="1274">
        <f t="shared" si="57"/>
        <v>116.0867969082302</v>
      </c>
      <c r="AE78" s="1274">
        <f t="shared" si="57"/>
        <v>4.7474999999999996</v>
      </c>
      <c r="AF78" s="1274">
        <f t="shared" si="57"/>
        <v>135.7097969082302</v>
      </c>
      <c r="AH78" s="1092" t="s">
        <v>1249</v>
      </c>
      <c r="AI78" s="1115">
        <v>9.0266849416549881</v>
      </c>
      <c r="AJ78" s="1274"/>
      <c r="AK78" s="1274">
        <f t="shared" si="67"/>
        <v>-9.3939468000000002</v>
      </c>
      <c r="AL78" s="1274"/>
      <c r="AM78" s="1274">
        <f t="shared" si="67"/>
        <v>10.263034554499999</v>
      </c>
      <c r="AN78" s="1274"/>
      <c r="AO78" s="1274">
        <f t="shared" si="67"/>
        <v>10.263034554499999</v>
      </c>
      <c r="AP78" s="1274"/>
      <c r="AQ78" s="1274">
        <f t="shared" si="67"/>
        <v>10.263034554499999</v>
      </c>
      <c r="AR78" s="1274"/>
      <c r="AS78" s="1274">
        <f t="shared" si="67"/>
        <v>10.263034554499999</v>
      </c>
      <c r="AT78" s="1274"/>
      <c r="AU78" s="1274">
        <f t="shared" si="67"/>
        <v>10.263034554499999</v>
      </c>
    </row>
    <row r="79" spans="2:47">
      <c r="B79" s="1092" t="s">
        <v>1218</v>
      </c>
      <c r="C79" s="1115">
        <f t="shared" si="68"/>
        <v>54.637999999999998</v>
      </c>
      <c r="D79" s="1115">
        <f t="shared" si="68"/>
        <v>31.97</v>
      </c>
      <c r="E79" s="1115">
        <f t="shared" si="59"/>
        <v>86.608000000000004</v>
      </c>
      <c r="F79" s="1115">
        <f>F91+F103+F115+F127</f>
        <v>117.788391</v>
      </c>
      <c r="G79" s="1115">
        <f t="shared" si="59"/>
        <v>204.39639099999999</v>
      </c>
      <c r="H79" s="1115">
        <f>H91+H103+H115+H127</f>
        <v>127.2111</v>
      </c>
      <c r="I79" s="1115">
        <f t="shared" si="59"/>
        <v>331.60749099999998</v>
      </c>
      <c r="J79" s="1115">
        <f>J91+J103+J115+J127</f>
        <v>160</v>
      </c>
      <c r="K79" s="1115">
        <f t="shared" si="61"/>
        <v>491.60749099999998</v>
      </c>
      <c r="L79" s="1115">
        <f>L91+L103+L115+L127</f>
        <v>40</v>
      </c>
      <c r="M79" s="1115">
        <f t="shared" si="63"/>
        <v>531.60749099999998</v>
      </c>
      <c r="N79" s="1115">
        <f>N91+N103+N115+N127</f>
        <v>0</v>
      </c>
      <c r="O79" s="1115">
        <f t="shared" si="64"/>
        <v>531.60749099999998</v>
      </c>
      <c r="P79" s="1115">
        <f>P91+P103+P115+P127</f>
        <v>0</v>
      </c>
      <c r="Q79" s="1115">
        <f t="shared" si="66"/>
        <v>531.60749099999998</v>
      </c>
      <c r="S79" s="1092" t="s">
        <v>1218</v>
      </c>
      <c r="T79" s="1115">
        <v>2.7999000000000001</v>
      </c>
      <c r="U79" s="1274">
        <f t="shared" si="57"/>
        <v>0</v>
      </c>
      <c r="V79" s="1274">
        <f t="shared" si="57"/>
        <v>6.8119711999999986</v>
      </c>
      <c r="W79" s="1274">
        <f t="shared" si="57"/>
        <v>6.04252725</v>
      </c>
      <c r="X79" s="1274">
        <f t="shared" si="57"/>
        <v>14.227047144999998</v>
      </c>
      <c r="Y79" s="1274">
        <f t="shared" si="57"/>
        <v>7.6</v>
      </c>
      <c r="Z79" s="1274">
        <f t="shared" si="57"/>
        <v>26.312101645000002</v>
      </c>
      <c r="AA79" s="1274">
        <f t="shared" si="57"/>
        <v>1.9</v>
      </c>
      <c r="AB79" s="1274">
        <f t="shared" si="57"/>
        <v>41.512101645000001</v>
      </c>
      <c r="AC79" s="1274">
        <f t="shared" si="57"/>
        <v>0</v>
      </c>
      <c r="AD79" s="1274">
        <f t="shared" si="57"/>
        <v>45.312101644999998</v>
      </c>
      <c r="AE79" s="1274">
        <f t="shared" si="57"/>
        <v>0</v>
      </c>
      <c r="AF79" s="1274">
        <f t="shared" si="57"/>
        <v>45.312101644999998</v>
      </c>
      <c r="AH79" s="1092" t="s">
        <v>1218</v>
      </c>
      <c r="AI79" s="1115">
        <v>3.0017</v>
      </c>
      <c r="AJ79" s="1274"/>
      <c r="AK79" s="1274">
        <f t="shared" si="67"/>
        <v>1.7872351000000002</v>
      </c>
      <c r="AL79" s="1274"/>
      <c r="AM79" s="1274">
        <f t="shared" si="67"/>
        <v>7.0264467999999995</v>
      </c>
      <c r="AN79" s="1274"/>
      <c r="AO79" s="1274">
        <f t="shared" si="67"/>
        <v>7.0264467999999995</v>
      </c>
      <c r="AP79" s="1274"/>
      <c r="AQ79" s="1274">
        <f t="shared" si="67"/>
        <v>7.0264467999999995</v>
      </c>
      <c r="AR79" s="1274"/>
      <c r="AS79" s="1274">
        <f t="shared" si="67"/>
        <v>7.0264467999999995</v>
      </c>
      <c r="AT79" s="1274"/>
      <c r="AU79" s="1274">
        <f t="shared" si="67"/>
        <v>7.0264467999999995</v>
      </c>
    </row>
    <row r="80" spans="2:47">
      <c r="B80" s="1092" t="s">
        <v>1050</v>
      </c>
      <c r="C80" s="1115">
        <f t="shared" si="68"/>
        <v>0</v>
      </c>
      <c r="D80" s="1115">
        <f t="shared" si="68"/>
        <v>1381.13247400002</v>
      </c>
      <c r="E80" s="1115">
        <f t="shared" si="59"/>
        <v>1381.13247400002</v>
      </c>
      <c r="F80" s="1115">
        <f>F92+F104+F116+F128</f>
        <v>2678.2893581999501</v>
      </c>
      <c r="G80" s="1115">
        <f t="shared" si="59"/>
        <v>4059.4218321999701</v>
      </c>
      <c r="H80" s="1115">
        <f>H92+H104+H116+H128</f>
        <v>9139.0883518000101</v>
      </c>
      <c r="I80" s="1115">
        <f t="shared" si="59"/>
        <v>13198.510183999981</v>
      </c>
      <c r="J80" s="1115">
        <f>J92+J104+J116+J128</f>
        <v>5915.3</v>
      </c>
      <c r="K80" s="1115">
        <f t="shared" si="61"/>
        <v>19113.81018399998</v>
      </c>
      <c r="L80" s="1115">
        <f>L92+L104+L116+L128</f>
        <v>764</v>
      </c>
      <c r="M80" s="1115">
        <f t="shared" si="63"/>
        <v>19877.81018399998</v>
      </c>
      <c r="N80" s="1115">
        <f>N92+N104+N116+N128</f>
        <v>1035</v>
      </c>
      <c r="O80" s="1115">
        <f t="shared" si="64"/>
        <v>20912.81018399998</v>
      </c>
      <c r="P80" s="1115">
        <f>P92+P104+P116+P128</f>
        <v>1325.8</v>
      </c>
      <c r="Q80" s="1115">
        <f t="shared" si="66"/>
        <v>22238.610183999979</v>
      </c>
      <c r="S80" s="1092" t="s">
        <v>1050</v>
      </c>
      <c r="T80" s="1115">
        <v>84.866214990002049</v>
      </c>
      <c r="U80" s="1274">
        <f t="shared" si="57"/>
        <v>0</v>
      </c>
      <c r="V80" s="1274">
        <f t="shared" si="57"/>
        <v>363.10708209998694</v>
      </c>
      <c r="W80" s="1274">
        <f t="shared" si="57"/>
        <v>685.43162638500075</v>
      </c>
      <c r="X80" s="1274">
        <f t="shared" si="57"/>
        <v>608.91327482999554</v>
      </c>
      <c r="Y80" s="1274">
        <f t="shared" si="57"/>
        <v>443.64749999999998</v>
      </c>
      <c r="Z80" s="1274">
        <f t="shared" si="57"/>
        <v>1979.7765275999971</v>
      </c>
      <c r="AA80" s="1274">
        <f t="shared" si="57"/>
        <v>57.3</v>
      </c>
      <c r="AB80" s="1274">
        <f t="shared" si="57"/>
        <v>2867.0715275999969</v>
      </c>
      <c r="AC80" s="1274">
        <f t="shared" si="57"/>
        <v>77.625</v>
      </c>
      <c r="AD80" s="1274">
        <f t="shared" si="57"/>
        <v>2981.6715275999968</v>
      </c>
      <c r="AE80" s="1274">
        <f t="shared" si="57"/>
        <v>99.434999999999988</v>
      </c>
      <c r="AF80" s="1274">
        <f t="shared" si="57"/>
        <v>3136.9215275999968</v>
      </c>
      <c r="AH80" s="1092" t="s">
        <v>1050</v>
      </c>
      <c r="AI80" s="1115">
        <v>27.562650592298208</v>
      </c>
      <c r="AJ80" s="1274"/>
      <c r="AK80" s="1274">
        <f t="shared" si="67"/>
        <v>22.957481000000097</v>
      </c>
      <c r="AL80" s="1274"/>
      <c r="AM80" s="1274">
        <f t="shared" si="67"/>
        <v>0</v>
      </c>
      <c r="AN80" s="1274"/>
      <c r="AO80" s="1274">
        <f t="shared" si="67"/>
        <v>0</v>
      </c>
      <c r="AP80" s="1274"/>
      <c r="AQ80" s="1274">
        <f t="shared" si="67"/>
        <v>0</v>
      </c>
      <c r="AR80" s="1274"/>
      <c r="AS80" s="1274">
        <f t="shared" si="67"/>
        <v>0</v>
      </c>
      <c r="AT80" s="1274"/>
      <c r="AU80" s="1274">
        <f t="shared" si="67"/>
        <v>0</v>
      </c>
    </row>
    <row r="81" spans="2:47">
      <c r="B81" s="1092" t="s">
        <v>1222</v>
      </c>
      <c r="C81" s="1115">
        <f t="shared" si="68"/>
        <v>0</v>
      </c>
      <c r="D81" s="1115">
        <f t="shared" si="68"/>
        <v>1941.9569071999999</v>
      </c>
      <c r="E81" s="1115">
        <f t="shared" si="59"/>
        <v>1941.9569071999999</v>
      </c>
      <c r="F81" s="1115">
        <f>F93+F105+F117+F129</f>
        <v>3748.0893757999997</v>
      </c>
      <c r="G81" s="1115">
        <f t="shared" si="59"/>
        <v>5690.0462829999997</v>
      </c>
      <c r="H81" s="1115">
        <f>H93+H105+H117+H129</f>
        <v>0</v>
      </c>
      <c r="I81" s="1115">
        <f t="shared" si="59"/>
        <v>5690.0462829999997</v>
      </c>
      <c r="J81" s="1115">
        <f>J93+J105+J117+J129</f>
        <v>0</v>
      </c>
      <c r="K81" s="1115">
        <f t="shared" si="61"/>
        <v>5690.0462829999997</v>
      </c>
      <c r="L81" s="1115">
        <f>L93+L105+L117+L129</f>
        <v>0</v>
      </c>
      <c r="M81" s="1115">
        <f t="shared" si="63"/>
        <v>5690.0462829999997</v>
      </c>
      <c r="N81" s="1115">
        <f>N93+N105+N117+N129</f>
        <v>691</v>
      </c>
      <c r="O81" s="1115">
        <f t="shared" si="64"/>
        <v>6381.0462829999997</v>
      </c>
      <c r="P81" s="1115">
        <f>P93+P105+P117+P129</f>
        <v>844.99999999999989</v>
      </c>
      <c r="Q81" s="1115">
        <f t="shared" si="66"/>
        <v>7226.0462829999997</v>
      </c>
      <c r="S81" s="1092" t="s">
        <v>1222</v>
      </c>
      <c r="T81" s="1115">
        <v>116.4168592</v>
      </c>
      <c r="U81" s="1274">
        <f t="shared" si="57"/>
        <v>0</v>
      </c>
      <c r="V81" s="1274">
        <f t="shared" si="57"/>
        <v>502.19948479999994</v>
      </c>
      <c r="W81" s="1274">
        <f t="shared" si="57"/>
        <v>0</v>
      </c>
      <c r="X81" s="1274">
        <f t="shared" si="57"/>
        <v>1707.0138848999998</v>
      </c>
      <c r="Y81" s="1274">
        <f>Y93+Y105+Y117+Y129</f>
        <v>0</v>
      </c>
      <c r="Z81" s="1274">
        <f t="shared" si="57"/>
        <v>1707.0138848999998</v>
      </c>
      <c r="AA81" s="1274">
        <f t="shared" si="57"/>
        <v>0</v>
      </c>
      <c r="AB81" s="1274">
        <f t="shared" si="57"/>
        <v>1707.0138848999998</v>
      </c>
      <c r="AC81" s="1274">
        <f t="shared" si="57"/>
        <v>103.64999999999999</v>
      </c>
      <c r="AD81" s="1274">
        <f t="shared" si="57"/>
        <v>1707.0138848999998</v>
      </c>
      <c r="AE81" s="1274">
        <f t="shared" si="57"/>
        <v>126.74999999999997</v>
      </c>
      <c r="AF81" s="1274">
        <f t="shared" si="57"/>
        <v>1914.3138848999997</v>
      </c>
      <c r="AH81" s="1092" t="s">
        <v>1222</v>
      </c>
      <c r="AI81" s="1115">
        <v>0</v>
      </c>
      <c r="AJ81" s="1274"/>
      <c r="AK81" s="1274">
        <f t="shared" si="67"/>
        <v>0</v>
      </c>
      <c r="AL81" s="1274"/>
      <c r="AM81" s="1274">
        <f t="shared" si="67"/>
        <v>0</v>
      </c>
      <c r="AN81" s="1274"/>
      <c r="AO81" s="1274">
        <f t="shared" si="67"/>
        <v>0</v>
      </c>
      <c r="AP81" s="1274"/>
      <c r="AQ81" s="1274">
        <f t="shared" si="67"/>
        <v>0</v>
      </c>
      <c r="AR81" s="1274"/>
      <c r="AS81" s="1274">
        <f t="shared" si="67"/>
        <v>0</v>
      </c>
      <c r="AT81" s="1274"/>
      <c r="AU81" s="1274">
        <f t="shared" si="67"/>
        <v>0</v>
      </c>
    </row>
    <row r="82" spans="2:47">
      <c r="B82" s="1092" t="s">
        <v>851</v>
      </c>
      <c r="C82" s="1115">
        <f t="shared" si="68"/>
        <v>633.3529479</v>
      </c>
      <c r="D82" s="1115">
        <f t="shared" si="68"/>
        <v>135.43</v>
      </c>
      <c r="E82" s="1115">
        <f t="shared" si="59"/>
        <v>768.78294789999995</v>
      </c>
      <c r="F82" s="1115">
        <f>F94+F106+F118+F130</f>
        <v>628.6529144999821</v>
      </c>
      <c r="G82" s="1115">
        <f t="shared" si="59"/>
        <v>1397.4358623999819</v>
      </c>
      <c r="H82" s="1115">
        <f>H94+H106+H118+H130</f>
        <v>1114.3890495000001</v>
      </c>
      <c r="I82" s="1115">
        <f t="shared" si="59"/>
        <v>2511.824911899982</v>
      </c>
      <c r="J82" s="1115">
        <f>J94+J106+J118+J130</f>
        <v>407.4</v>
      </c>
      <c r="K82" s="1115">
        <f t="shared" si="61"/>
        <v>2919.2249118999821</v>
      </c>
      <c r="L82" s="1115">
        <f>L94+L106+L118+L130</f>
        <v>1380.8</v>
      </c>
      <c r="M82" s="1115">
        <f t="shared" si="63"/>
        <v>4300.0249118999818</v>
      </c>
      <c r="N82" s="1115">
        <f>N94+N106+N118+N130</f>
        <v>240</v>
      </c>
      <c r="O82" s="1115">
        <f t="shared" si="64"/>
        <v>4540.0249118999818</v>
      </c>
      <c r="P82" s="1115">
        <f>P94+P106+P118+P130</f>
        <v>259.99999999999994</v>
      </c>
      <c r="Q82" s="1115">
        <f t="shared" si="66"/>
        <v>4800.0249118999818</v>
      </c>
      <c r="S82" s="1092" t="s">
        <v>2258</v>
      </c>
      <c r="T82" s="1115">
        <v>10.044934999999995</v>
      </c>
      <c r="U82" s="1274">
        <f t="shared" si="57"/>
        <v>0</v>
      </c>
      <c r="V82" s="1274">
        <f t="shared" si="57"/>
        <v>44.2100258999996</v>
      </c>
      <c r="W82" s="1274">
        <f t="shared" si="57"/>
        <v>35.270413416674998</v>
      </c>
      <c r="X82" s="1274">
        <f t="shared" si="57"/>
        <v>48.366448487848857</v>
      </c>
      <c r="Y82" s="1274">
        <f t="shared" si="57"/>
        <v>12.894209999999998</v>
      </c>
      <c r="Z82" s="1274">
        <f t="shared" si="57"/>
        <v>118.90727532119885</v>
      </c>
      <c r="AA82" s="1274">
        <f t="shared" si="57"/>
        <v>43.702319999999993</v>
      </c>
      <c r="AB82" s="1274">
        <f t="shared" si="57"/>
        <v>144.69569532119885</v>
      </c>
      <c r="AC82" s="1274">
        <f t="shared" si="57"/>
        <v>7.5959999999999992</v>
      </c>
      <c r="AD82" s="1274">
        <f t="shared" si="57"/>
        <v>232.10033532119883</v>
      </c>
      <c r="AE82" s="1274">
        <f t="shared" si="57"/>
        <v>8.2289999999999974</v>
      </c>
      <c r="AF82" s="1274">
        <f t="shared" si="57"/>
        <v>247.29233532119883</v>
      </c>
      <c r="AH82" s="1092" t="s">
        <v>851</v>
      </c>
      <c r="AI82" s="1115">
        <f>282742/10^5</f>
        <v>2.82742</v>
      </c>
      <c r="AJ82" s="1274"/>
      <c r="AK82" s="1274">
        <f t="shared" si="67"/>
        <v>2.8273595</v>
      </c>
      <c r="AL82" s="1274"/>
      <c r="AM82" s="1274">
        <f t="shared" si="67"/>
        <v>19.201765310999999</v>
      </c>
      <c r="AN82" s="1274"/>
      <c r="AO82" s="1274">
        <f t="shared" si="67"/>
        <v>19.201765310999999</v>
      </c>
      <c r="AP82" s="1274"/>
      <c r="AQ82" s="1274">
        <f t="shared" si="67"/>
        <v>19.201765310999999</v>
      </c>
      <c r="AR82" s="1274"/>
      <c r="AS82" s="1274">
        <f t="shared" si="67"/>
        <v>19.201765310999999</v>
      </c>
      <c r="AT82" s="1274"/>
      <c r="AU82" s="1274">
        <f t="shared" si="67"/>
        <v>19.201765310999999</v>
      </c>
    </row>
    <row r="83" spans="2:47" ht="12" thickBot="1">
      <c r="B83" s="1092" t="s">
        <v>239</v>
      </c>
      <c r="C83" s="1116">
        <f>SUM(C75:C82)</f>
        <v>219940.53996240004</v>
      </c>
      <c r="D83" s="1116">
        <f t="shared" ref="D83:Q83" si="69">SUM(D75:D82)</f>
        <v>18058.319381200021</v>
      </c>
      <c r="E83" s="1116">
        <f t="shared" si="69"/>
        <v>237998.85934360008</v>
      </c>
      <c r="F83" s="1116">
        <f>SUM(F75:F82)</f>
        <v>64978.665455100141</v>
      </c>
      <c r="G83" s="1116">
        <f t="shared" si="69"/>
        <v>302977.52479870024</v>
      </c>
      <c r="H83" s="1116">
        <f t="shared" si="69"/>
        <v>138770.41018288786</v>
      </c>
      <c r="I83" s="1116">
        <f t="shared" si="69"/>
        <v>441747.93498158804</v>
      </c>
      <c r="J83" s="1116">
        <f t="shared" si="69"/>
        <v>77190.427117822925</v>
      </c>
      <c r="K83" s="1116">
        <f t="shared" si="69"/>
        <v>518938.36209941108</v>
      </c>
      <c r="L83" s="1116">
        <f t="shared" si="69"/>
        <v>46457.604790419166</v>
      </c>
      <c r="M83" s="1116">
        <f t="shared" si="69"/>
        <v>565395.96688983007</v>
      </c>
      <c r="N83" s="1116">
        <f t="shared" si="69"/>
        <v>44117.724550898209</v>
      </c>
      <c r="O83" s="1116">
        <f t="shared" si="69"/>
        <v>609513.69144072838</v>
      </c>
      <c r="P83" s="1116">
        <f t="shared" si="69"/>
        <v>43857.125748503</v>
      </c>
      <c r="Q83" s="1116">
        <f t="shared" si="69"/>
        <v>653370.8171892314</v>
      </c>
      <c r="S83" s="1092" t="s">
        <v>2229</v>
      </c>
      <c r="T83" s="1116">
        <f>SUM(T75:T82)</f>
        <v>582.3353376700021</v>
      </c>
      <c r="U83" s="1117">
        <f t="shared" ref="U83:AF83" si="70">SUM(U75:U82)</f>
        <v>0</v>
      </c>
      <c r="V83" s="1117">
        <f t="shared" si="70"/>
        <v>3117.5457896017674</v>
      </c>
      <c r="W83" s="1117">
        <f t="shared" si="70"/>
        <v>4916.9118441511828</v>
      </c>
      <c r="X83" s="1117">
        <f t="shared" si="70"/>
        <v>6502.2309977418445</v>
      </c>
      <c r="Y83" s="1117">
        <f t="shared" si="70"/>
        <v>2920.6979211787279</v>
      </c>
      <c r="Z83" s="1117">
        <f t="shared" si="70"/>
        <v>16336.054686044212</v>
      </c>
      <c r="AA83" s="1117">
        <f t="shared" si="70"/>
        <v>1174.7787718562877</v>
      </c>
      <c r="AB83" s="1117">
        <f t="shared" si="70"/>
        <v>22177.450528401667</v>
      </c>
      <c r="AC83" s="1117">
        <f t="shared" si="70"/>
        <v>1214.0246282634732</v>
      </c>
      <c r="AD83" s="1117">
        <f t="shared" si="70"/>
        <v>24527.008072114244</v>
      </c>
      <c r="AE83" s="1117">
        <f t="shared" si="70"/>
        <v>1242.828406227545</v>
      </c>
      <c r="AF83" s="1117">
        <f t="shared" si="70"/>
        <v>26955.057328641185</v>
      </c>
      <c r="AH83" s="1092" t="s">
        <v>2224</v>
      </c>
      <c r="AI83" s="1117">
        <f t="shared" ref="AI83:AU83" si="71">SUM(AI75:AI82)</f>
        <v>8351.5748855339516</v>
      </c>
      <c r="AJ83" s="1117">
        <f t="shared" si="71"/>
        <v>0</v>
      </c>
      <c r="AK83" s="1117">
        <f t="shared" si="71"/>
        <v>7394.709307099999</v>
      </c>
      <c r="AL83" s="1117">
        <f t="shared" si="71"/>
        <v>0</v>
      </c>
      <c r="AM83" s="1117">
        <f t="shared" si="71"/>
        <v>7317.7980567208542</v>
      </c>
      <c r="AN83" s="1117">
        <f t="shared" si="71"/>
        <v>0</v>
      </c>
      <c r="AO83" s="1117">
        <f t="shared" si="71"/>
        <v>7317.7980567208542</v>
      </c>
      <c r="AP83" s="1117">
        <f t="shared" si="71"/>
        <v>0</v>
      </c>
      <c r="AQ83" s="1117">
        <f t="shared" si="71"/>
        <v>7317.7980567208542</v>
      </c>
      <c r="AR83" s="1117">
        <f t="shared" si="71"/>
        <v>0</v>
      </c>
      <c r="AS83" s="1117">
        <f t="shared" si="71"/>
        <v>7317.7980567208542</v>
      </c>
      <c r="AT83" s="1117">
        <f t="shared" si="71"/>
        <v>0</v>
      </c>
      <c r="AU83" s="1117">
        <f t="shared" si="71"/>
        <v>7317.7980567208542</v>
      </c>
    </row>
    <row r="84" spans="2:47" ht="12" thickTop="1"/>
    <row r="85" spans="2:47">
      <c r="V85" s="1274"/>
    </row>
    <row r="86" spans="2:47" ht="45.75" thickBot="1">
      <c r="B86" s="1110" t="s">
        <v>2259</v>
      </c>
      <c r="C86" s="1110" t="s">
        <v>2225</v>
      </c>
      <c r="D86" s="1110" t="s">
        <v>2249</v>
      </c>
      <c r="E86" s="1110" t="s">
        <v>886</v>
      </c>
      <c r="F86" s="1110" t="s">
        <v>2250</v>
      </c>
      <c r="G86" s="1110" t="s">
        <v>175</v>
      </c>
      <c r="H86" s="1110" t="s">
        <v>2251</v>
      </c>
      <c r="I86" s="1110" t="s">
        <v>173</v>
      </c>
      <c r="J86" s="1110" t="s">
        <v>2252</v>
      </c>
      <c r="K86" s="1110" t="s">
        <v>171</v>
      </c>
      <c r="L86" s="1110" t="s">
        <v>2253</v>
      </c>
      <c r="M86" s="1110" t="s">
        <v>2226</v>
      </c>
      <c r="N86" s="1110" t="s">
        <v>2254</v>
      </c>
      <c r="O86" s="1110" t="s">
        <v>2227</v>
      </c>
      <c r="P86" s="1110" t="s">
        <v>2255</v>
      </c>
      <c r="Q86" s="1110" t="s">
        <v>2228</v>
      </c>
      <c r="S86" s="1110" t="s">
        <v>2260</v>
      </c>
      <c r="T86" s="1110" t="s">
        <v>886</v>
      </c>
      <c r="U86" s="1110" t="s">
        <v>2250</v>
      </c>
      <c r="V86" s="1110" t="s">
        <v>175</v>
      </c>
      <c r="W86" s="1110" t="s">
        <v>2251</v>
      </c>
      <c r="X86" s="1110" t="s">
        <v>173</v>
      </c>
      <c r="Y86" s="1110" t="s">
        <v>2252</v>
      </c>
      <c r="Z86" s="1110" t="s">
        <v>171</v>
      </c>
      <c r="AA86" s="1110" t="s">
        <v>2253</v>
      </c>
      <c r="AB86" s="1110" t="s">
        <v>2226</v>
      </c>
      <c r="AC86" s="1110" t="s">
        <v>2254</v>
      </c>
      <c r="AD86" s="1110" t="s">
        <v>2227</v>
      </c>
      <c r="AE86" s="1110" t="s">
        <v>2255</v>
      </c>
      <c r="AF86" s="1110" t="s">
        <v>2228</v>
      </c>
      <c r="AH86" s="1110" t="s">
        <v>2260</v>
      </c>
      <c r="AI86" s="1110" t="s">
        <v>886</v>
      </c>
      <c r="AJ86" s="1110"/>
      <c r="AK86" s="1110" t="s">
        <v>175</v>
      </c>
      <c r="AL86" s="1110"/>
      <c r="AM86" s="1110" t="s">
        <v>173</v>
      </c>
      <c r="AN86" s="1110" t="s">
        <v>2252</v>
      </c>
      <c r="AO86" s="1110" t="s">
        <v>171</v>
      </c>
      <c r="AP86" s="1110" t="s">
        <v>2253</v>
      </c>
      <c r="AQ86" s="1110" t="s">
        <v>2226</v>
      </c>
      <c r="AR86" s="1110" t="s">
        <v>2254</v>
      </c>
      <c r="AS86" s="1110" t="s">
        <v>2227</v>
      </c>
      <c r="AT86" s="1110" t="s">
        <v>2255</v>
      </c>
      <c r="AU86" s="1110" t="s">
        <v>2228</v>
      </c>
    </row>
    <row r="87" spans="2:47" ht="12" thickTop="1">
      <c r="B87" s="1092" t="s">
        <v>1247</v>
      </c>
      <c r="C87" s="1114"/>
      <c r="D87" s="1114"/>
      <c r="E87" s="1115">
        <f>C87+D87</f>
        <v>0</v>
      </c>
      <c r="F87" s="1115"/>
      <c r="G87" s="1115">
        <f>E87+F87</f>
        <v>0</v>
      </c>
      <c r="H87" s="1115"/>
      <c r="I87" s="1115">
        <f>G87+H87</f>
        <v>0</v>
      </c>
      <c r="J87" s="1115"/>
      <c r="K87" s="1115">
        <f>I87+J87</f>
        <v>0</v>
      </c>
      <c r="L87" s="1115"/>
      <c r="M87" s="1115">
        <f>K87+L87</f>
        <v>0</v>
      </c>
      <c r="N87" s="1115"/>
      <c r="O87" s="1115">
        <f>M87+N87</f>
        <v>0</v>
      </c>
      <c r="P87" s="1115"/>
      <c r="Q87" s="1115">
        <f>O87+P87</f>
        <v>0</v>
      </c>
      <c r="S87" s="1092" t="s">
        <v>1247</v>
      </c>
      <c r="T87" s="1274"/>
      <c r="U87" s="1274"/>
      <c r="V87" s="1274"/>
      <c r="W87" s="1274">
        <f>(H87*$D135)/2</f>
        <v>0</v>
      </c>
      <c r="X87" s="1274">
        <f>(G87*$D135)/2</f>
        <v>0</v>
      </c>
      <c r="Y87" s="1274">
        <f t="shared" ref="Y87:Y92" si="72">(J87*$D135)/2</f>
        <v>0</v>
      </c>
      <c r="Z87" s="1274">
        <f>(I87*$D135)/2</f>
        <v>0</v>
      </c>
      <c r="AA87" s="1274">
        <f t="shared" ref="AA87:AA92" si="73">(L87*$D135)/2</f>
        <v>0</v>
      </c>
      <c r="AB87" s="1274">
        <f>(K87*$D135)/2</f>
        <v>0</v>
      </c>
      <c r="AC87" s="1274">
        <f t="shared" ref="AC87:AC92" si="74">(N87*$D135)/2</f>
        <v>0</v>
      </c>
      <c r="AD87" s="1274">
        <f>(M87*$D135)/2</f>
        <v>0</v>
      </c>
      <c r="AE87" s="1274">
        <f t="shared" ref="AE87:AE92" si="75">(P87*$D135)/2</f>
        <v>0</v>
      </c>
      <c r="AF87" s="1274">
        <f>(O87*$D135)/2</f>
        <v>0</v>
      </c>
      <c r="AH87" s="1092" t="s">
        <v>1247</v>
      </c>
      <c r="AI87" s="1274"/>
      <c r="AJ87" s="1274"/>
      <c r="AK87" s="1274"/>
      <c r="AL87" s="1274"/>
      <c r="AM87" s="1274">
        <f t="shared" ref="AM87:AM92" si="76">($C87*$C135)</f>
        <v>0</v>
      </c>
      <c r="AN87" s="1274"/>
      <c r="AO87" s="1274">
        <f t="shared" ref="AO87:AO92" si="77">($C87*$C135)</f>
        <v>0</v>
      </c>
      <c r="AP87" s="1274"/>
      <c r="AQ87" s="1274">
        <f t="shared" ref="AQ87:AQ92" si="78">($C87*$C135)</f>
        <v>0</v>
      </c>
      <c r="AR87" s="1274"/>
      <c r="AS87" s="1274">
        <f t="shared" ref="AS87:AS92" si="79">($C87*$C135)</f>
        <v>0</v>
      </c>
      <c r="AT87" s="1274"/>
      <c r="AU87" s="1274">
        <f t="shared" ref="AU87:AU92" si="80">($C87*$C135)</f>
        <v>0</v>
      </c>
    </row>
    <row r="88" spans="2:47">
      <c r="B88" s="1092" t="s">
        <v>1216</v>
      </c>
      <c r="C88" s="1115"/>
      <c r="D88" s="1115"/>
      <c r="E88" s="1115">
        <f t="shared" ref="E88:E94" si="81">C88+D88</f>
        <v>0</v>
      </c>
      <c r="F88" s="1115"/>
      <c r="G88" s="1115">
        <f t="shared" ref="G88:G94" si="82">E88+F88</f>
        <v>0</v>
      </c>
      <c r="H88" s="1105"/>
      <c r="I88" s="1115">
        <f t="shared" ref="I88:I94" si="83">G88+H88</f>
        <v>0</v>
      </c>
      <c r="J88" s="1105"/>
      <c r="K88" s="1115">
        <f t="shared" ref="K88:K94" si="84">I88+J88</f>
        <v>0</v>
      </c>
      <c r="L88" s="1105"/>
      <c r="M88" s="1115">
        <f t="shared" ref="M88:M94" si="85">K88+L88</f>
        <v>0</v>
      </c>
      <c r="N88" s="1105"/>
      <c r="O88" s="1115">
        <f t="shared" ref="O88:O94" si="86">M88+N88</f>
        <v>0</v>
      </c>
      <c r="P88" s="1105"/>
      <c r="Q88" s="1115">
        <f t="shared" ref="Q88:Q94" si="87">O88+P88</f>
        <v>0</v>
      </c>
      <c r="S88" s="1092" t="s">
        <v>1216</v>
      </c>
      <c r="T88" s="1274"/>
      <c r="U88" s="1274"/>
      <c r="V88" s="1274"/>
      <c r="W88" s="1274">
        <f t="shared" ref="W88:W92" si="88">(H88*$D136)/2</f>
        <v>0</v>
      </c>
      <c r="X88" s="1274">
        <f>(G88*$D136)/2</f>
        <v>0</v>
      </c>
      <c r="Y88" s="1274">
        <f t="shared" si="72"/>
        <v>0</v>
      </c>
      <c r="Z88" s="1274">
        <f>(I88*$D136)/2</f>
        <v>0</v>
      </c>
      <c r="AA88" s="1274">
        <f t="shared" si="73"/>
        <v>0</v>
      </c>
      <c r="AB88" s="1274">
        <f>(K88*$D136)/2</f>
        <v>0</v>
      </c>
      <c r="AC88" s="1274">
        <f t="shared" si="74"/>
        <v>0</v>
      </c>
      <c r="AD88" s="1274">
        <f>(M88*$D136)/2</f>
        <v>0</v>
      </c>
      <c r="AE88" s="1274">
        <f t="shared" si="75"/>
        <v>0</v>
      </c>
      <c r="AF88" s="1274">
        <f>(O88*$D136)/2</f>
        <v>0</v>
      </c>
      <c r="AH88" s="1092" t="s">
        <v>1216</v>
      </c>
      <c r="AI88" s="1274"/>
      <c r="AJ88" s="1274"/>
      <c r="AK88" s="1274"/>
      <c r="AL88" s="1274"/>
      <c r="AM88" s="1274">
        <f t="shared" si="76"/>
        <v>0</v>
      </c>
      <c r="AN88" s="1274"/>
      <c r="AO88" s="1274">
        <f t="shared" si="77"/>
        <v>0</v>
      </c>
      <c r="AP88" s="1274"/>
      <c r="AQ88" s="1274">
        <f t="shared" si="78"/>
        <v>0</v>
      </c>
      <c r="AR88" s="1274"/>
      <c r="AS88" s="1274">
        <f t="shared" si="79"/>
        <v>0</v>
      </c>
      <c r="AT88" s="1274"/>
      <c r="AU88" s="1274">
        <f t="shared" si="80"/>
        <v>0</v>
      </c>
    </row>
    <row r="89" spans="2:47">
      <c r="B89" s="1092" t="s">
        <v>1248</v>
      </c>
      <c r="C89" s="1115">
        <v>139271.0265634</v>
      </c>
      <c r="D89" s="1115">
        <v>10166.1</v>
      </c>
      <c r="E89" s="1115">
        <f t="shared" si="81"/>
        <v>149437.1265634</v>
      </c>
      <c r="F89" s="1115">
        <f>(1829938269.03+635278.59)/10^5+7.6</f>
        <v>18313.335476199998</v>
      </c>
      <c r="G89" s="1115">
        <f t="shared" si="82"/>
        <v>167750.46203960001</v>
      </c>
      <c r="H89" s="1105">
        <f>'[27]F-2'!L37</f>
        <v>29954.136561773332</v>
      </c>
      <c r="I89" s="1115">
        <f>G89+H89</f>
        <v>197704.59860137335</v>
      </c>
      <c r="J89" s="1105">
        <f>'[27]F-2'!Q37</f>
        <v>23229.216976493324</v>
      </c>
      <c r="K89" s="1115">
        <f t="shared" si="84"/>
        <v>220933.81557786668</v>
      </c>
      <c r="L89" s="1105">
        <v>18700</v>
      </c>
      <c r="M89" s="1115">
        <f t="shared" si="85"/>
        <v>239633.81557786668</v>
      </c>
      <c r="N89" s="1105">
        <v>18700</v>
      </c>
      <c r="O89" s="1115">
        <f t="shared" si="86"/>
        <v>258333.81557786668</v>
      </c>
      <c r="P89" s="1105">
        <v>18700</v>
      </c>
      <c r="Q89" s="1115">
        <f t="shared" si="87"/>
        <v>277033.81557786668</v>
      </c>
      <c r="S89" s="1092" t="s">
        <v>2257</v>
      </c>
      <c r="T89" s="1274">
        <f>27369208/10^5</f>
        <v>273.69207999999998</v>
      </c>
      <c r="U89" s="1274"/>
      <c r="V89" s="1274">
        <v>1099.1896265017704</v>
      </c>
      <c r="W89" s="1274">
        <f>(H89*$D137)/2</f>
        <v>790.78920523081592</v>
      </c>
      <c r="X89" s="1274">
        <f>((G89-$C89)*$D137)</f>
        <v>1503.7141931433607</v>
      </c>
      <c r="Y89" s="1274">
        <f>(J89*$D137)/2</f>
        <v>613.25132817942381</v>
      </c>
      <c r="Z89" s="1274">
        <f>((I89-$C89)*$D137)</f>
        <v>3085.292603604993</v>
      </c>
      <c r="AA89" s="1274">
        <f t="shared" si="73"/>
        <v>493.68</v>
      </c>
      <c r="AB89" s="1274">
        <f>((K89-$C89)*$D137)</f>
        <v>4311.7952599638411</v>
      </c>
      <c r="AC89" s="1274">
        <f t="shared" si="74"/>
        <v>493.68</v>
      </c>
      <c r="AD89" s="1274">
        <f>((M89-$C89)*$D137)</f>
        <v>5299.1552599638408</v>
      </c>
      <c r="AE89" s="1274">
        <f t="shared" si="75"/>
        <v>493.68</v>
      </c>
      <c r="AF89" s="1274">
        <f>((O89-$C89)*$D137)</f>
        <v>6286.5152599638413</v>
      </c>
      <c r="AH89" s="1092" t="s">
        <v>1248</v>
      </c>
      <c r="AI89" s="1274">
        <f>529229900.94092/10^5</f>
        <v>5292.2990094092002</v>
      </c>
      <c r="AJ89" s="1274"/>
      <c r="AK89" s="1274">
        <f>529060271.51/10^5</f>
        <v>5290.6027150999998</v>
      </c>
      <c r="AL89" s="1274"/>
      <c r="AM89" s="1274">
        <f t="shared" si="76"/>
        <v>5292.2990094091992</v>
      </c>
      <c r="AN89" s="1274"/>
      <c r="AO89" s="1274">
        <f t="shared" si="77"/>
        <v>5292.2990094091992</v>
      </c>
      <c r="AP89" s="1274"/>
      <c r="AQ89" s="1274">
        <f t="shared" si="78"/>
        <v>5292.2990094091992</v>
      </c>
      <c r="AR89" s="1274"/>
      <c r="AS89" s="1274">
        <f t="shared" si="79"/>
        <v>5292.2990094091992</v>
      </c>
      <c r="AT89" s="1274"/>
      <c r="AU89" s="1274">
        <f t="shared" si="80"/>
        <v>5292.2990094091992</v>
      </c>
    </row>
    <row r="90" spans="2:47">
      <c r="B90" s="1092" t="s">
        <v>1249</v>
      </c>
      <c r="C90" s="1115"/>
      <c r="D90" s="1115"/>
      <c r="E90" s="1115">
        <f t="shared" si="81"/>
        <v>0</v>
      </c>
      <c r="F90" s="1115"/>
      <c r="G90" s="1115">
        <f t="shared" si="82"/>
        <v>0</v>
      </c>
      <c r="H90" s="1105"/>
      <c r="I90" s="1115">
        <f t="shared" si="83"/>
        <v>0</v>
      </c>
      <c r="J90" s="1105"/>
      <c r="K90" s="1115">
        <f t="shared" si="84"/>
        <v>0</v>
      </c>
      <c r="L90" s="1105"/>
      <c r="M90" s="1115">
        <f t="shared" si="85"/>
        <v>0</v>
      </c>
      <c r="N90" s="1105"/>
      <c r="O90" s="1115">
        <f t="shared" si="86"/>
        <v>0</v>
      </c>
      <c r="P90" s="1105"/>
      <c r="Q90" s="1115">
        <f t="shared" si="87"/>
        <v>0</v>
      </c>
      <c r="S90" s="1092" t="s">
        <v>1249</v>
      </c>
      <c r="T90" s="1274"/>
      <c r="U90" s="1274"/>
      <c r="V90" s="1274"/>
      <c r="W90" s="1274">
        <f t="shared" si="88"/>
        <v>0</v>
      </c>
      <c r="X90" s="1274">
        <f>(G90*$D138)/2</f>
        <v>0</v>
      </c>
      <c r="Y90" s="1274">
        <f t="shared" si="72"/>
        <v>0</v>
      </c>
      <c r="Z90" s="1274">
        <f>(I90*$D138)/2</f>
        <v>0</v>
      </c>
      <c r="AA90" s="1274">
        <f t="shared" si="73"/>
        <v>0</v>
      </c>
      <c r="AB90" s="1274">
        <f>(K90*$D138)/2</f>
        <v>0</v>
      </c>
      <c r="AC90" s="1274">
        <f t="shared" si="74"/>
        <v>0</v>
      </c>
      <c r="AD90" s="1274">
        <f>(M90*$D138)/2</f>
        <v>0</v>
      </c>
      <c r="AE90" s="1274">
        <f t="shared" si="75"/>
        <v>0</v>
      </c>
      <c r="AF90" s="1274">
        <f>(O90*$D138)/2</f>
        <v>0</v>
      </c>
      <c r="AH90" s="1092" t="s">
        <v>1249</v>
      </c>
      <c r="AI90" s="1274"/>
      <c r="AJ90" s="1274"/>
      <c r="AK90" s="1274"/>
      <c r="AL90" s="1274"/>
      <c r="AM90" s="1274">
        <f t="shared" si="76"/>
        <v>0</v>
      </c>
      <c r="AN90" s="1274"/>
      <c r="AO90" s="1274">
        <f t="shared" si="77"/>
        <v>0</v>
      </c>
      <c r="AP90" s="1274"/>
      <c r="AQ90" s="1274">
        <f t="shared" si="78"/>
        <v>0</v>
      </c>
      <c r="AR90" s="1274"/>
      <c r="AS90" s="1274">
        <f t="shared" si="79"/>
        <v>0</v>
      </c>
      <c r="AT90" s="1274"/>
      <c r="AU90" s="1274">
        <f t="shared" si="80"/>
        <v>0</v>
      </c>
    </row>
    <row r="91" spans="2:47">
      <c r="B91" s="1092" t="s">
        <v>1218</v>
      </c>
      <c r="C91" s="1115"/>
      <c r="D91" s="1115"/>
      <c r="E91" s="1115">
        <f t="shared" si="81"/>
        <v>0</v>
      </c>
      <c r="F91" s="1115"/>
      <c r="G91" s="1115">
        <f t="shared" si="82"/>
        <v>0</v>
      </c>
      <c r="H91" s="1105"/>
      <c r="I91" s="1115">
        <f t="shared" si="83"/>
        <v>0</v>
      </c>
      <c r="J91" s="1105"/>
      <c r="K91" s="1115">
        <f t="shared" si="84"/>
        <v>0</v>
      </c>
      <c r="L91" s="1105"/>
      <c r="M91" s="1115">
        <f t="shared" si="85"/>
        <v>0</v>
      </c>
      <c r="N91" s="1105"/>
      <c r="O91" s="1115">
        <f t="shared" si="86"/>
        <v>0</v>
      </c>
      <c r="P91" s="1105"/>
      <c r="Q91" s="1115">
        <f t="shared" si="87"/>
        <v>0</v>
      </c>
      <c r="S91" s="1092" t="s">
        <v>1218</v>
      </c>
      <c r="T91" s="1274"/>
      <c r="U91" s="1274"/>
      <c r="V91" s="1274"/>
      <c r="W91" s="1274">
        <f t="shared" si="88"/>
        <v>0</v>
      </c>
      <c r="X91" s="1274">
        <f>(G91*$D139)/2</f>
        <v>0</v>
      </c>
      <c r="Y91" s="1274">
        <f t="shared" si="72"/>
        <v>0</v>
      </c>
      <c r="Z91" s="1274">
        <f>(I91*$D139)/2</f>
        <v>0</v>
      </c>
      <c r="AA91" s="1274">
        <f t="shared" si="73"/>
        <v>0</v>
      </c>
      <c r="AB91" s="1274">
        <f>(K91*$D139)/2</f>
        <v>0</v>
      </c>
      <c r="AC91" s="1274">
        <f t="shared" si="74"/>
        <v>0</v>
      </c>
      <c r="AD91" s="1274">
        <f>(M91*$D139)/2</f>
        <v>0</v>
      </c>
      <c r="AE91" s="1274">
        <f t="shared" si="75"/>
        <v>0</v>
      </c>
      <c r="AF91" s="1274">
        <f>(O91*$D139)/2</f>
        <v>0</v>
      </c>
      <c r="AH91" s="1092" t="s">
        <v>1218</v>
      </c>
      <c r="AI91" s="1274"/>
      <c r="AJ91" s="1274"/>
      <c r="AK91" s="1274"/>
      <c r="AL91" s="1274"/>
      <c r="AM91" s="1274">
        <f t="shared" si="76"/>
        <v>0</v>
      </c>
      <c r="AN91" s="1274"/>
      <c r="AO91" s="1274">
        <f t="shared" si="77"/>
        <v>0</v>
      </c>
      <c r="AP91" s="1274"/>
      <c r="AQ91" s="1274">
        <f t="shared" si="78"/>
        <v>0</v>
      </c>
      <c r="AR91" s="1274"/>
      <c r="AS91" s="1274">
        <f t="shared" si="79"/>
        <v>0</v>
      </c>
      <c r="AT91" s="1274"/>
      <c r="AU91" s="1274">
        <f t="shared" si="80"/>
        <v>0</v>
      </c>
    </row>
    <row r="92" spans="2:47">
      <c r="B92" s="1092" t="s">
        <v>1050</v>
      </c>
      <c r="C92" s="1115"/>
      <c r="D92" s="1115"/>
      <c r="E92" s="1115">
        <f t="shared" si="81"/>
        <v>0</v>
      </c>
      <c r="F92" s="1115"/>
      <c r="G92" s="1115">
        <f t="shared" si="82"/>
        <v>0</v>
      </c>
      <c r="H92" s="1105"/>
      <c r="I92" s="1115">
        <f t="shared" si="83"/>
        <v>0</v>
      </c>
      <c r="J92" s="1105"/>
      <c r="K92" s="1115">
        <f t="shared" si="84"/>
        <v>0</v>
      </c>
      <c r="L92" s="1105"/>
      <c r="M92" s="1115">
        <f t="shared" si="85"/>
        <v>0</v>
      </c>
      <c r="N92" s="1105"/>
      <c r="O92" s="1115">
        <f t="shared" si="86"/>
        <v>0</v>
      </c>
      <c r="P92" s="1105"/>
      <c r="Q92" s="1115">
        <f t="shared" si="87"/>
        <v>0</v>
      </c>
      <c r="S92" s="1092" t="s">
        <v>1050</v>
      </c>
      <c r="T92" s="1274"/>
      <c r="U92" s="1274"/>
      <c r="V92" s="1274"/>
      <c r="W92" s="1274">
        <f t="shared" si="88"/>
        <v>0</v>
      </c>
      <c r="X92" s="1274">
        <f>(G92*$D140)/2</f>
        <v>0</v>
      </c>
      <c r="Y92" s="1274">
        <f t="shared" si="72"/>
        <v>0</v>
      </c>
      <c r="Z92" s="1274">
        <f>(I92*$D140)/2</f>
        <v>0</v>
      </c>
      <c r="AA92" s="1274">
        <f t="shared" si="73"/>
        <v>0</v>
      </c>
      <c r="AB92" s="1274">
        <f>(K92*$D140)/2</f>
        <v>0</v>
      </c>
      <c r="AC92" s="1274">
        <f t="shared" si="74"/>
        <v>0</v>
      </c>
      <c r="AD92" s="1274">
        <f>(M92*$D140)/2</f>
        <v>0</v>
      </c>
      <c r="AE92" s="1274">
        <f t="shared" si="75"/>
        <v>0</v>
      </c>
      <c r="AF92" s="1274">
        <f>(O92*$D140)/2</f>
        <v>0</v>
      </c>
      <c r="AH92" s="1092" t="s">
        <v>1050</v>
      </c>
      <c r="AI92" s="1274"/>
      <c r="AJ92" s="1274"/>
      <c r="AK92" s="1274"/>
      <c r="AL92" s="1274"/>
      <c r="AM92" s="1274">
        <f t="shared" si="76"/>
        <v>0</v>
      </c>
      <c r="AN92" s="1274"/>
      <c r="AO92" s="1274">
        <f t="shared" si="77"/>
        <v>0</v>
      </c>
      <c r="AP92" s="1274"/>
      <c r="AQ92" s="1274">
        <f t="shared" si="78"/>
        <v>0</v>
      </c>
      <c r="AR92" s="1274"/>
      <c r="AS92" s="1274">
        <f t="shared" si="79"/>
        <v>0</v>
      </c>
      <c r="AT92" s="1274"/>
      <c r="AU92" s="1274">
        <f t="shared" si="80"/>
        <v>0</v>
      </c>
    </row>
    <row r="93" spans="2:47">
      <c r="B93" s="1092" t="s">
        <v>1222</v>
      </c>
      <c r="C93" s="1115"/>
      <c r="D93" s="1115"/>
      <c r="E93" s="1115"/>
      <c r="F93" s="1115"/>
      <c r="G93" s="1115"/>
      <c r="H93" s="1105"/>
      <c r="I93" s="1115"/>
      <c r="J93" s="1105"/>
      <c r="K93" s="1115"/>
      <c r="L93" s="1105"/>
      <c r="M93" s="1115"/>
      <c r="N93" s="1105"/>
      <c r="O93" s="1115"/>
      <c r="P93" s="1105"/>
      <c r="Q93" s="1115"/>
      <c r="S93" s="1092" t="s">
        <v>1222</v>
      </c>
      <c r="T93" s="1274"/>
      <c r="U93" s="1274"/>
      <c r="V93" s="1274"/>
      <c r="W93" s="1274"/>
      <c r="X93" s="1274"/>
      <c r="Y93" s="1274"/>
      <c r="Z93" s="1274"/>
      <c r="AA93" s="1274"/>
      <c r="AB93" s="1274"/>
      <c r="AC93" s="1274"/>
      <c r="AD93" s="1274"/>
      <c r="AE93" s="1274"/>
      <c r="AF93" s="1274"/>
      <c r="AI93" s="1274"/>
      <c r="AJ93" s="1274"/>
      <c r="AK93" s="1274"/>
      <c r="AL93" s="1274"/>
      <c r="AM93" s="1274"/>
      <c r="AN93" s="1274"/>
      <c r="AO93" s="1274"/>
      <c r="AP93" s="1274"/>
      <c r="AQ93" s="1274"/>
      <c r="AR93" s="1274"/>
      <c r="AS93" s="1274"/>
      <c r="AT93" s="1274"/>
      <c r="AU93" s="1274"/>
    </row>
    <row r="94" spans="2:47">
      <c r="B94" s="1092" t="s">
        <v>851</v>
      </c>
      <c r="C94" s="1115"/>
      <c r="D94" s="1115"/>
      <c r="E94" s="1115">
        <f t="shared" si="81"/>
        <v>0</v>
      </c>
      <c r="F94" s="1115"/>
      <c r="G94" s="1115">
        <f t="shared" si="82"/>
        <v>0</v>
      </c>
      <c r="H94" s="1105"/>
      <c r="I94" s="1115">
        <f t="shared" si="83"/>
        <v>0</v>
      </c>
      <c r="J94" s="1105"/>
      <c r="K94" s="1115">
        <f t="shared" si="84"/>
        <v>0</v>
      </c>
      <c r="L94" s="1105"/>
      <c r="M94" s="1115">
        <f t="shared" si="85"/>
        <v>0</v>
      </c>
      <c r="N94" s="1105"/>
      <c r="O94" s="1115">
        <f t="shared" si="86"/>
        <v>0</v>
      </c>
      <c r="P94" s="1105"/>
      <c r="Q94" s="1115">
        <f t="shared" si="87"/>
        <v>0</v>
      </c>
      <c r="S94" s="1092" t="s">
        <v>2258</v>
      </c>
      <c r="T94" s="1274"/>
      <c r="U94" s="1274"/>
      <c r="V94" s="1274"/>
      <c r="W94" s="1274">
        <f>(H94*$D141)/2</f>
        <v>0</v>
      </c>
      <c r="X94" s="1274">
        <f>(G94*$D141)/2</f>
        <v>0</v>
      </c>
      <c r="Y94" s="1274">
        <f>(J94*$D141)/2</f>
        <v>0</v>
      </c>
      <c r="Z94" s="1274">
        <f>(I94*$D141)/2</f>
        <v>0</v>
      </c>
      <c r="AA94" s="1274">
        <f>(L94*$D141)/2</f>
        <v>0</v>
      </c>
      <c r="AB94" s="1274">
        <f>(K94*$D141)/2</f>
        <v>0</v>
      </c>
      <c r="AC94" s="1274">
        <f>(N94*$D141)/2</f>
        <v>0</v>
      </c>
      <c r="AD94" s="1274">
        <f>(M94*$D141)/2</f>
        <v>0</v>
      </c>
      <c r="AE94" s="1274">
        <f>(P94*$D141)/2</f>
        <v>0</v>
      </c>
      <c r="AF94" s="1274">
        <f>(O94*$D141)/2</f>
        <v>0</v>
      </c>
      <c r="AH94" s="1092" t="s">
        <v>851</v>
      </c>
      <c r="AI94" s="1274"/>
      <c r="AJ94" s="1274"/>
      <c r="AK94" s="1274"/>
      <c r="AL94" s="1274"/>
      <c r="AM94" s="1274">
        <f>($C94*$C141)</f>
        <v>0</v>
      </c>
      <c r="AN94" s="1274"/>
      <c r="AO94" s="1274">
        <f>($C94*$C141)</f>
        <v>0</v>
      </c>
      <c r="AP94" s="1274"/>
      <c r="AQ94" s="1274">
        <f>($C94*$C141)</f>
        <v>0</v>
      </c>
      <c r="AR94" s="1274"/>
      <c r="AS94" s="1274">
        <f>($C94*$C141)</f>
        <v>0</v>
      </c>
      <c r="AT94" s="1274"/>
      <c r="AU94" s="1274">
        <f>($C94*$C141)</f>
        <v>0</v>
      </c>
    </row>
    <row r="95" spans="2:47" ht="12" thickBot="1">
      <c r="B95" s="1092" t="s">
        <v>2224</v>
      </c>
      <c r="C95" s="1116">
        <f>SUM(C88:C94)</f>
        <v>139271.0265634</v>
      </c>
      <c r="D95" s="1116">
        <f>SUM(D88:D94)</f>
        <v>10166.1</v>
      </c>
      <c r="E95" s="1116">
        <f>SUM(E88:E94)</f>
        <v>149437.1265634</v>
      </c>
      <c r="F95" s="1116">
        <f>SUM(F88:F94)</f>
        <v>18313.335476199998</v>
      </c>
      <c r="G95" s="1116">
        <f t="shared" ref="G95" si="89">SUM(G87:G94)</f>
        <v>167750.46203960001</v>
      </c>
      <c r="H95" s="1116">
        <f>SUM(H88:H94)</f>
        <v>29954.136561773332</v>
      </c>
      <c r="I95" s="1116">
        <f t="shared" ref="I95:Q95" si="90">SUM(I87:I94)</f>
        <v>197704.59860137335</v>
      </c>
      <c r="J95" s="1116">
        <f t="shared" si="90"/>
        <v>23229.216976493324</v>
      </c>
      <c r="K95" s="1116">
        <f t="shared" si="90"/>
        <v>220933.81557786668</v>
      </c>
      <c r="L95" s="1116">
        <f t="shared" si="90"/>
        <v>18700</v>
      </c>
      <c r="M95" s="1116">
        <f t="shared" si="90"/>
        <v>239633.81557786668</v>
      </c>
      <c r="N95" s="1116">
        <f t="shared" si="90"/>
        <v>18700</v>
      </c>
      <c r="O95" s="1116">
        <f t="shared" si="90"/>
        <v>258333.81557786668</v>
      </c>
      <c r="P95" s="1116">
        <f t="shared" si="90"/>
        <v>18700</v>
      </c>
      <c r="Q95" s="1116">
        <f t="shared" si="90"/>
        <v>277033.81557786668</v>
      </c>
      <c r="S95" s="1092" t="s">
        <v>2229</v>
      </c>
      <c r="T95" s="1117">
        <f t="shared" ref="T95:W95" si="91">SUM(T87:T94)</f>
        <v>273.69207999999998</v>
      </c>
      <c r="U95" s="1117">
        <f t="shared" si="91"/>
        <v>0</v>
      </c>
      <c r="V95" s="1117">
        <f t="shared" si="91"/>
        <v>1099.1896265017704</v>
      </c>
      <c r="W95" s="1117">
        <f t="shared" si="91"/>
        <v>790.78920523081592</v>
      </c>
      <c r="X95" s="1117">
        <f>SUM(X87:X94)</f>
        <v>1503.7141931433607</v>
      </c>
      <c r="Y95" s="1117">
        <f t="shared" ref="Y95:AF95" si="92">SUM(Y87:Y94)</f>
        <v>613.25132817942381</v>
      </c>
      <c r="Z95" s="1117">
        <f t="shared" si="92"/>
        <v>3085.292603604993</v>
      </c>
      <c r="AA95" s="1117">
        <f t="shared" si="92"/>
        <v>493.68</v>
      </c>
      <c r="AB95" s="1117">
        <f t="shared" si="92"/>
        <v>4311.7952599638411</v>
      </c>
      <c r="AC95" s="1117">
        <f t="shared" si="92"/>
        <v>493.68</v>
      </c>
      <c r="AD95" s="1117">
        <f t="shared" si="92"/>
        <v>5299.1552599638408</v>
      </c>
      <c r="AE95" s="1117">
        <f t="shared" si="92"/>
        <v>493.68</v>
      </c>
      <c r="AF95" s="1117">
        <f t="shared" si="92"/>
        <v>6286.5152599638413</v>
      </c>
      <c r="AH95" s="1092" t="s">
        <v>239</v>
      </c>
      <c r="AI95" s="1117">
        <f t="shared" ref="AI95:AU95" si="93">SUM(AI87:AI94)</f>
        <v>5292.2990094092002</v>
      </c>
      <c r="AJ95" s="1117">
        <f t="shared" si="93"/>
        <v>0</v>
      </c>
      <c r="AK95" s="1117">
        <f t="shared" si="93"/>
        <v>5290.6027150999998</v>
      </c>
      <c r="AL95" s="1117">
        <f t="shared" si="93"/>
        <v>0</v>
      </c>
      <c r="AM95" s="1117">
        <f t="shared" si="93"/>
        <v>5292.2990094091992</v>
      </c>
      <c r="AN95" s="1117">
        <f t="shared" si="93"/>
        <v>0</v>
      </c>
      <c r="AO95" s="1117">
        <f t="shared" si="93"/>
        <v>5292.2990094091992</v>
      </c>
      <c r="AP95" s="1117">
        <f t="shared" si="93"/>
        <v>0</v>
      </c>
      <c r="AQ95" s="1117">
        <f t="shared" si="93"/>
        <v>5292.2990094091992</v>
      </c>
      <c r="AR95" s="1117">
        <f t="shared" si="93"/>
        <v>0</v>
      </c>
      <c r="AS95" s="1117">
        <f t="shared" si="93"/>
        <v>5292.2990094091992</v>
      </c>
      <c r="AT95" s="1117">
        <f t="shared" si="93"/>
        <v>0</v>
      </c>
      <c r="AU95" s="1117">
        <f t="shared" si="93"/>
        <v>5292.2990094091992</v>
      </c>
    </row>
    <row r="96" spans="2:47" ht="12" thickTop="1"/>
    <row r="98" spans="2:47" ht="45.75" thickBot="1">
      <c r="B98" s="1110" t="s">
        <v>2261</v>
      </c>
      <c r="C98" s="1110" t="s">
        <v>2225</v>
      </c>
      <c r="D98" s="1110" t="s">
        <v>2249</v>
      </c>
      <c r="E98" s="1110" t="s">
        <v>886</v>
      </c>
      <c r="F98" s="1110" t="s">
        <v>2250</v>
      </c>
      <c r="G98" s="1110" t="s">
        <v>175</v>
      </c>
      <c r="H98" s="1110" t="s">
        <v>2251</v>
      </c>
      <c r="I98" s="1110" t="s">
        <v>173</v>
      </c>
      <c r="J98" s="1110" t="s">
        <v>2252</v>
      </c>
      <c r="K98" s="1110" t="s">
        <v>171</v>
      </c>
      <c r="L98" s="1110" t="s">
        <v>2253</v>
      </c>
      <c r="M98" s="1110" t="s">
        <v>2226</v>
      </c>
      <c r="N98" s="1110" t="s">
        <v>2254</v>
      </c>
      <c r="O98" s="1110" t="s">
        <v>2227</v>
      </c>
      <c r="P98" s="1110" t="s">
        <v>2255</v>
      </c>
      <c r="Q98" s="1110" t="s">
        <v>2228</v>
      </c>
      <c r="S98" s="1110" t="s">
        <v>2262</v>
      </c>
      <c r="T98" s="1110" t="s">
        <v>886</v>
      </c>
      <c r="U98" s="1110" t="s">
        <v>2250</v>
      </c>
      <c r="V98" s="1110" t="s">
        <v>175</v>
      </c>
      <c r="W98" s="1110" t="s">
        <v>2251</v>
      </c>
      <c r="X98" s="1110" t="s">
        <v>173</v>
      </c>
      <c r="Y98" s="1110" t="s">
        <v>2252</v>
      </c>
      <c r="Z98" s="1110" t="s">
        <v>171</v>
      </c>
      <c r="AA98" s="1110" t="s">
        <v>2253</v>
      </c>
      <c r="AB98" s="1110" t="s">
        <v>2226</v>
      </c>
      <c r="AC98" s="1110" t="s">
        <v>2254</v>
      </c>
      <c r="AD98" s="1110" t="s">
        <v>2227</v>
      </c>
      <c r="AE98" s="1110" t="s">
        <v>2255</v>
      </c>
      <c r="AF98" s="1110" t="s">
        <v>2228</v>
      </c>
      <c r="AH98" s="1110" t="s">
        <v>2262</v>
      </c>
      <c r="AI98" s="1110" t="s">
        <v>886</v>
      </c>
      <c r="AJ98" s="1110"/>
      <c r="AK98" s="1110" t="s">
        <v>175</v>
      </c>
      <c r="AL98" s="1110"/>
      <c r="AM98" s="1110" t="s">
        <v>173</v>
      </c>
      <c r="AN98" s="1110" t="s">
        <v>2252</v>
      </c>
      <c r="AO98" s="1110" t="s">
        <v>171</v>
      </c>
      <c r="AP98" s="1110" t="s">
        <v>2253</v>
      </c>
      <c r="AQ98" s="1110" t="s">
        <v>2226</v>
      </c>
      <c r="AR98" s="1110" t="s">
        <v>2254</v>
      </c>
      <c r="AS98" s="1110" t="s">
        <v>2227</v>
      </c>
      <c r="AT98" s="1110" t="s">
        <v>2255</v>
      </c>
      <c r="AU98" s="1110" t="s">
        <v>2228</v>
      </c>
    </row>
    <row r="99" spans="2:47" ht="12" thickTop="1">
      <c r="B99" s="1092" t="s">
        <v>1247</v>
      </c>
      <c r="C99" s="1339"/>
      <c r="D99" s="1339"/>
      <c r="E99" s="1274">
        <f>C99+D99</f>
        <v>0</v>
      </c>
      <c r="F99" s="1274"/>
      <c r="G99" s="1274">
        <f>E99+F99</f>
        <v>0</v>
      </c>
      <c r="H99" s="1274"/>
      <c r="I99" s="1274">
        <f>G99+H99</f>
        <v>0</v>
      </c>
      <c r="J99" s="1274"/>
      <c r="K99" s="1274">
        <f>I99+J99</f>
        <v>0</v>
      </c>
      <c r="L99" s="1274"/>
      <c r="M99" s="1274">
        <f>K99+L99</f>
        <v>0</v>
      </c>
      <c r="N99" s="1274"/>
      <c r="O99" s="1274">
        <f>M99+N99</f>
        <v>0</v>
      </c>
      <c r="P99" s="1274"/>
      <c r="Q99" s="1274">
        <f>O99+P99</f>
        <v>0</v>
      </c>
      <c r="S99" s="1092" t="s">
        <v>1247</v>
      </c>
      <c r="T99" s="1274"/>
      <c r="U99" s="1274"/>
      <c r="V99" s="1274"/>
      <c r="W99" s="1274">
        <f t="shared" ref="W99:W104" si="94">(H99*$D135)/2</f>
        <v>0</v>
      </c>
      <c r="X99" s="1274">
        <f>G99*$D135</f>
        <v>0</v>
      </c>
      <c r="Y99" s="1274">
        <f t="shared" ref="Y99:Y104" si="95">(J99*$D135)/2</f>
        <v>0</v>
      </c>
      <c r="Z99" s="1274">
        <f>I99*$D135</f>
        <v>0</v>
      </c>
      <c r="AA99" s="1274">
        <f t="shared" ref="AA99:AA104" si="96">(L99*$D135)/2</f>
        <v>0</v>
      </c>
      <c r="AB99" s="1274">
        <f>K99*$D135</f>
        <v>0</v>
      </c>
      <c r="AC99" s="1274">
        <f t="shared" ref="AC99:AC104" si="97">(N99*$D135)/2</f>
        <v>0</v>
      </c>
      <c r="AD99" s="1274">
        <f>M99*$D135</f>
        <v>0</v>
      </c>
      <c r="AE99" s="1274">
        <f t="shared" ref="AE99:AE104" si="98">(P99*$D135)/2</f>
        <v>0</v>
      </c>
      <c r="AF99" s="1274">
        <f>O99*$D135</f>
        <v>0</v>
      </c>
      <c r="AH99" s="1092" t="s">
        <v>1247</v>
      </c>
      <c r="AI99" s="1274"/>
      <c r="AJ99" s="1274"/>
      <c r="AK99" s="1274"/>
      <c r="AL99" s="1274"/>
      <c r="AM99" s="1274">
        <f t="shared" ref="AM99:AM104" si="99">($C99*$C135)</f>
        <v>0</v>
      </c>
      <c r="AN99" s="1274"/>
      <c r="AO99" s="1274">
        <f t="shared" ref="AO99:AO104" si="100">($C99*$C135)</f>
        <v>0</v>
      </c>
      <c r="AP99" s="1274"/>
      <c r="AQ99" s="1274">
        <f t="shared" ref="AQ99:AQ104" si="101">($C99*$C135)</f>
        <v>0</v>
      </c>
      <c r="AR99" s="1274"/>
      <c r="AS99" s="1274">
        <f t="shared" ref="AS99:AS104" si="102">($C99*$C135)</f>
        <v>0</v>
      </c>
      <c r="AT99" s="1274"/>
      <c r="AU99" s="1274">
        <f t="shared" ref="AU99:AU104" si="103">($C99*$C135)</f>
        <v>0</v>
      </c>
    </row>
    <row r="100" spans="2:47">
      <c r="B100" s="1092" t="s">
        <v>1216</v>
      </c>
      <c r="C100" s="1274"/>
      <c r="D100" s="1274"/>
      <c r="E100" s="1274">
        <f t="shared" ref="E100:E106" si="104">C100+D100</f>
        <v>0</v>
      </c>
      <c r="F100" s="1274"/>
      <c r="G100" s="1274">
        <f t="shared" ref="G100:G106" si="105">E100+F100</f>
        <v>0</v>
      </c>
      <c r="I100" s="1274">
        <f t="shared" ref="I100:I106" si="106">G100+H100</f>
        <v>0</v>
      </c>
      <c r="K100" s="1274">
        <f t="shared" ref="K100:K106" si="107">I100+J100</f>
        <v>0</v>
      </c>
      <c r="M100" s="1274">
        <f t="shared" ref="M100:M106" si="108">K100+L100</f>
        <v>0</v>
      </c>
      <c r="O100" s="1274">
        <f t="shared" ref="O100:O106" si="109">M100+N100</f>
        <v>0</v>
      </c>
      <c r="Q100" s="1274">
        <f t="shared" ref="Q100:Q106" si="110">O100+P100</f>
        <v>0</v>
      </c>
      <c r="S100" s="1092" t="s">
        <v>1216</v>
      </c>
      <c r="T100" s="1274"/>
      <c r="U100" s="1274"/>
      <c r="V100" s="1274"/>
      <c r="W100" s="1274">
        <f t="shared" si="94"/>
        <v>0</v>
      </c>
      <c r="X100" s="1274">
        <f>G100*$D136</f>
        <v>0</v>
      </c>
      <c r="Y100" s="1274">
        <f t="shared" si="95"/>
        <v>0</v>
      </c>
      <c r="Z100" s="1274">
        <f>I100*$D136</f>
        <v>0</v>
      </c>
      <c r="AA100" s="1274">
        <f t="shared" si="96"/>
        <v>0</v>
      </c>
      <c r="AB100" s="1274">
        <f>K100*$D136</f>
        <v>0</v>
      </c>
      <c r="AC100" s="1274">
        <f t="shared" si="97"/>
        <v>0</v>
      </c>
      <c r="AD100" s="1274">
        <f>M100*$D136</f>
        <v>0</v>
      </c>
      <c r="AE100" s="1274">
        <f t="shared" si="98"/>
        <v>0</v>
      </c>
      <c r="AF100" s="1274">
        <f>O100*$D136</f>
        <v>0</v>
      </c>
      <c r="AH100" s="1092" t="s">
        <v>1216</v>
      </c>
      <c r="AI100" s="1274"/>
      <c r="AJ100" s="1274"/>
      <c r="AK100" s="1274"/>
      <c r="AL100" s="1274"/>
      <c r="AM100" s="1274">
        <f t="shared" si="99"/>
        <v>0</v>
      </c>
      <c r="AN100" s="1274"/>
      <c r="AO100" s="1274">
        <f t="shared" si="100"/>
        <v>0</v>
      </c>
      <c r="AP100" s="1274"/>
      <c r="AQ100" s="1274">
        <f t="shared" si="101"/>
        <v>0</v>
      </c>
      <c r="AR100" s="1274"/>
      <c r="AS100" s="1274">
        <f t="shared" si="102"/>
        <v>0</v>
      </c>
      <c r="AT100" s="1274"/>
      <c r="AU100" s="1274">
        <f t="shared" si="103"/>
        <v>0</v>
      </c>
    </row>
    <row r="101" spans="2:47">
      <c r="B101" s="1092" t="s">
        <v>1248</v>
      </c>
      <c r="C101" s="1274">
        <v>25945.904227530398</v>
      </c>
      <c r="D101" s="1274">
        <v>976.2</v>
      </c>
      <c r="E101" s="1274">
        <f t="shared" si="104"/>
        <v>26922.104227530399</v>
      </c>
      <c r="F101" s="1274">
        <f>(172171681.87)/10^5+'[27]F-2'!G20</f>
        <v>1971.2223486999999</v>
      </c>
      <c r="G101" s="1274">
        <f t="shared" si="105"/>
        <v>28893.3265762304</v>
      </c>
      <c r="H101" s="1115">
        <f>SUM('[27]F-2'!L18:L34)</f>
        <v>35928.477580639992</v>
      </c>
      <c r="I101" s="1274">
        <f t="shared" si="106"/>
        <v>64821.804156870392</v>
      </c>
      <c r="J101" s="1115">
        <f>SUM('[27]F-2'!Q18:Q34)</f>
        <v>14769.707611559999</v>
      </c>
      <c r="K101" s="1274">
        <f t="shared" si="107"/>
        <v>79591.511768430384</v>
      </c>
      <c r="L101" s="1092">
        <v>0</v>
      </c>
      <c r="M101" s="1274">
        <f t="shared" si="108"/>
        <v>79591.511768430384</v>
      </c>
      <c r="N101" s="1092">
        <v>0</v>
      </c>
      <c r="O101" s="1274">
        <f t="shared" si="109"/>
        <v>79591.511768430384</v>
      </c>
      <c r="P101" s="1092">
        <v>0</v>
      </c>
      <c r="Q101" s="1274">
        <f t="shared" si="110"/>
        <v>79591.511768430384</v>
      </c>
      <c r="S101" s="1092" t="s">
        <v>2257</v>
      </c>
      <c r="T101" s="1274">
        <f>2043462/10^5</f>
        <v>20.434619999999999</v>
      </c>
      <c r="U101" s="1274"/>
      <c r="V101" s="1274">
        <v>66.272053100000107</v>
      </c>
      <c r="W101" s="1274">
        <f t="shared" si="94"/>
        <v>948.51180812889584</v>
      </c>
      <c r="X101" s="1274">
        <f>((G101-$C101)*$D137)</f>
        <v>155.62390001136009</v>
      </c>
      <c r="Y101" s="1274">
        <f t="shared" si="95"/>
        <v>389.920280945184</v>
      </c>
      <c r="Z101" s="1274">
        <f>((I101-$C101)*$D137)</f>
        <v>2052.6475162691518</v>
      </c>
      <c r="AA101" s="1274">
        <f t="shared" si="96"/>
        <v>0</v>
      </c>
      <c r="AB101" s="1274">
        <f>((K101-$C101)*$D137)</f>
        <v>2832.4880781595193</v>
      </c>
      <c r="AC101" s="1274">
        <f t="shared" si="97"/>
        <v>0</v>
      </c>
      <c r="AD101" s="1274">
        <f>((M101-$C101)*$D137)</f>
        <v>2832.4880781595193</v>
      </c>
      <c r="AE101" s="1274">
        <f t="shared" si="98"/>
        <v>0</v>
      </c>
      <c r="AF101" s="1274">
        <f>((O101-$C101)*$D137)</f>
        <v>2832.4880781595193</v>
      </c>
      <c r="AH101" s="1092" t="s">
        <v>1248</v>
      </c>
      <c r="AI101" s="1274">
        <f>98594436.06/10^5</f>
        <v>985.94436059999998</v>
      </c>
      <c r="AJ101" s="1274"/>
      <c r="AK101" s="1274">
        <f>98594430.86/10^5</f>
        <v>985.9443086</v>
      </c>
      <c r="AL101" s="1274"/>
      <c r="AM101" s="1274">
        <f t="shared" si="99"/>
        <v>985.94436064615513</v>
      </c>
      <c r="AN101" s="1274"/>
      <c r="AO101" s="1274">
        <f t="shared" si="100"/>
        <v>985.94436064615513</v>
      </c>
      <c r="AP101" s="1274"/>
      <c r="AQ101" s="1274">
        <f t="shared" si="101"/>
        <v>985.94436064615513</v>
      </c>
      <c r="AR101" s="1274"/>
      <c r="AS101" s="1274">
        <f t="shared" si="102"/>
        <v>985.94436064615513</v>
      </c>
      <c r="AT101" s="1274"/>
      <c r="AU101" s="1274">
        <f t="shared" si="103"/>
        <v>985.94436064615513</v>
      </c>
    </row>
    <row r="102" spans="2:47">
      <c r="B102" s="1092" t="s">
        <v>1249</v>
      </c>
      <c r="C102" s="1274"/>
      <c r="D102" s="1274"/>
      <c r="E102" s="1274">
        <f t="shared" si="104"/>
        <v>0</v>
      </c>
      <c r="F102" s="1274"/>
      <c r="G102" s="1274">
        <f t="shared" si="105"/>
        <v>0</v>
      </c>
      <c r="I102" s="1274">
        <f t="shared" si="106"/>
        <v>0</v>
      </c>
      <c r="K102" s="1274">
        <f t="shared" si="107"/>
        <v>0</v>
      </c>
      <c r="M102" s="1274">
        <f t="shared" si="108"/>
        <v>0</v>
      </c>
      <c r="O102" s="1274">
        <f t="shared" si="109"/>
        <v>0</v>
      </c>
      <c r="Q102" s="1274">
        <f t="shared" si="110"/>
        <v>0</v>
      </c>
      <c r="S102" s="1092" t="s">
        <v>1249</v>
      </c>
      <c r="T102" s="1274"/>
      <c r="U102" s="1274"/>
      <c r="V102" s="1274"/>
      <c r="W102" s="1274">
        <f t="shared" si="94"/>
        <v>0</v>
      </c>
      <c r="X102" s="1274">
        <f>G102*$D138</f>
        <v>0</v>
      </c>
      <c r="Y102" s="1274">
        <f t="shared" si="95"/>
        <v>0</v>
      </c>
      <c r="Z102" s="1274">
        <f>I102*$D138</f>
        <v>0</v>
      </c>
      <c r="AA102" s="1274">
        <f t="shared" si="96"/>
        <v>0</v>
      </c>
      <c r="AB102" s="1274">
        <f>K102*$D138</f>
        <v>0</v>
      </c>
      <c r="AC102" s="1274">
        <f t="shared" si="97"/>
        <v>0</v>
      </c>
      <c r="AD102" s="1274">
        <f>M102*$D138</f>
        <v>0</v>
      </c>
      <c r="AE102" s="1274">
        <f t="shared" si="98"/>
        <v>0</v>
      </c>
      <c r="AF102" s="1274">
        <f>O102*$D138</f>
        <v>0</v>
      </c>
      <c r="AH102" s="1092" t="s">
        <v>1249</v>
      </c>
      <c r="AI102" s="1274"/>
      <c r="AJ102" s="1274"/>
      <c r="AK102" s="1274"/>
      <c r="AL102" s="1274"/>
      <c r="AM102" s="1274">
        <f t="shared" si="99"/>
        <v>0</v>
      </c>
      <c r="AN102" s="1274"/>
      <c r="AO102" s="1274">
        <f t="shared" si="100"/>
        <v>0</v>
      </c>
      <c r="AP102" s="1274"/>
      <c r="AQ102" s="1274">
        <f t="shared" si="101"/>
        <v>0</v>
      </c>
      <c r="AR102" s="1274"/>
      <c r="AS102" s="1274">
        <f t="shared" si="102"/>
        <v>0</v>
      </c>
      <c r="AT102" s="1274"/>
      <c r="AU102" s="1274">
        <f t="shared" si="103"/>
        <v>0</v>
      </c>
    </row>
    <row r="103" spans="2:47">
      <c r="B103" s="1092" t="s">
        <v>1218</v>
      </c>
      <c r="C103" s="1274"/>
      <c r="D103" s="1274"/>
      <c r="E103" s="1274">
        <f t="shared" si="104"/>
        <v>0</v>
      </c>
      <c r="F103" s="1274"/>
      <c r="G103" s="1274">
        <f t="shared" si="105"/>
        <v>0</v>
      </c>
      <c r="I103" s="1274">
        <f t="shared" si="106"/>
        <v>0</v>
      </c>
      <c r="K103" s="1274">
        <f t="shared" si="107"/>
        <v>0</v>
      </c>
      <c r="M103" s="1274">
        <f t="shared" si="108"/>
        <v>0</v>
      </c>
      <c r="O103" s="1274">
        <f t="shared" si="109"/>
        <v>0</v>
      </c>
      <c r="Q103" s="1274">
        <f t="shared" si="110"/>
        <v>0</v>
      </c>
      <c r="S103" s="1092" t="s">
        <v>1218</v>
      </c>
      <c r="T103" s="1274"/>
      <c r="U103" s="1274"/>
      <c r="V103" s="1274"/>
      <c r="W103" s="1274">
        <f t="shared" si="94"/>
        <v>0</v>
      </c>
      <c r="X103" s="1274">
        <f>G103*$D139</f>
        <v>0</v>
      </c>
      <c r="Y103" s="1274">
        <f t="shared" si="95"/>
        <v>0</v>
      </c>
      <c r="Z103" s="1274">
        <f>I103*$D139</f>
        <v>0</v>
      </c>
      <c r="AA103" s="1274">
        <f t="shared" si="96"/>
        <v>0</v>
      </c>
      <c r="AB103" s="1274">
        <f>K103*$D139</f>
        <v>0</v>
      </c>
      <c r="AC103" s="1274">
        <f t="shared" si="97"/>
        <v>0</v>
      </c>
      <c r="AD103" s="1274">
        <f>M103*$D139</f>
        <v>0</v>
      </c>
      <c r="AE103" s="1274">
        <f t="shared" si="98"/>
        <v>0</v>
      </c>
      <c r="AF103" s="1274">
        <f>O103*$D139</f>
        <v>0</v>
      </c>
      <c r="AH103" s="1092" t="s">
        <v>1218</v>
      </c>
      <c r="AI103" s="1274"/>
      <c r="AJ103" s="1274"/>
      <c r="AK103" s="1274"/>
      <c r="AL103" s="1274"/>
      <c r="AM103" s="1274">
        <f t="shared" si="99"/>
        <v>0</v>
      </c>
      <c r="AN103" s="1274"/>
      <c r="AO103" s="1274">
        <f t="shared" si="100"/>
        <v>0</v>
      </c>
      <c r="AP103" s="1274"/>
      <c r="AQ103" s="1274">
        <f t="shared" si="101"/>
        <v>0</v>
      </c>
      <c r="AR103" s="1274"/>
      <c r="AS103" s="1274">
        <f t="shared" si="102"/>
        <v>0</v>
      </c>
      <c r="AT103" s="1274"/>
      <c r="AU103" s="1274">
        <f t="shared" si="103"/>
        <v>0</v>
      </c>
    </row>
    <row r="104" spans="2:47">
      <c r="B104" s="1092" t="s">
        <v>1050</v>
      </c>
      <c r="E104" s="1274">
        <f t="shared" si="104"/>
        <v>0</v>
      </c>
      <c r="F104" s="1274"/>
      <c r="G104" s="1274">
        <f t="shared" si="105"/>
        <v>0</v>
      </c>
      <c r="I104" s="1274">
        <f t="shared" si="106"/>
        <v>0</v>
      </c>
      <c r="K104" s="1274">
        <f t="shared" si="107"/>
        <v>0</v>
      </c>
      <c r="M104" s="1274">
        <f t="shared" si="108"/>
        <v>0</v>
      </c>
      <c r="O104" s="1274">
        <f t="shared" si="109"/>
        <v>0</v>
      </c>
      <c r="Q104" s="1274">
        <f t="shared" si="110"/>
        <v>0</v>
      </c>
      <c r="S104" s="1092" t="s">
        <v>1050</v>
      </c>
      <c r="T104" s="1274"/>
      <c r="U104" s="1274"/>
      <c r="V104" s="1274"/>
      <c r="W104" s="1274">
        <f t="shared" si="94"/>
        <v>0</v>
      </c>
      <c r="X104" s="1274">
        <f>G104*$D140</f>
        <v>0</v>
      </c>
      <c r="Y104" s="1274">
        <f t="shared" si="95"/>
        <v>0</v>
      </c>
      <c r="Z104" s="1274">
        <f>I104*$D140</f>
        <v>0</v>
      </c>
      <c r="AA104" s="1274">
        <f t="shared" si="96"/>
        <v>0</v>
      </c>
      <c r="AB104" s="1274">
        <f>K104*$D140</f>
        <v>0</v>
      </c>
      <c r="AC104" s="1274">
        <f t="shared" si="97"/>
        <v>0</v>
      </c>
      <c r="AD104" s="1274">
        <f>M104*$D140</f>
        <v>0</v>
      </c>
      <c r="AE104" s="1274">
        <f t="shared" si="98"/>
        <v>0</v>
      </c>
      <c r="AF104" s="1274">
        <f>O104*$D140</f>
        <v>0</v>
      </c>
      <c r="AH104" s="1092" t="s">
        <v>1050</v>
      </c>
      <c r="AI104" s="1274"/>
      <c r="AJ104" s="1274"/>
      <c r="AK104" s="1274"/>
      <c r="AL104" s="1274"/>
      <c r="AM104" s="1274">
        <f t="shared" si="99"/>
        <v>0</v>
      </c>
      <c r="AN104" s="1274"/>
      <c r="AO104" s="1274">
        <f t="shared" si="100"/>
        <v>0</v>
      </c>
      <c r="AP104" s="1274"/>
      <c r="AQ104" s="1274">
        <f t="shared" si="101"/>
        <v>0</v>
      </c>
      <c r="AR104" s="1274"/>
      <c r="AS104" s="1274">
        <f t="shared" si="102"/>
        <v>0</v>
      </c>
      <c r="AT104" s="1274"/>
      <c r="AU104" s="1274">
        <f t="shared" si="103"/>
        <v>0</v>
      </c>
    </row>
    <row r="105" spans="2:47">
      <c r="B105" s="1092" t="s">
        <v>1222</v>
      </c>
      <c r="E105" s="1274"/>
      <c r="F105" s="1274"/>
      <c r="G105" s="1274"/>
      <c r="I105" s="1274"/>
      <c r="K105" s="1274"/>
      <c r="M105" s="1274"/>
      <c r="O105" s="1274"/>
      <c r="Q105" s="1274"/>
      <c r="S105" s="1092" t="s">
        <v>1222</v>
      </c>
      <c r="T105" s="1274"/>
      <c r="U105" s="1274"/>
      <c r="V105" s="1274"/>
      <c r="W105" s="1274"/>
      <c r="X105" s="1274"/>
      <c r="Y105" s="1274"/>
      <c r="Z105" s="1274"/>
      <c r="AA105" s="1274"/>
      <c r="AB105" s="1274"/>
      <c r="AC105" s="1274"/>
      <c r="AD105" s="1274"/>
      <c r="AE105" s="1274"/>
      <c r="AF105" s="1274"/>
      <c r="AI105" s="1274"/>
      <c r="AJ105" s="1274"/>
      <c r="AK105" s="1274"/>
      <c r="AL105" s="1274"/>
      <c r="AM105" s="1274"/>
      <c r="AN105" s="1274"/>
      <c r="AO105" s="1274"/>
      <c r="AP105" s="1274"/>
      <c r="AQ105" s="1274"/>
      <c r="AR105" s="1274"/>
      <c r="AS105" s="1274"/>
      <c r="AT105" s="1274"/>
      <c r="AU105" s="1274"/>
    </row>
    <row r="106" spans="2:47">
      <c r="B106" s="1092" t="s">
        <v>851</v>
      </c>
      <c r="C106" s="1274"/>
      <c r="D106" s="1274"/>
      <c r="E106" s="1274">
        <f t="shared" si="104"/>
        <v>0</v>
      </c>
      <c r="F106" s="1274"/>
      <c r="G106" s="1274">
        <f t="shared" si="105"/>
        <v>0</v>
      </c>
      <c r="I106" s="1274">
        <f t="shared" si="106"/>
        <v>0</v>
      </c>
      <c r="K106" s="1274">
        <f t="shared" si="107"/>
        <v>0</v>
      </c>
      <c r="M106" s="1274">
        <f t="shared" si="108"/>
        <v>0</v>
      </c>
      <c r="O106" s="1274">
        <f t="shared" si="109"/>
        <v>0</v>
      </c>
      <c r="Q106" s="1274">
        <f t="shared" si="110"/>
        <v>0</v>
      </c>
      <c r="S106" s="1092" t="s">
        <v>2258</v>
      </c>
      <c r="T106" s="1274"/>
      <c r="U106" s="1274"/>
      <c r="V106" s="1274"/>
      <c r="W106" s="1274">
        <f>(H106*$D141)/2</f>
        <v>0</v>
      </c>
      <c r="X106" s="1274">
        <f>G106*$D141</f>
        <v>0</v>
      </c>
      <c r="Y106" s="1274">
        <f>(J106*$D141)/2</f>
        <v>0</v>
      </c>
      <c r="Z106" s="1274">
        <f>I106*$D141</f>
        <v>0</v>
      </c>
      <c r="AA106" s="1274">
        <f>(L106*$D141)/2</f>
        <v>0</v>
      </c>
      <c r="AB106" s="1274">
        <f>K106*$D141</f>
        <v>0</v>
      </c>
      <c r="AC106" s="1274">
        <f>(N106*$D141)/2</f>
        <v>0</v>
      </c>
      <c r="AD106" s="1274">
        <f>M106*$D141</f>
        <v>0</v>
      </c>
      <c r="AE106" s="1274">
        <f>(P106*$D141)/2</f>
        <v>0</v>
      </c>
      <c r="AF106" s="1274">
        <f>O106*$D141</f>
        <v>0</v>
      </c>
      <c r="AH106" s="1092" t="s">
        <v>851</v>
      </c>
      <c r="AI106" s="1274"/>
      <c r="AJ106" s="1274"/>
      <c r="AK106" s="1274"/>
      <c r="AL106" s="1274"/>
      <c r="AM106" s="1274">
        <f>($C106*$C141)</f>
        <v>0</v>
      </c>
      <c r="AN106" s="1274"/>
      <c r="AO106" s="1274">
        <f>($C106*$C141)</f>
        <v>0</v>
      </c>
      <c r="AP106" s="1274"/>
      <c r="AQ106" s="1274">
        <f>($C106*$C141)</f>
        <v>0</v>
      </c>
      <c r="AR106" s="1274"/>
      <c r="AS106" s="1274">
        <f>($C106*$C141)</f>
        <v>0</v>
      </c>
      <c r="AT106" s="1274"/>
      <c r="AU106" s="1274">
        <f>($C106*$C141)</f>
        <v>0</v>
      </c>
    </row>
    <row r="107" spans="2:47" ht="12" thickBot="1">
      <c r="B107" s="1092" t="s">
        <v>2224</v>
      </c>
      <c r="C107" s="1117">
        <f>SUM(C100:C106)</f>
        <v>25945.904227530398</v>
      </c>
      <c r="D107" s="1117">
        <f>SUM(D100:D106)</f>
        <v>976.2</v>
      </c>
      <c r="E107" s="1117">
        <f t="shared" ref="E107" si="111">SUM(E99:E106)</f>
        <v>26922.104227530399</v>
      </c>
      <c r="F107" s="1117">
        <f>SUM(F100:F106)</f>
        <v>1971.2223486999999</v>
      </c>
      <c r="G107" s="1117">
        <f t="shared" ref="G107" si="112">SUM(G99:G106)</f>
        <v>28893.3265762304</v>
      </c>
      <c r="H107" s="1117">
        <f>SUM(H100:H106)</f>
        <v>35928.477580639992</v>
      </c>
      <c r="I107" s="1117">
        <f t="shared" ref="I107:Q107" si="113">SUM(I99:I106)</f>
        <v>64821.804156870392</v>
      </c>
      <c r="J107" s="1117">
        <f t="shared" si="113"/>
        <v>14769.707611559999</v>
      </c>
      <c r="K107" s="1117">
        <f t="shared" si="113"/>
        <v>79591.511768430384</v>
      </c>
      <c r="L107" s="1117">
        <f t="shared" si="113"/>
        <v>0</v>
      </c>
      <c r="M107" s="1117">
        <f t="shared" si="113"/>
        <v>79591.511768430384</v>
      </c>
      <c r="N107" s="1117">
        <f t="shared" si="113"/>
        <v>0</v>
      </c>
      <c r="O107" s="1117">
        <f t="shared" si="113"/>
        <v>79591.511768430384</v>
      </c>
      <c r="P107" s="1117">
        <f t="shared" si="113"/>
        <v>0</v>
      </c>
      <c r="Q107" s="1117">
        <f t="shared" si="113"/>
        <v>79591.511768430384</v>
      </c>
      <c r="S107" s="1092" t="s">
        <v>2229</v>
      </c>
      <c r="T107" s="1117">
        <f>SUM(T100:T106)</f>
        <v>20.434619999999999</v>
      </c>
      <c r="U107" s="1117">
        <f t="shared" ref="U107:W107" si="114">SUM(U99:U106)</f>
        <v>0</v>
      </c>
      <c r="V107" s="1117">
        <f t="shared" si="114"/>
        <v>66.272053100000107</v>
      </c>
      <c r="W107" s="1117">
        <f t="shared" si="114"/>
        <v>948.51180812889584</v>
      </c>
      <c r="X107" s="1117">
        <f>SUM(X99:X106)</f>
        <v>155.62390001136009</v>
      </c>
      <c r="Y107" s="1117">
        <f t="shared" ref="Y107:AF107" si="115">SUM(Y99:Y106)</f>
        <v>389.920280945184</v>
      </c>
      <c r="Z107" s="1117">
        <f t="shared" si="115"/>
        <v>2052.6475162691518</v>
      </c>
      <c r="AA107" s="1117">
        <f t="shared" si="115"/>
        <v>0</v>
      </c>
      <c r="AB107" s="1117">
        <f t="shared" si="115"/>
        <v>2832.4880781595193</v>
      </c>
      <c r="AC107" s="1117">
        <f t="shared" si="115"/>
        <v>0</v>
      </c>
      <c r="AD107" s="1117">
        <f t="shared" si="115"/>
        <v>2832.4880781595193</v>
      </c>
      <c r="AE107" s="1117">
        <f t="shared" si="115"/>
        <v>0</v>
      </c>
      <c r="AF107" s="1117">
        <f t="shared" si="115"/>
        <v>2832.4880781595193</v>
      </c>
      <c r="AH107" s="1092" t="s">
        <v>239</v>
      </c>
      <c r="AI107" s="1117">
        <f t="shared" ref="AI107:AU107" si="116">SUM(AI99:AI106)</f>
        <v>985.94436059999998</v>
      </c>
      <c r="AJ107" s="1117">
        <f t="shared" si="116"/>
        <v>0</v>
      </c>
      <c r="AK107" s="1117">
        <f t="shared" si="116"/>
        <v>985.9443086</v>
      </c>
      <c r="AL107" s="1117">
        <f t="shared" si="116"/>
        <v>0</v>
      </c>
      <c r="AM107" s="1117">
        <f t="shared" si="116"/>
        <v>985.94436064615513</v>
      </c>
      <c r="AN107" s="1117">
        <f t="shared" si="116"/>
        <v>0</v>
      </c>
      <c r="AO107" s="1117">
        <f t="shared" si="116"/>
        <v>985.94436064615513</v>
      </c>
      <c r="AP107" s="1117">
        <f t="shared" si="116"/>
        <v>0</v>
      </c>
      <c r="AQ107" s="1117">
        <f t="shared" si="116"/>
        <v>985.94436064615513</v>
      </c>
      <c r="AR107" s="1117">
        <f t="shared" si="116"/>
        <v>0</v>
      </c>
      <c r="AS107" s="1117">
        <f t="shared" si="116"/>
        <v>985.94436064615513</v>
      </c>
      <c r="AT107" s="1117">
        <f t="shared" si="116"/>
        <v>0</v>
      </c>
      <c r="AU107" s="1117">
        <f t="shared" si="116"/>
        <v>985.94436064615513</v>
      </c>
    </row>
    <row r="108" spans="2:47" ht="12" thickTop="1"/>
    <row r="110" spans="2:47" ht="45.75" thickBot="1">
      <c r="B110" s="1110" t="s">
        <v>2263</v>
      </c>
      <c r="C110" s="1110" t="s">
        <v>2225</v>
      </c>
      <c r="D110" s="1110" t="s">
        <v>2249</v>
      </c>
      <c r="E110" s="1110" t="s">
        <v>886</v>
      </c>
      <c r="F110" s="1110" t="s">
        <v>2250</v>
      </c>
      <c r="G110" s="1110" t="s">
        <v>175</v>
      </c>
      <c r="H110" s="1110" t="s">
        <v>2251</v>
      </c>
      <c r="I110" s="1110" t="s">
        <v>173</v>
      </c>
      <c r="J110" s="1110" t="s">
        <v>2252</v>
      </c>
      <c r="K110" s="1110" t="s">
        <v>171</v>
      </c>
      <c r="L110" s="1110" t="s">
        <v>2253</v>
      </c>
      <c r="M110" s="1110" t="s">
        <v>2226</v>
      </c>
      <c r="N110" s="1110" t="s">
        <v>2254</v>
      </c>
      <c r="O110" s="1110" t="s">
        <v>2227</v>
      </c>
      <c r="P110" s="1110" t="s">
        <v>2255</v>
      </c>
      <c r="Q110" s="1110" t="s">
        <v>2228</v>
      </c>
      <c r="S110" s="1110" t="s">
        <v>2264</v>
      </c>
      <c r="T110" s="1110" t="s">
        <v>886</v>
      </c>
      <c r="U110" s="1110" t="s">
        <v>2250</v>
      </c>
      <c r="V110" s="1110" t="s">
        <v>175</v>
      </c>
      <c r="W110" s="1110" t="s">
        <v>2251</v>
      </c>
      <c r="X110" s="1110" t="s">
        <v>173</v>
      </c>
      <c r="Y110" s="1110" t="s">
        <v>2252</v>
      </c>
      <c r="Z110" s="1110" t="s">
        <v>171</v>
      </c>
      <c r="AA110" s="1110" t="s">
        <v>2253</v>
      </c>
      <c r="AB110" s="1110" t="s">
        <v>2226</v>
      </c>
      <c r="AC110" s="1110" t="s">
        <v>2254</v>
      </c>
      <c r="AD110" s="1110" t="s">
        <v>2227</v>
      </c>
      <c r="AE110" s="1110" t="s">
        <v>2255</v>
      </c>
      <c r="AF110" s="1110" t="s">
        <v>2228</v>
      </c>
      <c r="AH110" s="1110" t="s">
        <v>2264</v>
      </c>
      <c r="AI110" s="1110" t="s">
        <v>886</v>
      </c>
      <c r="AJ110" s="1110"/>
      <c r="AK110" s="1110" t="s">
        <v>175</v>
      </c>
      <c r="AL110" s="1110"/>
      <c r="AM110" s="1110" t="s">
        <v>173</v>
      </c>
      <c r="AN110" s="1110" t="s">
        <v>2252</v>
      </c>
      <c r="AO110" s="1110" t="s">
        <v>171</v>
      </c>
      <c r="AP110" s="1110" t="s">
        <v>2253</v>
      </c>
      <c r="AQ110" s="1110" t="s">
        <v>2226</v>
      </c>
      <c r="AR110" s="1110" t="s">
        <v>2254</v>
      </c>
      <c r="AS110" s="1110" t="s">
        <v>2227</v>
      </c>
      <c r="AT110" s="1110" t="s">
        <v>2255</v>
      </c>
      <c r="AU110" s="1110" t="s">
        <v>2228</v>
      </c>
    </row>
    <row r="111" spans="2:47" ht="12" thickTop="1">
      <c r="B111" s="1092" t="s">
        <v>1247</v>
      </c>
      <c r="C111" s="1339"/>
      <c r="D111" s="1339"/>
      <c r="E111" s="1274">
        <f>C111+D111</f>
        <v>0</v>
      </c>
      <c r="F111" s="1274"/>
      <c r="G111" s="1274">
        <f>E111+F111</f>
        <v>0</v>
      </c>
      <c r="H111" s="1274"/>
      <c r="I111" s="1274">
        <f>G111+H111</f>
        <v>0</v>
      </c>
      <c r="J111" s="1274"/>
      <c r="K111" s="1274">
        <f>I111+J111</f>
        <v>0</v>
      </c>
      <c r="L111" s="1274"/>
      <c r="M111" s="1274">
        <f>K111+L111</f>
        <v>0</v>
      </c>
      <c r="N111" s="1274"/>
      <c r="O111" s="1274">
        <f>M111+N111</f>
        <v>0</v>
      </c>
      <c r="P111" s="1274"/>
      <c r="Q111" s="1274">
        <f>O111+P111</f>
        <v>0</v>
      </c>
      <c r="S111" s="1092" t="s">
        <v>1247</v>
      </c>
      <c r="T111" s="1274"/>
      <c r="U111" s="1274"/>
      <c r="V111" s="1274"/>
      <c r="W111" s="1274">
        <f t="shared" ref="W111:W116" si="117">(H111*$D135)/2</f>
        <v>0</v>
      </c>
      <c r="X111" s="1274">
        <f t="shared" ref="X111:X116" si="118">G111*$D135</f>
        <v>0</v>
      </c>
      <c r="Y111" s="1274">
        <f t="shared" ref="Y111:Y116" si="119">(J111*$D135)/2</f>
        <v>0</v>
      </c>
      <c r="Z111" s="1274">
        <f t="shared" ref="Z111:Z116" si="120">I111*$D135</f>
        <v>0</v>
      </c>
      <c r="AA111" s="1274">
        <f t="shared" ref="AA111:AA116" si="121">(L111*$D135)/2</f>
        <v>0</v>
      </c>
      <c r="AB111" s="1274">
        <f t="shared" ref="AB111:AB116" si="122">K111*$D135</f>
        <v>0</v>
      </c>
      <c r="AC111" s="1274">
        <f t="shared" ref="AC111:AC116" si="123">(N111*$D135)/2</f>
        <v>0</v>
      </c>
      <c r="AD111" s="1274">
        <f t="shared" ref="AD111:AD116" si="124">M111*$D135</f>
        <v>0</v>
      </c>
      <c r="AE111" s="1274">
        <f t="shared" ref="AE111:AE116" si="125">(P111*$D135)/2</f>
        <v>0</v>
      </c>
      <c r="AF111" s="1274">
        <f t="shared" ref="AF111:AF116" si="126">O111*$D135</f>
        <v>0</v>
      </c>
      <c r="AH111" s="1092" t="s">
        <v>1247</v>
      </c>
      <c r="AI111" s="1274"/>
      <c r="AJ111" s="1274"/>
      <c r="AK111" s="1274"/>
      <c r="AL111" s="1274"/>
      <c r="AM111" s="1274">
        <f t="shared" ref="AM111:AM116" si="127">($C111*$C147)</f>
        <v>0</v>
      </c>
      <c r="AN111" s="1274"/>
      <c r="AO111" s="1274">
        <f t="shared" ref="AO111:AO116" si="128">($C111*$C147)</f>
        <v>0</v>
      </c>
      <c r="AP111" s="1274"/>
      <c r="AQ111" s="1274">
        <f t="shared" ref="AQ111:AQ116" si="129">($C111*$C147)</f>
        <v>0</v>
      </c>
      <c r="AR111" s="1274"/>
      <c r="AS111" s="1274">
        <f t="shared" ref="AS111:AS116" si="130">($C111*$C147)</f>
        <v>0</v>
      </c>
      <c r="AT111" s="1274"/>
      <c r="AU111" s="1274">
        <f t="shared" ref="AU111:AU116" si="131">($C111*$C147)</f>
        <v>0</v>
      </c>
    </row>
    <row r="112" spans="2:47">
      <c r="B112" s="1092" t="s">
        <v>1216</v>
      </c>
      <c r="C112" s="1274"/>
      <c r="D112" s="1274"/>
      <c r="E112" s="1274">
        <f t="shared" ref="E112:E118" si="132">C112+D112</f>
        <v>0</v>
      </c>
      <c r="F112" s="1274"/>
      <c r="G112" s="1274">
        <f t="shared" ref="G112:G118" si="133">E112+F112</f>
        <v>0</v>
      </c>
      <c r="I112" s="1274">
        <f t="shared" ref="I112:I118" si="134">G112+H112</f>
        <v>0</v>
      </c>
      <c r="K112" s="1274">
        <f t="shared" ref="K112:K118" si="135">I112+J112</f>
        <v>0</v>
      </c>
      <c r="M112" s="1274">
        <f t="shared" ref="M112:M118" si="136">K112+L112</f>
        <v>0</v>
      </c>
      <c r="O112" s="1274">
        <f t="shared" ref="O112:O118" si="137">M112+N112</f>
        <v>0</v>
      </c>
      <c r="Q112" s="1274">
        <f t="shared" ref="Q112:Q118" si="138">O112+P112</f>
        <v>0</v>
      </c>
      <c r="S112" s="1092" t="s">
        <v>1216</v>
      </c>
      <c r="T112" s="1274"/>
      <c r="U112" s="1274"/>
      <c r="V112" s="1274"/>
      <c r="W112" s="1274">
        <f t="shared" si="117"/>
        <v>0</v>
      </c>
      <c r="X112" s="1274">
        <f t="shared" si="118"/>
        <v>0</v>
      </c>
      <c r="Y112" s="1274">
        <f t="shared" si="119"/>
        <v>0</v>
      </c>
      <c r="Z112" s="1274">
        <f t="shared" si="120"/>
        <v>0</v>
      </c>
      <c r="AA112" s="1274">
        <f t="shared" si="121"/>
        <v>0</v>
      </c>
      <c r="AB112" s="1274">
        <f t="shared" si="122"/>
        <v>0</v>
      </c>
      <c r="AC112" s="1274">
        <f t="shared" si="123"/>
        <v>0</v>
      </c>
      <c r="AD112" s="1274">
        <f t="shared" si="124"/>
        <v>0</v>
      </c>
      <c r="AE112" s="1274">
        <f t="shared" si="125"/>
        <v>0</v>
      </c>
      <c r="AF112" s="1274">
        <f t="shared" si="126"/>
        <v>0</v>
      </c>
      <c r="AH112" s="1092" t="s">
        <v>1216</v>
      </c>
      <c r="AI112" s="1274"/>
      <c r="AJ112" s="1274"/>
      <c r="AK112" s="1274"/>
      <c r="AL112" s="1274"/>
      <c r="AM112" s="1274">
        <f t="shared" si="127"/>
        <v>0</v>
      </c>
      <c r="AN112" s="1274"/>
      <c r="AO112" s="1274">
        <f t="shared" si="128"/>
        <v>0</v>
      </c>
      <c r="AP112" s="1274"/>
      <c r="AQ112" s="1274">
        <f t="shared" si="129"/>
        <v>0</v>
      </c>
      <c r="AR112" s="1274"/>
      <c r="AS112" s="1274">
        <f t="shared" si="130"/>
        <v>0</v>
      </c>
      <c r="AT112" s="1274"/>
      <c r="AU112" s="1274">
        <f t="shared" si="131"/>
        <v>0</v>
      </c>
    </row>
    <row r="113" spans="2:47">
      <c r="B113" s="1092" t="s">
        <v>1248</v>
      </c>
      <c r="C113" s="1274">
        <v>0</v>
      </c>
      <c r="D113" s="1274">
        <v>275.74</v>
      </c>
      <c r="E113" s="1274">
        <f t="shared" si="132"/>
        <v>275.74</v>
      </c>
      <c r="F113" s="1274">
        <f>381990782.38/10^5</f>
        <v>3819.9078237999997</v>
      </c>
      <c r="G113" s="1274">
        <f t="shared" si="133"/>
        <v>4095.6478238</v>
      </c>
      <c r="H113" s="1274">
        <f>'[27]F-2'!L36</f>
        <v>13328.351446299999</v>
      </c>
      <c r="I113" s="1274">
        <f t="shared" si="134"/>
        <v>17423.999270100001</v>
      </c>
      <c r="J113" s="1274">
        <f>'[27]F-2'!Q36</f>
        <v>9410.4369600000009</v>
      </c>
      <c r="K113" s="1274">
        <f t="shared" si="135"/>
        <v>26834.4362301</v>
      </c>
      <c r="L113" s="1274"/>
      <c r="M113" s="1274">
        <f t="shared" si="136"/>
        <v>26834.4362301</v>
      </c>
      <c r="N113" s="1274"/>
      <c r="O113" s="1274">
        <f t="shared" si="137"/>
        <v>26834.4362301</v>
      </c>
      <c r="P113" s="1274"/>
      <c r="Q113" s="1274">
        <f t="shared" si="138"/>
        <v>26834.4362301</v>
      </c>
      <c r="S113" s="1092" t="s">
        <v>2257</v>
      </c>
      <c r="T113" s="1105">
        <f>413611.09/10^5</f>
        <v>4.1361109000000003</v>
      </c>
      <c r="U113" s="1274"/>
      <c r="V113" s="1274">
        <v>322.29939809999996</v>
      </c>
      <c r="W113" s="1274">
        <f>(H113*$D143)/2</f>
        <v>1332.8351446300001</v>
      </c>
      <c r="X113" s="1274">
        <f>G113*$D143</f>
        <v>819.12956475999999</v>
      </c>
      <c r="Y113" s="1274">
        <f>(J113*$D143)/2</f>
        <v>941.04369600000018</v>
      </c>
      <c r="Z113" s="1274">
        <f>I113*$D143</f>
        <v>3484.7998540200006</v>
      </c>
      <c r="AA113" s="1274">
        <f>(L113*$D143)/2</f>
        <v>0</v>
      </c>
      <c r="AB113" s="1274">
        <f>K113*$D143</f>
        <v>5366.88724602</v>
      </c>
      <c r="AC113" s="1274">
        <f>(N113*$D143)/2</f>
        <v>0</v>
      </c>
      <c r="AD113" s="1274">
        <f>M113*$D143</f>
        <v>5366.88724602</v>
      </c>
      <c r="AE113" s="1274">
        <f>(P113*$D143)/2</f>
        <v>0</v>
      </c>
      <c r="AF113" s="1274">
        <f>O113*$D143</f>
        <v>5366.88724602</v>
      </c>
      <c r="AH113" s="1092" t="s">
        <v>1248</v>
      </c>
      <c r="AI113" s="1274">
        <f>12286190/10^5</f>
        <v>122.86190000000001</v>
      </c>
      <c r="AJ113" s="1274"/>
      <c r="AK113" s="1274">
        <f>9788899.17/10^5</f>
        <v>97.888991700000005</v>
      </c>
      <c r="AL113" s="1274"/>
      <c r="AM113" s="1274">
        <f t="shared" si="127"/>
        <v>0</v>
      </c>
      <c r="AN113" s="1274"/>
      <c r="AO113" s="1274">
        <f t="shared" si="128"/>
        <v>0</v>
      </c>
      <c r="AP113" s="1274"/>
      <c r="AQ113" s="1274">
        <f t="shared" si="129"/>
        <v>0</v>
      </c>
      <c r="AR113" s="1274"/>
      <c r="AS113" s="1274">
        <f t="shared" si="130"/>
        <v>0</v>
      </c>
      <c r="AT113" s="1274"/>
      <c r="AU113" s="1274">
        <f t="shared" si="131"/>
        <v>0</v>
      </c>
    </row>
    <row r="114" spans="2:47">
      <c r="B114" s="1092" t="s">
        <v>1249</v>
      </c>
      <c r="C114" s="1274"/>
      <c r="D114" s="1274"/>
      <c r="E114" s="1274">
        <f t="shared" si="132"/>
        <v>0</v>
      </c>
      <c r="F114" s="1274"/>
      <c r="G114" s="1274">
        <f t="shared" si="133"/>
        <v>0</v>
      </c>
      <c r="I114" s="1274">
        <f t="shared" si="134"/>
        <v>0</v>
      </c>
      <c r="K114" s="1274">
        <f t="shared" si="135"/>
        <v>0</v>
      </c>
      <c r="M114" s="1274">
        <f t="shared" si="136"/>
        <v>0</v>
      </c>
      <c r="O114" s="1274">
        <f t="shared" si="137"/>
        <v>0</v>
      </c>
      <c r="Q114" s="1274">
        <f t="shared" si="138"/>
        <v>0</v>
      </c>
      <c r="S114" s="1092" t="s">
        <v>1249</v>
      </c>
      <c r="T114" s="1274"/>
      <c r="U114" s="1274"/>
      <c r="V114" s="1274"/>
      <c r="W114" s="1274">
        <f t="shared" si="117"/>
        <v>0</v>
      </c>
      <c r="X114" s="1274">
        <f t="shared" si="118"/>
        <v>0</v>
      </c>
      <c r="Y114" s="1274">
        <f t="shared" si="119"/>
        <v>0</v>
      </c>
      <c r="Z114" s="1274">
        <f t="shared" si="120"/>
        <v>0</v>
      </c>
      <c r="AA114" s="1274">
        <f t="shared" si="121"/>
        <v>0</v>
      </c>
      <c r="AB114" s="1274">
        <f t="shared" si="122"/>
        <v>0</v>
      </c>
      <c r="AC114" s="1274">
        <f t="shared" si="123"/>
        <v>0</v>
      </c>
      <c r="AD114" s="1274">
        <f t="shared" si="124"/>
        <v>0</v>
      </c>
      <c r="AE114" s="1274">
        <f t="shared" si="125"/>
        <v>0</v>
      </c>
      <c r="AF114" s="1274">
        <f t="shared" si="126"/>
        <v>0</v>
      </c>
      <c r="AH114" s="1092" t="s">
        <v>1249</v>
      </c>
      <c r="AI114" s="1274"/>
      <c r="AJ114" s="1274"/>
      <c r="AK114" s="1274"/>
      <c r="AL114" s="1274"/>
      <c r="AM114" s="1274">
        <f t="shared" si="127"/>
        <v>0</v>
      </c>
      <c r="AN114" s="1274"/>
      <c r="AO114" s="1274">
        <f t="shared" si="128"/>
        <v>0</v>
      </c>
      <c r="AP114" s="1274"/>
      <c r="AQ114" s="1274">
        <f t="shared" si="129"/>
        <v>0</v>
      </c>
      <c r="AR114" s="1274"/>
      <c r="AS114" s="1274">
        <f t="shared" si="130"/>
        <v>0</v>
      </c>
      <c r="AT114" s="1274"/>
      <c r="AU114" s="1274">
        <f t="shared" si="131"/>
        <v>0</v>
      </c>
    </row>
    <row r="115" spans="2:47">
      <c r="B115" s="1092" t="s">
        <v>1218</v>
      </c>
      <c r="C115" s="1274"/>
      <c r="D115" s="1274"/>
      <c r="E115" s="1274">
        <f t="shared" si="132"/>
        <v>0</v>
      </c>
      <c r="F115" s="1274"/>
      <c r="G115" s="1274">
        <f t="shared" si="133"/>
        <v>0</v>
      </c>
      <c r="I115" s="1274">
        <f t="shared" si="134"/>
        <v>0</v>
      </c>
      <c r="K115" s="1274">
        <f t="shared" si="135"/>
        <v>0</v>
      </c>
      <c r="M115" s="1274">
        <f t="shared" si="136"/>
        <v>0</v>
      </c>
      <c r="O115" s="1274">
        <f t="shared" si="137"/>
        <v>0</v>
      </c>
      <c r="Q115" s="1274">
        <f t="shared" si="138"/>
        <v>0</v>
      </c>
      <c r="S115" s="1092" t="s">
        <v>1218</v>
      </c>
      <c r="T115" s="1274"/>
      <c r="U115" s="1274"/>
      <c r="V115" s="1274"/>
      <c r="W115" s="1274">
        <f t="shared" si="117"/>
        <v>0</v>
      </c>
      <c r="X115" s="1274">
        <f t="shared" si="118"/>
        <v>0</v>
      </c>
      <c r="Y115" s="1274">
        <f t="shared" si="119"/>
        <v>0</v>
      </c>
      <c r="Z115" s="1274">
        <f t="shared" si="120"/>
        <v>0</v>
      </c>
      <c r="AA115" s="1274">
        <f t="shared" si="121"/>
        <v>0</v>
      </c>
      <c r="AB115" s="1274">
        <f t="shared" si="122"/>
        <v>0</v>
      </c>
      <c r="AC115" s="1274">
        <f t="shared" si="123"/>
        <v>0</v>
      </c>
      <c r="AD115" s="1274">
        <f t="shared" si="124"/>
        <v>0</v>
      </c>
      <c r="AE115" s="1274">
        <f t="shared" si="125"/>
        <v>0</v>
      </c>
      <c r="AF115" s="1274">
        <f t="shared" si="126"/>
        <v>0</v>
      </c>
      <c r="AH115" s="1092" t="s">
        <v>1218</v>
      </c>
      <c r="AI115" s="1274"/>
      <c r="AJ115" s="1274"/>
      <c r="AK115" s="1274"/>
      <c r="AL115" s="1274"/>
      <c r="AM115" s="1274">
        <f t="shared" si="127"/>
        <v>0</v>
      </c>
      <c r="AN115" s="1274"/>
      <c r="AO115" s="1274">
        <f t="shared" si="128"/>
        <v>0</v>
      </c>
      <c r="AP115" s="1274"/>
      <c r="AQ115" s="1274">
        <f t="shared" si="129"/>
        <v>0</v>
      </c>
      <c r="AR115" s="1274"/>
      <c r="AS115" s="1274">
        <f t="shared" si="130"/>
        <v>0</v>
      </c>
      <c r="AT115" s="1274"/>
      <c r="AU115" s="1274">
        <f t="shared" si="131"/>
        <v>0</v>
      </c>
    </row>
    <row r="116" spans="2:47">
      <c r="B116" s="1092" t="s">
        <v>1050</v>
      </c>
      <c r="E116" s="1274">
        <f t="shared" si="132"/>
        <v>0</v>
      </c>
      <c r="F116" s="1274"/>
      <c r="G116" s="1274">
        <f t="shared" si="133"/>
        <v>0</v>
      </c>
      <c r="I116" s="1274">
        <f t="shared" si="134"/>
        <v>0</v>
      </c>
      <c r="K116" s="1274">
        <f t="shared" si="135"/>
        <v>0</v>
      </c>
      <c r="M116" s="1274">
        <f t="shared" si="136"/>
        <v>0</v>
      </c>
      <c r="O116" s="1274">
        <f t="shared" si="137"/>
        <v>0</v>
      </c>
      <c r="Q116" s="1274">
        <f t="shared" si="138"/>
        <v>0</v>
      </c>
      <c r="S116" s="1092" t="s">
        <v>1050</v>
      </c>
      <c r="T116" s="1274"/>
      <c r="U116" s="1274"/>
      <c r="V116" s="1274"/>
      <c r="W116" s="1274">
        <f t="shared" si="117"/>
        <v>0</v>
      </c>
      <c r="X116" s="1274">
        <f t="shared" si="118"/>
        <v>0</v>
      </c>
      <c r="Y116" s="1274">
        <f t="shared" si="119"/>
        <v>0</v>
      </c>
      <c r="Z116" s="1274">
        <f t="shared" si="120"/>
        <v>0</v>
      </c>
      <c r="AA116" s="1274">
        <f t="shared" si="121"/>
        <v>0</v>
      </c>
      <c r="AB116" s="1274">
        <f t="shared" si="122"/>
        <v>0</v>
      </c>
      <c r="AC116" s="1274">
        <f t="shared" si="123"/>
        <v>0</v>
      </c>
      <c r="AD116" s="1274">
        <f t="shared" si="124"/>
        <v>0</v>
      </c>
      <c r="AE116" s="1274">
        <f t="shared" si="125"/>
        <v>0</v>
      </c>
      <c r="AF116" s="1274">
        <f t="shared" si="126"/>
        <v>0</v>
      </c>
      <c r="AH116" s="1092" t="s">
        <v>1050</v>
      </c>
      <c r="AI116" s="1274"/>
      <c r="AJ116" s="1274"/>
      <c r="AK116" s="1274"/>
      <c r="AL116" s="1274"/>
      <c r="AM116" s="1274">
        <f t="shared" si="127"/>
        <v>0</v>
      </c>
      <c r="AN116" s="1274"/>
      <c r="AO116" s="1274">
        <f t="shared" si="128"/>
        <v>0</v>
      </c>
      <c r="AP116" s="1274"/>
      <c r="AQ116" s="1274">
        <f t="shared" si="129"/>
        <v>0</v>
      </c>
      <c r="AR116" s="1274"/>
      <c r="AS116" s="1274">
        <f t="shared" si="130"/>
        <v>0</v>
      </c>
      <c r="AT116" s="1274"/>
      <c r="AU116" s="1274">
        <f t="shared" si="131"/>
        <v>0</v>
      </c>
    </row>
    <row r="117" spans="2:47">
      <c r="B117" s="1092" t="s">
        <v>1222</v>
      </c>
      <c r="E117" s="1274"/>
      <c r="F117" s="1274"/>
      <c r="G117" s="1274"/>
      <c r="I117" s="1274"/>
      <c r="K117" s="1274"/>
      <c r="M117" s="1274"/>
      <c r="O117" s="1274"/>
      <c r="Q117" s="1274"/>
      <c r="S117" s="1092" t="s">
        <v>1222</v>
      </c>
      <c r="T117" s="1274"/>
      <c r="U117" s="1274"/>
      <c r="V117" s="1274"/>
      <c r="W117" s="1274"/>
      <c r="X117" s="1274"/>
      <c r="Y117" s="1274"/>
      <c r="Z117" s="1274"/>
      <c r="AA117" s="1274"/>
      <c r="AB117" s="1274"/>
      <c r="AC117" s="1274"/>
      <c r="AD117" s="1274"/>
      <c r="AE117" s="1274"/>
      <c r="AF117" s="1274"/>
      <c r="AH117" s="1092" t="s">
        <v>1222</v>
      </c>
      <c r="AI117" s="1274"/>
      <c r="AJ117" s="1274"/>
      <c r="AK117" s="1274"/>
      <c r="AL117" s="1274"/>
      <c r="AM117" s="1274"/>
      <c r="AN117" s="1274"/>
      <c r="AO117" s="1274"/>
      <c r="AP117" s="1274"/>
      <c r="AQ117" s="1274"/>
      <c r="AR117" s="1274"/>
      <c r="AS117" s="1274"/>
      <c r="AT117" s="1274"/>
      <c r="AU117" s="1274"/>
    </row>
    <row r="118" spans="2:47">
      <c r="B118" s="1092" t="s">
        <v>851</v>
      </c>
      <c r="C118" s="1274"/>
      <c r="D118" s="1274"/>
      <c r="E118" s="1274">
        <f t="shared" si="132"/>
        <v>0</v>
      </c>
      <c r="F118" s="1274"/>
      <c r="G118" s="1274">
        <f t="shared" si="133"/>
        <v>0</v>
      </c>
      <c r="I118" s="1274">
        <f t="shared" si="134"/>
        <v>0</v>
      </c>
      <c r="K118" s="1274">
        <f t="shared" si="135"/>
        <v>0</v>
      </c>
      <c r="M118" s="1274">
        <f t="shared" si="136"/>
        <v>0</v>
      </c>
      <c r="O118" s="1274">
        <f t="shared" si="137"/>
        <v>0</v>
      </c>
      <c r="Q118" s="1274">
        <f t="shared" si="138"/>
        <v>0</v>
      </c>
      <c r="S118" s="1092" t="s">
        <v>2258</v>
      </c>
      <c r="T118" s="1274"/>
      <c r="U118" s="1274"/>
      <c r="V118" s="1274"/>
      <c r="W118" s="1274">
        <f>(H118*$D141)/2</f>
        <v>0</v>
      </c>
      <c r="X118" s="1274">
        <f>G118*$D141</f>
        <v>0</v>
      </c>
      <c r="Y118" s="1274">
        <f>(J118*$D141)/2</f>
        <v>0</v>
      </c>
      <c r="Z118" s="1274">
        <f>I118*$D141</f>
        <v>0</v>
      </c>
      <c r="AA118" s="1274">
        <f>(L118*$D141)/2</f>
        <v>0</v>
      </c>
      <c r="AB118" s="1274">
        <f>K118*$D141</f>
        <v>0</v>
      </c>
      <c r="AC118" s="1274">
        <f>(N118*$D141)/2</f>
        <v>0</v>
      </c>
      <c r="AD118" s="1274">
        <f>M118*$D141</f>
        <v>0</v>
      </c>
      <c r="AE118" s="1274">
        <f>(P118*$D141)/2</f>
        <v>0</v>
      </c>
      <c r="AF118" s="1274">
        <f>O118*$D141</f>
        <v>0</v>
      </c>
      <c r="AH118" s="1092" t="s">
        <v>851</v>
      </c>
      <c r="AI118" s="1274"/>
      <c r="AJ118" s="1274"/>
      <c r="AK118" s="1274"/>
      <c r="AL118" s="1274"/>
      <c r="AM118" s="1274">
        <f>($C118*$C153)</f>
        <v>0</v>
      </c>
      <c r="AN118" s="1274"/>
      <c r="AO118" s="1274">
        <f>($C118*$C153)</f>
        <v>0</v>
      </c>
      <c r="AP118" s="1274"/>
      <c r="AQ118" s="1274">
        <f>($C118*$C153)</f>
        <v>0</v>
      </c>
      <c r="AR118" s="1274"/>
      <c r="AS118" s="1274">
        <f>($C118*$C153)</f>
        <v>0</v>
      </c>
      <c r="AT118" s="1274"/>
      <c r="AU118" s="1274">
        <f>($C118*$C153)</f>
        <v>0</v>
      </c>
    </row>
    <row r="119" spans="2:47" ht="12" thickBot="1">
      <c r="B119" s="1092" t="s">
        <v>2224</v>
      </c>
      <c r="C119" s="1117">
        <f>SUM(C112:C118)</f>
        <v>0</v>
      </c>
      <c r="D119" s="1117">
        <f>SUM(D112:D118)</f>
        <v>275.74</v>
      </c>
      <c r="E119" s="1117">
        <f t="shared" ref="E119" si="139">SUM(E111:E118)</f>
        <v>275.74</v>
      </c>
      <c r="F119" s="1117">
        <f>SUM(F112:F118)</f>
        <v>3819.9078237999997</v>
      </c>
      <c r="G119" s="1117">
        <f t="shared" ref="G119" si="140">SUM(G111:G118)</f>
        <v>4095.6478238</v>
      </c>
      <c r="H119" s="1117">
        <f>SUM(H112:H118)</f>
        <v>13328.351446299999</v>
      </c>
      <c r="I119" s="1117">
        <f t="shared" ref="I119:Q119" si="141">SUM(I111:I118)</f>
        <v>17423.999270100001</v>
      </c>
      <c r="J119" s="1117">
        <f t="shared" si="141"/>
        <v>9410.4369600000009</v>
      </c>
      <c r="K119" s="1117">
        <f t="shared" si="141"/>
        <v>26834.4362301</v>
      </c>
      <c r="L119" s="1117">
        <f t="shared" si="141"/>
        <v>0</v>
      </c>
      <c r="M119" s="1117">
        <f t="shared" si="141"/>
        <v>26834.4362301</v>
      </c>
      <c r="N119" s="1117">
        <f t="shared" si="141"/>
        <v>0</v>
      </c>
      <c r="O119" s="1117">
        <f t="shared" si="141"/>
        <v>26834.4362301</v>
      </c>
      <c r="P119" s="1117">
        <f t="shared" si="141"/>
        <v>0</v>
      </c>
      <c r="Q119" s="1117">
        <f t="shared" si="141"/>
        <v>26834.4362301</v>
      </c>
      <c r="S119" s="1092" t="s">
        <v>2229</v>
      </c>
      <c r="T119" s="1117">
        <f>SUM(T112:T118)</f>
        <v>4.1361109000000003</v>
      </c>
      <c r="U119" s="1117">
        <f t="shared" ref="U119:W119" si="142">SUM(U111:U118)</f>
        <v>0</v>
      </c>
      <c r="V119" s="1117">
        <f t="shared" si="142"/>
        <v>322.29939809999996</v>
      </c>
      <c r="W119" s="1117">
        <f t="shared" si="142"/>
        <v>1332.8351446300001</v>
      </c>
      <c r="X119" s="1117">
        <f>SUM(X111:X118)</f>
        <v>819.12956475999999</v>
      </c>
      <c r="Y119" s="1117">
        <f t="shared" ref="Y119:AF119" si="143">SUM(Y111:Y118)</f>
        <v>941.04369600000018</v>
      </c>
      <c r="Z119" s="1117">
        <f t="shared" si="143"/>
        <v>3484.7998540200006</v>
      </c>
      <c r="AA119" s="1117">
        <f t="shared" si="143"/>
        <v>0</v>
      </c>
      <c r="AB119" s="1117">
        <f t="shared" si="143"/>
        <v>5366.88724602</v>
      </c>
      <c r="AC119" s="1117">
        <f t="shared" si="143"/>
        <v>0</v>
      </c>
      <c r="AD119" s="1117">
        <f t="shared" si="143"/>
        <v>5366.88724602</v>
      </c>
      <c r="AE119" s="1117">
        <f t="shared" si="143"/>
        <v>0</v>
      </c>
      <c r="AF119" s="1117">
        <f t="shared" si="143"/>
        <v>5366.88724602</v>
      </c>
      <c r="AH119" s="1092" t="s">
        <v>239</v>
      </c>
      <c r="AI119" s="1117">
        <f t="shared" ref="AI119:AU119" si="144">SUM(AI111:AI118)</f>
        <v>122.86190000000001</v>
      </c>
      <c r="AJ119" s="1117">
        <f t="shared" si="144"/>
        <v>0</v>
      </c>
      <c r="AK119" s="1117">
        <f t="shared" si="144"/>
        <v>97.888991700000005</v>
      </c>
      <c r="AL119" s="1117">
        <f t="shared" si="144"/>
        <v>0</v>
      </c>
      <c r="AM119" s="1117">
        <f t="shared" si="144"/>
        <v>0</v>
      </c>
      <c r="AN119" s="1117">
        <f t="shared" si="144"/>
        <v>0</v>
      </c>
      <c r="AO119" s="1117">
        <f t="shared" si="144"/>
        <v>0</v>
      </c>
      <c r="AP119" s="1117">
        <f t="shared" si="144"/>
        <v>0</v>
      </c>
      <c r="AQ119" s="1117">
        <f t="shared" si="144"/>
        <v>0</v>
      </c>
      <c r="AR119" s="1117">
        <f t="shared" si="144"/>
        <v>0</v>
      </c>
      <c r="AS119" s="1117">
        <f t="shared" si="144"/>
        <v>0</v>
      </c>
      <c r="AT119" s="1117">
        <f t="shared" si="144"/>
        <v>0</v>
      </c>
      <c r="AU119" s="1117">
        <f t="shared" si="144"/>
        <v>0</v>
      </c>
    </row>
    <row r="120" spans="2:47" ht="12" thickTop="1"/>
    <row r="122" spans="2:47" ht="45.75" thickBot="1">
      <c r="B122" s="1110" t="s">
        <v>2265</v>
      </c>
      <c r="C122" s="1110" t="s">
        <v>2225</v>
      </c>
      <c r="D122" s="1110" t="s">
        <v>2249</v>
      </c>
      <c r="E122" s="1110" t="s">
        <v>886</v>
      </c>
      <c r="F122" s="1110" t="s">
        <v>2250</v>
      </c>
      <c r="G122" s="1110" t="s">
        <v>175</v>
      </c>
      <c r="H122" s="1110" t="s">
        <v>2251</v>
      </c>
      <c r="I122" s="1110" t="s">
        <v>173</v>
      </c>
      <c r="J122" s="1110" t="s">
        <v>2252</v>
      </c>
      <c r="K122" s="1110" t="s">
        <v>171</v>
      </c>
      <c r="L122" s="1110" t="s">
        <v>2253</v>
      </c>
      <c r="M122" s="1110" t="s">
        <v>2226</v>
      </c>
      <c r="N122" s="1110" t="s">
        <v>2254</v>
      </c>
      <c r="O122" s="1110" t="s">
        <v>2227</v>
      </c>
      <c r="P122" s="1110" t="s">
        <v>2255</v>
      </c>
      <c r="Q122" s="1110" t="s">
        <v>2228</v>
      </c>
      <c r="S122" s="1110" t="s">
        <v>2266</v>
      </c>
      <c r="T122" s="1110" t="s">
        <v>886</v>
      </c>
      <c r="U122" s="1110" t="s">
        <v>2250</v>
      </c>
      <c r="V122" s="1110" t="s">
        <v>175</v>
      </c>
      <c r="W122" s="1110" t="s">
        <v>2251</v>
      </c>
      <c r="X122" s="1110" t="s">
        <v>173</v>
      </c>
      <c r="Y122" s="1110" t="s">
        <v>2252</v>
      </c>
      <c r="Z122" s="1110" t="s">
        <v>171</v>
      </c>
      <c r="AA122" s="1110" t="s">
        <v>2253</v>
      </c>
      <c r="AB122" s="1110" t="s">
        <v>2226</v>
      </c>
      <c r="AC122" s="1110" t="s">
        <v>2254</v>
      </c>
      <c r="AD122" s="1110" t="s">
        <v>2227</v>
      </c>
      <c r="AE122" s="1110" t="s">
        <v>2255</v>
      </c>
      <c r="AF122" s="1110" t="s">
        <v>2228</v>
      </c>
      <c r="AH122" s="1110" t="s">
        <v>2267</v>
      </c>
      <c r="AI122" s="1110" t="s">
        <v>886</v>
      </c>
      <c r="AJ122" s="1110"/>
      <c r="AK122" s="1110" t="s">
        <v>175</v>
      </c>
      <c r="AL122" s="1110"/>
      <c r="AM122" s="1110" t="s">
        <v>173</v>
      </c>
      <c r="AN122" s="1110" t="s">
        <v>2252</v>
      </c>
      <c r="AO122" s="1110" t="s">
        <v>171</v>
      </c>
      <c r="AP122" s="1110" t="s">
        <v>2253</v>
      </c>
      <c r="AQ122" s="1110" t="s">
        <v>2226</v>
      </c>
      <c r="AR122" s="1110" t="s">
        <v>2254</v>
      </c>
      <c r="AS122" s="1110" t="s">
        <v>2227</v>
      </c>
      <c r="AT122" s="1110" t="s">
        <v>2255</v>
      </c>
      <c r="AU122" s="1110" t="s">
        <v>2228</v>
      </c>
    </row>
    <row r="123" spans="2:47" ht="12" thickTop="1">
      <c r="B123" s="1092" t="s">
        <v>1247</v>
      </c>
      <c r="C123" s="1274">
        <v>0</v>
      </c>
      <c r="D123" s="1274">
        <v>0</v>
      </c>
      <c r="E123" s="1274">
        <f>SUM(C123:D123)</f>
        <v>0</v>
      </c>
      <c r="F123" s="1274">
        <v>0</v>
      </c>
      <c r="G123" s="1274">
        <f>SUM(E123:F123)</f>
        <v>0</v>
      </c>
      <c r="H123" s="1274">
        <f>'[27]F-2'!L8</f>
        <v>0</v>
      </c>
      <c r="I123" s="1274">
        <f>SUM(G123:H123)</f>
        <v>0</v>
      </c>
      <c r="J123" s="1115">
        <f>'[27]F-2'!Q8</f>
        <v>0</v>
      </c>
      <c r="K123" s="1274">
        <f>SUM(I123:J123)</f>
        <v>0</v>
      </c>
      <c r="L123" s="1274">
        <v>0</v>
      </c>
      <c r="M123" s="1274">
        <f>SUM(K123:L123)</f>
        <v>0</v>
      </c>
      <c r="N123" s="1274">
        <v>0</v>
      </c>
      <c r="O123" s="1274">
        <f>SUM(M123:N123)</f>
        <v>0</v>
      </c>
      <c r="P123" s="1274">
        <v>0</v>
      </c>
      <c r="Q123" s="1274">
        <f>SUM(O123:P123)</f>
        <v>0</v>
      </c>
      <c r="S123" s="1092" t="s">
        <v>1247</v>
      </c>
      <c r="T123" s="1274">
        <f>T75-T87-T99-T111</f>
        <v>0</v>
      </c>
      <c r="U123" s="1274"/>
      <c r="V123" s="1274"/>
      <c r="W123" s="1274">
        <f t="shared" ref="W123:W128" si="145">(H123*$E135)/2</f>
        <v>0</v>
      </c>
      <c r="X123" s="1274">
        <f t="shared" ref="X123:X127" si="146">((G123-C123)*$E135)</f>
        <v>0</v>
      </c>
      <c r="Y123" s="1274">
        <f t="shared" ref="Y123:Y128" si="147">(J123*$E135)/2</f>
        <v>0</v>
      </c>
      <c r="Z123" s="1274">
        <f t="shared" ref="Z123:Z128" si="148">((I123-C123)*$E135)</f>
        <v>0</v>
      </c>
      <c r="AA123" s="1274">
        <f>(L123*$E135)/2</f>
        <v>0</v>
      </c>
      <c r="AB123" s="1274">
        <f t="shared" ref="AB123:AB128" si="149">((K123-C123)*$E135)</f>
        <v>0</v>
      </c>
      <c r="AC123" s="1274">
        <f t="shared" ref="AC123:AC128" si="150">(N123*$E135)/2</f>
        <v>0</v>
      </c>
      <c r="AD123" s="1274">
        <f t="shared" ref="AD123:AD128" si="151">((M123-C123)*$E135)</f>
        <v>0</v>
      </c>
      <c r="AE123" s="1274">
        <f t="shared" ref="AE123:AE128" si="152">(P123*$E135)/2</f>
        <v>0</v>
      </c>
      <c r="AF123" s="1274">
        <f t="shared" ref="AF123:AF128" si="153">((O123-C123)*$E135)</f>
        <v>0</v>
      </c>
      <c r="AH123" s="1092" t="s">
        <v>1247</v>
      </c>
      <c r="AI123" s="1274">
        <f>AI75-AI87-AI99-AI111</f>
        <v>0</v>
      </c>
      <c r="AJ123" s="1274"/>
      <c r="AK123" s="1274"/>
      <c r="AL123" s="1274"/>
      <c r="AM123" s="1274">
        <f>($C123*$C135)</f>
        <v>0</v>
      </c>
      <c r="AN123" s="1274"/>
      <c r="AO123" s="1274">
        <f>($C123*$C135)</f>
        <v>0</v>
      </c>
      <c r="AP123" s="1274"/>
      <c r="AQ123" s="1274">
        <f>($C123*$C135)</f>
        <v>0</v>
      </c>
      <c r="AR123" s="1274"/>
      <c r="AS123" s="1274">
        <f>($C123*$C135)</f>
        <v>0</v>
      </c>
      <c r="AT123" s="1274"/>
      <c r="AU123" s="1274">
        <f>($C123*$C135)</f>
        <v>0</v>
      </c>
    </row>
    <row r="124" spans="2:47">
      <c r="B124" s="1092" t="s">
        <v>1216</v>
      </c>
      <c r="C124" s="1274">
        <v>559.08000000000004</v>
      </c>
      <c r="D124" s="1274">
        <v>402.08</v>
      </c>
      <c r="E124" s="1274">
        <f>SUM(C124:D124)</f>
        <v>961.16000000000008</v>
      </c>
      <c r="F124" s="1274">
        <v>6043.6202882000007</v>
      </c>
      <c r="G124" s="1274">
        <f t="shared" ref="G124:G130" si="154">SUM(E124:F124)</f>
        <v>7004.7802882000005</v>
      </c>
      <c r="H124" s="1274">
        <f>'[27]F-2'!L9</f>
        <v>5081.7055796999975</v>
      </c>
      <c r="I124" s="1274">
        <f t="shared" ref="I124:I130" si="155">SUM(G124:H124)</f>
        <v>12086.485867899999</v>
      </c>
      <c r="J124" s="1115">
        <f>'[27]F-2'!Q9</f>
        <v>4911.2</v>
      </c>
      <c r="K124" s="1274">
        <f t="shared" ref="K124:K130" si="156">SUM(I124:J124)</f>
        <v>16997.6858679</v>
      </c>
      <c r="L124" s="1274">
        <f>'[27]Proposal FY 25-26'!G68*100</f>
        <v>3707.6</v>
      </c>
      <c r="M124" s="1274">
        <f t="shared" ref="M124:M130" si="157">SUM(K124:L124)</f>
        <v>20705.285867899998</v>
      </c>
      <c r="N124" s="1274">
        <f>'[27]Proposal FY 26-27'!M52*100</f>
        <v>2811.6</v>
      </c>
      <c r="O124" s="1274">
        <f t="shared" ref="O124:O130" si="158">SUM(M124:N124)</f>
        <v>23516.885867899997</v>
      </c>
      <c r="P124" s="1274">
        <f>'[27]Proposed FY 27-28'!L53*100</f>
        <v>2582</v>
      </c>
      <c r="Q124" s="1274">
        <f t="shared" ref="Q124:Q130" si="159">SUM(O124:P124)</f>
        <v>26098.885867899997</v>
      </c>
      <c r="S124" s="1092" t="s">
        <v>1216</v>
      </c>
      <c r="T124" s="1274">
        <f t="shared" ref="T124:T130" si="160">T76-T88-T100-T112</f>
        <v>3.82823</v>
      </c>
      <c r="U124" s="1274"/>
      <c r="V124" s="1274">
        <v>102.0459309</v>
      </c>
      <c r="W124" s="1274">
        <f t="shared" si="145"/>
        <v>84.86448318098995</v>
      </c>
      <c r="X124" s="1274">
        <f>((G124-C124)*$E136)</f>
        <v>215.28638962588002</v>
      </c>
      <c r="Y124" s="1274">
        <f>(J124*$E136)/2</f>
        <v>82.017039999999994</v>
      </c>
      <c r="Z124" s="1274">
        <f t="shared" si="148"/>
        <v>385.01535598785995</v>
      </c>
      <c r="AA124" s="1274">
        <f t="shared" ref="AA124:AA128" si="161">(L124*$E136)/2</f>
        <v>61.916919999999998</v>
      </c>
      <c r="AB124" s="1274">
        <f t="shared" si="149"/>
        <v>549.04943598785997</v>
      </c>
      <c r="AC124" s="1274">
        <f t="shared" si="150"/>
        <v>46.953719999999997</v>
      </c>
      <c r="AD124" s="1274">
        <f t="shared" si="151"/>
        <v>672.88327598785986</v>
      </c>
      <c r="AE124" s="1274">
        <f t="shared" si="152"/>
        <v>43.119399999999999</v>
      </c>
      <c r="AF124" s="1274">
        <f t="shared" si="153"/>
        <v>766.79071598785981</v>
      </c>
      <c r="AH124" s="1092" t="s">
        <v>1216</v>
      </c>
      <c r="AI124" s="1274">
        <f t="shared" ref="AI124:AI130" si="162">AI76-AI88-AI100-AI112</f>
        <v>9.1121300000000005</v>
      </c>
      <c r="AJ124" s="1274"/>
      <c r="AK124" s="1274">
        <v>9.1121338000000005</v>
      </c>
      <c r="AL124" s="1274"/>
      <c r="AM124" s="1274">
        <f>($C124*$C136)</f>
        <v>10.063440000000002</v>
      </c>
      <c r="AN124" s="1274"/>
      <c r="AO124" s="1274">
        <f>($C124*$C136)</f>
        <v>10.063440000000002</v>
      </c>
      <c r="AP124" s="1274"/>
      <c r="AQ124" s="1274">
        <f>($C124*$C136)</f>
        <v>10.063440000000002</v>
      </c>
      <c r="AR124" s="1274"/>
      <c r="AS124" s="1274">
        <f>($C124*$C136)</f>
        <v>10.063440000000002</v>
      </c>
      <c r="AT124" s="1274"/>
      <c r="AU124" s="1274">
        <f>($C124*$C136)</f>
        <v>10.063440000000002</v>
      </c>
    </row>
    <row r="125" spans="2:47">
      <c r="B125" s="1092" t="s">
        <v>1248</v>
      </c>
      <c r="C125" s="1274">
        <v>53250.977024569627</v>
      </c>
      <c r="D125" s="1274">
        <v>2666.4700000000003</v>
      </c>
      <c r="E125" s="1274">
        <f>SUM(C125:D125)</f>
        <v>55917.447024569628</v>
      </c>
      <c r="F125" s="1274">
        <f>(27392.4381302002-7.6)-'[27]F-2'!G20</f>
        <v>27135.332600200203</v>
      </c>
      <c r="G125" s="1274">
        <f t="shared" si="154"/>
        <v>83052.779624769828</v>
      </c>
      <c r="H125" s="1274">
        <f>'[27]F-2'!L15-'[27]F-2'!L36</f>
        <v>43675.302748574541</v>
      </c>
      <c r="I125" s="1274">
        <f t="shared" si="155"/>
        <v>126728.08237334437</v>
      </c>
      <c r="J125" s="1115">
        <f>30768.6655697696-12500</f>
        <v>18268.665569769601</v>
      </c>
      <c r="K125" s="1274">
        <f t="shared" si="156"/>
        <v>144996.74794311397</v>
      </c>
      <c r="L125" s="1274">
        <f>('[27]Proposal FY 25-26'!G70+'[27]Proposal FY 25-26'!G83)*100</f>
        <v>21175.204790419164</v>
      </c>
      <c r="M125" s="1274">
        <f t="shared" si="157"/>
        <v>166171.95273353314</v>
      </c>
      <c r="N125" s="1274">
        <f>('[27]Proposal FY 26-27'!M53+'[27]Proposal FY 26-27'!M57+'[27]Proposal FY 26-27'!M65)*100</f>
        <v>20330.124550898207</v>
      </c>
      <c r="O125" s="1274">
        <f t="shared" si="158"/>
        <v>186502.07728443135</v>
      </c>
      <c r="P125" s="1274">
        <f>('[27]Proposed FY 27-28'!L54+'[27]Proposed FY 27-28'!L58+'[27]Proposed FY 27-28'!L66)*100</f>
        <v>19994.325748502997</v>
      </c>
      <c r="Q125" s="1274">
        <f t="shared" si="159"/>
        <v>206496.40303293435</v>
      </c>
      <c r="S125" s="1092" t="s">
        <v>2257</v>
      </c>
      <c r="T125" s="1274">
        <f t="shared" si="160"/>
        <v>39.73228730000006</v>
      </c>
      <c r="U125" s="1274"/>
      <c r="V125" s="1274">
        <v>481.11616420001099</v>
      </c>
      <c r="W125" s="1274">
        <f>(H125*$E137)/2</f>
        <v>1019.8183191792155</v>
      </c>
      <c r="X125" s="1274">
        <f t="shared" si="146"/>
        <v>1391.7441814293493</v>
      </c>
      <c r="Y125" s="1274">
        <f t="shared" si="147"/>
        <v>426.57334105412014</v>
      </c>
      <c r="Z125" s="1274">
        <f t="shared" si="148"/>
        <v>3431.3808197877802</v>
      </c>
      <c r="AA125" s="1274">
        <f t="shared" si="161"/>
        <v>494.44103185628745</v>
      </c>
      <c r="AB125" s="1274">
        <f t="shared" si="149"/>
        <v>4284.5275018960201</v>
      </c>
      <c r="AC125" s="1274">
        <f t="shared" si="150"/>
        <v>474.70840826347313</v>
      </c>
      <c r="AD125" s="1274">
        <f t="shared" si="151"/>
        <v>5273.4095656085956</v>
      </c>
      <c r="AE125" s="1274">
        <f t="shared" si="152"/>
        <v>466.86750622754499</v>
      </c>
      <c r="AF125" s="1274">
        <f t="shared" si="153"/>
        <v>6222.8263821355431</v>
      </c>
      <c r="AH125" s="1092" t="s">
        <v>1248</v>
      </c>
      <c r="AI125" s="1274">
        <f>AI77-AI89-AI101-AI113</f>
        <v>1898.9390299907993</v>
      </c>
      <c r="AJ125" s="1274"/>
      <c r="AK125" s="1274">
        <v>992.98302909999904</v>
      </c>
      <c r="AL125" s="1274"/>
      <c r="AM125" s="1274">
        <f>$C145*$C137</f>
        <v>993.00000000000011</v>
      </c>
      <c r="AN125" s="1274"/>
      <c r="AO125" s="1274">
        <f>$C145*$C137</f>
        <v>993.00000000000011</v>
      </c>
      <c r="AP125" s="1274"/>
      <c r="AQ125" s="1274">
        <f>$C145*$C137</f>
        <v>993.00000000000011</v>
      </c>
      <c r="AR125" s="1274"/>
      <c r="AS125" s="1274">
        <f>$C145*$C137</f>
        <v>993.00000000000011</v>
      </c>
      <c r="AT125" s="1274"/>
      <c r="AU125" s="1274">
        <f>$C145*$C137</f>
        <v>993.00000000000011</v>
      </c>
    </row>
    <row r="126" spans="2:47">
      <c r="B126" s="1092" t="s">
        <v>1249</v>
      </c>
      <c r="C126" s="1274">
        <v>225.56119899999999</v>
      </c>
      <c r="D126" s="1274">
        <v>81.239999999999995</v>
      </c>
      <c r="E126" s="1274">
        <f t="shared" ref="E126:E130" si="163">SUM(C126:D126)</f>
        <v>306.801199</v>
      </c>
      <c r="F126" s="1274">
        <f>510.051878500003+12.375</f>
        <v>522.426878500003</v>
      </c>
      <c r="G126" s="1274">
        <f t="shared" si="154"/>
        <v>829.228077500003</v>
      </c>
      <c r="H126" s="1274">
        <f>'[27]F-2'!L10</f>
        <v>421.74776460000027</v>
      </c>
      <c r="I126" s="1274">
        <f t="shared" si="155"/>
        <v>1250.9758421000033</v>
      </c>
      <c r="J126" s="1115">
        <f>'[27]F-2'!Q10</f>
        <v>118.5</v>
      </c>
      <c r="K126" s="1274">
        <f t="shared" si="156"/>
        <v>1369.4758421000033</v>
      </c>
      <c r="L126" s="1274">
        <f>'[27]Proposal FY 25-26'!G72*100</f>
        <v>690</v>
      </c>
      <c r="M126" s="1274">
        <f t="shared" si="157"/>
        <v>2059.4758421000033</v>
      </c>
      <c r="N126" s="1274">
        <f>'[27]Proposal FY 26-27'!M55*100</f>
        <v>310</v>
      </c>
      <c r="O126" s="1274">
        <f t="shared" si="158"/>
        <v>2369.4758421000033</v>
      </c>
      <c r="P126" s="1274">
        <f>'[27]Proposed FY 27-28'!L56*100</f>
        <v>150</v>
      </c>
      <c r="Q126" s="1274">
        <f t="shared" si="159"/>
        <v>2519.4758421000033</v>
      </c>
      <c r="S126" s="1092" t="s">
        <v>1249</v>
      </c>
      <c r="T126" s="1274">
        <f t="shared" si="160"/>
        <v>26.384100279999998</v>
      </c>
      <c r="U126" s="1274"/>
      <c r="V126" s="1274">
        <v>130.2940528</v>
      </c>
      <c r="W126" s="1274">
        <f t="shared" si="145"/>
        <v>13.348316749590007</v>
      </c>
      <c r="X126" s="1274">
        <f t="shared" si="146"/>
        <v>38.21211340905019</v>
      </c>
      <c r="Y126" s="1274">
        <f t="shared" si="147"/>
        <v>3.7505249999999997</v>
      </c>
      <c r="Z126" s="1274">
        <f t="shared" si="148"/>
        <v>64.908746908230199</v>
      </c>
      <c r="AA126" s="1274">
        <f t="shared" si="161"/>
        <v>21.8385</v>
      </c>
      <c r="AB126" s="1274">
        <f t="shared" si="149"/>
        <v>72.409796908230206</v>
      </c>
      <c r="AC126" s="1274">
        <f t="shared" si="150"/>
        <v>9.8114999999999988</v>
      </c>
      <c r="AD126" s="1274">
        <f t="shared" si="151"/>
        <v>116.0867969082302</v>
      </c>
      <c r="AE126" s="1274">
        <f t="shared" si="152"/>
        <v>4.7474999999999996</v>
      </c>
      <c r="AF126" s="1274">
        <f t="shared" si="153"/>
        <v>135.7097969082302</v>
      </c>
      <c r="AH126" s="1092" t="s">
        <v>1249</v>
      </c>
      <c r="AI126" s="1274">
        <f t="shared" si="162"/>
        <v>9.0266849416549881</v>
      </c>
      <c r="AJ126" s="1274"/>
      <c r="AK126" s="1274">
        <v>-9.3939468000000002</v>
      </c>
      <c r="AL126" s="1274"/>
      <c r="AM126" s="1274">
        <f>($C126*$C138)</f>
        <v>10.263034554499999</v>
      </c>
      <c r="AN126" s="1274"/>
      <c r="AO126" s="1274">
        <f>($C126*$C138)</f>
        <v>10.263034554499999</v>
      </c>
      <c r="AP126" s="1274"/>
      <c r="AQ126" s="1274">
        <f>($C126*$C138)</f>
        <v>10.263034554499999</v>
      </c>
      <c r="AR126" s="1274"/>
      <c r="AS126" s="1274">
        <f>($C126*$C138)</f>
        <v>10.263034554499999</v>
      </c>
      <c r="AT126" s="1274"/>
      <c r="AU126" s="1274">
        <f>($C126*$C138)</f>
        <v>10.263034554499999</v>
      </c>
    </row>
    <row r="127" spans="2:47">
      <c r="B127" s="1092" t="s">
        <v>1218</v>
      </c>
      <c r="C127" s="1274">
        <v>54.637999999999998</v>
      </c>
      <c r="D127" s="1274">
        <v>31.97</v>
      </c>
      <c r="E127" s="1274">
        <f t="shared" si="163"/>
        <v>86.608000000000004</v>
      </c>
      <c r="F127" s="1274">
        <f>117.752391+0.036</f>
        <v>117.788391</v>
      </c>
      <c r="G127" s="1274">
        <f t="shared" si="154"/>
        <v>204.39639099999999</v>
      </c>
      <c r="H127" s="1274">
        <f>'[27]F-2'!L11</f>
        <v>127.2111</v>
      </c>
      <c r="I127" s="1274">
        <f t="shared" si="155"/>
        <v>331.60749099999998</v>
      </c>
      <c r="J127" s="1274">
        <f>'[27]F-2'!Q11</f>
        <v>160</v>
      </c>
      <c r="K127" s="1274">
        <f t="shared" si="156"/>
        <v>491.60749099999998</v>
      </c>
      <c r="L127" s="1274">
        <f>'[27]Proposal FY 25-26'!G74*100</f>
        <v>40</v>
      </c>
      <c r="M127" s="1274">
        <f t="shared" si="157"/>
        <v>531.60749099999998</v>
      </c>
      <c r="N127" s="1274">
        <f>'[27]Proposal FY 26-27'!M54*100</f>
        <v>0</v>
      </c>
      <c r="O127" s="1274">
        <f t="shared" si="158"/>
        <v>531.60749099999998</v>
      </c>
      <c r="P127" s="1274">
        <f>'[27]Proposed FY 27-28'!L55*100</f>
        <v>0</v>
      </c>
      <c r="Q127" s="1274">
        <f t="shared" si="159"/>
        <v>531.60749099999998</v>
      </c>
      <c r="S127" s="1092" t="s">
        <v>1218</v>
      </c>
      <c r="T127" s="1274">
        <f t="shared" si="160"/>
        <v>2.7999000000000001</v>
      </c>
      <c r="U127" s="1274"/>
      <c r="V127" s="1274">
        <v>6.8119711999999986</v>
      </c>
      <c r="W127" s="1274">
        <f>(H127*$E139)/2</f>
        <v>6.04252725</v>
      </c>
      <c r="X127" s="1274">
        <f t="shared" si="146"/>
        <v>14.227047144999998</v>
      </c>
      <c r="Y127" s="1274">
        <f t="shared" si="147"/>
        <v>7.6</v>
      </c>
      <c r="Z127" s="1274">
        <f t="shared" si="148"/>
        <v>26.312101645000002</v>
      </c>
      <c r="AA127" s="1274">
        <f t="shared" si="161"/>
        <v>1.9</v>
      </c>
      <c r="AB127" s="1274">
        <f t="shared" si="149"/>
        <v>41.512101645000001</v>
      </c>
      <c r="AC127" s="1274">
        <f t="shared" si="150"/>
        <v>0</v>
      </c>
      <c r="AD127" s="1274">
        <f t="shared" si="151"/>
        <v>45.312101644999998</v>
      </c>
      <c r="AE127" s="1274">
        <f t="shared" si="152"/>
        <v>0</v>
      </c>
      <c r="AF127" s="1274">
        <f t="shared" si="153"/>
        <v>45.312101644999998</v>
      </c>
      <c r="AH127" s="1092" t="s">
        <v>1218</v>
      </c>
      <c r="AI127" s="1274">
        <f t="shared" si="162"/>
        <v>3.0017</v>
      </c>
      <c r="AJ127" s="1274"/>
      <c r="AK127" s="1274">
        <v>1.7872351000000002</v>
      </c>
      <c r="AL127" s="1274"/>
      <c r="AM127" s="1274">
        <f>($C127*$C139)</f>
        <v>7.0264467999999995</v>
      </c>
      <c r="AN127" s="1274"/>
      <c r="AO127" s="1274">
        <f>($C127*$C139)</f>
        <v>7.0264467999999995</v>
      </c>
      <c r="AP127" s="1274"/>
      <c r="AQ127" s="1274">
        <f>($C127*$C139)</f>
        <v>7.0264467999999995</v>
      </c>
      <c r="AR127" s="1274"/>
      <c r="AS127" s="1274">
        <f>($C127*$C139)</f>
        <v>7.0264467999999995</v>
      </c>
      <c r="AT127" s="1274"/>
      <c r="AU127" s="1274">
        <f>($C127*$C139)</f>
        <v>7.0264467999999995</v>
      </c>
    </row>
    <row r="128" spans="2:47">
      <c r="B128" s="1092" t="s">
        <v>1050</v>
      </c>
      <c r="C128" s="1274">
        <v>0</v>
      </c>
      <c r="D128" s="1274">
        <f>3323.08938120002-D129</f>
        <v>1381.13247400002</v>
      </c>
      <c r="E128" s="1274">
        <f t="shared" si="163"/>
        <v>1381.13247400002</v>
      </c>
      <c r="F128" s="1274">
        <f>(6419.16833399995+7.2104)-F129</f>
        <v>2678.2893581999501</v>
      </c>
      <c r="G128" s="1274">
        <f t="shared" si="154"/>
        <v>4059.4218321999701</v>
      </c>
      <c r="H128" s="1274">
        <f>'[27]F-2'!L12</f>
        <v>9139.0883518000101</v>
      </c>
      <c r="I128" s="1274">
        <f t="shared" si="155"/>
        <v>13198.510183999981</v>
      </c>
      <c r="J128" s="1274">
        <f>'[27]F-2'!Q12</f>
        <v>5915.3</v>
      </c>
      <c r="K128" s="1274">
        <f t="shared" si="156"/>
        <v>19113.81018399998</v>
      </c>
      <c r="L128" s="1274">
        <f>'[27]Proposal FY 25-26'!G76*100</f>
        <v>764</v>
      </c>
      <c r="M128" s="1274">
        <f t="shared" si="157"/>
        <v>19877.81018399998</v>
      </c>
      <c r="N128" s="1274">
        <f>('[27]Proposal FY 26-27'!M60+'[27]Proposal FY 26-27'!M59)*100</f>
        <v>1035</v>
      </c>
      <c r="O128" s="1274">
        <f>SUM(M128:N128)</f>
        <v>20912.81018399998</v>
      </c>
      <c r="P128" s="1274">
        <f>('[27]Proposed FY 27-28'!L61+'[27]Proposed FY 27-28'!L60)*100</f>
        <v>1325.8</v>
      </c>
      <c r="Q128" s="1274">
        <f t="shared" si="159"/>
        <v>22238.610183999979</v>
      </c>
      <c r="S128" s="1092" t="s">
        <v>1050</v>
      </c>
      <c r="T128" s="1274">
        <f t="shared" si="160"/>
        <v>84.866214990002049</v>
      </c>
      <c r="U128" s="1274"/>
      <c r="V128" s="1274">
        <v>363.10708209998694</v>
      </c>
      <c r="W128" s="1274">
        <f t="shared" si="145"/>
        <v>685.43162638500075</v>
      </c>
      <c r="X128" s="1274">
        <f>((G128-C128)*$E140)</f>
        <v>608.91327482999554</v>
      </c>
      <c r="Y128" s="1274">
        <f t="shared" si="147"/>
        <v>443.64749999999998</v>
      </c>
      <c r="Z128" s="1274">
        <f t="shared" si="148"/>
        <v>1979.7765275999971</v>
      </c>
      <c r="AA128" s="1274">
        <f t="shared" si="161"/>
        <v>57.3</v>
      </c>
      <c r="AB128" s="1274">
        <f t="shared" si="149"/>
        <v>2867.0715275999969</v>
      </c>
      <c r="AC128" s="1274">
        <f t="shared" si="150"/>
        <v>77.625</v>
      </c>
      <c r="AD128" s="1274">
        <f t="shared" si="151"/>
        <v>2981.6715275999968</v>
      </c>
      <c r="AE128" s="1274">
        <f t="shared" si="152"/>
        <v>99.434999999999988</v>
      </c>
      <c r="AF128" s="1274">
        <f t="shared" si="153"/>
        <v>3136.9215275999968</v>
      </c>
      <c r="AH128" s="1092" t="s">
        <v>1050</v>
      </c>
      <c r="AI128" s="1274">
        <f t="shared" si="162"/>
        <v>27.562650592298208</v>
      </c>
      <c r="AJ128" s="1274"/>
      <c r="AK128" s="1274">
        <v>22.957481000000097</v>
      </c>
      <c r="AL128" s="1274"/>
      <c r="AM128" s="1274">
        <f>($C128*$C140)</f>
        <v>0</v>
      </c>
      <c r="AN128" s="1274"/>
      <c r="AO128" s="1274">
        <f>($C128*$C140)</f>
        <v>0</v>
      </c>
      <c r="AP128" s="1274"/>
      <c r="AQ128" s="1274">
        <f>($C128*$C140)</f>
        <v>0</v>
      </c>
      <c r="AR128" s="1274"/>
      <c r="AS128" s="1274">
        <f>($C128*$C140)</f>
        <v>0</v>
      </c>
      <c r="AT128" s="1274"/>
      <c r="AU128" s="1274">
        <f>($C128*$C140)</f>
        <v>0</v>
      </c>
    </row>
    <row r="129" spans="2:47">
      <c r="B129" s="1092" t="s">
        <v>1222</v>
      </c>
      <c r="C129" s="1274"/>
      <c r="D129" s="1274">
        <f>194195690.72/10^5</f>
        <v>1941.9569071999999</v>
      </c>
      <c r="E129" s="1274">
        <f>SUM(C129:D129)</f>
        <v>1941.9569071999999</v>
      </c>
      <c r="F129" s="1274">
        <f>374808937.58/10^5</f>
        <v>3748.0893757999997</v>
      </c>
      <c r="G129" s="1274">
        <f>SUM(E129:F129)</f>
        <v>5690.0462829999997</v>
      </c>
      <c r="H129" s="1274"/>
      <c r="I129" s="1274">
        <f t="shared" si="155"/>
        <v>5690.0462829999997</v>
      </c>
      <c r="J129" s="1274"/>
      <c r="K129" s="1274">
        <f t="shared" si="156"/>
        <v>5690.0462829999997</v>
      </c>
      <c r="L129" s="1274">
        <v>0</v>
      </c>
      <c r="M129" s="1274">
        <f t="shared" si="157"/>
        <v>5690.0462829999997</v>
      </c>
      <c r="N129" s="1274">
        <f>'[27]Proposal FY 26-27'!M58*100</f>
        <v>691</v>
      </c>
      <c r="O129" s="1274">
        <f t="shared" si="158"/>
        <v>6381.0462829999997</v>
      </c>
      <c r="P129" s="1274">
        <f>'[27]Proposed FY 27-28'!L59*100</f>
        <v>844.99999999999989</v>
      </c>
      <c r="Q129" s="1274">
        <f t="shared" si="159"/>
        <v>7226.0462829999997</v>
      </c>
      <c r="T129" s="1274">
        <f>T81-T93-T105-T117</f>
        <v>116.4168592</v>
      </c>
      <c r="U129" s="1274"/>
      <c r="V129" s="1274">
        <v>502.19948479999994</v>
      </c>
      <c r="W129" s="1274">
        <f>(H129*$E142)/2</f>
        <v>0</v>
      </c>
      <c r="X129" s="1274">
        <f>((G129-C129)*$E142)</f>
        <v>1707.0138848999998</v>
      </c>
      <c r="Y129" s="1274">
        <f>(J129*$E142)/2</f>
        <v>0</v>
      </c>
      <c r="Z129" s="1274">
        <f>((I129-C129)*$E142)</f>
        <v>1707.0138848999998</v>
      </c>
      <c r="AA129" s="1274">
        <f>(L129*$E142)/2</f>
        <v>0</v>
      </c>
      <c r="AB129" s="1274">
        <f>((K129-C129)*$E142)</f>
        <v>1707.0138848999998</v>
      </c>
      <c r="AC129" s="1274">
        <f>(N129*$E142)/2</f>
        <v>103.64999999999999</v>
      </c>
      <c r="AD129" s="1274">
        <f>((M129-C129)*$E142)</f>
        <v>1707.0138848999998</v>
      </c>
      <c r="AE129" s="1274">
        <f>(P129*$E142)/2</f>
        <v>126.74999999999997</v>
      </c>
      <c r="AF129" s="1274">
        <f>((O129-C129)*$E142)</f>
        <v>1914.3138848999997</v>
      </c>
      <c r="AH129" s="1092" t="s">
        <v>1222</v>
      </c>
      <c r="AI129" s="1274">
        <f t="shared" si="162"/>
        <v>0</v>
      </c>
      <c r="AJ129" s="1274"/>
      <c r="AK129" s="1274">
        <v>0</v>
      </c>
      <c r="AL129" s="1274"/>
      <c r="AM129" s="1274"/>
      <c r="AN129" s="1274"/>
      <c r="AO129" s="1274"/>
      <c r="AP129" s="1274"/>
      <c r="AQ129" s="1274"/>
      <c r="AR129" s="1274"/>
      <c r="AS129" s="1274"/>
      <c r="AT129" s="1274"/>
      <c r="AU129" s="1274"/>
    </row>
    <row r="130" spans="2:47">
      <c r="B130" s="1092" t="s">
        <v>851</v>
      </c>
      <c r="C130" s="1274">
        <v>633.3529479</v>
      </c>
      <c r="D130" s="1274">
        <v>135.43</v>
      </c>
      <c r="E130" s="1274">
        <f t="shared" si="163"/>
        <v>768.78294789999995</v>
      </c>
      <c r="F130" s="1274">
        <v>628.6529144999821</v>
      </c>
      <c r="G130" s="1274">
        <f t="shared" si="154"/>
        <v>1397.4358623999819</v>
      </c>
      <c r="H130" s="1274">
        <f>'[27]F-2'!L13</f>
        <v>1114.3890495000001</v>
      </c>
      <c r="I130" s="1274">
        <f t="shared" si="155"/>
        <v>2511.824911899982</v>
      </c>
      <c r="J130" s="1274">
        <f>'[27]F-2'!Q13</f>
        <v>407.4</v>
      </c>
      <c r="K130" s="1274">
        <f t="shared" si="156"/>
        <v>2919.2249118999821</v>
      </c>
      <c r="L130" s="1274">
        <f>'[27]Proposal FY 25-26'!G78*100</f>
        <v>1380.8</v>
      </c>
      <c r="M130" s="1274">
        <f t="shared" si="157"/>
        <v>4300.0249118999818</v>
      </c>
      <c r="N130" s="1274">
        <f>'[27]Proposal FY 26-27'!M56*100</f>
        <v>240</v>
      </c>
      <c r="O130" s="1274">
        <f t="shared" si="158"/>
        <v>4540.0249118999818</v>
      </c>
      <c r="P130" s="1274">
        <f>'[27]Proposed FY 27-28'!L57*100</f>
        <v>259.99999999999994</v>
      </c>
      <c r="Q130" s="1274">
        <f t="shared" si="159"/>
        <v>4800.0249118999818</v>
      </c>
      <c r="S130" s="1092" t="s">
        <v>2258</v>
      </c>
      <c r="T130" s="1274">
        <f t="shared" si="160"/>
        <v>10.044934999999995</v>
      </c>
      <c r="U130" s="1274"/>
      <c r="V130" s="1274">
        <v>44.2100258999996</v>
      </c>
      <c r="W130" s="1274">
        <f>(H130*$E141)/2</f>
        <v>35.270413416674998</v>
      </c>
      <c r="X130" s="1274">
        <f>((G130-C130)*$E141)</f>
        <v>48.366448487848857</v>
      </c>
      <c r="Y130" s="1274">
        <f>(J130*$E141)/2</f>
        <v>12.894209999999998</v>
      </c>
      <c r="Z130" s="1274">
        <f>((I130-C130)*$E141)</f>
        <v>118.90727532119885</v>
      </c>
      <c r="AA130" s="1274">
        <f>(L130*$E141)/2</f>
        <v>43.702319999999993</v>
      </c>
      <c r="AB130" s="1274">
        <f>((K130-C130)*$E141)</f>
        <v>144.69569532119885</v>
      </c>
      <c r="AC130" s="1274">
        <f>(N130*$E141)/2</f>
        <v>7.5959999999999992</v>
      </c>
      <c r="AD130" s="1274">
        <f>((M130-C130)*$E141)</f>
        <v>232.10033532119883</v>
      </c>
      <c r="AE130" s="1274">
        <f>(P130*$E141)/2</f>
        <v>8.2289999999999974</v>
      </c>
      <c r="AF130" s="1274">
        <f>((O130-C130)*$E141)</f>
        <v>247.29233532119883</v>
      </c>
      <c r="AH130" s="1092" t="s">
        <v>851</v>
      </c>
      <c r="AI130" s="1274">
        <f t="shared" si="162"/>
        <v>2.82742</v>
      </c>
      <c r="AJ130" s="1274"/>
      <c r="AK130" s="1274">
        <v>2.8273595</v>
      </c>
      <c r="AL130" s="1274"/>
      <c r="AM130" s="1274">
        <f>($C148*$C141)</f>
        <v>19.201765310999999</v>
      </c>
      <c r="AN130" s="1274"/>
      <c r="AO130" s="1274">
        <f>($C148*$C141)</f>
        <v>19.201765310999999</v>
      </c>
      <c r="AP130" s="1274"/>
      <c r="AQ130" s="1274">
        <f>($C148*$C141)</f>
        <v>19.201765310999999</v>
      </c>
      <c r="AR130" s="1274"/>
      <c r="AS130" s="1274">
        <f>($C148*$C141)</f>
        <v>19.201765310999999</v>
      </c>
      <c r="AT130" s="1274"/>
      <c r="AU130" s="1274">
        <f>($C148*$C141)</f>
        <v>19.201765310999999</v>
      </c>
    </row>
    <row r="131" spans="2:47" ht="12" thickBot="1">
      <c r="B131" s="1092" t="s">
        <v>239</v>
      </c>
      <c r="C131" s="1117">
        <f t="shared" ref="C131:H131" si="164">SUM(C123:C130)</f>
        <v>54723.60917146963</v>
      </c>
      <c r="D131" s="1117">
        <f t="shared" si="164"/>
        <v>6640.27938120002</v>
      </c>
      <c r="E131" s="1117">
        <f t="shared" si="164"/>
        <v>61363.888552669654</v>
      </c>
      <c r="F131" s="1117">
        <f t="shared" si="164"/>
        <v>40874.199806400145</v>
      </c>
      <c r="G131" s="1117">
        <f t="shared" si="164"/>
        <v>102238.08835906978</v>
      </c>
      <c r="H131" s="1117">
        <f t="shared" si="164"/>
        <v>59559.444594174551</v>
      </c>
      <c r="I131" s="1117">
        <f>SUM(I123:I130)</f>
        <v>161797.53295324434</v>
      </c>
      <c r="J131" s="1117">
        <f t="shared" ref="J131:Q131" si="165">SUM(J123:J130)</f>
        <v>29781.065569769602</v>
      </c>
      <c r="K131" s="1117">
        <f t="shared" si="165"/>
        <v>191578.59852301393</v>
      </c>
      <c r="L131" s="1117">
        <f t="shared" si="165"/>
        <v>27757.604790419162</v>
      </c>
      <c r="M131" s="1117">
        <f t="shared" si="165"/>
        <v>219336.20331343313</v>
      </c>
      <c r="N131" s="1117">
        <f t="shared" si="165"/>
        <v>25417.724550898205</v>
      </c>
      <c r="O131" s="1117">
        <f t="shared" si="165"/>
        <v>244753.92786433134</v>
      </c>
      <c r="P131" s="1117">
        <f t="shared" si="165"/>
        <v>25157.125748502996</v>
      </c>
      <c r="Q131" s="1117">
        <f t="shared" si="165"/>
        <v>269911.05361283431</v>
      </c>
      <c r="S131" s="1092" t="s">
        <v>2229</v>
      </c>
      <c r="T131" s="1117">
        <f t="shared" ref="T131:W131" si="166">SUM(T123:T130)</f>
        <v>284.07252677000213</v>
      </c>
      <c r="U131" s="1117">
        <f t="shared" si="166"/>
        <v>0</v>
      </c>
      <c r="V131" s="1117">
        <f t="shared" si="166"/>
        <v>1629.7847118999975</v>
      </c>
      <c r="W131" s="1117">
        <f t="shared" si="166"/>
        <v>1844.775686161471</v>
      </c>
      <c r="X131" s="1117">
        <f>SUM(X123:X130)</f>
        <v>4023.7633398271237</v>
      </c>
      <c r="Y131" s="1117">
        <f t="shared" ref="Y131:AF131" si="167">SUM(Y123:Y130)</f>
        <v>976.48261605412029</v>
      </c>
      <c r="Z131" s="1117">
        <f t="shared" si="167"/>
        <v>7713.3147121500651</v>
      </c>
      <c r="AA131" s="1117">
        <f t="shared" si="167"/>
        <v>681.09877185628727</v>
      </c>
      <c r="AB131" s="1117">
        <f t="shared" si="167"/>
        <v>9666.2799442583073</v>
      </c>
      <c r="AC131" s="1117">
        <f t="shared" si="167"/>
        <v>720.34462826347317</v>
      </c>
      <c r="AD131" s="1117">
        <f t="shared" si="167"/>
        <v>11028.47748797088</v>
      </c>
      <c r="AE131" s="1117">
        <f t="shared" si="167"/>
        <v>749.14840622754491</v>
      </c>
      <c r="AF131" s="1117">
        <f t="shared" si="167"/>
        <v>12469.16674449783</v>
      </c>
      <c r="AH131" s="1092" t="s">
        <v>239</v>
      </c>
      <c r="AI131" s="1117">
        <f t="shared" ref="AI131:AL131" si="168">SUM(AI123:AI130)</f>
        <v>1950.4696155247527</v>
      </c>
      <c r="AJ131" s="1117">
        <f t="shared" si="168"/>
        <v>0</v>
      </c>
      <c r="AK131" s="1117">
        <f t="shared" si="168"/>
        <v>1020.2732916999992</v>
      </c>
      <c r="AL131" s="1117">
        <f t="shared" si="168"/>
        <v>0</v>
      </c>
      <c r="AM131" s="1117">
        <f>SUM(AM123:AM130)</f>
        <v>1039.5546866655002</v>
      </c>
      <c r="AN131" s="1117">
        <f t="shared" ref="AN131:AU131" si="169">SUM(AN123:AN130)</f>
        <v>0</v>
      </c>
      <c r="AO131" s="1117">
        <f t="shared" si="169"/>
        <v>1039.5546866655002</v>
      </c>
      <c r="AP131" s="1117">
        <f t="shared" si="169"/>
        <v>0</v>
      </c>
      <c r="AQ131" s="1117">
        <f t="shared" si="169"/>
        <v>1039.5546866655002</v>
      </c>
      <c r="AR131" s="1117">
        <f t="shared" si="169"/>
        <v>0</v>
      </c>
      <c r="AS131" s="1117">
        <f t="shared" si="169"/>
        <v>1039.5546866655002</v>
      </c>
      <c r="AT131" s="1117">
        <f t="shared" si="169"/>
        <v>0</v>
      </c>
      <c r="AU131" s="1117">
        <f t="shared" si="169"/>
        <v>1039.5546866655002</v>
      </c>
    </row>
    <row r="132" spans="2:47" ht="12" thickTop="1">
      <c r="AO132" s="1274">
        <f>X131+AM131</f>
        <v>5063.3180264926241</v>
      </c>
    </row>
    <row r="133" spans="2:47">
      <c r="C133" s="1756">
        <v>1</v>
      </c>
      <c r="D133" s="1756">
        <v>1</v>
      </c>
      <c r="E133" s="1756">
        <v>1</v>
      </c>
      <c r="T133" s="1274">
        <f>T131</f>
        <v>284.07252677000213</v>
      </c>
      <c r="V133" s="1274">
        <f>U131+V131</f>
        <v>1629.7847118999975</v>
      </c>
      <c r="X133" s="1274">
        <f>W131+X131</f>
        <v>5868.5390259885944</v>
      </c>
      <c r="Z133" s="1274">
        <f>Y131+Z131</f>
        <v>8689.7973282041858</v>
      </c>
      <c r="AB133" s="1274">
        <f>AA131+AB131</f>
        <v>10347.378716114594</v>
      </c>
      <c r="AD133" s="1274">
        <f>AC131+AD131</f>
        <v>11748.822116234354</v>
      </c>
      <c r="AF133" s="1274">
        <f>AE131+AF131</f>
        <v>13218.315150725375</v>
      </c>
    </row>
    <row r="134" spans="2:47" ht="23.25" thickBot="1">
      <c r="B134" s="1098" t="s">
        <v>2268</v>
      </c>
      <c r="C134" s="1757" t="s">
        <v>2269</v>
      </c>
      <c r="D134" s="1757" t="s">
        <v>2270</v>
      </c>
      <c r="E134" s="1110" t="s">
        <v>2271</v>
      </c>
      <c r="I134" s="1092">
        <f>1073-408.74-66.4</f>
        <v>597.86</v>
      </c>
      <c r="P134" s="1274">
        <f>X83-X95-X119-X107</f>
        <v>4023.7633398271237</v>
      </c>
      <c r="T134" s="1274">
        <f>T133+AI131</f>
        <v>2234.5421422947547</v>
      </c>
      <c r="V134" s="1274">
        <f>V133+AK131</f>
        <v>2650.0580035999965</v>
      </c>
      <c r="X134" s="1274">
        <f>X133+AM131</f>
        <v>6908.0937126540948</v>
      </c>
      <c r="Z134" s="1274">
        <f>Z133+AO131</f>
        <v>9729.3520148696862</v>
      </c>
      <c r="AB134" s="1274">
        <f>AB133+AQ131</f>
        <v>11386.933402780094</v>
      </c>
      <c r="AD134" s="1274">
        <f>AD133+AS131</f>
        <v>12788.376802899855</v>
      </c>
      <c r="AF134" s="1274">
        <f>AF133+AU131</f>
        <v>14257.869837390876</v>
      </c>
    </row>
    <row r="135" spans="2:47" ht="12" thickTop="1">
      <c r="B135" s="1092" t="s">
        <v>1247</v>
      </c>
      <c r="K135" s="1092" t="s">
        <v>2272</v>
      </c>
      <c r="N135" s="1274">
        <f>W131+X131</f>
        <v>5868.5390259885944</v>
      </c>
      <c r="P135" s="1274">
        <f>Y131+Z131</f>
        <v>8689.7973282041858</v>
      </c>
    </row>
    <row r="136" spans="2:47">
      <c r="B136" s="1092" t="s">
        <v>1216</v>
      </c>
      <c r="C136" s="1758">
        <f>1.8%*C133</f>
        <v>1.8000000000000002E-2</v>
      </c>
      <c r="D136" s="1758">
        <f>3.34%*D133</f>
        <v>3.3399999999999999E-2</v>
      </c>
      <c r="E136" s="1338">
        <f>3.34%*E133</f>
        <v>3.3399999999999999E-2</v>
      </c>
      <c r="W136" s="1274">
        <f>AM83-AM95-AM107</f>
        <v>1039.5546866655</v>
      </c>
    </row>
    <row r="137" spans="2:47">
      <c r="B137" s="1092" t="s">
        <v>1248</v>
      </c>
      <c r="C137" s="1758">
        <f>3.8%*C133</f>
        <v>3.7999999999999999E-2</v>
      </c>
      <c r="D137" s="1758">
        <f>5.28%*D133</f>
        <v>5.28E-2</v>
      </c>
      <c r="E137" s="1338">
        <f>4.67%*E133</f>
        <v>4.6699999999999998E-2</v>
      </c>
      <c r="U137" s="1274">
        <f>N135+AK131</f>
        <v>6888.8123176885938</v>
      </c>
      <c r="W137" s="1274">
        <f>P135+AM131</f>
        <v>9729.3520148696862</v>
      </c>
    </row>
    <row r="138" spans="2:47">
      <c r="B138" s="1092" t="s">
        <v>1249</v>
      </c>
      <c r="C138" s="1337">
        <f>4.55%*C133</f>
        <v>4.5499999999999999E-2</v>
      </c>
      <c r="D138" s="1337">
        <f>6.33%*D133</f>
        <v>6.3299999999999995E-2</v>
      </c>
      <c r="E138" s="1338">
        <f>6.33%*E133</f>
        <v>6.3299999999999995E-2</v>
      </c>
    </row>
    <row r="139" spans="2:47">
      <c r="B139" s="1092" t="s">
        <v>1218</v>
      </c>
      <c r="C139" s="1337">
        <f>12.86%*C133</f>
        <v>0.12859999999999999</v>
      </c>
      <c r="D139" s="1337">
        <f>9.5%*D133</f>
        <v>9.5000000000000001E-2</v>
      </c>
      <c r="E139" s="1338">
        <f>9.5%*E133</f>
        <v>9.5000000000000001E-2</v>
      </c>
    </row>
    <row r="140" spans="2:47">
      <c r="B140" s="1092" t="s">
        <v>1050</v>
      </c>
      <c r="C140" s="1337"/>
      <c r="D140" s="1337">
        <f>15%*D133</f>
        <v>0.15</v>
      </c>
      <c r="E140" s="1338">
        <f>15%</f>
        <v>0.15</v>
      </c>
    </row>
    <row r="141" spans="2:47">
      <c r="B141" s="1092" t="s">
        <v>2273</v>
      </c>
      <c r="C141" s="1337">
        <f>9%*C133</f>
        <v>0.09</v>
      </c>
      <c r="D141" s="1337">
        <f>6.33%*D133</f>
        <v>6.3299999999999995E-2</v>
      </c>
      <c r="E141" s="1338">
        <f>6.33%*E133</f>
        <v>6.3299999999999995E-2</v>
      </c>
    </row>
    <row r="142" spans="2:47">
      <c r="B142" s="1092" t="s">
        <v>1222</v>
      </c>
      <c r="D142" s="1338">
        <f>16.67%</f>
        <v>0.16670000000000001</v>
      </c>
      <c r="E142" s="1338">
        <v>0.3</v>
      </c>
    </row>
    <row r="143" spans="2:47">
      <c r="B143" s="1092" t="s">
        <v>2274</v>
      </c>
      <c r="D143" s="1338">
        <v>0.2</v>
      </c>
      <c r="E143" s="1338">
        <v>0.2</v>
      </c>
    </row>
    <row r="145" spans="2:3">
      <c r="B145" s="1092" t="s">
        <v>2275</v>
      </c>
      <c r="C145" s="1105">
        <f>(9.93/C137)*100</f>
        <v>26131.578947368424</v>
      </c>
    </row>
    <row r="146" spans="2:3">
      <c r="B146" s="1092" t="s">
        <v>2276</v>
      </c>
      <c r="C146" s="1093"/>
    </row>
    <row r="148" spans="2:3">
      <c r="B148" s="1092" t="s">
        <v>851</v>
      </c>
      <c r="C148" s="1097">
        <f>C82-420</f>
        <v>213.3529479</v>
      </c>
    </row>
    <row r="149" spans="2:3">
      <c r="B149" s="1092" t="s">
        <v>2277</v>
      </c>
    </row>
  </sheetData>
  <mergeCells count="2">
    <mergeCell ref="T73:U73"/>
    <mergeCell ref="V73:W73"/>
  </mergeCells>
  <pageMargins left="0.7" right="0.7" top="0.75" bottom="0.75" header="0.3" footer="0.3"/>
  <pageSetup paperSize="9" orientation="portrait" verticalDpi="30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8000"/>
    <pageSetUpPr fitToPage="1"/>
  </sheetPr>
  <dimension ref="A1:N174"/>
  <sheetViews>
    <sheetView showGridLines="0" showZeros="0" view="pageBreakPreview" zoomScale="90" zoomScaleNormal="100" zoomScaleSheetLayoutView="90" workbookViewId="0">
      <pane xSplit="1" ySplit="20" topLeftCell="B24" activePane="bottomRight" state="frozen"/>
      <selection pane="bottomRight" activeCell="I6" sqref="I6"/>
      <selection pane="bottomLeft" activeCell="A21" sqref="A21"/>
      <selection pane="topRight" activeCell="B1" sqref="B1"/>
    </sheetView>
  </sheetViews>
  <sheetFormatPr defaultRowHeight="12.75"/>
  <cols>
    <col min="1" max="1" width="20" style="1244" customWidth="1"/>
    <col min="2" max="2" width="11.5703125" style="1203" customWidth="1"/>
    <col min="3" max="3" width="11" style="1203" customWidth="1"/>
    <col min="4" max="4" width="13" style="1203" customWidth="1"/>
    <col min="5" max="5" width="12.7109375" style="1203" customWidth="1"/>
    <col min="6" max="6" width="17" style="1203" bestFit="1" customWidth="1"/>
    <col min="7" max="7" width="14.5703125" style="1203" customWidth="1"/>
    <col min="8" max="8" width="15.42578125" style="1203" customWidth="1"/>
    <col min="9" max="9" width="15.140625" style="1203" bestFit="1" customWidth="1"/>
    <col min="10" max="10" width="15.7109375" style="1203" bestFit="1" customWidth="1"/>
    <col min="11" max="11" width="12.85546875" style="1203" customWidth="1"/>
    <col min="12" max="12" width="16.140625" style="1203" customWidth="1"/>
    <col min="13" max="13" width="15.85546875" style="1203" customWidth="1"/>
    <col min="14" max="14" width="10.85546875" style="1203" bestFit="1" customWidth="1"/>
    <col min="15" max="256" width="9.140625" style="1203"/>
    <col min="257" max="257" width="66" style="1203" bestFit="1" customWidth="1"/>
    <col min="258" max="258" width="15.28515625" style="1203" customWidth="1"/>
    <col min="259" max="259" width="18.85546875" style="1203" customWidth="1"/>
    <col min="260" max="260" width="17.140625" style="1203" customWidth="1"/>
    <col min="261" max="261" width="12.7109375" style="1203" customWidth="1"/>
    <col min="262" max="262" width="17" style="1203" bestFit="1" customWidth="1"/>
    <col min="263" max="263" width="14.5703125" style="1203" customWidth="1"/>
    <col min="264" max="264" width="15.42578125" style="1203" customWidth="1"/>
    <col min="265" max="265" width="15.140625" style="1203" bestFit="1" customWidth="1"/>
    <col min="266" max="266" width="15.7109375" style="1203" bestFit="1" customWidth="1"/>
    <col min="267" max="267" width="12.85546875" style="1203" customWidth="1"/>
    <col min="268" max="268" width="16.140625" style="1203" customWidth="1"/>
    <col min="269" max="269" width="15.85546875" style="1203" customWidth="1"/>
    <col min="270" max="270" width="10.85546875" style="1203" bestFit="1" customWidth="1"/>
    <col min="271" max="512" width="9.140625" style="1203"/>
    <col min="513" max="513" width="66" style="1203" bestFit="1" customWidth="1"/>
    <col min="514" max="514" width="15.28515625" style="1203" customWidth="1"/>
    <col min="515" max="515" width="18.85546875" style="1203" customWidth="1"/>
    <col min="516" max="516" width="17.140625" style="1203" customWidth="1"/>
    <col min="517" max="517" width="12.7109375" style="1203" customWidth="1"/>
    <col min="518" max="518" width="17" style="1203" bestFit="1" customWidth="1"/>
    <col min="519" max="519" width="14.5703125" style="1203" customWidth="1"/>
    <col min="520" max="520" width="15.42578125" style="1203" customWidth="1"/>
    <col min="521" max="521" width="15.140625" style="1203" bestFit="1" customWidth="1"/>
    <col min="522" max="522" width="15.7109375" style="1203" bestFit="1" customWidth="1"/>
    <col min="523" max="523" width="12.85546875" style="1203" customWidth="1"/>
    <col min="524" max="524" width="16.140625" style="1203" customWidth="1"/>
    <col min="525" max="525" width="15.85546875" style="1203" customWidth="1"/>
    <col min="526" max="526" width="10.85546875" style="1203" bestFit="1" customWidth="1"/>
    <col min="527" max="768" width="9.140625" style="1203"/>
    <col min="769" max="769" width="66" style="1203" bestFit="1" customWidth="1"/>
    <col min="770" max="770" width="15.28515625" style="1203" customWidth="1"/>
    <col min="771" max="771" width="18.85546875" style="1203" customWidth="1"/>
    <col min="772" max="772" width="17.140625" style="1203" customWidth="1"/>
    <col min="773" max="773" width="12.7109375" style="1203" customWidth="1"/>
    <col min="774" max="774" width="17" style="1203" bestFit="1" customWidth="1"/>
    <col min="775" max="775" width="14.5703125" style="1203" customWidth="1"/>
    <col min="776" max="776" width="15.42578125" style="1203" customWidth="1"/>
    <col min="777" max="777" width="15.140625" style="1203" bestFit="1" customWidth="1"/>
    <col min="778" max="778" width="15.7109375" style="1203" bestFit="1" customWidth="1"/>
    <col min="779" max="779" width="12.85546875" style="1203" customWidth="1"/>
    <col min="780" max="780" width="16.140625" style="1203" customWidth="1"/>
    <col min="781" max="781" width="15.85546875" style="1203" customWidth="1"/>
    <col min="782" max="782" width="10.85546875" style="1203" bestFit="1" customWidth="1"/>
    <col min="783" max="1024" width="9.140625" style="1203"/>
    <col min="1025" max="1025" width="66" style="1203" bestFit="1" customWidth="1"/>
    <col min="1026" max="1026" width="15.28515625" style="1203" customWidth="1"/>
    <col min="1027" max="1027" width="18.85546875" style="1203" customWidth="1"/>
    <col min="1028" max="1028" width="17.140625" style="1203" customWidth="1"/>
    <col min="1029" max="1029" width="12.7109375" style="1203" customWidth="1"/>
    <col min="1030" max="1030" width="17" style="1203" bestFit="1" customWidth="1"/>
    <col min="1031" max="1031" width="14.5703125" style="1203" customWidth="1"/>
    <col min="1032" max="1032" width="15.42578125" style="1203" customWidth="1"/>
    <col min="1033" max="1033" width="15.140625" style="1203" bestFit="1" customWidth="1"/>
    <col min="1034" max="1034" width="15.7109375" style="1203" bestFit="1" customWidth="1"/>
    <col min="1035" max="1035" width="12.85546875" style="1203" customWidth="1"/>
    <col min="1036" max="1036" width="16.140625" style="1203" customWidth="1"/>
    <col min="1037" max="1037" width="15.85546875" style="1203" customWidth="1"/>
    <col min="1038" max="1038" width="10.85546875" style="1203" bestFit="1" customWidth="1"/>
    <col min="1039" max="1280" width="9.140625" style="1203"/>
    <col min="1281" max="1281" width="66" style="1203" bestFit="1" customWidth="1"/>
    <col min="1282" max="1282" width="15.28515625" style="1203" customWidth="1"/>
    <col min="1283" max="1283" width="18.85546875" style="1203" customWidth="1"/>
    <col min="1284" max="1284" width="17.140625" style="1203" customWidth="1"/>
    <col min="1285" max="1285" width="12.7109375" style="1203" customWidth="1"/>
    <col min="1286" max="1286" width="17" style="1203" bestFit="1" customWidth="1"/>
    <col min="1287" max="1287" width="14.5703125" style="1203" customWidth="1"/>
    <col min="1288" max="1288" width="15.42578125" style="1203" customWidth="1"/>
    <col min="1289" max="1289" width="15.140625" style="1203" bestFit="1" customWidth="1"/>
    <col min="1290" max="1290" width="15.7109375" style="1203" bestFit="1" customWidth="1"/>
    <col min="1291" max="1291" width="12.85546875" style="1203" customWidth="1"/>
    <col min="1292" max="1292" width="16.140625" style="1203" customWidth="1"/>
    <col min="1293" max="1293" width="15.85546875" style="1203" customWidth="1"/>
    <col min="1294" max="1294" width="10.85546875" style="1203" bestFit="1" customWidth="1"/>
    <col min="1295" max="1536" width="9.140625" style="1203"/>
    <col min="1537" max="1537" width="66" style="1203" bestFit="1" customWidth="1"/>
    <col min="1538" max="1538" width="15.28515625" style="1203" customWidth="1"/>
    <col min="1539" max="1539" width="18.85546875" style="1203" customWidth="1"/>
    <col min="1540" max="1540" width="17.140625" style="1203" customWidth="1"/>
    <col min="1541" max="1541" width="12.7109375" style="1203" customWidth="1"/>
    <col min="1542" max="1542" width="17" style="1203" bestFit="1" customWidth="1"/>
    <col min="1543" max="1543" width="14.5703125" style="1203" customWidth="1"/>
    <col min="1544" max="1544" width="15.42578125" style="1203" customWidth="1"/>
    <col min="1545" max="1545" width="15.140625" style="1203" bestFit="1" customWidth="1"/>
    <col min="1546" max="1546" width="15.7109375" style="1203" bestFit="1" customWidth="1"/>
    <col min="1547" max="1547" width="12.85546875" style="1203" customWidth="1"/>
    <col min="1548" max="1548" width="16.140625" style="1203" customWidth="1"/>
    <col min="1549" max="1549" width="15.85546875" style="1203" customWidth="1"/>
    <col min="1550" max="1550" width="10.85546875" style="1203" bestFit="1" customWidth="1"/>
    <col min="1551" max="1792" width="9.140625" style="1203"/>
    <col min="1793" max="1793" width="66" style="1203" bestFit="1" customWidth="1"/>
    <col min="1794" max="1794" width="15.28515625" style="1203" customWidth="1"/>
    <col min="1795" max="1795" width="18.85546875" style="1203" customWidth="1"/>
    <col min="1796" max="1796" width="17.140625" style="1203" customWidth="1"/>
    <col min="1797" max="1797" width="12.7109375" style="1203" customWidth="1"/>
    <col min="1798" max="1798" width="17" style="1203" bestFit="1" customWidth="1"/>
    <col min="1799" max="1799" width="14.5703125" style="1203" customWidth="1"/>
    <col min="1800" max="1800" width="15.42578125" style="1203" customWidth="1"/>
    <col min="1801" max="1801" width="15.140625" style="1203" bestFit="1" customWidth="1"/>
    <col min="1802" max="1802" width="15.7109375" style="1203" bestFit="1" customWidth="1"/>
    <col min="1803" max="1803" width="12.85546875" style="1203" customWidth="1"/>
    <col min="1804" max="1804" width="16.140625" style="1203" customWidth="1"/>
    <col min="1805" max="1805" width="15.85546875" style="1203" customWidth="1"/>
    <col min="1806" max="1806" width="10.85546875" style="1203" bestFit="1" customWidth="1"/>
    <col min="1807" max="2048" width="9.140625" style="1203"/>
    <col min="2049" max="2049" width="66" style="1203" bestFit="1" customWidth="1"/>
    <col min="2050" max="2050" width="15.28515625" style="1203" customWidth="1"/>
    <col min="2051" max="2051" width="18.85546875" style="1203" customWidth="1"/>
    <col min="2052" max="2052" width="17.140625" style="1203" customWidth="1"/>
    <col min="2053" max="2053" width="12.7109375" style="1203" customWidth="1"/>
    <col min="2054" max="2054" width="17" style="1203" bestFit="1" customWidth="1"/>
    <col min="2055" max="2055" width="14.5703125" style="1203" customWidth="1"/>
    <col min="2056" max="2056" width="15.42578125" style="1203" customWidth="1"/>
    <col min="2057" max="2057" width="15.140625" style="1203" bestFit="1" customWidth="1"/>
    <col min="2058" max="2058" width="15.7109375" style="1203" bestFit="1" customWidth="1"/>
    <col min="2059" max="2059" width="12.85546875" style="1203" customWidth="1"/>
    <col min="2060" max="2060" width="16.140625" style="1203" customWidth="1"/>
    <col min="2061" max="2061" width="15.85546875" style="1203" customWidth="1"/>
    <col min="2062" max="2062" width="10.85546875" style="1203" bestFit="1" customWidth="1"/>
    <col min="2063" max="2304" width="9.140625" style="1203"/>
    <col min="2305" max="2305" width="66" style="1203" bestFit="1" customWidth="1"/>
    <col min="2306" max="2306" width="15.28515625" style="1203" customWidth="1"/>
    <col min="2307" max="2307" width="18.85546875" style="1203" customWidth="1"/>
    <col min="2308" max="2308" width="17.140625" style="1203" customWidth="1"/>
    <col min="2309" max="2309" width="12.7109375" style="1203" customWidth="1"/>
    <col min="2310" max="2310" width="17" style="1203" bestFit="1" customWidth="1"/>
    <col min="2311" max="2311" width="14.5703125" style="1203" customWidth="1"/>
    <col min="2312" max="2312" width="15.42578125" style="1203" customWidth="1"/>
    <col min="2313" max="2313" width="15.140625" style="1203" bestFit="1" customWidth="1"/>
    <col min="2314" max="2314" width="15.7109375" style="1203" bestFit="1" customWidth="1"/>
    <col min="2315" max="2315" width="12.85546875" style="1203" customWidth="1"/>
    <col min="2316" max="2316" width="16.140625" style="1203" customWidth="1"/>
    <col min="2317" max="2317" width="15.85546875" style="1203" customWidth="1"/>
    <col min="2318" max="2318" width="10.85546875" style="1203" bestFit="1" customWidth="1"/>
    <col min="2319" max="2560" width="9.140625" style="1203"/>
    <col min="2561" max="2561" width="66" style="1203" bestFit="1" customWidth="1"/>
    <col min="2562" max="2562" width="15.28515625" style="1203" customWidth="1"/>
    <col min="2563" max="2563" width="18.85546875" style="1203" customWidth="1"/>
    <col min="2564" max="2564" width="17.140625" style="1203" customWidth="1"/>
    <col min="2565" max="2565" width="12.7109375" style="1203" customWidth="1"/>
    <col min="2566" max="2566" width="17" style="1203" bestFit="1" customWidth="1"/>
    <col min="2567" max="2567" width="14.5703125" style="1203" customWidth="1"/>
    <col min="2568" max="2568" width="15.42578125" style="1203" customWidth="1"/>
    <col min="2569" max="2569" width="15.140625" style="1203" bestFit="1" customWidth="1"/>
    <col min="2570" max="2570" width="15.7109375" style="1203" bestFit="1" customWidth="1"/>
    <col min="2571" max="2571" width="12.85546875" style="1203" customWidth="1"/>
    <col min="2572" max="2572" width="16.140625" style="1203" customWidth="1"/>
    <col min="2573" max="2573" width="15.85546875" style="1203" customWidth="1"/>
    <col min="2574" max="2574" width="10.85546875" style="1203" bestFit="1" customWidth="1"/>
    <col min="2575" max="2816" width="9.140625" style="1203"/>
    <col min="2817" max="2817" width="66" style="1203" bestFit="1" customWidth="1"/>
    <col min="2818" max="2818" width="15.28515625" style="1203" customWidth="1"/>
    <col min="2819" max="2819" width="18.85546875" style="1203" customWidth="1"/>
    <col min="2820" max="2820" width="17.140625" style="1203" customWidth="1"/>
    <col min="2821" max="2821" width="12.7109375" style="1203" customWidth="1"/>
    <col min="2822" max="2822" width="17" style="1203" bestFit="1" customWidth="1"/>
    <col min="2823" max="2823" width="14.5703125" style="1203" customWidth="1"/>
    <col min="2824" max="2824" width="15.42578125" style="1203" customWidth="1"/>
    <col min="2825" max="2825" width="15.140625" style="1203" bestFit="1" customWidth="1"/>
    <col min="2826" max="2826" width="15.7109375" style="1203" bestFit="1" customWidth="1"/>
    <col min="2827" max="2827" width="12.85546875" style="1203" customWidth="1"/>
    <col min="2828" max="2828" width="16.140625" style="1203" customWidth="1"/>
    <col min="2829" max="2829" width="15.85546875" style="1203" customWidth="1"/>
    <col min="2830" max="2830" width="10.85546875" style="1203" bestFit="1" customWidth="1"/>
    <col min="2831" max="3072" width="9.140625" style="1203"/>
    <col min="3073" max="3073" width="66" style="1203" bestFit="1" customWidth="1"/>
    <col min="3074" max="3074" width="15.28515625" style="1203" customWidth="1"/>
    <col min="3075" max="3075" width="18.85546875" style="1203" customWidth="1"/>
    <col min="3076" max="3076" width="17.140625" style="1203" customWidth="1"/>
    <col min="3077" max="3077" width="12.7109375" style="1203" customWidth="1"/>
    <col min="3078" max="3078" width="17" style="1203" bestFit="1" customWidth="1"/>
    <col min="3079" max="3079" width="14.5703125" style="1203" customWidth="1"/>
    <col min="3080" max="3080" width="15.42578125" style="1203" customWidth="1"/>
    <col min="3081" max="3081" width="15.140625" style="1203" bestFit="1" customWidth="1"/>
    <col min="3082" max="3082" width="15.7109375" style="1203" bestFit="1" customWidth="1"/>
    <col min="3083" max="3083" width="12.85546875" style="1203" customWidth="1"/>
    <col min="3084" max="3084" width="16.140625" style="1203" customWidth="1"/>
    <col min="3085" max="3085" width="15.85546875" style="1203" customWidth="1"/>
    <col min="3086" max="3086" width="10.85546875" style="1203" bestFit="1" customWidth="1"/>
    <col min="3087" max="3328" width="9.140625" style="1203"/>
    <col min="3329" max="3329" width="66" style="1203" bestFit="1" customWidth="1"/>
    <col min="3330" max="3330" width="15.28515625" style="1203" customWidth="1"/>
    <col min="3331" max="3331" width="18.85546875" style="1203" customWidth="1"/>
    <col min="3332" max="3332" width="17.140625" style="1203" customWidth="1"/>
    <col min="3333" max="3333" width="12.7109375" style="1203" customWidth="1"/>
    <col min="3334" max="3334" width="17" style="1203" bestFit="1" customWidth="1"/>
    <col min="3335" max="3335" width="14.5703125" style="1203" customWidth="1"/>
    <col min="3336" max="3336" width="15.42578125" style="1203" customWidth="1"/>
    <col min="3337" max="3337" width="15.140625" style="1203" bestFit="1" customWidth="1"/>
    <col min="3338" max="3338" width="15.7109375" style="1203" bestFit="1" customWidth="1"/>
    <col min="3339" max="3339" width="12.85546875" style="1203" customWidth="1"/>
    <col min="3340" max="3340" width="16.140625" style="1203" customWidth="1"/>
    <col min="3341" max="3341" width="15.85546875" style="1203" customWidth="1"/>
    <col min="3342" max="3342" width="10.85546875" style="1203" bestFit="1" customWidth="1"/>
    <col min="3343" max="3584" width="9.140625" style="1203"/>
    <col min="3585" max="3585" width="66" style="1203" bestFit="1" customWidth="1"/>
    <col min="3586" max="3586" width="15.28515625" style="1203" customWidth="1"/>
    <col min="3587" max="3587" width="18.85546875" style="1203" customWidth="1"/>
    <col min="3588" max="3588" width="17.140625" style="1203" customWidth="1"/>
    <col min="3589" max="3589" width="12.7109375" style="1203" customWidth="1"/>
    <col min="3590" max="3590" width="17" style="1203" bestFit="1" customWidth="1"/>
    <col min="3591" max="3591" width="14.5703125" style="1203" customWidth="1"/>
    <col min="3592" max="3592" width="15.42578125" style="1203" customWidth="1"/>
    <col min="3593" max="3593" width="15.140625" style="1203" bestFit="1" customWidth="1"/>
    <col min="3594" max="3594" width="15.7109375" style="1203" bestFit="1" customWidth="1"/>
    <col min="3595" max="3595" width="12.85546875" style="1203" customWidth="1"/>
    <col min="3596" max="3596" width="16.140625" style="1203" customWidth="1"/>
    <col min="3597" max="3597" width="15.85546875" style="1203" customWidth="1"/>
    <col min="3598" max="3598" width="10.85546875" style="1203" bestFit="1" customWidth="1"/>
    <col min="3599" max="3840" width="9.140625" style="1203"/>
    <col min="3841" max="3841" width="66" style="1203" bestFit="1" customWidth="1"/>
    <col min="3842" max="3842" width="15.28515625" style="1203" customWidth="1"/>
    <col min="3843" max="3843" width="18.85546875" style="1203" customWidth="1"/>
    <col min="3844" max="3844" width="17.140625" style="1203" customWidth="1"/>
    <col min="3845" max="3845" width="12.7109375" style="1203" customWidth="1"/>
    <col min="3846" max="3846" width="17" style="1203" bestFit="1" customWidth="1"/>
    <col min="3847" max="3847" width="14.5703125" style="1203" customWidth="1"/>
    <col min="3848" max="3848" width="15.42578125" style="1203" customWidth="1"/>
    <col min="3849" max="3849" width="15.140625" style="1203" bestFit="1" customWidth="1"/>
    <col min="3850" max="3850" width="15.7109375" style="1203" bestFit="1" customWidth="1"/>
    <col min="3851" max="3851" width="12.85546875" style="1203" customWidth="1"/>
    <col min="3852" max="3852" width="16.140625" style="1203" customWidth="1"/>
    <col min="3853" max="3853" width="15.85546875" style="1203" customWidth="1"/>
    <col min="3854" max="3854" width="10.85546875" style="1203" bestFit="1" customWidth="1"/>
    <col min="3855" max="4096" width="9.140625" style="1203"/>
    <col min="4097" max="4097" width="66" style="1203" bestFit="1" customWidth="1"/>
    <col min="4098" max="4098" width="15.28515625" style="1203" customWidth="1"/>
    <col min="4099" max="4099" width="18.85546875" style="1203" customWidth="1"/>
    <col min="4100" max="4100" width="17.140625" style="1203" customWidth="1"/>
    <col min="4101" max="4101" width="12.7109375" style="1203" customWidth="1"/>
    <col min="4102" max="4102" width="17" style="1203" bestFit="1" customWidth="1"/>
    <col min="4103" max="4103" width="14.5703125" style="1203" customWidth="1"/>
    <col min="4104" max="4104" width="15.42578125" style="1203" customWidth="1"/>
    <col min="4105" max="4105" width="15.140625" style="1203" bestFit="1" customWidth="1"/>
    <col min="4106" max="4106" width="15.7109375" style="1203" bestFit="1" customWidth="1"/>
    <col min="4107" max="4107" width="12.85546875" style="1203" customWidth="1"/>
    <col min="4108" max="4108" width="16.140625" style="1203" customWidth="1"/>
    <col min="4109" max="4109" width="15.85546875" style="1203" customWidth="1"/>
    <col min="4110" max="4110" width="10.85546875" style="1203" bestFit="1" customWidth="1"/>
    <col min="4111" max="4352" width="9.140625" style="1203"/>
    <col min="4353" max="4353" width="66" style="1203" bestFit="1" customWidth="1"/>
    <col min="4354" max="4354" width="15.28515625" style="1203" customWidth="1"/>
    <col min="4355" max="4355" width="18.85546875" style="1203" customWidth="1"/>
    <col min="4356" max="4356" width="17.140625" style="1203" customWidth="1"/>
    <col min="4357" max="4357" width="12.7109375" style="1203" customWidth="1"/>
    <col min="4358" max="4358" width="17" style="1203" bestFit="1" customWidth="1"/>
    <col min="4359" max="4359" width="14.5703125" style="1203" customWidth="1"/>
    <col min="4360" max="4360" width="15.42578125" style="1203" customWidth="1"/>
    <col min="4361" max="4361" width="15.140625" style="1203" bestFit="1" customWidth="1"/>
    <col min="4362" max="4362" width="15.7109375" style="1203" bestFit="1" customWidth="1"/>
    <col min="4363" max="4363" width="12.85546875" style="1203" customWidth="1"/>
    <col min="4364" max="4364" width="16.140625" style="1203" customWidth="1"/>
    <col min="4365" max="4365" width="15.85546875" style="1203" customWidth="1"/>
    <col min="4366" max="4366" width="10.85546875" style="1203" bestFit="1" customWidth="1"/>
    <col min="4367" max="4608" width="9.140625" style="1203"/>
    <col min="4609" max="4609" width="66" style="1203" bestFit="1" customWidth="1"/>
    <col min="4610" max="4610" width="15.28515625" style="1203" customWidth="1"/>
    <col min="4611" max="4611" width="18.85546875" style="1203" customWidth="1"/>
    <col min="4612" max="4612" width="17.140625" style="1203" customWidth="1"/>
    <col min="4613" max="4613" width="12.7109375" style="1203" customWidth="1"/>
    <col min="4614" max="4614" width="17" style="1203" bestFit="1" customWidth="1"/>
    <col min="4615" max="4615" width="14.5703125" style="1203" customWidth="1"/>
    <col min="4616" max="4616" width="15.42578125" style="1203" customWidth="1"/>
    <col min="4617" max="4617" width="15.140625" style="1203" bestFit="1" customWidth="1"/>
    <col min="4618" max="4618" width="15.7109375" style="1203" bestFit="1" customWidth="1"/>
    <col min="4619" max="4619" width="12.85546875" style="1203" customWidth="1"/>
    <col min="4620" max="4620" width="16.140625" style="1203" customWidth="1"/>
    <col min="4621" max="4621" width="15.85546875" style="1203" customWidth="1"/>
    <col min="4622" max="4622" width="10.85546875" style="1203" bestFit="1" customWidth="1"/>
    <col min="4623" max="4864" width="9.140625" style="1203"/>
    <col min="4865" max="4865" width="66" style="1203" bestFit="1" customWidth="1"/>
    <col min="4866" max="4866" width="15.28515625" style="1203" customWidth="1"/>
    <col min="4867" max="4867" width="18.85546875" style="1203" customWidth="1"/>
    <col min="4868" max="4868" width="17.140625" style="1203" customWidth="1"/>
    <col min="4869" max="4869" width="12.7109375" style="1203" customWidth="1"/>
    <col min="4870" max="4870" width="17" style="1203" bestFit="1" customWidth="1"/>
    <col min="4871" max="4871" width="14.5703125" style="1203" customWidth="1"/>
    <col min="4872" max="4872" width="15.42578125" style="1203" customWidth="1"/>
    <col min="4873" max="4873" width="15.140625" style="1203" bestFit="1" customWidth="1"/>
    <col min="4874" max="4874" width="15.7109375" style="1203" bestFit="1" customWidth="1"/>
    <col min="4875" max="4875" width="12.85546875" style="1203" customWidth="1"/>
    <col min="4876" max="4876" width="16.140625" style="1203" customWidth="1"/>
    <col min="4877" max="4877" width="15.85546875" style="1203" customWidth="1"/>
    <col min="4878" max="4878" width="10.85546875" style="1203" bestFit="1" customWidth="1"/>
    <col min="4879" max="5120" width="9.140625" style="1203"/>
    <col min="5121" max="5121" width="66" style="1203" bestFit="1" customWidth="1"/>
    <col min="5122" max="5122" width="15.28515625" style="1203" customWidth="1"/>
    <col min="5123" max="5123" width="18.85546875" style="1203" customWidth="1"/>
    <col min="5124" max="5124" width="17.140625" style="1203" customWidth="1"/>
    <col min="5125" max="5125" width="12.7109375" style="1203" customWidth="1"/>
    <col min="5126" max="5126" width="17" style="1203" bestFit="1" customWidth="1"/>
    <col min="5127" max="5127" width="14.5703125" style="1203" customWidth="1"/>
    <col min="5128" max="5128" width="15.42578125" style="1203" customWidth="1"/>
    <col min="5129" max="5129" width="15.140625" style="1203" bestFit="1" customWidth="1"/>
    <col min="5130" max="5130" width="15.7109375" style="1203" bestFit="1" customWidth="1"/>
    <col min="5131" max="5131" width="12.85546875" style="1203" customWidth="1"/>
    <col min="5132" max="5132" width="16.140625" style="1203" customWidth="1"/>
    <col min="5133" max="5133" width="15.85546875" style="1203" customWidth="1"/>
    <col min="5134" max="5134" width="10.85546875" style="1203" bestFit="1" customWidth="1"/>
    <col min="5135" max="5376" width="9.140625" style="1203"/>
    <col min="5377" max="5377" width="66" style="1203" bestFit="1" customWidth="1"/>
    <col min="5378" max="5378" width="15.28515625" style="1203" customWidth="1"/>
    <col min="5379" max="5379" width="18.85546875" style="1203" customWidth="1"/>
    <col min="5380" max="5380" width="17.140625" style="1203" customWidth="1"/>
    <col min="5381" max="5381" width="12.7109375" style="1203" customWidth="1"/>
    <col min="5382" max="5382" width="17" style="1203" bestFit="1" customWidth="1"/>
    <col min="5383" max="5383" width="14.5703125" style="1203" customWidth="1"/>
    <col min="5384" max="5384" width="15.42578125" style="1203" customWidth="1"/>
    <col min="5385" max="5385" width="15.140625" style="1203" bestFit="1" customWidth="1"/>
    <col min="5386" max="5386" width="15.7109375" style="1203" bestFit="1" customWidth="1"/>
    <col min="5387" max="5387" width="12.85546875" style="1203" customWidth="1"/>
    <col min="5388" max="5388" width="16.140625" style="1203" customWidth="1"/>
    <col min="5389" max="5389" width="15.85546875" style="1203" customWidth="1"/>
    <col min="5390" max="5390" width="10.85546875" style="1203" bestFit="1" customWidth="1"/>
    <col min="5391" max="5632" width="9.140625" style="1203"/>
    <col min="5633" max="5633" width="66" style="1203" bestFit="1" customWidth="1"/>
    <col min="5634" max="5634" width="15.28515625" style="1203" customWidth="1"/>
    <col min="5635" max="5635" width="18.85546875" style="1203" customWidth="1"/>
    <col min="5636" max="5636" width="17.140625" style="1203" customWidth="1"/>
    <col min="5637" max="5637" width="12.7109375" style="1203" customWidth="1"/>
    <col min="5638" max="5638" width="17" style="1203" bestFit="1" customWidth="1"/>
    <col min="5639" max="5639" width="14.5703125" style="1203" customWidth="1"/>
    <col min="5640" max="5640" width="15.42578125" style="1203" customWidth="1"/>
    <col min="5641" max="5641" width="15.140625" style="1203" bestFit="1" customWidth="1"/>
    <col min="5642" max="5642" width="15.7109375" style="1203" bestFit="1" customWidth="1"/>
    <col min="5643" max="5643" width="12.85546875" style="1203" customWidth="1"/>
    <col min="5644" max="5644" width="16.140625" style="1203" customWidth="1"/>
    <col min="5645" max="5645" width="15.85546875" style="1203" customWidth="1"/>
    <col min="5646" max="5646" width="10.85546875" style="1203" bestFit="1" customWidth="1"/>
    <col min="5647" max="5888" width="9.140625" style="1203"/>
    <col min="5889" max="5889" width="66" style="1203" bestFit="1" customWidth="1"/>
    <col min="5890" max="5890" width="15.28515625" style="1203" customWidth="1"/>
    <col min="5891" max="5891" width="18.85546875" style="1203" customWidth="1"/>
    <col min="5892" max="5892" width="17.140625" style="1203" customWidth="1"/>
    <col min="5893" max="5893" width="12.7109375" style="1203" customWidth="1"/>
    <col min="5894" max="5894" width="17" style="1203" bestFit="1" customWidth="1"/>
    <col min="5895" max="5895" width="14.5703125" style="1203" customWidth="1"/>
    <col min="5896" max="5896" width="15.42578125" style="1203" customWidth="1"/>
    <col min="5897" max="5897" width="15.140625" style="1203" bestFit="1" customWidth="1"/>
    <col min="5898" max="5898" width="15.7109375" style="1203" bestFit="1" customWidth="1"/>
    <col min="5899" max="5899" width="12.85546875" style="1203" customWidth="1"/>
    <col min="5900" max="5900" width="16.140625" style="1203" customWidth="1"/>
    <col min="5901" max="5901" width="15.85546875" style="1203" customWidth="1"/>
    <col min="5902" max="5902" width="10.85546875" style="1203" bestFit="1" customWidth="1"/>
    <col min="5903" max="6144" width="9.140625" style="1203"/>
    <col min="6145" max="6145" width="66" style="1203" bestFit="1" customWidth="1"/>
    <col min="6146" max="6146" width="15.28515625" style="1203" customWidth="1"/>
    <col min="6147" max="6147" width="18.85546875" style="1203" customWidth="1"/>
    <col min="6148" max="6148" width="17.140625" style="1203" customWidth="1"/>
    <col min="6149" max="6149" width="12.7109375" style="1203" customWidth="1"/>
    <col min="6150" max="6150" width="17" style="1203" bestFit="1" customWidth="1"/>
    <col min="6151" max="6151" width="14.5703125" style="1203" customWidth="1"/>
    <col min="6152" max="6152" width="15.42578125" style="1203" customWidth="1"/>
    <col min="6153" max="6153" width="15.140625" style="1203" bestFit="1" customWidth="1"/>
    <col min="6154" max="6154" width="15.7109375" style="1203" bestFit="1" customWidth="1"/>
    <col min="6155" max="6155" width="12.85546875" style="1203" customWidth="1"/>
    <col min="6156" max="6156" width="16.140625" style="1203" customWidth="1"/>
    <col min="6157" max="6157" width="15.85546875" style="1203" customWidth="1"/>
    <col min="6158" max="6158" width="10.85546875" style="1203" bestFit="1" customWidth="1"/>
    <col min="6159" max="6400" width="9.140625" style="1203"/>
    <col min="6401" max="6401" width="66" style="1203" bestFit="1" customWidth="1"/>
    <col min="6402" max="6402" width="15.28515625" style="1203" customWidth="1"/>
    <col min="6403" max="6403" width="18.85546875" style="1203" customWidth="1"/>
    <col min="6404" max="6404" width="17.140625" style="1203" customWidth="1"/>
    <col min="6405" max="6405" width="12.7109375" style="1203" customWidth="1"/>
    <col min="6406" max="6406" width="17" style="1203" bestFit="1" customWidth="1"/>
    <col min="6407" max="6407" width="14.5703125" style="1203" customWidth="1"/>
    <col min="6408" max="6408" width="15.42578125" style="1203" customWidth="1"/>
    <col min="6409" max="6409" width="15.140625" style="1203" bestFit="1" customWidth="1"/>
    <col min="6410" max="6410" width="15.7109375" style="1203" bestFit="1" customWidth="1"/>
    <col min="6411" max="6411" width="12.85546875" style="1203" customWidth="1"/>
    <col min="6412" max="6412" width="16.140625" style="1203" customWidth="1"/>
    <col min="6413" max="6413" width="15.85546875" style="1203" customWidth="1"/>
    <col min="6414" max="6414" width="10.85546875" style="1203" bestFit="1" customWidth="1"/>
    <col min="6415" max="6656" width="9.140625" style="1203"/>
    <col min="6657" max="6657" width="66" style="1203" bestFit="1" customWidth="1"/>
    <col min="6658" max="6658" width="15.28515625" style="1203" customWidth="1"/>
    <col min="6659" max="6659" width="18.85546875" style="1203" customWidth="1"/>
    <col min="6660" max="6660" width="17.140625" style="1203" customWidth="1"/>
    <col min="6661" max="6661" width="12.7109375" style="1203" customWidth="1"/>
    <col min="6662" max="6662" width="17" style="1203" bestFit="1" customWidth="1"/>
    <col min="6663" max="6663" width="14.5703125" style="1203" customWidth="1"/>
    <col min="6664" max="6664" width="15.42578125" style="1203" customWidth="1"/>
    <col min="6665" max="6665" width="15.140625" style="1203" bestFit="1" customWidth="1"/>
    <col min="6666" max="6666" width="15.7109375" style="1203" bestFit="1" customWidth="1"/>
    <col min="6667" max="6667" width="12.85546875" style="1203" customWidth="1"/>
    <col min="6668" max="6668" width="16.140625" style="1203" customWidth="1"/>
    <col min="6669" max="6669" width="15.85546875" style="1203" customWidth="1"/>
    <col min="6670" max="6670" width="10.85546875" style="1203" bestFit="1" customWidth="1"/>
    <col min="6671" max="6912" width="9.140625" style="1203"/>
    <col min="6913" max="6913" width="66" style="1203" bestFit="1" customWidth="1"/>
    <col min="6914" max="6914" width="15.28515625" style="1203" customWidth="1"/>
    <col min="6915" max="6915" width="18.85546875" style="1203" customWidth="1"/>
    <col min="6916" max="6916" width="17.140625" style="1203" customWidth="1"/>
    <col min="6917" max="6917" width="12.7109375" style="1203" customWidth="1"/>
    <col min="6918" max="6918" width="17" style="1203" bestFit="1" customWidth="1"/>
    <col min="6919" max="6919" width="14.5703125" style="1203" customWidth="1"/>
    <col min="6920" max="6920" width="15.42578125" style="1203" customWidth="1"/>
    <col min="6921" max="6921" width="15.140625" style="1203" bestFit="1" customWidth="1"/>
    <col min="6922" max="6922" width="15.7109375" style="1203" bestFit="1" customWidth="1"/>
    <col min="6923" max="6923" width="12.85546875" style="1203" customWidth="1"/>
    <col min="6924" max="6924" width="16.140625" style="1203" customWidth="1"/>
    <col min="6925" max="6925" width="15.85546875" style="1203" customWidth="1"/>
    <col min="6926" max="6926" width="10.85546875" style="1203" bestFit="1" customWidth="1"/>
    <col min="6927" max="7168" width="9.140625" style="1203"/>
    <col min="7169" max="7169" width="66" style="1203" bestFit="1" customWidth="1"/>
    <col min="7170" max="7170" width="15.28515625" style="1203" customWidth="1"/>
    <col min="7171" max="7171" width="18.85546875" style="1203" customWidth="1"/>
    <col min="7172" max="7172" width="17.140625" style="1203" customWidth="1"/>
    <col min="7173" max="7173" width="12.7109375" style="1203" customWidth="1"/>
    <col min="7174" max="7174" width="17" style="1203" bestFit="1" customWidth="1"/>
    <col min="7175" max="7175" width="14.5703125" style="1203" customWidth="1"/>
    <col min="7176" max="7176" width="15.42578125" style="1203" customWidth="1"/>
    <col min="7177" max="7177" width="15.140625" style="1203" bestFit="1" customWidth="1"/>
    <col min="7178" max="7178" width="15.7109375" style="1203" bestFit="1" customWidth="1"/>
    <col min="7179" max="7179" width="12.85546875" style="1203" customWidth="1"/>
    <col min="7180" max="7180" width="16.140625" style="1203" customWidth="1"/>
    <col min="7181" max="7181" width="15.85546875" style="1203" customWidth="1"/>
    <col min="7182" max="7182" width="10.85546875" style="1203" bestFit="1" customWidth="1"/>
    <col min="7183" max="7424" width="9.140625" style="1203"/>
    <col min="7425" max="7425" width="66" style="1203" bestFit="1" customWidth="1"/>
    <col min="7426" max="7426" width="15.28515625" style="1203" customWidth="1"/>
    <col min="7427" max="7427" width="18.85546875" style="1203" customWidth="1"/>
    <col min="7428" max="7428" width="17.140625" style="1203" customWidth="1"/>
    <col min="7429" max="7429" width="12.7109375" style="1203" customWidth="1"/>
    <col min="7430" max="7430" width="17" style="1203" bestFit="1" customWidth="1"/>
    <col min="7431" max="7431" width="14.5703125" style="1203" customWidth="1"/>
    <col min="7432" max="7432" width="15.42578125" style="1203" customWidth="1"/>
    <col min="7433" max="7433" width="15.140625" style="1203" bestFit="1" customWidth="1"/>
    <col min="7434" max="7434" width="15.7109375" style="1203" bestFit="1" customWidth="1"/>
    <col min="7435" max="7435" width="12.85546875" style="1203" customWidth="1"/>
    <col min="7436" max="7436" width="16.140625" style="1203" customWidth="1"/>
    <col min="7437" max="7437" width="15.85546875" style="1203" customWidth="1"/>
    <col min="7438" max="7438" width="10.85546875" style="1203" bestFit="1" customWidth="1"/>
    <col min="7439" max="7680" width="9.140625" style="1203"/>
    <col min="7681" max="7681" width="66" style="1203" bestFit="1" customWidth="1"/>
    <col min="7682" max="7682" width="15.28515625" style="1203" customWidth="1"/>
    <col min="7683" max="7683" width="18.85546875" style="1203" customWidth="1"/>
    <col min="7684" max="7684" width="17.140625" style="1203" customWidth="1"/>
    <col min="7685" max="7685" width="12.7109375" style="1203" customWidth="1"/>
    <col min="7686" max="7686" width="17" style="1203" bestFit="1" customWidth="1"/>
    <col min="7687" max="7687" width="14.5703125" style="1203" customWidth="1"/>
    <col min="7688" max="7688" width="15.42578125" style="1203" customWidth="1"/>
    <col min="7689" max="7689" width="15.140625" style="1203" bestFit="1" customWidth="1"/>
    <col min="7690" max="7690" width="15.7109375" style="1203" bestFit="1" customWidth="1"/>
    <col min="7691" max="7691" width="12.85546875" style="1203" customWidth="1"/>
    <col min="7692" max="7692" width="16.140625" style="1203" customWidth="1"/>
    <col min="7693" max="7693" width="15.85546875" style="1203" customWidth="1"/>
    <col min="7694" max="7694" width="10.85546875" style="1203" bestFit="1" customWidth="1"/>
    <col min="7695" max="7936" width="9.140625" style="1203"/>
    <col min="7937" max="7937" width="66" style="1203" bestFit="1" customWidth="1"/>
    <col min="7938" max="7938" width="15.28515625" style="1203" customWidth="1"/>
    <col min="7939" max="7939" width="18.85546875" style="1203" customWidth="1"/>
    <col min="7940" max="7940" width="17.140625" style="1203" customWidth="1"/>
    <col min="7941" max="7941" width="12.7109375" style="1203" customWidth="1"/>
    <col min="7942" max="7942" width="17" style="1203" bestFit="1" customWidth="1"/>
    <col min="7943" max="7943" width="14.5703125" style="1203" customWidth="1"/>
    <col min="7944" max="7944" width="15.42578125" style="1203" customWidth="1"/>
    <col min="7945" max="7945" width="15.140625" style="1203" bestFit="1" customWidth="1"/>
    <col min="7946" max="7946" width="15.7109375" style="1203" bestFit="1" customWidth="1"/>
    <col min="7947" max="7947" width="12.85546875" style="1203" customWidth="1"/>
    <col min="7948" max="7948" width="16.140625" style="1203" customWidth="1"/>
    <col min="7949" max="7949" width="15.85546875" style="1203" customWidth="1"/>
    <col min="7950" max="7950" width="10.85546875" style="1203" bestFit="1" customWidth="1"/>
    <col min="7951" max="8192" width="9.140625" style="1203"/>
    <col min="8193" max="8193" width="66" style="1203" bestFit="1" customWidth="1"/>
    <col min="8194" max="8194" width="15.28515625" style="1203" customWidth="1"/>
    <col min="8195" max="8195" width="18.85546875" style="1203" customWidth="1"/>
    <col min="8196" max="8196" width="17.140625" style="1203" customWidth="1"/>
    <col min="8197" max="8197" width="12.7109375" style="1203" customWidth="1"/>
    <col min="8198" max="8198" width="17" style="1203" bestFit="1" customWidth="1"/>
    <col min="8199" max="8199" width="14.5703125" style="1203" customWidth="1"/>
    <col min="8200" max="8200" width="15.42578125" style="1203" customWidth="1"/>
    <col min="8201" max="8201" width="15.140625" style="1203" bestFit="1" customWidth="1"/>
    <col min="8202" max="8202" width="15.7109375" style="1203" bestFit="1" customWidth="1"/>
    <col min="8203" max="8203" width="12.85546875" style="1203" customWidth="1"/>
    <col min="8204" max="8204" width="16.140625" style="1203" customWidth="1"/>
    <col min="8205" max="8205" width="15.85546875" style="1203" customWidth="1"/>
    <col min="8206" max="8206" width="10.85546875" style="1203" bestFit="1" customWidth="1"/>
    <col min="8207" max="8448" width="9.140625" style="1203"/>
    <col min="8449" max="8449" width="66" style="1203" bestFit="1" customWidth="1"/>
    <col min="8450" max="8450" width="15.28515625" style="1203" customWidth="1"/>
    <col min="8451" max="8451" width="18.85546875" style="1203" customWidth="1"/>
    <col min="8452" max="8452" width="17.140625" style="1203" customWidth="1"/>
    <col min="8453" max="8453" width="12.7109375" style="1203" customWidth="1"/>
    <col min="8454" max="8454" width="17" style="1203" bestFit="1" customWidth="1"/>
    <col min="8455" max="8455" width="14.5703125" style="1203" customWidth="1"/>
    <col min="8456" max="8456" width="15.42578125" style="1203" customWidth="1"/>
    <col min="8457" max="8457" width="15.140625" style="1203" bestFit="1" customWidth="1"/>
    <col min="8458" max="8458" width="15.7109375" style="1203" bestFit="1" customWidth="1"/>
    <col min="8459" max="8459" width="12.85546875" style="1203" customWidth="1"/>
    <col min="8460" max="8460" width="16.140625" style="1203" customWidth="1"/>
    <col min="8461" max="8461" width="15.85546875" style="1203" customWidth="1"/>
    <col min="8462" max="8462" width="10.85546875" style="1203" bestFit="1" customWidth="1"/>
    <col min="8463" max="8704" width="9.140625" style="1203"/>
    <col min="8705" max="8705" width="66" style="1203" bestFit="1" customWidth="1"/>
    <col min="8706" max="8706" width="15.28515625" style="1203" customWidth="1"/>
    <col min="8707" max="8707" width="18.85546875" style="1203" customWidth="1"/>
    <col min="8708" max="8708" width="17.140625" style="1203" customWidth="1"/>
    <col min="8709" max="8709" width="12.7109375" style="1203" customWidth="1"/>
    <col min="8710" max="8710" width="17" style="1203" bestFit="1" customWidth="1"/>
    <col min="8711" max="8711" width="14.5703125" style="1203" customWidth="1"/>
    <col min="8712" max="8712" width="15.42578125" style="1203" customWidth="1"/>
    <col min="8713" max="8713" width="15.140625" style="1203" bestFit="1" customWidth="1"/>
    <col min="8714" max="8714" width="15.7109375" style="1203" bestFit="1" customWidth="1"/>
    <col min="8715" max="8715" width="12.85546875" style="1203" customWidth="1"/>
    <col min="8716" max="8716" width="16.140625" style="1203" customWidth="1"/>
    <col min="8717" max="8717" width="15.85546875" style="1203" customWidth="1"/>
    <col min="8718" max="8718" width="10.85546875" style="1203" bestFit="1" customWidth="1"/>
    <col min="8719" max="8960" width="9.140625" style="1203"/>
    <col min="8961" max="8961" width="66" style="1203" bestFit="1" customWidth="1"/>
    <col min="8962" max="8962" width="15.28515625" style="1203" customWidth="1"/>
    <col min="8963" max="8963" width="18.85546875" style="1203" customWidth="1"/>
    <col min="8964" max="8964" width="17.140625" style="1203" customWidth="1"/>
    <col min="8965" max="8965" width="12.7109375" style="1203" customWidth="1"/>
    <col min="8966" max="8966" width="17" style="1203" bestFit="1" customWidth="1"/>
    <col min="8967" max="8967" width="14.5703125" style="1203" customWidth="1"/>
    <col min="8968" max="8968" width="15.42578125" style="1203" customWidth="1"/>
    <col min="8969" max="8969" width="15.140625" style="1203" bestFit="1" customWidth="1"/>
    <col min="8970" max="8970" width="15.7109375" style="1203" bestFit="1" customWidth="1"/>
    <col min="8971" max="8971" width="12.85546875" style="1203" customWidth="1"/>
    <col min="8972" max="8972" width="16.140625" style="1203" customWidth="1"/>
    <col min="8973" max="8973" width="15.85546875" style="1203" customWidth="1"/>
    <col min="8974" max="8974" width="10.85546875" style="1203" bestFit="1" customWidth="1"/>
    <col min="8975" max="9216" width="9.140625" style="1203"/>
    <col min="9217" max="9217" width="66" style="1203" bestFit="1" customWidth="1"/>
    <col min="9218" max="9218" width="15.28515625" style="1203" customWidth="1"/>
    <col min="9219" max="9219" width="18.85546875" style="1203" customWidth="1"/>
    <col min="9220" max="9220" width="17.140625" style="1203" customWidth="1"/>
    <col min="9221" max="9221" width="12.7109375" style="1203" customWidth="1"/>
    <col min="9222" max="9222" width="17" style="1203" bestFit="1" customWidth="1"/>
    <col min="9223" max="9223" width="14.5703125" style="1203" customWidth="1"/>
    <col min="9224" max="9224" width="15.42578125" style="1203" customWidth="1"/>
    <col min="9225" max="9225" width="15.140625" style="1203" bestFit="1" customWidth="1"/>
    <col min="9226" max="9226" width="15.7109375" style="1203" bestFit="1" customWidth="1"/>
    <col min="9227" max="9227" width="12.85546875" style="1203" customWidth="1"/>
    <col min="9228" max="9228" width="16.140625" style="1203" customWidth="1"/>
    <col min="9229" max="9229" width="15.85546875" style="1203" customWidth="1"/>
    <col min="9230" max="9230" width="10.85546875" style="1203" bestFit="1" customWidth="1"/>
    <col min="9231" max="9472" width="9.140625" style="1203"/>
    <col min="9473" max="9473" width="66" style="1203" bestFit="1" customWidth="1"/>
    <col min="9474" max="9474" width="15.28515625" style="1203" customWidth="1"/>
    <col min="9475" max="9475" width="18.85546875" style="1203" customWidth="1"/>
    <col min="9476" max="9476" width="17.140625" style="1203" customWidth="1"/>
    <col min="9477" max="9477" width="12.7109375" style="1203" customWidth="1"/>
    <col min="9478" max="9478" width="17" style="1203" bestFit="1" customWidth="1"/>
    <col min="9479" max="9479" width="14.5703125" style="1203" customWidth="1"/>
    <col min="9480" max="9480" width="15.42578125" style="1203" customWidth="1"/>
    <col min="9481" max="9481" width="15.140625" style="1203" bestFit="1" customWidth="1"/>
    <col min="9482" max="9482" width="15.7109375" style="1203" bestFit="1" customWidth="1"/>
    <col min="9483" max="9483" width="12.85546875" style="1203" customWidth="1"/>
    <col min="9484" max="9484" width="16.140625" style="1203" customWidth="1"/>
    <col min="9485" max="9485" width="15.85546875" style="1203" customWidth="1"/>
    <col min="9486" max="9486" width="10.85546875" style="1203" bestFit="1" customWidth="1"/>
    <col min="9487" max="9728" width="9.140625" style="1203"/>
    <col min="9729" max="9729" width="66" style="1203" bestFit="1" customWidth="1"/>
    <col min="9730" max="9730" width="15.28515625" style="1203" customWidth="1"/>
    <col min="9731" max="9731" width="18.85546875" style="1203" customWidth="1"/>
    <col min="9732" max="9732" width="17.140625" style="1203" customWidth="1"/>
    <col min="9733" max="9733" width="12.7109375" style="1203" customWidth="1"/>
    <col min="9734" max="9734" width="17" style="1203" bestFit="1" customWidth="1"/>
    <col min="9735" max="9735" width="14.5703125" style="1203" customWidth="1"/>
    <col min="9736" max="9736" width="15.42578125" style="1203" customWidth="1"/>
    <col min="9737" max="9737" width="15.140625" style="1203" bestFit="1" customWidth="1"/>
    <col min="9738" max="9738" width="15.7109375" style="1203" bestFit="1" customWidth="1"/>
    <col min="9739" max="9739" width="12.85546875" style="1203" customWidth="1"/>
    <col min="9740" max="9740" width="16.140625" style="1203" customWidth="1"/>
    <col min="9741" max="9741" width="15.85546875" style="1203" customWidth="1"/>
    <col min="9742" max="9742" width="10.85546875" style="1203" bestFit="1" customWidth="1"/>
    <col min="9743" max="9984" width="9.140625" style="1203"/>
    <col min="9985" max="9985" width="66" style="1203" bestFit="1" customWidth="1"/>
    <col min="9986" max="9986" width="15.28515625" style="1203" customWidth="1"/>
    <col min="9987" max="9987" width="18.85546875" style="1203" customWidth="1"/>
    <col min="9988" max="9988" width="17.140625" style="1203" customWidth="1"/>
    <col min="9989" max="9989" width="12.7109375" style="1203" customWidth="1"/>
    <col min="9990" max="9990" width="17" style="1203" bestFit="1" customWidth="1"/>
    <col min="9991" max="9991" width="14.5703125" style="1203" customWidth="1"/>
    <col min="9992" max="9992" width="15.42578125" style="1203" customWidth="1"/>
    <col min="9993" max="9993" width="15.140625" style="1203" bestFit="1" customWidth="1"/>
    <col min="9994" max="9994" width="15.7109375" style="1203" bestFit="1" customWidth="1"/>
    <col min="9995" max="9995" width="12.85546875" style="1203" customWidth="1"/>
    <col min="9996" max="9996" width="16.140625" style="1203" customWidth="1"/>
    <col min="9997" max="9997" width="15.85546875" style="1203" customWidth="1"/>
    <col min="9998" max="9998" width="10.85546875" style="1203" bestFit="1" customWidth="1"/>
    <col min="9999" max="10240" width="9.140625" style="1203"/>
    <col min="10241" max="10241" width="66" style="1203" bestFit="1" customWidth="1"/>
    <col min="10242" max="10242" width="15.28515625" style="1203" customWidth="1"/>
    <col min="10243" max="10243" width="18.85546875" style="1203" customWidth="1"/>
    <col min="10244" max="10244" width="17.140625" style="1203" customWidth="1"/>
    <col min="10245" max="10245" width="12.7109375" style="1203" customWidth="1"/>
    <col min="10246" max="10246" width="17" style="1203" bestFit="1" customWidth="1"/>
    <col min="10247" max="10247" width="14.5703125" style="1203" customWidth="1"/>
    <col min="10248" max="10248" width="15.42578125" style="1203" customWidth="1"/>
    <col min="10249" max="10249" width="15.140625" style="1203" bestFit="1" customWidth="1"/>
    <col min="10250" max="10250" width="15.7109375" style="1203" bestFit="1" customWidth="1"/>
    <col min="10251" max="10251" width="12.85546875" style="1203" customWidth="1"/>
    <col min="10252" max="10252" width="16.140625" style="1203" customWidth="1"/>
    <col min="10253" max="10253" width="15.85546875" style="1203" customWidth="1"/>
    <col min="10254" max="10254" width="10.85546875" style="1203" bestFit="1" customWidth="1"/>
    <col min="10255" max="10496" width="9.140625" style="1203"/>
    <col min="10497" max="10497" width="66" style="1203" bestFit="1" customWidth="1"/>
    <col min="10498" max="10498" width="15.28515625" style="1203" customWidth="1"/>
    <col min="10499" max="10499" width="18.85546875" style="1203" customWidth="1"/>
    <col min="10500" max="10500" width="17.140625" style="1203" customWidth="1"/>
    <col min="10501" max="10501" width="12.7109375" style="1203" customWidth="1"/>
    <col min="10502" max="10502" width="17" style="1203" bestFit="1" customWidth="1"/>
    <col min="10503" max="10503" width="14.5703125" style="1203" customWidth="1"/>
    <col min="10504" max="10504" width="15.42578125" style="1203" customWidth="1"/>
    <col min="10505" max="10505" width="15.140625" style="1203" bestFit="1" customWidth="1"/>
    <col min="10506" max="10506" width="15.7109375" style="1203" bestFit="1" customWidth="1"/>
    <col min="10507" max="10507" width="12.85546875" style="1203" customWidth="1"/>
    <col min="10508" max="10508" width="16.140625" style="1203" customWidth="1"/>
    <col min="10509" max="10509" width="15.85546875" style="1203" customWidth="1"/>
    <col min="10510" max="10510" width="10.85546875" style="1203" bestFit="1" customWidth="1"/>
    <col min="10511" max="10752" width="9.140625" style="1203"/>
    <col min="10753" max="10753" width="66" style="1203" bestFit="1" customWidth="1"/>
    <col min="10754" max="10754" width="15.28515625" style="1203" customWidth="1"/>
    <col min="10755" max="10755" width="18.85546875" style="1203" customWidth="1"/>
    <col min="10756" max="10756" width="17.140625" style="1203" customWidth="1"/>
    <col min="10757" max="10757" width="12.7109375" style="1203" customWidth="1"/>
    <col min="10758" max="10758" width="17" style="1203" bestFit="1" customWidth="1"/>
    <col min="10759" max="10759" width="14.5703125" style="1203" customWidth="1"/>
    <col min="10760" max="10760" width="15.42578125" style="1203" customWidth="1"/>
    <col min="10761" max="10761" width="15.140625" style="1203" bestFit="1" customWidth="1"/>
    <col min="10762" max="10762" width="15.7109375" style="1203" bestFit="1" customWidth="1"/>
    <col min="10763" max="10763" width="12.85546875" style="1203" customWidth="1"/>
    <col min="10764" max="10764" width="16.140625" style="1203" customWidth="1"/>
    <col min="10765" max="10765" width="15.85546875" style="1203" customWidth="1"/>
    <col min="10766" max="10766" width="10.85546875" style="1203" bestFit="1" customWidth="1"/>
    <col min="10767" max="11008" width="9.140625" style="1203"/>
    <col min="11009" max="11009" width="66" style="1203" bestFit="1" customWidth="1"/>
    <col min="11010" max="11010" width="15.28515625" style="1203" customWidth="1"/>
    <col min="11011" max="11011" width="18.85546875" style="1203" customWidth="1"/>
    <col min="11012" max="11012" width="17.140625" style="1203" customWidth="1"/>
    <col min="11013" max="11013" width="12.7109375" style="1203" customWidth="1"/>
    <col min="11014" max="11014" width="17" style="1203" bestFit="1" customWidth="1"/>
    <col min="11015" max="11015" width="14.5703125" style="1203" customWidth="1"/>
    <col min="11016" max="11016" width="15.42578125" style="1203" customWidth="1"/>
    <col min="11017" max="11017" width="15.140625" style="1203" bestFit="1" customWidth="1"/>
    <col min="11018" max="11018" width="15.7109375" style="1203" bestFit="1" customWidth="1"/>
    <col min="11019" max="11019" width="12.85546875" style="1203" customWidth="1"/>
    <col min="11020" max="11020" width="16.140625" style="1203" customWidth="1"/>
    <col min="11021" max="11021" width="15.85546875" style="1203" customWidth="1"/>
    <col min="11022" max="11022" width="10.85546875" style="1203" bestFit="1" customWidth="1"/>
    <col min="11023" max="11264" width="9.140625" style="1203"/>
    <col min="11265" max="11265" width="66" style="1203" bestFit="1" customWidth="1"/>
    <col min="11266" max="11266" width="15.28515625" style="1203" customWidth="1"/>
    <col min="11267" max="11267" width="18.85546875" style="1203" customWidth="1"/>
    <col min="11268" max="11268" width="17.140625" style="1203" customWidth="1"/>
    <col min="11269" max="11269" width="12.7109375" style="1203" customWidth="1"/>
    <col min="11270" max="11270" width="17" style="1203" bestFit="1" customWidth="1"/>
    <col min="11271" max="11271" width="14.5703125" style="1203" customWidth="1"/>
    <col min="11272" max="11272" width="15.42578125" style="1203" customWidth="1"/>
    <col min="11273" max="11273" width="15.140625" style="1203" bestFit="1" customWidth="1"/>
    <col min="11274" max="11274" width="15.7109375" style="1203" bestFit="1" customWidth="1"/>
    <col min="11275" max="11275" width="12.85546875" style="1203" customWidth="1"/>
    <col min="11276" max="11276" width="16.140625" style="1203" customWidth="1"/>
    <col min="11277" max="11277" width="15.85546875" style="1203" customWidth="1"/>
    <col min="11278" max="11278" width="10.85546875" style="1203" bestFit="1" customWidth="1"/>
    <col min="11279" max="11520" width="9.140625" style="1203"/>
    <col min="11521" max="11521" width="66" style="1203" bestFit="1" customWidth="1"/>
    <col min="11522" max="11522" width="15.28515625" style="1203" customWidth="1"/>
    <col min="11523" max="11523" width="18.85546875" style="1203" customWidth="1"/>
    <col min="11524" max="11524" width="17.140625" style="1203" customWidth="1"/>
    <col min="11525" max="11525" width="12.7109375" style="1203" customWidth="1"/>
    <col min="11526" max="11526" width="17" style="1203" bestFit="1" customWidth="1"/>
    <col min="11527" max="11527" width="14.5703125" style="1203" customWidth="1"/>
    <col min="11528" max="11528" width="15.42578125" style="1203" customWidth="1"/>
    <col min="11529" max="11529" width="15.140625" style="1203" bestFit="1" customWidth="1"/>
    <col min="11530" max="11530" width="15.7109375" style="1203" bestFit="1" customWidth="1"/>
    <col min="11531" max="11531" width="12.85546875" style="1203" customWidth="1"/>
    <col min="11532" max="11532" width="16.140625" style="1203" customWidth="1"/>
    <col min="11533" max="11533" width="15.85546875" style="1203" customWidth="1"/>
    <col min="11534" max="11534" width="10.85546875" style="1203" bestFit="1" customWidth="1"/>
    <col min="11535" max="11776" width="9.140625" style="1203"/>
    <col min="11777" max="11777" width="66" style="1203" bestFit="1" customWidth="1"/>
    <col min="11778" max="11778" width="15.28515625" style="1203" customWidth="1"/>
    <col min="11779" max="11779" width="18.85546875" style="1203" customWidth="1"/>
    <col min="11780" max="11780" width="17.140625" style="1203" customWidth="1"/>
    <col min="11781" max="11781" width="12.7109375" style="1203" customWidth="1"/>
    <col min="11782" max="11782" width="17" style="1203" bestFit="1" customWidth="1"/>
    <col min="11783" max="11783" width="14.5703125" style="1203" customWidth="1"/>
    <col min="11784" max="11784" width="15.42578125" style="1203" customWidth="1"/>
    <col min="11785" max="11785" width="15.140625" style="1203" bestFit="1" customWidth="1"/>
    <col min="11786" max="11786" width="15.7109375" style="1203" bestFit="1" customWidth="1"/>
    <col min="11787" max="11787" width="12.85546875" style="1203" customWidth="1"/>
    <col min="11788" max="11788" width="16.140625" style="1203" customWidth="1"/>
    <col min="11789" max="11789" width="15.85546875" style="1203" customWidth="1"/>
    <col min="11790" max="11790" width="10.85546875" style="1203" bestFit="1" customWidth="1"/>
    <col min="11791" max="12032" width="9.140625" style="1203"/>
    <col min="12033" max="12033" width="66" style="1203" bestFit="1" customWidth="1"/>
    <col min="12034" max="12034" width="15.28515625" style="1203" customWidth="1"/>
    <col min="12035" max="12035" width="18.85546875" style="1203" customWidth="1"/>
    <col min="12036" max="12036" width="17.140625" style="1203" customWidth="1"/>
    <col min="12037" max="12037" width="12.7109375" style="1203" customWidth="1"/>
    <col min="12038" max="12038" width="17" style="1203" bestFit="1" customWidth="1"/>
    <col min="12039" max="12039" width="14.5703125" style="1203" customWidth="1"/>
    <col min="12040" max="12040" width="15.42578125" style="1203" customWidth="1"/>
    <col min="12041" max="12041" width="15.140625" style="1203" bestFit="1" customWidth="1"/>
    <col min="12042" max="12042" width="15.7109375" style="1203" bestFit="1" customWidth="1"/>
    <col min="12043" max="12043" width="12.85546875" style="1203" customWidth="1"/>
    <col min="12044" max="12044" width="16.140625" style="1203" customWidth="1"/>
    <col min="12045" max="12045" width="15.85546875" style="1203" customWidth="1"/>
    <col min="12046" max="12046" width="10.85546875" style="1203" bestFit="1" customWidth="1"/>
    <col min="12047" max="12288" width="9.140625" style="1203"/>
    <col min="12289" max="12289" width="66" style="1203" bestFit="1" customWidth="1"/>
    <col min="12290" max="12290" width="15.28515625" style="1203" customWidth="1"/>
    <col min="12291" max="12291" width="18.85546875" style="1203" customWidth="1"/>
    <col min="12292" max="12292" width="17.140625" style="1203" customWidth="1"/>
    <col min="12293" max="12293" width="12.7109375" style="1203" customWidth="1"/>
    <col min="12294" max="12294" width="17" style="1203" bestFit="1" customWidth="1"/>
    <col min="12295" max="12295" width="14.5703125" style="1203" customWidth="1"/>
    <col min="12296" max="12296" width="15.42578125" style="1203" customWidth="1"/>
    <col min="12297" max="12297" width="15.140625" style="1203" bestFit="1" customWidth="1"/>
    <col min="12298" max="12298" width="15.7109375" style="1203" bestFit="1" customWidth="1"/>
    <col min="12299" max="12299" width="12.85546875" style="1203" customWidth="1"/>
    <col min="12300" max="12300" width="16.140625" style="1203" customWidth="1"/>
    <col min="12301" max="12301" width="15.85546875" style="1203" customWidth="1"/>
    <col min="12302" max="12302" width="10.85546875" style="1203" bestFit="1" customWidth="1"/>
    <col min="12303" max="12544" width="9.140625" style="1203"/>
    <col min="12545" max="12545" width="66" style="1203" bestFit="1" customWidth="1"/>
    <col min="12546" max="12546" width="15.28515625" style="1203" customWidth="1"/>
    <col min="12547" max="12547" width="18.85546875" style="1203" customWidth="1"/>
    <col min="12548" max="12548" width="17.140625" style="1203" customWidth="1"/>
    <col min="12549" max="12549" width="12.7109375" style="1203" customWidth="1"/>
    <col min="12550" max="12550" width="17" style="1203" bestFit="1" customWidth="1"/>
    <col min="12551" max="12551" width="14.5703125" style="1203" customWidth="1"/>
    <col min="12552" max="12552" width="15.42578125" style="1203" customWidth="1"/>
    <col min="12553" max="12553" width="15.140625" style="1203" bestFit="1" customWidth="1"/>
    <col min="12554" max="12554" width="15.7109375" style="1203" bestFit="1" customWidth="1"/>
    <col min="12555" max="12555" width="12.85546875" style="1203" customWidth="1"/>
    <col min="12556" max="12556" width="16.140625" style="1203" customWidth="1"/>
    <col min="12557" max="12557" width="15.85546875" style="1203" customWidth="1"/>
    <col min="12558" max="12558" width="10.85546875" style="1203" bestFit="1" customWidth="1"/>
    <col min="12559" max="12800" width="9.140625" style="1203"/>
    <col min="12801" max="12801" width="66" style="1203" bestFit="1" customWidth="1"/>
    <col min="12802" max="12802" width="15.28515625" style="1203" customWidth="1"/>
    <col min="12803" max="12803" width="18.85546875" style="1203" customWidth="1"/>
    <col min="12804" max="12804" width="17.140625" style="1203" customWidth="1"/>
    <col min="12805" max="12805" width="12.7109375" style="1203" customWidth="1"/>
    <col min="12806" max="12806" width="17" style="1203" bestFit="1" customWidth="1"/>
    <col min="12807" max="12807" width="14.5703125" style="1203" customWidth="1"/>
    <col min="12808" max="12808" width="15.42578125" style="1203" customWidth="1"/>
    <col min="12809" max="12809" width="15.140625" style="1203" bestFit="1" customWidth="1"/>
    <col min="12810" max="12810" width="15.7109375" style="1203" bestFit="1" customWidth="1"/>
    <col min="12811" max="12811" width="12.85546875" style="1203" customWidth="1"/>
    <col min="12812" max="12812" width="16.140625" style="1203" customWidth="1"/>
    <col min="12813" max="12813" width="15.85546875" style="1203" customWidth="1"/>
    <col min="12814" max="12814" width="10.85546875" style="1203" bestFit="1" customWidth="1"/>
    <col min="12815" max="13056" width="9.140625" style="1203"/>
    <col min="13057" max="13057" width="66" style="1203" bestFit="1" customWidth="1"/>
    <col min="13058" max="13058" width="15.28515625" style="1203" customWidth="1"/>
    <col min="13059" max="13059" width="18.85546875" style="1203" customWidth="1"/>
    <col min="13060" max="13060" width="17.140625" style="1203" customWidth="1"/>
    <col min="13061" max="13061" width="12.7109375" style="1203" customWidth="1"/>
    <col min="13062" max="13062" width="17" style="1203" bestFit="1" customWidth="1"/>
    <col min="13063" max="13063" width="14.5703125" style="1203" customWidth="1"/>
    <col min="13064" max="13064" width="15.42578125" style="1203" customWidth="1"/>
    <col min="13065" max="13065" width="15.140625" style="1203" bestFit="1" customWidth="1"/>
    <col min="13066" max="13066" width="15.7109375" style="1203" bestFit="1" customWidth="1"/>
    <col min="13067" max="13067" width="12.85546875" style="1203" customWidth="1"/>
    <col min="13068" max="13068" width="16.140625" style="1203" customWidth="1"/>
    <col min="13069" max="13069" width="15.85546875" style="1203" customWidth="1"/>
    <col min="13070" max="13070" width="10.85546875" style="1203" bestFit="1" customWidth="1"/>
    <col min="13071" max="13312" width="9.140625" style="1203"/>
    <col min="13313" max="13313" width="66" style="1203" bestFit="1" customWidth="1"/>
    <col min="13314" max="13314" width="15.28515625" style="1203" customWidth="1"/>
    <col min="13315" max="13315" width="18.85546875" style="1203" customWidth="1"/>
    <col min="13316" max="13316" width="17.140625" style="1203" customWidth="1"/>
    <col min="13317" max="13317" width="12.7109375" style="1203" customWidth="1"/>
    <col min="13318" max="13318" width="17" style="1203" bestFit="1" customWidth="1"/>
    <col min="13319" max="13319" width="14.5703125" style="1203" customWidth="1"/>
    <col min="13320" max="13320" width="15.42578125" style="1203" customWidth="1"/>
    <col min="13321" max="13321" width="15.140625" style="1203" bestFit="1" customWidth="1"/>
    <col min="13322" max="13322" width="15.7109375" style="1203" bestFit="1" customWidth="1"/>
    <col min="13323" max="13323" width="12.85546875" style="1203" customWidth="1"/>
    <col min="13324" max="13324" width="16.140625" style="1203" customWidth="1"/>
    <col min="13325" max="13325" width="15.85546875" style="1203" customWidth="1"/>
    <col min="13326" max="13326" width="10.85546875" style="1203" bestFit="1" customWidth="1"/>
    <col min="13327" max="13568" width="9.140625" style="1203"/>
    <col min="13569" max="13569" width="66" style="1203" bestFit="1" customWidth="1"/>
    <col min="13570" max="13570" width="15.28515625" style="1203" customWidth="1"/>
    <col min="13571" max="13571" width="18.85546875" style="1203" customWidth="1"/>
    <col min="13572" max="13572" width="17.140625" style="1203" customWidth="1"/>
    <col min="13573" max="13573" width="12.7109375" style="1203" customWidth="1"/>
    <col min="13574" max="13574" width="17" style="1203" bestFit="1" customWidth="1"/>
    <col min="13575" max="13575" width="14.5703125" style="1203" customWidth="1"/>
    <col min="13576" max="13576" width="15.42578125" style="1203" customWidth="1"/>
    <col min="13577" max="13577" width="15.140625" style="1203" bestFit="1" customWidth="1"/>
    <col min="13578" max="13578" width="15.7109375" style="1203" bestFit="1" customWidth="1"/>
    <col min="13579" max="13579" width="12.85546875" style="1203" customWidth="1"/>
    <col min="13580" max="13580" width="16.140625" style="1203" customWidth="1"/>
    <col min="13581" max="13581" width="15.85546875" style="1203" customWidth="1"/>
    <col min="13582" max="13582" width="10.85546875" style="1203" bestFit="1" customWidth="1"/>
    <col min="13583" max="13824" width="9.140625" style="1203"/>
    <col min="13825" max="13825" width="66" style="1203" bestFit="1" customWidth="1"/>
    <col min="13826" max="13826" width="15.28515625" style="1203" customWidth="1"/>
    <col min="13827" max="13827" width="18.85546875" style="1203" customWidth="1"/>
    <col min="13828" max="13828" width="17.140625" style="1203" customWidth="1"/>
    <col min="13829" max="13829" width="12.7109375" style="1203" customWidth="1"/>
    <col min="13830" max="13830" width="17" style="1203" bestFit="1" customWidth="1"/>
    <col min="13831" max="13831" width="14.5703125" style="1203" customWidth="1"/>
    <col min="13832" max="13832" width="15.42578125" style="1203" customWidth="1"/>
    <col min="13833" max="13833" width="15.140625" style="1203" bestFit="1" customWidth="1"/>
    <col min="13834" max="13834" width="15.7109375" style="1203" bestFit="1" customWidth="1"/>
    <col min="13835" max="13835" width="12.85546875" style="1203" customWidth="1"/>
    <col min="13836" max="13836" width="16.140625" style="1203" customWidth="1"/>
    <col min="13837" max="13837" width="15.85546875" style="1203" customWidth="1"/>
    <col min="13838" max="13838" width="10.85546875" style="1203" bestFit="1" customWidth="1"/>
    <col min="13839" max="14080" width="9.140625" style="1203"/>
    <col min="14081" max="14081" width="66" style="1203" bestFit="1" customWidth="1"/>
    <col min="14082" max="14082" width="15.28515625" style="1203" customWidth="1"/>
    <col min="14083" max="14083" width="18.85546875" style="1203" customWidth="1"/>
    <col min="14084" max="14084" width="17.140625" style="1203" customWidth="1"/>
    <col min="14085" max="14085" width="12.7109375" style="1203" customWidth="1"/>
    <col min="14086" max="14086" width="17" style="1203" bestFit="1" customWidth="1"/>
    <col min="14087" max="14087" width="14.5703125" style="1203" customWidth="1"/>
    <col min="14088" max="14088" width="15.42578125" style="1203" customWidth="1"/>
    <col min="14089" max="14089" width="15.140625" style="1203" bestFit="1" customWidth="1"/>
    <col min="14090" max="14090" width="15.7109375" style="1203" bestFit="1" customWidth="1"/>
    <col min="14091" max="14091" width="12.85546875" style="1203" customWidth="1"/>
    <col min="14092" max="14092" width="16.140625" style="1203" customWidth="1"/>
    <col min="14093" max="14093" width="15.85546875" style="1203" customWidth="1"/>
    <col min="14094" max="14094" width="10.85546875" style="1203" bestFit="1" customWidth="1"/>
    <col min="14095" max="14336" width="9.140625" style="1203"/>
    <col min="14337" max="14337" width="66" style="1203" bestFit="1" customWidth="1"/>
    <col min="14338" max="14338" width="15.28515625" style="1203" customWidth="1"/>
    <col min="14339" max="14339" width="18.85546875" style="1203" customWidth="1"/>
    <col min="14340" max="14340" width="17.140625" style="1203" customWidth="1"/>
    <col min="14341" max="14341" width="12.7109375" style="1203" customWidth="1"/>
    <col min="14342" max="14342" width="17" style="1203" bestFit="1" customWidth="1"/>
    <col min="14343" max="14343" width="14.5703125" style="1203" customWidth="1"/>
    <col min="14344" max="14344" width="15.42578125" style="1203" customWidth="1"/>
    <col min="14345" max="14345" width="15.140625" style="1203" bestFit="1" customWidth="1"/>
    <col min="14346" max="14346" width="15.7109375" style="1203" bestFit="1" customWidth="1"/>
    <col min="14347" max="14347" width="12.85546875" style="1203" customWidth="1"/>
    <col min="14348" max="14348" width="16.140625" style="1203" customWidth="1"/>
    <col min="14349" max="14349" width="15.85546875" style="1203" customWidth="1"/>
    <col min="14350" max="14350" width="10.85546875" style="1203" bestFit="1" customWidth="1"/>
    <col min="14351" max="14592" width="9.140625" style="1203"/>
    <col min="14593" max="14593" width="66" style="1203" bestFit="1" customWidth="1"/>
    <col min="14594" max="14594" width="15.28515625" style="1203" customWidth="1"/>
    <col min="14595" max="14595" width="18.85546875" style="1203" customWidth="1"/>
    <col min="14596" max="14596" width="17.140625" style="1203" customWidth="1"/>
    <col min="14597" max="14597" width="12.7109375" style="1203" customWidth="1"/>
    <col min="14598" max="14598" width="17" style="1203" bestFit="1" customWidth="1"/>
    <col min="14599" max="14599" width="14.5703125" style="1203" customWidth="1"/>
    <col min="14600" max="14600" width="15.42578125" style="1203" customWidth="1"/>
    <col min="14601" max="14601" width="15.140625" style="1203" bestFit="1" customWidth="1"/>
    <col min="14602" max="14602" width="15.7109375" style="1203" bestFit="1" customWidth="1"/>
    <col min="14603" max="14603" width="12.85546875" style="1203" customWidth="1"/>
    <col min="14604" max="14604" width="16.140625" style="1203" customWidth="1"/>
    <col min="14605" max="14605" width="15.85546875" style="1203" customWidth="1"/>
    <col min="14606" max="14606" width="10.85546875" style="1203" bestFit="1" customWidth="1"/>
    <col min="14607" max="14848" width="9.140625" style="1203"/>
    <col min="14849" max="14849" width="66" style="1203" bestFit="1" customWidth="1"/>
    <col min="14850" max="14850" width="15.28515625" style="1203" customWidth="1"/>
    <col min="14851" max="14851" width="18.85546875" style="1203" customWidth="1"/>
    <col min="14852" max="14852" width="17.140625" style="1203" customWidth="1"/>
    <col min="14853" max="14853" width="12.7109375" style="1203" customWidth="1"/>
    <col min="14854" max="14854" width="17" style="1203" bestFit="1" customWidth="1"/>
    <col min="14855" max="14855" width="14.5703125" style="1203" customWidth="1"/>
    <col min="14856" max="14856" width="15.42578125" style="1203" customWidth="1"/>
    <col min="14857" max="14857" width="15.140625" style="1203" bestFit="1" customWidth="1"/>
    <col min="14858" max="14858" width="15.7109375" style="1203" bestFit="1" customWidth="1"/>
    <col min="14859" max="14859" width="12.85546875" style="1203" customWidth="1"/>
    <col min="14860" max="14860" width="16.140625" style="1203" customWidth="1"/>
    <col min="14861" max="14861" width="15.85546875" style="1203" customWidth="1"/>
    <col min="14862" max="14862" width="10.85546875" style="1203" bestFit="1" customWidth="1"/>
    <col min="14863" max="15104" width="9.140625" style="1203"/>
    <col min="15105" max="15105" width="66" style="1203" bestFit="1" customWidth="1"/>
    <col min="15106" max="15106" width="15.28515625" style="1203" customWidth="1"/>
    <col min="15107" max="15107" width="18.85546875" style="1203" customWidth="1"/>
    <col min="15108" max="15108" width="17.140625" style="1203" customWidth="1"/>
    <col min="15109" max="15109" width="12.7109375" style="1203" customWidth="1"/>
    <col min="15110" max="15110" width="17" style="1203" bestFit="1" customWidth="1"/>
    <col min="15111" max="15111" width="14.5703125" style="1203" customWidth="1"/>
    <col min="15112" max="15112" width="15.42578125" style="1203" customWidth="1"/>
    <col min="15113" max="15113" width="15.140625" style="1203" bestFit="1" customWidth="1"/>
    <col min="15114" max="15114" width="15.7109375" style="1203" bestFit="1" customWidth="1"/>
    <col min="15115" max="15115" width="12.85546875" style="1203" customWidth="1"/>
    <col min="15116" max="15116" width="16.140625" style="1203" customWidth="1"/>
    <col min="15117" max="15117" width="15.85546875" style="1203" customWidth="1"/>
    <col min="15118" max="15118" width="10.85546875" style="1203" bestFit="1" customWidth="1"/>
    <col min="15119" max="15360" width="9.140625" style="1203"/>
    <col min="15361" max="15361" width="66" style="1203" bestFit="1" customWidth="1"/>
    <col min="15362" max="15362" width="15.28515625" style="1203" customWidth="1"/>
    <col min="15363" max="15363" width="18.85546875" style="1203" customWidth="1"/>
    <col min="15364" max="15364" width="17.140625" style="1203" customWidth="1"/>
    <col min="15365" max="15365" width="12.7109375" style="1203" customWidth="1"/>
    <col min="15366" max="15366" width="17" style="1203" bestFit="1" customWidth="1"/>
    <col min="15367" max="15367" width="14.5703125" style="1203" customWidth="1"/>
    <col min="15368" max="15368" width="15.42578125" style="1203" customWidth="1"/>
    <col min="15369" max="15369" width="15.140625" style="1203" bestFit="1" customWidth="1"/>
    <col min="15370" max="15370" width="15.7109375" style="1203" bestFit="1" customWidth="1"/>
    <col min="15371" max="15371" width="12.85546875" style="1203" customWidth="1"/>
    <col min="15372" max="15372" width="16.140625" style="1203" customWidth="1"/>
    <col min="15373" max="15373" width="15.85546875" style="1203" customWidth="1"/>
    <col min="15374" max="15374" width="10.85546875" style="1203" bestFit="1" customWidth="1"/>
    <col min="15375" max="15616" width="9.140625" style="1203"/>
    <col min="15617" max="15617" width="66" style="1203" bestFit="1" customWidth="1"/>
    <col min="15618" max="15618" width="15.28515625" style="1203" customWidth="1"/>
    <col min="15619" max="15619" width="18.85546875" style="1203" customWidth="1"/>
    <col min="15620" max="15620" width="17.140625" style="1203" customWidth="1"/>
    <col min="15621" max="15621" width="12.7109375" style="1203" customWidth="1"/>
    <col min="15622" max="15622" width="17" style="1203" bestFit="1" customWidth="1"/>
    <col min="15623" max="15623" width="14.5703125" style="1203" customWidth="1"/>
    <col min="15624" max="15624" width="15.42578125" style="1203" customWidth="1"/>
    <col min="15625" max="15625" width="15.140625" style="1203" bestFit="1" customWidth="1"/>
    <col min="15626" max="15626" width="15.7109375" style="1203" bestFit="1" customWidth="1"/>
    <col min="15627" max="15627" width="12.85546875" style="1203" customWidth="1"/>
    <col min="15628" max="15628" width="16.140625" style="1203" customWidth="1"/>
    <col min="15629" max="15629" width="15.85546875" style="1203" customWidth="1"/>
    <col min="15630" max="15630" width="10.85546875" style="1203" bestFit="1" customWidth="1"/>
    <col min="15631" max="15872" width="9.140625" style="1203"/>
    <col min="15873" max="15873" width="66" style="1203" bestFit="1" customWidth="1"/>
    <col min="15874" max="15874" width="15.28515625" style="1203" customWidth="1"/>
    <col min="15875" max="15875" width="18.85546875" style="1203" customWidth="1"/>
    <col min="15876" max="15876" width="17.140625" style="1203" customWidth="1"/>
    <col min="15877" max="15877" width="12.7109375" style="1203" customWidth="1"/>
    <col min="15878" max="15878" width="17" style="1203" bestFit="1" customWidth="1"/>
    <col min="15879" max="15879" width="14.5703125" style="1203" customWidth="1"/>
    <col min="15880" max="15880" width="15.42578125" style="1203" customWidth="1"/>
    <col min="15881" max="15881" width="15.140625" style="1203" bestFit="1" customWidth="1"/>
    <col min="15882" max="15882" width="15.7109375" style="1203" bestFit="1" customWidth="1"/>
    <col min="15883" max="15883" width="12.85546875" style="1203" customWidth="1"/>
    <col min="15884" max="15884" width="16.140625" style="1203" customWidth="1"/>
    <col min="15885" max="15885" width="15.85546875" style="1203" customWidth="1"/>
    <col min="15886" max="15886" width="10.85546875" style="1203" bestFit="1" customWidth="1"/>
    <col min="15887" max="16128" width="9.140625" style="1203"/>
    <col min="16129" max="16129" width="66" style="1203" bestFit="1" customWidth="1"/>
    <col min="16130" max="16130" width="15.28515625" style="1203" customWidth="1"/>
    <col min="16131" max="16131" width="18.85546875" style="1203" customWidth="1"/>
    <col min="16132" max="16132" width="17.140625" style="1203" customWidth="1"/>
    <col min="16133" max="16133" width="12.7109375" style="1203" customWidth="1"/>
    <col min="16134" max="16134" width="17" style="1203" bestFit="1" customWidth="1"/>
    <col min="16135" max="16135" width="14.5703125" style="1203" customWidth="1"/>
    <col min="16136" max="16136" width="15.42578125" style="1203" customWidth="1"/>
    <col min="16137" max="16137" width="15.140625" style="1203" bestFit="1" customWidth="1"/>
    <col min="16138" max="16138" width="15.7109375" style="1203" bestFit="1" customWidth="1"/>
    <col min="16139" max="16139" width="12.85546875" style="1203" customWidth="1"/>
    <col min="16140" max="16140" width="16.140625" style="1203" customWidth="1"/>
    <col min="16141" max="16141" width="15.85546875" style="1203" customWidth="1"/>
    <col min="16142" max="16142" width="10.85546875" style="1203" bestFit="1" customWidth="1"/>
    <col min="16143" max="16384" width="9.140625" style="1203"/>
  </cols>
  <sheetData>
    <row r="1" spans="1:14">
      <c r="A1" s="2306"/>
      <c r="K1" s="1237"/>
      <c r="L1" s="1238"/>
    </row>
    <row r="2" spans="1:14">
      <c r="A2" s="2684" t="s">
        <v>2278</v>
      </c>
      <c r="B2" s="2684"/>
      <c r="C2" s="2684"/>
      <c r="D2" s="2684"/>
      <c r="E2" s="2684"/>
      <c r="F2" s="2684"/>
      <c r="G2" s="2684"/>
      <c r="H2" s="2684"/>
      <c r="I2" s="2684"/>
      <c r="J2" s="2684"/>
      <c r="K2" s="2684"/>
      <c r="L2" s="2684"/>
      <c r="M2" s="2684"/>
    </row>
    <row r="3" spans="1:14">
      <c r="A3" s="2307" t="s">
        <v>2279</v>
      </c>
      <c r="B3" s="1239"/>
      <c r="C3" s="1239"/>
      <c r="D3" s="1239"/>
      <c r="E3" s="1239"/>
      <c r="F3" s="1239"/>
      <c r="G3" s="1239"/>
      <c r="H3" s="1239"/>
      <c r="I3" s="1239"/>
      <c r="J3" s="1239"/>
      <c r="K3" s="1239"/>
      <c r="L3" s="1239"/>
      <c r="M3" s="1239"/>
    </row>
    <row r="4" spans="1:14" ht="11.25" customHeight="1" thickBot="1">
      <c r="E4" s="2685" t="s">
        <v>345</v>
      </c>
      <c r="F4" s="2685"/>
      <c r="G4" s="2685"/>
      <c r="H4" s="2685"/>
      <c r="L4" s="1238" t="s">
        <v>2280</v>
      </c>
    </row>
    <row r="5" spans="1:14" ht="14.25" customHeight="1" thickBot="1">
      <c r="A5" s="1240" t="s">
        <v>2224</v>
      </c>
      <c r="B5" s="1241" t="s">
        <v>2281</v>
      </c>
      <c r="C5" s="1242"/>
      <c r="D5" s="1242"/>
      <c r="E5" s="1242"/>
      <c r="F5" s="1242"/>
      <c r="G5" s="1242"/>
      <c r="H5" s="1241" t="s">
        <v>1532</v>
      </c>
      <c r="I5" s="1242"/>
      <c r="J5" s="1241"/>
      <c r="K5" s="1241"/>
      <c r="L5" s="1241" t="s">
        <v>2282</v>
      </c>
      <c r="M5" s="1243"/>
      <c r="N5" s="1244"/>
    </row>
    <row r="6" spans="1:14" ht="51.75" thickBot="1">
      <c r="A6" s="1245" t="s">
        <v>887</v>
      </c>
      <c r="B6" s="2681" t="s">
        <v>2283</v>
      </c>
      <c r="C6" s="2682"/>
      <c r="D6" s="2683"/>
      <c r="E6" s="1246" t="s">
        <v>2284</v>
      </c>
      <c r="F6" s="1246" t="s">
        <v>2285</v>
      </c>
      <c r="G6" s="1246" t="s">
        <v>2286</v>
      </c>
      <c r="H6" s="1246" t="s">
        <v>2287</v>
      </c>
      <c r="I6" s="1246" t="s">
        <v>2288</v>
      </c>
      <c r="J6" s="1246" t="s">
        <v>2289</v>
      </c>
      <c r="K6" s="1246" t="s">
        <v>2290</v>
      </c>
      <c r="L6" s="1246" t="s">
        <v>2291</v>
      </c>
      <c r="M6" s="1247" t="s">
        <v>2292</v>
      </c>
      <c r="N6" s="1244"/>
    </row>
    <row r="7" spans="1:14" ht="25.5">
      <c r="A7" s="2308"/>
      <c r="B7" s="1249" t="s">
        <v>2293</v>
      </c>
      <c r="C7" s="1249" t="s">
        <v>2294</v>
      </c>
      <c r="D7" s="1249" t="s">
        <v>239</v>
      </c>
      <c r="E7" s="1248"/>
      <c r="F7" s="1248"/>
      <c r="G7" s="1248"/>
      <c r="H7" s="1248"/>
      <c r="I7" s="1248"/>
      <c r="J7" s="1248"/>
      <c r="K7" s="1248"/>
      <c r="L7" s="1248"/>
      <c r="M7" s="1248"/>
    </row>
    <row r="8" spans="1:14" hidden="1">
      <c r="A8" s="2309" t="s">
        <v>2295</v>
      </c>
      <c r="B8" s="1205"/>
      <c r="C8" s="1205"/>
      <c r="D8" s="1205"/>
      <c r="E8" s="1205"/>
      <c r="F8" s="1205"/>
      <c r="G8" s="1205"/>
      <c r="H8" s="1205"/>
      <c r="I8" s="1205"/>
      <c r="J8" s="1205"/>
      <c r="K8" s="1205"/>
      <c r="L8" s="1205"/>
      <c r="M8" s="1205"/>
    </row>
    <row r="9" spans="1:14" hidden="1">
      <c r="A9" s="2309" t="s">
        <v>2296</v>
      </c>
      <c r="B9" s="1205"/>
      <c r="C9" s="1205"/>
      <c r="D9" s="1205"/>
      <c r="E9" s="1205"/>
      <c r="F9" s="1205"/>
      <c r="G9" s="1205"/>
      <c r="H9" s="1205"/>
      <c r="I9" s="1205"/>
      <c r="J9" s="1205"/>
      <c r="K9" s="1205"/>
      <c r="L9" s="1205"/>
      <c r="M9" s="1205"/>
    </row>
    <row r="10" spans="1:14" hidden="1">
      <c r="A10" s="1250" t="s">
        <v>2297</v>
      </c>
      <c r="B10" s="1205"/>
      <c r="C10" s="1205"/>
      <c r="D10" s="1205"/>
      <c r="E10" s="1205"/>
      <c r="F10" s="1205"/>
      <c r="G10" s="1205"/>
      <c r="H10" s="1205"/>
      <c r="I10" s="1205"/>
      <c r="J10" s="1205"/>
      <c r="K10" s="1205"/>
      <c r="L10" s="1205"/>
      <c r="M10" s="1205"/>
    </row>
    <row r="11" spans="1:14" hidden="1">
      <c r="A11" s="1250" t="s">
        <v>2298</v>
      </c>
      <c r="B11" s="1205"/>
      <c r="C11" s="1205"/>
      <c r="D11" s="1205"/>
      <c r="E11" s="1205"/>
      <c r="F11" s="1205"/>
      <c r="G11" s="1205"/>
      <c r="H11" s="1205"/>
      <c r="I11" s="1205"/>
      <c r="J11" s="1205"/>
      <c r="K11" s="1205"/>
      <c r="L11" s="1205"/>
      <c r="M11" s="1205"/>
    </row>
    <row r="12" spans="1:14" hidden="1">
      <c r="A12" s="1250" t="s">
        <v>1216</v>
      </c>
      <c r="B12" s="1205"/>
      <c r="C12" s="1205"/>
      <c r="D12" s="1205"/>
      <c r="E12" s="1205"/>
      <c r="F12" s="1205"/>
      <c r="G12" s="1205"/>
      <c r="H12" s="1205"/>
      <c r="I12" s="1205"/>
      <c r="J12" s="1205"/>
      <c r="K12" s="1205"/>
      <c r="L12" s="1205"/>
      <c r="M12" s="1205"/>
    </row>
    <row r="13" spans="1:14" hidden="1">
      <c r="A13" s="1250" t="s">
        <v>2299</v>
      </c>
      <c r="B13" s="1205"/>
      <c r="C13" s="1205"/>
      <c r="D13" s="1205"/>
      <c r="E13" s="1205"/>
      <c r="F13" s="1205"/>
      <c r="G13" s="1205"/>
      <c r="H13" s="1205"/>
      <c r="I13" s="1205"/>
      <c r="J13" s="1205"/>
      <c r="K13" s="1205"/>
      <c r="L13" s="1205"/>
      <c r="M13" s="1205"/>
    </row>
    <row r="14" spans="1:14" hidden="1">
      <c r="A14" s="1250" t="s">
        <v>2300</v>
      </c>
      <c r="B14" s="1205"/>
      <c r="C14" s="1205"/>
      <c r="D14" s="1205"/>
      <c r="E14" s="1205"/>
      <c r="F14" s="1205"/>
      <c r="G14" s="1205"/>
      <c r="H14" s="1205"/>
      <c r="I14" s="1205"/>
      <c r="J14" s="1205"/>
      <c r="K14" s="1205"/>
      <c r="L14" s="1205"/>
      <c r="M14" s="1205"/>
    </row>
    <row r="15" spans="1:14" hidden="1">
      <c r="A15" s="1250" t="s">
        <v>2301</v>
      </c>
      <c r="B15" s="1205"/>
      <c r="C15" s="1205"/>
      <c r="D15" s="1205"/>
      <c r="E15" s="1205"/>
      <c r="F15" s="1205"/>
      <c r="G15" s="1205"/>
      <c r="H15" s="1205"/>
      <c r="I15" s="1205"/>
      <c r="J15" s="1205"/>
      <c r="K15" s="1205"/>
      <c r="L15" s="1205"/>
      <c r="M15" s="1205"/>
    </row>
    <row r="16" spans="1:14" ht="25.5" hidden="1">
      <c r="A16" s="1250" t="s">
        <v>2302</v>
      </c>
      <c r="B16" s="1205"/>
      <c r="C16" s="1205"/>
      <c r="D16" s="1205"/>
      <c r="E16" s="1205"/>
      <c r="F16" s="1205"/>
      <c r="G16" s="1205"/>
      <c r="H16" s="1205"/>
      <c r="I16" s="1205"/>
      <c r="J16" s="1205"/>
      <c r="K16" s="1205"/>
      <c r="L16" s="1205"/>
      <c r="M16" s="1205"/>
    </row>
    <row r="17" spans="1:13" ht="38.25" hidden="1">
      <c r="A17" s="1250" t="s">
        <v>2303</v>
      </c>
      <c r="B17" s="1205"/>
      <c r="C17" s="1205"/>
      <c r="D17" s="1205"/>
      <c r="E17" s="1205"/>
      <c r="F17" s="1205"/>
      <c r="G17" s="1205"/>
      <c r="H17" s="1205"/>
      <c r="I17" s="1205"/>
      <c r="J17" s="1205"/>
      <c r="K17" s="1205"/>
      <c r="L17" s="1205"/>
      <c r="M17" s="1205"/>
    </row>
    <row r="18" spans="1:13" hidden="1">
      <c r="A18" s="1250" t="s">
        <v>1218</v>
      </c>
      <c r="B18" s="1205"/>
      <c r="C18" s="1205"/>
      <c r="D18" s="1205"/>
      <c r="E18" s="1205"/>
      <c r="F18" s="1205"/>
      <c r="G18" s="1205"/>
      <c r="H18" s="1205"/>
      <c r="I18" s="1205"/>
      <c r="J18" s="1205"/>
      <c r="K18" s="1205"/>
      <c r="L18" s="1205"/>
      <c r="M18" s="1205"/>
    </row>
    <row r="19" spans="1:13" hidden="1">
      <c r="A19" s="1250" t="s">
        <v>2304</v>
      </c>
      <c r="B19" s="1205"/>
      <c r="C19" s="1205"/>
      <c r="D19" s="1205"/>
      <c r="E19" s="1205"/>
      <c r="F19" s="1205"/>
      <c r="G19" s="1205"/>
      <c r="H19" s="1205"/>
      <c r="I19" s="1205"/>
      <c r="J19" s="1205"/>
      <c r="K19" s="1205"/>
      <c r="L19" s="1205"/>
      <c r="M19" s="1205"/>
    </row>
    <row r="20" spans="1:13" hidden="1">
      <c r="A20" s="1250" t="s">
        <v>1220</v>
      </c>
      <c r="B20" s="1205"/>
      <c r="C20" s="1205"/>
      <c r="D20" s="1205"/>
      <c r="E20" s="1205"/>
      <c r="F20" s="1205"/>
      <c r="G20" s="1205"/>
      <c r="H20" s="1205"/>
      <c r="I20" s="1205"/>
      <c r="J20" s="1205"/>
      <c r="K20" s="1205"/>
      <c r="L20" s="1205"/>
      <c r="M20" s="1205"/>
    </row>
    <row r="21" spans="1:13">
      <c r="A21" s="2309" t="s">
        <v>2305</v>
      </c>
      <c r="B21" s="1205"/>
      <c r="C21" s="1205"/>
      <c r="D21" s="1205"/>
      <c r="E21" s="1205"/>
      <c r="F21" s="1205"/>
      <c r="G21" s="1205"/>
      <c r="H21" s="1205">
        <v>0</v>
      </c>
      <c r="I21" s="1205"/>
      <c r="J21" s="1205"/>
      <c r="K21" s="1205"/>
      <c r="L21" s="1205"/>
      <c r="M21" s="1205"/>
    </row>
    <row r="22" spans="1:13">
      <c r="A22" s="2309" t="s">
        <v>2296</v>
      </c>
      <c r="C22" s="1205"/>
      <c r="D22" s="1205"/>
      <c r="E22" s="1205"/>
      <c r="F22" s="1205"/>
      <c r="G22" s="1205"/>
      <c r="H22" s="1205">
        <v>0</v>
      </c>
      <c r="I22" s="1205"/>
      <c r="J22" s="1205"/>
      <c r="K22" s="1205"/>
      <c r="L22" s="1205"/>
      <c r="M22" s="1205"/>
    </row>
    <row r="23" spans="1:13">
      <c r="A23" s="1250" t="s">
        <v>2297</v>
      </c>
      <c r="B23" s="1206">
        <v>0</v>
      </c>
      <c r="C23" s="1206">
        <v>0</v>
      </c>
      <c r="D23" s="1251">
        <f>B23+C23</f>
        <v>0</v>
      </c>
      <c r="E23" s="1206">
        <v>0</v>
      </c>
      <c r="F23" s="1206">
        <v>0</v>
      </c>
      <c r="G23" s="1251">
        <f>D23+E23-F23</f>
        <v>0</v>
      </c>
      <c r="H23" s="1206">
        <v>0</v>
      </c>
      <c r="I23" s="1206"/>
      <c r="J23" s="1206">
        <v>0</v>
      </c>
      <c r="K23" s="1206">
        <f>H23+I23-J23</f>
        <v>0</v>
      </c>
      <c r="L23" s="1206">
        <f>G23-K23</f>
        <v>0</v>
      </c>
      <c r="M23" s="1206">
        <f>D23-H23</f>
        <v>0</v>
      </c>
    </row>
    <row r="24" spans="1:13">
      <c r="A24" s="1250" t="s">
        <v>2298</v>
      </c>
      <c r="B24" s="1206">
        <v>0</v>
      </c>
      <c r="C24" s="1206">
        <v>0</v>
      </c>
      <c r="D24" s="1251">
        <f t="shared" ref="D24:D35" si="0">B24+C24</f>
        <v>0</v>
      </c>
      <c r="E24" s="1206">
        <v>0</v>
      </c>
      <c r="F24" s="1206">
        <v>0</v>
      </c>
      <c r="G24" s="1251">
        <f t="shared" ref="G24:G35" si="1">D24+E24-F24</f>
        <v>0</v>
      </c>
      <c r="H24" s="1206">
        <v>0</v>
      </c>
      <c r="I24" s="1206"/>
      <c r="J24" s="1206">
        <v>0</v>
      </c>
      <c r="K24" s="1206">
        <f t="shared" ref="K24:K34" si="2">H24+I24-J24</f>
        <v>0</v>
      </c>
      <c r="L24" s="1206">
        <f t="shared" ref="L24:L35" si="3">G24-K24</f>
        <v>0</v>
      </c>
      <c r="M24" s="1206">
        <f t="shared" ref="M24:M34" si="4">D24-H24</f>
        <v>0</v>
      </c>
    </row>
    <row r="25" spans="1:13">
      <c r="A25" s="1250" t="s">
        <v>1216</v>
      </c>
      <c r="B25" s="1206">
        <v>0</v>
      </c>
      <c r="C25" s="1206">
        <v>0</v>
      </c>
      <c r="D25" s="1251">
        <f t="shared" si="0"/>
        <v>0</v>
      </c>
      <c r="E25" s="1206">
        <v>0</v>
      </c>
      <c r="F25" s="1206">
        <v>0</v>
      </c>
      <c r="G25" s="1251">
        <f t="shared" si="1"/>
        <v>0</v>
      </c>
      <c r="H25" s="1206">
        <v>0</v>
      </c>
      <c r="I25" s="1206"/>
      <c r="J25" s="1206">
        <v>0</v>
      </c>
      <c r="K25" s="1206">
        <f t="shared" si="2"/>
        <v>0</v>
      </c>
      <c r="L25" s="1206">
        <f t="shared" si="3"/>
        <v>0</v>
      </c>
      <c r="M25" s="1206">
        <f t="shared" si="4"/>
        <v>0</v>
      </c>
    </row>
    <row r="26" spans="1:13">
      <c r="A26" s="1250" t="s">
        <v>2299</v>
      </c>
      <c r="B26" s="1574">
        <f>'Depreciation New'!G76</f>
        <v>7004.7802882000005</v>
      </c>
      <c r="C26" s="1574">
        <v>0</v>
      </c>
      <c r="D26" s="1575">
        <f t="shared" si="0"/>
        <v>7004.7802882000005</v>
      </c>
      <c r="E26" s="1574">
        <f>'Depreciation New'!H76</f>
        <v>5081.7055796999975</v>
      </c>
      <c r="F26" s="1574">
        <v>0</v>
      </c>
      <c r="G26" s="1575">
        <f t="shared" si="1"/>
        <v>12086.485867899999</v>
      </c>
      <c r="H26" s="1574">
        <f>SUM('Depreciation New'!C26:E26)</f>
        <v>335.98383469999999</v>
      </c>
      <c r="I26" s="1574">
        <f>'Depreciation New'!F26</f>
        <v>310.21431280687</v>
      </c>
      <c r="J26" s="1574">
        <v>0</v>
      </c>
      <c r="K26" s="1574">
        <f>H26+I26-J26</f>
        <v>646.19814750686999</v>
      </c>
      <c r="L26" s="1574">
        <f t="shared" si="3"/>
        <v>11440.287720393129</v>
      </c>
      <c r="M26" s="1574">
        <f t="shared" si="4"/>
        <v>6668.796453500001</v>
      </c>
    </row>
    <row r="27" spans="1:13">
      <c r="A27" s="1250" t="s">
        <v>2300</v>
      </c>
      <c r="B27" s="1574">
        <v>0</v>
      </c>
      <c r="C27" s="1574">
        <v>0</v>
      </c>
      <c r="D27" s="1575">
        <f t="shared" si="0"/>
        <v>0</v>
      </c>
      <c r="E27" s="1574">
        <v>0</v>
      </c>
      <c r="F27" s="1574">
        <v>0</v>
      </c>
      <c r="G27" s="1575">
        <f t="shared" si="1"/>
        <v>0</v>
      </c>
      <c r="H27" s="1574">
        <v>0</v>
      </c>
      <c r="I27" s="1574"/>
      <c r="J27" s="1574">
        <v>0</v>
      </c>
      <c r="K27" s="1574">
        <f t="shared" si="2"/>
        <v>0</v>
      </c>
      <c r="L27" s="1574">
        <f t="shared" si="3"/>
        <v>0</v>
      </c>
      <c r="M27" s="1574">
        <f t="shared" si="4"/>
        <v>0</v>
      </c>
    </row>
    <row r="28" spans="1:13">
      <c r="A28" s="1250" t="s">
        <v>2301</v>
      </c>
      <c r="B28" s="1574">
        <f>'Depreciation New'!G77-B30</f>
        <v>279696.56824060029</v>
      </c>
      <c r="C28" s="1574">
        <v>0</v>
      </c>
      <c r="D28" s="1575">
        <f t="shared" si="0"/>
        <v>279696.56824060029</v>
      </c>
      <c r="E28" s="1574">
        <f>'Depreciation New'!H77-E30</f>
        <v>109557.91689098786</v>
      </c>
      <c r="F28" s="1574">
        <v>0</v>
      </c>
      <c r="G28" s="1575">
        <f t="shared" si="1"/>
        <v>389254.48513158818</v>
      </c>
      <c r="H28" s="1574">
        <f>SUM('Depreciation New'!C27:E27)-H30</f>
        <v>88046.234400601577</v>
      </c>
      <c r="I28" s="1574">
        <f>'Depreciation New'!F27-I30</f>
        <v>13081.444977178353</v>
      </c>
      <c r="J28" s="1574">
        <v>0</v>
      </c>
      <c r="K28" s="1574">
        <f t="shared" si="2"/>
        <v>101127.67937777993</v>
      </c>
      <c r="L28" s="1574">
        <f t="shared" si="3"/>
        <v>288126.80575380824</v>
      </c>
      <c r="M28" s="1574">
        <f t="shared" si="4"/>
        <v>191650.3338399987</v>
      </c>
    </row>
    <row r="29" spans="1:13" ht="25.5">
      <c r="A29" s="1250" t="s">
        <v>2302</v>
      </c>
      <c r="B29" s="1574">
        <v>0</v>
      </c>
      <c r="C29" s="1574">
        <v>0</v>
      </c>
      <c r="D29" s="1575">
        <f t="shared" si="0"/>
        <v>0</v>
      </c>
      <c r="E29" s="1574">
        <v>0</v>
      </c>
      <c r="F29" s="1574">
        <v>0</v>
      </c>
      <c r="G29" s="1575">
        <f t="shared" si="1"/>
        <v>0</v>
      </c>
      <c r="H29" s="1574">
        <v>0</v>
      </c>
      <c r="I29" s="1574"/>
      <c r="J29" s="1574">
        <v>0</v>
      </c>
      <c r="K29" s="1574">
        <f t="shared" si="2"/>
        <v>0</v>
      </c>
      <c r="L29" s="1574">
        <f t="shared" si="3"/>
        <v>0</v>
      </c>
      <c r="M29" s="1574">
        <f t="shared" si="4"/>
        <v>0</v>
      </c>
    </row>
    <row r="30" spans="1:13" ht="38.25">
      <c r="A30" s="1250" t="s">
        <v>2303</v>
      </c>
      <c r="B30" s="1574">
        <f>'Depreciation New'!G113</f>
        <v>4095.6478238</v>
      </c>
      <c r="C30" s="1574">
        <v>0</v>
      </c>
      <c r="D30" s="1575">
        <f t="shared" si="0"/>
        <v>4095.6478238</v>
      </c>
      <c r="E30" s="1574">
        <f>'Depreciation New'!H113</f>
        <v>13328.351446299999</v>
      </c>
      <c r="F30" s="1574">
        <v>0</v>
      </c>
      <c r="G30" s="1575">
        <f t="shared" si="1"/>
        <v>17423.999270100001</v>
      </c>
      <c r="H30" s="1574">
        <f>SUM('Depreciation New'!C63:E63)</f>
        <v>1585.8135542</v>
      </c>
      <c r="I30" s="1574">
        <f>'Depreciation New'!F63</f>
        <v>2151.9647093900003</v>
      </c>
      <c r="J30" s="1574">
        <v>0</v>
      </c>
      <c r="K30" s="1574">
        <f t="shared" si="2"/>
        <v>3737.7782635900003</v>
      </c>
      <c r="L30" s="1574">
        <f t="shared" si="3"/>
        <v>13686.221006510001</v>
      </c>
      <c r="M30" s="1574">
        <f t="shared" si="4"/>
        <v>2509.8342696</v>
      </c>
    </row>
    <row r="31" spans="1:13" ht="12.75" customHeight="1">
      <c r="A31" s="1250" t="s">
        <v>1218</v>
      </c>
      <c r="B31" s="1574">
        <f>'Depreciation New'!E10</f>
        <v>204.39639099999999</v>
      </c>
      <c r="C31" s="1574">
        <v>0</v>
      </c>
      <c r="D31" s="1575">
        <f t="shared" si="0"/>
        <v>204.39639099999999</v>
      </c>
      <c r="E31" s="1574">
        <f>'Depreciation New'!H79</f>
        <v>127.2111</v>
      </c>
      <c r="F31" s="1574">
        <v>0</v>
      </c>
      <c r="G31" s="1575">
        <f t="shared" si="1"/>
        <v>331.60749099999998</v>
      </c>
      <c r="H31" s="1574">
        <f>SUM('Depreciation New'!C29:E29)</f>
        <v>53.878926299999996</v>
      </c>
      <c r="I31" s="1574">
        <f>'Depreciation New'!F29</f>
        <v>27.296021194999998</v>
      </c>
      <c r="J31" s="1574">
        <v>0</v>
      </c>
      <c r="K31" s="1574">
        <f t="shared" si="2"/>
        <v>81.174947494999998</v>
      </c>
      <c r="L31" s="1574">
        <f t="shared" si="3"/>
        <v>250.43254350499998</v>
      </c>
      <c r="M31" s="1574">
        <f t="shared" si="4"/>
        <v>150.5174647</v>
      </c>
    </row>
    <row r="32" spans="1:13">
      <c r="A32" s="1250" t="s">
        <v>2304</v>
      </c>
      <c r="B32" s="1574">
        <f>'Depreciation New'!E9</f>
        <v>829.228077500003</v>
      </c>
      <c r="C32" s="1574">
        <v>0</v>
      </c>
      <c r="D32" s="1575">
        <f t="shared" si="0"/>
        <v>829.228077500003</v>
      </c>
      <c r="E32" s="1574">
        <f>'Depreciation New'!H78</f>
        <v>421.74776460000027</v>
      </c>
      <c r="F32" s="1574">
        <v>0</v>
      </c>
      <c r="G32" s="1575">
        <f t="shared" si="1"/>
        <v>1250.9758421000033</v>
      </c>
      <c r="H32" s="1574">
        <f>SUM('Depreciation New'!C28:E28)</f>
        <v>353.55869211280947</v>
      </c>
      <c r="I32" s="1574">
        <f>'Depreciation New'!F28</f>
        <v>61.823464713140197</v>
      </c>
      <c r="J32" s="1574">
        <v>0</v>
      </c>
      <c r="K32" s="1574">
        <f t="shared" si="2"/>
        <v>415.38215682594966</v>
      </c>
      <c r="L32" s="1574">
        <f t="shared" si="3"/>
        <v>835.59368527405366</v>
      </c>
      <c r="M32" s="1574">
        <f t="shared" si="4"/>
        <v>475.66938538719353</v>
      </c>
    </row>
    <row r="33" spans="1:13">
      <c r="A33" s="1250" t="s">
        <v>1222</v>
      </c>
      <c r="B33" s="1574">
        <f>'Depreciation New'!G81</f>
        <v>5690.0462829999997</v>
      </c>
      <c r="C33" s="1574"/>
      <c r="D33" s="1575">
        <f t="shared" si="0"/>
        <v>5690.0462829999997</v>
      </c>
      <c r="E33" s="1574">
        <f>'Depreciation New'!H81</f>
        <v>0</v>
      </c>
      <c r="F33" s="1574"/>
      <c r="G33" s="1575">
        <f t="shared" si="1"/>
        <v>5690.0462829999997</v>
      </c>
      <c r="H33" s="1574">
        <f>SUM('Depreciation New'!C31:E31)</f>
        <v>618.61634399999991</v>
      </c>
      <c r="I33" s="1574">
        <f>'Depreciation New'!F31</f>
        <v>1707.0138848999998</v>
      </c>
      <c r="J33" s="1574"/>
      <c r="K33" s="1574">
        <f t="shared" si="2"/>
        <v>2325.6302288999996</v>
      </c>
      <c r="L33" s="1574">
        <f t="shared" si="3"/>
        <v>3364.4160541000001</v>
      </c>
      <c r="M33" s="1574">
        <f t="shared" si="4"/>
        <v>5071.4299389999996</v>
      </c>
    </row>
    <row r="34" spans="1:13">
      <c r="A34" s="1250" t="s">
        <v>1220</v>
      </c>
      <c r="B34" s="1574">
        <f>'Depreciation New'!E11+'Depreciation New'!E13</f>
        <v>5456.8576945999521</v>
      </c>
      <c r="C34" s="1574">
        <v>0</v>
      </c>
      <c r="D34" s="1575">
        <f t="shared" si="0"/>
        <v>5456.8576945999521</v>
      </c>
      <c r="E34" s="1574">
        <f>'Depreciation New'!H80+'Depreciation New'!H82</f>
        <v>10253.47740130001</v>
      </c>
      <c r="F34" s="1574">
        <v>0</v>
      </c>
      <c r="G34" s="1575">
        <f t="shared" si="1"/>
        <v>15710.335095899962</v>
      </c>
      <c r="H34" s="1574">
        <f>SUM('Depreciation New'!C30:E30)+SUM('Depreciation New'!C32:E32)</f>
        <v>1050.3919702643839</v>
      </c>
      <c r="I34" s="1574">
        <f>'Depreciation New'!F32+'Depreciation New'!F30</f>
        <v>1397.1835284305203</v>
      </c>
      <c r="J34" s="1574">
        <v>0</v>
      </c>
      <c r="K34" s="1574">
        <f t="shared" si="2"/>
        <v>2447.5754986949041</v>
      </c>
      <c r="L34" s="1574">
        <f t="shared" si="3"/>
        <v>13262.759597205059</v>
      </c>
      <c r="M34" s="1574">
        <f t="shared" si="4"/>
        <v>4406.4657243355687</v>
      </c>
    </row>
    <row r="35" spans="1:13">
      <c r="A35" s="1250"/>
      <c r="B35" s="1574"/>
      <c r="C35" s="1574">
        <v>0</v>
      </c>
      <c r="D35" s="1575">
        <f t="shared" si="0"/>
        <v>0</v>
      </c>
      <c r="E35" s="1574"/>
      <c r="F35" s="1574">
        <v>0</v>
      </c>
      <c r="G35" s="1575">
        <f t="shared" si="1"/>
        <v>0</v>
      </c>
      <c r="H35" s="1576"/>
      <c r="I35" s="1576"/>
      <c r="J35" s="1574">
        <v>0</v>
      </c>
      <c r="K35" s="1574"/>
      <c r="L35" s="1574">
        <f t="shared" si="3"/>
        <v>0</v>
      </c>
      <c r="M35" s="1574"/>
    </row>
    <row r="36" spans="1:13">
      <c r="A36" s="2310"/>
      <c r="B36" s="1575">
        <f>SUM(B23:B35)</f>
        <v>302977.52479870024</v>
      </c>
      <c r="C36" s="1575">
        <f t="shared" ref="C36:M36" si="5">SUM(C23:C35)</f>
        <v>0</v>
      </c>
      <c r="D36" s="1575">
        <f t="shared" si="5"/>
        <v>302977.52479870024</v>
      </c>
      <c r="E36" s="1575">
        <f t="shared" si="5"/>
        <v>138770.41018288786</v>
      </c>
      <c r="F36" s="1575">
        <f t="shared" si="5"/>
        <v>0</v>
      </c>
      <c r="G36" s="1575">
        <f t="shared" si="5"/>
        <v>441747.93498158804</v>
      </c>
      <c r="H36" s="1575">
        <f>SUM(H23:H34)</f>
        <v>92044.477722178781</v>
      </c>
      <c r="I36" s="1575">
        <f>SUM(I23:I34)</f>
        <v>18736.940898613881</v>
      </c>
      <c r="J36" s="1575">
        <f t="shared" si="5"/>
        <v>0</v>
      </c>
      <c r="K36" s="1575">
        <f t="shared" si="5"/>
        <v>110781.41862079267</v>
      </c>
      <c r="L36" s="1575">
        <f t="shared" si="5"/>
        <v>330966.51636079547</v>
      </c>
      <c r="M36" s="1575">
        <f t="shared" si="5"/>
        <v>210933.04707652144</v>
      </c>
    </row>
    <row r="37" spans="1:13" hidden="1">
      <c r="A37" s="2309" t="s">
        <v>2306</v>
      </c>
      <c r="B37" s="1205"/>
      <c r="C37" s="1205"/>
      <c r="D37" s="1205"/>
      <c r="E37" s="1205"/>
      <c r="F37" s="1205"/>
      <c r="G37" s="1205"/>
      <c r="H37" s="1205"/>
      <c r="I37" s="1205"/>
      <c r="J37" s="1205"/>
      <c r="K37" s="1205"/>
      <c r="L37" s="1205"/>
      <c r="M37" s="1205"/>
    </row>
    <row r="38" spans="1:13" hidden="1">
      <c r="A38" s="1250"/>
      <c r="B38" s="1205"/>
      <c r="C38" s="1205"/>
      <c r="D38" s="1205"/>
      <c r="E38" s="1205"/>
      <c r="F38" s="1205"/>
      <c r="G38" s="1205"/>
      <c r="H38" s="1205"/>
      <c r="I38" s="1205"/>
      <c r="J38" s="1205"/>
      <c r="K38" s="1205"/>
      <c r="L38" s="1205"/>
      <c r="M38" s="1205"/>
    </row>
    <row r="39" spans="1:13" hidden="1">
      <c r="A39" s="1250" t="s">
        <v>2296</v>
      </c>
      <c r="B39" s="1205"/>
      <c r="C39" s="1205"/>
      <c r="D39" s="1205"/>
      <c r="E39" s="1205"/>
      <c r="F39" s="1205"/>
      <c r="G39" s="1205"/>
      <c r="H39" s="1205"/>
      <c r="I39" s="1205"/>
      <c r="J39" s="1205"/>
      <c r="K39" s="1205"/>
      <c r="L39" s="1205"/>
      <c r="M39" s="1205"/>
    </row>
    <row r="40" spans="1:13" hidden="1">
      <c r="A40" s="1250" t="s">
        <v>2297</v>
      </c>
      <c r="B40" s="1205"/>
      <c r="C40" s="1205"/>
      <c r="D40" s="1205"/>
      <c r="E40" s="1205"/>
      <c r="F40" s="1205"/>
      <c r="G40" s="1205"/>
      <c r="H40" s="1205"/>
      <c r="I40" s="1205"/>
      <c r="J40" s="1205"/>
      <c r="K40" s="1205"/>
      <c r="L40" s="1205"/>
      <c r="M40" s="1205"/>
    </row>
    <row r="41" spans="1:13" hidden="1">
      <c r="A41" s="1250" t="s">
        <v>2298</v>
      </c>
      <c r="B41" s="1205"/>
      <c r="C41" s="1205"/>
      <c r="D41" s="1205"/>
      <c r="E41" s="1205"/>
      <c r="F41" s="1205"/>
      <c r="G41" s="1205"/>
      <c r="H41" s="1205"/>
      <c r="I41" s="1205"/>
      <c r="J41" s="1205"/>
      <c r="K41" s="1205"/>
      <c r="L41" s="1205"/>
      <c r="M41" s="1205"/>
    </row>
    <row r="42" spans="1:13" hidden="1">
      <c r="A42" s="1250" t="s">
        <v>1216</v>
      </c>
      <c r="B42" s="1205"/>
      <c r="C42" s="1205"/>
      <c r="D42" s="1205"/>
      <c r="E42" s="1205"/>
      <c r="F42" s="1205"/>
      <c r="G42" s="1205"/>
      <c r="H42" s="1205"/>
      <c r="I42" s="1205"/>
      <c r="J42" s="1205"/>
      <c r="K42" s="1205"/>
      <c r="L42" s="1205"/>
      <c r="M42" s="1205"/>
    </row>
    <row r="43" spans="1:13" hidden="1">
      <c r="A43" s="1250" t="s">
        <v>2299</v>
      </c>
      <c r="B43" s="1205"/>
      <c r="C43" s="1205"/>
      <c r="D43" s="1205"/>
      <c r="E43" s="1205"/>
      <c r="F43" s="1205"/>
      <c r="G43" s="1205"/>
      <c r="H43" s="1205"/>
      <c r="I43" s="1205"/>
      <c r="J43" s="1205"/>
      <c r="K43" s="1205"/>
      <c r="L43" s="1205"/>
      <c r="M43" s="1205"/>
    </row>
    <row r="44" spans="1:13" ht="25.5" hidden="1">
      <c r="A44" s="1250" t="s">
        <v>2307</v>
      </c>
      <c r="B44" s="1205"/>
      <c r="C44" s="1205"/>
      <c r="D44" s="1205"/>
      <c r="E44" s="1205"/>
      <c r="F44" s="1205"/>
      <c r="G44" s="1205"/>
      <c r="H44" s="1205"/>
      <c r="I44" s="1205"/>
      <c r="J44" s="1205"/>
      <c r="K44" s="1205"/>
      <c r="L44" s="1205"/>
      <c r="M44" s="1205"/>
    </row>
    <row r="45" spans="1:13" hidden="1">
      <c r="A45" s="1250" t="s">
        <v>2304</v>
      </c>
      <c r="B45" s="1205"/>
      <c r="C45" s="1205"/>
      <c r="D45" s="1205"/>
      <c r="E45" s="1205"/>
      <c r="F45" s="1205"/>
      <c r="G45" s="1205"/>
      <c r="H45" s="1205"/>
      <c r="I45" s="1205"/>
      <c r="J45" s="1205"/>
      <c r="K45" s="1205"/>
      <c r="L45" s="1205"/>
      <c r="M45" s="1205"/>
    </row>
    <row r="46" spans="1:13" hidden="1">
      <c r="A46" s="1250" t="s">
        <v>1220</v>
      </c>
      <c r="B46" s="1205"/>
      <c r="C46" s="1205"/>
      <c r="D46" s="1205"/>
      <c r="E46" s="1205"/>
      <c r="F46" s="1205"/>
      <c r="G46" s="1205"/>
      <c r="H46" s="1205"/>
      <c r="I46" s="1205"/>
      <c r="J46" s="1205"/>
      <c r="K46" s="1205"/>
      <c r="L46" s="1205"/>
      <c r="M46" s="1205"/>
    </row>
    <row r="47" spans="1:13" hidden="1">
      <c r="A47" s="1250" t="s">
        <v>1218</v>
      </c>
      <c r="B47" s="1205"/>
      <c r="C47" s="1205"/>
      <c r="D47" s="1205"/>
      <c r="E47" s="1205"/>
      <c r="F47" s="1205"/>
      <c r="G47" s="1205"/>
      <c r="H47" s="1205"/>
      <c r="I47" s="1205"/>
      <c r="J47" s="1205"/>
      <c r="K47" s="1205"/>
      <c r="L47" s="1205"/>
      <c r="M47" s="1205"/>
    </row>
    <row r="48" spans="1:13" ht="25.5" hidden="1">
      <c r="A48" s="1250" t="s">
        <v>2308</v>
      </c>
      <c r="B48" s="1205"/>
      <c r="C48" s="1205"/>
      <c r="D48" s="1205"/>
      <c r="E48" s="1205"/>
      <c r="F48" s="1205"/>
      <c r="G48" s="1205"/>
      <c r="H48" s="1205"/>
      <c r="I48" s="1205"/>
      <c r="J48" s="1205"/>
      <c r="K48" s="1205"/>
      <c r="L48" s="1205"/>
      <c r="M48" s="1205"/>
    </row>
    <row r="49" spans="1:13" ht="25.5" hidden="1">
      <c r="A49" s="1250" t="s">
        <v>2309</v>
      </c>
      <c r="B49" s="1205"/>
      <c r="C49" s="1205"/>
      <c r="D49" s="1205"/>
      <c r="E49" s="1205"/>
      <c r="F49" s="1205"/>
      <c r="G49" s="1205"/>
      <c r="H49" s="1205"/>
      <c r="I49" s="1205"/>
      <c r="J49" s="1205"/>
      <c r="K49" s="1205"/>
      <c r="L49" s="1205"/>
      <c r="M49" s="1205"/>
    </row>
    <row r="50" spans="1:13" ht="25.5" hidden="1">
      <c r="A50" s="1250" t="s">
        <v>2310</v>
      </c>
      <c r="B50" s="1205"/>
      <c r="C50" s="1205"/>
      <c r="D50" s="1205"/>
      <c r="E50" s="1205"/>
      <c r="F50" s="1205"/>
      <c r="G50" s="1205"/>
      <c r="H50" s="1205"/>
      <c r="I50" s="1205"/>
      <c r="J50" s="1205"/>
      <c r="K50" s="1205"/>
      <c r="L50" s="1205"/>
      <c r="M50" s="1205"/>
    </row>
    <row r="51" spans="1:13">
      <c r="A51" s="2311" t="s">
        <v>2311</v>
      </c>
      <c r="B51" s="1211"/>
      <c r="G51" s="1254"/>
      <c r="H51" s="1211"/>
      <c r="I51" s="1211"/>
      <c r="L51" s="1255"/>
    </row>
    <row r="52" spans="1:13">
      <c r="B52" s="1203" t="s">
        <v>2312</v>
      </c>
      <c r="L52" s="1211"/>
    </row>
    <row r="53" spans="1:13">
      <c r="A53" s="2684" t="s">
        <v>2313</v>
      </c>
      <c r="B53" s="2684"/>
      <c r="C53" s="2684"/>
      <c r="D53" s="2684"/>
      <c r="E53" s="2684"/>
      <c r="F53" s="2684"/>
      <c r="G53" s="2684"/>
      <c r="H53" s="2684"/>
      <c r="I53" s="2684"/>
      <c r="J53" s="2684"/>
      <c r="K53" s="2684"/>
      <c r="L53" s="2684"/>
      <c r="M53" s="2684"/>
    </row>
    <row r="54" spans="1:13">
      <c r="A54" s="2307" t="s">
        <v>2279</v>
      </c>
      <c r="B54" s="1239"/>
      <c r="C54" s="1239"/>
      <c r="D54" s="1239"/>
      <c r="E54" s="1239"/>
      <c r="F54" s="1239"/>
      <c r="G54" s="1239"/>
      <c r="H54" s="1239"/>
      <c r="I54" s="1239"/>
      <c r="J54" s="1239"/>
      <c r="K54" s="1239"/>
      <c r="L54" s="1239"/>
      <c r="M54" s="1239"/>
    </row>
    <row r="55" spans="1:13" ht="13.5" thickBot="1">
      <c r="E55" s="2685" t="s">
        <v>170</v>
      </c>
      <c r="F55" s="2685"/>
      <c r="G55" s="2685"/>
      <c r="H55" s="2685"/>
      <c r="L55" s="1238" t="s">
        <v>2280</v>
      </c>
    </row>
    <row r="56" spans="1:13" ht="13.5" thickBot="1">
      <c r="A56" s="1240" t="s">
        <v>2224</v>
      </c>
      <c r="B56" s="1241" t="s">
        <v>2281</v>
      </c>
      <c r="C56" s="1242"/>
      <c r="D56" s="1242"/>
      <c r="E56" s="1242"/>
      <c r="F56" s="1242"/>
      <c r="G56" s="1242"/>
      <c r="H56" s="1241" t="s">
        <v>1532</v>
      </c>
      <c r="I56" s="1242"/>
      <c r="J56" s="1241"/>
      <c r="K56" s="1241"/>
      <c r="L56" s="1252">
        <f t="shared" ref="L56:L72" si="6">G56-K56</f>
        <v>0</v>
      </c>
      <c r="M56" s="1243"/>
    </row>
    <row r="57" spans="1:13" ht="39" thickBot="1">
      <c r="A57" s="1245" t="s">
        <v>887</v>
      </c>
      <c r="B57" s="2681" t="s">
        <v>2314</v>
      </c>
      <c r="C57" s="2682"/>
      <c r="D57" s="2683"/>
      <c r="E57" s="1246" t="s">
        <v>2284</v>
      </c>
      <c r="F57" s="1246" t="s">
        <v>2285</v>
      </c>
      <c r="G57" s="1246" t="s">
        <v>2315</v>
      </c>
      <c r="H57" s="1246" t="s">
        <v>2316</v>
      </c>
      <c r="I57" s="1246" t="s">
        <v>2288</v>
      </c>
      <c r="J57" s="1246" t="s">
        <v>2289</v>
      </c>
      <c r="K57" s="1246" t="s">
        <v>2290</v>
      </c>
      <c r="L57" s="1256" t="s">
        <v>2317</v>
      </c>
      <c r="M57" s="1247" t="s">
        <v>2318</v>
      </c>
    </row>
    <row r="58" spans="1:13" ht="25.5">
      <c r="A58" s="2308"/>
      <c r="B58" s="1249" t="s">
        <v>2293</v>
      </c>
      <c r="C58" s="1249" t="s">
        <v>2294</v>
      </c>
      <c r="D58" s="1249" t="s">
        <v>239</v>
      </c>
      <c r="E58" s="1248"/>
      <c r="F58" s="1248"/>
      <c r="G58" s="1248"/>
      <c r="H58" s="1248"/>
      <c r="I58" s="1248"/>
      <c r="J58" s="1248"/>
      <c r="K58" s="1248"/>
      <c r="L58" s="1252">
        <f t="shared" si="6"/>
        <v>0</v>
      </c>
      <c r="M58" s="1248"/>
    </row>
    <row r="59" spans="1:13" hidden="1">
      <c r="A59" s="2309" t="s">
        <v>2295</v>
      </c>
      <c r="B59" s="1205"/>
      <c r="C59" s="1205"/>
      <c r="D59" s="1205"/>
      <c r="E59" s="1205"/>
      <c r="F59" s="1205"/>
      <c r="G59" s="1205"/>
      <c r="H59" s="1205"/>
      <c r="I59" s="1205"/>
      <c r="J59" s="1205"/>
      <c r="K59" s="1205"/>
      <c r="L59" s="1252">
        <f t="shared" si="6"/>
        <v>0</v>
      </c>
      <c r="M59" s="1205"/>
    </row>
    <row r="60" spans="1:13" hidden="1">
      <c r="A60" s="2309" t="s">
        <v>2296</v>
      </c>
      <c r="B60" s="1205"/>
      <c r="C60" s="1205"/>
      <c r="D60" s="1205"/>
      <c r="E60" s="1205"/>
      <c r="F60" s="1205"/>
      <c r="G60" s="1205"/>
      <c r="H60" s="1205"/>
      <c r="I60" s="1205"/>
      <c r="J60" s="1205"/>
      <c r="K60" s="1205"/>
      <c r="L60" s="1252">
        <f t="shared" si="6"/>
        <v>0</v>
      </c>
      <c r="M60" s="1205"/>
    </row>
    <row r="61" spans="1:13" hidden="1">
      <c r="A61" s="1250" t="s">
        <v>2297</v>
      </c>
      <c r="B61" s="1205"/>
      <c r="C61" s="1205"/>
      <c r="D61" s="1205"/>
      <c r="E61" s="1205"/>
      <c r="F61" s="1205"/>
      <c r="G61" s="1205"/>
      <c r="H61" s="1205"/>
      <c r="I61" s="1205"/>
      <c r="J61" s="1205"/>
      <c r="K61" s="1205"/>
      <c r="L61" s="1252">
        <f t="shared" si="6"/>
        <v>0</v>
      </c>
      <c r="M61" s="1257"/>
    </row>
    <row r="62" spans="1:13" hidden="1">
      <c r="A62" s="1250" t="s">
        <v>2298</v>
      </c>
      <c r="B62" s="1205"/>
      <c r="C62" s="1205"/>
      <c r="D62" s="1205"/>
      <c r="E62" s="1205"/>
      <c r="F62" s="1205"/>
      <c r="G62" s="1205"/>
      <c r="H62" s="1205"/>
      <c r="I62" s="1205"/>
      <c r="J62" s="1205"/>
      <c r="K62" s="1205"/>
      <c r="L62" s="1252">
        <f t="shared" si="6"/>
        <v>0</v>
      </c>
      <c r="M62" s="1205"/>
    </row>
    <row r="63" spans="1:13" hidden="1">
      <c r="A63" s="1250" t="s">
        <v>1216</v>
      </c>
      <c r="B63" s="1205"/>
      <c r="C63" s="1205"/>
      <c r="D63" s="1205"/>
      <c r="E63" s="1205"/>
      <c r="F63" s="1205"/>
      <c r="G63" s="1205"/>
      <c r="H63" s="1205"/>
      <c r="J63" s="1205"/>
      <c r="K63" s="1205"/>
      <c r="L63" s="1252">
        <f t="shared" si="6"/>
        <v>0</v>
      </c>
      <c r="M63" s="1205"/>
    </row>
    <row r="64" spans="1:13" hidden="1">
      <c r="A64" s="1250" t="s">
        <v>2299</v>
      </c>
      <c r="B64" s="1205"/>
      <c r="C64" s="1205"/>
      <c r="D64" s="1205"/>
      <c r="E64" s="1205"/>
      <c r="F64" s="1205"/>
      <c r="G64" s="1205"/>
      <c r="H64" s="1205"/>
      <c r="I64" s="1205"/>
      <c r="J64" s="1205"/>
      <c r="K64" s="1205"/>
      <c r="L64" s="1252">
        <f t="shared" si="6"/>
        <v>0</v>
      </c>
      <c r="M64" s="1205"/>
    </row>
    <row r="65" spans="1:13" hidden="1">
      <c r="A65" s="1250" t="s">
        <v>2300</v>
      </c>
      <c r="B65" s="1205"/>
      <c r="C65" s="1205"/>
      <c r="D65" s="1205"/>
      <c r="E65" s="1205"/>
      <c r="F65" s="1205"/>
      <c r="G65" s="1205"/>
      <c r="H65" s="1205"/>
      <c r="J65" s="1205"/>
      <c r="K65" s="1205"/>
      <c r="L65" s="1252">
        <f t="shared" si="6"/>
        <v>0</v>
      </c>
      <c r="M65" s="1205"/>
    </row>
    <row r="66" spans="1:13" hidden="1">
      <c r="A66" s="1250" t="s">
        <v>2301</v>
      </c>
      <c r="B66" s="1205"/>
      <c r="C66" s="1205"/>
      <c r="D66" s="1205"/>
      <c r="E66" s="1205"/>
      <c r="F66" s="1205"/>
      <c r="G66" s="1205"/>
      <c r="H66" s="1205"/>
      <c r="I66" s="1205"/>
      <c r="J66" s="1205"/>
      <c r="K66" s="1205"/>
      <c r="L66" s="1252">
        <f t="shared" si="6"/>
        <v>0</v>
      </c>
      <c r="M66" s="1205"/>
    </row>
    <row r="67" spans="1:13" ht="25.5" hidden="1">
      <c r="A67" s="1250" t="s">
        <v>2302</v>
      </c>
      <c r="B67" s="1205"/>
      <c r="C67" s="1205"/>
      <c r="D67" s="1205"/>
      <c r="E67" s="1205"/>
      <c r="F67" s="1205"/>
      <c r="G67" s="1205"/>
      <c r="H67" s="1205"/>
      <c r="I67" s="1205"/>
      <c r="J67" s="1205"/>
      <c r="K67" s="1205"/>
      <c r="L67" s="1252">
        <f t="shared" si="6"/>
        <v>0</v>
      </c>
      <c r="M67" s="1205"/>
    </row>
    <row r="68" spans="1:13" ht="38.25" hidden="1">
      <c r="A68" s="1250" t="s">
        <v>2303</v>
      </c>
      <c r="B68" s="1205"/>
      <c r="C68" s="1205"/>
      <c r="D68" s="1205"/>
      <c r="E68" s="1205"/>
      <c r="F68" s="1205"/>
      <c r="G68" s="1205"/>
      <c r="H68" s="1205"/>
      <c r="I68" s="1205"/>
      <c r="J68" s="1205"/>
      <c r="K68" s="1205"/>
      <c r="L68" s="1252">
        <f t="shared" si="6"/>
        <v>0</v>
      </c>
      <c r="M68" s="1205"/>
    </row>
    <row r="69" spans="1:13" hidden="1">
      <c r="A69" s="1250" t="s">
        <v>1218</v>
      </c>
      <c r="B69" s="1205"/>
      <c r="C69" s="1205"/>
      <c r="D69" s="1205"/>
      <c r="E69" s="1205"/>
      <c r="F69" s="1205"/>
      <c r="G69" s="1205"/>
      <c r="H69" s="1205"/>
      <c r="I69" s="1205"/>
      <c r="J69" s="1205"/>
      <c r="K69" s="1205"/>
      <c r="L69" s="1252">
        <f t="shared" si="6"/>
        <v>0</v>
      </c>
      <c r="M69" s="1205"/>
    </row>
    <row r="70" spans="1:13" hidden="1">
      <c r="A70" s="1250" t="s">
        <v>2304</v>
      </c>
      <c r="B70" s="1205"/>
      <c r="C70" s="1205"/>
      <c r="D70" s="1205"/>
      <c r="E70" s="1205"/>
      <c r="F70" s="1205"/>
      <c r="G70" s="1205"/>
      <c r="H70" s="1205"/>
      <c r="I70" s="1205"/>
      <c r="J70" s="1205"/>
      <c r="K70" s="1205"/>
      <c r="L70" s="1252">
        <f t="shared" si="6"/>
        <v>0</v>
      </c>
      <c r="M70" s="1205"/>
    </row>
    <row r="71" spans="1:13" hidden="1">
      <c r="A71" s="1250" t="s">
        <v>1220</v>
      </c>
      <c r="B71" s="1205"/>
      <c r="C71" s="1205"/>
      <c r="D71" s="1205"/>
      <c r="E71" s="1205"/>
      <c r="F71" s="1205"/>
      <c r="G71" s="1205"/>
      <c r="H71" s="1205"/>
      <c r="I71" s="1205"/>
      <c r="J71" s="1205"/>
      <c r="K71" s="1205"/>
      <c r="L71" s="1252">
        <f t="shared" si="6"/>
        <v>0</v>
      </c>
      <c r="M71" s="1205"/>
    </row>
    <row r="72" spans="1:13">
      <c r="A72" s="2309" t="s">
        <v>2305</v>
      </c>
      <c r="B72" s="1205"/>
      <c r="C72" s="1205"/>
      <c r="D72" s="1205"/>
      <c r="E72" s="1205"/>
      <c r="F72" s="1205"/>
      <c r="G72" s="1205"/>
      <c r="H72" s="1205"/>
      <c r="J72" s="1205"/>
      <c r="K72" s="1205"/>
      <c r="L72" s="1252">
        <f t="shared" si="6"/>
        <v>0</v>
      </c>
      <c r="M72" s="1205"/>
    </row>
    <row r="73" spans="1:13">
      <c r="A73" s="1250" t="s">
        <v>2319</v>
      </c>
      <c r="B73" s="1206">
        <f t="shared" ref="B73:B75" si="7">G23</f>
        <v>0</v>
      </c>
      <c r="C73" s="1206">
        <v>0</v>
      </c>
      <c r="D73" s="1251">
        <f>B73+C73</f>
        <v>0</v>
      </c>
      <c r="E73" s="1206">
        <v>0</v>
      </c>
      <c r="F73" s="1206">
        <v>0</v>
      </c>
      <c r="G73" s="1251">
        <f>D73+E73-F73</f>
        <v>0</v>
      </c>
      <c r="H73" s="1206">
        <f t="shared" ref="H73:H75" si="8">K23</f>
        <v>0</v>
      </c>
      <c r="I73" s="1206">
        <v>0</v>
      </c>
      <c r="J73" s="1206">
        <v>0</v>
      </c>
      <c r="K73" s="1206">
        <f>H73+I73-J73</f>
        <v>0</v>
      </c>
      <c r="L73" s="1206">
        <f>G73-K73</f>
        <v>0</v>
      </c>
      <c r="M73" s="1206">
        <f>D73-H73</f>
        <v>0</v>
      </c>
    </row>
    <row r="74" spans="1:13">
      <c r="A74" s="1250" t="s">
        <v>2297</v>
      </c>
      <c r="B74" s="1206">
        <f t="shared" si="7"/>
        <v>0</v>
      </c>
      <c r="C74" s="1206">
        <v>0</v>
      </c>
      <c r="D74" s="1251">
        <f t="shared" ref="D74:D85" si="9">B74+C74</f>
        <v>0</v>
      </c>
      <c r="E74" s="1206">
        <v>0</v>
      </c>
      <c r="F74" s="1206">
        <v>0</v>
      </c>
      <c r="G74" s="1251">
        <f t="shared" ref="G74:G85" si="10">D74+E74-F74</f>
        <v>0</v>
      </c>
      <c r="H74" s="1206">
        <f t="shared" si="8"/>
        <v>0</v>
      </c>
      <c r="I74" s="1206">
        <v>0</v>
      </c>
      <c r="J74" s="1206">
        <v>0</v>
      </c>
      <c r="K74" s="1206">
        <f t="shared" ref="K74:K85" si="11">H74+I74-J74</f>
        <v>0</v>
      </c>
      <c r="L74" s="1206">
        <f t="shared" ref="L74:L85" si="12">G74-K74</f>
        <v>0</v>
      </c>
      <c r="M74" s="1206">
        <f t="shared" ref="M74:M85" si="13">D74-H74</f>
        <v>0</v>
      </c>
    </row>
    <row r="75" spans="1:13">
      <c r="A75" s="1250" t="s">
        <v>2298</v>
      </c>
      <c r="B75" s="1206">
        <f t="shared" si="7"/>
        <v>0</v>
      </c>
      <c r="C75" s="1206">
        <v>0</v>
      </c>
      <c r="D75" s="1251">
        <f t="shared" si="9"/>
        <v>0</v>
      </c>
      <c r="E75" s="1206">
        <v>0</v>
      </c>
      <c r="F75" s="1206">
        <v>0</v>
      </c>
      <c r="G75" s="1251">
        <f t="shared" si="10"/>
        <v>0</v>
      </c>
      <c r="H75" s="1206">
        <f t="shared" si="8"/>
        <v>0</v>
      </c>
      <c r="I75" s="1206">
        <v>0</v>
      </c>
      <c r="J75" s="1206">
        <v>0</v>
      </c>
      <c r="K75" s="1206">
        <f t="shared" si="11"/>
        <v>0</v>
      </c>
      <c r="L75" s="1206">
        <f t="shared" si="12"/>
        <v>0</v>
      </c>
      <c r="M75" s="1206">
        <f t="shared" si="13"/>
        <v>0</v>
      </c>
    </row>
    <row r="76" spans="1:13">
      <c r="A76" s="1250" t="s">
        <v>1216</v>
      </c>
      <c r="B76" s="1206">
        <f>G25</f>
        <v>0</v>
      </c>
      <c r="C76" s="1206">
        <v>0</v>
      </c>
      <c r="D76" s="1251">
        <f t="shared" si="9"/>
        <v>0</v>
      </c>
      <c r="E76" s="1206">
        <v>0</v>
      </c>
      <c r="F76" s="1206">
        <v>0</v>
      </c>
      <c r="G76" s="1251">
        <f t="shared" si="10"/>
        <v>0</v>
      </c>
      <c r="H76" s="1206">
        <f t="shared" ref="H76:H84" si="14">K25</f>
        <v>0</v>
      </c>
      <c r="I76" s="1252"/>
      <c r="J76" s="1206">
        <v>0</v>
      </c>
      <c r="K76" s="1206">
        <f t="shared" si="11"/>
        <v>0</v>
      </c>
      <c r="L76" s="1206">
        <f t="shared" si="12"/>
        <v>0</v>
      </c>
      <c r="M76" s="1206">
        <f t="shared" si="13"/>
        <v>0</v>
      </c>
    </row>
    <row r="77" spans="1:13">
      <c r="A77" s="1250" t="s">
        <v>2299</v>
      </c>
      <c r="B77" s="1206">
        <f>G26</f>
        <v>12086.485867899999</v>
      </c>
      <c r="C77" s="1206">
        <v>0</v>
      </c>
      <c r="D77" s="1251">
        <f t="shared" si="9"/>
        <v>12086.485867899999</v>
      </c>
      <c r="E77" s="1206">
        <f>'Depreciation New'!J76</f>
        <v>4911.2</v>
      </c>
      <c r="F77" s="1206">
        <v>0</v>
      </c>
      <c r="G77" s="1251">
        <f t="shared" si="10"/>
        <v>16997.6858679</v>
      </c>
      <c r="H77" s="1206">
        <f t="shared" si="14"/>
        <v>646.19814750686999</v>
      </c>
      <c r="I77" s="1206">
        <f>'Depreciation New'!G26</f>
        <v>477.09583598785997</v>
      </c>
      <c r="J77" s="1206">
        <v>0</v>
      </c>
      <c r="K77" s="1206">
        <f t="shared" si="11"/>
        <v>1123.2939834947299</v>
      </c>
      <c r="L77" s="1206">
        <f t="shared" si="12"/>
        <v>15874.39188440527</v>
      </c>
      <c r="M77" s="1206">
        <f t="shared" si="13"/>
        <v>11440.287720393129</v>
      </c>
    </row>
    <row r="78" spans="1:13">
      <c r="A78" s="1250" t="s">
        <v>2300</v>
      </c>
      <c r="B78" s="1206">
        <f t="shared" ref="B78:B85" si="15">G27</f>
        <v>0</v>
      </c>
      <c r="C78" s="1252">
        <v>0</v>
      </c>
      <c r="D78" s="1251">
        <f t="shared" si="9"/>
        <v>0</v>
      </c>
      <c r="E78" s="1206"/>
      <c r="F78" s="1206">
        <v>0</v>
      </c>
      <c r="G78" s="1251">
        <f t="shared" si="10"/>
        <v>0</v>
      </c>
      <c r="H78" s="1206">
        <f t="shared" si="14"/>
        <v>0</v>
      </c>
      <c r="I78" s="1252"/>
      <c r="J78" s="1206">
        <v>0</v>
      </c>
      <c r="K78" s="1206">
        <f t="shared" si="11"/>
        <v>0</v>
      </c>
      <c r="L78" s="1206">
        <f t="shared" si="12"/>
        <v>0</v>
      </c>
      <c r="M78" s="1206">
        <f t="shared" si="13"/>
        <v>0</v>
      </c>
    </row>
    <row r="79" spans="1:13">
      <c r="A79" s="1250" t="s">
        <v>2301</v>
      </c>
      <c r="B79" s="1206">
        <f t="shared" si="15"/>
        <v>389254.48513158818</v>
      </c>
      <c r="C79" s="1206">
        <v>0</v>
      </c>
      <c r="D79" s="1251">
        <f t="shared" si="9"/>
        <v>389254.48513158818</v>
      </c>
      <c r="E79" s="1206">
        <f>'Depreciation New'!J77-E81</f>
        <v>50908.319506262931</v>
      </c>
      <c r="F79" s="1206">
        <v>0</v>
      </c>
      <c r="G79" s="1251">
        <f t="shared" si="10"/>
        <v>440162.80463785114</v>
      </c>
      <c r="H79" s="1206">
        <f t="shared" si="14"/>
        <v>101127.67937777993</v>
      </c>
      <c r="I79" s="1206">
        <f>'Depreciation New'!G27-I81</f>
        <v>17270.309259896007</v>
      </c>
      <c r="J79" s="1206">
        <v>0</v>
      </c>
      <c r="K79" s="1206">
        <f t="shared" si="11"/>
        <v>118397.98863767594</v>
      </c>
      <c r="L79" s="1206">
        <f t="shared" si="12"/>
        <v>321764.8160001752</v>
      </c>
      <c r="M79" s="1206">
        <f t="shared" si="13"/>
        <v>288126.80575380824</v>
      </c>
    </row>
    <row r="80" spans="1:13" ht="25.5">
      <c r="A80" s="1250" t="s">
        <v>2302</v>
      </c>
      <c r="B80" s="1206">
        <f t="shared" si="15"/>
        <v>0</v>
      </c>
      <c r="C80" s="1206">
        <v>0</v>
      </c>
      <c r="D80" s="1251">
        <f t="shared" si="9"/>
        <v>0</v>
      </c>
      <c r="E80" s="1206">
        <v>0</v>
      </c>
      <c r="F80" s="1206">
        <v>0</v>
      </c>
      <c r="G80" s="1251">
        <f t="shared" si="10"/>
        <v>0</v>
      </c>
      <c r="H80" s="1206">
        <f t="shared" si="14"/>
        <v>0</v>
      </c>
      <c r="I80" s="1206">
        <v>0</v>
      </c>
      <c r="J80" s="1206">
        <v>0</v>
      </c>
      <c r="K80" s="1206">
        <f t="shared" si="11"/>
        <v>0</v>
      </c>
      <c r="L80" s="1206">
        <f t="shared" si="12"/>
        <v>0</v>
      </c>
      <c r="M80" s="1206">
        <f t="shared" si="13"/>
        <v>0</v>
      </c>
    </row>
    <row r="81" spans="1:13" ht="38.25">
      <c r="A81" s="1250" t="s">
        <v>2303</v>
      </c>
      <c r="B81" s="1206">
        <f t="shared" si="15"/>
        <v>17423.999270100001</v>
      </c>
      <c r="C81" s="1206">
        <v>0</v>
      </c>
      <c r="D81" s="1251">
        <f t="shared" si="9"/>
        <v>17423.999270100001</v>
      </c>
      <c r="E81" s="1206">
        <f>'Depreciation New'!J101</f>
        <v>14769.707611559999</v>
      </c>
      <c r="F81" s="1206">
        <v>0</v>
      </c>
      <c r="G81" s="1251">
        <f t="shared" si="10"/>
        <v>32193.70688166</v>
      </c>
      <c r="H81" s="1206">
        <f t="shared" si="14"/>
        <v>3737.7782635900003</v>
      </c>
      <c r="I81" s="1206">
        <f>'Depreciation New'!G63</f>
        <v>4425.8435500200012</v>
      </c>
      <c r="J81" s="1206">
        <v>0</v>
      </c>
      <c r="K81" s="1206">
        <f t="shared" si="11"/>
        <v>8163.6218136100015</v>
      </c>
      <c r="L81" s="1206">
        <f t="shared" si="12"/>
        <v>24030.085068050001</v>
      </c>
      <c r="M81" s="1206">
        <f t="shared" si="13"/>
        <v>13686.221006510001</v>
      </c>
    </row>
    <row r="82" spans="1:13">
      <c r="A82" s="1250" t="s">
        <v>1218</v>
      </c>
      <c r="B82" s="1206">
        <f t="shared" si="15"/>
        <v>331.60749099999998</v>
      </c>
      <c r="C82" s="1206">
        <v>0</v>
      </c>
      <c r="D82" s="1251">
        <f t="shared" si="9"/>
        <v>331.60749099999998</v>
      </c>
      <c r="E82" s="1205">
        <f>'Depreciation New'!J79</f>
        <v>160</v>
      </c>
      <c r="F82" s="1206">
        <v>0</v>
      </c>
      <c r="G82" s="1251">
        <f t="shared" si="10"/>
        <v>491.60749099999998</v>
      </c>
      <c r="H82" s="1206">
        <f t="shared" si="14"/>
        <v>81.174947494999998</v>
      </c>
      <c r="I82" s="1252">
        <f>'Depreciation New'!G29</f>
        <v>40.938548445000002</v>
      </c>
      <c r="J82" s="1206">
        <v>0</v>
      </c>
      <c r="K82" s="1206">
        <f t="shared" si="11"/>
        <v>122.11349594000001</v>
      </c>
      <c r="L82" s="1206">
        <f t="shared" si="12"/>
        <v>369.49399505999997</v>
      </c>
      <c r="M82" s="1206">
        <f t="shared" si="13"/>
        <v>250.43254350499998</v>
      </c>
    </row>
    <row r="83" spans="1:13">
      <c r="A83" s="1250" t="s">
        <v>2320</v>
      </c>
      <c r="B83" s="1206">
        <f t="shared" si="15"/>
        <v>1250.9758421000033</v>
      </c>
      <c r="C83" s="1206">
        <v>0</v>
      </c>
      <c r="D83" s="1251">
        <f t="shared" si="9"/>
        <v>1250.9758421000033</v>
      </c>
      <c r="E83" s="1206">
        <f>'Depreciation New'!J78</f>
        <v>118.5</v>
      </c>
      <c r="F83" s="1206">
        <v>0</v>
      </c>
      <c r="G83" s="1251">
        <f t="shared" si="10"/>
        <v>1369.4758421000033</v>
      </c>
      <c r="H83" s="1206">
        <f t="shared" si="14"/>
        <v>415.38215682594966</v>
      </c>
      <c r="I83" s="1252">
        <f>'Depreciation New'!G28</f>
        <v>78.922306462730191</v>
      </c>
      <c r="J83" s="1206">
        <v>0</v>
      </c>
      <c r="K83" s="1206">
        <f t="shared" si="11"/>
        <v>494.30446328867987</v>
      </c>
      <c r="L83" s="1206">
        <f t="shared" si="12"/>
        <v>875.17137881132339</v>
      </c>
      <c r="M83" s="1206">
        <f t="shared" si="13"/>
        <v>835.59368527405366</v>
      </c>
    </row>
    <row r="84" spans="1:13">
      <c r="A84" s="1250" t="s">
        <v>1222</v>
      </c>
      <c r="B84" s="1206">
        <f t="shared" si="15"/>
        <v>5690.0462829999997</v>
      </c>
      <c r="C84" s="1206">
        <v>0</v>
      </c>
      <c r="D84" s="1251">
        <f t="shared" ref="D84" si="16">B84+C84</f>
        <v>5690.0462829999997</v>
      </c>
      <c r="E84" s="1206">
        <v>0</v>
      </c>
      <c r="F84" s="1206">
        <v>0</v>
      </c>
      <c r="G84" s="1251">
        <f t="shared" ref="G84" si="17">D84+E84-F84</f>
        <v>5690.0462829999997</v>
      </c>
      <c r="H84" s="1206">
        <f t="shared" si="14"/>
        <v>2325.6302288999996</v>
      </c>
      <c r="I84" s="1252">
        <f>'Depreciation New'!G31</f>
        <v>1707.0138848999998</v>
      </c>
      <c r="J84" s="1206">
        <v>0</v>
      </c>
      <c r="K84" s="1206">
        <f t="shared" ref="K84" si="18">H84+I84-J84</f>
        <v>4032.6441137999991</v>
      </c>
      <c r="L84" s="1206">
        <f t="shared" ref="L84" si="19">G84-K84</f>
        <v>1657.4021692000006</v>
      </c>
      <c r="M84" s="1206">
        <f t="shared" ref="M84" si="20">D84-H84</f>
        <v>3364.4160541000001</v>
      </c>
    </row>
    <row r="85" spans="1:13">
      <c r="A85" s="1250" t="s">
        <v>1220</v>
      </c>
      <c r="B85" s="1206">
        <f t="shared" si="15"/>
        <v>15710.335095899962</v>
      </c>
      <c r="C85" s="1206">
        <v>0</v>
      </c>
      <c r="D85" s="1251">
        <f t="shared" si="9"/>
        <v>15710.335095899962</v>
      </c>
      <c r="E85" s="1206">
        <f>'Depreciation New'!J80+'Depreciation New'!J82</f>
        <v>6322.7</v>
      </c>
      <c r="F85" s="1206">
        <v>0</v>
      </c>
      <c r="G85" s="1251">
        <f t="shared" si="10"/>
        <v>22033.035095899962</v>
      </c>
      <c r="H85" s="1206">
        <f>K34</f>
        <v>2447.5754986949041</v>
      </c>
      <c r="I85" s="1252">
        <f>'Depreciation New'!G32+'Depreciation New'!G30</f>
        <v>2574.4272782321959</v>
      </c>
      <c r="J85" s="1206">
        <v>0</v>
      </c>
      <c r="K85" s="1206">
        <f t="shared" si="11"/>
        <v>5022.0027769271001</v>
      </c>
      <c r="L85" s="1206">
        <f t="shared" si="12"/>
        <v>17011.032318972862</v>
      </c>
      <c r="M85" s="1206">
        <f t="shared" si="13"/>
        <v>13262.759597205059</v>
      </c>
    </row>
    <row r="86" spans="1:13">
      <c r="A86" s="2310" t="s">
        <v>239</v>
      </c>
      <c r="B86" s="1251">
        <f>SUM(B73:B85)</f>
        <v>441747.93498158804</v>
      </c>
      <c r="C86" s="1252"/>
      <c r="D86" s="1253">
        <f t="shared" ref="D86:M86" si="21">SUM(D73:D85)</f>
        <v>441747.93498158804</v>
      </c>
      <c r="E86" s="1253">
        <f t="shared" si="21"/>
        <v>77190.427117822925</v>
      </c>
      <c r="F86" s="1251">
        <f t="shared" si="21"/>
        <v>0</v>
      </c>
      <c r="G86" s="1251">
        <f t="shared" si="21"/>
        <v>518938.36209941097</v>
      </c>
      <c r="H86" s="1251">
        <f t="shared" si="21"/>
        <v>110781.41862079267</v>
      </c>
      <c r="I86" s="1251">
        <f t="shared" si="21"/>
        <v>26574.550663943795</v>
      </c>
      <c r="J86" s="1251">
        <f t="shared" si="21"/>
        <v>0</v>
      </c>
      <c r="K86" s="1251">
        <f t="shared" si="21"/>
        <v>137355.96928473646</v>
      </c>
      <c r="L86" s="1251">
        <f t="shared" si="21"/>
        <v>381582.39281467465</v>
      </c>
      <c r="M86" s="1251">
        <f t="shared" si="21"/>
        <v>330966.51636079547</v>
      </c>
    </row>
    <row r="88" spans="1:13">
      <c r="A88" s="2676" t="s">
        <v>2313</v>
      </c>
      <c r="B88" s="2676"/>
      <c r="C88" s="2676"/>
      <c r="D88" s="2676"/>
      <c r="E88" s="1238"/>
      <c r="F88" s="1238"/>
      <c r="G88" s="1238"/>
      <c r="H88" s="1238"/>
      <c r="I88" s="1238"/>
      <c r="J88" s="1238"/>
      <c r="K88" s="1238"/>
      <c r="L88" s="1238"/>
      <c r="M88" s="1238"/>
    </row>
    <row r="89" spans="1:13" ht="45" customHeight="1">
      <c r="A89" s="2680" t="s">
        <v>2321</v>
      </c>
      <c r="B89" s="2680"/>
      <c r="C89" s="2680"/>
      <c r="D89" s="2680"/>
      <c r="E89" s="1258"/>
      <c r="G89" s="1211"/>
    </row>
    <row r="90" spans="1:13" ht="31.5">
      <c r="A90" s="2335" t="s">
        <v>887</v>
      </c>
      <c r="B90" s="2335" t="s">
        <v>174</v>
      </c>
      <c r="C90" s="2335" t="s">
        <v>172</v>
      </c>
      <c r="D90" s="2335" t="s">
        <v>170</v>
      </c>
    </row>
    <row r="91" spans="1:13" ht="31.5">
      <c r="A91" s="1224" t="s">
        <v>2322</v>
      </c>
      <c r="B91" s="1759">
        <f>'Depreciation New'!AK131/100</f>
        <v>10.202732916999992</v>
      </c>
      <c r="C91" s="1759">
        <f>'Depreciation New'!AM131/100</f>
        <v>10.395546866655001</v>
      </c>
      <c r="D91" s="1759">
        <f>'Depreciation New'!AO131/100</f>
        <v>10.395546866655001</v>
      </c>
    </row>
    <row r="92" spans="1:13" ht="15.75">
      <c r="A92" s="1224"/>
      <c r="B92" s="1224"/>
      <c r="C92" s="1224"/>
      <c r="D92" s="1224"/>
    </row>
    <row r="93" spans="1:13" ht="47.25">
      <c r="A93" s="1224" t="s">
        <v>2323</v>
      </c>
      <c r="B93" s="1224"/>
      <c r="C93" s="1224"/>
      <c r="D93" s="1224"/>
    </row>
    <row r="94" spans="1:13" ht="63">
      <c r="A94" s="1224" t="s">
        <v>2324</v>
      </c>
      <c r="B94" s="1224"/>
      <c r="C94" s="1224"/>
      <c r="D94" s="1224"/>
      <c r="L94" s="1211"/>
    </row>
    <row r="95" spans="1:13" ht="31.5">
      <c r="A95" s="1224" t="s">
        <v>2325</v>
      </c>
      <c r="B95" s="1224"/>
      <c r="C95" s="1224"/>
      <c r="D95" s="1224"/>
      <c r="G95" s="1211"/>
    </row>
    <row r="96" spans="1:13" ht="63">
      <c r="A96" s="1224" t="s">
        <v>2326</v>
      </c>
      <c r="B96" s="1259">
        <f>B91</f>
        <v>10.202732916999992</v>
      </c>
      <c r="C96" s="1259">
        <f>C91</f>
        <v>10.395546866655001</v>
      </c>
      <c r="D96" s="1259">
        <f>D91</f>
        <v>10.395546866655001</v>
      </c>
    </row>
    <row r="97" spans="1:12">
      <c r="A97" s="2312"/>
      <c r="B97" s="1210"/>
      <c r="C97" s="1210"/>
      <c r="D97" s="1210"/>
      <c r="L97" s="1211"/>
    </row>
    <row r="98" spans="1:12">
      <c r="G98" s="1211"/>
    </row>
    <row r="103" spans="1:12">
      <c r="L103" s="1211"/>
    </row>
    <row r="104" spans="1:12">
      <c r="G104" s="1211"/>
    </row>
    <row r="109" spans="1:12">
      <c r="L109" s="1211"/>
    </row>
    <row r="110" spans="1:12">
      <c r="G110" s="1211"/>
    </row>
    <row r="115" spans="7:12">
      <c r="L115" s="1211"/>
    </row>
    <row r="116" spans="7:12">
      <c r="G116" s="1211"/>
    </row>
    <row r="119" spans="7:12">
      <c r="L119" s="1211"/>
    </row>
    <row r="120" spans="7:12">
      <c r="G120" s="1211"/>
    </row>
    <row r="122" spans="7:12">
      <c r="L122" s="1211"/>
    </row>
    <row r="123" spans="7:12">
      <c r="G123" s="1211"/>
    </row>
    <row r="127" spans="7:12">
      <c r="L127" s="1211"/>
    </row>
    <row r="128" spans="7:12">
      <c r="G128" s="1211"/>
    </row>
    <row r="131" spans="1:13" ht="40.5">
      <c r="A131" s="2313" t="s">
        <v>2327</v>
      </c>
      <c r="B131" s="1204"/>
      <c r="C131" s="1204"/>
      <c r="D131" s="1204"/>
      <c r="E131" s="1204"/>
      <c r="F131" s="1204"/>
      <c r="G131" s="1204"/>
      <c r="H131" s="1204"/>
      <c r="I131" s="1204"/>
      <c r="J131" s="1204"/>
      <c r="K131" s="1204"/>
      <c r="L131" s="1204"/>
      <c r="M131" s="1204"/>
    </row>
    <row r="132" spans="1:13">
      <c r="A132" s="2677" t="s">
        <v>2328</v>
      </c>
      <c r="B132" s="2677"/>
      <c r="C132" s="2677"/>
      <c r="D132" s="2677"/>
      <c r="E132" s="2677"/>
      <c r="F132" s="2677"/>
      <c r="G132" s="2677"/>
      <c r="H132" s="2677"/>
      <c r="I132" s="2677"/>
      <c r="J132" s="2677"/>
      <c r="K132" s="2677"/>
      <c r="L132" s="2677"/>
      <c r="M132" s="2677"/>
    </row>
    <row r="133" spans="1:13">
      <c r="A133" s="2314" t="s">
        <v>2279</v>
      </c>
      <c r="B133" s="1260"/>
      <c r="C133" s="1260"/>
      <c r="D133" s="1260"/>
      <c r="E133" s="1260"/>
      <c r="F133" s="1260"/>
      <c r="G133" s="1260"/>
      <c r="H133" s="1260"/>
      <c r="I133" s="1260"/>
      <c r="J133" s="1260"/>
      <c r="K133" s="1260"/>
      <c r="L133" s="1260"/>
      <c r="M133" s="1260"/>
    </row>
    <row r="134" spans="1:13">
      <c r="A134" s="2315"/>
      <c r="B134" s="1204"/>
      <c r="C134" s="1204"/>
      <c r="D134" s="1204"/>
      <c r="E134" s="2678" t="s">
        <v>345</v>
      </c>
      <c r="F134" s="2678"/>
      <c r="G134" s="2678"/>
      <c r="H134" s="2678"/>
      <c r="I134" s="1204"/>
      <c r="J134" s="1204"/>
      <c r="K134" s="1204"/>
      <c r="L134" s="1261" t="s">
        <v>2329</v>
      </c>
      <c r="M134" s="1204"/>
    </row>
    <row r="135" spans="1:13" ht="102">
      <c r="A135" s="1262" t="s">
        <v>887</v>
      </c>
      <c r="B135" s="1263" t="s">
        <v>2330</v>
      </c>
      <c r="C135" s="1263" t="s">
        <v>2331</v>
      </c>
      <c r="D135" s="1263" t="s">
        <v>2332</v>
      </c>
      <c r="E135" s="1262" t="s">
        <v>2333</v>
      </c>
      <c r="F135" s="1262" t="s">
        <v>2334</v>
      </c>
      <c r="G135" s="1262" t="s">
        <v>2335</v>
      </c>
      <c r="H135" s="1262" t="s">
        <v>2336</v>
      </c>
      <c r="I135" s="1262" t="s">
        <v>2337</v>
      </c>
      <c r="J135" s="1262" t="s">
        <v>2338</v>
      </c>
      <c r="K135" s="1262" t="s">
        <v>2339</v>
      </c>
      <c r="L135" s="1262" t="s">
        <v>2340</v>
      </c>
      <c r="M135" s="1204"/>
    </row>
    <row r="136" spans="1:13">
      <c r="A136" s="1266"/>
      <c r="B136" s="1265"/>
      <c r="C136" s="1265"/>
      <c r="D136" s="1265"/>
      <c r="E136" s="1264"/>
      <c r="F136" s="1264"/>
      <c r="G136" s="1264"/>
      <c r="H136" s="1264"/>
      <c r="I136" s="1264"/>
      <c r="J136" s="1264"/>
      <c r="K136" s="1264"/>
      <c r="L136" s="1264"/>
      <c r="M136" s="1204"/>
    </row>
    <row r="137" spans="1:13">
      <c r="A137" s="2316" t="s">
        <v>2341</v>
      </c>
      <c r="B137" s="1264"/>
      <c r="C137" s="1264"/>
      <c r="D137" s="1264"/>
      <c r="E137" s="1264"/>
      <c r="F137" s="1264"/>
      <c r="G137" s="1264"/>
      <c r="H137" s="1264"/>
      <c r="I137" s="1264"/>
      <c r="J137" s="1264"/>
      <c r="K137" s="1264"/>
      <c r="L137" s="1264"/>
      <c r="M137" s="1204"/>
    </row>
    <row r="138" spans="1:13">
      <c r="A138" s="2316" t="s">
        <v>2296</v>
      </c>
      <c r="B138" s="1264"/>
      <c r="C138" s="1264"/>
      <c r="D138" s="1264"/>
      <c r="E138" s="1264"/>
      <c r="F138" s="1264"/>
      <c r="G138" s="1264"/>
      <c r="H138" s="1264"/>
      <c r="I138" s="1264"/>
      <c r="J138" s="1264"/>
      <c r="K138" s="1264"/>
      <c r="L138" s="1264"/>
      <c r="M138" s="1204"/>
    </row>
    <row r="139" spans="1:13">
      <c r="A139" s="1266" t="s">
        <v>2297</v>
      </c>
      <c r="B139" s="1264"/>
      <c r="C139" s="1264"/>
      <c r="D139" s="1264"/>
      <c r="E139" s="1264"/>
      <c r="F139" s="1264"/>
      <c r="G139" s="1264"/>
      <c r="H139" s="1264"/>
      <c r="I139" s="1264"/>
      <c r="J139" s="1264"/>
      <c r="K139" s="1264"/>
      <c r="L139" s="1264"/>
      <c r="M139" s="1204"/>
    </row>
    <row r="140" spans="1:13">
      <c r="A140" s="1266" t="s">
        <v>2298</v>
      </c>
      <c r="B140" s="1264"/>
      <c r="C140" s="1264"/>
      <c r="D140" s="1264"/>
      <c r="E140" s="1264"/>
      <c r="F140" s="1264"/>
      <c r="G140" s="1264"/>
      <c r="H140" s="1264"/>
      <c r="I140" s="1264"/>
      <c r="J140" s="1264"/>
      <c r="K140" s="1264"/>
      <c r="L140" s="1264"/>
      <c r="M140" s="1204"/>
    </row>
    <row r="141" spans="1:13">
      <c r="A141" s="1266" t="s">
        <v>1216</v>
      </c>
      <c r="B141" s="1264"/>
      <c r="C141" s="1264"/>
      <c r="D141" s="1264"/>
      <c r="E141" s="1264"/>
      <c r="F141" s="1264"/>
      <c r="G141" s="1264"/>
      <c r="H141" s="1264"/>
      <c r="I141" s="1264"/>
      <c r="J141" s="1264"/>
      <c r="K141" s="1264"/>
      <c r="L141" s="1264"/>
      <c r="M141" s="1204"/>
    </row>
    <row r="142" spans="1:13">
      <c r="A142" s="1266" t="s">
        <v>2299</v>
      </c>
      <c r="B142" s="1264"/>
      <c r="C142" s="1264"/>
      <c r="D142" s="1264"/>
      <c r="E142" s="1264"/>
      <c r="F142" s="1264"/>
      <c r="G142" s="1264"/>
      <c r="H142" s="1264"/>
      <c r="I142" s="1264"/>
      <c r="J142" s="1264"/>
      <c r="K142" s="1264"/>
      <c r="L142" s="1264"/>
      <c r="M142" s="1204"/>
    </row>
    <row r="143" spans="1:13">
      <c r="A143" s="1266" t="s">
        <v>2300</v>
      </c>
      <c r="B143" s="1264"/>
      <c r="C143" s="1264"/>
      <c r="D143" s="1264"/>
      <c r="E143" s="1264"/>
      <c r="F143" s="1264"/>
      <c r="G143" s="1264"/>
      <c r="H143" s="1264"/>
      <c r="I143" s="1264"/>
      <c r="J143" s="1264"/>
      <c r="K143" s="1264"/>
      <c r="L143" s="1264"/>
      <c r="M143" s="1204"/>
    </row>
    <row r="144" spans="1:13">
      <c r="A144" s="1266" t="s">
        <v>2301</v>
      </c>
      <c r="B144" s="1264"/>
      <c r="C144" s="1264"/>
      <c r="D144" s="1264"/>
      <c r="E144" s="1264"/>
      <c r="F144" s="1264"/>
      <c r="G144" s="1264"/>
      <c r="H144" s="1264"/>
      <c r="I144" s="1264"/>
      <c r="J144" s="1264"/>
      <c r="K144" s="1264"/>
      <c r="L144" s="1264"/>
      <c r="M144" s="1204"/>
    </row>
    <row r="145" spans="1:14" ht="25.5">
      <c r="A145" s="1266" t="s">
        <v>2302</v>
      </c>
      <c r="B145" s="1264"/>
      <c r="C145" s="1264"/>
      <c r="D145" s="1264"/>
      <c r="E145" s="1264"/>
      <c r="F145" s="1264"/>
      <c r="G145" s="1264"/>
      <c r="H145" s="1264"/>
      <c r="I145" s="1264"/>
      <c r="J145" s="1264"/>
      <c r="K145" s="1264"/>
      <c r="L145" s="1264"/>
      <c r="M145" s="1204"/>
    </row>
    <row r="146" spans="1:14" ht="38.25">
      <c r="A146" s="1266" t="s">
        <v>2303</v>
      </c>
      <c r="B146" s="1264"/>
      <c r="C146" s="1264"/>
      <c r="D146" s="1264"/>
      <c r="E146" s="1264"/>
      <c r="F146" s="1264"/>
      <c r="G146" s="1264"/>
      <c r="H146" s="1264"/>
      <c r="I146" s="1264"/>
      <c r="J146" s="1264"/>
      <c r="K146" s="1264"/>
      <c r="L146" s="1264"/>
      <c r="M146" s="1204"/>
    </row>
    <row r="147" spans="1:14">
      <c r="A147" s="1266" t="s">
        <v>1218</v>
      </c>
      <c r="B147" s="1264"/>
      <c r="C147" s="1264"/>
      <c r="D147" s="1264"/>
      <c r="E147" s="1264"/>
      <c r="F147" s="1264"/>
      <c r="G147" s="1264"/>
      <c r="H147" s="1264"/>
      <c r="I147" s="1264"/>
      <c r="J147" s="1264"/>
      <c r="K147" s="1264"/>
      <c r="L147" s="1264"/>
      <c r="M147" s="1204"/>
    </row>
    <row r="148" spans="1:14">
      <c r="A148" s="1266" t="s">
        <v>2304</v>
      </c>
      <c r="B148" s="1264"/>
      <c r="C148" s="1264"/>
      <c r="D148" s="1264"/>
      <c r="E148" s="1264"/>
      <c r="F148" s="1264"/>
      <c r="G148" s="1264"/>
      <c r="H148" s="1264"/>
      <c r="I148" s="1264"/>
      <c r="J148" s="1264"/>
      <c r="K148" s="1264"/>
      <c r="L148" s="1264"/>
      <c r="M148" s="1204"/>
    </row>
    <row r="149" spans="1:14">
      <c r="A149" s="1266" t="s">
        <v>1220</v>
      </c>
      <c r="B149" s="1264"/>
      <c r="C149" s="1264"/>
      <c r="D149" s="1264"/>
      <c r="E149" s="1264"/>
      <c r="F149" s="1264"/>
      <c r="G149" s="1264"/>
      <c r="H149" s="1264"/>
      <c r="I149" s="1264"/>
      <c r="J149" s="1264"/>
      <c r="K149" s="1264"/>
      <c r="L149" s="1264"/>
      <c r="M149" s="1204"/>
    </row>
    <row r="150" spans="1:14">
      <c r="A150" s="1266" t="s">
        <v>2342</v>
      </c>
      <c r="B150" s="1264"/>
      <c r="C150" s="1264"/>
      <c r="D150" s="1264"/>
      <c r="E150" s="1264"/>
      <c r="F150" s="1264"/>
      <c r="G150" s="1264"/>
      <c r="H150" s="1264"/>
      <c r="I150" s="1264"/>
      <c r="J150" s="1264"/>
      <c r="K150" s="1264"/>
      <c r="L150" s="1264"/>
      <c r="M150" s="1204"/>
    </row>
    <row r="151" spans="1:14" ht="25.5" customHeight="1">
      <c r="A151" s="1266"/>
      <c r="B151" s="1267"/>
      <c r="C151" s="1264"/>
      <c r="D151" s="1268"/>
      <c r="E151" s="1264"/>
      <c r="F151" s="1264"/>
      <c r="G151" s="1269"/>
      <c r="H151" s="1267"/>
      <c r="I151" s="1264"/>
      <c r="J151" s="1264"/>
      <c r="K151" s="1267"/>
      <c r="L151" s="1267"/>
      <c r="M151" s="1270"/>
    </row>
    <row r="156" spans="1:14" ht="20.25">
      <c r="A156" s="2313" t="s">
        <v>2343</v>
      </c>
      <c r="B156" s="1204"/>
      <c r="C156" s="1204"/>
      <c r="D156" s="1204"/>
      <c r="E156" s="1204"/>
      <c r="F156" s="1204"/>
      <c r="G156" s="1204"/>
      <c r="H156" s="1204"/>
      <c r="I156" s="1204"/>
      <c r="J156" s="1204"/>
      <c r="K156" s="1204"/>
      <c r="L156" s="1204"/>
      <c r="M156" s="1204"/>
    </row>
    <row r="157" spans="1:14">
      <c r="A157" s="2677" t="s">
        <v>2328</v>
      </c>
      <c r="B157" s="2677"/>
      <c r="C157" s="2677"/>
      <c r="D157" s="2677"/>
      <c r="E157" s="2677"/>
      <c r="F157" s="2677"/>
      <c r="G157" s="2677"/>
      <c r="H157" s="2677"/>
      <c r="I157" s="2677"/>
      <c r="J157" s="2677"/>
      <c r="K157" s="2677"/>
      <c r="L157" s="2677"/>
      <c r="M157" s="2677"/>
    </row>
    <row r="158" spans="1:14">
      <c r="A158" s="2314" t="s">
        <v>2279</v>
      </c>
      <c r="B158" s="1260"/>
      <c r="C158" s="1260"/>
      <c r="D158" s="1260"/>
      <c r="E158" s="1260"/>
      <c r="F158" s="1260"/>
      <c r="G158" s="1260"/>
      <c r="H158" s="1260"/>
      <c r="I158" s="1260"/>
      <c r="J158" s="1260"/>
      <c r="K158" s="1260"/>
      <c r="L158" s="1260"/>
      <c r="M158" s="1260"/>
    </row>
    <row r="159" spans="1:14">
      <c r="A159" s="2679" t="s">
        <v>2344</v>
      </c>
      <c r="B159" s="2679"/>
      <c r="C159" s="2679"/>
      <c r="D159" s="2679"/>
      <c r="E159" s="2679"/>
      <c r="F159" s="2679"/>
      <c r="G159" s="2679"/>
      <c r="H159" s="2679"/>
      <c r="I159" s="2679"/>
      <c r="J159" s="2679"/>
      <c r="K159" s="2679"/>
      <c r="L159" s="2679"/>
      <c r="M159" s="2679"/>
      <c r="N159" s="2679"/>
    </row>
    <row r="160" spans="1:14" ht="63.75">
      <c r="A160" s="1262" t="s">
        <v>887</v>
      </c>
      <c r="B160" s="1263" t="s">
        <v>2345</v>
      </c>
      <c r="C160" s="1263" t="s">
        <v>2346</v>
      </c>
      <c r="D160" s="1263" t="s">
        <v>2347</v>
      </c>
      <c r="E160" s="1263" t="s">
        <v>2348</v>
      </c>
      <c r="F160" s="1263" t="s">
        <v>2349</v>
      </c>
      <c r="G160" s="1263" t="s">
        <v>2350</v>
      </c>
      <c r="H160" s="1263" t="s">
        <v>2351</v>
      </c>
      <c r="I160" s="1262" t="s">
        <v>2352</v>
      </c>
      <c r="J160" s="1262" t="s">
        <v>2353</v>
      </c>
      <c r="K160" s="1262" t="s">
        <v>2354</v>
      </c>
      <c r="L160" s="1262" t="s">
        <v>2355</v>
      </c>
      <c r="M160" s="1262" t="s">
        <v>2356</v>
      </c>
      <c r="N160" s="1262" t="s">
        <v>2357</v>
      </c>
    </row>
    <row r="161" spans="1:14">
      <c r="A161" s="1266"/>
      <c r="B161" s="1265"/>
      <c r="C161" s="1265"/>
      <c r="D161" s="1265"/>
      <c r="E161" s="1264"/>
      <c r="F161" s="1264"/>
      <c r="G161" s="1264"/>
      <c r="H161" s="1264"/>
      <c r="I161" s="1264"/>
      <c r="J161" s="1264"/>
      <c r="K161" s="1264"/>
      <c r="L161" s="1264"/>
      <c r="M161" s="1264"/>
      <c r="N161" s="1205"/>
    </row>
    <row r="162" spans="1:14" ht="18.75">
      <c r="A162" s="2317" t="s">
        <v>2358</v>
      </c>
      <c r="B162" s="1264"/>
      <c r="C162" s="1264"/>
      <c r="D162" s="1264"/>
      <c r="E162" s="1264"/>
      <c r="F162" s="1264"/>
      <c r="G162" s="1264"/>
      <c r="H162" s="1264"/>
      <c r="I162" s="1264"/>
      <c r="J162" s="1264"/>
      <c r="K162" s="1264"/>
      <c r="L162" s="1264"/>
      <c r="M162" s="1264"/>
      <c r="N162" s="1205"/>
    </row>
    <row r="163" spans="1:14" ht="18.75">
      <c r="A163" s="2317" t="s">
        <v>2359</v>
      </c>
      <c r="B163" s="1264"/>
      <c r="C163" s="1264"/>
      <c r="D163" s="1264"/>
      <c r="E163" s="1264"/>
      <c r="F163" s="1264"/>
      <c r="G163" s="1264"/>
      <c r="H163" s="1264"/>
      <c r="I163" s="1264"/>
      <c r="J163" s="1264"/>
      <c r="K163" s="1264"/>
      <c r="L163" s="1264"/>
      <c r="M163" s="1264"/>
      <c r="N163" s="1205"/>
    </row>
    <row r="164" spans="1:14" ht="18.75">
      <c r="A164" s="2317" t="s">
        <v>2360</v>
      </c>
      <c r="B164" s="1264"/>
      <c r="C164" s="1264"/>
      <c r="D164" s="1264"/>
      <c r="E164" s="1264"/>
      <c r="F164" s="1264"/>
      <c r="G164" s="1264"/>
      <c r="H164" s="1264"/>
      <c r="I164" s="1264"/>
      <c r="J164" s="1264"/>
      <c r="K164" s="1264"/>
      <c r="L164" s="1264"/>
      <c r="M164" s="1264"/>
      <c r="N164" s="1205"/>
    </row>
    <row r="165" spans="1:14" ht="18.75">
      <c r="A165" s="2317" t="s">
        <v>2361</v>
      </c>
      <c r="B165" s="1264"/>
      <c r="C165" s="1264"/>
      <c r="D165" s="1264"/>
      <c r="E165" s="1264"/>
      <c r="F165" s="1264"/>
      <c r="G165" s="1264"/>
      <c r="H165" s="1264"/>
      <c r="I165" s="1264"/>
      <c r="J165" s="1264"/>
      <c r="K165" s="1264"/>
      <c r="L165" s="1264"/>
      <c r="M165" s="1264"/>
      <c r="N165" s="1205"/>
    </row>
    <row r="166" spans="1:14" ht="18.75">
      <c r="A166" s="2317" t="s">
        <v>2362</v>
      </c>
      <c r="B166" s="1264"/>
      <c r="C166" s="1264"/>
      <c r="D166" s="1264"/>
      <c r="E166" s="1264"/>
      <c r="F166" s="1264"/>
      <c r="G166" s="1264"/>
      <c r="H166" s="1264"/>
      <c r="I166" s="1264"/>
      <c r="J166" s="1264"/>
      <c r="K166" s="1264"/>
      <c r="L166" s="1264"/>
      <c r="M166" s="1264"/>
      <c r="N166" s="1205"/>
    </row>
    <row r="167" spans="1:14" ht="18.75">
      <c r="A167" s="2317" t="s">
        <v>2363</v>
      </c>
      <c r="B167" s="1264"/>
      <c r="C167" s="1264"/>
      <c r="D167" s="1264"/>
      <c r="E167" s="1264"/>
      <c r="F167" s="1264"/>
      <c r="G167" s="1264"/>
      <c r="H167" s="1264"/>
      <c r="I167" s="1264"/>
      <c r="J167" s="1264"/>
      <c r="K167" s="1264"/>
      <c r="L167" s="1264"/>
      <c r="M167" s="1264"/>
      <c r="N167" s="1205"/>
    </row>
    <row r="174" spans="1:14">
      <c r="A174" s="2315"/>
    </row>
  </sheetData>
  <mergeCells count="12">
    <mergeCell ref="B57:D57"/>
    <mergeCell ref="A2:M2"/>
    <mergeCell ref="E4:H4"/>
    <mergeCell ref="B6:D6"/>
    <mergeCell ref="A53:M53"/>
    <mergeCell ref="E55:H55"/>
    <mergeCell ref="A88:D88"/>
    <mergeCell ref="A132:M132"/>
    <mergeCell ref="E134:H134"/>
    <mergeCell ref="A157:M157"/>
    <mergeCell ref="A159:N159"/>
    <mergeCell ref="A89:D89"/>
  </mergeCells>
  <printOptions horizontalCentered="1"/>
  <pageMargins left="0.19685039370078741" right="0.19685039370078741" top="0.86614173228346458" bottom="0.59055118110236227" header="0.51181102362204722" footer="0.51181102362204722"/>
  <pageSetup scale="6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9">
    <tabColor rgb="FF008000"/>
  </sheetPr>
  <dimension ref="A1:K16"/>
  <sheetViews>
    <sheetView view="pageBreakPreview" topLeftCell="A4" zoomScaleNormal="85" zoomScaleSheetLayoutView="100" workbookViewId="0">
      <selection activeCell="O16" sqref="O16"/>
    </sheetView>
  </sheetViews>
  <sheetFormatPr defaultColWidth="9.140625" defaultRowHeight="14.25"/>
  <cols>
    <col min="1" max="1" width="8" style="84" customWidth="1"/>
    <col min="2" max="2" width="25" style="84" customWidth="1"/>
    <col min="3" max="3" width="19.7109375" style="84" customWidth="1"/>
    <col min="4" max="4" width="16.5703125" style="84" customWidth="1"/>
    <col min="5" max="5" width="19.5703125" style="84" customWidth="1"/>
    <col min="6" max="6" width="9.140625" style="84"/>
    <col min="7" max="7" width="13.28515625" style="84" hidden="1" customWidth="1"/>
    <col min="8" max="8" width="9.85546875" style="84" hidden="1" customWidth="1"/>
    <col min="9" max="9" width="0" style="84" hidden="1" customWidth="1"/>
    <col min="10" max="10" width="10.85546875" style="84" hidden="1" customWidth="1"/>
    <col min="11" max="11" width="13.42578125" style="84" hidden="1" customWidth="1"/>
    <col min="12" max="16384" width="9.140625" style="84"/>
  </cols>
  <sheetData>
    <row r="1" spans="1:11" ht="45" customHeight="1">
      <c r="A1" s="2614" t="s">
        <v>2364</v>
      </c>
      <c r="B1" s="2614"/>
      <c r="C1" s="2614"/>
      <c r="D1" s="2614"/>
      <c r="E1" s="2614"/>
      <c r="F1" s="78"/>
      <c r="G1" s="78"/>
      <c r="H1" s="78"/>
      <c r="I1" s="78"/>
      <c r="J1" s="78"/>
      <c r="K1" s="78"/>
    </row>
    <row r="2" spans="1:11" ht="31.5" customHeight="1">
      <c r="A2" s="42" t="s">
        <v>2365</v>
      </c>
      <c r="B2" s="42" t="s">
        <v>887</v>
      </c>
      <c r="C2" s="42" t="s">
        <v>174</v>
      </c>
      <c r="D2" s="42" t="s">
        <v>345</v>
      </c>
      <c r="E2" s="42" t="s">
        <v>170</v>
      </c>
      <c r="F2" s="78"/>
      <c r="G2" s="78"/>
      <c r="H2" s="78"/>
      <c r="I2" s="78"/>
      <c r="J2" s="78"/>
      <c r="K2" s="78"/>
    </row>
    <row r="3" spans="1:11" ht="21.6" customHeight="1">
      <c r="A3" s="2068">
        <v>1</v>
      </c>
      <c r="B3" s="2318" t="s">
        <v>2366</v>
      </c>
      <c r="C3" s="2068"/>
      <c r="D3" s="2319"/>
      <c r="E3" s="2319"/>
      <c r="F3" s="78"/>
      <c r="G3" s="78"/>
      <c r="H3" s="78"/>
      <c r="I3" s="78"/>
      <c r="J3" s="78"/>
      <c r="K3" s="78"/>
    </row>
    <row r="4" spans="1:11" ht="21.6" customHeight="1">
      <c r="A4" s="2068"/>
      <c r="B4" s="59" t="s">
        <v>2367</v>
      </c>
      <c r="C4" s="2320"/>
      <c r="D4" s="2319">
        <f>C4</f>
        <v>0</v>
      </c>
      <c r="E4" s="2319">
        <f>D4</f>
        <v>0</v>
      </c>
      <c r="F4" s="78"/>
      <c r="G4" s="78">
        <f>C4-C4*3.6%</f>
        <v>0</v>
      </c>
      <c r="H4" s="78"/>
      <c r="I4" s="78"/>
      <c r="J4" s="101">
        <v>3912</v>
      </c>
      <c r="K4" s="78"/>
    </row>
    <row r="5" spans="1:11" ht="21.6" customHeight="1">
      <c r="A5" s="2068"/>
      <c r="B5" s="59" t="s">
        <v>2368</v>
      </c>
      <c r="C5" s="2320"/>
      <c r="D5" s="2320"/>
      <c r="E5" s="2320"/>
      <c r="F5" s="78"/>
      <c r="G5" s="78">
        <f>C5-C5*3.6%</f>
        <v>0</v>
      </c>
      <c r="H5" s="78"/>
      <c r="I5" s="78"/>
      <c r="J5" s="101">
        <v>636.5</v>
      </c>
      <c r="K5" s="78"/>
    </row>
    <row r="6" spans="1:11" ht="21.6" customHeight="1">
      <c r="A6" s="2068"/>
      <c r="B6" s="59" t="s">
        <v>234</v>
      </c>
      <c r="C6" s="2319">
        <f>'F-21'!C10</f>
        <v>51729.937056499999</v>
      </c>
      <c r="D6" s="2319">
        <f>'F-21'!E10</f>
        <v>82205.577651200001</v>
      </c>
      <c r="E6" s="2319">
        <f>'F-21'!F10</f>
        <v>87276.897651200008</v>
      </c>
      <c r="F6" s="78"/>
      <c r="G6" s="81">
        <f>D6-C6</f>
        <v>30475.640594700002</v>
      </c>
      <c r="H6" s="81">
        <f>E6-D6</f>
        <v>5071.320000000007</v>
      </c>
      <c r="I6" s="78"/>
      <c r="J6" s="101">
        <f>4931.72-J5-J4</f>
        <v>383.22000000000025</v>
      </c>
      <c r="K6" s="78"/>
    </row>
    <row r="7" spans="1:11" ht="21.6" customHeight="1">
      <c r="A7" s="2068">
        <v>2</v>
      </c>
      <c r="B7" s="2318" t="s">
        <v>2369</v>
      </c>
      <c r="C7" s="2319"/>
      <c r="D7" s="2319"/>
      <c r="E7" s="2319"/>
      <c r="F7" s="78"/>
      <c r="G7" s="78">
        <v>5338.56</v>
      </c>
      <c r="H7" s="78"/>
      <c r="I7" s="78"/>
      <c r="J7" s="102">
        <f>SUM(J4:J6)</f>
        <v>4931.72</v>
      </c>
      <c r="K7" s="78">
        <v>5338.56</v>
      </c>
    </row>
    <row r="8" spans="1:11" ht="21.6" customHeight="1">
      <c r="A8" s="2068" t="s">
        <v>2370</v>
      </c>
      <c r="B8" s="59" t="s">
        <v>2371</v>
      </c>
      <c r="C8" s="2319">
        <v>0</v>
      </c>
      <c r="D8" s="2319">
        <v>0</v>
      </c>
      <c r="E8" s="2319">
        <v>0</v>
      </c>
      <c r="F8" s="78"/>
      <c r="G8" s="78"/>
      <c r="H8" s="78"/>
      <c r="I8" s="78"/>
      <c r="J8" s="78"/>
      <c r="K8" s="78"/>
    </row>
    <row r="9" spans="1:11" ht="21.6" customHeight="1">
      <c r="A9" s="2068" t="s">
        <v>2372</v>
      </c>
      <c r="B9" s="59" t="s">
        <v>2373</v>
      </c>
      <c r="C9" s="2319">
        <v>0</v>
      </c>
      <c r="D9" s="2319">
        <v>0</v>
      </c>
      <c r="E9" s="2319">
        <v>0</v>
      </c>
      <c r="F9" s="78"/>
      <c r="G9" s="78"/>
      <c r="H9" s="78"/>
      <c r="I9" s="78"/>
      <c r="J9" s="78"/>
      <c r="K9" s="78"/>
    </row>
    <row r="10" spans="1:11" ht="21.6" customHeight="1">
      <c r="A10" s="2068" t="s">
        <v>1098</v>
      </c>
      <c r="B10" s="59" t="s">
        <v>2374</v>
      </c>
      <c r="C10" s="2319">
        <v>0</v>
      </c>
      <c r="D10" s="2319">
        <v>0</v>
      </c>
      <c r="E10" s="2319">
        <v>0</v>
      </c>
      <c r="F10" s="78"/>
      <c r="G10" s="78"/>
      <c r="H10" s="78"/>
      <c r="I10" s="78"/>
      <c r="J10" s="78"/>
      <c r="K10" s="78"/>
    </row>
    <row r="11" spans="1:11" ht="21.6" customHeight="1">
      <c r="A11" s="2068">
        <v>3</v>
      </c>
      <c r="B11" s="59" t="s">
        <v>2375</v>
      </c>
      <c r="C11" s="2068">
        <v>0</v>
      </c>
      <c r="D11" s="2319">
        <v>0</v>
      </c>
      <c r="E11" s="2319">
        <v>0</v>
      </c>
      <c r="F11" s="78"/>
      <c r="G11" s="81"/>
      <c r="H11" s="78"/>
      <c r="I11" s="78"/>
      <c r="J11" s="78"/>
      <c r="K11" s="78"/>
    </row>
    <row r="12" spans="1:11" ht="21.6" customHeight="1">
      <c r="A12" s="2068"/>
      <c r="B12" s="42" t="s">
        <v>239</v>
      </c>
      <c r="C12" s="2319">
        <f>SUM(C3:C11)</f>
        <v>51729.937056499999</v>
      </c>
      <c r="D12" s="2319">
        <f>SUM(D3:D11)</f>
        <v>82205.577651200001</v>
      </c>
      <c r="E12" s="2319">
        <f>SUM(E3:E11)</f>
        <v>87276.897651200008</v>
      </c>
      <c r="F12" s="78"/>
      <c r="G12" s="78"/>
      <c r="H12" s="78"/>
      <c r="I12" s="78"/>
      <c r="J12" s="78"/>
      <c r="K12" s="78"/>
    </row>
    <row r="13" spans="1:11" ht="35.25" customHeight="1">
      <c r="A13" s="2686" t="s">
        <v>2376</v>
      </c>
      <c r="B13" s="2686"/>
      <c r="C13" s="2686"/>
      <c r="D13" s="2686"/>
      <c r="E13" s="2686"/>
      <c r="F13" s="78"/>
      <c r="G13" s="78"/>
      <c r="H13" s="78"/>
      <c r="I13" s="78"/>
      <c r="J13" s="78"/>
      <c r="K13" s="78"/>
    </row>
    <row r="16" spans="1:11">
      <c r="A16" s="78"/>
      <c r="B16" s="78"/>
      <c r="C16" s="81"/>
      <c r="D16" s="78"/>
      <c r="E16" s="78"/>
      <c r="F16" s="78"/>
      <c r="G16" s="78"/>
      <c r="H16" s="78"/>
      <c r="I16" s="78"/>
      <c r="J16" s="78"/>
      <c r="K16" s="78"/>
    </row>
  </sheetData>
  <mergeCells count="2">
    <mergeCell ref="A1:E1"/>
    <mergeCell ref="A13:E13"/>
  </mergeCells>
  <phoneticPr fontId="0" type="noConversion"/>
  <printOptions horizontalCentered="1"/>
  <pageMargins left="0.74803149606299213" right="0.74803149606299213" top="0.82677165354330717" bottom="0.98425196850393704" header="0.51181102362204722" footer="0.51181102362204722"/>
  <pageSetup scale="101"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0">
    <tabColor rgb="FF008000"/>
  </sheetPr>
  <dimension ref="A1:L59"/>
  <sheetViews>
    <sheetView view="pageBreakPreview" zoomScaleNormal="100" zoomScaleSheetLayoutView="100" workbookViewId="0">
      <selection activeCell="E51" sqref="E51"/>
    </sheetView>
  </sheetViews>
  <sheetFormatPr defaultColWidth="9.140625" defaultRowHeight="14.25"/>
  <cols>
    <col min="1" max="1" width="6.85546875" style="78" customWidth="1"/>
    <col min="2" max="2" width="42.5703125" style="78" customWidth="1"/>
    <col min="3" max="3" width="18.42578125" style="78" customWidth="1"/>
    <col min="4" max="4" width="18.42578125" style="78" hidden="1" customWidth="1"/>
    <col min="5" max="5" width="18" style="78" customWidth="1"/>
    <col min="6" max="6" width="19.7109375" style="78" customWidth="1"/>
    <col min="7" max="7" width="12.7109375" style="78" hidden="1" customWidth="1"/>
    <col min="8" max="8" width="13.5703125" style="78" hidden="1" customWidth="1"/>
    <col min="9" max="9" width="10.42578125" bestFit="1" customWidth="1"/>
    <col min="10" max="10" width="15.42578125" customWidth="1"/>
    <col min="11" max="11" width="17.7109375" style="78" customWidth="1"/>
    <col min="12" max="12" width="11.28515625" style="78" bestFit="1" customWidth="1"/>
    <col min="13" max="16384" width="9.140625" style="78"/>
  </cols>
  <sheetData>
    <row r="1" spans="1:8" ht="43.5" customHeight="1">
      <c r="A1" s="2688" t="s">
        <v>2377</v>
      </c>
      <c r="B1" s="2688"/>
      <c r="C1" s="2688"/>
      <c r="D1" s="2688"/>
      <c r="E1" s="2688"/>
      <c r="F1" s="2688"/>
    </row>
    <row r="2" spans="1:8" ht="20.25" customHeight="1">
      <c r="A2" s="299"/>
      <c r="B2" s="299"/>
      <c r="C2" s="302" t="s">
        <v>2153</v>
      </c>
      <c r="D2" s="302" t="s">
        <v>2378</v>
      </c>
      <c r="E2" s="302" t="s">
        <v>2180</v>
      </c>
      <c r="F2" s="302" t="s">
        <v>2379</v>
      </c>
    </row>
    <row r="3" spans="1:8" ht="28.5" customHeight="1">
      <c r="A3" s="299"/>
      <c r="B3" s="299"/>
      <c r="C3" s="302" t="s">
        <v>2380</v>
      </c>
      <c r="D3" s="302" t="s">
        <v>2381</v>
      </c>
      <c r="E3" s="302" t="s">
        <v>2382</v>
      </c>
      <c r="F3" s="302" t="s">
        <v>2383</v>
      </c>
    </row>
    <row r="4" spans="1:8" ht="15">
      <c r="A4" s="299" t="s">
        <v>2384</v>
      </c>
      <c r="B4" s="293" t="s">
        <v>2385</v>
      </c>
      <c r="C4" s="293"/>
      <c r="D4" s="293"/>
      <c r="E4" s="293"/>
      <c r="F4" s="293"/>
    </row>
    <row r="5" spans="1:8">
      <c r="A5" s="299"/>
      <c r="B5" s="301" t="s">
        <v>2386</v>
      </c>
      <c r="C5" s="2321"/>
      <c r="D5" s="299"/>
      <c r="E5" s="1336"/>
      <c r="F5" s="299"/>
      <c r="G5" s="78" t="s">
        <v>939</v>
      </c>
      <c r="H5" s="78" t="s">
        <v>940</v>
      </c>
    </row>
    <row r="6" spans="1:8">
      <c r="A6" s="299"/>
      <c r="B6" s="301" t="s">
        <v>2387</v>
      </c>
      <c r="C6" s="2321">
        <f>[28]BS!$F$39*100</f>
        <v>39814.816400000003</v>
      </c>
      <c r="D6" s="1336" t="e">
        <f>#REF!</f>
        <v>#REF!</v>
      </c>
      <c r="E6" s="2321">
        <f>C6</f>
        <v>39814.816400000003</v>
      </c>
      <c r="F6" s="2321">
        <f>E8</f>
        <v>57682.649778252373</v>
      </c>
      <c r="G6" s="912"/>
      <c r="H6" s="912"/>
    </row>
    <row r="7" spans="1:8">
      <c r="A7" s="299"/>
      <c r="B7" s="301" t="s">
        <v>2388</v>
      </c>
      <c r="C7" s="2321"/>
      <c r="D7" s="1336"/>
      <c r="E7" s="2321">
        <f>'Interest New'!H48</f>
        <v>17867.83337825237</v>
      </c>
      <c r="F7" s="2321">
        <f>'Interest New'!I48</f>
        <v>8934.3196709308795</v>
      </c>
      <c r="G7" s="912"/>
      <c r="H7" s="912"/>
    </row>
    <row r="8" spans="1:8" ht="15">
      <c r="A8" s="299"/>
      <c r="B8" s="301" t="s">
        <v>2389</v>
      </c>
      <c r="C8" s="2322">
        <f>C6+C7</f>
        <v>39814.816400000003</v>
      </c>
      <c r="D8" s="2323" t="e">
        <f>D6+D7</f>
        <v>#REF!</v>
      </c>
      <c r="E8" s="2322">
        <f>E6+E7</f>
        <v>57682.649778252373</v>
      </c>
      <c r="F8" s="2322">
        <f>F6+F7</f>
        <v>66616.969449183249</v>
      </c>
      <c r="G8" s="912">
        <f t="shared" ref="G8:G49" si="0">E8-C8</f>
        <v>17867.83337825237</v>
      </c>
      <c r="H8" s="912">
        <f t="shared" ref="H8:H49" si="1">F8-E8</f>
        <v>8934.3196709308759</v>
      </c>
    </row>
    <row r="9" spans="1:8">
      <c r="A9" s="299"/>
      <c r="B9" s="301" t="s">
        <v>2390</v>
      </c>
      <c r="C9" s="2321">
        <f>[28]BS!$F$40*100</f>
        <v>18959.190607649405</v>
      </c>
      <c r="D9" s="1336"/>
      <c r="E9" s="2321">
        <f>C9+'F-22'!C20</f>
        <v>27254.752659506943</v>
      </c>
      <c r="F9" s="2321">
        <f>E9+'F-22'!D20</f>
        <v>38432.156286965896</v>
      </c>
      <c r="G9" s="912">
        <f t="shared" si="0"/>
        <v>8295.5620518575379</v>
      </c>
      <c r="H9" s="912">
        <f t="shared" si="1"/>
        <v>11177.403627458953</v>
      </c>
    </row>
    <row r="10" spans="1:8">
      <c r="A10" s="299"/>
      <c r="B10" s="301" t="s">
        <v>2391</v>
      </c>
      <c r="C10" s="2321">
        <f>'[28]19-24'!$I$37*100+'[28]19-24'!$I$16*100</f>
        <v>51729.937056499999</v>
      </c>
      <c r="D10" s="1336" t="e">
        <f>#REF!-697.93</f>
        <v>#REF!</v>
      </c>
      <c r="E10" s="2321">
        <f>C10+'F-23 New '!D19</f>
        <v>82205.577651200001</v>
      </c>
      <c r="F10" s="2321">
        <f>E10+'F-23 New '!E19</f>
        <v>87276.897651200008</v>
      </c>
      <c r="G10" s="912">
        <f t="shared" si="0"/>
        <v>30475.640594700002</v>
      </c>
      <c r="H10" s="912">
        <f t="shared" si="1"/>
        <v>5071.320000000007</v>
      </c>
    </row>
    <row r="11" spans="1:8">
      <c r="A11" s="299"/>
      <c r="B11" s="301"/>
      <c r="C11" s="2321"/>
      <c r="D11" s="1336"/>
      <c r="E11" s="2321"/>
      <c r="F11" s="2321"/>
      <c r="G11" s="912">
        <f t="shared" si="0"/>
        <v>0</v>
      </c>
      <c r="H11" s="912">
        <f t="shared" si="1"/>
        <v>0</v>
      </c>
    </row>
    <row r="12" spans="1:8">
      <c r="A12" s="299"/>
      <c r="B12" s="301" t="s">
        <v>2392</v>
      </c>
      <c r="C12" s="2321"/>
      <c r="D12" s="1336"/>
      <c r="E12" s="2321"/>
      <c r="F12" s="2321"/>
      <c r="G12" s="912">
        <f t="shared" si="0"/>
        <v>0</v>
      </c>
      <c r="H12" s="912">
        <f t="shared" si="1"/>
        <v>0</v>
      </c>
    </row>
    <row r="13" spans="1:8">
      <c r="A13" s="299"/>
      <c r="B13" s="301" t="s">
        <v>2393</v>
      </c>
      <c r="C13" s="2321">
        <f>[28]BS!$F$52*100</f>
        <v>23747.15121</v>
      </c>
      <c r="D13" s="1336">
        <v>0</v>
      </c>
      <c r="E13" s="2321">
        <f>'F-3'!E14</f>
        <v>67153.469997543594</v>
      </c>
      <c r="F13" s="2321">
        <f>'F-3'!I14</f>
        <v>79310.418568178138</v>
      </c>
      <c r="G13" s="912">
        <f>E13-C13</f>
        <v>43406.318787543598</v>
      </c>
      <c r="H13" s="912">
        <f t="shared" si="1"/>
        <v>12156.948570634544</v>
      </c>
    </row>
    <row r="14" spans="1:8">
      <c r="A14" s="299"/>
      <c r="B14" s="301" t="s">
        <v>2394</v>
      </c>
      <c r="C14" s="2321">
        <f>[28]BS!$F$61*100</f>
        <v>18770.048498200005</v>
      </c>
      <c r="D14" s="1336"/>
      <c r="E14" s="2321">
        <f>C14+'F-23 New '!D20</f>
        <v>37704.102005372704</v>
      </c>
      <c r="F14" s="2321">
        <f>E14+'F-23 New '!E20</f>
        <v>41616.738239616163</v>
      </c>
      <c r="G14" s="912">
        <f>E14-C14</f>
        <v>18934.053507172699</v>
      </c>
      <c r="H14" s="912">
        <f t="shared" si="1"/>
        <v>3912.6362342434586</v>
      </c>
    </row>
    <row r="15" spans="1:8">
      <c r="A15" s="299"/>
      <c r="B15" s="301" t="s">
        <v>2395</v>
      </c>
      <c r="C15" s="2321">
        <f>'[28]19-24'!$I$39*100</f>
        <v>3669.2010491000005</v>
      </c>
      <c r="D15" s="1336"/>
      <c r="E15" s="2321">
        <f>C15</f>
        <v>3669.2010491000005</v>
      </c>
      <c r="F15" s="2321">
        <f>E15</f>
        <v>3669.2010491000005</v>
      </c>
      <c r="G15" s="912">
        <f t="shared" si="0"/>
        <v>0</v>
      </c>
      <c r="H15" s="912">
        <f t="shared" si="1"/>
        <v>0</v>
      </c>
    </row>
    <row r="16" spans="1:8">
      <c r="A16" s="299"/>
      <c r="B16" s="301" t="s">
        <v>2396</v>
      </c>
      <c r="C16" s="2321">
        <f>'[28]19-24'!$I$219*100</f>
        <v>79582.257712700011</v>
      </c>
      <c r="D16" s="1336" t="e">
        <f>#REF!</f>
        <v>#REF!</v>
      </c>
      <c r="E16" s="2321">
        <f>C16+'F-23 New '!D11-'F-23 New '!D32</f>
        <v>85582.257712700011</v>
      </c>
      <c r="F16" s="2321">
        <f>E16+'F-23 New '!E11-'F-23 New '!E32</f>
        <v>93582.257712700011</v>
      </c>
      <c r="G16" s="912">
        <f t="shared" si="0"/>
        <v>6000</v>
      </c>
      <c r="H16" s="912">
        <f t="shared" si="1"/>
        <v>8000</v>
      </c>
    </row>
    <row r="17" spans="1:12">
      <c r="A17" s="299"/>
      <c r="B17" s="301" t="s">
        <v>2397</v>
      </c>
      <c r="C17" s="2321">
        <f>'[28]19-24'!$I$15*100+'[28]19-24'!$I$38*100</f>
        <v>124533.1474482</v>
      </c>
      <c r="D17" s="1336" t="e">
        <f>#REF!-0.46</f>
        <v>#REF!</v>
      </c>
      <c r="E17" s="2321">
        <f>C17+'F-23 New '!D12+'F-23 New '!D13</f>
        <v>153044.29423273334</v>
      </c>
      <c r="F17" s="2321">
        <f>E17+'F-23 New '!E12+'F-23 New '!E13</f>
        <v>174850.42342786666</v>
      </c>
      <c r="G17" s="912">
        <f t="shared" si="0"/>
        <v>28511.146784533339</v>
      </c>
      <c r="H17" s="912">
        <f t="shared" si="1"/>
        <v>21806.129195133311</v>
      </c>
    </row>
    <row r="18" spans="1:12" ht="15">
      <c r="A18" s="299"/>
      <c r="B18" s="302" t="s">
        <v>239</v>
      </c>
      <c r="C18" s="2322">
        <f>SUM(C8:C17)</f>
        <v>360805.74998234946</v>
      </c>
      <c r="D18" s="2323" t="e">
        <f>SUM(D8:D17)</f>
        <v>#REF!</v>
      </c>
      <c r="E18" s="2322">
        <f>SUM(E8:E17)</f>
        <v>514296.30508640897</v>
      </c>
      <c r="F18" s="2322">
        <f>SUM(F8:F17)</f>
        <v>585355.06238481007</v>
      </c>
      <c r="G18" s="912">
        <f t="shared" si="0"/>
        <v>153490.55510405952</v>
      </c>
      <c r="H18" s="912">
        <f t="shared" si="1"/>
        <v>71058.757298401091</v>
      </c>
    </row>
    <row r="19" spans="1:12" ht="15">
      <c r="A19" s="299" t="s">
        <v>2398</v>
      </c>
      <c r="B19" s="2687" t="s">
        <v>2399</v>
      </c>
      <c r="C19" s="2687"/>
      <c r="D19" s="2687"/>
      <c r="E19" s="2687"/>
      <c r="F19" s="2687"/>
      <c r="G19" s="912">
        <f t="shared" si="0"/>
        <v>0</v>
      </c>
      <c r="H19" s="912">
        <f t="shared" si="1"/>
        <v>0</v>
      </c>
    </row>
    <row r="20" spans="1:12">
      <c r="A20" s="299"/>
      <c r="B20" s="2324" t="s">
        <v>2224</v>
      </c>
      <c r="C20" s="1336"/>
      <c r="D20" s="1336"/>
      <c r="E20" s="1336"/>
      <c r="F20" s="1336"/>
      <c r="G20" s="912">
        <f t="shared" si="0"/>
        <v>0</v>
      </c>
      <c r="H20" s="912">
        <f t="shared" si="1"/>
        <v>0</v>
      </c>
    </row>
    <row r="21" spans="1:12">
      <c r="A21" s="299"/>
      <c r="B21" s="301" t="s">
        <v>2281</v>
      </c>
      <c r="C21" s="2321">
        <f>('[28]4.02-5'!$H$26+'[28]6'!$E$32)*100</f>
        <v>230354.63535149998</v>
      </c>
      <c r="D21" s="1336" t="e">
        <f>#REF!-0.46</f>
        <v>#REF!</v>
      </c>
      <c r="E21" s="2321">
        <f>C21+'F-2'!L16</f>
        <v>369125.04553438781</v>
      </c>
      <c r="F21" s="2321">
        <f>E21+'F-2'!Q16</f>
        <v>446315.47265221074</v>
      </c>
      <c r="G21" s="912">
        <f t="shared" si="0"/>
        <v>138770.41018288783</v>
      </c>
      <c r="H21" s="912">
        <f t="shared" si="1"/>
        <v>77190.427117822925</v>
      </c>
      <c r="K21" s="248"/>
    </row>
    <row r="22" spans="1:12">
      <c r="A22" s="299"/>
      <c r="B22" s="301" t="s">
        <v>2400</v>
      </c>
      <c r="C22" s="2321">
        <f>'[28]4.02-5'!$M$26*100+'[28]6'!$E$41*100</f>
        <v>19429.454295000003</v>
      </c>
      <c r="D22" s="1336" t="e">
        <f>#REF!</f>
        <v>#REF!</v>
      </c>
      <c r="E22" s="2325">
        <f>C22+'Depreciation New'!F33-'Depreciation New'!E33</f>
        <v>27654.14009691212</v>
      </c>
      <c r="F22" s="2321">
        <f>E22+'Depreciation New'!G33-'Depreciation New'!F33</f>
        <v>35491.749862242032</v>
      </c>
      <c r="G22" s="912">
        <f>E22-C22</f>
        <v>8224.6858019121173</v>
      </c>
      <c r="H22" s="912">
        <f t="shared" si="1"/>
        <v>7837.6097653299112</v>
      </c>
    </row>
    <row r="23" spans="1:12" ht="15">
      <c r="A23" s="299"/>
      <c r="B23" s="301" t="s">
        <v>2282</v>
      </c>
      <c r="C23" s="2322">
        <f>C21-C22</f>
        <v>210925.18105649998</v>
      </c>
      <c r="D23" s="2323" t="e">
        <f>D21-D22</f>
        <v>#REF!</v>
      </c>
      <c r="E23" s="2322">
        <f>E21-E22</f>
        <v>341470.90543747571</v>
      </c>
      <c r="F23" s="2322">
        <f>F21-F22</f>
        <v>410823.72278996871</v>
      </c>
      <c r="G23" s="912">
        <f t="shared" si="0"/>
        <v>130545.72438097573</v>
      </c>
      <c r="H23" s="912">
        <f t="shared" si="1"/>
        <v>69352.817352493003</v>
      </c>
    </row>
    <row r="24" spans="1:12">
      <c r="A24" s="299"/>
      <c r="B24" s="301" t="s">
        <v>2401</v>
      </c>
      <c r="C24" s="2321">
        <f>[28]BS!$F$15*100</f>
        <v>41565.858086399996</v>
      </c>
      <c r="D24" s="1336" t="e">
        <f>#REF!-3209+2511.07</f>
        <v>#REF!</v>
      </c>
      <c r="E24" s="2321">
        <f>'F-2'!M16</f>
        <v>28109.343231277144</v>
      </c>
      <c r="F24" s="2321">
        <f>'F-2'!R16</f>
        <v>23647.089240000001</v>
      </c>
      <c r="G24" s="912">
        <f t="shared" si="0"/>
        <v>-13456.514855122852</v>
      </c>
      <c r="H24" s="912">
        <f t="shared" si="1"/>
        <v>-4462.2539912771426</v>
      </c>
      <c r="K24" s="1139"/>
      <c r="L24" s="1139"/>
    </row>
    <row r="25" spans="1:12">
      <c r="A25" s="299"/>
      <c r="B25" s="301" t="s">
        <v>2402</v>
      </c>
      <c r="C25" s="2321">
        <v>0</v>
      </c>
      <c r="D25" s="1336">
        <v>0</v>
      </c>
      <c r="E25" s="2321"/>
      <c r="F25" s="2321"/>
      <c r="G25" s="912">
        <f t="shared" si="0"/>
        <v>0</v>
      </c>
      <c r="H25" s="912">
        <f t="shared" si="1"/>
        <v>0</v>
      </c>
    </row>
    <row r="26" spans="1:12" ht="15">
      <c r="A26" s="299"/>
      <c r="B26" s="301" t="s">
        <v>2403</v>
      </c>
      <c r="C26" s="2322">
        <f>C25+C24</f>
        <v>41565.858086399996</v>
      </c>
      <c r="D26" s="2323" t="e">
        <f>D25+D24</f>
        <v>#REF!</v>
      </c>
      <c r="E26" s="2322">
        <f>E25+E24</f>
        <v>28109.343231277144</v>
      </c>
      <c r="F26" s="2322">
        <f>F25+F24</f>
        <v>23647.089240000001</v>
      </c>
      <c r="G26" s="912">
        <f t="shared" si="0"/>
        <v>-13456.514855122852</v>
      </c>
      <c r="H26" s="912">
        <f t="shared" si="1"/>
        <v>-4462.2539912771426</v>
      </c>
    </row>
    <row r="27" spans="1:12" ht="28.5">
      <c r="A27" s="299"/>
      <c r="B27" s="301" t="s">
        <v>2404</v>
      </c>
      <c r="C27" s="1336"/>
      <c r="D27" s="1336"/>
      <c r="E27" s="2326"/>
      <c r="F27" s="2326"/>
      <c r="G27" s="912">
        <f t="shared" si="0"/>
        <v>0</v>
      </c>
      <c r="H27" s="912">
        <f t="shared" si="1"/>
        <v>0</v>
      </c>
    </row>
    <row r="28" spans="1:12" ht="28.5">
      <c r="A28" s="299"/>
      <c r="B28" s="301" t="s">
        <v>2405</v>
      </c>
      <c r="C28" s="1336"/>
      <c r="D28" s="1336"/>
      <c r="E28" s="2326"/>
      <c r="F28" s="2326"/>
      <c r="G28" s="912">
        <f t="shared" si="0"/>
        <v>0</v>
      </c>
      <c r="H28" s="912">
        <f t="shared" si="1"/>
        <v>0</v>
      </c>
    </row>
    <row r="29" spans="1:12" ht="15">
      <c r="A29" s="299"/>
      <c r="B29" s="301" t="s">
        <v>2406</v>
      </c>
      <c r="C29" s="2323"/>
      <c r="D29" s="2323"/>
      <c r="E29" s="2327"/>
      <c r="F29" s="2327"/>
      <c r="G29" s="912">
        <f t="shared" si="0"/>
        <v>0</v>
      </c>
      <c r="H29" s="912">
        <f t="shared" si="1"/>
        <v>0</v>
      </c>
    </row>
    <row r="30" spans="1:12" ht="15">
      <c r="A30" s="299"/>
      <c r="B30" s="301"/>
      <c r="C30" s="2323"/>
      <c r="D30" s="2323"/>
      <c r="E30" s="2322"/>
      <c r="F30" s="2322"/>
      <c r="G30" s="912"/>
      <c r="H30" s="912"/>
    </row>
    <row r="31" spans="1:12" ht="15">
      <c r="A31" s="299"/>
      <c r="B31" s="2328" t="s">
        <v>2407</v>
      </c>
      <c r="C31" s="2323">
        <f>-836.1492254+0.18</f>
        <v>-835.96922540000003</v>
      </c>
      <c r="D31" s="2323"/>
      <c r="E31" s="2322">
        <f>C31+'F-22'!C17-0.8</f>
        <v>7272.5765098254769</v>
      </c>
      <c r="F31" s="2322">
        <f>E31+'F-22'!D17+0.2</f>
        <v>19704.30364094301</v>
      </c>
      <c r="G31" s="912"/>
      <c r="H31" s="912"/>
    </row>
    <row r="32" spans="1:12" ht="15">
      <c r="A32" s="299"/>
      <c r="B32" s="301"/>
      <c r="C32" s="2323"/>
      <c r="D32" s="2323"/>
      <c r="E32" s="2322"/>
      <c r="F32" s="2322"/>
      <c r="G32" s="912"/>
      <c r="H32" s="912"/>
    </row>
    <row r="33" spans="1:11" ht="23.25" customHeight="1">
      <c r="A33" s="299"/>
      <c r="B33" s="2687" t="s">
        <v>2408</v>
      </c>
      <c r="C33" s="2687"/>
      <c r="D33" s="2687"/>
      <c r="E33" s="2687"/>
      <c r="F33" s="2687"/>
      <c r="G33" s="912">
        <f t="shared" si="0"/>
        <v>0</v>
      </c>
      <c r="H33" s="912">
        <f t="shared" si="1"/>
        <v>0</v>
      </c>
    </row>
    <row r="34" spans="1:11">
      <c r="A34" s="299"/>
      <c r="B34" s="301" t="s">
        <v>2409</v>
      </c>
      <c r="C34" s="2321">
        <f>([28]BS!$F$25+[28]BS!$F$26)*100</f>
        <v>55557.847588900004</v>
      </c>
      <c r="D34" s="1336">
        <v>0</v>
      </c>
      <c r="E34" s="2321">
        <f>C34+'F-22'!C4-'F-23 New '!D9-'F-6 New'!I15-'F-23 New '!D10</f>
        <v>55557.84758890004</v>
      </c>
      <c r="F34" s="2321">
        <f>E34+'F-22'!D4-'F-23 New '!E9-'F-6 New'!M15-'F-23 New '!E10</f>
        <v>55557.847588900018</v>
      </c>
      <c r="G34" s="912">
        <f t="shared" si="0"/>
        <v>0</v>
      </c>
      <c r="H34" s="912">
        <f t="shared" si="1"/>
        <v>0</v>
      </c>
    </row>
    <row r="35" spans="1:11">
      <c r="A35" s="299"/>
      <c r="B35" s="301" t="s">
        <v>2410</v>
      </c>
      <c r="C35" s="2321">
        <f>[28]BS!$F$23*100</f>
        <v>5397.1956214000011</v>
      </c>
      <c r="D35" s="1336" t="e">
        <f>#REF!</f>
        <v>#REF!</v>
      </c>
      <c r="E35" s="2321">
        <f>'F-10 New'!O23</f>
        <v>5777.6927157000018</v>
      </c>
      <c r="F35" s="2321">
        <f>'F-10 New'!O36</f>
        <v>6013.2757041060022</v>
      </c>
      <c r="G35" s="912">
        <f t="shared" si="0"/>
        <v>380.49709430000075</v>
      </c>
      <c r="H35" s="912">
        <f t="shared" si="1"/>
        <v>235.58298840600037</v>
      </c>
    </row>
    <row r="36" spans="1:11">
      <c r="A36" s="299"/>
      <c r="B36" s="301" t="s">
        <v>2411</v>
      </c>
      <c r="C36" s="2321">
        <f>119651.4577058+0.5</f>
        <v>119651.9577058</v>
      </c>
      <c r="D36" s="1336" t="e">
        <f>#REF!+#REF!+#REF!+#REF!</f>
        <v>#REF!</v>
      </c>
      <c r="E36" s="2321">
        <f>'F-23 New '!D53</f>
        <v>149041.83394722315</v>
      </c>
      <c r="F36" s="2321">
        <f>'F-23 New '!E53</f>
        <v>144241.91001442453</v>
      </c>
      <c r="G36" s="912">
        <f t="shared" si="0"/>
        <v>29389.876241423146</v>
      </c>
      <c r="H36" s="912">
        <f t="shared" si="1"/>
        <v>-4799.9239327986143</v>
      </c>
      <c r="K36" s="81"/>
    </row>
    <row r="37" spans="1:11" ht="28.5">
      <c r="A37" s="299"/>
      <c r="B37" s="301" t="s">
        <v>2412</v>
      </c>
      <c r="C37" s="2321">
        <f>([28]BS!$F$29+[28]BS!$F$30+[28]BS!$F$17+[28]BS!$F$19+[28]BS!$F$20)*100</f>
        <v>50295.540953900003</v>
      </c>
      <c r="D37" s="1336" t="e">
        <f>SUM(#REF!)</f>
        <v>#REF!</v>
      </c>
      <c r="E37" s="2321">
        <f>C37</f>
        <v>50295.540953900003</v>
      </c>
      <c r="F37" s="2321">
        <f>E37</f>
        <v>50295.540953900003</v>
      </c>
      <c r="G37" s="912">
        <f t="shared" si="0"/>
        <v>0</v>
      </c>
      <c r="H37" s="912">
        <f t="shared" si="1"/>
        <v>0</v>
      </c>
    </row>
    <row r="38" spans="1:11">
      <c r="A38" s="299"/>
      <c r="B38" s="301" t="s">
        <v>2413</v>
      </c>
      <c r="C38" s="2321"/>
      <c r="D38" s="1336"/>
      <c r="E38" s="2321"/>
      <c r="F38" s="2321"/>
      <c r="G38" s="912">
        <f t="shared" si="0"/>
        <v>0</v>
      </c>
      <c r="H38" s="912">
        <f t="shared" si="1"/>
        <v>0</v>
      </c>
    </row>
    <row r="39" spans="1:11">
      <c r="A39" s="299"/>
      <c r="B39" s="301" t="s">
        <v>2414</v>
      </c>
      <c r="C39" s="2321">
        <f>([28]BS!$F$63+[28]BS!$F$64)*100</f>
        <v>60277.747286999998</v>
      </c>
      <c r="D39" s="1336" t="e">
        <f>#REF!/10^5</f>
        <v>#REF!</v>
      </c>
      <c r="E39" s="2321">
        <f>C39+'F-22'!C9+'F-22'!C10-'F-23 New '!D29-'F-23 New '!D30</f>
        <v>60277.747287000006</v>
      </c>
      <c r="F39" s="2321">
        <f>E39+'F-22'!D9+'F-22'!D10-'F-23 New '!E29-'F-23 New '!E30</f>
        <v>60277.747287000006</v>
      </c>
      <c r="G39" s="912">
        <f t="shared" si="0"/>
        <v>0</v>
      </c>
      <c r="H39" s="912">
        <f t="shared" si="1"/>
        <v>0</v>
      </c>
    </row>
    <row r="40" spans="1:11">
      <c r="A40" s="299"/>
      <c r="B40" s="301" t="s">
        <v>2415</v>
      </c>
      <c r="C40" s="2321">
        <f>('[28]19-24'!$I$218+'[28]19-24'!$I$221+'[28]19-24'!$I$223+'[28]19-24'!$I$224+[28]BS!$F$55)*100</f>
        <v>32176.939529800005</v>
      </c>
      <c r="D40" s="1336" t="e">
        <f>SUM(#REF!)-D39</f>
        <v>#REF!</v>
      </c>
      <c r="E40" s="2321">
        <f>C40+('F-12 New'!L40+'F-12 New'!L65+'F-13 New'!E23+'F-13 New'!E33+'F-14'!E66)-SUM('F-23 New '!D33:D35)+'F-21'!E35-'F-21'!C35+'F-22'!C14-'F-23 New '!D42-'F-23 New '!D44-'F-23 New '!D47-'F-23 New '!D46-'F-23 New '!D45-'F-23 New '!D43</f>
        <v>33654.504965150001</v>
      </c>
      <c r="F40" s="2321">
        <f>E40+('F-12 New'!Q40+'F-12 New'!Q65+'F-13 New'!F23+'F-13 New'!F33+'F-14'!F66)-SUM('F-23 New '!E33:E35)+'F-21'!F35-'F-21'!E35+'F-22'!D14-'F-23 New '!E42-'F-23 New '!E44-'F-23 New '!E47-'F-23 New '!E43-'F-23 New '!E45</f>
        <v>35353.705215802511</v>
      </c>
      <c r="G40" s="912">
        <f t="shared" si="0"/>
        <v>1477.5654353499958</v>
      </c>
      <c r="H40" s="912">
        <f t="shared" si="1"/>
        <v>1699.2002506525096</v>
      </c>
    </row>
    <row r="41" spans="1:11">
      <c r="A41" s="299"/>
      <c r="B41" s="301" t="s">
        <v>2416</v>
      </c>
      <c r="C41" s="2321">
        <f>[28]BS!$F$67*100</f>
        <v>11903.570539899996</v>
      </c>
      <c r="D41" s="1336"/>
      <c r="E41" s="2321">
        <f>C41</f>
        <v>11903.570539899996</v>
      </c>
      <c r="F41" s="2321">
        <f>E41</f>
        <v>11903.570539899996</v>
      </c>
      <c r="G41" s="912">
        <f t="shared" si="0"/>
        <v>0</v>
      </c>
      <c r="H41" s="912">
        <f t="shared" si="1"/>
        <v>0</v>
      </c>
      <c r="K41" s="81"/>
    </row>
    <row r="42" spans="1:11">
      <c r="A42" s="299"/>
      <c r="B42" s="301" t="s">
        <v>2417</v>
      </c>
      <c r="C42" s="2321">
        <f>([28]BS!$F$66+[28]BS!$F$53)*100</f>
        <v>17393.607692400004</v>
      </c>
      <c r="D42" s="1336">
        <v>0</v>
      </c>
      <c r="E42" s="2321">
        <f>C42</f>
        <v>17393.607692400004</v>
      </c>
      <c r="F42" s="2321">
        <f>E42</f>
        <v>17393.607692400004</v>
      </c>
      <c r="G42" s="912">
        <f t="shared" si="0"/>
        <v>0</v>
      </c>
      <c r="H42" s="912">
        <f t="shared" si="1"/>
        <v>0</v>
      </c>
    </row>
    <row r="43" spans="1:11" ht="15">
      <c r="A43" s="299"/>
      <c r="B43" s="2329" t="s">
        <v>2418</v>
      </c>
      <c r="C43" s="2322">
        <f>SUM(C34:C37)-SUM(C39:C42)</f>
        <v>109150.67682089997</v>
      </c>
      <c r="D43" s="2323" t="e">
        <f>SUM(D34:D37)-SUM(D39:D42)</f>
        <v>#REF!</v>
      </c>
      <c r="E43" s="2322">
        <f>SUM(E34:E37)-SUM(E39:E42)</f>
        <v>137443.48472127315</v>
      </c>
      <c r="F43" s="2322">
        <f>SUM(F34:F37)-SUM(F39:F42)</f>
        <v>131179.94352622805</v>
      </c>
      <c r="G43" s="912">
        <f t="shared" si="0"/>
        <v>28292.807900373184</v>
      </c>
      <c r="H43" s="912">
        <f t="shared" si="1"/>
        <v>-6263.5411950451089</v>
      </c>
    </row>
    <row r="44" spans="1:11" ht="28.5">
      <c r="A44" s="299"/>
      <c r="B44" s="301" t="s">
        <v>2419</v>
      </c>
      <c r="C44" s="2321"/>
      <c r="D44" s="1336"/>
      <c r="E44" s="2321"/>
      <c r="F44" s="2321"/>
      <c r="G44" s="912">
        <f t="shared" si="0"/>
        <v>0</v>
      </c>
      <c r="H44" s="912">
        <f t="shared" si="1"/>
        <v>0</v>
      </c>
    </row>
    <row r="45" spans="1:11">
      <c r="A45" s="299"/>
      <c r="B45" s="301"/>
      <c r="C45" s="2321"/>
      <c r="D45" s="1336"/>
      <c r="E45" s="2321"/>
      <c r="F45" s="2321"/>
      <c r="G45" s="912">
        <f t="shared" si="0"/>
        <v>0</v>
      </c>
      <c r="H45" s="912">
        <f t="shared" si="1"/>
        <v>0</v>
      </c>
    </row>
    <row r="46" spans="1:11" ht="15">
      <c r="A46" s="299"/>
      <c r="B46" s="2330" t="s">
        <v>2420</v>
      </c>
      <c r="C46" s="2331"/>
      <c r="D46" s="2330"/>
      <c r="E46" s="2321"/>
      <c r="F46" s="2321"/>
      <c r="G46" s="912"/>
      <c r="H46" s="912"/>
    </row>
    <row r="47" spans="1:11">
      <c r="A47" s="299"/>
      <c r="B47" s="301"/>
      <c r="C47" s="2321"/>
      <c r="D47" s="1336"/>
      <c r="E47" s="2321"/>
      <c r="F47" s="2321"/>
      <c r="G47" s="912"/>
      <c r="H47" s="912"/>
    </row>
    <row r="48" spans="1:11">
      <c r="A48" s="299"/>
      <c r="B48" s="301" t="s">
        <v>2421</v>
      </c>
      <c r="C48" s="2321">
        <v>0</v>
      </c>
      <c r="D48" s="1336">
        <v>0</v>
      </c>
      <c r="E48" s="2321">
        <f>-'F-22'!C29*0</f>
        <v>0</v>
      </c>
      <c r="F48" s="2321">
        <f>-'F-22'!D29*0</f>
        <v>0</v>
      </c>
      <c r="G48" s="912">
        <f t="shared" si="0"/>
        <v>0</v>
      </c>
      <c r="H48" s="912">
        <f t="shared" si="1"/>
        <v>0</v>
      </c>
    </row>
    <row r="49" spans="1:8" ht="15">
      <c r="A49" s="299"/>
      <c r="B49" s="2329" t="s">
        <v>2422</v>
      </c>
      <c r="C49" s="2322">
        <f>C23+C26+C27+C43+C48+C31-C46</f>
        <v>360805.74673839996</v>
      </c>
      <c r="D49" s="2323" t="e">
        <f>D23+D26+D27+D43+D48</f>
        <v>#REF!</v>
      </c>
      <c r="E49" s="2322">
        <f t="shared" ref="E49:F49" si="2">E23+E26+E27+E43+E48+E31-E46</f>
        <v>514296.30989985151</v>
      </c>
      <c r="F49" s="2322">
        <f t="shared" si="2"/>
        <v>585355.05919713981</v>
      </c>
      <c r="G49" s="912">
        <f t="shared" si="0"/>
        <v>153490.56316145154</v>
      </c>
      <c r="H49" s="912">
        <f t="shared" si="1"/>
        <v>71058.749297288305</v>
      </c>
    </row>
    <row r="50" spans="1:8" ht="12.75" customHeight="1">
      <c r="C50" s="81"/>
      <c r="D50" s="81"/>
      <c r="E50" s="81"/>
      <c r="F50" s="81"/>
      <c r="G50" s="1139"/>
    </row>
    <row r="51" spans="1:8">
      <c r="C51" s="1332">
        <f>C18-C49</f>
        <v>3.2439494971185923E-3</v>
      </c>
      <c r="D51" s="81" t="e">
        <f>D18-D49</f>
        <v>#REF!</v>
      </c>
      <c r="E51" s="1715">
        <f>E18-E49</f>
        <v>-4.8134425305761397E-3</v>
      </c>
      <c r="F51" s="1715">
        <f>F18-F49</f>
        <v>3.187670256011188E-3</v>
      </c>
    </row>
    <row r="52" spans="1:8">
      <c r="A52" s="78" t="s">
        <v>432</v>
      </c>
      <c r="C52" s="81"/>
      <c r="D52" s="81"/>
      <c r="E52" s="81"/>
      <c r="F52" s="81"/>
    </row>
    <row r="53" spans="1:8">
      <c r="E53" s="81"/>
      <c r="F53" s="81"/>
    </row>
    <row r="54" spans="1:8">
      <c r="C54" s="81"/>
      <c r="D54" s="81"/>
      <c r="E54" s="81"/>
    </row>
    <row r="55" spans="1:8">
      <c r="E55" s="81"/>
    </row>
    <row r="57" spans="1:8">
      <c r="E57" s="81"/>
      <c r="F57" s="81"/>
    </row>
    <row r="58" spans="1:8">
      <c r="F58" s="81"/>
    </row>
    <row r="59" spans="1:8">
      <c r="E59" s="81"/>
    </row>
  </sheetData>
  <mergeCells count="3">
    <mergeCell ref="B33:F33"/>
    <mergeCell ref="A1:F1"/>
    <mergeCell ref="B19:F19"/>
  </mergeCells>
  <phoneticPr fontId="0" type="noConversion"/>
  <printOptions horizontalCentered="1" verticalCentered="1" gridLines="1"/>
  <pageMargins left="0.63" right="0.47" top="0.68" bottom="0.56999999999999995" header="0.5" footer="0.5"/>
  <pageSetup scale="82" orientation="portrait" blackAndWhite="1"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1">
    <tabColor rgb="FF008000"/>
  </sheetPr>
  <dimension ref="A1:K44"/>
  <sheetViews>
    <sheetView view="pageBreakPreview" zoomScale="85" zoomScaleSheetLayoutView="85" workbookViewId="0">
      <pane ySplit="2" topLeftCell="A3" activePane="bottomLeft" state="frozen"/>
      <selection pane="bottomLeft" activeCell="F13" sqref="F13"/>
    </sheetView>
  </sheetViews>
  <sheetFormatPr defaultColWidth="9.140625" defaultRowHeight="14.25"/>
  <cols>
    <col min="1" max="1" width="44" style="78" customWidth="1"/>
    <col min="2" max="2" width="22" style="78" customWidth="1"/>
    <col min="3" max="3" width="25.42578125" style="78" customWidth="1"/>
    <col min="4" max="4" width="21.140625" style="78" customWidth="1"/>
    <col min="5" max="5" width="16.5703125" style="78" bestFit="1" customWidth="1"/>
    <col min="6" max="6" width="60" style="78" bestFit="1" customWidth="1"/>
    <col min="7" max="7" width="14.28515625" style="78" bestFit="1" customWidth="1"/>
    <col min="8" max="8" width="12.28515625" style="78" bestFit="1" customWidth="1"/>
    <col min="9" max="10" width="9.140625" style="78"/>
    <col min="11" max="11" width="9.85546875" style="78" bestFit="1" customWidth="1"/>
    <col min="12" max="16384" width="9.140625" style="78"/>
  </cols>
  <sheetData>
    <row r="1" spans="1:11" ht="39" customHeight="1">
      <c r="A1" s="2614" t="s">
        <v>2423</v>
      </c>
      <c r="B1" s="2614"/>
      <c r="C1" s="2614"/>
      <c r="D1" s="2614"/>
    </row>
    <row r="2" spans="1:11" ht="27.75" customHeight="1">
      <c r="A2" s="299"/>
      <c r="B2" s="302" t="s">
        <v>2424</v>
      </c>
      <c r="C2" s="302" t="s">
        <v>2425</v>
      </c>
      <c r="D2" s="302" t="s">
        <v>2426</v>
      </c>
    </row>
    <row r="3" spans="1:11" ht="50.1" customHeight="1">
      <c r="A3" s="2329" t="s">
        <v>2427</v>
      </c>
      <c r="B3" s="299" t="s">
        <v>2428</v>
      </c>
      <c r="C3" s="299" t="s">
        <v>2428</v>
      </c>
      <c r="D3" s="299" t="s">
        <v>2429</v>
      </c>
    </row>
    <row r="4" spans="1:11" ht="21.6" customHeight="1">
      <c r="A4" s="301" t="s">
        <v>2430</v>
      </c>
      <c r="B4" s="2321">
        <f>3164.531327976*10^2</f>
        <v>316453.1327976</v>
      </c>
      <c r="C4" s="2321">
        <f>('T-7_Current_Year'!Z65*100)</f>
        <v>371445.1972995447</v>
      </c>
      <c r="D4" s="2321">
        <f>'T-8'!AR65*100</f>
        <v>404891.56460190355</v>
      </c>
      <c r="F4" s="1333" t="s">
        <v>2431</v>
      </c>
      <c r="G4" s="912">
        <v>213.85749262100001</v>
      </c>
    </row>
    <row r="5" spans="1:11" ht="21" customHeight="1">
      <c r="A5" s="301" t="s">
        <v>2432</v>
      </c>
      <c r="B5" s="2321">
        <f>G12*100</f>
        <v>22474.0172164</v>
      </c>
      <c r="C5" s="2321">
        <f>'F-23 New '!D26</f>
        <v>20815.922756</v>
      </c>
      <c r="D5" s="2321">
        <f>'F-23 New '!E26</f>
        <v>20734.159094999999</v>
      </c>
      <c r="F5" s="79" t="s">
        <v>2433</v>
      </c>
      <c r="G5" s="912">
        <v>21.900187299999999</v>
      </c>
    </row>
    <row r="6" spans="1:11" ht="39" customHeight="1">
      <c r="A6" s="301" t="s">
        <v>2434</v>
      </c>
      <c r="B6" s="2321">
        <v>0</v>
      </c>
      <c r="C6" s="2336"/>
      <c r="D6" s="2321"/>
      <c r="F6" s="79" t="s">
        <v>2435</v>
      </c>
      <c r="G6" s="912">
        <v>-63.947094745000001</v>
      </c>
    </row>
    <row r="7" spans="1:11" ht="21.6" customHeight="1">
      <c r="A7" s="302" t="s">
        <v>239</v>
      </c>
      <c r="B7" s="2322">
        <f>SUM(B4:B6)</f>
        <v>338927.15001400001</v>
      </c>
      <c r="C7" s="2322">
        <f>SUM(C4:C5)</f>
        <v>392261.12005554471</v>
      </c>
      <c r="D7" s="2322">
        <f>SUM(D4:D5)</f>
        <v>425625.72369690356</v>
      </c>
      <c r="F7" s="79" t="s">
        <v>2436</v>
      </c>
      <c r="G7" s="912">
        <v>-10.522163618</v>
      </c>
    </row>
    <row r="8" spans="1:11" ht="21.6" customHeight="1">
      <c r="A8" s="2329" t="s">
        <v>2437</v>
      </c>
      <c r="B8" s="2321"/>
      <c r="C8" s="2321"/>
      <c r="D8" s="2321"/>
      <c r="F8" s="79" t="s">
        <v>2438</v>
      </c>
      <c r="G8" s="1334">
        <v>-10.808575122000001</v>
      </c>
    </row>
    <row r="9" spans="1:11" ht="21.6" customHeight="1">
      <c r="A9" s="301" t="s">
        <v>2439</v>
      </c>
      <c r="B9" s="2321">
        <f>2262.11677498*10^2</f>
        <v>226211.677498</v>
      </c>
      <c r="C9" s="2321">
        <f>'F-23 New '!D29</f>
        <v>277187.52559999999</v>
      </c>
      <c r="D9" s="2321">
        <f>'F-23 New '!E29</f>
        <v>293099.15950000001</v>
      </c>
      <c r="F9" s="79" t="s">
        <v>2440</v>
      </c>
      <c r="G9" s="1334">
        <v>48.459883462999997</v>
      </c>
    </row>
    <row r="10" spans="1:11" ht="21.6" customHeight="1">
      <c r="A10" s="301" t="s">
        <v>2441</v>
      </c>
      <c r="B10" s="2321">
        <v>0</v>
      </c>
      <c r="C10" s="2321">
        <f>'F-23 New '!D30</f>
        <v>0</v>
      </c>
      <c r="D10" s="2321"/>
      <c r="F10" s="79" t="s">
        <v>1345</v>
      </c>
      <c r="G10" s="1334">
        <v>17.205892993999999</v>
      </c>
    </row>
    <row r="11" spans="1:11" ht="32.25" customHeight="1">
      <c r="A11" s="301" t="s">
        <v>2442</v>
      </c>
      <c r="B11" s="2321">
        <f>866.192156428*10^2-1080.8575122</f>
        <v>85538.358130599998</v>
      </c>
      <c r="C11" s="2321">
        <f>'F-12 New'!L42+'F-12 New'!L67+'F-13 New'!E23+'F-13 New'!E33+'F-14'!E66+'F-6 New'!I15</f>
        <v>90573.305034519028</v>
      </c>
      <c r="D11" s="2321">
        <f>'F-12 New'!Q42+'F-12 New'!Q67+'F-13 New'!F23+'F-13 New'!F33+'F-14'!F66+'F-6 New'!M15</f>
        <v>102904.74885863203</v>
      </c>
      <c r="F11" s="1333" t="s">
        <v>2443</v>
      </c>
      <c r="G11" s="1334">
        <v>8.5945492709999982</v>
      </c>
      <c r="I11" s="1026"/>
    </row>
    <row r="12" spans="1:11" ht="21.6" customHeight="1">
      <c r="A12" s="301" t="s">
        <v>1532</v>
      </c>
      <c r="B12" s="2321">
        <f>105.086115693*10^2+SUM(G6:G7)*100</f>
        <v>3061.6857330000003</v>
      </c>
      <c r="C12" s="2321">
        <f>'Depreciation New'!W131+'Depreciation New'!X131+'Depreciation New'!AM131</f>
        <v>6908.0937126540948</v>
      </c>
      <c r="D12" s="2321">
        <f>'Depreciation New'!Y131+'Depreciation New'!Z131+'Depreciation New'!AO131</f>
        <v>9729.3520148696862</v>
      </c>
      <c r="E12" s="81"/>
      <c r="F12" s="81"/>
      <c r="G12" s="1335">
        <f>SUM(G4:G11)</f>
        <v>224.740172164</v>
      </c>
      <c r="I12" s="1028"/>
      <c r="K12" s="1026"/>
    </row>
    <row r="13" spans="1:11" ht="21.6" customHeight="1">
      <c r="A13" s="301" t="s">
        <v>2444</v>
      </c>
      <c r="B13" s="2321">
        <f>B7-B9-B11-B12</f>
        <v>24115.428652400013</v>
      </c>
      <c r="C13" s="2321">
        <f>C7-C9-C10-C11-C12</f>
        <v>17592.195708371597</v>
      </c>
      <c r="D13" s="2321">
        <f>D7-D9-D11-D12</f>
        <v>19892.46332340184</v>
      </c>
      <c r="F13" s="1026"/>
      <c r="G13" s="912"/>
      <c r="K13" s="1028"/>
    </row>
    <row r="14" spans="1:11" ht="27" customHeight="1">
      <c r="A14" s="301" t="s">
        <v>2445</v>
      </c>
      <c r="B14" s="2321">
        <f>68.251131777*10^2</f>
        <v>6825.1131777000001</v>
      </c>
      <c r="C14" s="2321">
        <f>'F-23 New '!D47+'F-23 New '!D45+'F-23 New '!D44+'F-23 New '!D42</f>
        <v>14698.33850794414</v>
      </c>
      <c r="D14" s="2321">
        <f>'F-23 New '!E47+'F-23 New '!E44+'F-23 New '!E42+'F-23 New '!E45</f>
        <v>17727.442557206286</v>
      </c>
      <c r="E14" s="81"/>
      <c r="F14" s="81"/>
      <c r="G14" s="81"/>
      <c r="H14" s="81"/>
      <c r="I14" s="1027"/>
      <c r="K14" s="1029"/>
    </row>
    <row r="15" spans="1:11" ht="21.6" customHeight="1">
      <c r="A15" s="301" t="s">
        <v>2446</v>
      </c>
      <c r="B15" s="2321">
        <v>0</v>
      </c>
      <c r="C15" s="2321">
        <f>'F-2'!J16</f>
        <v>20.034417999999999</v>
      </c>
      <c r="D15" s="2321">
        <f>'F-2'!O16</f>
        <v>29.750000000000004</v>
      </c>
      <c r="G15" s="81"/>
      <c r="K15" s="1029"/>
    </row>
    <row r="16" spans="1:11" ht="21.6" customHeight="1">
      <c r="A16" s="301" t="s">
        <v>2447</v>
      </c>
      <c r="B16" s="2321">
        <f>B14-B15</f>
        <v>6825.1131777000001</v>
      </c>
      <c r="C16" s="2321">
        <f>C14-C15</f>
        <v>14678.30408994414</v>
      </c>
      <c r="D16" s="2321">
        <f>D14-D15</f>
        <v>17697.692557206286</v>
      </c>
      <c r="F16" s="81"/>
      <c r="G16" s="81"/>
      <c r="H16" s="81"/>
    </row>
    <row r="17" spans="1:8" ht="28.5">
      <c r="A17" s="301" t="s">
        <v>2448</v>
      </c>
      <c r="B17" s="2321">
        <f>22.2446098*100</f>
        <v>2224.4609799999998</v>
      </c>
      <c r="C17" s="2321">
        <f>-'F-6 New'!I34</f>
        <v>8109.3457352254773</v>
      </c>
      <c r="D17" s="2321">
        <f>-'F-6 New'!M34</f>
        <v>12431.527131117531</v>
      </c>
      <c r="F17" s="81"/>
      <c r="G17" s="81"/>
      <c r="H17" s="81"/>
    </row>
    <row r="18" spans="1:8" ht="21.6" customHeight="1">
      <c r="A18" s="301" t="s">
        <v>2449</v>
      </c>
      <c r="B18" s="2321">
        <f>B13-B16-B17</f>
        <v>15065.854494700012</v>
      </c>
      <c r="C18" s="2321">
        <f>C13+C17-C16</f>
        <v>11023.237353652934</v>
      </c>
      <c r="D18" s="2321">
        <f>D13+D17-D16</f>
        <v>14626.297897313085</v>
      </c>
      <c r="F18" s="82"/>
    </row>
    <row r="19" spans="1:8" ht="21.6" customHeight="1">
      <c r="A19" s="301" t="s">
        <v>2450</v>
      </c>
      <c r="B19" s="2321">
        <f>34.9855621*10^2</f>
        <v>3498.5562100000002</v>
      </c>
      <c r="C19" s="2321">
        <f>'F-6 New'!I20</f>
        <v>2727.675301795397</v>
      </c>
      <c r="D19" s="2321">
        <f>'F-6 New'!M20</f>
        <v>3448.8942698541359</v>
      </c>
    </row>
    <row r="20" spans="1:8" ht="21.6" customHeight="1">
      <c r="A20" s="301" t="s">
        <v>2451</v>
      </c>
      <c r="B20" s="2321">
        <f>B18-B19</f>
        <v>11567.298284700011</v>
      </c>
      <c r="C20" s="2321">
        <f>C18-C19</f>
        <v>8295.5620518575379</v>
      </c>
      <c r="D20" s="2321">
        <f>D18-D19</f>
        <v>11177.403627458949</v>
      </c>
      <c r="E20" s="912"/>
    </row>
    <row r="21" spans="1:8" ht="21.6" customHeight="1">
      <c r="A21" s="301" t="s">
        <v>2452</v>
      </c>
      <c r="B21" s="2321">
        <v>0</v>
      </c>
      <c r="C21" s="2321">
        <v>0</v>
      </c>
      <c r="D21" s="2321">
        <v>0</v>
      </c>
    </row>
    <row r="22" spans="1:8" ht="30.75" customHeight="1">
      <c r="A22" s="301" t="s">
        <v>2453</v>
      </c>
      <c r="B22" s="2321"/>
      <c r="C22" s="2321">
        <f>B29+'F-21'!C48</f>
        <v>11567.298284700011</v>
      </c>
      <c r="D22" s="2321">
        <f>C29</f>
        <v>19862.860336557547</v>
      </c>
      <c r="F22" s="83"/>
    </row>
    <row r="23" spans="1:8" ht="25.5" customHeight="1">
      <c r="A23" s="301" t="s">
        <v>2454</v>
      </c>
      <c r="B23" s="2321"/>
      <c r="C23" s="2321"/>
      <c r="D23" s="2321"/>
      <c r="F23" s="878"/>
    </row>
    <row r="24" spans="1:8" ht="30" customHeight="1">
      <c r="A24" s="301" t="s">
        <v>2455</v>
      </c>
      <c r="B24" s="2321"/>
      <c r="C24" s="2321"/>
      <c r="D24" s="2321"/>
    </row>
    <row r="25" spans="1:8" ht="21.6" customHeight="1">
      <c r="A25" s="301" t="s">
        <v>2456</v>
      </c>
      <c r="B25" s="2321"/>
      <c r="C25" s="2321"/>
      <c r="D25" s="2321"/>
    </row>
    <row r="26" spans="1:8" ht="21.6" customHeight="1">
      <c r="A26" s="301" t="s">
        <v>2457</v>
      </c>
      <c r="B26" s="2321"/>
      <c r="C26" s="2321"/>
      <c r="D26" s="2321"/>
    </row>
    <row r="27" spans="1:8" ht="21.6" customHeight="1">
      <c r="A27" s="301" t="s">
        <v>2458</v>
      </c>
      <c r="B27" s="2321"/>
      <c r="C27" s="2321"/>
      <c r="D27" s="2321"/>
    </row>
    <row r="28" spans="1:8" ht="21.6" customHeight="1">
      <c r="A28" s="301" t="s">
        <v>2459</v>
      </c>
      <c r="B28" s="2321"/>
      <c r="C28" s="2321"/>
      <c r="D28" s="2321"/>
    </row>
    <row r="29" spans="1:8" ht="15">
      <c r="A29" s="2329" t="s">
        <v>2460</v>
      </c>
      <c r="B29" s="2322">
        <f>B20-B21+B22-B23+B27</f>
        <v>11567.298284700011</v>
      </c>
      <c r="C29" s="2322">
        <f>C20-C21+C22-C23</f>
        <v>19862.860336557547</v>
      </c>
      <c r="D29" s="2322">
        <f>D20+D22-SUM(D23:D28)</f>
        <v>31040.263964016496</v>
      </c>
      <c r="F29" s="82"/>
    </row>
    <row r="31" spans="1:8">
      <c r="B31" s="82"/>
      <c r="C31" s="88"/>
      <c r="D31" s="82"/>
    </row>
    <row r="32" spans="1:8">
      <c r="B32" s="82"/>
      <c r="C32" s="83"/>
      <c r="D32" s="83"/>
    </row>
    <row r="33" spans="2:4">
      <c r="B33" s="82"/>
      <c r="C33" s="82"/>
      <c r="D33" s="82"/>
    </row>
    <row r="34" spans="2:4">
      <c r="D34" s="83"/>
    </row>
    <row r="35" spans="2:4">
      <c r="B35" s="81"/>
      <c r="C35" s="81"/>
      <c r="D35" s="81"/>
    </row>
    <row r="36" spans="2:4">
      <c r="C36" s="81"/>
    </row>
    <row r="37" spans="2:4">
      <c r="C37" s="82"/>
      <c r="D37" s="82"/>
    </row>
    <row r="38" spans="2:4">
      <c r="D38" s="1021"/>
    </row>
    <row r="40" spans="2:4">
      <c r="C40" s="82"/>
      <c r="D40" s="82"/>
    </row>
    <row r="42" spans="2:4" ht="15">
      <c r="C42" s="1030"/>
      <c r="D42" s="1030"/>
    </row>
    <row r="44" spans="2:4">
      <c r="C44" s="88"/>
      <c r="D44" s="88"/>
    </row>
  </sheetData>
  <mergeCells count="1">
    <mergeCell ref="A1:D1"/>
  </mergeCells>
  <phoneticPr fontId="0" type="noConversion"/>
  <printOptions horizontalCentered="1" verticalCentered="1" gridLines="1"/>
  <pageMargins left="0.75" right="0.75" top="0.69" bottom="0.73" header="0.5" footer="0.5"/>
  <pageSetup scale="80"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pageSetUpPr fitToPage="1"/>
  </sheetPr>
  <dimension ref="A1:L75"/>
  <sheetViews>
    <sheetView view="pageBreakPreview" zoomScale="80" zoomScaleNormal="75" zoomScaleSheetLayoutView="80" workbookViewId="0">
      <pane xSplit="2" ySplit="8" topLeftCell="C33" activePane="bottomRight" state="frozen"/>
      <selection pane="bottomRight" activeCell="C1" sqref="C1"/>
      <selection pane="bottomLeft" activeCell="A9" sqref="A9"/>
      <selection pane="topRight" activeCell="C1" sqref="C1"/>
    </sheetView>
  </sheetViews>
  <sheetFormatPr defaultColWidth="14.7109375" defaultRowHeight="15"/>
  <cols>
    <col min="1" max="1" width="6" style="336" customWidth="1"/>
    <col min="2" max="2" width="37.140625" style="316" customWidth="1"/>
    <col min="3" max="3" width="13.5703125" style="308" customWidth="1"/>
    <col min="4" max="4" width="13.7109375" style="308" customWidth="1"/>
    <col min="5" max="8" width="12.5703125" style="308" customWidth="1"/>
    <col min="9" max="9" width="13.140625" style="308" customWidth="1"/>
    <col min="10" max="12" width="12.5703125" style="308" customWidth="1"/>
    <col min="13" max="16384" width="14.7109375" style="308"/>
  </cols>
  <sheetData>
    <row r="1" spans="1:12" ht="18">
      <c r="B1" s="337" t="s">
        <v>209</v>
      </c>
      <c r="C1" s="338"/>
      <c r="D1" s="338"/>
      <c r="E1" s="338"/>
      <c r="F1" s="338"/>
      <c r="G1" s="338"/>
      <c r="H1" s="1687"/>
      <c r="I1" s="1688"/>
      <c r="J1" s="338"/>
      <c r="K1" s="311" t="s">
        <v>210</v>
      </c>
      <c r="L1" s="330" t="s">
        <v>288</v>
      </c>
    </row>
    <row r="2" spans="1:12" ht="18">
      <c r="B2" s="308"/>
      <c r="C2" s="338"/>
      <c r="D2" s="338"/>
      <c r="E2" s="338"/>
      <c r="F2" s="338"/>
      <c r="G2" s="339"/>
      <c r="H2" s="339"/>
      <c r="I2" s="339"/>
      <c r="J2" s="338"/>
      <c r="K2" s="338"/>
      <c r="L2" s="338"/>
    </row>
    <row r="3" spans="1:12" ht="18">
      <c r="A3" s="2482" t="s">
        <v>329</v>
      </c>
      <c r="B3" s="2482"/>
      <c r="C3" s="2482"/>
      <c r="D3" s="2482"/>
      <c r="E3" s="2482"/>
      <c r="F3" s="2482"/>
      <c r="G3" s="2482"/>
      <c r="H3" s="2482"/>
      <c r="I3" s="2482"/>
      <c r="J3" s="2482"/>
      <c r="K3" s="2482"/>
      <c r="L3" s="2482"/>
    </row>
    <row r="4" spans="1:12" ht="18">
      <c r="B4" s="340" t="s">
        <v>290</v>
      </c>
      <c r="C4" s="338"/>
      <c r="D4" s="338"/>
      <c r="E4" s="338"/>
      <c r="F4" s="338"/>
      <c r="G4" s="338"/>
      <c r="H4" s="338"/>
      <c r="I4" s="338"/>
      <c r="J4" s="338"/>
      <c r="K4" s="338"/>
      <c r="L4" s="338"/>
    </row>
    <row r="5" spans="1:12" ht="18">
      <c r="A5" s="341" t="s">
        <v>291</v>
      </c>
      <c r="B5" s="342" t="s">
        <v>292</v>
      </c>
      <c r="C5" s="343" t="s">
        <v>293</v>
      </c>
      <c r="D5" s="338"/>
      <c r="E5" s="338"/>
      <c r="G5" s="338"/>
      <c r="H5" s="338"/>
      <c r="I5" s="338"/>
      <c r="J5" s="338"/>
      <c r="K5" s="338"/>
      <c r="L5" s="338"/>
    </row>
    <row r="6" spans="1:12" ht="18">
      <c r="B6" s="338"/>
      <c r="C6" s="340"/>
      <c r="D6" s="338"/>
      <c r="E6" s="338"/>
      <c r="F6" s="343" t="s">
        <v>294</v>
      </c>
      <c r="G6" s="338"/>
      <c r="H6" s="338"/>
      <c r="I6" s="343" t="s">
        <v>295</v>
      </c>
      <c r="J6" s="338"/>
      <c r="K6" s="338"/>
      <c r="L6" s="338"/>
    </row>
    <row r="7" spans="1:12" ht="18" customHeight="1">
      <c r="A7" s="2477"/>
      <c r="B7" s="2478" t="s">
        <v>296</v>
      </c>
      <c r="C7" s="2478" t="s">
        <v>297</v>
      </c>
      <c r="D7" s="2478" t="s">
        <v>298</v>
      </c>
      <c r="E7" s="344"/>
      <c r="F7" s="345" t="s">
        <v>299</v>
      </c>
      <c r="G7" s="345"/>
      <c r="H7" s="345"/>
      <c r="I7" s="345"/>
      <c r="J7" s="344"/>
      <c r="K7" s="2474" t="s">
        <v>300</v>
      </c>
      <c r="L7" s="2475"/>
    </row>
    <row r="8" spans="1:12" s="346" customFormat="1" ht="85.5" customHeight="1">
      <c r="A8" s="2477"/>
      <c r="B8" s="2478"/>
      <c r="C8" s="2478"/>
      <c r="D8" s="2478"/>
      <c r="E8" s="625" t="s">
        <v>301</v>
      </c>
      <c r="F8" s="625" t="s">
        <v>302</v>
      </c>
      <c r="G8" s="625" t="s">
        <v>303</v>
      </c>
      <c r="H8" s="625" t="s">
        <v>304</v>
      </c>
      <c r="I8" s="625" t="s">
        <v>305</v>
      </c>
      <c r="J8" s="625" t="s">
        <v>306</v>
      </c>
      <c r="K8" s="625" t="s">
        <v>307</v>
      </c>
      <c r="L8" s="625" t="s">
        <v>308</v>
      </c>
    </row>
    <row r="9" spans="1:12" ht="18">
      <c r="A9" s="624"/>
      <c r="B9" s="625" t="s">
        <v>309</v>
      </c>
      <c r="C9" s="344"/>
      <c r="D9" s="344"/>
      <c r="E9" s="344"/>
      <c r="F9" s="344"/>
      <c r="G9" s="344"/>
      <c r="H9" s="344"/>
      <c r="I9" s="344"/>
      <c r="J9" s="344"/>
      <c r="K9" s="347"/>
      <c r="L9" s="347"/>
    </row>
    <row r="10" spans="1:12" ht="24.75" customHeight="1">
      <c r="A10" s="624">
        <v>1</v>
      </c>
      <c r="B10" s="348" t="s">
        <v>310</v>
      </c>
      <c r="C10" s="344">
        <v>97432</v>
      </c>
      <c r="D10" s="349">
        <v>84495</v>
      </c>
      <c r="E10" s="344"/>
      <c r="F10" s="350">
        <v>25.678000000000001</v>
      </c>
      <c r="G10" s="350">
        <v>40.390999999999998</v>
      </c>
      <c r="H10" s="350">
        <v>8.4979999999999993</v>
      </c>
      <c r="I10" s="350">
        <v>5.6420000000000003</v>
      </c>
      <c r="J10" s="351">
        <f>SUM(F10:I10)</f>
        <v>80.209000000000003</v>
      </c>
      <c r="K10" s="352">
        <v>3668.71</v>
      </c>
      <c r="L10" s="352">
        <v>2862.63</v>
      </c>
    </row>
    <row r="11" spans="1:12" ht="24.75" customHeight="1">
      <c r="A11" s="624">
        <v>2</v>
      </c>
      <c r="B11" s="348" t="s">
        <v>311</v>
      </c>
      <c r="C11" s="344">
        <v>55790</v>
      </c>
      <c r="D11" s="349">
        <v>107209</v>
      </c>
      <c r="E11" s="344"/>
      <c r="F11" s="350">
        <v>15.943</v>
      </c>
      <c r="G11" s="350">
        <v>32.045999999999999</v>
      </c>
      <c r="H11" s="350">
        <v>16.762</v>
      </c>
      <c r="I11" s="350">
        <v>2.8210000000000002</v>
      </c>
      <c r="J11" s="351">
        <f>SUM(F11:I11)</f>
        <v>67.572000000000003</v>
      </c>
      <c r="K11" s="352">
        <v>3297.49</v>
      </c>
      <c r="L11" s="352">
        <v>2688.3</v>
      </c>
    </row>
    <row r="12" spans="1:12" ht="24.75" customHeight="1">
      <c r="A12" s="624">
        <v>3</v>
      </c>
      <c r="B12" s="348" t="s">
        <v>312</v>
      </c>
      <c r="C12" s="344">
        <v>29049</v>
      </c>
      <c r="D12" s="349">
        <v>85235</v>
      </c>
      <c r="E12" s="344"/>
      <c r="F12" s="350">
        <v>6.3120000000000003</v>
      </c>
      <c r="G12" s="350">
        <v>20.303999999999998</v>
      </c>
      <c r="H12" s="350">
        <v>10.183999999999999</v>
      </c>
      <c r="I12" s="350">
        <v>1.4330000000000001</v>
      </c>
      <c r="J12" s="351">
        <f>SUM(F12:I12)</f>
        <v>38.232999999999997</v>
      </c>
      <c r="K12" s="352">
        <v>1948.05</v>
      </c>
      <c r="L12" s="352">
        <v>1611.68</v>
      </c>
    </row>
    <row r="13" spans="1:12" ht="24.75" customHeight="1">
      <c r="A13" s="624">
        <v>4</v>
      </c>
      <c r="B13" s="348">
        <v>4</v>
      </c>
      <c r="C13" s="344">
        <v>12852</v>
      </c>
      <c r="D13" s="349">
        <v>50301</v>
      </c>
      <c r="E13" s="344"/>
      <c r="F13" s="350">
        <v>3.097</v>
      </c>
      <c r="G13" s="350">
        <v>9.8469999999999995</v>
      </c>
      <c r="H13" s="350">
        <v>7.1879999999999997</v>
      </c>
      <c r="I13" s="350">
        <v>3.0449999999999999</v>
      </c>
      <c r="J13" s="351">
        <f>SUM(F13:I13)</f>
        <v>23.177</v>
      </c>
      <c r="K13" s="352">
        <v>1232.95</v>
      </c>
      <c r="L13" s="352">
        <v>1067.01</v>
      </c>
    </row>
    <row r="14" spans="1:12" ht="24.75" customHeight="1">
      <c r="A14" s="624">
        <v>5</v>
      </c>
      <c r="B14" s="357" t="s">
        <v>313</v>
      </c>
      <c r="C14" s="344">
        <v>12411</v>
      </c>
      <c r="D14" s="349">
        <v>87246</v>
      </c>
      <c r="E14" s="344"/>
      <c r="F14" s="350">
        <v>3.0670000000000002</v>
      </c>
      <c r="G14" s="350">
        <v>7.899</v>
      </c>
      <c r="H14" s="350">
        <v>7.5890000000000004</v>
      </c>
      <c r="I14" s="350">
        <v>13.58</v>
      </c>
      <c r="J14" s="351">
        <f>SUM(F14:I14)</f>
        <v>32.134999999999998</v>
      </c>
      <c r="K14" s="352">
        <v>1842.64</v>
      </c>
      <c r="L14" s="352">
        <v>1709.95</v>
      </c>
    </row>
    <row r="15" spans="1:12" ht="24.75" customHeight="1">
      <c r="A15" s="624">
        <v>6</v>
      </c>
      <c r="B15" s="357" t="s">
        <v>314</v>
      </c>
      <c r="C15" s="345">
        <f t="shared" ref="C15:L15" si="0">SUM(C10:C14)</f>
        <v>207534</v>
      </c>
      <c r="D15" s="358">
        <f t="shared" si="0"/>
        <v>414486</v>
      </c>
      <c r="E15" s="345">
        <f t="shared" si="0"/>
        <v>0</v>
      </c>
      <c r="F15" s="351">
        <f t="shared" si="0"/>
        <v>54.097000000000001</v>
      </c>
      <c r="G15" s="351">
        <f t="shared" si="0"/>
        <v>110.48699999999999</v>
      </c>
      <c r="H15" s="351">
        <f t="shared" si="0"/>
        <v>50.220999999999997</v>
      </c>
      <c r="I15" s="351">
        <f t="shared" si="0"/>
        <v>26.521000000000001</v>
      </c>
      <c r="J15" s="351">
        <f t="shared" si="0"/>
        <v>241.32599999999999</v>
      </c>
      <c r="K15" s="362">
        <f t="shared" si="0"/>
        <v>11989.84</v>
      </c>
      <c r="L15" s="345">
        <f t="shared" si="0"/>
        <v>9939.5700000000015</v>
      </c>
    </row>
    <row r="16" spans="1:12" ht="36">
      <c r="A16" s="624">
        <v>7</v>
      </c>
      <c r="B16" s="359" t="s">
        <v>315</v>
      </c>
      <c r="C16" s="344"/>
      <c r="D16" s="349"/>
      <c r="E16" s="344"/>
      <c r="F16" s="344"/>
      <c r="G16" s="344"/>
      <c r="H16" s="344"/>
      <c r="I16" s="344"/>
      <c r="J16" s="344"/>
      <c r="K16" s="344"/>
      <c r="L16" s="344"/>
    </row>
    <row r="17" spans="1:12" ht="24.75" customHeight="1">
      <c r="A17" s="624">
        <v>8</v>
      </c>
      <c r="B17" s="357" t="s">
        <v>314</v>
      </c>
      <c r="C17" s="345">
        <f t="shared" ref="C17:L17" si="1">+C15+C16</f>
        <v>207534</v>
      </c>
      <c r="D17" s="358">
        <f t="shared" si="1"/>
        <v>414486</v>
      </c>
      <c r="E17" s="345">
        <f t="shared" si="1"/>
        <v>0</v>
      </c>
      <c r="F17" s="345">
        <f t="shared" si="1"/>
        <v>54.097000000000001</v>
      </c>
      <c r="G17" s="345">
        <f t="shared" si="1"/>
        <v>110.48699999999999</v>
      </c>
      <c r="H17" s="345">
        <f t="shared" si="1"/>
        <v>50.220999999999997</v>
      </c>
      <c r="I17" s="351">
        <f t="shared" si="1"/>
        <v>26.521000000000001</v>
      </c>
      <c r="J17" s="345">
        <f t="shared" si="1"/>
        <v>241.32599999999999</v>
      </c>
      <c r="K17" s="345">
        <f t="shared" si="1"/>
        <v>11989.84</v>
      </c>
      <c r="L17" s="345">
        <f t="shared" si="1"/>
        <v>9939.5700000000015</v>
      </c>
    </row>
    <row r="18" spans="1:12" ht="24.75" customHeight="1">
      <c r="A18" s="624">
        <v>9</v>
      </c>
      <c r="B18" s="357" t="s">
        <v>316</v>
      </c>
      <c r="C18" s="344"/>
      <c r="D18" s="349"/>
      <c r="E18" s="344"/>
      <c r="F18" s="344"/>
      <c r="G18" s="344"/>
      <c r="H18" s="344"/>
      <c r="I18" s="344"/>
      <c r="J18" s="344"/>
      <c r="K18" s="344"/>
      <c r="L18" s="344"/>
    </row>
    <row r="19" spans="1:12" ht="24.75" customHeight="1">
      <c r="A19" s="624">
        <v>10</v>
      </c>
      <c r="B19" s="357" t="s">
        <v>317</v>
      </c>
      <c r="C19" s="344"/>
      <c r="D19" s="349"/>
      <c r="E19" s="344"/>
      <c r="F19" s="344"/>
      <c r="G19" s="344"/>
      <c r="H19" s="344"/>
      <c r="I19" s="344"/>
      <c r="J19" s="344"/>
      <c r="K19" s="344"/>
      <c r="L19" s="344"/>
    </row>
    <row r="20" spans="1:12" ht="24.75" customHeight="1">
      <c r="A20" s="624">
        <v>11</v>
      </c>
      <c r="B20" s="357" t="s">
        <v>318</v>
      </c>
      <c r="C20" s="345">
        <f t="shared" ref="C20:L20" si="2">+C18</f>
        <v>0</v>
      </c>
      <c r="D20" s="358">
        <f t="shared" si="2"/>
        <v>0</v>
      </c>
      <c r="E20" s="345">
        <f t="shared" si="2"/>
        <v>0</v>
      </c>
      <c r="F20" s="345">
        <f t="shared" si="2"/>
        <v>0</v>
      </c>
      <c r="G20" s="345">
        <f t="shared" si="2"/>
        <v>0</v>
      </c>
      <c r="H20" s="345">
        <f t="shared" si="2"/>
        <v>0</v>
      </c>
      <c r="I20" s="345">
        <f t="shared" si="2"/>
        <v>0</v>
      </c>
      <c r="J20" s="345">
        <f t="shared" si="2"/>
        <v>0</v>
      </c>
      <c r="K20" s="345">
        <f t="shared" si="2"/>
        <v>0</v>
      </c>
      <c r="L20" s="345">
        <f t="shared" si="2"/>
        <v>0</v>
      </c>
    </row>
    <row r="21" spans="1:12" ht="24.75" customHeight="1">
      <c r="A21" s="624"/>
      <c r="B21" s="357"/>
      <c r="C21" s="344"/>
      <c r="D21" s="349"/>
      <c r="E21" s="344"/>
      <c r="F21" s="344"/>
      <c r="G21" s="344"/>
      <c r="H21" s="344"/>
      <c r="I21" s="344"/>
      <c r="J21" s="344"/>
      <c r="K21" s="344"/>
      <c r="L21" s="344"/>
    </row>
    <row r="22" spans="1:12" ht="24.75" customHeight="1">
      <c r="A22" s="624">
        <v>12</v>
      </c>
      <c r="B22" s="357" t="s">
        <v>319</v>
      </c>
      <c r="C22" s="345">
        <f t="shared" ref="C22:L22" si="3">+C17+C20</f>
        <v>207534</v>
      </c>
      <c r="D22" s="358">
        <f t="shared" si="3"/>
        <v>414486</v>
      </c>
      <c r="E22" s="345">
        <f t="shared" si="3"/>
        <v>0</v>
      </c>
      <c r="F22" s="345">
        <f t="shared" si="3"/>
        <v>54.097000000000001</v>
      </c>
      <c r="G22" s="345">
        <f t="shared" si="3"/>
        <v>110.48699999999999</v>
      </c>
      <c r="H22" s="345">
        <f t="shared" si="3"/>
        <v>50.220999999999997</v>
      </c>
      <c r="I22" s="351">
        <f t="shared" si="3"/>
        <v>26.521000000000001</v>
      </c>
      <c r="J22" s="345">
        <f t="shared" si="3"/>
        <v>241.32599999999999</v>
      </c>
      <c r="K22" s="345">
        <f t="shared" si="3"/>
        <v>11989.84</v>
      </c>
      <c r="L22" s="345">
        <f t="shared" si="3"/>
        <v>9939.5700000000015</v>
      </c>
    </row>
    <row r="23" spans="1:12" ht="18">
      <c r="B23" s="360"/>
      <c r="C23" s="338"/>
      <c r="D23" s="361"/>
      <c r="E23" s="338"/>
      <c r="F23" s="338"/>
      <c r="G23" s="338"/>
      <c r="H23" s="338"/>
      <c r="I23" s="338"/>
      <c r="J23" s="338"/>
      <c r="K23" s="338"/>
      <c r="L23" s="338"/>
    </row>
    <row r="24" spans="1:12" ht="18">
      <c r="A24" s="341" t="s">
        <v>320</v>
      </c>
      <c r="B24" s="342" t="s">
        <v>292</v>
      </c>
      <c r="C24" s="343" t="s">
        <v>321</v>
      </c>
      <c r="D24" s="361"/>
      <c r="E24" s="338"/>
      <c r="G24" s="338"/>
      <c r="H24" s="338"/>
      <c r="I24" s="338"/>
      <c r="J24" s="338"/>
      <c r="K24" s="338"/>
      <c r="L24" s="338"/>
    </row>
    <row r="25" spans="1:12" ht="18">
      <c r="B25" s="360"/>
      <c r="C25" s="340"/>
      <c r="D25" s="361"/>
      <c r="E25" s="338"/>
      <c r="F25" s="343" t="s">
        <v>294</v>
      </c>
      <c r="G25" s="338"/>
      <c r="H25" s="338"/>
      <c r="I25" s="343" t="s">
        <v>295</v>
      </c>
      <c r="J25" s="338"/>
      <c r="K25" s="338"/>
      <c r="L25" s="338"/>
    </row>
    <row r="26" spans="1:12" ht="18" customHeight="1">
      <c r="A26" s="2477"/>
      <c r="B26" s="2478" t="s">
        <v>296</v>
      </c>
      <c r="C26" s="2478" t="s">
        <v>297</v>
      </c>
      <c r="D26" s="2479" t="s">
        <v>298</v>
      </c>
      <c r="E26" s="344"/>
      <c r="F26" s="345" t="s">
        <v>299</v>
      </c>
      <c r="G26" s="345"/>
      <c r="H26" s="345"/>
      <c r="I26" s="345"/>
      <c r="J26" s="344"/>
      <c r="K26" s="2474" t="s">
        <v>300</v>
      </c>
      <c r="L26" s="2475"/>
    </row>
    <row r="27" spans="1:12" s="346" customFormat="1" ht="87.75" customHeight="1">
      <c r="A27" s="2477"/>
      <c r="B27" s="2478"/>
      <c r="C27" s="2478"/>
      <c r="D27" s="2479"/>
      <c r="E27" s="625" t="s">
        <v>301</v>
      </c>
      <c r="F27" s="625" t="s">
        <v>302</v>
      </c>
      <c r="G27" s="625" t="s">
        <v>303</v>
      </c>
      <c r="H27" s="625" t="s">
        <v>304</v>
      </c>
      <c r="I27" s="625" t="s">
        <v>305</v>
      </c>
      <c r="J27" s="625" t="s">
        <v>306</v>
      </c>
      <c r="K27" s="625" t="s">
        <v>307</v>
      </c>
      <c r="L27" s="625" t="s">
        <v>308</v>
      </c>
    </row>
    <row r="28" spans="1:12" ht="18">
      <c r="A28" s="624"/>
      <c r="B28" s="625" t="s">
        <v>309</v>
      </c>
      <c r="C28" s="344"/>
      <c r="D28" s="349"/>
      <c r="E28" s="344"/>
      <c r="F28" s="344"/>
      <c r="G28" s="344"/>
      <c r="H28" s="344"/>
      <c r="I28" s="344"/>
      <c r="J28" s="344"/>
      <c r="K28" s="347"/>
      <c r="L28" s="347"/>
    </row>
    <row r="29" spans="1:12" ht="24" customHeight="1">
      <c r="A29" s="624">
        <v>1</v>
      </c>
      <c r="B29" s="348" t="s">
        <v>310</v>
      </c>
      <c r="C29" s="344">
        <v>1402727</v>
      </c>
      <c r="D29" s="349">
        <v>1014099</v>
      </c>
      <c r="E29" s="344"/>
      <c r="F29" s="350">
        <v>316.20499999999998</v>
      </c>
      <c r="G29" s="350">
        <v>185.01499999999999</v>
      </c>
      <c r="H29" s="350">
        <v>22.895</v>
      </c>
      <c r="I29" s="350">
        <v>10.265000000000001</v>
      </c>
      <c r="J29" s="351">
        <f>SUM(F29:I29)</f>
        <v>534.38</v>
      </c>
      <c r="K29" s="352">
        <v>22014.48</v>
      </c>
      <c r="L29" s="344">
        <v>15358.03</v>
      </c>
    </row>
    <row r="30" spans="1:12" ht="24" customHeight="1">
      <c r="A30" s="624">
        <v>2</v>
      </c>
      <c r="B30" s="348" t="s">
        <v>311</v>
      </c>
      <c r="C30" s="344">
        <v>165678</v>
      </c>
      <c r="D30" s="349">
        <v>289749</v>
      </c>
      <c r="E30" s="344"/>
      <c r="F30" s="350">
        <v>37.488999999999997</v>
      </c>
      <c r="G30" s="350">
        <v>48.814999999999998</v>
      </c>
      <c r="H30" s="350">
        <v>17.64</v>
      </c>
      <c r="I30" s="350">
        <v>2.0870000000000002</v>
      </c>
      <c r="J30" s="351">
        <f>SUM(F30:I30)</f>
        <v>106.03100000000001</v>
      </c>
      <c r="K30" s="352">
        <v>5017.93</v>
      </c>
      <c r="L30" s="344">
        <v>3596.2</v>
      </c>
    </row>
    <row r="31" spans="1:12" ht="24" customHeight="1">
      <c r="A31" s="624">
        <v>3</v>
      </c>
      <c r="B31" s="348" t="s">
        <v>312</v>
      </c>
      <c r="C31" s="344">
        <v>37578</v>
      </c>
      <c r="D31" s="349">
        <v>105879</v>
      </c>
      <c r="E31" s="344"/>
      <c r="F31" s="350">
        <v>0.84799999999999998</v>
      </c>
      <c r="G31" s="350">
        <v>20.195</v>
      </c>
      <c r="H31" s="350">
        <v>9.8689999999999998</v>
      </c>
      <c r="I31" s="350">
        <v>1.23</v>
      </c>
      <c r="J31" s="351">
        <f>SUM(F31:I31)</f>
        <v>32.141999999999996</v>
      </c>
      <c r="K31" s="352">
        <v>1778.74</v>
      </c>
      <c r="L31" s="344">
        <v>1317.24</v>
      </c>
    </row>
    <row r="32" spans="1:12" ht="24" customHeight="1">
      <c r="A32" s="624">
        <v>4</v>
      </c>
      <c r="B32" s="348">
        <v>4</v>
      </c>
      <c r="C32" s="344">
        <v>10005</v>
      </c>
      <c r="D32" s="349">
        <v>38073</v>
      </c>
      <c r="E32" s="344"/>
      <c r="F32" s="350">
        <v>0.187</v>
      </c>
      <c r="G32" s="350">
        <v>6.3730000000000002</v>
      </c>
      <c r="H32" s="350">
        <v>7.5170000000000003</v>
      </c>
      <c r="I32" s="350">
        <v>1.0229999999999999</v>
      </c>
      <c r="J32" s="351">
        <f>SUM(F32:I32)</f>
        <v>15.100000000000001</v>
      </c>
      <c r="K32" s="352">
        <v>858.95</v>
      </c>
      <c r="L32" s="344">
        <v>652.36</v>
      </c>
    </row>
    <row r="33" spans="1:12" ht="24" customHeight="1">
      <c r="A33" s="624">
        <v>5</v>
      </c>
      <c r="B33" s="357" t="s">
        <v>313</v>
      </c>
      <c r="C33" s="344">
        <v>7200</v>
      </c>
      <c r="D33" s="349">
        <v>30259</v>
      </c>
      <c r="E33" s="344"/>
      <c r="F33" s="350">
        <v>0.121</v>
      </c>
      <c r="G33" s="350">
        <v>4.9950000000000001</v>
      </c>
      <c r="H33" s="350">
        <v>6.5140000000000002</v>
      </c>
      <c r="I33" s="350">
        <v>1.0609999999999999</v>
      </c>
      <c r="J33" s="351">
        <f>SUM(F33:I33)</f>
        <v>12.690999999999999</v>
      </c>
      <c r="K33" s="352">
        <v>734.5</v>
      </c>
      <c r="L33" s="344">
        <v>575.91</v>
      </c>
    </row>
    <row r="34" spans="1:12" ht="24" customHeight="1">
      <c r="A34" s="624">
        <v>6</v>
      </c>
      <c r="B34" s="357" t="s">
        <v>314</v>
      </c>
      <c r="C34" s="345">
        <f t="shared" ref="C34:L34" si="4">SUM(C29:C33)</f>
        <v>1623188</v>
      </c>
      <c r="D34" s="358">
        <f t="shared" si="4"/>
        <v>1478059</v>
      </c>
      <c r="E34" s="345">
        <f t="shared" si="4"/>
        <v>0</v>
      </c>
      <c r="F34" s="351">
        <f t="shared" si="4"/>
        <v>354.84999999999997</v>
      </c>
      <c r="G34" s="351">
        <f t="shared" si="4"/>
        <v>265.39299999999997</v>
      </c>
      <c r="H34" s="351">
        <f t="shared" si="4"/>
        <v>64.435000000000002</v>
      </c>
      <c r="I34" s="351">
        <f t="shared" si="4"/>
        <v>15.666</v>
      </c>
      <c r="J34" s="351">
        <f t="shared" si="4"/>
        <v>700.34400000000016</v>
      </c>
      <c r="K34" s="362">
        <f t="shared" si="4"/>
        <v>30404.600000000002</v>
      </c>
      <c r="L34" s="362">
        <f t="shared" si="4"/>
        <v>21499.74</v>
      </c>
    </row>
    <row r="35" spans="1:12" ht="39" customHeight="1">
      <c r="A35" s="624">
        <v>7</v>
      </c>
      <c r="B35" s="359" t="s">
        <v>315</v>
      </c>
      <c r="C35" s="344"/>
      <c r="D35" s="349"/>
      <c r="E35" s="344"/>
      <c r="F35" s="344"/>
      <c r="G35" s="344"/>
      <c r="H35" s="344"/>
      <c r="I35" s="344"/>
      <c r="J35" s="350"/>
      <c r="K35" s="344"/>
      <c r="L35" s="344"/>
    </row>
    <row r="36" spans="1:12" ht="22.5" customHeight="1">
      <c r="A36" s="624">
        <v>8</v>
      </c>
      <c r="B36" s="357" t="s">
        <v>314</v>
      </c>
      <c r="C36" s="345">
        <f t="shared" ref="C36:L36" si="5">+C34+C35</f>
        <v>1623188</v>
      </c>
      <c r="D36" s="358">
        <f t="shared" si="5"/>
        <v>1478059</v>
      </c>
      <c r="E36" s="345">
        <f t="shared" si="5"/>
        <v>0</v>
      </c>
      <c r="F36" s="345">
        <f t="shared" si="5"/>
        <v>354.84999999999997</v>
      </c>
      <c r="G36" s="345">
        <f t="shared" si="5"/>
        <v>265.39299999999997</v>
      </c>
      <c r="H36" s="345">
        <f t="shared" si="5"/>
        <v>64.435000000000002</v>
      </c>
      <c r="I36" s="345">
        <f t="shared" si="5"/>
        <v>15.666</v>
      </c>
      <c r="J36" s="345">
        <f t="shared" si="5"/>
        <v>700.34400000000016</v>
      </c>
      <c r="K36" s="345">
        <f t="shared" si="5"/>
        <v>30404.600000000002</v>
      </c>
      <c r="L36" s="345">
        <f t="shared" si="5"/>
        <v>21499.74</v>
      </c>
    </row>
    <row r="37" spans="1:12" ht="22.5" customHeight="1">
      <c r="A37" s="624">
        <v>9</v>
      </c>
      <c r="B37" s="357" t="s">
        <v>316</v>
      </c>
      <c r="C37" s="1123">
        <v>42329</v>
      </c>
      <c r="D37" s="1124">
        <v>7559</v>
      </c>
      <c r="E37" s="344">
        <v>2.0220000000000002</v>
      </c>
      <c r="F37" s="344">
        <v>0</v>
      </c>
      <c r="G37" s="344">
        <v>0</v>
      </c>
      <c r="H37" s="344">
        <v>0</v>
      </c>
      <c r="I37" s="344">
        <v>0</v>
      </c>
      <c r="J37" s="351">
        <f>SUM(E37:I37)</f>
        <v>2.0220000000000002</v>
      </c>
      <c r="K37" s="344">
        <v>56.47</v>
      </c>
      <c r="L37" s="344">
        <v>33.49</v>
      </c>
    </row>
    <row r="38" spans="1:12" ht="22.5" customHeight="1">
      <c r="A38" s="624">
        <v>10</v>
      </c>
      <c r="B38" s="357" t="s">
        <v>317</v>
      </c>
      <c r="C38" s="344"/>
      <c r="D38" s="349"/>
      <c r="E38" s="344"/>
      <c r="F38" s="344"/>
      <c r="G38" s="344"/>
      <c r="H38" s="344"/>
      <c r="I38" s="344"/>
      <c r="J38" s="344"/>
      <c r="K38" s="344"/>
      <c r="L38" s="344"/>
    </row>
    <row r="39" spans="1:12" ht="22.5" customHeight="1">
      <c r="A39" s="624">
        <v>11</v>
      </c>
      <c r="B39" s="357" t="s">
        <v>318</v>
      </c>
      <c r="C39" s="345">
        <f t="shared" ref="C39:L39" si="6">+C37</f>
        <v>42329</v>
      </c>
      <c r="D39" s="358">
        <f t="shared" si="6"/>
        <v>7559</v>
      </c>
      <c r="E39" s="345">
        <f t="shared" si="6"/>
        <v>2.0220000000000002</v>
      </c>
      <c r="F39" s="345">
        <f t="shared" si="6"/>
        <v>0</v>
      </c>
      <c r="G39" s="345">
        <f t="shared" si="6"/>
        <v>0</v>
      </c>
      <c r="H39" s="345">
        <f t="shared" si="6"/>
        <v>0</v>
      </c>
      <c r="I39" s="345">
        <f t="shared" si="6"/>
        <v>0</v>
      </c>
      <c r="J39" s="345">
        <f t="shared" si="6"/>
        <v>2.0220000000000002</v>
      </c>
      <c r="K39" s="345">
        <f t="shared" si="6"/>
        <v>56.47</v>
      </c>
      <c r="L39" s="345">
        <f t="shared" si="6"/>
        <v>33.49</v>
      </c>
    </row>
    <row r="40" spans="1:12" ht="22.5" customHeight="1">
      <c r="A40" s="624"/>
      <c r="B40" s="357"/>
      <c r="C40" s="344"/>
      <c r="D40" s="349"/>
      <c r="E40" s="344"/>
      <c r="F40" s="344"/>
      <c r="G40" s="344"/>
      <c r="H40" s="344"/>
      <c r="I40" s="344"/>
      <c r="J40" s="344"/>
      <c r="K40" s="344"/>
      <c r="L40" s="344"/>
    </row>
    <row r="41" spans="1:12" ht="22.5" customHeight="1">
      <c r="A41" s="624">
        <v>12</v>
      </c>
      <c r="B41" s="357" t="s">
        <v>322</v>
      </c>
      <c r="C41" s="345">
        <f t="shared" ref="C41:L41" si="7">+C36+C39</f>
        <v>1665517</v>
      </c>
      <c r="D41" s="358">
        <f t="shared" si="7"/>
        <v>1485618</v>
      </c>
      <c r="E41" s="345">
        <f t="shared" si="7"/>
        <v>2.0220000000000002</v>
      </c>
      <c r="F41" s="345">
        <f t="shared" si="7"/>
        <v>354.84999999999997</v>
      </c>
      <c r="G41" s="345">
        <f t="shared" si="7"/>
        <v>265.39299999999997</v>
      </c>
      <c r="H41" s="345">
        <f t="shared" si="7"/>
        <v>64.435000000000002</v>
      </c>
      <c r="I41" s="345">
        <f t="shared" si="7"/>
        <v>15.666</v>
      </c>
      <c r="J41" s="345">
        <f t="shared" si="7"/>
        <v>702.36600000000021</v>
      </c>
      <c r="K41" s="345">
        <f t="shared" si="7"/>
        <v>30461.070000000003</v>
      </c>
      <c r="L41" s="345">
        <f t="shared" si="7"/>
        <v>21533.230000000003</v>
      </c>
    </row>
    <row r="42" spans="1:12" ht="22.5" customHeight="1">
      <c r="A42" s="624"/>
      <c r="B42" s="357"/>
      <c r="C42" s="344"/>
      <c r="D42" s="349"/>
      <c r="E42" s="344"/>
      <c r="F42" s="344"/>
      <c r="G42" s="344"/>
      <c r="H42" s="344"/>
      <c r="I42" s="344"/>
      <c r="J42" s="344"/>
      <c r="K42" s="344"/>
      <c r="L42" s="344"/>
    </row>
    <row r="43" spans="1:12" ht="22.5" customHeight="1">
      <c r="A43" s="624"/>
      <c r="B43" s="363" t="s">
        <v>323</v>
      </c>
      <c r="C43" s="345">
        <f t="shared" ref="C43:L43" si="8">+C22+C41</f>
        <v>1873051</v>
      </c>
      <c r="D43" s="358">
        <f t="shared" si="8"/>
        <v>1900104</v>
      </c>
      <c r="E43" s="351">
        <f t="shared" si="8"/>
        <v>2.0220000000000002</v>
      </c>
      <c r="F43" s="351">
        <f t="shared" si="8"/>
        <v>408.94699999999995</v>
      </c>
      <c r="G43" s="351">
        <f t="shared" si="8"/>
        <v>375.88</v>
      </c>
      <c r="H43" s="351">
        <f t="shared" si="8"/>
        <v>114.65600000000001</v>
      </c>
      <c r="I43" s="351">
        <f t="shared" si="8"/>
        <v>42.186999999999998</v>
      </c>
      <c r="J43" s="351">
        <f t="shared" si="8"/>
        <v>943.69200000000023</v>
      </c>
      <c r="K43" s="362">
        <f t="shared" si="8"/>
        <v>42450.91</v>
      </c>
      <c r="L43" s="362">
        <f t="shared" si="8"/>
        <v>31472.800000000003</v>
      </c>
    </row>
    <row r="44" spans="1:12" ht="18" customHeight="1">
      <c r="B44" s="360"/>
      <c r="C44" s="338"/>
      <c r="D44" s="338"/>
      <c r="E44" s="338"/>
      <c r="F44" s="338"/>
      <c r="G44" s="338"/>
      <c r="H44" s="338"/>
      <c r="I44" s="338"/>
      <c r="J44" s="338"/>
      <c r="K44" s="355"/>
      <c r="L44" s="364"/>
    </row>
    <row r="45" spans="1:12" ht="24" customHeight="1">
      <c r="B45" s="343" t="s">
        <v>330</v>
      </c>
      <c r="C45" s="340"/>
      <c r="D45" s="340"/>
      <c r="E45" s="338"/>
      <c r="F45" s="338"/>
      <c r="G45" s="338"/>
      <c r="H45" s="338"/>
      <c r="I45" s="338"/>
      <c r="J45" s="339"/>
      <c r="K45" s="339"/>
      <c r="L45" s="339"/>
    </row>
    <row r="46" spans="1:12" ht="42.75" customHeight="1">
      <c r="A46" s="624"/>
      <c r="B46" s="365"/>
      <c r="C46" s="2476" t="s">
        <v>325</v>
      </c>
      <c r="D46" s="2476"/>
      <c r="E46" s="2476" t="s">
        <v>326</v>
      </c>
      <c r="F46" s="2476"/>
      <c r="G46" s="2476" t="s">
        <v>327</v>
      </c>
      <c r="H46" s="2476"/>
      <c r="I46" s="2474" t="s">
        <v>239</v>
      </c>
      <c r="J46" s="2475"/>
      <c r="K46" s="344"/>
      <c r="L46" s="344"/>
    </row>
    <row r="47" spans="1:12" ht="25.5" customHeight="1">
      <c r="A47" s="624"/>
      <c r="B47" s="357"/>
      <c r="C47" s="366" t="s">
        <v>293</v>
      </c>
      <c r="D47" s="366" t="s">
        <v>321</v>
      </c>
      <c r="E47" s="366" t="s">
        <v>293</v>
      </c>
      <c r="F47" s="366" t="s">
        <v>321</v>
      </c>
      <c r="G47" s="366" t="s">
        <v>293</v>
      </c>
      <c r="H47" s="366" t="s">
        <v>321</v>
      </c>
      <c r="I47" s="366" t="s">
        <v>293</v>
      </c>
      <c r="J47" s="366" t="s">
        <v>321</v>
      </c>
      <c r="K47" s="344"/>
      <c r="L47" s="344"/>
    </row>
    <row r="48" spans="1:12" ht="25.5" customHeight="1">
      <c r="A48" s="624">
        <v>1</v>
      </c>
      <c r="B48" s="625" t="s">
        <v>328</v>
      </c>
      <c r="C48" s="344">
        <v>0</v>
      </c>
      <c r="D48" s="344">
        <v>20497</v>
      </c>
      <c r="E48" s="344">
        <v>0</v>
      </c>
      <c r="F48" s="344">
        <v>1346</v>
      </c>
      <c r="G48" s="344">
        <v>0</v>
      </c>
      <c r="H48" s="344">
        <v>20486</v>
      </c>
      <c r="I48" s="1122">
        <f>C48+E48+G48</f>
        <v>0</v>
      </c>
      <c r="J48" s="1122">
        <f>D48+F48+H48</f>
        <v>42329</v>
      </c>
      <c r="K48" s="344"/>
      <c r="L48" s="344"/>
    </row>
    <row r="49" spans="1:12" ht="25.5" customHeight="1">
      <c r="A49" s="624"/>
      <c r="B49" s="625" t="s">
        <v>309</v>
      </c>
      <c r="C49" s="344"/>
      <c r="D49" s="344"/>
      <c r="E49" s="344"/>
      <c r="F49" s="344"/>
      <c r="G49" s="344"/>
      <c r="H49" s="344"/>
      <c r="I49" s="1122"/>
      <c r="J49" s="1122"/>
      <c r="K49" s="344"/>
      <c r="L49" s="344"/>
    </row>
    <row r="50" spans="1:12" ht="25.5" customHeight="1">
      <c r="A50" s="624">
        <v>2</v>
      </c>
      <c r="B50" s="348" t="s">
        <v>310</v>
      </c>
      <c r="C50" s="344">
        <v>83267</v>
      </c>
      <c r="D50" s="344">
        <v>1211698</v>
      </c>
      <c r="E50" s="344">
        <v>5492</v>
      </c>
      <c r="F50" s="344">
        <v>13192</v>
      </c>
      <c r="G50" s="344">
        <v>8673</v>
      </c>
      <c r="H50" s="344">
        <v>177837</v>
      </c>
      <c r="I50" s="1122">
        <f t="shared" ref="I50:J54" si="9">C50+E50+G50</f>
        <v>97432</v>
      </c>
      <c r="J50" s="1122">
        <f t="shared" si="9"/>
        <v>1402727</v>
      </c>
      <c r="K50" s="344"/>
      <c r="L50" s="344"/>
    </row>
    <row r="51" spans="1:12" ht="25.5" customHeight="1">
      <c r="A51" s="624">
        <v>3</v>
      </c>
      <c r="B51" s="348" t="s">
        <v>311</v>
      </c>
      <c r="C51" s="344">
        <v>54453</v>
      </c>
      <c r="D51" s="344">
        <v>134136</v>
      </c>
      <c r="E51" s="344">
        <v>4</v>
      </c>
      <c r="F51" s="344">
        <v>15567</v>
      </c>
      <c r="G51" s="344">
        <v>1333</v>
      </c>
      <c r="H51" s="344">
        <v>15975</v>
      </c>
      <c r="I51" s="1122">
        <f t="shared" si="9"/>
        <v>55790</v>
      </c>
      <c r="J51" s="1122">
        <f t="shared" si="9"/>
        <v>165678</v>
      </c>
      <c r="K51" s="344"/>
      <c r="L51" s="344"/>
    </row>
    <row r="52" spans="1:12" ht="25.5" customHeight="1">
      <c r="A52" s="624">
        <v>4</v>
      </c>
      <c r="B52" s="348" t="s">
        <v>312</v>
      </c>
      <c r="C52" s="344">
        <v>28870</v>
      </c>
      <c r="D52" s="344">
        <v>36317</v>
      </c>
      <c r="E52" s="344">
        <v>0</v>
      </c>
      <c r="F52" s="344">
        <v>37</v>
      </c>
      <c r="G52" s="344">
        <v>179</v>
      </c>
      <c r="H52" s="344">
        <v>1224</v>
      </c>
      <c r="I52" s="1122">
        <f t="shared" si="9"/>
        <v>29049</v>
      </c>
      <c r="J52" s="1122">
        <f t="shared" si="9"/>
        <v>37578</v>
      </c>
      <c r="K52" s="344"/>
      <c r="L52" s="344"/>
    </row>
    <row r="53" spans="1:12" ht="25.5" customHeight="1">
      <c r="A53" s="624">
        <v>5</v>
      </c>
      <c r="B53" s="348">
        <v>4</v>
      </c>
      <c r="C53" s="344">
        <v>12810</v>
      </c>
      <c r="D53" s="344">
        <v>9780</v>
      </c>
      <c r="E53" s="344">
        <v>0</v>
      </c>
      <c r="F53" s="344">
        <v>13</v>
      </c>
      <c r="G53" s="344">
        <v>42</v>
      </c>
      <c r="H53" s="344">
        <v>212</v>
      </c>
      <c r="I53" s="1122">
        <f t="shared" si="9"/>
        <v>12852</v>
      </c>
      <c r="J53" s="1122">
        <f t="shared" si="9"/>
        <v>10005</v>
      </c>
      <c r="K53" s="344"/>
      <c r="L53" s="344"/>
    </row>
    <row r="54" spans="1:12" ht="25.5" customHeight="1">
      <c r="A54" s="624">
        <v>6</v>
      </c>
      <c r="B54" s="357" t="s">
        <v>313</v>
      </c>
      <c r="C54" s="344">
        <v>12379</v>
      </c>
      <c r="D54" s="344">
        <v>7075</v>
      </c>
      <c r="E54" s="344">
        <v>0</v>
      </c>
      <c r="F54" s="344">
        <v>11</v>
      </c>
      <c r="G54" s="344">
        <v>32</v>
      </c>
      <c r="H54" s="344">
        <v>114</v>
      </c>
      <c r="I54" s="1122">
        <f t="shared" si="9"/>
        <v>12411</v>
      </c>
      <c r="J54" s="1122">
        <f t="shared" si="9"/>
        <v>7200</v>
      </c>
      <c r="K54" s="344"/>
      <c r="L54" s="344"/>
    </row>
    <row r="55" spans="1:12" ht="25.5" customHeight="1">
      <c r="A55" s="624">
        <v>7</v>
      </c>
      <c r="B55" s="367" t="s">
        <v>239</v>
      </c>
      <c r="C55" s="345">
        <f t="shared" ref="C55:J55" si="10">SUM(C48:C54)</f>
        <v>191779</v>
      </c>
      <c r="D55" s="345">
        <f t="shared" si="10"/>
        <v>1419503</v>
      </c>
      <c r="E55" s="345">
        <f t="shared" si="10"/>
        <v>5496</v>
      </c>
      <c r="F55" s="345">
        <f t="shared" si="10"/>
        <v>30166</v>
      </c>
      <c r="G55" s="345">
        <f t="shared" si="10"/>
        <v>10259</v>
      </c>
      <c r="H55" s="345">
        <f t="shared" si="10"/>
        <v>215848</v>
      </c>
      <c r="I55" s="345">
        <f t="shared" si="10"/>
        <v>207534</v>
      </c>
      <c r="J55" s="345">
        <f t="shared" si="10"/>
        <v>1665517</v>
      </c>
      <c r="K55" s="345"/>
      <c r="L55" s="345"/>
    </row>
    <row r="56" spans="1:12" ht="18">
      <c r="A56" s="368"/>
      <c r="B56" s="360"/>
      <c r="C56" s="338"/>
      <c r="D56" s="338"/>
      <c r="G56" s="338"/>
      <c r="H56" s="338"/>
      <c r="I56" s="338"/>
      <c r="J56" s="338"/>
      <c r="K56" s="338"/>
      <c r="L56" s="338"/>
    </row>
    <row r="63" spans="1:12">
      <c r="J63" s="1691"/>
      <c r="K63" s="1691"/>
    </row>
    <row r="64" spans="1:12">
      <c r="K64" s="369"/>
    </row>
    <row r="65" spans="1:10">
      <c r="A65" s="308"/>
      <c r="B65" s="308"/>
      <c r="D65" s="370"/>
    </row>
    <row r="66" spans="1:10">
      <c r="A66" s="308"/>
      <c r="B66" s="308"/>
    </row>
    <row r="67" spans="1:10">
      <c r="A67" s="308"/>
      <c r="B67" s="308"/>
    </row>
    <row r="68" spans="1:10">
      <c r="A68" s="308"/>
      <c r="B68" s="308"/>
      <c r="D68" s="370"/>
    </row>
    <row r="69" spans="1:10">
      <c r="A69" s="308"/>
      <c r="B69" s="308"/>
    </row>
    <row r="70" spans="1:10">
      <c r="A70" s="308"/>
      <c r="B70" s="308"/>
      <c r="D70" s="370"/>
      <c r="J70" s="356"/>
    </row>
    <row r="71" spans="1:10">
      <c r="A71" s="308"/>
      <c r="B71" s="308"/>
    </row>
    <row r="74" spans="1:10">
      <c r="A74" s="308"/>
      <c r="B74" s="308"/>
      <c r="D74" s="370"/>
    </row>
    <row r="75" spans="1:10">
      <c r="J75" s="356"/>
    </row>
  </sheetData>
  <mergeCells count="15">
    <mergeCell ref="A3:L3"/>
    <mergeCell ref="I46:J46"/>
    <mergeCell ref="C46:D46"/>
    <mergeCell ref="E46:F46"/>
    <mergeCell ref="G46:H46"/>
    <mergeCell ref="D26:D27"/>
    <mergeCell ref="C26:C27"/>
    <mergeCell ref="A7:A8"/>
    <mergeCell ref="B7:B8"/>
    <mergeCell ref="C7:C8"/>
    <mergeCell ref="D7:D8"/>
    <mergeCell ref="A26:A27"/>
    <mergeCell ref="B26:B27"/>
    <mergeCell ref="K7:L7"/>
    <mergeCell ref="K26:L26"/>
  </mergeCells>
  <printOptions horizontalCentered="1"/>
  <pageMargins left="0.19685039370078741" right="0.23622047244094491" top="0.56000000000000005" bottom="0.31496062992125984" header="0.48" footer="0.23622047244094491"/>
  <pageSetup paperSize="9" scale="5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4">
    <tabColor rgb="FF008000"/>
    <pageSetUpPr fitToPage="1"/>
  </sheetPr>
  <dimension ref="A1:N58"/>
  <sheetViews>
    <sheetView view="pageBreakPreview" topLeftCell="A4" zoomScale="85" zoomScaleNormal="100" zoomScaleSheetLayoutView="85" workbookViewId="0">
      <selection activeCell="C34" sqref="C34"/>
    </sheetView>
  </sheetViews>
  <sheetFormatPr defaultColWidth="9.140625" defaultRowHeight="14.25"/>
  <cols>
    <col min="1" max="1" width="43.28515625" style="78" customWidth="1"/>
    <col min="2" max="2" width="13" style="78" customWidth="1"/>
    <col min="3" max="3" width="16" style="78" bestFit="1" customWidth="1"/>
    <col min="4" max="4" width="14.28515625" style="78" customWidth="1"/>
    <col min="5" max="5" width="14.140625" style="78" customWidth="1"/>
    <col min="6" max="7" width="13.140625" style="78" bestFit="1" customWidth="1"/>
    <col min="8" max="8" width="12.140625" style="78" bestFit="1" customWidth="1"/>
    <col min="9" max="10" width="11.28515625" style="78" bestFit="1" customWidth="1"/>
    <col min="11" max="13" width="10.28515625" style="78" bestFit="1" customWidth="1"/>
    <col min="14" max="14" width="9.140625" style="78"/>
    <col min="15" max="15" width="14.28515625" style="78" customWidth="1"/>
    <col min="16" max="16384" width="9.140625" style="78"/>
  </cols>
  <sheetData>
    <row r="1" spans="1:10" ht="41.25" customHeight="1">
      <c r="A1" s="2689" t="s">
        <v>2461</v>
      </c>
      <c r="B1" s="2690"/>
      <c r="C1" s="2690"/>
      <c r="D1" s="2690"/>
      <c r="E1" s="2691"/>
      <c r="I1" s="1713" t="s">
        <v>173</v>
      </c>
      <c r="J1" s="1713" t="s">
        <v>171</v>
      </c>
    </row>
    <row r="2" spans="1:10" ht="17.25" customHeight="1">
      <c r="A2" s="2693"/>
      <c r="B2" s="2694"/>
      <c r="C2" s="2694"/>
      <c r="D2" s="2695"/>
      <c r="E2" s="2340" t="s">
        <v>2462</v>
      </c>
      <c r="H2" s="78" t="s">
        <v>2463</v>
      </c>
      <c r="I2" s="912">
        <f>'F-2'!I35</f>
        <v>56636.633024231734</v>
      </c>
      <c r="J2" s="912">
        <f>'F-2'!N35</f>
        <v>33178.412604923979</v>
      </c>
    </row>
    <row r="3" spans="1:10" ht="19.5" customHeight="1">
      <c r="A3" s="2598" t="s">
        <v>2464</v>
      </c>
      <c r="B3" s="2598" t="s">
        <v>2465</v>
      </c>
      <c r="C3" s="2598"/>
      <c r="D3" s="2598"/>
      <c r="E3" s="2598"/>
      <c r="H3" s="78" t="s">
        <v>2466</v>
      </c>
      <c r="I3" s="912">
        <f>I2*0.853</f>
        <v>48311.047969669671</v>
      </c>
      <c r="J3" s="912">
        <f>J2*0.853</f>
        <v>28301.185952000153</v>
      </c>
    </row>
    <row r="4" spans="1:10" ht="19.5" customHeight="1">
      <c r="A4" s="2598"/>
      <c r="B4" s="299"/>
      <c r="C4" s="299" t="s">
        <v>175</v>
      </c>
      <c r="D4" s="2388" t="s">
        <v>173</v>
      </c>
      <c r="E4" s="2388" t="s">
        <v>171</v>
      </c>
      <c r="H4" s="78" t="s">
        <v>2467</v>
      </c>
      <c r="I4" s="912">
        <f>I2-I3</f>
        <v>8325.5850545620633</v>
      </c>
      <c r="J4" s="912">
        <f>J2-J3</f>
        <v>4877.2266529238259</v>
      </c>
    </row>
    <row r="5" spans="1:10" ht="19.5" customHeight="1">
      <c r="A5" s="2324" t="s">
        <v>2468</v>
      </c>
      <c r="B5" s="1336"/>
      <c r="C5" s="2338">
        <v>15674.602440299801</v>
      </c>
      <c r="D5" s="2338">
        <f>'F-21'!C36-D6</f>
        <v>82924.024163299997</v>
      </c>
      <c r="E5" s="2338">
        <f>D51</f>
        <v>109041.57570651855</v>
      </c>
    </row>
    <row r="6" spans="1:10" ht="19.5" customHeight="1">
      <c r="A6" s="2324" t="s">
        <v>2469</v>
      </c>
      <c r="B6" s="1336"/>
      <c r="C6" s="2338">
        <v>111885.14733780001</v>
      </c>
      <c r="D6" s="2338">
        <f>367.279335425*100</f>
        <v>36727.933542500003</v>
      </c>
      <c r="E6" s="2338">
        <f>D52</f>
        <v>40000.258240704607</v>
      </c>
    </row>
    <row r="7" spans="1:10" ht="19.5" customHeight="1">
      <c r="A7" s="2337"/>
      <c r="B7" s="1336"/>
      <c r="C7" s="2338"/>
      <c r="D7" s="2338"/>
      <c r="E7" s="2338"/>
    </row>
    <row r="8" spans="1:10" ht="19.5" customHeight="1">
      <c r="A8" s="302" t="s">
        <v>2464</v>
      </c>
      <c r="B8" s="1336"/>
      <c r="C8" s="2338"/>
      <c r="D8" s="2338"/>
      <c r="E8" s="2338"/>
    </row>
    <row r="9" spans="1:10" ht="19.5" customHeight="1">
      <c r="A9" s="301" t="s">
        <v>2470</v>
      </c>
      <c r="B9" s="1336"/>
      <c r="C9" s="2338">
        <v>327373</v>
      </c>
      <c r="D9" s="2338">
        <f>'F-22'!C4*'T-1'!K65</f>
        <v>367730.74532654922</v>
      </c>
      <c r="E9" s="2338">
        <f>'F-22'!D4*'T-1'!O65</f>
        <v>400842.64895588451</v>
      </c>
      <c r="F9" s="1139"/>
      <c r="G9" s="1139"/>
      <c r="H9" s="1139"/>
      <c r="I9" s="1139"/>
    </row>
    <row r="10" spans="1:10" ht="30" customHeight="1">
      <c r="A10" s="301" t="s">
        <v>2471</v>
      </c>
      <c r="B10" s="1336"/>
      <c r="C10" s="2338"/>
      <c r="D10" s="2338">
        <v>0</v>
      </c>
      <c r="E10" s="2338">
        <v>0</v>
      </c>
    </row>
    <row r="11" spans="1:10" ht="19.5" customHeight="1">
      <c r="A11" s="301" t="s">
        <v>2472</v>
      </c>
      <c r="B11" s="1336"/>
      <c r="C11" s="2338">
        <f>[28]CFS!$J$70*100</f>
        <v>18800.598584600015</v>
      </c>
      <c r="D11" s="2338">
        <f>6000</f>
        <v>6000</v>
      </c>
      <c r="E11" s="2338">
        <v>8000</v>
      </c>
    </row>
    <row r="12" spans="1:10" ht="19.5" customHeight="1">
      <c r="A12" s="301" t="s">
        <v>2473</v>
      </c>
      <c r="B12" s="1336"/>
      <c r="C12" s="2338">
        <f>[28]CFS!$J$72*100</f>
        <v>18305.794448000011</v>
      </c>
      <c r="D12" s="2339">
        <f>'F-2'!I44</f>
        <v>28511.146784533328</v>
      </c>
      <c r="E12" s="2339">
        <f>'F-2'!N44</f>
        <v>21806.129195133326</v>
      </c>
    </row>
    <row r="13" spans="1:10" ht="31.5" customHeight="1">
      <c r="A13" s="301" t="s">
        <v>2474</v>
      </c>
      <c r="B13" s="1336"/>
      <c r="C13" s="2338"/>
      <c r="D13" s="2338"/>
      <c r="E13" s="2338"/>
    </row>
    <row r="14" spans="1:10" ht="31.5" customHeight="1">
      <c r="A14" s="301" t="s">
        <v>2475</v>
      </c>
      <c r="B14" s="1336"/>
      <c r="C14" s="2338">
        <f>[28]CFS!$J$68*100</f>
        <v>5263.4261000000006</v>
      </c>
      <c r="D14" s="2338">
        <f>'Interest New'!H48-I4</f>
        <v>9542.2483236903063</v>
      </c>
      <c r="E14" s="2338">
        <f>'Interest New'!I48-J4</f>
        <v>4057.0930180070536</v>
      </c>
    </row>
    <row r="15" spans="1:10" ht="19.5" customHeight="1">
      <c r="A15" s="301" t="s">
        <v>1465</v>
      </c>
      <c r="B15" s="1336"/>
      <c r="C15" s="2338"/>
      <c r="D15" s="2338"/>
      <c r="E15" s="2338"/>
    </row>
    <row r="16" spans="1:10" ht="19.5" customHeight="1">
      <c r="A16" s="301" t="s">
        <v>2476</v>
      </c>
      <c r="B16" s="1336"/>
      <c r="C16" s="2338">
        <f>[28]CFS!$J$78*100</f>
        <v>23747.15121</v>
      </c>
      <c r="D16" s="2338">
        <f>'Interest New'!G7+('F-3'!B8-'F-21'!C13)</f>
        <v>49274.857813532188</v>
      </c>
      <c r="E16" s="2338">
        <f>'Interest New'!H7+('F-3'!F8-'F-21'!E13)</f>
        <v>20846.745898838719</v>
      </c>
    </row>
    <row r="17" spans="1:9" ht="19.5" hidden="1" customHeight="1">
      <c r="A17" s="301" t="s">
        <v>2477</v>
      </c>
      <c r="B17" s="1336"/>
      <c r="C17" s="2338"/>
      <c r="D17" s="2338"/>
      <c r="E17" s="2338"/>
    </row>
    <row r="18" spans="1:9" ht="19.5" hidden="1" customHeight="1">
      <c r="A18" s="301" t="s">
        <v>2478</v>
      </c>
      <c r="B18" s="1336"/>
      <c r="C18" s="2338"/>
      <c r="D18" s="2338"/>
      <c r="E18" s="2338"/>
    </row>
    <row r="19" spans="1:9" ht="19.5" customHeight="1">
      <c r="A19" s="301" t="s">
        <v>2479</v>
      </c>
      <c r="B19" s="1336"/>
      <c r="C19" s="2338">
        <f>[28]CFS!$J$75*100</f>
        <v>1721.3132078999984</v>
      </c>
      <c r="D19" s="2338">
        <f>'F-2'!I43</f>
        <v>30475.640594700009</v>
      </c>
      <c r="E19" s="2338">
        <f>'F-2'!N43</f>
        <v>5071.32</v>
      </c>
      <c r="G19" s="81"/>
    </row>
    <row r="20" spans="1:9" ht="19.5" customHeight="1">
      <c r="A20" s="301" t="s">
        <v>2480</v>
      </c>
      <c r="B20" s="1336"/>
      <c r="C20" s="2338">
        <f>'[29]CF-Unrestricted'!$O$10*100</f>
        <v>14797.999999999998</v>
      </c>
      <c r="D20" s="2338">
        <f>'Interest New'!H39-'F-21'!C14</f>
        <v>18934.053507172699</v>
      </c>
      <c r="E20" s="2338">
        <f>'Interest New'!I39-'Interest New'!H39</f>
        <v>3912.6362342434586</v>
      </c>
    </row>
    <row r="21" spans="1:9" ht="19.5" hidden="1" customHeight="1">
      <c r="A21" s="301" t="s">
        <v>2481</v>
      </c>
      <c r="B21" s="1336"/>
      <c r="C21" s="2338"/>
      <c r="D21" s="2338">
        <v>0</v>
      </c>
      <c r="E21" s="2338">
        <v>0</v>
      </c>
    </row>
    <row r="22" spans="1:9" ht="19.5" hidden="1" customHeight="1">
      <c r="A22" s="301" t="s">
        <v>2482</v>
      </c>
      <c r="B22" s="1336"/>
      <c r="C22" s="2338"/>
      <c r="D22" s="2338"/>
      <c r="E22" s="2338"/>
    </row>
    <row r="23" spans="1:9" ht="19.5" hidden="1" customHeight="1">
      <c r="A23" s="301" t="s">
        <v>2483</v>
      </c>
      <c r="B23" s="1336"/>
      <c r="C23" s="2338"/>
      <c r="D23" s="2338">
        <f>'F-3'!C11</f>
        <v>0</v>
      </c>
      <c r="E23" s="2338">
        <f>'F-3'!G11</f>
        <v>0</v>
      </c>
    </row>
    <row r="24" spans="1:9" ht="19.5" hidden="1" customHeight="1">
      <c r="A24" s="301" t="s">
        <v>2484</v>
      </c>
      <c r="B24" s="1336"/>
      <c r="C24" s="2338"/>
      <c r="D24" s="2338">
        <f>'F-3'!C13</f>
        <v>0</v>
      </c>
      <c r="E24" s="2338">
        <f>'F-3'!G13</f>
        <v>0</v>
      </c>
    </row>
    <row r="25" spans="1:9" ht="19.5" hidden="1" customHeight="1">
      <c r="A25" s="301" t="s">
        <v>2485</v>
      </c>
      <c r="B25" s="1336"/>
      <c r="C25" s="2338"/>
      <c r="D25" s="2338"/>
      <c r="E25" s="2338"/>
    </row>
    <row r="26" spans="1:9" ht="19.5" customHeight="1">
      <c r="A26" s="301" t="s">
        <v>2486</v>
      </c>
      <c r="B26" s="1336"/>
      <c r="C26" s="2338">
        <f>91.63*100</f>
        <v>9163</v>
      </c>
      <c r="D26" s="2338">
        <f>'Non-Tariff'!E36</f>
        <v>20815.922756</v>
      </c>
      <c r="E26" s="2338">
        <f>'Non-Tariff'!F36</f>
        <v>20734.159094999999</v>
      </c>
      <c r="H26" s="1139"/>
      <c r="I26" s="1139"/>
    </row>
    <row r="27" spans="1:9" ht="22.5" customHeight="1">
      <c r="A27" s="302" t="s">
        <v>239</v>
      </c>
      <c r="B27" s="1336"/>
      <c r="C27" s="2338">
        <f>SUM(C5:C26)</f>
        <v>546732.03332859976</v>
      </c>
      <c r="D27" s="2338">
        <f>D5+D6+D9+D11+D12+D14+D16+D19+D20+D26</f>
        <v>650936.57281197782</v>
      </c>
      <c r="E27" s="2338">
        <f>E5+E6+E9+E11+E12+E14+E16+E19+E20+E26</f>
        <v>634312.56634433009</v>
      </c>
    </row>
    <row r="28" spans="1:9" ht="22.5" customHeight="1">
      <c r="A28" s="299" t="s">
        <v>2487</v>
      </c>
      <c r="B28" s="1336"/>
      <c r="C28" s="2338"/>
      <c r="D28" s="2338"/>
      <c r="E28" s="2338"/>
    </row>
    <row r="29" spans="1:9" ht="19.5" customHeight="1">
      <c r="A29" s="301" t="s">
        <v>2488</v>
      </c>
      <c r="B29" s="1336"/>
      <c r="C29" s="2338">
        <v>216605.99999999994</v>
      </c>
      <c r="D29" s="2338">
        <f>'F-6 New'!I10</f>
        <v>277187.52559999999</v>
      </c>
      <c r="E29" s="2338">
        <f>'F-6 New'!M10</f>
        <v>293099.15950000001</v>
      </c>
      <c r="H29" s="1139"/>
      <c r="I29" s="1139"/>
    </row>
    <row r="30" spans="1:9" ht="19.5" hidden="1" customHeight="1">
      <c r="A30" s="301" t="s">
        <v>2441</v>
      </c>
      <c r="B30" s="1336"/>
      <c r="C30" s="2338"/>
      <c r="D30" s="2338"/>
      <c r="E30" s="2338"/>
    </row>
    <row r="31" spans="1:9" ht="19.5" hidden="1" customHeight="1">
      <c r="A31" s="301" t="s">
        <v>2489</v>
      </c>
      <c r="B31" s="1336"/>
      <c r="C31" s="2338"/>
      <c r="D31" s="2338"/>
      <c r="E31" s="2338"/>
    </row>
    <row r="32" spans="1:9" ht="19.5" customHeight="1">
      <c r="A32" s="301" t="s">
        <v>2490</v>
      </c>
      <c r="B32" s="1336"/>
      <c r="C32" s="2338" t="s">
        <v>2491</v>
      </c>
      <c r="D32" s="2339">
        <v>0</v>
      </c>
      <c r="E32" s="2339">
        <v>0</v>
      </c>
    </row>
    <row r="33" spans="1:14" ht="19.5" customHeight="1">
      <c r="A33" s="301" t="s">
        <v>2492</v>
      </c>
      <c r="B33" s="1336"/>
      <c r="C33" s="2338">
        <f>359.334910735*100</f>
        <v>35933.491073500001</v>
      </c>
      <c r="D33" s="2338">
        <f>'F-12 New'!L42+'F-12 New'!L65</f>
        <v>48834.718809122685</v>
      </c>
      <c r="E33" s="2338">
        <f>'F-12 New'!Q42+'F-12 New'!Q65</f>
        <v>53271.740660958902</v>
      </c>
      <c r="F33" s="81"/>
      <c r="G33" s="81"/>
      <c r="H33" s="1139"/>
      <c r="I33" s="1139"/>
      <c r="J33" s="1139"/>
      <c r="K33" s="1139"/>
    </row>
    <row r="34" spans="1:14" ht="19.5" customHeight="1">
      <c r="A34" s="301" t="s">
        <v>2493</v>
      </c>
      <c r="B34" s="1336"/>
      <c r="C34" s="2338">
        <f>471.383932170568*100-C35</f>
        <v>34566.3932170568</v>
      </c>
      <c r="D34" s="2338">
        <f>'F-14'!E66</f>
        <v>12312.811712200004</v>
      </c>
      <c r="E34" s="2338">
        <f>'F-14'!F66</f>
        <v>13439.507300599369</v>
      </c>
      <c r="F34" s="81"/>
      <c r="G34" s="81"/>
      <c r="H34" s="1139"/>
      <c r="I34" s="1139"/>
      <c r="J34" s="1139"/>
      <c r="K34" s="1139"/>
      <c r="L34" s="1139"/>
      <c r="M34" s="1139"/>
      <c r="N34" s="1139"/>
    </row>
    <row r="35" spans="1:14" ht="19.5" customHeight="1">
      <c r="A35" s="301" t="s">
        <v>2494</v>
      </c>
      <c r="B35" s="1336"/>
      <c r="C35" s="2338">
        <v>12572</v>
      </c>
      <c r="D35" s="2338">
        <f>'F-13 New'!E23+'F-13 New'!E33+('F-21'!G35)</f>
        <v>26091.819634500898</v>
      </c>
      <c r="E35" s="2338">
        <f>'F-13 New'!F23+'F-13 New'!F33+('F-21'!H35)</f>
        <v>32380.168239460705</v>
      </c>
      <c r="F35" s="88"/>
      <c r="G35" s="88"/>
      <c r="H35" s="1139"/>
      <c r="I35" s="1139"/>
      <c r="J35" s="1139"/>
      <c r="K35" s="1139"/>
      <c r="L35" s="1139"/>
      <c r="M35" s="1139"/>
      <c r="N35" s="1139"/>
    </row>
    <row r="36" spans="1:14" ht="19.5" customHeight="1">
      <c r="A36" s="301" t="s">
        <v>2495</v>
      </c>
      <c r="B36" s="1336"/>
      <c r="C36" s="2338">
        <v>37104.999999999993</v>
      </c>
      <c r="D36" s="2338">
        <f>('F-21'!G21+'F-21'!G24)-I4-2815</f>
        <v>114173.31027320292</v>
      </c>
      <c r="E36" s="2338">
        <f>'F-21'!H21+'F-21'!H24-J4+163</f>
        <v>68013.946473621952</v>
      </c>
      <c r="F36" s="1140"/>
      <c r="G36" s="1140"/>
      <c r="H36" s="1139"/>
      <c r="I36" s="1139"/>
    </row>
    <row r="37" spans="1:14" ht="19.5" hidden="1" customHeight="1">
      <c r="A37" s="301" t="s">
        <v>2496</v>
      </c>
      <c r="B37" s="1336"/>
      <c r="C37" s="2338"/>
      <c r="D37" s="2338" t="e">
        <f>#REF!</f>
        <v>#REF!</v>
      </c>
      <c r="E37" s="2338" t="e">
        <f>#REF!</f>
        <v>#REF!</v>
      </c>
    </row>
    <row r="38" spans="1:14" ht="19.5" hidden="1" customHeight="1">
      <c r="A38" s="301" t="s">
        <v>2497</v>
      </c>
      <c r="B38" s="1336"/>
      <c r="C38" s="2338"/>
      <c r="D38" s="2338"/>
      <c r="E38" s="2338"/>
    </row>
    <row r="39" spans="1:14" ht="19.5" customHeight="1">
      <c r="A39" s="301" t="s">
        <v>2498</v>
      </c>
      <c r="B39" s="1336"/>
      <c r="C39" s="2338" t="s">
        <v>2491</v>
      </c>
      <c r="D39" s="2338">
        <f>'Depreciation New'!N135</f>
        <v>5868.5390259885944</v>
      </c>
      <c r="E39" s="2338">
        <f>'Depreciation New'!P135</f>
        <v>8689.7973282041858</v>
      </c>
    </row>
    <row r="40" spans="1:14" ht="19.5" hidden="1" customHeight="1">
      <c r="A40" s="301" t="s">
        <v>2499</v>
      </c>
      <c r="B40" s="1336"/>
      <c r="C40" s="2338"/>
      <c r="D40" s="2338"/>
      <c r="E40" s="2338"/>
    </row>
    <row r="41" spans="1:14" ht="19.5" hidden="1" customHeight="1">
      <c r="A41" s="301" t="s">
        <v>2500</v>
      </c>
      <c r="B41" s="1336"/>
      <c r="C41" s="2338"/>
      <c r="D41" s="2338"/>
      <c r="E41" s="2338"/>
    </row>
    <row r="42" spans="1:14" ht="19.5" hidden="1" customHeight="1">
      <c r="A42" s="301" t="s">
        <v>2501</v>
      </c>
      <c r="B42" s="1336"/>
      <c r="C42" s="2338"/>
      <c r="D42" s="2338"/>
      <c r="E42" s="2338"/>
    </row>
    <row r="43" spans="1:14" ht="19.5" hidden="1" customHeight="1">
      <c r="A43" s="301" t="s">
        <v>2502</v>
      </c>
      <c r="B43" s="1336"/>
      <c r="C43" s="2338"/>
      <c r="D43" s="2338">
        <v>0</v>
      </c>
      <c r="E43" s="2338"/>
    </row>
    <row r="44" spans="1:14" ht="19.5" customHeight="1">
      <c r="A44" s="301" t="s">
        <v>2503</v>
      </c>
      <c r="B44" s="1336"/>
      <c r="C44" s="2338">
        <v>0</v>
      </c>
      <c r="D44" s="2338">
        <f>'Interest New'!C4</f>
        <v>5776.8023956072511</v>
      </c>
      <c r="E44" s="2338">
        <f>'Interest New'!D4</f>
        <v>6316.8023956072511</v>
      </c>
      <c r="H44" s="1139"/>
      <c r="I44" s="1139"/>
    </row>
    <row r="45" spans="1:14" ht="19.5" hidden="1" customHeight="1">
      <c r="A45" s="301" t="s">
        <v>2504</v>
      </c>
      <c r="B45" s="1336"/>
      <c r="C45" s="2338"/>
      <c r="D45" s="2338"/>
      <c r="E45" s="2338"/>
    </row>
    <row r="46" spans="1:14" ht="33.75" hidden="1" customHeight="1">
      <c r="A46" s="301" t="s">
        <v>2505</v>
      </c>
      <c r="B46" s="1336"/>
      <c r="C46" s="2338"/>
      <c r="D46" s="2338"/>
      <c r="E46" s="2338"/>
    </row>
    <row r="47" spans="1:14">
      <c r="A47" s="301" t="s">
        <v>2506</v>
      </c>
      <c r="B47" s="1336"/>
      <c r="C47" s="2338">
        <v>2601</v>
      </c>
      <c r="D47" s="2338">
        <f>'Interest New'!C5+'Interest New'!C6</f>
        <v>8921.5361123368893</v>
      </c>
      <c r="E47" s="2338">
        <f>'Interest New'!D5+'Interest New'!D6</f>
        <v>11410.640161599034</v>
      </c>
    </row>
    <row r="48" spans="1:14">
      <c r="A48" s="301" t="s">
        <v>2507</v>
      </c>
      <c r="B48" s="1336"/>
      <c r="C48" s="2338"/>
      <c r="D48" s="2338">
        <f>'F-22'!C19</f>
        <v>2727.675301795397</v>
      </c>
      <c r="E48" s="2338">
        <f>'F-22'!D19</f>
        <v>3448.8942698541359</v>
      </c>
    </row>
    <row r="49" spans="1:5" ht="18" customHeight="1">
      <c r="A49" s="301" t="s">
        <v>2508</v>
      </c>
      <c r="B49" s="1336"/>
      <c r="C49" s="2338">
        <v>18701</v>
      </c>
      <c r="D49" s="2338">
        <v>0</v>
      </c>
      <c r="E49" s="2338">
        <v>0</v>
      </c>
    </row>
    <row r="50" spans="1:5" ht="20.25" customHeight="1">
      <c r="A50" s="302" t="s">
        <v>239</v>
      </c>
      <c r="B50" s="1336"/>
      <c r="C50" s="2338">
        <f>SUM(C29:C49)</f>
        <v>358084.88429055677</v>
      </c>
      <c r="D50" s="2338">
        <f>D29+D32+D33+D34+D35+D36+D39+D44+D47+D49+D48</f>
        <v>501894.73886475468</v>
      </c>
      <c r="E50" s="2338">
        <f>E29+E32+E33+E34+E35+E36+E39+E44+E47+E49+E48</f>
        <v>490070.65632990556</v>
      </c>
    </row>
    <row r="51" spans="1:5" ht="27.75" customHeight="1">
      <c r="A51" s="2324" t="s">
        <v>2509</v>
      </c>
      <c r="B51" s="1336"/>
      <c r="C51" s="2338">
        <f>315.402602404153*100</f>
        <v>31540.2602404153</v>
      </c>
      <c r="D51" s="2338">
        <f>D53-D52</f>
        <v>109041.57570651855</v>
      </c>
      <c r="E51" s="2338">
        <f>E53-E52</f>
        <v>96241.651773719932</v>
      </c>
    </row>
    <row r="52" spans="1:5" ht="27.75" customHeight="1">
      <c r="A52" s="2324" t="s">
        <v>2510</v>
      </c>
      <c r="B52" s="1336"/>
      <c r="C52" s="2338">
        <f>1434.9444298*100</f>
        <v>143494.44298000002</v>
      </c>
      <c r="D52" s="2338">
        <f>D6+D11-D32-D48</f>
        <v>40000.258240704607</v>
      </c>
      <c r="E52" s="2338">
        <f>E6+E11-E32</f>
        <v>48000.258240704607</v>
      </c>
    </row>
    <row r="53" spans="1:5" ht="27.75" customHeight="1">
      <c r="A53" s="2337"/>
      <c r="B53" s="1336"/>
      <c r="C53" s="2338">
        <f>C27-C50</f>
        <v>188647.14903804299</v>
      </c>
      <c r="D53" s="2338">
        <f>D27-D50</f>
        <v>149041.83394722315</v>
      </c>
      <c r="E53" s="2338">
        <f>E27-E50</f>
        <v>144241.91001442453</v>
      </c>
    </row>
    <row r="55" spans="1:5" ht="15.75">
      <c r="A55" s="2692" t="s">
        <v>2511</v>
      </c>
      <c r="B55" s="2692"/>
      <c r="C55" s="2692"/>
      <c r="D55" s="2692"/>
    </row>
    <row r="58" spans="1:5">
      <c r="D58" s="1714"/>
      <c r="E58" s="1714"/>
    </row>
  </sheetData>
  <mergeCells count="5">
    <mergeCell ref="A1:E1"/>
    <mergeCell ref="B3:E3"/>
    <mergeCell ref="A3:A4"/>
    <mergeCell ref="A55:D55"/>
    <mergeCell ref="A2:D2"/>
  </mergeCells>
  <phoneticPr fontId="0" type="noConversion"/>
  <printOptions horizontalCentered="1" verticalCentered="1" gridLines="1"/>
  <pageMargins left="0.62992125984252001" right="0.35433070866141703" top="0.39370078740157499" bottom="0.511811023622047" header="0.27559055118110198" footer="0.31496062992126"/>
  <pageSetup paperSize="9" scale="94"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6">
    <pageSetUpPr fitToPage="1"/>
  </sheetPr>
  <dimension ref="A1:I64"/>
  <sheetViews>
    <sheetView topLeftCell="B1" zoomScale="75" workbookViewId="0">
      <pane xSplit="1" ySplit="4" topLeftCell="E5" activePane="bottomRight" state="frozen"/>
      <selection pane="bottomRight" activeCell="H12" sqref="H12"/>
      <selection pane="bottomLeft" activeCell="B5" sqref="B5"/>
      <selection pane="topRight" activeCell="C1" sqref="C1"/>
    </sheetView>
  </sheetViews>
  <sheetFormatPr defaultColWidth="9.140625" defaultRowHeight="12.75"/>
  <cols>
    <col min="1" max="1" width="6.5703125" style="54" customWidth="1"/>
    <col min="2" max="2" width="43.140625" style="54" customWidth="1"/>
    <col min="3" max="3" width="11.140625" style="54" customWidth="1"/>
    <col min="4" max="4" width="19" style="54" customWidth="1"/>
    <col min="5" max="5" width="11.42578125" style="54" customWidth="1"/>
    <col min="6" max="6" width="13.85546875" style="54" customWidth="1"/>
    <col min="7" max="7" width="16.42578125" style="54" customWidth="1"/>
    <col min="8" max="8" width="17.5703125" style="54" customWidth="1"/>
    <col min="9" max="9" width="15" style="54" customWidth="1"/>
    <col min="10" max="16384" width="9.140625" style="54"/>
  </cols>
  <sheetData>
    <row r="1" spans="1:9" ht="20.25">
      <c r="A1" s="2697" t="s">
        <v>2512</v>
      </c>
      <c r="B1" s="2697"/>
      <c r="C1" s="2697"/>
      <c r="D1" s="2697"/>
      <c r="E1" s="2697"/>
      <c r="F1" s="2697"/>
      <c r="G1" s="2697"/>
      <c r="H1" s="2697"/>
      <c r="I1" s="2697"/>
    </row>
    <row r="2" spans="1:9" ht="16.5" customHeight="1" thickBot="1"/>
    <row r="3" spans="1:9" ht="77.25" customHeight="1" thickTop="1">
      <c r="A3" s="55" t="s">
        <v>509</v>
      </c>
      <c r="B3" s="56" t="s">
        <v>2513</v>
      </c>
      <c r="C3" s="56" t="s">
        <v>2514</v>
      </c>
      <c r="D3" s="56" t="s">
        <v>2515</v>
      </c>
      <c r="E3" s="56" t="s">
        <v>2516</v>
      </c>
      <c r="F3" s="56" t="s">
        <v>2517</v>
      </c>
      <c r="G3" s="56" t="s">
        <v>2518</v>
      </c>
      <c r="H3" s="56" t="s">
        <v>2519</v>
      </c>
      <c r="I3" s="57" t="s">
        <v>2520</v>
      </c>
    </row>
    <row r="4" spans="1:9" ht="15.75">
      <c r="A4" s="58"/>
      <c r="B4" s="2698" t="s">
        <v>2521</v>
      </c>
      <c r="C4" s="2699"/>
      <c r="D4" s="2699"/>
      <c r="E4" s="2699"/>
      <c r="F4" s="2699"/>
      <c r="G4" s="2699"/>
      <c r="H4" s="2699"/>
      <c r="I4" s="2700"/>
    </row>
    <row r="5" spans="1:9" ht="15.75">
      <c r="A5" s="58">
        <v>1</v>
      </c>
      <c r="B5" s="59" t="s">
        <v>771</v>
      </c>
      <c r="C5" s="60"/>
      <c r="D5" s="61"/>
      <c r="E5" s="61"/>
      <c r="F5" s="61"/>
      <c r="G5" s="61"/>
      <c r="H5" s="61"/>
      <c r="I5" s="62"/>
    </row>
    <row r="6" spans="1:9" ht="15">
      <c r="A6" s="63" t="s">
        <v>2522</v>
      </c>
      <c r="B6" s="59" t="s">
        <v>2523</v>
      </c>
      <c r="C6" s="61" t="s">
        <v>232</v>
      </c>
      <c r="D6" s="2696" t="s">
        <v>2524</v>
      </c>
      <c r="E6" s="2696"/>
      <c r="F6" s="2696"/>
      <c r="G6" s="61">
        <v>30</v>
      </c>
      <c r="H6" s="61"/>
      <c r="I6" s="62"/>
    </row>
    <row r="7" spans="1:9" ht="15.75">
      <c r="A7" s="63" t="s">
        <v>2525</v>
      </c>
      <c r="B7" s="59" t="s">
        <v>234</v>
      </c>
      <c r="C7" s="61"/>
      <c r="D7" s="61"/>
      <c r="E7" s="61"/>
      <c r="F7" s="61"/>
      <c r="G7" s="61"/>
      <c r="H7" s="61"/>
      <c r="I7" s="64">
        <v>10</v>
      </c>
    </row>
    <row r="8" spans="1:9" ht="15">
      <c r="A8" s="65"/>
      <c r="B8" s="59" t="s">
        <v>2526</v>
      </c>
      <c r="C8" s="61" t="s">
        <v>232</v>
      </c>
      <c r="D8" s="61"/>
      <c r="E8" s="61">
        <v>140</v>
      </c>
      <c r="F8" s="61"/>
      <c r="G8" s="61">
        <v>20</v>
      </c>
      <c r="H8" s="61">
        <v>10</v>
      </c>
      <c r="I8" s="62"/>
    </row>
    <row r="9" spans="1:9" ht="15">
      <c r="A9" s="58"/>
      <c r="B9" s="59" t="s">
        <v>2527</v>
      </c>
      <c r="C9" s="61" t="s">
        <v>232</v>
      </c>
      <c r="D9" s="61"/>
      <c r="E9" s="61">
        <v>230</v>
      </c>
      <c r="F9" s="61"/>
      <c r="G9" s="61">
        <v>20</v>
      </c>
      <c r="H9" s="61">
        <v>10</v>
      </c>
      <c r="I9" s="62"/>
    </row>
    <row r="10" spans="1:9" ht="15.75">
      <c r="A10" s="58"/>
      <c r="B10" s="59" t="s">
        <v>2528</v>
      </c>
      <c r="C10" s="61" t="s">
        <v>232</v>
      </c>
      <c r="D10" s="61"/>
      <c r="E10" s="60">
        <v>310</v>
      </c>
      <c r="F10" s="61"/>
      <c r="G10" s="61">
        <v>20</v>
      </c>
      <c r="H10" s="61">
        <v>10</v>
      </c>
      <c r="I10" s="62"/>
    </row>
    <row r="11" spans="1:9" ht="15">
      <c r="A11" s="58">
        <v>2</v>
      </c>
      <c r="B11" s="59" t="s">
        <v>2529</v>
      </c>
      <c r="C11" s="61"/>
      <c r="D11" s="61"/>
      <c r="E11" s="61"/>
      <c r="F11" s="61"/>
      <c r="G11" s="61"/>
      <c r="H11" s="61"/>
      <c r="I11" s="62" t="s">
        <v>2530</v>
      </c>
    </row>
    <row r="12" spans="1:9" ht="15">
      <c r="A12" s="65"/>
      <c r="B12" s="59" t="s">
        <v>2531</v>
      </c>
      <c r="C12" s="61" t="s">
        <v>232</v>
      </c>
      <c r="D12" s="61"/>
      <c r="E12" s="61">
        <v>320</v>
      </c>
      <c r="F12" s="61"/>
      <c r="G12" s="61">
        <v>30</v>
      </c>
      <c r="H12" s="61">
        <v>20</v>
      </c>
      <c r="I12" s="62"/>
    </row>
    <row r="13" spans="1:9" ht="15">
      <c r="A13" s="63"/>
      <c r="B13" s="59" t="s">
        <v>2532</v>
      </c>
      <c r="C13" s="61" t="s">
        <v>232</v>
      </c>
      <c r="D13" s="61"/>
      <c r="E13" s="61">
        <v>410</v>
      </c>
      <c r="F13" s="61"/>
      <c r="G13" s="61">
        <v>30</v>
      </c>
      <c r="H13" s="61">
        <v>20</v>
      </c>
      <c r="I13" s="62"/>
    </row>
    <row r="14" spans="1:9" ht="15">
      <c r="A14" s="63"/>
      <c r="B14" s="59" t="s">
        <v>2533</v>
      </c>
      <c r="C14" s="61" t="s">
        <v>232</v>
      </c>
      <c r="D14" s="61"/>
      <c r="E14" s="61">
        <v>450</v>
      </c>
      <c r="F14" s="61"/>
      <c r="G14" s="61">
        <v>30</v>
      </c>
      <c r="H14" s="61">
        <v>20</v>
      </c>
      <c r="I14" s="62"/>
    </row>
    <row r="15" spans="1:9" ht="15">
      <c r="A15" s="63">
        <v>3</v>
      </c>
      <c r="B15" s="59" t="s">
        <v>1596</v>
      </c>
      <c r="C15" s="61" t="s">
        <v>232</v>
      </c>
      <c r="D15" s="61"/>
      <c r="E15" s="61">
        <v>110</v>
      </c>
      <c r="F15" s="61"/>
      <c r="G15" s="61">
        <v>20</v>
      </c>
      <c r="H15" s="61">
        <v>10</v>
      </c>
      <c r="I15" s="62" t="s">
        <v>2530</v>
      </c>
    </row>
    <row r="16" spans="1:9" ht="15">
      <c r="A16" s="63">
        <v>4</v>
      </c>
      <c r="B16" s="59" t="s">
        <v>2534</v>
      </c>
      <c r="C16" s="61" t="s">
        <v>232</v>
      </c>
      <c r="D16" s="61"/>
      <c r="E16" s="61">
        <v>320</v>
      </c>
      <c r="F16" s="61"/>
      <c r="G16" s="61">
        <v>20</v>
      </c>
      <c r="H16" s="61">
        <v>10</v>
      </c>
      <c r="I16" s="62" t="s">
        <v>2535</v>
      </c>
    </row>
    <row r="17" spans="1:9" ht="15">
      <c r="A17" s="63">
        <v>5</v>
      </c>
      <c r="B17" s="59" t="s">
        <v>2536</v>
      </c>
      <c r="C17" s="61" t="s">
        <v>232</v>
      </c>
      <c r="D17" s="61"/>
      <c r="E17" s="61">
        <v>320</v>
      </c>
      <c r="F17" s="61"/>
      <c r="G17" s="61">
        <v>40</v>
      </c>
      <c r="H17" s="61">
        <v>30</v>
      </c>
      <c r="I17" s="62" t="s">
        <v>2530</v>
      </c>
    </row>
    <row r="18" spans="1:9" ht="15">
      <c r="A18" s="63">
        <v>6</v>
      </c>
      <c r="B18" s="59" t="s">
        <v>2537</v>
      </c>
      <c r="C18" s="61" t="s">
        <v>232</v>
      </c>
      <c r="D18" s="61"/>
      <c r="E18" s="61">
        <v>320</v>
      </c>
      <c r="F18" s="61"/>
      <c r="G18" s="61">
        <v>80</v>
      </c>
      <c r="H18" s="61">
        <v>50</v>
      </c>
      <c r="I18" s="62" t="s">
        <v>2535</v>
      </c>
    </row>
    <row r="19" spans="1:9" ht="15.75">
      <c r="A19" s="63">
        <v>7</v>
      </c>
      <c r="B19" s="59" t="s">
        <v>2538</v>
      </c>
      <c r="C19" s="61" t="s">
        <v>232</v>
      </c>
      <c r="D19" s="61"/>
      <c r="E19" s="61">
        <v>320</v>
      </c>
      <c r="F19" s="61"/>
      <c r="G19" s="60">
        <v>50</v>
      </c>
      <c r="H19" s="61">
        <v>50</v>
      </c>
      <c r="I19" s="62" t="s">
        <v>2535</v>
      </c>
    </row>
    <row r="20" spans="1:9" ht="30">
      <c r="A20" s="63">
        <v>8</v>
      </c>
      <c r="B20" s="59" t="s">
        <v>2539</v>
      </c>
      <c r="C20" s="61" t="s">
        <v>232</v>
      </c>
      <c r="D20" s="61"/>
      <c r="E20" s="61">
        <v>320</v>
      </c>
      <c r="F20" s="61"/>
      <c r="G20" s="60">
        <v>50</v>
      </c>
      <c r="H20" s="61">
        <v>50</v>
      </c>
      <c r="I20" s="62" t="s">
        <v>2535</v>
      </c>
    </row>
    <row r="21" spans="1:9" ht="30">
      <c r="A21" s="63">
        <v>9</v>
      </c>
      <c r="B21" s="59" t="s">
        <v>2540</v>
      </c>
      <c r="C21" s="61" t="s">
        <v>232</v>
      </c>
      <c r="D21" s="61">
        <v>200</v>
      </c>
      <c r="E21" s="61">
        <v>320</v>
      </c>
      <c r="F21" s="61">
        <v>30</v>
      </c>
      <c r="G21" s="61"/>
      <c r="H21" s="61"/>
      <c r="I21" s="62" t="s">
        <v>2535</v>
      </c>
    </row>
    <row r="22" spans="1:9" ht="15">
      <c r="A22" s="63">
        <v>10</v>
      </c>
      <c r="B22" s="59" t="s">
        <v>2541</v>
      </c>
      <c r="C22" s="61" t="s">
        <v>232</v>
      </c>
      <c r="D22" s="61">
        <v>200</v>
      </c>
      <c r="E22" s="61">
        <v>320</v>
      </c>
      <c r="F22" s="61">
        <v>30</v>
      </c>
      <c r="G22" s="61"/>
      <c r="H22" s="61"/>
      <c r="I22" s="62" t="s">
        <v>2535</v>
      </c>
    </row>
    <row r="23" spans="1:9" ht="15">
      <c r="A23" s="63">
        <v>11</v>
      </c>
      <c r="B23" s="59" t="s">
        <v>255</v>
      </c>
      <c r="C23" s="61" t="s">
        <v>232</v>
      </c>
      <c r="D23" s="61">
        <v>200</v>
      </c>
      <c r="E23" s="61">
        <v>320</v>
      </c>
      <c r="F23" s="61">
        <v>30</v>
      </c>
      <c r="G23" s="61"/>
      <c r="H23" s="61"/>
      <c r="I23" s="62" t="s">
        <v>2535</v>
      </c>
    </row>
    <row r="24" spans="1:9" ht="15.75">
      <c r="A24" s="58"/>
      <c r="B24" s="2698" t="s">
        <v>2542</v>
      </c>
      <c r="C24" s="2699"/>
      <c r="D24" s="2699"/>
      <c r="E24" s="2699"/>
      <c r="F24" s="2699"/>
      <c r="G24" s="2699"/>
      <c r="H24" s="2699"/>
      <c r="I24" s="2700"/>
    </row>
    <row r="25" spans="1:9" ht="15.75">
      <c r="A25" s="63">
        <v>12</v>
      </c>
      <c r="B25" s="59" t="s">
        <v>258</v>
      </c>
      <c r="C25" s="66" t="s">
        <v>259</v>
      </c>
      <c r="D25" s="61">
        <v>10</v>
      </c>
      <c r="E25" s="61">
        <v>230</v>
      </c>
      <c r="F25" s="61">
        <v>250</v>
      </c>
      <c r="G25" s="61"/>
      <c r="H25" s="61"/>
      <c r="I25" s="64">
        <v>10</v>
      </c>
    </row>
    <row r="26" spans="1:9" ht="15">
      <c r="A26" s="63">
        <v>13</v>
      </c>
      <c r="B26" s="59" t="s">
        <v>763</v>
      </c>
      <c r="C26" s="66" t="s">
        <v>259</v>
      </c>
      <c r="D26" s="61">
        <v>30</v>
      </c>
      <c r="E26" s="61">
        <v>100</v>
      </c>
      <c r="F26" s="61">
        <v>250</v>
      </c>
      <c r="G26" s="61"/>
      <c r="H26" s="61"/>
      <c r="I26" s="62" t="s">
        <v>2530</v>
      </c>
    </row>
    <row r="27" spans="1:9" ht="15">
      <c r="A27" s="63">
        <v>14</v>
      </c>
      <c r="B27" s="59" t="s">
        <v>2538</v>
      </c>
      <c r="C27" s="66" t="s">
        <v>259</v>
      </c>
      <c r="D27" s="61">
        <v>50</v>
      </c>
      <c r="E27" s="61">
        <v>300</v>
      </c>
      <c r="F27" s="61">
        <v>250</v>
      </c>
      <c r="G27" s="61"/>
      <c r="H27" s="61"/>
      <c r="I27" s="62" t="s">
        <v>2535</v>
      </c>
    </row>
    <row r="28" spans="1:9" ht="15">
      <c r="A28" s="63">
        <v>15</v>
      </c>
      <c r="B28" s="59" t="s">
        <v>2529</v>
      </c>
      <c r="C28" s="66" t="s">
        <v>259</v>
      </c>
      <c r="D28" s="61">
        <v>50</v>
      </c>
      <c r="E28" s="61">
        <v>300</v>
      </c>
      <c r="F28" s="61">
        <v>250</v>
      </c>
      <c r="G28" s="61"/>
      <c r="H28" s="61"/>
      <c r="I28" s="62" t="s">
        <v>2530</v>
      </c>
    </row>
    <row r="29" spans="1:9" ht="15">
      <c r="A29" s="63">
        <v>16</v>
      </c>
      <c r="B29" s="59" t="s">
        <v>2543</v>
      </c>
      <c r="C29" s="66" t="s">
        <v>259</v>
      </c>
      <c r="D29" s="61">
        <v>50</v>
      </c>
      <c r="E29" s="61">
        <v>300</v>
      </c>
      <c r="F29" s="61">
        <v>250</v>
      </c>
      <c r="G29" s="61"/>
      <c r="H29" s="61"/>
      <c r="I29" s="62" t="s">
        <v>2535</v>
      </c>
    </row>
    <row r="30" spans="1:9" ht="15">
      <c r="A30" s="63">
        <v>17</v>
      </c>
      <c r="B30" s="59" t="s">
        <v>2541</v>
      </c>
      <c r="C30" s="66" t="s">
        <v>259</v>
      </c>
      <c r="D30" s="61">
        <v>200</v>
      </c>
      <c r="E30" s="61">
        <v>300</v>
      </c>
      <c r="F30" s="61">
        <v>250</v>
      </c>
      <c r="G30" s="61"/>
      <c r="H30" s="61"/>
      <c r="I30" s="62" t="s">
        <v>2535</v>
      </c>
    </row>
    <row r="31" spans="1:9" ht="30">
      <c r="A31" s="63">
        <v>18</v>
      </c>
      <c r="B31" s="59" t="s">
        <v>2544</v>
      </c>
      <c r="C31" s="66" t="s">
        <v>259</v>
      </c>
      <c r="D31" s="61">
        <v>200</v>
      </c>
      <c r="E31" s="61">
        <v>300</v>
      </c>
      <c r="F31" s="61">
        <v>250</v>
      </c>
      <c r="G31" s="61"/>
      <c r="H31" s="61"/>
      <c r="I31" s="62" t="s">
        <v>2535</v>
      </c>
    </row>
    <row r="32" spans="1:9" ht="15">
      <c r="A32" s="63">
        <v>19</v>
      </c>
      <c r="B32" s="59" t="s">
        <v>255</v>
      </c>
      <c r="C32" s="66" t="s">
        <v>259</v>
      </c>
      <c r="D32" s="61">
        <v>200</v>
      </c>
      <c r="E32" s="61">
        <v>300</v>
      </c>
      <c r="F32" s="61">
        <v>250</v>
      </c>
      <c r="G32" s="61"/>
      <c r="H32" s="61"/>
      <c r="I32" s="62" t="s">
        <v>2535</v>
      </c>
    </row>
    <row r="33" spans="1:9" ht="15">
      <c r="A33" s="63">
        <v>20</v>
      </c>
      <c r="B33" s="59" t="s">
        <v>263</v>
      </c>
      <c r="C33" s="66" t="s">
        <v>259</v>
      </c>
      <c r="D33" s="61">
        <v>200</v>
      </c>
      <c r="E33" s="61">
        <v>300</v>
      </c>
      <c r="F33" s="61">
        <v>250</v>
      </c>
      <c r="G33" s="61"/>
      <c r="H33" s="61"/>
      <c r="I33" s="62" t="s">
        <v>2535</v>
      </c>
    </row>
    <row r="34" spans="1:9" ht="15">
      <c r="A34" s="63">
        <v>21</v>
      </c>
      <c r="B34" s="59" t="s">
        <v>1604</v>
      </c>
      <c r="C34" s="66" t="s">
        <v>259</v>
      </c>
      <c r="D34" s="61">
        <v>200</v>
      </c>
      <c r="E34" s="61">
        <v>300</v>
      </c>
      <c r="F34" s="61">
        <v>250</v>
      </c>
      <c r="G34" s="61"/>
      <c r="H34" s="61"/>
      <c r="I34" s="62" t="s">
        <v>2535</v>
      </c>
    </row>
    <row r="35" spans="1:9" ht="15">
      <c r="A35" s="63">
        <v>22</v>
      </c>
      <c r="B35" s="59" t="s">
        <v>2545</v>
      </c>
      <c r="C35" s="66" t="s">
        <v>259</v>
      </c>
      <c r="D35" s="61">
        <v>0</v>
      </c>
      <c r="E35" s="61">
        <v>400</v>
      </c>
      <c r="F35" s="61">
        <v>250</v>
      </c>
      <c r="G35" s="61"/>
      <c r="H35" s="61"/>
      <c r="I35" s="62" t="s">
        <v>2535</v>
      </c>
    </row>
    <row r="36" spans="1:9" ht="15">
      <c r="A36" s="63">
        <v>23</v>
      </c>
      <c r="B36" s="59" t="s">
        <v>265</v>
      </c>
      <c r="C36" s="66" t="s">
        <v>259</v>
      </c>
      <c r="D36" s="61">
        <v>200</v>
      </c>
      <c r="E36" s="61">
        <v>300</v>
      </c>
      <c r="F36" s="61">
        <v>250</v>
      </c>
      <c r="G36" s="61"/>
      <c r="H36" s="61"/>
      <c r="I36" s="62" t="s">
        <v>2535</v>
      </c>
    </row>
    <row r="37" spans="1:9" ht="15">
      <c r="A37" s="63">
        <v>24</v>
      </c>
      <c r="B37" s="59" t="s">
        <v>2546</v>
      </c>
      <c r="C37" s="66" t="s">
        <v>259</v>
      </c>
      <c r="D37" s="61">
        <v>0</v>
      </c>
      <c r="E37" s="61">
        <v>230</v>
      </c>
      <c r="F37" s="61">
        <v>0</v>
      </c>
      <c r="G37" s="61"/>
      <c r="H37" s="61"/>
      <c r="I37" s="62" t="s">
        <v>2535</v>
      </c>
    </row>
    <row r="38" spans="1:9" ht="15.75">
      <c r="A38" s="58"/>
      <c r="B38" s="2701" t="s">
        <v>2547</v>
      </c>
      <c r="C38" s="2702"/>
      <c r="D38" s="2702"/>
      <c r="E38" s="2702"/>
      <c r="F38" s="2702"/>
      <c r="G38" s="2702"/>
      <c r="H38" s="2702"/>
      <c r="I38" s="2703"/>
    </row>
    <row r="39" spans="1:9" ht="15">
      <c r="A39" s="63">
        <v>25</v>
      </c>
      <c r="B39" s="59" t="s">
        <v>270</v>
      </c>
      <c r="C39" s="66" t="s">
        <v>271</v>
      </c>
      <c r="D39" s="61">
        <v>200</v>
      </c>
      <c r="E39" s="61">
        <v>290</v>
      </c>
      <c r="F39" s="61">
        <v>700</v>
      </c>
      <c r="G39" s="61"/>
      <c r="H39" s="61"/>
      <c r="I39" s="62" t="s">
        <v>2535</v>
      </c>
    </row>
    <row r="40" spans="1:9" ht="15">
      <c r="A40" s="63">
        <v>26</v>
      </c>
      <c r="B40" s="59" t="s">
        <v>255</v>
      </c>
      <c r="C40" s="66" t="s">
        <v>271</v>
      </c>
      <c r="D40" s="61">
        <v>200</v>
      </c>
      <c r="E40" s="61">
        <v>290</v>
      </c>
      <c r="F40" s="61">
        <v>700</v>
      </c>
      <c r="G40" s="61"/>
      <c r="H40" s="61"/>
      <c r="I40" s="62" t="s">
        <v>2535</v>
      </c>
    </row>
    <row r="41" spans="1:9" ht="15">
      <c r="A41" s="63">
        <v>27</v>
      </c>
      <c r="B41" s="59" t="s">
        <v>265</v>
      </c>
      <c r="C41" s="66" t="s">
        <v>271</v>
      </c>
      <c r="D41" s="61">
        <v>200</v>
      </c>
      <c r="E41" s="61">
        <v>290</v>
      </c>
      <c r="F41" s="61">
        <v>700</v>
      </c>
      <c r="G41" s="61"/>
      <c r="H41" s="61"/>
      <c r="I41" s="62" t="s">
        <v>2535</v>
      </c>
    </row>
    <row r="42" spans="1:9" ht="15">
      <c r="A42" s="63">
        <v>28</v>
      </c>
      <c r="B42" s="59" t="s">
        <v>276</v>
      </c>
      <c r="C42" s="66" t="s">
        <v>271</v>
      </c>
      <c r="D42" s="61">
        <v>200</v>
      </c>
      <c r="E42" s="61">
        <v>290</v>
      </c>
      <c r="F42" s="61">
        <v>700</v>
      </c>
      <c r="G42" s="61"/>
      <c r="H42" s="61"/>
      <c r="I42" s="62" t="s">
        <v>2535</v>
      </c>
    </row>
    <row r="43" spans="1:9" ht="15">
      <c r="A43" s="63">
        <v>29</v>
      </c>
      <c r="B43" s="59" t="s">
        <v>263</v>
      </c>
      <c r="C43" s="66" t="s">
        <v>271</v>
      </c>
      <c r="D43" s="61">
        <v>200</v>
      </c>
      <c r="E43" s="61">
        <v>290</v>
      </c>
      <c r="F43" s="61">
        <v>700</v>
      </c>
      <c r="G43" s="61"/>
      <c r="H43" s="61"/>
      <c r="I43" s="62" t="s">
        <v>2535</v>
      </c>
    </row>
    <row r="44" spans="1:9" ht="15">
      <c r="A44" s="63">
        <v>30</v>
      </c>
      <c r="B44" s="59" t="s">
        <v>1604</v>
      </c>
      <c r="C44" s="66" t="s">
        <v>271</v>
      </c>
      <c r="D44" s="61">
        <v>200</v>
      </c>
      <c r="E44" s="61">
        <v>290</v>
      </c>
      <c r="F44" s="61">
        <v>700</v>
      </c>
      <c r="G44" s="61"/>
      <c r="H44" s="61"/>
      <c r="I44" s="62" t="s">
        <v>2535</v>
      </c>
    </row>
    <row r="45" spans="1:9" ht="15">
      <c r="A45" s="63">
        <v>31</v>
      </c>
      <c r="B45" s="59" t="s">
        <v>2545</v>
      </c>
      <c r="C45" s="66" t="s">
        <v>271</v>
      </c>
      <c r="D45" s="61">
        <v>0</v>
      </c>
      <c r="E45" s="61">
        <v>380</v>
      </c>
      <c r="F45" s="61">
        <v>700</v>
      </c>
      <c r="G45" s="61"/>
      <c r="H45" s="61"/>
      <c r="I45" s="62" t="s">
        <v>2535</v>
      </c>
    </row>
    <row r="46" spans="1:9" ht="15">
      <c r="A46" s="63">
        <v>32</v>
      </c>
      <c r="B46" s="59" t="s">
        <v>267</v>
      </c>
      <c r="C46" s="66" t="s">
        <v>271</v>
      </c>
      <c r="D46" s="61">
        <v>0</v>
      </c>
      <c r="E46" s="61">
        <v>230</v>
      </c>
      <c r="F46" s="61">
        <v>0</v>
      </c>
      <c r="G46" s="61"/>
      <c r="H46" s="61"/>
      <c r="I46" s="62" t="s">
        <v>2535</v>
      </c>
    </row>
    <row r="47" spans="1:9" ht="15.75">
      <c r="A47" s="58"/>
      <c r="B47" s="67" t="s">
        <v>769</v>
      </c>
      <c r="C47" s="66"/>
      <c r="D47" s="2696" t="s">
        <v>2548</v>
      </c>
      <c r="E47" s="2696"/>
      <c r="F47" s="2696"/>
      <c r="G47" s="2696"/>
      <c r="H47" s="2696"/>
      <c r="I47" s="62"/>
    </row>
    <row r="48" spans="1:9" ht="15.75">
      <c r="A48" s="63">
        <v>34</v>
      </c>
      <c r="B48" s="67" t="s">
        <v>771</v>
      </c>
      <c r="C48" s="66" t="s">
        <v>232</v>
      </c>
      <c r="D48" s="2696" t="s">
        <v>2549</v>
      </c>
      <c r="E48" s="2696"/>
      <c r="F48" s="2696"/>
      <c r="G48" s="2696"/>
      <c r="H48" s="2696"/>
      <c r="I48" s="64">
        <v>10</v>
      </c>
    </row>
    <row r="49" spans="1:9" ht="15">
      <c r="A49" s="63">
        <v>35</v>
      </c>
      <c r="B49" s="68" t="s">
        <v>2529</v>
      </c>
      <c r="C49" s="66" t="s">
        <v>232</v>
      </c>
      <c r="D49" s="2696" t="s">
        <v>2550</v>
      </c>
      <c r="E49" s="2696"/>
      <c r="F49" s="2696"/>
      <c r="G49" s="2696"/>
      <c r="H49" s="2696"/>
      <c r="I49" s="62" t="s">
        <v>2530</v>
      </c>
    </row>
    <row r="50" spans="1:9" ht="15.75" thickBot="1">
      <c r="A50" s="69">
        <v>36</v>
      </c>
      <c r="B50" s="70" t="s">
        <v>2536</v>
      </c>
      <c r="C50" s="71" t="s">
        <v>232</v>
      </c>
      <c r="D50" s="2704" t="s">
        <v>2551</v>
      </c>
      <c r="E50" s="2704"/>
      <c r="F50" s="2704"/>
      <c r="G50" s="2704"/>
      <c r="H50" s="2704"/>
      <c r="I50" s="72" t="s">
        <v>2530</v>
      </c>
    </row>
    <row r="51" spans="1:9" ht="25.5" customHeight="1">
      <c r="A51" s="2705" t="s">
        <v>2552</v>
      </c>
      <c r="B51" s="2706"/>
      <c r="C51" s="2706"/>
      <c r="D51" s="2706"/>
      <c r="E51" s="2706"/>
      <c r="F51" s="2706"/>
      <c r="G51" s="2706"/>
      <c r="H51" s="2706"/>
      <c r="I51" s="2707"/>
    </row>
    <row r="52" spans="1:9" ht="20.100000000000001" customHeight="1">
      <c r="A52" s="73" t="s">
        <v>2553</v>
      </c>
      <c r="B52" s="2708" t="s">
        <v>2554</v>
      </c>
      <c r="C52" s="2708"/>
      <c r="D52" s="2708"/>
      <c r="E52" s="2708"/>
      <c r="F52" s="2708"/>
      <c r="G52" s="2708"/>
      <c r="H52" s="2708"/>
      <c r="I52" s="2709"/>
    </row>
    <row r="53" spans="1:9" ht="20.100000000000001" customHeight="1">
      <c r="A53" s="73" t="s">
        <v>2555</v>
      </c>
      <c r="B53" s="2708" t="s">
        <v>2556</v>
      </c>
      <c r="C53" s="2708"/>
      <c r="D53" s="2708"/>
      <c r="E53" s="2708"/>
      <c r="F53" s="2708"/>
      <c r="G53" s="2708"/>
      <c r="H53" s="2708"/>
      <c r="I53" s="2709"/>
    </row>
    <row r="54" spans="1:9" ht="20.100000000000001" customHeight="1">
      <c r="A54" s="73" t="s">
        <v>2555</v>
      </c>
      <c r="B54" s="2708" t="s">
        <v>2557</v>
      </c>
      <c r="C54" s="2708"/>
      <c r="D54" s="2708"/>
      <c r="E54" s="2708"/>
      <c r="F54" s="2708"/>
      <c r="G54" s="2708"/>
      <c r="H54" s="2708"/>
      <c r="I54" s="2709"/>
    </row>
    <row r="55" spans="1:9" ht="19.5" customHeight="1">
      <c r="A55" s="74" t="s">
        <v>2558</v>
      </c>
      <c r="B55" s="2710" t="s">
        <v>2559</v>
      </c>
      <c r="C55" s="2710"/>
      <c r="D55" s="2710"/>
      <c r="E55" s="2710"/>
      <c r="F55" s="2710"/>
      <c r="G55" s="2710"/>
      <c r="H55" s="2710"/>
      <c r="I55" s="2711"/>
    </row>
    <row r="56" spans="1:9" ht="33" customHeight="1">
      <c r="A56" s="74" t="s">
        <v>2560</v>
      </c>
      <c r="B56" s="2710" t="s">
        <v>2561</v>
      </c>
      <c r="C56" s="2710"/>
      <c r="D56" s="2710"/>
      <c r="E56" s="2710"/>
      <c r="F56" s="2710"/>
      <c r="G56" s="2710"/>
      <c r="H56" s="2710"/>
      <c r="I56" s="2711"/>
    </row>
    <row r="57" spans="1:9" ht="29.25" customHeight="1">
      <c r="A57" s="74" t="s">
        <v>2562</v>
      </c>
      <c r="B57" s="2710" t="s">
        <v>2563</v>
      </c>
      <c r="C57" s="2710"/>
      <c r="D57" s="2710"/>
      <c r="E57" s="2710"/>
      <c r="F57" s="2710"/>
      <c r="G57" s="2710"/>
      <c r="H57" s="2710"/>
      <c r="I57" s="2711"/>
    </row>
    <row r="58" spans="1:9" ht="32.25" customHeight="1">
      <c r="A58" s="75" t="s">
        <v>2564</v>
      </c>
      <c r="B58" s="2710" t="s">
        <v>2565</v>
      </c>
      <c r="C58" s="2710"/>
      <c r="D58" s="2710"/>
      <c r="E58" s="2710"/>
      <c r="F58" s="2710"/>
      <c r="G58" s="2710"/>
      <c r="H58" s="2710"/>
      <c r="I58" s="2711"/>
    </row>
    <row r="59" spans="1:9" ht="33" customHeight="1">
      <c r="A59" s="75" t="s">
        <v>2566</v>
      </c>
      <c r="B59" s="2710" t="s">
        <v>2567</v>
      </c>
      <c r="C59" s="2710"/>
      <c r="D59" s="2710"/>
      <c r="E59" s="2710"/>
      <c r="F59" s="2710"/>
      <c r="G59" s="2710"/>
      <c r="H59" s="2710"/>
      <c r="I59" s="2711"/>
    </row>
    <row r="60" spans="1:9" ht="32.25" customHeight="1">
      <c r="A60" s="75" t="s">
        <v>2568</v>
      </c>
      <c r="B60" s="2710" t="s">
        <v>2569</v>
      </c>
      <c r="C60" s="2710"/>
      <c r="D60" s="2710"/>
      <c r="E60" s="2710"/>
      <c r="F60" s="2710"/>
      <c r="G60" s="2710"/>
      <c r="H60" s="2710"/>
      <c r="I60" s="2711"/>
    </row>
    <row r="61" spans="1:9" ht="23.25" customHeight="1">
      <c r="A61" s="73" t="s">
        <v>2570</v>
      </c>
      <c r="B61" s="2708" t="s">
        <v>2571</v>
      </c>
      <c r="C61" s="2708"/>
      <c r="D61" s="2708"/>
      <c r="E61" s="2708"/>
      <c r="F61" s="2708"/>
      <c r="G61" s="2708"/>
      <c r="H61" s="2708"/>
      <c r="I61" s="2709"/>
    </row>
    <row r="62" spans="1:9" ht="21.75" customHeight="1">
      <c r="A62" s="2712" t="s">
        <v>2572</v>
      </c>
      <c r="B62" s="2713"/>
      <c r="C62" s="2713"/>
      <c r="D62" s="2713"/>
      <c r="E62" s="2713"/>
      <c r="F62" s="2713"/>
      <c r="G62" s="2713"/>
      <c r="H62" s="2713"/>
      <c r="I62" s="2714"/>
    </row>
    <row r="63" spans="1:9" ht="22.5" customHeight="1">
      <c r="A63" s="2712" t="s">
        <v>2573</v>
      </c>
      <c r="B63" s="2713"/>
      <c r="C63" s="2713"/>
      <c r="D63" s="2713"/>
      <c r="E63" s="2713"/>
      <c r="F63" s="2713"/>
      <c r="G63" s="2713"/>
      <c r="H63" s="2713"/>
      <c r="I63" s="2714"/>
    </row>
    <row r="64" spans="1:9" ht="36" customHeight="1" thickBot="1">
      <c r="A64" s="2465"/>
      <c r="B64" s="2715" t="s">
        <v>2574</v>
      </c>
      <c r="C64" s="2715"/>
      <c r="D64" s="2715"/>
      <c r="E64" s="2715"/>
      <c r="F64" s="2715"/>
      <c r="G64" s="2715"/>
      <c r="H64" s="2715"/>
      <c r="I64" s="2716"/>
    </row>
  </sheetData>
  <mergeCells count="23">
    <mergeCell ref="B64:I64"/>
    <mergeCell ref="B58:I58"/>
    <mergeCell ref="B59:I59"/>
    <mergeCell ref="B60:I60"/>
    <mergeCell ref="B61:I61"/>
    <mergeCell ref="A63:I63"/>
    <mergeCell ref="B57:I57"/>
    <mergeCell ref="B54:I54"/>
    <mergeCell ref="B55:I55"/>
    <mergeCell ref="B56:I56"/>
    <mergeCell ref="A62:I62"/>
    <mergeCell ref="D49:H49"/>
    <mergeCell ref="D50:H50"/>
    <mergeCell ref="A51:I51"/>
    <mergeCell ref="B52:I52"/>
    <mergeCell ref="B53:I53"/>
    <mergeCell ref="D48:H48"/>
    <mergeCell ref="A1:I1"/>
    <mergeCell ref="B4:I4"/>
    <mergeCell ref="D6:F6"/>
    <mergeCell ref="B24:I24"/>
    <mergeCell ref="B38:I38"/>
    <mergeCell ref="D47:H47"/>
  </mergeCells>
  <phoneticPr fontId="0" type="noConversion"/>
  <pageMargins left="0.75" right="0.75" top="1" bottom="1" header="0.5" footer="0.5"/>
  <pageSetup scale="53"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8000"/>
  </sheetPr>
  <dimension ref="B1:L11"/>
  <sheetViews>
    <sheetView view="pageBreakPreview" zoomScale="110" zoomScaleSheetLayoutView="110" workbookViewId="0">
      <selection activeCell="K10" sqref="K10"/>
    </sheetView>
  </sheetViews>
  <sheetFormatPr defaultColWidth="9.140625" defaultRowHeight="15.75"/>
  <cols>
    <col min="1" max="1" width="3.42578125" style="131" customWidth="1"/>
    <col min="2" max="2" width="6.42578125" style="131" customWidth="1"/>
    <col min="3" max="3" width="18.85546875" style="131" bestFit="1" customWidth="1"/>
    <col min="4" max="4" width="13.140625" style="131" customWidth="1"/>
    <col min="5" max="6" width="12.28515625" style="131" customWidth="1"/>
    <col min="7" max="7" width="15.5703125" style="131" customWidth="1"/>
    <col min="8" max="8" width="14.28515625" style="131" customWidth="1"/>
    <col min="9" max="10" width="12.85546875" style="131" customWidth="1"/>
    <col min="11" max="11" width="14.28515625" style="131" customWidth="1"/>
    <col min="12" max="12" width="9.28515625" style="131" bestFit="1" customWidth="1"/>
    <col min="13" max="16384" width="9.140625" style="131"/>
  </cols>
  <sheetData>
    <row r="1" spans="2:12" ht="15.75" customHeight="1">
      <c r="B1" s="2717" t="s">
        <v>2575</v>
      </c>
      <c r="C1" s="2717"/>
      <c r="D1" s="2717"/>
      <c r="E1" s="2717"/>
      <c r="F1" s="2717"/>
      <c r="G1" s="2717"/>
      <c r="H1" s="2717"/>
      <c r="I1" s="2717"/>
      <c r="J1" s="2717"/>
      <c r="K1" s="2717"/>
    </row>
    <row r="2" spans="2:12">
      <c r="B2" s="2718" t="s">
        <v>2576</v>
      </c>
      <c r="C2" s="2718"/>
      <c r="D2" s="2718"/>
      <c r="E2" s="2718"/>
      <c r="F2" s="2718"/>
      <c r="G2" s="2718"/>
      <c r="H2" s="2718"/>
      <c r="I2" s="2718"/>
      <c r="J2" s="2718"/>
      <c r="K2" s="2718"/>
    </row>
    <row r="3" spans="2:12" ht="69" customHeight="1">
      <c r="B3" s="2342" t="s">
        <v>912</v>
      </c>
      <c r="C3" s="190"/>
      <c r="D3" s="2085" t="s">
        <v>2577</v>
      </c>
      <c r="E3" s="2085" t="s">
        <v>2578</v>
      </c>
      <c r="F3" s="2085" t="s">
        <v>2579</v>
      </c>
      <c r="G3" s="2085" t="s">
        <v>2580</v>
      </c>
      <c r="H3" s="2085" t="s">
        <v>2581</v>
      </c>
      <c r="I3" s="2085" t="s">
        <v>2582</v>
      </c>
      <c r="J3" s="2085" t="s">
        <v>2583</v>
      </c>
      <c r="K3" s="2085" t="s">
        <v>2584</v>
      </c>
      <c r="L3" s="132"/>
    </row>
    <row r="4" spans="2:12" ht="24.95" customHeight="1">
      <c r="B4" s="1343" t="s">
        <v>291</v>
      </c>
      <c r="C4" s="1718" t="s">
        <v>2585</v>
      </c>
      <c r="D4" s="2341"/>
      <c r="E4" s="2341"/>
      <c r="F4" s="2341"/>
      <c r="G4" s="2341"/>
      <c r="H4" s="2341"/>
      <c r="I4" s="2341"/>
      <c r="J4" s="2341"/>
      <c r="K4" s="2341"/>
      <c r="L4" s="132"/>
    </row>
    <row r="5" spans="2:12" ht="24.95" customHeight="1">
      <c r="B5" s="1343">
        <v>1</v>
      </c>
      <c r="C5" s="586" t="s">
        <v>2586</v>
      </c>
      <c r="D5" s="307">
        <f>'F-21'!C16</f>
        <v>79582.257712700011</v>
      </c>
      <c r="E5" s="307">
        <v>4780.6634140000242</v>
      </c>
      <c r="F5" s="307">
        <f>'F-23 New '!D11</f>
        <v>6000</v>
      </c>
      <c r="G5" s="307">
        <f>'F-23 New '!D32</f>
        <v>0</v>
      </c>
      <c r="H5" s="307">
        <f>D5+E5+F5-G5</f>
        <v>90362.921126700036</v>
      </c>
      <c r="I5" s="307">
        <f>'F-23 New '!E11</f>
        <v>8000</v>
      </c>
      <c r="J5" s="307">
        <f>'F-23 New '!E32</f>
        <v>0</v>
      </c>
      <c r="K5" s="307">
        <f>H5+I5-J5</f>
        <v>98362.921126700036</v>
      </c>
    </row>
    <row r="6" spans="2:12" ht="24.95" customHeight="1">
      <c r="B6" s="1343">
        <v>2</v>
      </c>
      <c r="C6" s="2343" t="s">
        <v>2587</v>
      </c>
      <c r="D6" s="2344">
        <v>21651.775933600002</v>
      </c>
      <c r="E6" s="2344">
        <f>41604715/100000</f>
        <v>416.04714999999999</v>
      </c>
      <c r="F6" s="2344">
        <v>916.86</v>
      </c>
      <c r="G6" s="2344">
        <v>455.34</v>
      </c>
      <c r="H6" s="2344">
        <f>D6+E6+F6-G6</f>
        <v>22529.343083600001</v>
      </c>
      <c r="I6" s="2344">
        <v>998</v>
      </c>
      <c r="J6" s="2344">
        <v>367.8</v>
      </c>
      <c r="K6" s="2344">
        <f>H6+I6-J6</f>
        <v>23159.543083600001</v>
      </c>
    </row>
    <row r="7" spans="2:12" ht="24.95" customHeight="1">
      <c r="B7" s="1343">
        <v>3</v>
      </c>
      <c r="C7" s="2343" t="s">
        <v>2588</v>
      </c>
      <c r="D7" s="2344">
        <v>3141.2994848999997</v>
      </c>
      <c r="E7" s="2344">
        <f>5391239/100000</f>
        <v>53.912390000000002</v>
      </c>
      <c r="F7" s="2344">
        <v>0</v>
      </c>
      <c r="G7" s="2344">
        <v>471.32</v>
      </c>
      <c r="H7" s="2344">
        <f>D7+E7+F7-G7</f>
        <v>2723.8918748999995</v>
      </c>
      <c r="I7" s="2344">
        <f>F7</f>
        <v>0</v>
      </c>
      <c r="J7" s="2344">
        <v>346.3</v>
      </c>
      <c r="K7" s="2344">
        <f>H7+I7-J7</f>
        <v>2377.5918748999993</v>
      </c>
    </row>
    <row r="8" spans="2:12" ht="24.95" customHeight="1">
      <c r="B8" s="1343" t="s">
        <v>320</v>
      </c>
      <c r="C8" s="2345" t="s">
        <v>2589</v>
      </c>
      <c r="D8" s="2346" t="s">
        <v>2590</v>
      </c>
      <c r="E8" s="2346" t="s">
        <v>2591</v>
      </c>
      <c r="F8" s="2346" t="s">
        <v>2592</v>
      </c>
      <c r="G8" s="2346" t="s">
        <v>2593</v>
      </c>
      <c r="H8" s="2346" t="s">
        <v>239</v>
      </c>
      <c r="I8" s="2344"/>
      <c r="J8" s="2344"/>
      <c r="K8" s="2344"/>
    </row>
    <row r="9" spans="2:12" ht="24.95" customHeight="1">
      <c r="B9" s="1343">
        <v>1</v>
      </c>
      <c r="C9" s="2343" t="s">
        <v>2586</v>
      </c>
      <c r="D9" s="2347">
        <v>0</v>
      </c>
      <c r="E9" s="2347">
        <v>98362.921126700036</v>
      </c>
      <c r="F9" s="2348">
        <v>0</v>
      </c>
      <c r="G9" s="2348">
        <v>0</v>
      </c>
      <c r="H9" s="2347">
        <f>SUM(D9:G9)</f>
        <v>98362.921126700036</v>
      </c>
      <c r="I9" s="2349"/>
      <c r="J9" s="2349"/>
      <c r="K9" s="2349"/>
      <c r="L9" s="1327">
        <f>K5-H9</f>
        <v>0</v>
      </c>
    </row>
    <row r="10" spans="2:12" ht="24.95" customHeight="1">
      <c r="B10" s="1343">
        <v>2</v>
      </c>
      <c r="C10" s="2343" t="s">
        <v>2587</v>
      </c>
      <c r="D10" s="2350">
        <f>295677593.36/100000</f>
        <v>2956.7759335999999</v>
      </c>
      <c r="E10" s="2350">
        <v>0</v>
      </c>
      <c r="F10" s="2350">
        <f>963500000/100000</f>
        <v>9635</v>
      </c>
      <c r="G10" s="2350">
        <f>906000000/100000</f>
        <v>9060</v>
      </c>
      <c r="H10" s="2350">
        <f>SUM(D10:G10)</f>
        <v>21651.775933600002</v>
      </c>
      <c r="I10" s="2344"/>
      <c r="J10" s="2344"/>
      <c r="K10" s="2344"/>
      <c r="L10" s="573">
        <f>K6-H10</f>
        <v>1507.7671499999997</v>
      </c>
    </row>
    <row r="11" spans="2:12" ht="24.95" customHeight="1">
      <c r="B11" s="1343">
        <v>3</v>
      </c>
      <c r="C11" s="2343" t="s">
        <v>2588</v>
      </c>
      <c r="D11" s="2350">
        <f>116629948.49/100000</f>
        <v>1166.2994848999999</v>
      </c>
      <c r="E11" s="2350">
        <v>0</v>
      </c>
      <c r="F11" s="2350">
        <f>97500000/100000</f>
        <v>975</v>
      </c>
      <c r="G11" s="2350">
        <f>100000000/100000</f>
        <v>1000</v>
      </c>
      <c r="H11" s="2350">
        <f>SUM(D11:G11)</f>
        <v>3141.2994848999997</v>
      </c>
      <c r="I11" s="2344"/>
      <c r="J11" s="2344"/>
      <c r="K11" s="2344"/>
      <c r="L11" s="573">
        <f>K7-H11</f>
        <v>-763.70761000000039</v>
      </c>
    </row>
  </sheetData>
  <mergeCells count="2">
    <mergeCell ref="B1:K1"/>
    <mergeCell ref="B2:K2"/>
  </mergeCells>
  <pageMargins left="0.62" right="0.5" top="0.74803149606299213" bottom="0.74803149606299213" header="0.31496062992125984" footer="0.31496062992125984"/>
  <pageSetup scale="91"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50"/>
  </sheetPr>
  <dimension ref="A1:G34"/>
  <sheetViews>
    <sheetView topLeftCell="A10" workbookViewId="0">
      <selection activeCell="E33" sqref="E33"/>
    </sheetView>
  </sheetViews>
  <sheetFormatPr defaultRowHeight="12.75"/>
  <cols>
    <col min="1" max="1" width="5.5703125" bestFit="1" customWidth="1"/>
    <col min="2" max="2" width="24" customWidth="1"/>
    <col min="3" max="3" width="23.28515625" customWidth="1"/>
    <col min="4" max="4" width="22.85546875" customWidth="1"/>
    <col min="5" max="5" width="20.85546875" customWidth="1"/>
    <col min="6" max="6" width="16" customWidth="1"/>
    <col min="9" max="9" width="11.28515625" customWidth="1"/>
  </cols>
  <sheetData>
    <row r="1" spans="1:7">
      <c r="D1" t="s">
        <v>2594</v>
      </c>
    </row>
    <row r="3" spans="1:7" ht="15.75">
      <c r="C3" s="2719" t="s">
        <v>2595</v>
      </c>
      <c r="D3" s="2719"/>
      <c r="E3" s="2719"/>
    </row>
    <row r="4" spans="1:7" ht="25.5">
      <c r="A4" s="183" t="s">
        <v>376</v>
      </c>
      <c r="B4" s="183" t="s">
        <v>887</v>
      </c>
      <c r="C4" s="183" t="s">
        <v>2596</v>
      </c>
      <c r="D4" s="1599" t="s">
        <v>2597</v>
      </c>
      <c r="E4" s="1599" t="s">
        <v>2598</v>
      </c>
      <c r="F4" s="1599" t="s">
        <v>2599</v>
      </c>
      <c r="G4" s="9"/>
    </row>
    <row r="5" spans="1:7">
      <c r="A5" s="9"/>
      <c r="B5" s="124" t="s">
        <v>928</v>
      </c>
      <c r="C5" s="1347"/>
      <c r="D5" s="1347"/>
      <c r="E5" s="1347">
        <f>C34</f>
        <v>34257.115709443227</v>
      </c>
      <c r="F5" s="1347">
        <f>E34</f>
        <v>43678.569528224762</v>
      </c>
      <c r="G5" s="9"/>
    </row>
    <row r="6" spans="1:7">
      <c r="A6" s="124" t="s">
        <v>1445</v>
      </c>
      <c r="B6" s="124" t="s">
        <v>2600</v>
      </c>
      <c r="C6" s="1347"/>
      <c r="D6" s="1347"/>
      <c r="E6" s="1347"/>
      <c r="F6" s="1347"/>
      <c r="G6" s="9"/>
    </row>
    <row r="7" spans="1:7" ht="14.25">
      <c r="A7" s="9"/>
      <c r="B7" s="80" t="s">
        <v>2470</v>
      </c>
      <c r="C7" s="1347">
        <f>'F-23 New '!C9</f>
        <v>327373</v>
      </c>
      <c r="D7" s="1347"/>
      <c r="E7" s="1347">
        <f>'F-23 New '!D9</f>
        <v>367730.74532654922</v>
      </c>
      <c r="F7" s="1347">
        <f>'F-23 New '!E9</f>
        <v>400842.64895588451</v>
      </c>
      <c r="G7" s="9"/>
    </row>
    <row r="8" spans="1:7" ht="14.25">
      <c r="A8" s="9"/>
      <c r="B8" s="80" t="s">
        <v>2486</v>
      </c>
      <c r="C8" s="1347">
        <f>'F-23 New '!C26</f>
        <v>9163</v>
      </c>
      <c r="D8" s="1347"/>
      <c r="E8" s="1347">
        <f>'F-23 New '!D26</f>
        <v>20815.922756</v>
      </c>
      <c r="F8" s="1347">
        <f>'F-23 New '!E26</f>
        <v>20734.159094999999</v>
      </c>
      <c r="G8" s="9"/>
    </row>
    <row r="9" spans="1:7">
      <c r="A9" s="9"/>
      <c r="B9" s="9"/>
      <c r="C9" s="1347"/>
      <c r="D9" s="1347"/>
      <c r="E9" s="1347"/>
      <c r="F9" s="1347"/>
      <c r="G9" s="9"/>
    </row>
    <row r="10" spans="1:7">
      <c r="A10" s="11"/>
      <c r="B10" s="11" t="s">
        <v>2601</v>
      </c>
      <c r="C10" s="1597">
        <f>SUM(C5:C9)</f>
        <v>336536</v>
      </c>
      <c r="D10" s="1597"/>
      <c r="E10" s="1597">
        <f>SUM(E5:E9)</f>
        <v>422803.78379199246</v>
      </c>
      <c r="F10" s="1597">
        <f>SUM(F5:F9)</f>
        <v>465255.37757910928</v>
      </c>
      <c r="G10" s="9"/>
    </row>
    <row r="11" spans="1:7">
      <c r="A11" s="124" t="s">
        <v>1463</v>
      </c>
      <c r="B11" s="124" t="s">
        <v>2602</v>
      </c>
      <c r="C11" s="1347"/>
      <c r="D11" s="1347"/>
      <c r="E11" s="1347"/>
      <c r="F11" s="1347"/>
      <c r="G11" s="9"/>
    </row>
    <row r="12" spans="1:7">
      <c r="A12" s="9"/>
      <c r="B12" s="124" t="s">
        <v>269</v>
      </c>
      <c r="C12" s="1347"/>
      <c r="D12" s="1347"/>
      <c r="E12" s="1347">
        <f>'F-6 New'!I7</f>
        <v>258548.44400000002</v>
      </c>
      <c r="F12" s="1347">
        <f>'F-6 New'!M7</f>
        <v>273396.34750000003</v>
      </c>
      <c r="G12" s="9"/>
    </row>
    <row r="13" spans="1:7">
      <c r="A13" s="9"/>
      <c r="B13" s="124" t="s">
        <v>1515</v>
      </c>
      <c r="C13" s="1347"/>
      <c r="D13" s="1598"/>
      <c r="E13" s="1347">
        <f>'F-6 New'!I8</f>
        <v>18522.873599999999</v>
      </c>
      <c r="F13" s="1347">
        <f>'F-6 New'!M8</f>
        <v>19586.603999999999</v>
      </c>
      <c r="G13" s="9"/>
    </row>
    <row r="14" spans="1:7">
      <c r="A14" s="9"/>
      <c r="B14" s="124" t="s">
        <v>1516</v>
      </c>
      <c r="C14" s="1347"/>
      <c r="D14" s="1347"/>
      <c r="E14" s="1347">
        <f>'F-6 New'!I9</f>
        <v>116.20800000000001</v>
      </c>
      <c r="F14" s="1347">
        <f>'F-6 New'!M9</f>
        <v>116.208</v>
      </c>
      <c r="G14" s="9"/>
    </row>
    <row r="15" spans="1:7">
      <c r="A15" s="11"/>
      <c r="B15" s="11" t="s">
        <v>1416</v>
      </c>
      <c r="C15" s="1348">
        <f>'F-23 New '!C29</f>
        <v>216605.99999999994</v>
      </c>
      <c r="D15" s="1348"/>
      <c r="E15" s="1348">
        <f>'F-23 New '!D29</f>
        <v>277187.52559999999</v>
      </c>
      <c r="F15" s="1348">
        <f>'F-23 New '!E29</f>
        <v>293099.15950000001</v>
      </c>
      <c r="G15" s="9"/>
    </row>
    <row r="16" spans="1:7">
      <c r="A16" s="9"/>
      <c r="B16" s="124" t="s">
        <v>234</v>
      </c>
      <c r="C16" s="1347"/>
      <c r="D16" s="1347"/>
      <c r="E16" s="1347"/>
      <c r="F16" s="1347"/>
      <c r="G16" s="9"/>
    </row>
    <row r="17" spans="1:7">
      <c r="A17" s="9"/>
      <c r="B17" s="124" t="s">
        <v>1787</v>
      </c>
      <c r="C17" s="1347"/>
      <c r="D17" s="1347"/>
      <c r="E17" s="1347">
        <f>'F-12 New'!L15</f>
        <v>9798.4548208159995</v>
      </c>
      <c r="F17" s="1347">
        <f>'F-12 New'!Q15</f>
        <v>10001.372309559751</v>
      </c>
      <c r="G17" s="9"/>
    </row>
    <row r="18" spans="1:7">
      <c r="A18" s="9"/>
      <c r="B18" s="124" t="s">
        <v>1788</v>
      </c>
      <c r="C18" s="1347"/>
      <c r="D18" s="1347"/>
      <c r="E18" s="1347">
        <f>'F-12 New'!L16</f>
        <v>0</v>
      </c>
      <c r="F18" s="1347">
        <f>'F-12 New'!Q16</f>
        <v>0</v>
      </c>
      <c r="G18" s="9"/>
    </row>
    <row r="19" spans="1:7">
      <c r="A19" s="9"/>
      <c r="B19" s="124" t="s">
        <v>2603</v>
      </c>
      <c r="C19" s="1347"/>
      <c r="D19" s="1347"/>
      <c r="E19" s="1347">
        <f>'F-12 New'!L17</f>
        <v>4497.6950023973595</v>
      </c>
      <c r="F19" s="1347">
        <f>'F-12 New'!Q17</f>
        <v>4999.4039846373626</v>
      </c>
      <c r="G19" s="9"/>
    </row>
    <row r="20" spans="1:7">
      <c r="A20" s="9"/>
      <c r="B20" s="124" t="s">
        <v>2604</v>
      </c>
      <c r="C20" s="1347"/>
      <c r="D20" s="1347"/>
      <c r="E20" s="1347">
        <f>'F-12 New'!L18</f>
        <v>1858.2970118031999</v>
      </c>
      <c r="F20" s="1347">
        <f>'F-12 New'!Q18</f>
        <v>2000.2744619119499</v>
      </c>
      <c r="G20" s="9"/>
    </row>
    <row r="21" spans="1:7">
      <c r="A21" s="9"/>
      <c r="B21" s="124" t="s">
        <v>2605</v>
      </c>
      <c r="C21" s="1347"/>
      <c r="D21" s="1347"/>
      <c r="E21" s="1347">
        <f>'F-12 New'!L19</f>
        <v>1274.7865123714287</v>
      </c>
      <c r="F21" s="1347">
        <f>'F-12 New'!Q19</f>
        <v>1590.406533093304</v>
      </c>
      <c r="G21" s="9"/>
    </row>
    <row r="22" spans="1:7">
      <c r="A22" s="9"/>
      <c r="B22" s="124" t="s">
        <v>1791</v>
      </c>
      <c r="C22" s="1347"/>
      <c r="D22" s="1347"/>
      <c r="E22" s="1347">
        <f>'F-12 New'!L20+'F-12 New'!L21+'F-12 New'!L24+'F-12 New'!L25+'F-12 New'!L26+'F-12 New'!L29+'F-12 New'!L31+'F-12 New'!L32+'F-12 New'!L33+'F-12 New'!L34+'F-12 New'!L35+'F-12 New'!L36+'F-12 New'!L38+'F-12 New'!L30</f>
        <v>7492.2837625623979</v>
      </c>
      <c r="F22" s="1347">
        <f>'F-12 New'!Q20+'F-12 New'!Q21+'F-12 New'!Q24+'F-12 New'!Q25+'F-12 New'!Q26+'F-12 New'!Q29+'F-12 New'!Q30+'F-12 New'!Q31+'F-12 New'!Q32+'F-12 New'!Q33+'F-12 New'!Q34+'F-12 New'!Q35+'F-12 New'!Q36+'F-12 New'!Q38</f>
        <v>8295.3367340705954</v>
      </c>
      <c r="G22" s="9"/>
    </row>
    <row r="23" spans="1:7">
      <c r="A23" s="9"/>
      <c r="B23" s="124" t="s">
        <v>2606</v>
      </c>
      <c r="C23" s="1347"/>
      <c r="D23" s="1347"/>
      <c r="E23" s="1347"/>
      <c r="F23" s="1347"/>
      <c r="G23" s="9"/>
    </row>
    <row r="24" spans="1:7">
      <c r="A24" s="9"/>
      <c r="B24" s="124" t="s">
        <v>2607</v>
      </c>
      <c r="C24" s="1347"/>
      <c r="D24" s="1347"/>
      <c r="E24" s="1347"/>
      <c r="F24" s="1347"/>
      <c r="G24" s="9"/>
    </row>
    <row r="25" spans="1:7">
      <c r="A25" s="9"/>
      <c r="B25" s="124" t="s">
        <v>2608</v>
      </c>
      <c r="C25" s="1347"/>
      <c r="D25" s="1347"/>
      <c r="E25" s="1347">
        <f>'F-12 New'!L39</f>
        <v>15564.567847142858</v>
      </c>
      <c r="F25" s="1347">
        <f>'F-12 New'!Q39</f>
        <v>16302.691182886323</v>
      </c>
      <c r="G25" s="9"/>
    </row>
    <row r="26" spans="1:7">
      <c r="A26" s="9"/>
      <c r="B26" s="124" t="s">
        <v>2609</v>
      </c>
      <c r="C26" s="1347"/>
      <c r="D26" s="1347"/>
      <c r="E26" s="1347"/>
      <c r="F26" s="1347"/>
      <c r="G26" s="9"/>
    </row>
    <row r="27" spans="1:7">
      <c r="A27" s="9"/>
      <c r="B27" s="124" t="s">
        <v>2610</v>
      </c>
      <c r="C27" s="1347"/>
      <c r="D27" s="1347"/>
      <c r="E27" s="1347">
        <f>'F-12 New'!L65</f>
        <v>9826.199287379437</v>
      </c>
      <c r="F27" s="1347">
        <f>'F-12 New'!Q65</f>
        <v>11781.455705452116</v>
      </c>
      <c r="G27" s="9"/>
    </row>
    <row r="28" spans="1:7">
      <c r="A28" s="9"/>
      <c r="B28" s="11" t="s">
        <v>2611</v>
      </c>
      <c r="C28" s="1348">
        <f>'F-23 New '!C33</f>
        <v>35933.491073500001</v>
      </c>
      <c r="D28" s="1348"/>
      <c r="E28" s="1348">
        <f>'F-23 New '!D33</f>
        <v>48834.718809122685</v>
      </c>
      <c r="F28" s="1348">
        <f>'F-23 New '!E33</f>
        <v>53271.740660958902</v>
      </c>
      <c r="G28" s="9"/>
    </row>
    <row r="29" spans="1:7">
      <c r="A29" s="9"/>
      <c r="B29" s="11" t="s">
        <v>2612</v>
      </c>
      <c r="C29" s="1348">
        <f>'F-23 New '!C35</f>
        <v>12572</v>
      </c>
      <c r="D29" s="1348"/>
      <c r="E29" s="1348">
        <f>'F-23 New '!D35</f>
        <v>26091.819634500898</v>
      </c>
      <c r="F29" s="1348">
        <f>'F-23 New '!E35</f>
        <v>32380.168239460705</v>
      </c>
      <c r="G29" s="9"/>
    </row>
    <row r="30" spans="1:7">
      <c r="A30" s="9"/>
      <c r="B30" s="11" t="s">
        <v>2116</v>
      </c>
      <c r="C30" s="1348">
        <f>'F-23 New '!C34</f>
        <v>34566.3932170568</v>
      </c>
      <c r="D30" s="1348"/>
      <c r="E30" s="1348">
        <f>'F-23 New '!D34</f>
        <v>12312.811712200004</v>
      </c>
      <c r="F30" s="1348">
        <f>'F-23 New '!E34</f>
        <v>13439.507300599369</v>
      </c>
      <c r="G30" s="9"/>
    </row>
    <row r="31" spans="1:7">
      <c r="A31" s="9"/>
      <c r="B31" s="11" t="s">
        <v>2613</v>
      </c>
      <c r="C31" s="1348">
        <f>'F-23 New '!C44+'F-23 New '!C47</f>
        <v>2601</v>
      </c>
      <c r="D31" s="1348"/>
      <c r="E31" s="1348">
        <f>'F-23 New '!D44+'F-23 New '!D47</f>
        <v>14698.33850794414</v>
      </c>
      <c r="F31" s="1348">
        <f>'F-23 New '!E44+'F-23 New '!E47</f>
        <v>17727.442557206286</v>
      </c>
      <c r="G31" s="9"/>
    </row>
    <row r="32" spans="1:7">
      <c r="A32" s="9"/>
      <c r="B32" s="124" t="s">
        <v>2614</v>
      </c>
      <c r="C32" s="1347">
        <v>0</v>
      </c>
      <c r="D32" s="1347"/>
      <c r="E32" s="1347">
        <v>0</v>
      </c>
      <c r="F32" s="1347">
        <v>0</v>
      </c>
      <c r="G32" s="9"/>
    </row>
    <row r="33" spans="1:7">
      <c r="A33" s="9"/>
      <c r="B33" s="11" t="s">
        <v>2615</v>
      </c>
      <c r="C33" s="1348">
        <f>C15+C28+C29+C30+C31+C32</f>
        <v>302278.88429055677</v>
      </c>
      <c r="D33" s="1348"/>
      <c r="E33" s="1348">
        <f>E15+E28+E29+E30+E31+E32</f>
        <v>379125.2142637677</v>
      </c>
      <c r="F33" s="1348">
        <f>F15+F28+F29+F30+F31+F32</f>
        <v>409918.01825822529</v>
      </c>
      <c r="G33" s="9"/>
    </row>
    <row r="34" spans="1:7">
      <c r="A34" s="124" t="s">
        <v>1470</v>
      </c>
      <c r="B34" s="124" t="s">
        <v>935</v>
      </c>
      <c r="C34" s="1347">
        <f>C10-C33</f>
        <v>34257.115709443227</v>
      </c>
      <c r="D34" s="1347">
        <f t="shared" ref="D34:F34" si="0">D10-D33</f>
        <v>0</v>
      </c>
      <c r="E34" s="1347">
        <f t="shared" si="0"/>
        <v>43678.569528224762</v>
      </c>
      <c r="F34" s="1347">
        <f t="shared" si="0"/>
        <v>55337.359320883988</v>
      </c>
      <c r="G34" s="9"/>
    </row>
  </sheetData>
  <mergeCells count="1">
    <mergeCell ref="C3:E3"/>
  </mergeCells>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K35"/>
  <sheetViews>
    <sheetView zoomScaleSheetLayoutView="100" workbookViewId="0">
      <selection activeCell="D7" sqref="D7"/>
    </sheetView>
  </sheetViews>
  <sheetFormatPr defaultColWidth="9.140625" defaultRowHeight="15.75"/>
  <cols>
    <col min="1" max="1" width="9.140625" style="613"/>
    <col min="2" max="2" width="22.140625" style="613" customWidth="1"/>
    <col min="3" max="3" width="17.85546875" style="613" customWidth="1"/>
    <col min="4" max="4" width="15.5703125" style="613" customWidth="1"/>
    <col min="5" max="5" width="13.140625" style="613" customWidth="1"/>
    <col min="6" max="6" width="13.140625" style="613" bestFit="1" customWidth="1"/>
    <col min="7" max="16384" width="9.140625" style="613"/>
  </cols>
  <sheetData>
    <row r="1" spans="1:9" ht="15.75" customHeight="1">
      <c r="A1" s="2720" t="s">
        <v>2616</v>
      </c>
      <c r="B1" s="2721"/>
      <c r="C1" s="2721"/>
      <c r="D1" s="2721"/>
      <c r="E1" s="2721"/>
      <c r="F1" s="2722"/>
      <c r="G1" s="210"/>
      <c r="H1" s="210"/>
      <c r="I1" s="210"/>
    </row>
    <row r="2" spans="1:9">
      <c r="A2" s="2723" t="s">
        <v>2617</v>
      </c>
      <c r="B2" s="2723"/>
      <c r="C2" s="2723"/>
      <c r="D2" s="2723"/>
      <c r="E2" s="2723"/>
      <c r="F2" s="2723"/>
    </row>
    <row r="3" spans="1:9" ht="35.25" customHeight="1">
      <c r="A3" s="646" t="s">
        <v>509</v>
      </c>
      <c r="B3" s="646"/>
      <c r="C3" s="611" t="s">
        <v>2618</v>
      </c>
      <c r="D3" s="611" t="s">
        <v>2619</v>
      </c>
      <c r="E3" s="611" t="s">
        <v>2018</v>
      </c>
      <c r="F3" s="611" t="s">
        <v>170</v>
      </c>
    </row>
    <row r="4" spans="1:9" ht="18" customHeight="1">
      <c r="A4" s="647"/>
      <c r="B4" s="647" t="s">
        <v>928</v>
      </c>
      <c r="C4" s="213">
        <v>0</v>
      </c>
      <c r="D4" s="213"/>
      <c r="E4" s="648">
        <f>D4</f>
        <v>0</v>
      </c>
      <c r="F4" s="649"/>
    </row>
    <row r="5" spans="1:9" ht="19.5" customHeight="1">
      <c r="A5" s="646" t="s">
        <v>291</v>
      </c>
      <c r="B5" s="647" t="s">
        <v>2600</v>
      </c>
      <c r="C5" s="213"/>
      <c r="D5" s="213"/>
      <c r="E5" s="213"/>
      <c r="F5" s="213"/>
    </row>
    <row r="6" spans="1:9" ht="16.5" customHeight="1">
      <c r="A6" s="646">
        <v>1</v>
      </c>
      <c r="B6" s="647" t="s">
        <v>2470</v>
      </c>
      <c r="C6" s="649">
        <v>2555.7198656589994</v>
      </c>
      <c r="D6" s="213">
        <v>1089.57</v>
      </c>
      <c r="E6" s="649">
        <f>+'F-23 New '!D9/100</f>
        <v>3677.3074532654923</v>
      </c>
      <c r="F6" s="649">
        <f>+'F-23 New '!E9/100</f>
        <v>4008.4264895588449</v>
      </c>
    </row>
    <row r="7" spans="1:9" ht="16.5" customHeight="1">
      <c r="A7" s="646">
        <v>2</v>
      </c>
      <c r="B7" s="647" t="s">
        <v>2620</v>
      </c>
      <c r="C7" s="649">
        <f>212.66125355+45.6</f>
        <v>258.26125354999999</v>
      </c>
      <c r="D7" s="213">
        <v>13.25</v>
      </c>
      <c r="E7" s="649">
        <f>+'F-23 New '!D26/100</f>
        <v>208.15922756000001</v>
      </c>
      <c r="F7" s="649">
        <f>+'F-23 New '!E26/100</f>
        <v>207.34159094999998</v>
      </c>
    </row>
    <row r="8" spans="1:9" ht="17.25" customHeight="1">
      <c r="A8" s="646">
        <v>3</v>
      </c>
      <c r="B8" s="647"/>
      <c r="C8" s="649"/>
      <c r="D8" s="213"/>
      <c r="E8" s="213"/>
      <c r="F8" s="213"/>
    </row>
    <row r="9" spans="1:9" ht="19.5" customHeight="1">
      <c r="A9" s="646">
        <v>4</v>
      </c>
      <c r="B9" s="647" t="s">
        <v>2621</v>
      </c>
      <c r="C9" s="649">
        <f>C4+C6+C7</f>
        <v>2813.9811192089992</v>
      </c>
      <c r="D9" s="213">
        <f>D4+D6+D7</f>
        <v>1102.82</v>
      </c>
      <c r="E9" s="649">
        <f>E4+E6+E7</f>
        <v>3885.4666808254924</v>
      </c>
      <c r="F9" s="649">
        <f>F4+F6+F7</f>
        <v>4215.7680805088448</v>
      </c>
    </row>
    <row r="10" spans="1:9" ht="18" customHeight="1">
      <c r="A10" s="646" t="s">
        <v>320</v>
      </c>
      <c r="B10" s="647" t="s">
        <v>2602</v>
      </c>
      <c r="C10" s="649"/>
      <c r="D10" s="213"/>
      <c r="E10" s="213"/>
      <c r="F10" s="213"/>
    </row>
    <row r="11" spans="1:9" ht="20.25" customHeight="1">
      <c r="A11" s="646">
        <v>1</v>
      </c>
      <c r="B11" s="650" t="s">
        <v>269</v>
      </c>
      <c r="C11" s="649">
        <v>1705.432221716</v>
      </c>
      <c r="D11" s="649">
        <v>732.41</v>
      </c>
      <c r="E11" s="649" t="e">
        <f>#REF!/10^2</f>
        <v>#REF!</v>
      </c>
      <c r="F11" s="649" t="e">
        <f>#REF!/10^2</f>
        <v>#REF!</v>
      </c>
    </row>
    <row r="12" spans="1:9" ht="21.75" customHeight="1">
      <c r="A12" s="646">
        <v>2</v>
      </c>
      <c r="B12" s="650" t="s">
        <v>2622</v>
      </c>
      <c r="C12" s="649">
        <v>149.0445215</v>
      </c>
      <c r="D12" s="213">
        <v>74.430000000000007</v>
      </c>
      <c r="E12" s="649" t="e">
        <f>#REF!/10^2</f>
        <v>#REF!</v>
      </c>
      <c r="F12" s="649" t="e">
        <f>#REF!/10^2</f>
        <v>#REF!</v>
      </c>
    </row>
    <row r="13" spans="1:9" ht="21.75" customHeight="1">
      <c r="A13" s="646">
        <v>3</v>
      </c>
      <c r="B13" s="647" t="s">
        <v>2623</v>
      </c>
      <c r="C13" s="649">
        <v>1.0160526999999999</v>
      </c>
      <c r="D13" s="649">
        <v>0.48</v>
      </c>
      <c r="E13" s="649" t="e">
        <f>#REF!/10^2</f>
        <v>#REF!</v>
      </c>
      <c r="F13" s="649" t="e">
        <f>#REF!/10^2</f>
        <v>#REF!</v>
      </c>
    </row>
    <row r="14" spans="1:9" ht="23.25" customHeight="1">
      <c r="A14" s="646">
        <v>4</v>
      </c>
      <c r="B14" s="647" t="s">
        <v>1416</v>
      </c>
      <c r="C14" s="649">
        <f>SUM(C11:C13)</f>
        <v>1855.492795916</v>
      </c>
      <c r="D14" s="213">
        <f>SUM(D11:D13)</f>
        <v>807.31999999999994</v>
      </c>
      <c r="E14" s="649" t="e">
        <f>SUM(E11:E13)</f>
        <v>#REF!</v>
      </c>
      <c r="F14" s="649" t="e">
        <f>SUM(F11:F13)</f>
        <v>#REF!</v>
      </c>
    </row>
    <row r="15" spans="1:9" ht="21" customHeight="1">
      <c r="A15" s="646"/>
      <c r="B15" s="647"/>
      <c r="C15" s="213"/>
      <c r="D15" s="213"/>
      <c r="E15" s="213"/>
      <c r="F15" s="213"/>
    </row>
    <row r="16" spans="1:9" ht="21.95" customHeight="1">
      <c r="A16" s="646">
        <v>1</v>
      </c>
      <c r="B16" s="647" t="s">
        <v>1787</v>
      </c>
      <c r="C16" s="306">
        <v>111.94</v>
      </c>
      <c r="D16" s="306">
        <v>65.78</v>
      </c>
      <c r="E16" s="651" t="e">
        <f>#REF!/10^2</f>
        <v>#REF!</v>
      </c>
      <c r="F16" s="651" t="e">
        <f>(#REF!+#REF!)/10^2</f>
        <v>#REF!</v>
      </c>
    </row>
    <row r="17" spans="1:11" ht="21.95" customHeight="1">
      <c r="A17" s="646">
        <v>2</v>
      </c>
      <c r="B17" s="647" t="s">
        <v>2624</v>
      </c>
      <c r="C17" s="306">
        <v>0</v>
      </c>
      <c r="D17" s="306">
        <v>0</v>
      </c>
      <c r="E17" s="647">
        <v>0</v>
      </c>
      <c r="F17" s="647">
        <v>0</v>
      </c>
    </row>
    <row r="18" spans="1:11" ht="21.95" customHeight="1">
      <c r="A18" s="646">
        <v>3</v>
      </c>
      <c r="B18" s="647" t="s">
        <v>2603</v>
      </c>
      <c r="C18" s="306">
        <v>25.559974488999998</v>
      </c>
      <c r="D18" s="306">
        <v>10.92</v>
      </c>
      <c r="E18" s="651" t="e">
        <f>#REF!/10^2</f>
        <v>#REF!</v>
      </c>
      <c r="F18" s="651" t="e">
        <f>#REF!/10^2</f>
        <v>#REF!</v>
      </c>
    </row>
    <row r="19" spans="1:11" ht="21.95" customHeight="1">
      <c r="A19" s="646">
        <v>4</v>
      </c>
      <c r="B19" s="647" t="s">
        <v>2604</v>
      </c>
      <c r="C19" s="306">
        <v>35.54</v>
      </c>
      <c r="D19" s="306">
        <v>8.27</v>
      </c>
      <c r="E19" s="651" t="e">
        <f>#REF!/10^2</f>
        <v>#REF!</v>
      </c>
      <c r="F19" s="651" t="e">
        <f>#REF!/10^2</f>
        <v>#REF!</v>
      </c>
    </row>
    <row r="20" spans="1:11" ht="21.95" customHeight="1">
      <c r="A20" s="646">
        <v>5</v>
      </c>
      <c r="B20" s="647" t="s">
        <v>2605</v>
      </c>
      <c r="C20" s="306">
        <v>7.3280164930000007</v>
      </c>
      <c r="D20" s="306">
        <v>2.2799999999999998</v>
      </c>
      <c r="E20" s="651" t="e">
        <f>#REF!/10^2</f>
        <v>#REF!</v>
      </c>
      <c r="F20" s="651" t="e">
        <f>#REF!/10^2</f>
        <v>#REF!</v>
      </c>
    </row>
    <row r="21" spans="1:11" ht="21.95" customHeight="1">
      <c r="A21" s="646">
        <v>6</v>
      </c>
      <c r="B21" s="647" t="s">
        <v>1791</v>
      </c>
      <c r="C21" s="306">
        <v>10.34</v>
      </c>
      <c r="D21" s="306">
        <v>1.93</v>
      </c>
      <c r="E21" s="651" t="e">
        <f>#REF!/10^2</f>
        <v>#REF!</v>
      </c>
      <c r="F21" s="651" t="e">
        <f>+(#REF!+#REF!+#REF!+#REF!+#REF!)/100</f>
        <v>#REF!</v>
      </c>
    </row>
    <row r="22" spans="1:11" ht="21.95" customHeight="1">
      <c r="A22" s="646">
        <v>7</v>
      </c>
      <c r="B22" s="647" t="s">
        <v>2606</v>
      </c>
      <c r="C22" s="306">
        <v>0</v>
      </c>
      <c r="D22" s="306">
        <v>0.56999999999999995</v>
      </c>
      <c r="E22" s="651"/>
      <c r="F22" s="651" t="e">
        <f>#REF!/10^2</f>
        <v>#REF!</v>
      </c>
    </row>
    <row r="23" spans="1:11" ht="21.95" customHeight="1">
      <c r="A23" s="646">
        <v>8</v>
      </c>
      <c r="B23" s="647" t="s">
        <v>1869</v>
      </c>
      <c r="C23" s="306">
        <v>5.54</v>
      </c>
      <c r="D23" s="306">
        <v>2.0499999999999998</v>
      </c>
      <c r="E23" s="651" t="e">
        <f>#REF!/10^2</f>
        <v>#REF!</v>
      </c>
      <c r="F23" s="651" t="e">
        <f>#REF!/10^2</f>
        <v>#REF!</v>
      </c>
    </row>
    <row r="24" spans="1:11" ht="21.95" customHeight="1">
      <c r="A24" s="646">
        <v>9</v>
      </c>
      <c r="B24" s="647" t="s">
        <v>2625</v>
      </c>
      <c r="C24" s="306">
        <v>1.9976143210000001</v>
      </c>
      <c r="D24" s="306">
        <v>3.5</v>
      </c>
      <c r="E24" s="651" t="e">
        <f>#REF!/10^2</f>
        <v>#REF!</v>
      </c>
      <c r="F24" s="651" t="e">
        <f>#REF!/10^2</f>
        <v>#REF!</v>
      </c>
    </row>
    <row r="25" spans="1:11" ht="21.95" customHeight="1">
      <c r="A25" s="646">
        <v>10</v>
      </c>
      <c r="B25" s="647" t="s">
        <v>1868</v>
      </c>
      <c r="C25" s="306">
        <v>225.99</v>
      </c>
      <c r="D25" s="306">
        <v>45.73</v>
      </c>
      <c r="E25" s="651" t="e">
        <f>#REF!/10^2</f>
        <v>#REF!</v>
      </c>
      <c r="F25" s="651" t="e">
        <f>#REF!/10^2</f>
        <v>#REF!</v>
      </c>
    </row>
    <row r="26" spans="1:11" ht="31.5" customHeight="1">
      <c r="A26" s="646">
        <v>11</v>
      </c>
      <c r="B26" s="213" t="s">
        <v>2626</v>
      </c>
      <c r="C26" s="306">
        <v>12.55</v>
      </c>
      <c r="D26" s="306">
        <v>0</v>
      </c>
      <c r="E26" s="651" t="e">
        <f>#REF!/10^2-SUM('F-25 NA'!E16:E25)</f>
        <v>#REF!</v>
      </c>
      <c r="F26" s="651" t="e">
        <f>#REF!/10^2-SUM('F-25 NA'!F16:F25)</f>
        <v>#REF!</v>
      </c>
    </row>
    <row r="27" spans="1:11" ht="21.95" customHeight="1">
      <c r="A27" s="646">
        <v>12</v>
      </c>
      <c r="B27" s="647" t="s">
        <v>2611</v>
      </c>
      <c r="C27" s="306">
        <f>SUM(C16:C26)</f>
        <v>436.78560530300001</v>
      </c>
      <c r="D27" s="306">
        <f>SUM(D16:D26)</f>
        <v>141.03</v>
      </c>
      <c r="E27" s="306" t="e">
        <f>SUM(E16:E26)</f>
        <v>#REF!</v>
      </c>
      <c r="F27" s="306" t="e">
        <f>SUM(F16:F26)</f>
        <v>#REF!</v>
      </c>
      <c r="K27" s="612"/>
    </row>
    <row r="28" spans="1:11" ht="21.95" customHeight="1">
      <c r="A28" s="646">
        <v>13</v>
      </c>
      <c r="B28" s="647" t="s">
        <v>2612</v>
      </c>
      <c r="C28" s="306">
        <v>130.36717762599997</v>
      </c>
      <c r="D28" s="306">
        <v>2.5</v>
      </c>
      <c r="E28" s="651" t="e">
        <f>#REF!/10^2</f>
        <v>#REF!</v>
      </c>
      <c r="F28" s="651" t="e">
        <f>#REF!/10^2</f>
        <v>#REF!</v>
      </c>
    </row>
    <row r="29" spans="1:11" ht="21.95" customHeight="1">
      <c r="A29" s="646">
        <v>14</v>
      </c>
      <c r="B29" s="647" t="s">
        <v>2116</v>
      </c>
      <c r="C29" s="306">
        <v>105.4</v>
      </c>
      <c r="D29" s="306">
        <v>31.84</v>
      </c>
      <c r="E29" s="651">
        <f>'F-14'!E66/10^2</f>
        <v>123.12811712200003</v>
      </c>
      <c r="F29" s="651">
        <f>'F-14'!F66/10^2</f>
        <v>134.39507300599368</v>
      </c>
      <c r="G29" s="612"/>
    </row>
    <row r="30" spans="1:11" ht="21.95" customHeight="1">
      <c r="A30" s="646">
        <v>15</v>
      </c>
      <c r="B30" s="647" t="s">
        <v>2613</v>
      </c>
      <c r="C30" s="651">
        <v>45.225574332000001</v>
      </c>
      <c r="D30" s="647">
        <v>9.0500000000000007</v>
      </c>
      <c r="E30" s="651" t="e">
        <f>(#REF!+#REF!)/10^2</f>
        <v>#REF!</v>
      </c>
      <c r="F30" s="651" t="e">
        <f>(#REF!+#REF!)/10^2</f>
        <v>#REF!</v>
      </c>
    </row>
    <row r="31" spans="1:11" ht="21.95" customHeight="1">
      <c r="A31" s="646">
        <v>16</v>
      </c>
      <c r="B31" s="647" t="s">
        <v>2627</v>
      </c>
      <c r="C31" s="651">
        <v>114.89909793199999</v>
      </c>
      <c r="D31" s="647">
        <v>86.55</v>
      </c>
      <c r="E31" s="647"/>
      <c r="F31" s="647"/>
    </row>
    <row r="32" spans="1:11" ht="21.95" customHeight="1">
      <c r="A32" s="646">
        <v>17</v>
      </c>
      <c r="B32" s="647" t="s">
        <v>239</v>
      </c>
      <c r="C32" s="306">
        <f>C14+C27+C28+C29+C30+C31</f>
        <v>2688.1702511090002</v>
      </c>
      <c r="D32" s="306">
        <f t="shared" ref="D32:E32" si="0">D14+D27+D28+D29+D30+D31</f>
        <v>1078.29</v>
      </c>
      <c r="E32" s="306" t="e">
        <f t="shared" si="0"/>
        <v>#REF!</v>
      </c>
      <c r="F32" s="306" t="e">
        <f>F14+F27+F28+F29+F30+F31</f>
        <v>#REF!</v>
      </c>
    </row>
    <row r="33" spans="1:7" ht="25.5" customHeight="1">
      <c r="A33" s="646">
        <v>18</v>
      </c>
      <c r="B33" s="647" t="s">
        <v>935</v>
      </c>
      <c r="C33" s="306">
        <f>C9-C32</f>
        <v>125.81086809999897</v>
      </c>
      <c r="D33" s="306">
        <f>D9-D32</f>
        <v>24.529999999999973</v>
      </c>
      <c r="E33" s="651" t="e">
        <f>E9-E32</f>
        <v>#REF!</v>
      </c>
      <c r="F33" s="651" t="e">
        <f>F9-F32</f>
        <v>#REF!</v>
      </c>
    </row>
    <row r="34" spans="1:7">
      <c r="D34" s="612"/>
    </row>
    <row r="35" spans="1:7">
      <c r="C35" s="612"/>
      <c r="E35" s="652"/>
      <c r="G35" s="652"/>
    </row>
  </sheetData>
  <mergeCells count="2">
    <mergeCell ref="A1:F1"/>
    <mergeCell ref="A2:F2"/>
  </mergeCells>
  <pageMargins left="0.7" right="0.7" top="0.56000000000000005" bottom="0.44"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G15"/>
  <sheetViews>
    <sheetView zoomScaleSheetLayoutView="100" workbookViewId="0">
      <selection activeCell="I9" sqref="I9"/>
    </sheetView>
  </sheetViews>
  <sheetFormatPr defaultColWidth="9.140625" defaultRowHeight="12.75"/>
  <cols>
    <col min="1" max="1" width="6.28515625" style="211" customWidth="1"/>
    <col min="2" max="2" width="36.28515625" style="211" customWidth="1"/>
    <col min="3" max="3" width="14" style="211" customWidth="1"/>
    <col min="4" max="4" width="14.85546875" style="211" customWidth="1"/>
    <col min="5" max="5" width="15.7109375" style="211" customWidth="1"/>
    <col min="6" max="6" width="14.42578125" style="211" customWidth="1"/>
    <col min="7" max="16384" width="9.140625" style="211"/>
  </cols>
  <sheetData>
    <row r="1" spans="1:7" ht="14.25" customHeight="1">
      <c r="A1" s="2724" t="s">
        <v>2628</v>
      </c>
      <c r="B1" s="2725"/>
      <c r="C1" s="2725"/>
      <c r="D1" s="2725"/>
      <c r="E1" s="2725"/>
      <c r="F1" s="2726"/>
      <c r="G1" s="210"/>
    </row>
    <row r="2" spans="1:7" ht="15.75">
      <c r="A2" s="219" t="s">
        <v>2629</v>
      </c>
      <c r="B2" s="218"/>
      <c r="C2" s="218"/>
      <c r="D2" s="218"/>
      <c r="E2" s="218"/>
      <c r="F2" s="217"/>
    </row>
    <row r="3" spans="1:7" ht="25.5">
      <c r="A3" s="212" t="s">
        <v>2630</v>
      </c>
      <c r="B3" s="212"/>
      <c r="C3" s="216" t="s">
        <v>2618</v>
      </c>
      <c r="D3" s="216" t="s">
        <v>2619</v>
      </c>
      <c r="E3" s="216" t="s">
        <v>2631</v>
      </c>
      <c r="F3" s="216" t="s">
        <v>2632</v>
      </c>
    </row>
    <row r="4" spans="1:7" ht="31.5">
      <c r="A4" s="215" t="s">
        <v>2633</v>
      </c>
      <c r="B4" s="213" t="s">
        <v>2634</v>
      </c>
      <c r="C4" s="212">
        <v>2283.84</v>
      </c>
      <c r="D4" s="212">
        <v>777.44</v>
      </c>
      <c r="E4" s="214"/>
      <c r="F4" s="214"/>
    </row>
    <row r="5" spans="1:7" ht="31.5">
      <c r="A5" s="215" t="s">
        <v>320</v>
      </c>
      <c r="B5" s="213" t="s">
        <v>2635</v>
      </c>
      <c r="C5" s="212"/>
      <c r="D5" s="212"/>
      <c r="E5" s="214"/>
      <c r="F5" s="214"/>
    </row>
    <row r="6" spans="1:7" ht="15.75">
      <c r="A6" s="212"/>
      <c r="B6" s="213" t="s">
        <v>2636</v>
      </c>
      <c r="C6" s="212">
        <v>139</v>
      </c>
      <c r="D6" s="212">
        <v>62.9</v>
      </c>
      <c r="E6" s="214"/>
      <c r="F6" s="214"/>
    </row>
    <row r="7" spans="1:7" ht="22.5" customHeight="1">
      <c r="A7" s="212"/>
      <c r="B7" s="213" t="s">
        <v>2637</v>
      </c>
      <c r="C7" s="212">
        <v>1776.41</v>
      </c>
      <c r="D7" s="212">
        <v>590.6</v>
      </c>
      <c r="E7" s="214"/>
      <c r="F7" s="214"/>
    </row>
    <row r="8" spans="1:7" ht="19.5" customHeight="1">
      <c r="A8" s="212"/>
      <c r="B8" s="213" t="s">
        <v>2638</v>
      </c>
      <c r="C8" s="214">
        <v>1.9</v>
      </c>
      <c r="D8" s="214">
        <v>1.9</v>
      </c>
      <c r="E8" s="214"/>
      <c r="F8" s="214"/>
    </row>
    <row r="9" spans="1:7" ht="33.75" customHeight="1">
      <c r="A9" s="212"/>
      <c r="B9" s="213" t="s">
        <v>2639</v>
      </c>
      <c r="C9" s="212">
        <v>6.98</v>
      </c>
      <c r="D9" s="214">
        <v>0</v>
      </c>
      <c r="E9" s="214"/>
      <c r="F9" s="214"/>
    </row>
    <row r="10" spans="1:7" ht="31.5">
      <c r="A10" s="212"/>
      <c r="B10" s="213" t="s">
        <v>2640</v>
      </c>
      <c r="C10" s="214">
        <v>7.5</v>
      </c>
      <c r="D10" s="214">
        <v>0</v>
      </c>
      <c r="E10" s="214"/>
      <c r="F10" s="214"/>
    </row>
    <row r="11" spans="1:7" ht="31.5">
      <c r="A11" s="212"/>
      <c r="B11" s="213" t="s">
        <v>2641</v>
      </c>
      <c r="C11" s="212">
        <v>323.55</v>
      </c>
      <c r="D11" s="212">
        <v>128.47</v>
      </c>
      <c r="E11" s="214"/>
      <c r="F11" s="214"/>
    </row>
    <row r="12" spans="1:7" ht="47.25">
      <c r="A12" s="212"/>
      <c r="B12" s="213" t="s">
        <v>2642</v>
      </c>
      <c r="C12" s="212">
        <v>0</v>
      </c>
      <c r="D12" s="212">
        <v>0</v>
      </c>
      <c r="E12" s="214"/>
      <c r="F12" s="214"/>
    </row>
    <row r="13" spans="1:7" ht="21.75" customHeight="1">
      <c r="A13" s="212"/>
      <c r="B13" s="213" t="s">
        <v>2643</v>
      </c>
      <c r="C13" s="214">
        <v>0</v>
      </c>
      <c r="D13" s="214">
        <v>0</v>
      </c>
      <c r="E13" s="214"/>
      <c r="F13" s="214"/>
    </row>
    <row r="14" spans="1:7" ht="56.25" customHeight="1">
      <c r="A14" s="212"/>
      <c r="B14" s="213" t="s">
        <v>2644</v>
      </c>
      <c r="C14" s="212">
        <v>0</v>
      </c>
      <c r="D14" s="212">
        <v>0</v>
      </c>
      <c r="E14" s="214"/>
      <c r="F14" s="214"/>
    </row>
    <row r="15" spans="1:7" ht="31.5">
      <c r="A15" s="212"/>
      <c r="B15" s="213" t="s">
        <v>2645</v>
      </c>
      <c r="C15" s="214">
        <v>17.350000000000001</v>
      </c>
      <c r="D15" s="214">
        <v>32.25</v>
      </c>
      <c r="E15" s="214"/>
      <c r="F15" s="214"/>
    </row>
  </sheetData>
  <mergeCells count="1">
    <mergeCell ref="A1:F1"/>
  </mergeCells>
  <pageMargins left="0.7" right="0.52" top="0.75" bottom="0.75" header="0.3" footer="0.3"/>
  <pageSetup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H16"/>
  <sheetViews>
    <sheetView workbookViewId="0">
      <selection activeCell="G12" sqref="G12"/>
    </sheetView>
  </sheetViews>
  <sheetFormatPr defaultRowHeight="12.75"/>
  <cols>
    <col min="2" max="2" width="31.42578125" customWidth="1"/>
    <col min="3" max="3" width="14.140625" customWidth="1"/>
    <col min="4" max="4" width="18.28515625" customWidth="1"/>
    <col min="5" max="5" width="19.5703125" customWidth="1"/>
    <col min="6" max="6" width="24" customWidth="1"/>
  </cols>
  <sheetData>
    <row r="1" spans="1:8">
      <c r="A1" s="9"/>
      <c r="B1" s="9"/>
      <c r="C1" s="9"/>
      <c r="D1" s="9" t="s">
        <v>2646</v>
      </c>
      <c r="E1" s="9"/>
      <c r="F1" s="9"/>
    </row>
    <row r="2" spans="1:8">
      <c r="A2" s="9"/>
      <c r="B2" s="9"/>
      <c r="C2" s="9"/>
      <c r="D2" s="9"/>
      <c r="E2" s="9"/>
      <c r="F2" s="9"/>
    </row>
    <row r="3" spans="1:8">
      <c r="A3" s="9"/>
      <c r="B3" s="9"/>
      <c r="C3" s="9" t="s">
        <v>2647</v>
      </c>
      <c r="E3" s="9"/>
      <c r="F3" s="124" t="s">
        <v>2648</v>
      </c>
    </row>
    <row r="4" spans="1:8">
      <c r="A4" s="9"/>
      <c r="B4" s="9"/>
      <c r="C4" s="9"/>
      <c r="D4" s="9"/>
      <c r="E4" s="9"/>
      <c r="F4" s="9"/>
    </row>
    <row r="5" spans="1:8" ht="25.5">
      <c r="A5" s="9" t="s">
        <v>376</v>
      </c>
      <c r="B5" s="9" t="s">
        <v>887</v>
      </c>
      <c r="C5" s="1299" t="s">
        <v>2649</v>
      </c>
      <c r="D5" s="550" t="s">
        <v>2619</v>
      </c>
      <c r="E5" s="550" t="s">
        <v>2631</v>
      </c>
      <c r="F5" s="550" t="s">
        <v>2650</v>
      </c>
      <c r="G5" s="17"/>
    </row>
    <row r="6" spans="1:8" ht="97.5" customHeight="1">
      <c r="A6" s="124" t="s">
        <v>1445</v>
      </c>
      <c r="B6" s="550" t="s">
        <v>2634</v>
      </c>
      <c r="C6" s="9"/>
      <c r="D6" s="9"/>
      <c r="E6" s="9"/>
      <c r="F6" s="9"/>
      <c r="H6" s="1326" t="s">
        <v>2648</v>
      </c>
    </row>
    <row r="7" spans="1:8" ht="25.5">
      <c r="A7" s="124" t="s">
        <v>1463</v>
      </c>
      <c r="B7" s="550" t="s">
        <v>2635</v>
      </c>
      <c r="C7" s="9"/>
      <c r="D7" s="9"/>
      <c r="E7" s="9"/>
      <c r="F7" s="9"/>
    </row>
    <row r="8" spans="1:8">
      <c r="A8" s="9"/>
      <c r="B8" s="124" t="s">
        <v>2651</v>
      </c>
      <c r="C8" s="9"/>
      <c r="D8" s="9"/>
      <c r="E8" s="9"/>
      <c r="F8" s="9"/>
    </row>
    <row r="9" spans="1:8">
      <c r="A9" s="9"/>
      <c r="B9" s="124" t="s">
        <v>2637</v>
      </c>
      <c r="C9" s="9"/>
      <c r="D9" s="9"/>
      <c r="E9" s="9"/>
      <c r="F9" s="9"/>
    </row>
    <row r="10" spans="1:8">
      <c r="A10" s="9"/>
      <c r="B10" s="124" t="s">
        <v>2652</v>
      </c>
      <c r="C10" s="9"/>
      <c r="D10" s="9"/>
      <c r="E10" s="9"/>
      <c r="F10" s="9"/>
    </row>
    <row r="11" spans="1:8" ht="25.5">
      <c r="A11" s="9"/>
      <c r="B11" s="550" t="s">
        <v>2653</v>
      </c>
      <c r="C11" s="9"/>
      <c r="D11" s="9"/>
      <c r="E11" s="9"/>
      <c r="F11" s="9"/>
    </row>
    <row r="12" spans="1:8" ht="25.5">
      <c r="A12" s="9"/>
      <c r="B12" s="550" t="s">
        <v>2654</v>
      </c>
      <c r="C12" s="9"/>
      <c r="D12" s="9"/>
      <c r="E12" s="9"/>
      <c r="F12" s="9"/>
    </row>
    <row r="13" spans="1:8" ht="25.5">
      <c r="A13" s="9"/>
      <c r="B13" s="550" t="s">
        <v>2655</v>
      </c>
      <c r="C13" s="9"/>
      <c r="D13" s="9"/>
      <c r="E13" s="9"/>
      <c r="F13" s="9"/>
    </row>
    <row r="14" spans="1:8" ht="51">
      <c r="A14" s="9"/>
      <c r="B14" s="550" t="s">
        <v>2656</v>
      </c>
      <c r="C14" s="9"/>
      <c r="D14" s="124"/>
      <c r="E14" s="9"/>
      <c r="F14" s="9"/>
    </row>
    <row r="15" spans="1:8">
      <c r="A15" s="9"/>
      <c r="B15" s="550" t="s">
        <v>2657</v>
      </c>
      <c r="C15" s="9"/>
      <c r="D15" s="9"/>
      <c r="E15" s="9"/>
      <c r="F15" s="9"/>
    </row>
    <row r="16" spans="1:8" ht="38.25">
      <c r="A16" s="9"/>
      <c r="B16" s="550" t="s">
        <v>2658</v>
      </c>
      <c r="C16" s="9"/>
      <c r="D16" s="9"/>
      <c r="E16" s="9"/>
      <c r="F16" s="9"/>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8000"/>
  </sheetPr>
  <dimension ref="A1:Q75"/>
  <sheetViews>
    <sheetView view="pageBreakPreview" zoomScaleSheetLayoutView="100" workbookViewId="0">
      <pane xSplit="4" ySplit="3" topLeftCell="E4" activePane="bottomRight" state="frozen"/>
      <selection pane="bottomRight" activeCell="M13" sqref="M13"/>
      <selection pane="bottomLeft" activeCell="B5" sqref="B5:C5"/>
      <selection pane="topRight" activeCell="B5" sqref="B5:C5"/>
    </sheetView>
  </sheetViews>
  <sheetFormatPr defaultColWidth="9.140625" defaultRowHeight="12.75"/>
  <cols>
    <col min="1" max="1" width="5.5703125" style="185" customWidth="1"/>
    <col min="2" max="2" width="26.42578125" style="185" customWidth="1"/>
    <col min="3" max="3" width="5.140625" style="194" customWidth="1"/>
    <col min="4" max="4" width="13.42578125" style="185" customWidth="1"/>
    <col min="5" max="9" width="7.5703125" style="185" bestFit="1" customWidth="1"/>
    <col min="10" max="10" width="10" style="185" bestFit="1" customWidth="1"/>
    <col min="11" max="11" width="7.5703125" style="185" bestFit="1" customWidth="1"/>
    <col min="12" max="12" width="9.140625" style="185" bestFit="1" customWidth="1"/>
    <col min="13" max="13" width="9.42578125" style="185" bestFit="1" customWidth="1"/>
    <col min="14" max="14" width="7.5703125" style="185" bestFit="1" customWidth="1"/>
    <col min="15" max="15" width="8.28515625" style="185" bestFit="1" customWidth="1"/>
    <col min="16" max="16" width="7.5703125" style="185" bestFit="1" customWidth="1"/>
    <col min="17" max="17" width="8.5703125" style="194" bestFit="1" customWidth="1"/>
    <col min="18" max="16384" width="9.140625" style="185"/>
  </cols>
  <sheetData>
    <row r="1" spans="1:17">
      <c r="A1" s="508" t="s">
        <v>209</v>
      </c>
      <c r="C1" s="871"/>
      <c r="D1" s="202"/>
      <c r="E1" s="202"/>
      <c r="F1" s="202"/>
      <c r="G1" s="202"/>
      <c r="H1" s="202"/>
      <c r="I1" s="202"/>
      <c r="J1" s="202"/>
      <c r="K1" s="202"/>
      <c r="L1" s="202"/>
      <c r="M1" s="202"/>
      <c r="O1" s="202"/>
      <c r="P1" s="2727" t="s">
        <v>2659</v>
      </c>
      <c r="Q1" s="2727"/>
    </row>
    <row r="2" spans="1:17" ht="23.25" customHeight="1">
      <c r="A2" s="2728" t="s">
        <v>2660</v>
      </c>
      <c r="B2" s="2728"/>
      <c r="C2" s="2728"/>
      <c r="D2" s="2728"/>
      <c r="E2" s="2728"/>
      <c r="F2" s="2728"/>
      <c r="G2" s="2728"/>
      <c r="H2" s="2728"/>
      <c r="I2" s="2728"/>
      <c r="J2" s="2728"/>
      <c r="K2" s="2728"/>
      <c r="L2" s="2728"/>
      <c r="M2" s="2728"/>
      <c r="N2" s="2728"/>
      <c r="O2" s="2728"/>
      <c r="P2" s="2728"/>
      <c r="Q2" s="2728"/>
    </row>
    <row r="3" spans="1:17" ht="31.5" customHeight="1">
      <c r="A3" s="187" t="s">
        <v>509</v>
      </c>
      <c r="B3" s="190" t="s">
        <v>2661</v>
      </c>
      <c r="C3" s="187" t="s">
        <v>1512</v>
      </c>
      <c r="D3" s="208" t="s">
        <v>2662</v>
      </c>
      <c r="E3" s="300">
        <v>44652</v>
      </c>
      <c r="F3" s="300">
        <v>44682</v>
      </c>
      <c r="G3" s="300">
        <v>44713</v>
      </c>
      <c r="H3" s="300">
        <v>44743</v>
      </c>
      <c r="I3" s="300">
        <v>44774</v>
      </c>
      <c r="J3" s="300">
        <v>44805</v>
      </c>
      <c r="K3" s="300">
        <v>44835</v>
      </c>
      <c r="L3" s="300">
        <v>44866</v>
      </c>
      <c r="M3" s="300">
        <v>44896</v>
      </c>
      <c r="N3" s="300">
        <v>44927</v>
      </c>
      <c r="O3" s="300">
        <v>44958</v>
      </c>
      <c r="P3" s="300">
        <v>44986</v>
      </c>
      <c r="Q3" s="190" t="s">
        <v>239</v>
      </c>
    </row>
    <row r="4" spans="1:17" ht="24.95" customHeight="1">
      <c r="A4" s="188">
        <v>1</v>
      </c>
      <c r="B4" s="189" t="s">
        <v>2663</v>
      </c>
      <c r="C4" s="187" t="s">
        <v>460</v>
      </c>
      <c r="D4" s="186"/>
      <c r="E4" s="201">
        <v>388.79900000000004</v>
      </c>
      <c r="F4" s="201">
        <v>380.2410000000001</v>
      </c>
      <c r="G4" s="201">
        <v>371.30000000000007</v>
      </c>
      <c r="H4" s="201">
        <v>362.08000000000004</v>
      </c>
      <c r="I4" s="201">
        <v>350.10899999999992</v>
      </c>
      <c r="J4" s="201">
        <v>354.03900000000016</v>
      </c>
      <c r="K4" s="201">
        <v>317.38</v>
      </c>
      <c r="L4" s="201">
        <v>249.50200000000001</v>
      </c>
      <c r="M4" s="201">
        <v>238.49400000000003</v>
      </c>
      <c r="N4" s="201">
        <v>256.82200000000012</v>
      </c>
      <c r="O4" s="201">
        <v>255.74499999999995</v>
      </c>
      <c r="P4" s="201">
        <v>296.88099999999997</v>
      </c>
      <c r="Q4" s="205">
        <f>SUM(E4:P4)</f>
        <v>3821.3920000000003</v>
      </c>
    </row>
    <row r="5" spans="1:17" ht="24.95" customHeight="1">
      <c r="A5" s="188">
        <v>2</v>
      </c>
      <c r="B5" s="189" t="s">
        <v>2664</v>
      </c>
      <c r="C5" s="187" t="s">
        <v>460</v>
      </c>
      <c r="D5" s="186"/>
      <c r="E5" s="201">
        <v>0</v>
      </c>
      <c r="F5" s="201">
        <v>0</v>
      </c>
      <c r="G5" s="201">
        <v>0</v>
      </c>
      <c r="H5" s="201">
        <v>0</v>
      </c>
      <c r="I5" s="201">
        <v>0</v>
      </c>
      <c r="J5" s="201">
        <v>0</v>
      </c>
      <c r="K5" s="201">
        <v>0</v>
      </c>
      <c r="L5" s="201">
        <v>0</v>
      </c>
      <c r="M5" s="201">
        <v>0</v>
      </c>
      <c r="N5" s="201">
        <v>0</v>
      </c>
      <c r="O5" s="201">
        <v>0</v>
      </c>
      <c r="P5" s="201">
        <v>0</v>
      </c>
      <c r="Q5" s="205">
        <f>SUM(E5:P5)</f>
        <v>0</v>
      </c>
    </row>
    <row r="6" spans="1:17" ht="24.95" customHeight="1">
      <c r="A6" s="188">
        <v>3</v>
      </c>
      <c r="B6" s="189" t="s">
        <v>2665</v>
      </c>
      <c r="C6" s="187" t="s">
        <v>460</v>
      </c>
      <c r="D6" s="186"/>
      <c r="E6" s="201">
        <v>38.131</v>
      </c>
      <c r="F6" s="201">
        <v>39.856999999999999</v>
      </c>
      <c r="G6" s="201">
        <v>38.168999999999997</v>
      </c>
      <c r="H6" s="201">
        <v>35.335999999999999</v>
      </c>
      <c r="I6" s="201">
        <v>34.201999999999998</v>
      </c>
      <c r="J6" s="201">
        <v>32.262</v>
      </c>
      <c r="K6" s="201">
        <v>34.704999999999998</v>
      </c>
      <c r="L6" s="201">
        <v>33.249000000000002</v>
      </c>
      <c r="M6" s="201">
        <v>36.633000000000003</v>
      </c>
      <c r="N6" s="201">
        <v>38.421999999999997</v>
      </c>
      <c r="O6" s="201">
        <v>36.290999999999997</v>
      </c>
      <c r="P6" s="201">
        <v>38.197000000000003</v>
      </c>
      <c r="Q6" s="205">
        <f>SUM(E6:P6)</f>
        <v>435.45400000000001</v>
      </c>
    </row>
    <row r="7" spans="1:17" ht="24.95" customHeight="1">
      <c r="A7" s="188">
        <v>4</v>
      </c>
      <c r="B7" s="189" t="s">
        <v>2666</v>
      </c>
      <c r="C7" s="187" t="s">
        <v>460</v>
      </c>
      <c r="D7" s="186"/>
      <c r="E7" s="201">
        <f t="shared" ref="E7:P7" si="0">+E4-E6-E8</f>
        <v>339.00400000000002</v>
      </c>
      <c r="F7" s="201">
        <f t="shared" si="0"/>
        <v>328.97700000000015</v>
      </c>
      <c r="G7" s="201">
        <f t="shared" si="0"/>
        <v>321.99200000000008</v>
      </c>
      <c r="H7" s="201">
        <f t="shared" si="0"/>
        <v>315.88200000000001</v>
      </c>
      <c r="I7" s="201">
        <f t="shared" si="0"/>
        <v>305.40399999999994</v>
      </c>
      <c r="J7" s="201">
        <f t="shared" si="0"/>
        <v>311.15600000000018</v>
      </c>
      <c r="K7" s="201">
        <f t="shared" si="0"/>
        <v>273.154</v>
      </c>
      <c r="L7" s="201">
        <f t="shared" si="0"/>
        <v>208.768</v>
      </c>
      <c r="M7" s="201">
        <f t="shared" si="0"/>
        <v>194.70600000000002</v>
      </c>
      <c r="N7" s="201">
        <f t="shared" si="0"/>
        <v>210.69500000000011</v>
      </c>
      <c r="O7" s="201">
        <f t="shared" si="0"/>
        <v>211.78199999999995</v>
      </c>
      <c r="P7" s="201">
        <f t="shared" si="0"/>
        <v>249.77799999999996</v>
      </c>
      <c r="Q7" s="205">
        <f>SUM(E7:P7)</f>
        <v>3271.2980000000007</v>
      </c>
    </row>
    <row r="8" spans="1:17" ht="24.95" customHeight="1">
      <c r="A8" s="188">
        <v>5</v>
      </c>
      <c r="B8" s="189" t="s">
        <v>2667</v>
      </c>
      <c r="C8" s="187" t="s">
        <v>460</v>
      </c>
      <c r="D8" s="190" t="s">
        <v>2668</v>
      </c>
      <c r="E8" s="201">
        <v>11.664</v>
      </c>
      <c r="F8" s="201">
        <v>11.407</v>
      </c>
      <c r="G8" s="201">
        <v>11.138999999999999</v>
      </c>
      <c r="H8" s="201">
        <v>10.862</v>
      </c>
      <c r="I8" s="201">
        <v>10.503</v>
      </c>
      <c r="J8" s="201">
        <v>10.621</v>
      </c>
      <c r="K8" s="201">
        <v>9.5210000000000008</v>
      </c>
      <c r="L8" s="201">
        <v>7.4850000000000003</v>
      </c>
      <c r="M8" s="201">
        <v>7.1550000000000002</v>
      </c>
      <c r="N8" s="201">
        <v>7.7050000000000001</v>
      </c>
      <c r="O8" s="201">
        <v>7.6719999999999997</v>
      </c>
      <c r="P8" s="201">
        <v>8.9060000000000006</v>
      </c>
      <c r="Q8" s="205">
        <f>SUM(E8:P8)</f>
        <v>114.64</v>
      </c>
    </row>
    <row r="9" spans="1:17" ht="24.95" customHeight="1">
      <c r="A9" s="188">
        <v>6</v>
      </c>
      <c r="B9" s="189" t="s">
        <v>2669</v>
      </c>
      <c r="C9" s="187" t="s">
        <v>469</v>
      </c>
      <c r="D9" s="191" t="s">
        <v>2670</v>
      </c>
      <c r="E9" s="199">
        <f t="shared" ref="E9:Q9" si="1">+E8/(E4+E5)</f>
        <v>3.0000077160692282E-2</v>
      </c>
      <c r="F9" s="199">
        <f t="shared" si="1"/>
        <v>2.9999395120463068E-2</v>
      </c>
      <c r="G9" s="199">
        <f t="shared" si="1"/>
        <v>2.9999999999999992E-2</v>
      </c>
      <c r="H9" s="199">
        <f t="shared" si="1"/>
        <v>2.9998895271763144E-2</v>
      </c>
      <c r="I9" s="199">
        <f t="shared" si="1"/>
        <v>2.999922881159868E-2</v>
      </c>
      <c r="J9" s="199">
        <f t="shared" si="1"/>
        <v>2.9999519826911712E-2</v>
      </c>
      <c r="K9" s="199">
        <f t="shared" si="1"/>
        <v>2.9998739681139332E-2</v>
      </c>
      <c r="L9" s="199">
        <f t="shared" si="1"/>
        <v>2.9999759520965764E-2</v>
      </c>
      <c r="M9" s="199">
        <f t="shared" si="1"/>
        <v>3.0000754735968197E-2</v>
      </c>
      <c r="N9" s="199">
        <f t="shared" si="1"/>
        <v>3.000132387412292E-2</v>
      </c>
      <c r="O9" s="199">
        <f t="shared" si="1"/>
        <v>2.9998631449295203E-2</v>
      </c>
      <c r="P9" s="199">
        <f t="shared" si="1"/>
        <v>2.9998551608220132E-2</v>
      </c>
      <c r="Q9" s="204">
        <f t="shared" si="1"/>
        <v>2.9999539434844683E-2</v>
      </c>
    </row>
    <row r="10" spans="1:17" ht="24.95" customHeight="1">
      <c r="A10" s="188">
        <v>7</v>
      </c>
      <c r="B10" s="189" t="s">
        <v>2671</v>
      </c>
      <c r="C10" s="187" t="s">
        <v>460</v>
      </c>
      <c r="D10" s="186"/>
      <c r="E10" s="201">
        <v>0</v>
      </c>
      <c r="F10" s="201">
        <v>0</v>
      </c>
      <c r="G10" s="201">
        <v>0</v>
      </c>
      <c r="H10" s="201">
        <v>0</v>
      </c>
      <c r="I10" s="201">
        <v>0</v>
      </c>
      <c r="J10" s="201">
        <v>0</v>
      </c>
      <c r="K10" s="201">
        <v>0</v>
      </c>
      <c r="L10" s="201">
        <v>0</v>
      </c>
      <c r="M10" s="201">
        <v>0</v>
      </c>
      <c r="N10" s="201">
        <v>0</v>
      </c>
      <c r="O10" s="201">
        <v>0</v>
      </c>
      <c r="P10" s="201">
        <v>0</v>
      </c>
      <c r="Q10" s="205">
        <f t="shared" ref="Q10:Q15" si="2">SUM(E10:P10)</f>
        <v>0</v>
      </c>
    </row>
    <row r="11" spans="1:17" ht="24.95" customHeight="1">
      <c r="A11" s="188">
        <v>8</v>
      </c>
      <c r="B11" s="189" t="s">
        <v>2672</v>
      </c>
      <c r="C11" s="187" t="s">
        <v>460</v>
      </c>
      <c r="D11" s="190" t="s">
        <v>2673</v>
      </c>
      <c r="E11" s="201">
        <f t="shared" ref="E11:P11" si="3">+E12+E13</f>
        <v>16.562000000000005</v>
      </c>
      <c r="F11" s="201">
        <f t="shared" si="3"/>
        <v>18.791000000000004</v>
      </c>
      <c r="G11" s="201">
        <f t="shared" si="3"/>
        <v>18.550000000000004</v>
      </c>
      <c r="H11" s="201">
        <f t="shared" si="3"/>
        <v>17.284000000000006</v>
      </c>
      <c r="I11" s="201">
        <f t="shared" si="3"/>
        <v>15.387000000000008</v>
      </c>
      <c r="J11" s="201">
        <f t="shared" si="3"/>
        <v>15.375000000000007</v>
      </c>
      <c r="K11" s="201">
        <f t="shared" si="3"/>
        <v>15.208000000000006</v>
      </c>
      <c r="L11" s="201">
        <f t="shared" si="3"/>
        <v>13.259999999999991</v>
      </c>
      <c r="M11" s="201">
        <f t="shared" si="3"/>
        <v>12.88900000000001</v>
      </c>
      <c r="N11" s="201">
        <f t="shared" si="3"/>
        <v>14.26400000000001</v>
      </c>
      <c r="O11" s="201">
        <f t="shared" si="3"/>
        <v>14.981000000000009</v>
      </c>
      <c r="P11" s="201">
        <f t="shared" si="3"/>
        <v>17.412000000000006</v>
      </c>
      <c r="Q11" s="205">
        <f t="shared" si="2"/>
        <v>189.96300000000005</v>
      </c>
    </row>
    <row r="12" spans="1:17" ht="24.95" customHeight="1">
      <c r="A12" s="192" t="s">
        <v>2674</v>
      </c>
      <c r="B12" s="189" t="s">
        <v>2675</v>
      </c>
      <c r="C12" s="187"/>
      <c r="D12" s="186"/>
      <c r="E12" s="201">
        <v>16.562000000000005</v>
      </c>
      <c r="F12" s="201">
        <v>18.791000000000004</v>
      </c>
      <c r="G12" s="201">
        <v>18.550000000000004</v>
      </c>
      <c r="H12" s="201">
        <v>17.284000000000006</v>
      </c>
      <c r="I12" s="201">
        <v>15.387000000000008</v>
      </c>
      <c r="J12" s="201">
        <v>15.375000000000007</v>
      </c>
      <c r="K12" s="201">
        <v>15.208000000000006</v>
      </c>
      <c r="L12" s="201">
        <v>13.259999999999991</v>
      </c>
      <c r="M12" s="201">
        <v>12.88900000000001</v>
      </c>
      <c r="N12" s="201">
        <v>14.26400000000001</v>
      </c>
      <c r="O12" s="201">
        <v>14.981000000000009</v>
      </c>
      <c r="P12" s="201">
        <v>17.412000000000006</v>
      </c>
      <c r="Q12" s="205">
        <f t="shared" si="2"/>
        <v>189.96300000000005</v>
      </c>
    </row>
    <row r="13" spans="1:17" ht="24.95" customHeight="1">
      <c r="A13" s="192" t="s">
        <v>2676</v>
      </c>
      <c r="B13" s="189" t="s">
        <v>2677</v>
      </c>
      <c r="C13" s="187"/>
      <c r="D13" s="186"/>
      <c r="E13" s="201">
        <v>0</v>
      </c>
      <c r="F13" s="201">
        <v>0</v>
      </c>
      <c r="G13" s="201">
        <v>0</v>
      </c>
      <c r="H13" s="201">
        <v>0</v>
      </c>
      <c r="I13" s="201">
        <v>0</v>
      </c>
      <c r="J13" s="201">
        <v>0</v>
      </c>
      <c r="K13" s="201">
        <v>0</v>
      </c>
      <c r="L13" s="201">
        <v>0</v>
      </c>
      <c r="M13" s="201">
        <v>0</v>
      </c>
      <c r="N13" s="201">
        <v>0</v>
      </c>
      <c r="O13" s="201">
        <v>0</v>
      </c>
      <c r="P13" s="201">
        <v>0</v>
      </c>
      <c r="Q13" s="205">
        <f t="shared" si="2"/>
        <v>0</v>
      </c>
    </row>
    <row r="14" spans="1:17" ht="24.95" customHeight="1">
      <c r="A14" s="188">
        <v>9</v>
      </c>
      <c r="B14" s="189" t="s">
        <v>2678</v>
      </c>
      <c r="C14" s="187" t="s">
        <v>460</v>
      </c>
      <c r="D14" s="190"/>
      <c r="E14" s="201">
        <v>303.00400000000008</v>
      </c>
      <c r="F14" s="201">
        <v>291.17400000000004</v>
      </c>
      <c r="G14" s="201">
        <v>284.87500000000006</v>
      </c>
      <c r="H14" s="201">
        <v>280.49300000000005</v>
      </c>
      <c r="I14" s="201">
        <v>272.51099999999997</v>
      </c>
      <c r="J14" s="201">
        <v>278.07899999999995</v>
      </c>
      <c r="K14" s="201">
        <v>242.07699999999997</v>
      </c>
      <c r="L14" s="201">
        <v>183.03300000000004</v>
      </c>
      <c r="M14" s="201">
        <v>169.89099999999999</v>
      </c>
      <c r="N14" s="201">
        <v>183.59100000000001</v>
      </c>
      <c r="O14" s="201">
        <v>184.01300000000006</v>
      </c>
      <c r="P14" s="201">
        <v>217.51999999999998</v>
      </c>
      <c r="Q14" s="205">
        <f t="shared" si="2"/>
        <v>2890.261</v>
      </c>
    </row>
    <row r="15" spans="1:17" ht="24.95" customHeight="1">
      <c r="A15" s="188">
        <v>10</v>
      </c>
      <c r="B15" s="189" t="s">
        <v>2679</v>
      </c>
      <c r="C15" s="187" t="s">
        <v>460</v>
      </c>
      <c r="D15" s="190" t="s">
        <v>2680</v>
      </c>
      <c r="E15" s="206">
        <f t="shared" ref="E15:P15" si="4">+E7+E10-E11-E14</f>
        <v>19.437999999999931</v>
      </c>
      <c r="F15" s="206">
        <f t="shared" si="4"/>
        <v>19.012000000000114</v>
      </c>
      <c r="G15" s="206">
        <f t="shared" si="4"/>
        <v>18.567000000000007</v>
      </c>
      <c r="H15" s="206">
        <f t="shared" si="4"/>
        <v>18.104999999999961</v>
      </c>
      <c r="I15" s="206">
        <f t="shared" si="4"/>
        <v>17.505999999999972</v>
      </c>
      <c r="J15" s="206">
        <f t="shared" si="4"/>
        <v>17.702000000000226</v>
      </c>
      <c r="K15" s="206">
        <f t="shared" si="4"/>
        <v>15.869</v>
      </c>
      <c r="L15" s="206">
        <f t="shared" si="4"/>
        <v>12.474999999999966</v>
      </c>
      <c r="M15" s="206">
        <f t="shared" si="4"/>
        <v>11.926000000000016</v>
      </c>
      <c r="N15" s="206">
        <f t="shared" si="4"/>
        <v>12.840000000000089</v>
      </c>
      <c r="O15" s="206">
        <f t="shared" si="4"/>
        <v>12.787999999999869</v>
      </c>
      <c r="P15" s="206">
        <f t="shared" si="4"/>
        <v>14.845999999999975</v>
      </c>
      <c r="Q15" s="205">
        <f t="shared" si="2"/>
        <v>191.07400000000013</v>
      </c>
    </row>
    <row r="16" spans="1:17" ht="24.95" customHeight="1">
      <c r="A16" s="188">
        <v>11</v>
      </c>
      <c r="B16" s="189" t="s">
        <v>2681</v>
      </c>
      <c r="C16" s="187" t="s">
        <v>469</v>
      </c>
      <c r="D16" s="191" t="s">
        <v>2682</v>
      </c>
      <c r="E16" s="199">
        <f t="shared" ref="E16:Q16" si="5">+E15/(E7+E10)</f>
        <v>5.73385564772095E-2</v>
      </c>
      <c r="F16" s="199">
        <f t="shared" si="5"/>
        <v>5.7791274162023808E-2</v>
      </c>
      <c r="G16" s="199">
        <f t="shared" si="5"/>
        <v>5.7662923302442305E-2</v>
      </c>
      <c r="H16" s="199">
        <f t="shared" si="5"/>
        <v>5.7315706497995965E-2</v>
      </c>
      <c r="I16" s="199">
        <f t="shared" si="5"/>
        <v>5.7320794750559831E-2</v>
      </c>
      <c r="J16" s="199">
        <f t="shared" si="5"/>
        <v>5.6891077144584114E-2</v>
      </c>
      <c r="K16" s="199">
        <f t="shared" si="5"/>
        <v>5.8095433345292401E-2</v>
      </c>
      <c r="L16" s="199">
        <f t="shared" si="5"/>
        <v>5.9755326486817736E-2</v>
      </c>
      <c r="M16" s="199">
        <f t="shared" si="5"/>
        <v>6.1251322506753851E-2</v>
      </c>
      <c r="N16" s="199">
        <f t="shared" si="5"/>
        <v>6.0941170886827323E-2</v>
      </c>
      <c r="O16" s="199">
        <f t="shared" si="5"/>
        <v>6.0382846511978693E-2</v>
      </c>
      <c r="P16" s="199">
        <f t="shared" si="5"/>
        <v>5.9436779860516049E-2</v>
      </c>
      <c r="Q16" s="207">
        <f t="shared" si="5"/>
        <v>5.8409230831309188E-2</v>
      </c>
    </row>
    <row r="17" spans="1:17" ht="24.95" customHeight="1">
      <c r="A17" s="188">
        <v>12</v>
      </c>
      <c r="B17" s="189" t="s">
        <v>2683</v>
      </c>
      <c r="C17" s="187" t="s">
        <v>460</v>
      </c>
      <c r="D17" s="187"/>
      <c r="E17" s="201">
        <v>0</v>
      </c>
      <c r="F17" s="201">
        <v>0</v>
      </c>
      <c r="G17" s="201">
        <v>0</v>
      </c>
      <c r="H17" s="201">
        <v>0</v>
      </c>
      <c r="I17" s="201">
        <v>0</v>
      </c>
      <c r="J17" s="201">
        <v>0</v>
      </c>
      <c r="K17" s="201">
        <v>0</v>
      </c>
      <c r="L17" s="201">
        <v>0</v>
      </c>
      <c r="M17" s="201">
        <v>0</v>
      </c>
      <c r="N17" s="201">
        <v>0</v>
      </c>
      <c r="O17" s="201">
        <v>0</v>
      </c>
      <c r="P17" s="201">
        <v>0</v>
      </c>
      <c r="Q17" s="205">
        <f>SUM(E17:P17)</f>
        <v>0</v>
      </c>
    </row>
    <row r="18" spans="1:17" ht="24.95" customHeight="1">
      <c r="A18" s="188">
        <v>13</v>
      </c>
      <c r="B18" s="189" t="s">
        <v>2684</v>
      </c>
      <c r="C18" s="187" t="s">
        <v>460</v>
      </c>
      <c r="D18" s="190" t="s">
        <v>2685</v>
      </c>
      <c r="E18" s="201">
        <f t="shared" ref="E18:P18" si="6">+E19+E20</f>
        <v>209.01899999999998</v>
      </c>
      <c r="F18" s="201">
        <f t="shared" si="6"/>
        <v>200.166</v>
      </c>
      <c r="G18" s="201">
        <f t="shared" si="6"/>
        <v>237.93200000000002</v>
      </c>
      <c r="H18" s="201">
        <f t="shared" si="6"/>
        <v>191.14800000000002</v>
      </c>
      <c r="I18" s="201">
        <f t="shared" si="6"/>
        <v>224.09200000000004</v>
      </c>
      <c r="J18" s="201">
        <f t="shared" si="6"/>
        <v>170.62400000000002</v>
      </c>
      <c r="K18" s="201">
        <f t="shared" si="6"/>
        <v>202.85299999999998</v>
      </c>
      <c r="L18" s="201">
        <f t="shared" si="6"/>
        <v>173.464</v>
      </c>
      <c r="M18" s="201">
        <f t="shared" si="6"/>
        <v>120.78100000000001</v>
      </c>
      <c r="N18" s="201">
        <f t="shared" si="6"/>
        <v>123.73699999999999</v>
      </c>
      <c r="O18" s="201">
        <f t="shared" si="6"/>
        <v>133.67600000000002</v>
      </c>
      <c r="P18" s="201">
        <f t="shared" si="6"/>
        <v>145.21199999999999</v>
      </c>
      <c r="Q18" s="205">
        <f>SUM(E18:P18)</f>
        <v>2132.7039999999997</v>
      </c>
    </row>
    <row r="19" spans="1:17" ht="24.95" customHeight="1">
      <c r="A19" s="192" t="s">
        <v>2674</v>
      </c>
      <c r="B19" s="189" t="s">
        <v>2675</v>
      </c>
      <c r="C19" s="187"/>
      <c r="D19" s="186"/>
      <c r="E19" s="201">
        <v>136.46999999999997</v>
      </c>
      <c r="F19" s="201">
        <v>135.57999999999998</v>
      </c>
      <c r="G19" s="201">
        <v>169.85500000000002</v>
      </c>
      <c r="H19" s="201">
        <v>148.18800000000002</v>
      </c>
      <c r="I19" s="201">
        <v>161.53000000000003</v>
      </c>
      <c r="J19" s="201">
        <v>111.01900000000003</v>
      </c>
      <c r="K19" s="201">
        <v>156.06899999999999</v>
      </c>
      <c r="L19" s="201">
        <v>128.27799999999999</v>
      </c>
      <c r="M19" s="201">
        <v>81.337000000000003</v>
      </c>
      <c r="N19" s="201">
        <v>86.503999999999991</v>
      </c>
      <c r="O19" s="201">
        <v>103.88900000000001</v>
      </c>
      <c r="P19" s="201">
        <v>115.44199999999999</v>
      </c>
      <c r="Q19" s="205">
        <f>SUM(E19:P19)</f>
        <v>1534.1610000000001</v>
      </c>
    </row>
    <row r="20" spans="1:17" ht="24.95" customHeight="1">
      <c r="A20" s="192" t="s">
        <v>2676</v>
      </c>
      <c r="B20" s="189" t="s">
        <v>2677</v>
      </c>
      <c r="C20" s="187"/>
      <c r="D20" s="186"/>
      <c r="E20" s="201">
        <v>72.549000000000007</v>
      </c>
      <c r="F20" s="201">
        <v>64.585999999999999</v>
      </c>
      <c r="G20" s="201">
        <v>68.076999999999998</v>
      </c>
      <c r="H20" s="201">
        <v>42.96</v>
      </c>
      <c r="I20" s="201">
        <v>62.561999999999998</v>
      </c>
      <c r="J20" s="201">
        <v>59.604999999999997</v>
      </c>
      <c r="K20" s="201">
        <v>46.783999999999999</v>
      </c>
      <c r="L20" s="201">
        <v>45.186</v>
      </c>
      <c r="M20" s="201">
        <v>39.444000000000003</v>
      </c>
      <c r="N20" s="201">
        <v>37.232999999999997</v>
      </c>
      <c r="O20" s="201">
        <v>29.786999999999999</v>
      </c>
      <c r="P20" s="201">
        <v>29.77</v>
      </c>
      <c r="Q20" s="205">
        <f>SUM(E20:P20)</f>
        <v>598.54300000000001</v>
      </c>
    </row>
    <row r="21" spans="1:17" ht="24.95" customHeight="1">
      <c r="A21" s="188">
        <v>14</v>
      </c>
      <c r="B21" s="193" t="s">
        <v>2686</v>
      </c>
      <c r="C21" s="187" t="s">
        <v>460</v>
      </c>
      <c r="D21" s="190" t="s">
        <v>2687</v>
      </c>
      <c r="E21" s="201">
        <f t="shared" ref="E21:P21" si="7">+E14+E17-E18</f>
        <v>93.985000000000099</v>
      </c>
      <c r="F21" s="201">
        <f t="shared" si="7"/>
        <v>91.008000000000038</v>
      </c>
      <c r="G21" s="201">
        <f t="shared" si="7"/>
        <v>46.94300000000004</v>
      </c>
      <c r="H21" s="201">
        <f t="shared" si="7"/>
        <v>89.345000000000027</v>
      </c>
      <c r="I21" s="201">
        <f t="shared" si="7"/>
        <v>48.418999999999926</v>
      </c>
      <c r="J21" s="201">
        <f t="shared" si="7"/>
        <v>107.45499999999993</v>
      </c>
      <c r="K21" s="201">
        <f t="shared" si="7"/>
        <v>39.22399999999999</v>
      </c>
      <c r="L21" s="201">
        <f t="shared" si="7"/>
        <v>9.5690000000000452</v>
      </c>
      <c r="M21" s="201">
        <f t="shared" si="7"/>
        <v>49.109999999999985</v>
      </c>
      <c r="N21" s="201">
        <f t="shared" si="7"/>
        <v>59.854000000000013</v>
      </c>
      <c r="O21" s="201">
        <f t="shared" si="7"/>
        <v>50.337000000000046</v>
      </c>
      <c r="P21" s="201">
        <f t="shared" si="7"/>
        <v>72.307999999999993</v>
      </c>
      <c r="Q21" s="205">
        <f>SUM(E21:P21)</f>
        <v>757.55700000000024</v>
      </c>
    </row>
    <row r="22" spans="1:17" ht="24.95" customHeight="1">
      <c r="A22" s="188">
        <v>15</v>
      </c>
      <c r="B22" s="193" t="s">
        <v>2688</v>
      </c>
      <c r="C22" s="187" t="s">
        <v>469</v>
      </c>
      <c r="D22" s="191" t="s">
        <v>2689</v>
      </c>
      <c r="E22" s="560">
        <f t="shared" ref="E22:Q22" si="8">+E21/(E14+E17)</f>
        <v>0.31017742340035143</v>
      </c>
      <c r="F22" s="560">
        <f t="shared" si="8"/>
        <v>0.3125553792577635</v>
      </c>
      <c r="G22" s="560">
        <f t="shared" si="8"/>
        <v>0.16478455462922345</v>
      </c>
      <c r="H22" s="560">
        <f t="shared" si="8"/>
        <v>0.31852844812526521</v>
      </c>
      <c r="I22" s="560">
        <f t="shared" si="8"/>
        <v>0.17767723137781569</v>
      </c>
      <c r="J22" s="560">
        <f t="shared" si="8"/>
        <v>0.38641896727189018</v>
      </c>
      <c r="K22" s="560">
        <f t="shared" si="8"/>
        <v>0.16203108928150958</v>
      </c>
      <c r="L22" s="560">
        <f t="shared" si="8"/>
        <v>5.2280189911109158E-2</v>
      </c>
      <c r="M22" s="560">
        <f t="shared" si="8"/>
        <v>0.28906769634648088</v>
      </c>
      <c r="N22" s="560">
        <f t="shared" si="8"/>
        <v>0.32601815993158711</v>
      </c>
      <c r="O22" s="560">
        <f t="shared" si="8"/>
        <v>0.27355132517811259</v>
      </c>
      <c r="P22" s="560">
        <f t="shared" si="8"/>
        <v>0.33242000735564547</v>
      </c>
      <c r="Q22" s="507">
        <f t="shared" si="8"/>
        <v>0.26210677859196807</v>
      </c>
    </row>
    <row r="23" spans="1:17" ht="20.100000000000001" customHeight="1"/>
    <row r="24" spans="1:17" ht="20.100000000000001" customHeight="1"/>
    <row r="25" spans="1:17" ht="20.100000000000001" customHeight="1">
      <c r="E25" s="195"/>
      <c r="F25" s="195"/>
      <c r="G25" s="195"/>
      <c r="H25" s="195"/>
      <c r="I25" s="195"/>
      <c r="J25" s="195"/>
      <c r="K25" s="195"/>
      <c r="L25" s="195"/>
      <c r="M25" s="195"/>
      <c r="N25" s="195"/>
      <c r="O25" s="195"/>
      <c r="P25" s="195"/>
    </row>
    <row r="26" spans="1:17">
      <c r="E26" s="195"/>
      <c r="F26" s="195"/>
      <c r="G26" s="195"/>
      <c r="H26" s="195"/>
      <c r="I26" s="195"/>
      <c r="J26" s="195"/>
      <c r="K26" s="195"/>
      <c r="L26" s="195"/>
      <c r="M26" s="195"/>
      <c r="N26" s="195"/>
      <c r="O26" s="195"/>
      <c r="P26" s="195"/>
      <c r="Q26" s="195"/>
    </row>
    <row r="28" spans="1:17">
      <c r="E28" s="195"/>
      <c r="F28" s="195"/>
      <c r="G28" s="195"/>
      <c r="H28" s="195"/>
      <c r="I28" s="195"/>
      <c r="J28" s="195"/>
      <c r="K28" s="195"/>
      <c r="L28" s="195"/>
      <c r="M28" s="195"/>
      <c r="N28" s="195"/>
      <c r="O28" s="195"/>
      <c r="P28" s="195"/>
    </row>
    <row r="29" spans="1:17">
      <c r="E29" s="195"/>
      <c r="F29" s="195"/>
      <c r="G29" s="195"/>
      <c r="H29" s="195"/>
      <c r="I29" s="195"/>
      <c r="J29" s="195"/>
      <c r="K29" s="195"/>
      <c r="L29" s="195"/>
      <c r="M29" s="195"/>
      <c r="N29" s="195"/>
      <c r="O29" s="195"/>
      <c r="P29" s="195"/>
    </row>
    <row r="30" spans="1:17">
      <c r="E30" s="195"/>
      <c r="F30" s="195"/>
      <c r="G30" s="195"/>
      <c r="H30" s="195"/>
      <c r="I30" s="195"/>
      <c r="J30" s="195"/>
      <c r="K30" s="195"/>
      <c r="L30" s="195"/>
      <c r="M30" s="195"/>
      <c r="N30" s="195"/>
      <c r="O30" s="195"/>
      <c r="P30" s="195"/>
    </row>
    <row r="31" spans="1:17">
      <c r="E31" s="195"/>
      <c r="F31" s="195"/>
      <c r="G31" s="195"/>
      <c r="H31" s="195"/>
      <c r="I31" s="195"/>
      <c r="J31" s="195"/>
      <c r="K31" s="195"/>
      <c r="L31" s="195"/>
      <c r="M31" s="195"/>
      <c r="N31" s="195"/>
      <c r="O31" s="195"/>
      <c r="P31" s="195"/>
    </row>
    <row r="32" spans="1:17">
      <c r="E32" s="195"/>
      <c r="F32" s="195"/>
      <c r="G32" s="195"/>
      <c r="H32" s="195"/>
      <c r="I32" s="195"/>
      <c r="J32" s="195"/>
      <c r="K32" s="195"/>
      <c r="L32" s="195"/>
      <c r="M32" s="195"/>
      <c r="N32" s="195"/>
      <c r="O32" s="195"/>
      <c r="P32" s="195"/>
    </row>
    <row r="33" spans="3:17">
      <c r="C33" s="185"/>
      <c r="K33" s="195"/>
      <c r="L33" s="195"/>
      <c r="M33" s="195"/>
      <c r="N33" s="195"/>
      <c r="O33" s="195"/>
      <c r="P33" s="195"/>
      <c r="Q33" s="185"/>
    </row>
    <row r="35" spans="3:17">
      <c r="C35" s="185"/>
      <c r="E35" s="203"/>
      <c r="F35" s="203"/>
      <c r="G35" s="203"/>
      <c r="H35" s="203"/>
      <c r="I35" s="203"/>
      <c r="J35" s="203"/>
      <c r="K35" s="203"/>
      <c r="L35" s="203"/>
      <c r="M35" s="203"/>
      <c r="N35" s="203"/>
      <c r="O35" s="203"/>
      <c r="P35" s="203"/>
      <c r="Q35" s="185"/>
    </row>
    <row r="37" spans="3:17">
      <c r="C37" s="185"/>
      <c r="E37" s="195"/>
      <c r="Q37" s="185"/>
    </row>
    <row r="39" spans="3:17">
      <c r="E39" s="195"/>
      <c r="F39" s="195"/>
      <c r="G39" s="195"/>
      <c r="H39" s="195"/>
      <c r="I39" s="195"/>
      <c r="J39" s="195"/>
      <c r="K39" s="195"/>
      <c r="L39" s="195"/>
      <c r="M39" s="195"/>
      <c r="N39" s="195"/>
      <c r="O39" s="195"/>
      <c r="P39" s="195"/>
    </row>
    <row r="46" spans="3:17">
      <c r="E46" s="195"/>
      <c r="F46" s="195"/>
      <c r="G46" s="195"/>
      <c r="H46" s="195"/>
      <c r="I46" s="195"/>
      <c r="J46" s="195"/>
      <c r="K46" s="195"/>
      <c r="L46" s="195"/>
      <c r="M46" s="195"/>
      <c r="N46" s="195"/>
      <c r="O46" s="195"/>
      <c r="P46" s="195"/>
    </row>
    <row r="49" spans="5:16">
      <c r="E49" s="195"/>
      <c r="F49" s="195"/>
      <c r="G49" s="195"/>
      <c r="H49" s="195"/>
      <c r="I49" s="195"/>
      <c r="J49" s="195"/>
      <c r="K49" s="195"/>
      <c r="L49" s="195"/>
      <c r="M49" s="195"/>
      <c r="N49" s="195"/>
      <c r="O49" s="195"/>
      <c r="P49" s="195"/>
    </row>
    <row r="51" spans="5:16">
      <c r="E51" s="195"/>
      <c r="F51" s="195"/>
      <c r="G51" s="195"/>
      <c r="H51" s="195"/>
      <c r="I51" s="195"/>
      <c r="J51" s="195"/>
      <c r="K51" s="195"/>
      <c r="L51" s="195"/>
      <c r="M51" s="195"/>
      <c r="N51" s="195"/>
      <c r="O51" s="195"/>
      <c r="P51" s="195"/>
    </row>
    <row r="56" spans="5:16">
      <c r="E56" s="195"/>
      <c r="F56" s="195"/>
      <c r="G56" s="195"/>
      <c r="H56" s="195"/>
      <c r="I56" s="195"/>
      <c r="J56" s="195"/>
      <c r="K56" s="195"/>
      <c r="L56" s="195"/>
      <c r="M56" s="195"/>
      <c r="N56" s="195"/>
      <c r="O56" s="195"/>
      <c r="P56" s="195"/>
    </row>
    <row r="62" spans="5:16">
      <c r="E62" s="195"/>
      <c r="F62" s="195"/>
      <c r="G62" s="195"/>
      <c r="H62" s="195"/>
      <c r="I62" s="195"/>
      <c r="J62" s="195"/>
      <c r="K62" s="195"/>
      <c r="L62" s="195"/>
      <c r="M62" s="195"/>
      <c r="N62" s="195"/>
      <c r="O62" s="195"/>
      <c r="P62" s="195"/>
    </row>
    <row r="65" spans="5:16">
      <c r="E65" s="195"/>
      <c r="F65" s="195"/>
      <c r="G65" s="195"/>
      <c r="H65" s="195"/>
      <c r="I65" s="195"/>
      <c r="J65" s="195"/>
      <c r="K65" s="195"/>
      <c r="L65" s="195"/>
      <c r="M65" s="195"/>
      <c r="N65" s="195"/>
      <c r="O65" s="195"/>
      <c r="P65" s="195"/>
    </row>
    <row r="67" spans="5:16">
      <c r="E67" s="195"/>
      <c r="F67" s="195"/>
      <c r="G67" s="195"/>
      <c r="H67" s="195"/>
      <c r="I67" s="195"/>
      <c r="J67" s="195"/>
      <c r="K67" s="195"/>
      <c r="L67" s="195"/>
      <c r="M67" s="195"/>
      <c r="N67" s="195"/>
      <c r="O67" s="195"/>
      <c r="P67" s="195"/>
    </row>
    <row r="69" spans="5:16">
      <c r="E69" s="195"/>
      <c r="F69" s="195"/>
      <c r="G69" s="195"/>
      <c r="H69" s="195"/>
      <c r="I69" s="195"/>
      <c r="J69" s="195"/>
      <c r="K69" s="195"/>
      <c r="L69" s="195"/>
      <c r="M69" s="195"/>
      <c r="N69" s="195"/>
      <c r="O69" s="195"/>
      <c r="P69" s="195"/>
    </row>
    <row r="75" spans="5:16">
      <c r="E75" s="195"/>
      <c r="F75" s="195"/>
      <c r="G75" s="195"/>
      <c r="H75" s="195"/>
      <c r="I75" s="195"/>
      <c r="J75" s="195"/>
      <c r="K75" s="195"/>
      <c r="L75" s="195"/>
      <c r="M75" s="195"/>
      <c r="N75" s="195"/>
      <c r="O75" s="195"/>
      <c r="P75" s="195"/>
    </row>
  </sheetData>
  <mergeCells count="2">
    <mergeCell ref="P1:Q1"/>
    <mergeCell ref="A2:Q2"/>
  </mergeCells>
  <printOptions horizontalCentered="1"/>
  <pageMargins left="0.15748031496062992" right="0.15748031496062992" top="0.43307086614173229" bottom="0.43307086614173229" header="0.31496062992125984" footer="0.31496062992125984"/>
  <pageSetup paperSize="9" scale="93"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8000"/>
  </sheetPr>
  <dimension ref="A1:K33"/>
  <sheetViews>
    <sheetView view="pageBreakPreview" zoomScaleSheetLayoutView="100" workbookViewId="0">
      <pane xSplit="4" ySplit="3" topLeftCell="E4" activePane="bottomRight" state="frozen"/>
      <selection pane="bottomRight" activeCell="G10" sqref="G10"/>
      <selection pane="bottomLeft" activeCell="B5" sqref="B5:C5"/>
      <selection pane="topRight" activeCell="B5" sqref="B5:C5"/>
    </sheetView>
  </sheetViews>
  <sheetFormatPr defaultColWidth="9.140625" defaultRowHeight="12.75"/>
  <cols>
    <col min="1" max="1" width="5.5703125" style="185" customWidth="1"/>
    <col min="2" max="2" width="32.85546875" style="185" customWidth="1"/>
    <col min="3" max="3" width="5.140625" style="194" customWidth="1"/>
    <col min="4" max="4" width="16.7109375" style="185" bestFit="1" customWidth="1"/>
    <col min="5" max="10" width="9.42578125" style="185" customWidth="1"/>
    <col min="11" max="15" width="9.28515625" style="185" customWidth="1"/>
    <col min="16" max="16384" width="9.140625" style="185"/>
  </cols>
  <sheetData>
    <row r="1" spans="1:11" ht="15.75" customHeight="1">
      <c r="A1" s="508" t="s">
        <v>209</v>
      </c>
      <c r="C1" s="871"/>
      <c r="D1" s="202"/>
      <c r="J1" s="2727" t="s">
        <v>2659</v>
      </c>
      <c r="K1" s="2727"/>
    </row>
    <row r="2" spans="1:11" ht="18.75" customHeight="1">
      <c r="A2" s="2729" t="s">
        <v>2660</v>
      </c>
      <c r="B2" s="2729"/>
      <c r="C2" s="2729"/>
      <c r="D2" s="2729"/>
      <c r="E2" s="2729"/>
      <c r="F2" s="2729"/>
      <c r="G2" s="2729"/>
      <c r="H2" s="2729"/>
      <c r="I2" s="2729"/>
      <c r="J2" s="2729"/>
      <c r="K2" s="2729"/>
    </row>
    <row r="3" spans="1:11" ht="24.95" customHeight="1">
      <c r="A3" s="187" t="s">
        <v>509</v>
      </c>
      <c r="B3" s="190" t="s">
        <v>2661</v>
      </c>
      <c r="C3" s="187" t="s">
        <v>1512</v>
      </c>
      <c r="D3" s="187" t="s">
        <v>2690</v>
      </c>
      <c r="E3" s="300">
        <v>45017</v>
      </c>
      <c r="F3" s="300">
        <v>45047</v>
      </c>
      <c r="G3" s="300">
        <v>45078</v>
      </c>
      <c r="H3" s="300">
        <v>45108</v>
      </c>
      <c r="I3" s="300">
        <v>45139</v>
      </c>
      <c r="J3" s="300">
        <v>45170</v>
      </c>
      <c r="K3" s="190" t="s">
        <v>239</v>
      </c>
    </row>
    <row r="4" spans="1:11" ht="24.95" customHeight="1">
      <c r="A4" s="188">
        <v>1</v>
      </c>
      <c r="B4" s="189" t="s">
        <v>2663</v>
      </c>
      <c r="C4" s="187" t="s">
        <v>460</v>
      </c>
      <c r="D4" s="186"/>
      <c r="E4" s="201">
        <v>349.41800000000001</v>
      </c>
      <c r="F4" s="201">
        <v>380.66399999999999</v>
      </c>
      <c r="G4" s="201">
        <v>386.37800000000004</v>
      </c>
      <c r="H4" s="201">
        <v>390.15699999999993</v>
      </c>
      <c r="I4" s="201">
        <v>369.755</v>
      </c>
      <c r="J4" s="201">
        <v>361.55000000000013</v>
      </c>
      <c r="K4" s="200">
        <f>SUM(E4:J4)</f>
        <v>2237.922</v>
      </c>
    </row>
    <row r="5" spans="1:11" ht="24.95" customHeight="1">
      <c r="A5" s="188">
        <v>2</v>
      </c>
      <c r="B5" s="189" t="s">
        <v>2664</v>
      </c>
      <c r="C5" s="187" t="s">
        <v>460</v>
      </c>
      <c r="D5" s="186"/>
      <c r="E5" s="201">
        <v>0</v>
      </c>
      <c r="F5" s="201">
        <v>0</v>
      </c>
      <c r="G5" s="201">
        <v>0</v>
      </c>
      <c r="H5" s="201">
        <v>0</v>
      </c>
      <c r="I5" s="201">
        <v>0</v>
      </c>
      <c r="J5" s="201">
        <v>0</v>
      </c>
      <c r="K5" s="200">
        <f>SUM(E5:J5)</f>
        <v>0</v>
      </c>
    </row>
    <row r="6" spans="1:11" ht="24.95" customHeight="1">
      <c r="A6" s="188">
        <v>3</v>
      </c>
      <c r="B6" s="189" t="s">
        <v>2665</v>
      </c>
      <c r="C6" s="187" t="s">
        <v>460</v>
      </c>
      <c r="D6" s="186"/>
      <c r="E6" s="201">
        <v>34.43</v>
      </c>
      <c r="F6" s="201">
        <v>33.802</v>
      </c>
      <c r="G6" s="201">
        <v>35.034999999999997</v>
      </c>
      <c r="H6" s="201">
        <v>38.688000000000002</v>
      </c>
      <c r="I6" s="201">
        <v>40.648000000000003</v>
      </c>
      <c r="J6" s="201">
        <v>39.375</v>
      </c>
      <c r="K6" s="200">
        <f>SUM(E6:J6)</f>
        <v>221.97799999999998</v>
      </c>
    </row>
    <row r="7" spans="1:11" ht="24.95" customHeight="1">
      <c r="A7" s="188">
        <v>4</v>
      </c>
      <c r="B7" s="189" t="s">
        <v>2666</v>
      </c>
      <c r="C7" s="187" t="s">
        <v>460</v>
      </c>
      <c r="D7" s="186"/>
      <c r="E7" s="201">
        <f t="shared" ref="E7:J7" si="0">+E4-E6-E8</f>
        <v>304.505</v>
      </c>
      <c r="F7" s="201">
        <f t="shared" si="0"/>
        <v>335.44199999999995</v>
      </c>
      <c r="G7" s="201">
        <f t="shared" si="0"/>
        <v>339.75200000000007</v>
      </c>
      <c r="H7" s="201">
        <f t="shared" si="0"/>
        <v>339.76399999999995</v>
      </c>
      <c r="I7" s="201">
        <f t="shared" si="0"/>
        <v>318.01399999999995</v>
      </c>
      <c r="J7" s="201">
        <f t="shared" si="0"/>
        <v>311.32800000000015</v>
      </c>
      <c r="K7" s="200">
        <f>SUM(E7:J7)</f>
        <v>1948.8050000000001</v>
      </c>
    </row>
    <row r="8" spans="1:11" ht="24.95" customHeight="1">
      <c r="A8" s="188">
        <v>5</v>
      </c>
      <c r="B8" s="189" t="s">
        <v>2667</v>
      </c>
      <c r="C8" s="187" t="s">
        <v>460</v>
      </c>
      <c r="D8" s="190" t="s">
        <v>2668</v>
      </c>
      <c r="E8" s="201">
        <v>10.483000000000001</v>
      </c>
      <c r="F8" s="201">
        <v>11.42</v>
      </c>
      <c r="G8" s="201">
        <v>11.590999999999999</v>
      </c>
      <c r="H8" s="201">
        <v>11.705</v>
      </c>
      <c r="I8" s="201">
        <v>11.093</v>
      </c>
      <c r="J8" s="201">
        <v>10.847</v>
      </c>
      <c r="K8" s="200">
        <f>SUM(E8:J8)</f>
        <v>67.138999999999996</v>
      </c>
    </row>
    <row r="9" spans="1:11" ht="24.95" customHeight="1">
      <c r="A9" s="188">
        <v>6</v>
      </c>
      <c r="B9" s="189" t="s">
        <v>2669</v>
      </c>
      <c r="C9" s="187" t="s">
        <v>469</v>
      </c>
      <c r="D9" s="191" t="s">
        <v>2670</v>
      </c>
      <c r="E9" s="199">
        <f t="shared" ref="E9:J9" si="1">+E8/(E4+E5)</f>
        <v>3.000131647482385E-2</v>
      </c>
      <c r="F9" s="199">
        <f t="shared" si="1"/>
        <v>3.0000210159090431E-2</v>
      </c>
      <c r="G9" s="199">
        <f t="shared" si="1"/>
        <v>2.9999120032714072E-2</v>
      </c>
      <c r="H9" s="199">
        <f t="shared" si="1"/>
        <v>3.0000743290521513E-2</v>
      </c>
      <c r="I9" s="199">
        <f t="shared" si="1"/>
        <v>3.0000946572730593E-2</v>
      </c>
      <c r="J9" s="199">
        <f t="shared" si="1"/>
        <v>3.0001382934587182E-2</v>
      </c>
      <c r="K9" s="198">
        <f t="shared" ref="K9" si="2">+K8/(K4+K5)</f>
        <v>3.0000598769751578E-2</v>
      </c>
    </row>
    <row r="10" spans="1:11" ht="24.95" customHeight="1">
      <c r="A10" s="188">
        <v>7</v>
      </c>
      <c r="B10" s="189" t="s">
        <v>2671</v>
      </c>
      <c r="C10" s="187" t="s">
        <v>460</v>
      </c>
      <c r="D10" s="186"/>
      <c r="E10" s="201">
        <v>0</v>
      </c>
      <c r="F10" s="201">
        <v>0</v>
      </c>
      <c r="G10" s="201">
        <v>0</v>
      </c>
      <c r="H10" s="201">
        <v>0</v>
      </c>
      <c r="I10" s="201">
        <v>0</v>
      </c>
      <c r="J10" s="201">
        <v>0</v>
      </c>
      <c r="K10" s="200">
        <f t="shared" ref="K10:K15" si="3">SUM(E10:J10)</f>
        <v>0</v>
      </c>
    </row>
    <row r="11" spans="1:11" ht="24.95" customHeight="1">
      <c r="A11" s="188">
        <v>8</v>
      </c>
      <c r="B11" s="189" t="s">
        <v>2672</v>
      </c>
      <c r="C11" s="187" t="s">
        <v>460</v>
      </c>
      <c r="D11" s="190" t="s">
        <v>2673</v>
      </c>
      <c r="E11" s="201">
        <f t="shared" ref="E11:J11" si="4">+E12+E13</f>
        <v>17.64</v>
      </c>
      <c r="F11" s="201">
        <f t="shared" si="4"/>
        <v>20.408000000000008</v>
      </c>
      <c r="G11" s="201">
        <f t="shared" si="4"/>
        <v>18.874000000000009</v>
      </c>
      <c r="H11" s="201">
        <f t="shared" si="4"/>
        <v>18.830000000000005</v>
      </c>
      <c r="I11" s="201">
        <f t="shared" si="4"/>
        <v>18.383000000000003</v>
      </c>
      <c r="J11" s="201">
        <f t="shared" si="4"/>
        <v>17.399999999999991</v>
      </c>
      <c r="K11" s="200">
        <f t="shared" si="3"/>
        <v>111.53500000000001</v>
      </c>
    </row>
    <row r="12" spans="1:11" ht="24.95" customHeight="1">
      <c r="A12" s="192" t="s">
        <v>2674</v>
      </c>
      <c r="B12" s="189" t="s">
        <v>2675</v>
      </c>
      <c r="C12" s="187"/>
      <c r="D12" s="186"/>
      <c r="E12" s="201">
        <v>17.64</v>
      </c>
      <c r="F12" s="201">
        <v>20.408000000000008</v>
      </c>
      <c r="G12" s="201">
        <v>18.874000000000009</v>
      </c>
      <c r="H12" s="201">
        <v>18.830000000000005</v>
      </c>
      <c r="I12" s="201">
        <v>18.383000000000003</v>
      </c>
      <c r="J12" s="201">
        <v>17.399999999999991</v>
      </c>
      <c r="K12" s="200">
        <f t="shared" si="3"/>
        <v>111.53500000000001</v>
      </c>
    </row>
    <row r="13" spans="1:11" ht="24.95" customHeight="1">
      <c r="A13" s="192" t="s">
        <v>2676</v>
      </c>
      <c r="B13" s="189" t="s">
        <v>2677</v>
      </c>
      <c r="C13" s="187"/>
      <c r="D13" s="186"/>
      <c r="E13" s="201">
        <v>0</v>
      </c>
      <c r="F13" s="201">
        <v>0</v>
      </c>
      <c r="G13" s="201">
        <v>0</v>
      </c>
      <c r="H13" s="201">
        <v>0</v>
      </c>
      <c r="I13" s="201">
        <v>0</v>
      </c>
      <c r="J13" s="201">
        <v>0</v>
      </c>
      <c r="K13" s="200">
        <f t="shared" si="3"/>
        <v>0</v>
      </c>
    </row>
    <row r="14" spans="1:11" ht="24.95" customHeight="1">
      <c r="A14" s="188">
        <v>9</v>
      </c>
      <c r="B14" s="189" t="s">
        <v>2678</v>
      </c>
      <c r="C14" s="187" t="s">
        <v>460</v>
      </c>
      <c r="D14" s="190"/>
      <c r="E14" s="201">
        <v>269.39400000000001</v>
      </c>
      <c r="F14" s="201">
        <v>295.99999999999994</v>
      </c>
      <c r="G14" s="201">
        <v>301.55899999999997</v>
      </c>
      <c r="H14" s="201">
        <v>301.42500000000001</v>
      </c>
      <c r="I14" s="201">
        <v>281.14300000000003</v>
      </c>
      <c r="J14" s="201">
        <v>275.85200000000003</v>
      </c>
      <c r="K14" s="200">
        <f t="shared" si="3"/>
        <v>1725.373</v>
      </c>
    </row>
    <row r="15" spans="1:11" ht="24.95" customHeight="1">
      <c r="A15" s="188">
        <v>10</v>
      </c>
      <c r="B15" s="189" t="s">
        <v>2679</v>
      </c>
      <c r="C15" s="187" t="s">
        <v>460</v>
      </c>
      <c r="D15" s="190" t="s">
        <v>2680</v>
      </c>
      <c r="E15" s="206">
        <f t="shared" ref="E15:J15" si="5">+E7+E10-E11-E14</f>
        <v>17.471000000000004</v>
      </c>
      <c r="F15" s="206">
        <f t="shared" si="5"/>
        <v>19.033999999999992</v>
      </c>
      <c r="G15" s="206">
        <f t="shared" si="5"/>
        <v>19.319000000000074</v>
      </c>
      <c r="H15" s="206">
        <f t="shared" si="5"/>
        <v>19.508999999999958</v>
      </c>
      <c r="I15" s="206">
        <f t="shared" si="5"/>
        <v>18.487999999999943</v>
      </c>
      <c r="J15" s="206">
        <f t="shared" si="5"/>
        <v>18.076000000000136</v>
      </c>
      <c r="K15" s="200">
        <f t="shared" si="3"/>
        <v>111.89700000000011</v>
      </c>
    </row>
    <row r="16" spans="1:11" ht="24.95" customHeight="1">
      <c r="A16" s="188">
        <v>11</v>
      </c>
      <c r="B16" s="189" t="s">
        <v>2681</v>
      </c>
      <c r="C16" s="187" t="s">
        <v>469</v>
      </c>
      <c r="D16" s="191" t="s">
        <v>2682</v>
      </c>
      <c r="E16" s="199">
        <f t="shared" ref="E16:J16" si="6">+E15/(E7+E10)</f>
        <v>5.7375084152969588E-2</v>
      </c>
      <c r="F16" s="199">
        <f t="shared" si="6"/>
        <v>5.6743043506776121E-2</v>
      </c>
      <c r="G16" s="199">
        <f t="shared" si="6"/>
        <v>5.6862064093809811E-2</v>
      </c>
      <c r="H16" s="199">
        <f t="shared" si="6"/>
        <v>5.7419267491552843E-2</v>
      </c>
      <c r="I16" s="199">
        <f t="shared" si="6"/>
        <v>5.8135805341903012E-2</v>
      </c>
      <c r="J16" s="199">
        <f t="shared" si="6"/>
        <v>5.8060951793607152E-2</v>
      </c>
      <c r="K16" s="198">
        <f t="shared" ref="K16" si="7">+K15/(K7+K10)</f>
        <v>5.7418264013074732E-2</v>
      </c>
    </row>
    <row r="17" spans="1:11" ht="24.95" customHeight="1">
      <c r="A17" s="188">
        <v>12</v>
      </c>
      <c r="B17" s="189" t="s">
        <v>2683</v>
      </c>
      <c r="C17" s="187" t="s">
        <v>460</v>
      </c>
      <c r="D17" s="187"/>
      <c r="E17" s="201">
        <v>0</v>
      </c>
      <c r="F17" s="201">
        <v>0</v>
      </c>
      <c r="G17" s="201">
        <v>0</v>
      </c>
      <c r="H17" s="201">
        <v>0</v>
      </c>
      <c r="I17" s="201">
        <v>0</v>
      </c>
      <c r="J17" s="201">
        <v>0</v>
      </c>
      <c r="K17" s="200">
        <f>SUM(E17:J17)</f>
        <v>0</v>
      </c>
    </row>
    <row r="18" spans="1:11" ht="24.95" customHeight="1">
      <c r="A18" s="188">
        <v>13</v>
      </c>
      <c r="B18" s="189" t="s">
        <v>2684</v>
      </c>
      <c r="C18" s="187" t="s">
        <v>460</v>
      </c>
      <c r="D18" s="190" t="s">
        <v>2685</v>
      </c>
      <c r="E18" s="201">
        <f t="shared" ref="E18:J18" si="8">+E19+E20</f>
        <v>195.31999999999994</v>
      </c>
      <c r="F18" s="201">
        <f t="shared" si="8"/>
        <v>203.41399999999999</v>
      </c>
      <c r="G18" s="201">
        <f t="shared" si="8"/>
        <v>238.46499999999997</v>
      </c>
      <c r="H18" s="201">
        <f t="shared" si="8"/>
        <v>233.77500000000003</v>
      </c>
      <c r="I18" s="201">
        <f t="shared" si="8"/>
        <v>229.77200000000002</v>
      </c>
      <c r="J18" s="201">
        <f t="shared" si="8"/>
        <v>233.04300000000001</v>
      </c>
      <c r="K18" s="200">
        <f>SUM(E18:J18)</f>
        <v>1333.7889999999998</v>
      </c>
    </row>
    <row r="19" spans="1:11" ht="24.95" customHeight="1">
      <c r="A19" s="192" t="s">
        <v>2674</v>
      </c>
      <c r="B19" s="189" t="s">
        <v>2675</v>
      </c>
      <c r="C19" s="187"/>
      <c r="D19" s="186"/>
      <c r="E19" s="201">
        <v>165.32499999999993</v>
      </c>
      <c r="F19" s="201">
        <v>176.58599999999998</v>
      </c>
      <c r="G19" s="201">
        <v>213.01699999999997</v>
      </c>
      <c r="H19" s="201">
        <v>211.06200000000004</v>
      </c>
      <c r="I19" s="201">
        <v>208.11800000000002</v>
      </c>
      <c r="J19" s="201">
        <v>213.11199999999999</v>
      </c>
      <c r="K19" s="200">
        <f>SUM(E19:J19)</f>
        <v>1187.22</v>
      </c>
    </row>
    <row r="20" spans="1:11" ht="24.95" customHeight="1">
      <c r="A20" s="192" t="s">
        <v>2676</v>
      </c>
      <c r="B20" s="189" t="s">
        <v>2677</v>
      </c>
      <c r="C20" s="187"/>
      <c r="D20" s="186"/>
      <c r="E20" s="201">
        <v>29.995000000000001</v>
      </c>
      <c r="F20" s="201">
        <v>26.827999999999999</v>
      </c>
      <c r="G20" s="201">
        <v>25.448</v>
      </c>
      <c r="H20" s="201">
        <v>22.713000000000001</v>
      </c>
      <c r="I20" s="201">
        <v>21.654</v>
      </c>
      <c r="J20" s="201">
        <v>19.931000000000001</v>
      </c>
      <c r="K20" s="200">
        <f>SUM(E20:J20)</f>
        <v>146.56900000000002</v>
      </c>
    </row>
    <row r="21" spans="1:11" ht="24.95" customHeight="1">
      <c r="A21" s="188">
        <v>14</v>
      </c>
      <c r="B21" s="193" t="s">
        <v>2686</v>
      </c>
      <c r="C21" s="187" t="s">
        <v>460</v>
      </c>
      <c r="D21" s="190" t="s">
        <v>2687</v>
      </c>
      <c r="E21" s="201">
        <f t="shared" ref="E21:J21" si="9">+E14+E17-E18</f>
        <v>74.074000000000069</v>
      </c>
      <c r="F21" s="201">
        <f t="shared" si="9"/>
        <v>92.585999999999956</v>
      </c>
      <c r="G21" s="201">
        <f t="shared" si="9"/>
        <v>63.093999999999994</v>
      </c>
      <c r="H21" s="201">
        <f t="shared" si="9"/>
        <v>67.649999999999977</v>
      </c>
      <c r="I21" s="201">
        <f t="shared" si="9"/>
        <v>51.371000000000009</v>
      </c>
      <c r="J21" s="201">
        <f t="shared" si="9"/>
        <v>42.809000000000026</v>
      </c>
      <c r="K21" s="200">
        <f>SUM(E21:J21)</f>
        <v>391.584</v>
      </c>
    </row>
    <row r="22" spans="1:11" ht="24.95" customHeight="1">
      <c r="A22" s="188">
        <v>15</v>
      </c>
      <c r="B22" s="193" t="s">
        <v>2688</v>
      </c>
      <c r="C22" s="187" t="s">
        <v>469</v>
      </c>
      <c r="D22" s="191" t="s">
        <v>2689</v>
      </c>
      <c r="E22" s="560">
        <f t="shared" ref="E22:J22" si="10">+E21/(E14+E17)</f>
        <v>0.27496529247125057</v>
      </c>
      <c r="F22" s="560">
        <f t="shared" si="10"/>
        <v>0.31279054054054045</v>
      </c>
      <c r="G22" s="560">
        <f t="shared" si="10"/>
        <v>0.20922605526613366</v>
      </c>
      <c r="H22" s="560">
        <f t="shared" si="10"/>
        <v>0.22443393879074389</v>
      </c>
      <c r="I22" s="560">
        <f t="shared" si="10"/>
        <v>0.18272195999900409</v>
      </c>
      <c r="J22" s="560">
        <f t="shared" si="10"/>
        <v>0.15518828937256218</v>
      </c>
      <c r="K22" s="509">
        <f t="shared" ref="K22" si="11">+K21/(K14+K17)</f>
        <v>0.22695614223706989</v>
      </c>
    </row>
    <row r="23" spans="1:11" ht="20.100000000000001" customHeight="1"/>
    <row r="24" spans="1:11" ht="20.100000000000001" customHeight="1"/>
    <row r="25" spans="1:11" ht="20.100000000000001" customHeight="1">
      <c r="E25" s="203"/>
      <c r="F25" s="203"/>
      <c r="G25" s="203"/>
      <c r="H25" s="203"/>
      <c r="I25" s="203"/>
      <c r="J25" s="203"/>
      <c r="K25" s="203"/>
    </row>
    <row r="26" spans="1:11">
      <c r="E26" s="195"/>
      <c r="F26" s="195"/>
      <c r="G26" s="195"/>
      <c r="H26" s="195"/>
      <c r="I26" s="195"/>
      <c r="J26" s="195"/>
    </row>
    <row r="28" spans="1:11">
      <c r="E28" s="195"/>
      <c r="F28" s="195"/>
      <c r="G28" s="195"/>
      <c r="H28" s="195"/>
      <c r="I28" s="195"/>
      <c r="J28" s="195"/>
    </row>
    <row r="31" spans="1:11">
      <c r="E31" s="195"/>
      <c r="F31" s="195"/>
      <c r="G31" s="195"/>
      <c r="H31" s="195"/>
      <c r="I31" s="195"/>
      <c r="J31" s="195"/>
    </row>
    <row r="33" spans="5:10" s="185" customFormat="1">
      <c r="E33" s="195"/>
      <c r="F33" s="195"/>
      <c r="G33" s="195"/>
      <c r="H33" s="195"/>
      <c r="I33" s="195"/>
      <c r="J33" s="195"/>
    </row>
  </sheetData>
  <mergeCells count="2">
    <mergeCell ref="J1:K1"/>
    <mergeCell ref="A2:K2"/>
  </mergeCells>
  <printOptions horizontalCentered="1"/>
  <pageMargins left="0.47244094488188981" right="0.15748031496062992" top="0.43307086614173229" bottom="0.27" header="0.28999999999999998" footer="0.2"/>
  <pageSetup paperSize="9" orientation="landscape"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8000"/>
  </sheetPr>
  <dimension ref="A1:N38"/>
  <sheetViews>
    <sheetView view="pageBreakPreview" topLeftCell="A4" zoomScale="90" zoomScaleNormal="100" zoomScaleSheetLayoutView="90" workbookViewId="0">
      <selection activeCell="D5" sqref="D5"/>
    </sheetView>
  </sheetViews>
  <sheetFormatPr defaultRowHeight="12.75"/>
  <cols>
    <col min="1" max="1" width="29.85546875" style="185" customWidth="1"/>
    <col min="2" max="2" width="14.28515625" style="185" bestFit="1" customWidth="1"/>
    <col min="3" max="3" width="18" style="185" bestFit="1" customWidth="1"/>
    <col min="4" max="4" width="18" style="185" customWidth="1"/>
    <col min="5" max="5" width="18.7109375" style="185" customWidth="1"/>
    <col min="6" max="253" width="9.140625" style="185"/>
    <col min="254" max="254" width="29.85546875" style="185" customWidth="1"/>
    <col min="255" max="255" width="14.28515625" style="185" bestFit="1" customWidth="1"/>
    <col min="256" max="256" width="18" style="185" bestFit="1" customWidth="1"/>
    <col min="257" max="257" width="18.7109375" style="185" customWidth="1"/>
    <col min="258" max="509" width="9.140625" style="185"/>
    <col min="510" max="510" width="29.85546875" style="185" customWidth="1"/>
    <col min="511" max="511" width="14.28515625" style="185" bestFit="1" customWidth="1"/>
    <col min="512" max="512" width="18" style="185" bestFit="1" customWidth="1"/>
    <col min="513" max="513" width="18.7109375" style="185" customWidth="1"/>
    <col min="514" max="765" width="9.140625" style="185"/>
    <col min="766" max="766" width="29.85546875" style="185" customWidth="1"/>
    <col min="767" max="767" width="14.28515625" style="185" bestFit="1" customWidth="1"/>
    <col min="768" max="768" width="18" style="185" bestFit="1" customWidth="1"/>
    <col min="769" max="769" width="18.7109375" style="185" customWidth="1"/>
    <col min="770" max="1021" width="9.140625" style="185"/>
    <col min="1022" max="1022" width="29.85546875" style="185" customWidth="1"/>
    <col min="1023" max="1023" width="14.28515625" style="185" bestFit="1" customWidth="1"/>
    <col min="1024" max="1024" width="18" style="185" bestFit="1" customWidth="1"/>
    <col min="1025" max="1025" width="18.7109375" style="185" customWidth="1"/>
    <col min="1026" max="1277" width="9.140625" style="185"/>
    <col min="1278" max="1278" width="29.85546875" style="185" customWidth="1"/>
    <col min="1279" max="1279" width="14.28515625" style="185" bestFit="1" customWidth="1"/>
    <col min="1280" max="1280" width="18" style="185" bestFit="1" customWidth="1"/>
    <col min="1281" max="1281" width="18.7109375" style="185" customWidth="1"/>
    <col min="1282" max="1533" width="9.140625" style="185"/>
    <col min="1534" max="1534" width="29.85546875" style="185" customWidth="1"/>
    <col min="1535" max="1535" width="14.28515625" style="185" bestFit="1" customWidth="1"/>
    <col min="1536" max="1536" width="18" style="185" bestFit="1" customWidth="1"/>
    <col min="1537" max="1537" width="18.7109375" style="185" customWidth="1"/>
    <col min="1538" max="1789" width="9.140625" style="185"/>
    <col min="1790" max="1790" width="29.85546875" style="185" customWidth="1"/>
    <col min="1791" max="1791" width="14.28515625" style="185" bestFit="1" customWidth="1"/>
    <col min="1792" max="1792" width="18" style="185" bestFit="1" customWidth="1"/>
    <col min="1793" max="1793" width="18.7109375" style="185" customWidth="1"/>
    <col min="1794" max="2045" width="9.140625" style="185"/>
    <col min="2046" max="2046" width="29.85546875" style="185" customWidth="1"/>
    <col min="2047" max="2047" width="14.28515625" style="185" bestFit="1" customWidth="1"/>
    <col min="2048" max="2048" width="18" style="185" bestFit="1" customWidth="1"/>
    <col min="2049" max="2049" width="18.7109375" style="185" customWidth="1"/>
    <col min="2050" max="2301" width="9.140625" style="185"/>
    <col min="2302" max="2302" width="29.85546875" style="185" customWidth="1"/>
    <col min="2303" max="2303" width="14.28515625" style="185" bestFit="1" customWidth="1"/>
    <col min="2304" max="2304" width="18" style="185" bestFit="1" customWidth="1"/>
    <col min="2305" max="2305" width="18.7109375" style="185" customWidth="1"/>
    <col min="2306" max="2557" width="9.140625" style="185"/>
    <col min="2558" max="2558" width="29.85546875" style="185" customWidth="1"/>
    <col min="2559" max="2559" width="14.28515625" style="185" bestFit="1" customWidth="1"/>
    <col min="2560" max="2560" width="18" style="185" bestFit="1" customWidth="1"/>
    <col min="2561" max="2561" width="18.7109375" style="185" customWidth="1"/>
    <col min="2562" max="2813" width="9.140625" style="185"/>
    <col min="2814" max="2814" width="29.85546875" style="185" customWidth="1"/>
    <col min="2815" max="2815" width="14.28515625" style="185" bestFit="1" customWidth="1"/>
    <col min="2816" max="2816" width="18" style="185" bestFit="1" customWidth="1"/>
    <col min="2817" max="2817" width="18.7109375" style="185" customWidth="1"/>
    <col min="2818" max="3069" width="9.140625" style="185"/>
    <col min="3070" max="3070" width="29.85546875" style="185" customWidth="1"/>
    <col min="3071" max="3071" width="14.28515625" style="185" bestFit="1" customWidth="1"/>
    <col min="3072" max="3072" width="18" style="185" bestFit="1" customWidth="1"/>
    <col min="3073" max="3073" width="18.7109375" style="185" customWidth="1"/>
    <col min="3074" max="3325" width="9.140625" style="185"/>
    <col min="3326" max="3326" width="29.85546875" style="185" customWidth="1"/>
    <col min="3327" max="3327" width="14.28515625" style="185" bestFit="1" customWidth="1"/>
    <col min="3328" max="3328" width="18" style="185" bestFit="1" customWidth="1"/>
    <col min="3329" max="3329" width="18.7109375" style="185" customWidth="1"/>
    <col min="3330" max="3581" width="9.140625" style="185"/>
    <col min="3582" max="3582" width="29.85546875" style="185" customWidth="1"/>
    <col min="3583" max="3583" width="14.28515625" style="185" bestFit="1" customWidth="1"/>
    <col min="3584" max="3584" width="18" style="185" bestFit="1" customWidth="1"/>
    <col min="3585" max="3585" width="18.7109375" style="185" customWidth="1"/>
    <col min="3586" max="3837" width="9.140625" style="185"/>
    <col min="3838" max="3838" width="29.85546875" style="185" customWidth="1"/>
    <col min="3839" max="3839" width="14.28515625" style="185" bestFit="1" customWidth="1"/>
    <col min="3840" max="3840" width="18" style="185" bestFit="1" customWidth="1"/>
    <col min="3841" max="3841" width="18.7109375" style="185" customWidth="1"/>
    <col min="3842" max="4093" width="9.140625" style="185"/>
    <col min="4094" max="4094" width="29.85546875" style="185" customWidth="1"/>
    <col min="4095" max="4095" width="14.28515625" style="185" bestFit="1" customWidth="1"/>
    <col min="4096" max="4096" width="18" style="185" bestFit="1" customWidth="1"/>
    <col min="4097" max="4097" width="18.7109375" style="185" customWidth="1"/>
    <col min="4098" max="4349" width="9.140625" style="185"/>
    <col min="4350" max="4350" width="29.85546875" style="185" customWidth="1"/>
    <col min="4351" max="4351" width="14.28515625" style="185" bestFit="1" customWidth="1"/>
    <col min="4352" max="4352" width="18" style="185" bestFit="1" customWidth="1"/>
    <col min="4353" max="4353" width="18.7109375" style="185" customWidth="1"/>
    <col min="4354" max="4605" width="9.140625" style="185"/>
    <col min="4606" max="4606" width="29.85546875" style="185" customWidth="1"/>
    <col min="4607" max="4607" width="14.28515625" style="185" bestFit="1" customWidth="1"/>
    <col min="4608" max="4608" width="18" style="185" bestFit="1" customWidth="1"/>
    <col min="4609" max="4609" width="18.7109375" style="185" customWidth="1"/>
    <col min="4610" max="4861" width="9.140625" style="185"/>
    <col min="4862" max="4862" width="29.85546875" style="185" customWidth="1"/>
    <col min="4863" max="4863" width="14.28515625" style="185" bestFit="1" customWidth="1"/>
    <col min="4864" max="4864" width="18" style="185" bestFit="1" customWidth="1"/>
    <col min="4865" max="4865" width="18.7109375" style="185" customWidth="1"/>
    <col min="4866" max="5117" width="9.140625" style="185"/>
    <col min="5118" max="5118" width="29.85546875" style="185" customWidth="1"/>
    <col min="5119" max="5119" width="14.28515625" style="185" bestFit="1" customWidth="1"/>
    <col min="5120" max="5120" width="18" style="185" bestFit="1" customWidth="1"/>
    <col min="5121" max="5121" width="18.7109375" style="185" customWidth="1"/>
    <col min="5122" max="5373" width="9.140625" style="185"/>
    <col min="5374" max="5374" width="29.85546875" style="185" customWidth="1"/>
    <col min="5375" max="5375" width="14.28515625" style="185" bestFit="1" customWidth="1"/>
    <col min="5376" max="5376" width="18" style="185" bestFit="1" customWidth="1"/>
    <col min="5377" max="5377" width="18.7109375" style="185" customWidth="1"/>
    <col min="5378" max="5629" width="9.140625" style="185"/>
    <col min="5630" max="5630" width="29.85546875" style="185" customWidth="1"/>
    <col min="5631" max="5631" width="14.28515625" style="185" bestFit="1" customWidth="1"/>
    <col min="5632" max="5632" width="18" style="185" bestFit="1" customWidth="1"/>
    <col min="5633" max="5633" width="18.7109375" style="185" customWidth="1"/>
    <col min="5634" max="5885" width="9.140625" style="185"/>
    <col min="5886" max="5886" width="29.85546875" style="185" customWidth="1"/>
    <col min="5887" max="5887" width="14.28515625" style="185" bestFit="1" customWidth="1"/>
    <col min="5888" max="5888" width="18" style="185" bestFit="1" customWidth="1"/>
    <col min="5889" max="5889" width="18.7109375" style="185" customWidth="1"/>
    <col min="5890" max="6141" width="9.140625" style="185"/>
    <col min="6142" max="6142" width="29.85546875" style="185" customWidth="1"/>
    <col min="6143" max="6143" width="14.28515625" style="185" bestFit="1" customWidth="1"/>
    <col min="6144" max="6144" width="18" style="185" bestFit="1" customWidth="1"/>
    <col min="6145" max="6145" width="18.7109375" style="185" customWidth="1"/>
    <col min="6146" max="6397" width="9.140625" style="185"/>
    <col min="6398" max="6398" width="29.85546875" style="185" customWidth="1"/>
    <col min="6399" max="6399" width="14.28515625" style="185" bestFit="1" customWidth="1"/>
    <col min="6400" max="6400" width="18" style="185" bestFit="1" customWidth="1"/>
    <col min="6401" max="6401" width="18.7109375" style="185" customWidth="1"/>
    <col min="6402" max="6653" width="9.140625" style="185"/>
    <col min="6654" max="6654" width="29.85546875" style="185" customWidth="1"/>
    <col min="6655" max="6655" width="14.28515625" style="185" bestFit="1" customWidth="1"/>
    <col min="6656" max="6656" width="18" style="185" bestFit="1" customWidth="1"/>
    <col min="6657" max="6657" width="18.7109375" style="185" customWidth="1"/>
    <col min="6658" max="6909" width="9.140625" style="185"/>
    <col min="6910" max="6910" width="29.85546875" style="185" customWidth="1"/>
    <col min="6911" max="6911" width="14.28515625" style="185" bestFit="1" customWidth="1"/>
    <col min="6912" max="6912" width="18" style="185" bestFit="1" customWidth="1"/>
    <col min="6913" max="6913" width="18.7109375" style="185" customWidth="1"/>
    <col min="6914" max="7165" width="9.140625" style="185"/>
    <col min="7166" max="7166" width="29.85546875" style="185" customWidth="1"/>
    <col min="7167" max="7167" width="14.28515625" style="185" bestFit="1" customWidth="1"/>
    <col min="7168" max="7168" width="18" style="185" bestFit="1" customWidth="1"/>
    <col min="7169" max="7169" width="18.7109375" style="185" customWidth="1"/>
    <col min="7170" max="7421" width="9.140625" style="185"/>
    <col min="7422" max="7422" width="29.85546875" style="185" customWidth="1"/>
    <col min="7423" max="7423" width="14.28515625" style="185" bestFit="1" customWidth="1"/>
    <col min="7424" max="7424" width="18" style="185" bestFit="1" customWidth="1"/>
    <col min="7425" max="7425" width="18.7109375" style="185" customWidth="1"/>
    <col min="7426" max="7677" width="9.140625" style="185"/>
    <col min="7678" max="7678" width="29.85546875" style="185" customWidth="1"/>
    <col min="7679" max="7679" width="14.28515625" style="185" bestFit="1" customWidth="1"/>
    <col min="7680" max="7680" width="18" style="185" bestFit="1" customWidth="1"/>
    <col min="7681" max="7681" width="18.7109375" style="185" customWidth="1"/>
    <col min="7682" max="7933" width="9.140625" style="185"/>
    <col min="7934" max="7934" width="29.85546875" style="185" customWidth="1"/>
    <col min="7935" max="7935" width="14.28515625" style="185" bestFit="1" customWidth="1"/>
    <col min="7936" max="7936" width="18" style="185" bestFit="1" customWidth="1"/>
    <col min="7937" max="7937" width="18.7109375" style="185" customWidth="1"/>
    <col min="7938" max="8189" width="9.140625" style="185"/>
    <col min="8190" max="8190" width="29.85546875" style="185" customWidth="1"/>
    <col min="8191" max="8191" width="14.28515625" style="185" bestFit="1" customWidth="1"/>
    <col min="8192" max="8192" width="18" style="185" bestFit="1" customWidth="1"/>
    <col min="8193" max="8193" width="18.7109375" style="185" customWidth="1"/>
    <col min="8194" max="8445" width="9.140625" style="185"/>
    <col min="8446" max="8446" width="29.85546875" style="185" customWidth="1"/>
    <col min="8447" max="8447" width="14.28515625" style="185" bestFit="1" customWidth="1"/>
    <col min="8448" max="8448" width="18" style="185" bestFit="1" customWidth="1"/>
    <col min="8449" max="8449" width="18.7109375" style="185" customWidth="1"/>
    <col min="8450" max="8701" width="9.140625" style="185"/>
    <col min="8702" max="8702" width="29.85546875" style="185" customWidth="1"/>
    <col min="8703" max="8703" width="14.28515625" style="185" bestFit="1" customWidth="1"/>
    <col min="8704" max="8704" width="18" style="185" bestFit="1" customWidth="1"/>
    <col min="8705" max="8705" width="18.7109375" style="185" customWidth="1"/>
    <col min="8706" max="8957" width="9.140625" style="185"/>
    <col min="8958" max="8958" width="29.85546875" style="185" customWidth="1"/>
    <col min="8959" max="8959" width="14.28515625" style="185" bestFit="1" customWidth="1"/>
    <col min="8960" max="8960" width="18" style="185" bestFit="1" customWidth="1"/>
    <col min="8961" max="8961" width="18.7109375" style="185" customWidth="1"/>
    <col min="8962" max="9213" width="9.140625" style="185"/>
    <col min="9214" max="9214" width="29.85546875" style="185" customWidth="1"/>
    <col min="9215" max="9215" width="14.28515625" style="185" bestFit="1" customWidth="1"/>
    <col min="9216" max="9216" width="18" style="185" bestFit="1" customWidth="1"/>
    <col min="9217" max="9217" width="18.7109375" style="185" customWidth="1"/>
    <col min="9218" max="9469" width="9.140625" style="185"/>
    <col min="9470" max="9470" width="29.85546875" style="185" customWidth="1"/>
    <col min="9471" max="9471" width="14.28515625" style="185" bestFit="1" customWidth="1"/>
    <col min="9472" max="9472" width="18" style="185" bestFit="1" customWidth="1"/>
    <col min="9473" max="9473" width="18.7109375" style="185" customWidth="1"/>
    <col min="9474" max="9725" width="9.140625" style="185"/>
    <col min="9726" max="9726" width="29.85546875" style="185" customWidth="1"/>
    <col min="9727" max="9727" width="14.28515625" style="185" bestFit="1" customWidth="1"/>
    <col min="9728" max="9728" width="18" style="185" bestFit="1" customWidth="1"/>
    <col min="9729" max="9729" width="18.7109375" style="185" customWidth="1"/>
    <col min="9730" max="9981" width="9.140625" style="185"/>
    <col min="9982" max="9982" width="29.85546875" style="185" customWidth="1"/>
    <col min="9983" max="9983" width="14.28515625" style="185" bestFit="1" customWidth="1"/>
    <col min="9984" max="9984" width="18" style="185" bestFit="1" customWidth="1"/>
    <col min="9985" max="9985" width="18.7109375" style="185" customWidth="1"/>
    <col min="9986" max="10237" width="9.140625" style="185"/>
    <col min="10238" max="10238" width="29.85546875" style="185" customWidth="1"/>
    <col min="10239" max="10239" width="14.28515625" style="185" bestFit="1" customWidth="1"/>
    <col min="10240" max="10240" width="18" style="185" bestFit="1" customWidth="1"/>
    <col min="10241" max="10241" width="18.7109375" style="185" customWidth="1"/>
    <col min="10242" max="10493" width="9.140625" style="185"/>
    <col min="10494" max="10494" width="29.85546875" style="185" customWidth="1"/>
    <col min="10495" max="10495" width="14.28515625" style="185" bestFit="1" customWidth="1"/>
    <col min="10496" max="10496" width="18" style="185" bestFit="1" customWidth="1"/>
    <col min="10497" max="10497" width="18.7109375" style="185" customWidth="1"/>
    <col min="10498" max="10749" width="9.140625" style="185"/>
    <col min="10750" max="10750" width="29.85546875" style="185" customWidth="1"/>
    <col min="10751" max="10751" width="14.28515625" style="185" bestFit="1" customWidth="1"/>
    <col min="10752" max="10752" width="18" style="185" bestFit="1" customWidth="1"/>
    <col min="10753" max="10753" width="18.7109375" style="185" customWidth="1"/>
    <col min="10754" max="11005" width="9.140625" style="185"/>
    <col min="11006" max="11006" width="29.85546875" style="185" customWidth="1"/>
    <col min="11007" max="11007" width="14.28515625" style="185" bestFit="1" customWidth="1"/>
    <col min="11008" max="11008" width="18" style="185" bestFit="1" customWidth="1"/>
    <col min="11009" max="11009" width="18.7109375" style="185" customWidth="1"/>
    <col min="11010" max="11261" width="9.140625" style="185"/>
    <col min="11262" max="11262" width="29.85546875" style="185" customWidth="1"/>
    <col min="11263" max="11263" width="14.28515625" style="185" bestFit="1" customWidth="1"/>
    <col min="11264" max="11264" width="18" style="185" bestFit="1" customWidth="1"/>
    <col min="11265" max="11265" width="18.7109375" style="185" customWidth="1"/>
    <col min="11266" max="11517" width="9.140625" style="185"/>
    <col min="11518" max="11518" width="29.85546875" style="185" customWidth="1"/>
    <col min="11519" max="11519" width="14.28515625" style="185" bestFit="1" customWidth="1"/>
    <col min="11520" max="11520" width="18" style="185" bestFit="1" customWidth="1"/>
    <col min="11521" max="11521" width="18.7109375" style="185" customWidth="1"/>
    <col min="11522" max="11773" width="9.140625" style="185"/>
    <col min="11774" max="11774" width="29.85546875" style="185" customWidth="1"/>
    <col min="11775" max="11775" width="14.28515625" style="185" bestFit="1" customWidth="1"/>
    <col min="11776" max="11776" width="18" style="185" bestFit="1" customWidth="1"/>
    <col min="11777" max="11777" width="18.7109375" style="185" customWidth="1"/>
    <col min="11778" max="12029" width="9.140625" style="185"/>
    <col min="12030" max="12030" width="29.85546875" style="185" customWidth="1"/>
    <col min="12031" max="12031" width="14.28515625" style="185" bestFit="1" customWidth="1"/>
    <col min="12032" max="12032" width="18" style="185" bestFit="1" customWidth="1"/>
    <col min="12033" max="12033" width="18.7109375" style="185" customWidth="1"/>
    <col min="12034" max="12285" width="9.140625" style="185"/>
    <col min="12286" max="12286" width="29.85546875" style="185" customWidth="1"/>
    <col min="12287" max="12287" width="14.28515625" style="185" bestFit="1" customWidth="1"/>
    <col min="12288" max="12288" width="18" style="185" bestFit="1" customWidth="1"/>
    <col min="12289" max="12289" width="18.7109375" style="185" customWidth="1"/>
    <col min="12290" max="12541" width="9.140625" style="185"/>
    <col min="12542" max="12542" width="29.85546875" style="185" customWidth="1"/>
    <col min="12543" max="12543" width="14.28515625" style="185" bestFit="1" customWidth="1"/>
    <col min="12544" max="12544" width="18" style="185" bestFit="1" customWidth="1"/>
    <col min="12545" max="12545" width="18.7109375" style="185" customWidth="1"/>
    <col min="12546" max="12797" width="9.140625" style="185"/>
    <col min="12798" max="12798" width="29.85546875" style="185" customWidth="1"/>
    <col min="12799" max="12799" width="14.28515625" style="185" bestFit="1" customWidth="1"/>
    <col min="12800" max="12800" width="18" style="185" bestFit="1" customWidth="1"/>
    <col min="12801" max="12801" width="18.7109375" style="185" customWidth="1"/>
    <col min="12802" max="13053" width="9.140625" style="185"/>
    <col min="13054" max="13054" width="29.85546875" style="185" customWidth="1"/>
    <col min="13055" max="13055" width="14.28515625" style="185" bestFit="1" customWidth="1"/>
    <col min="13056" max="13056" width="18" style="185" bestFit="1" customWidth="1"/>
    <col min="13057" max="13057" width="18.7109375" style="185" customWidth="1"/>
    <col min="13058" max="13309" width="9.140625" style="185"/>
    <col min="13310" max="13310" width="29.85546875" style="185" customWidth="1"/>
    <col min="13311" max="13311" width="14.28515625" style="185" bestFit="1" customWidth="1"/>
    <col min="13312" max="13312" width="18" style="185" bestFit="1" customWidth="1"/>
    <col min="13313" max="13313" width="18.7109375" style="185" customWidth="1"/>
    <col min="13314" max="13565" width="9.140625" style="185"/>
    <col min="13566" max="13566" width="29.85546875" style="185" customWidth="1"/>
    <col min="13567" max="13567" width="14.28515625" style="185" bestFit="1" customWidth="1"/>
    <col min="13568" max="13568" width="18" style="185" bestFit="1" customWidth="1"/>
    <col min="13569" max="13569" width="18.7109375" style="185" customWidth="1"/>
    <col min="13570" max="13821" width="9.140625" style="185"/>
    <col min="13822" max="13822" width="29.85546875" style="185" customWidth="1"/>
    <col min="13823" max="13823" width="14.28515625" style="185" bestFit="1" customWidth="1"/>
    <col min="13824" max="13824" width="18" style="185" bestFit="1" customWidth="1"/>
    <col min="13825" max="13825" width="18.7109375" style="185" customWidth="1"/>
    <col min="13826" max="14077" width="9.140625" style="185"/>
    <col min="14078" max="14078" width="29.85546875" style="185" customWidth="1"/>
    <col min="14079" max="14079" width="14.28515625" style="185" bestFit="1" customWidth="1"/>
    <col min="14080" max="14080" width="18" style="185" bestFit="1" customWidth="1"/>
    <col min="14081" max="14081" width="18.7109375" style="185" customWidth="1"/>
    <col min="14082" max="14333" width="9.140625" style="185"/>
    <col min="14334" max="14334" width="29.85546875" style="185" customWidth="1"/>
    <col min="14335" max="14335" width="14.28515625" style="185" bestFit="1" customWidth="1"/>
    <col min="14336" max="14336" width="18" style="185" bestFit="1" customWidth="1"/>
    <col min="14337" max="14337" width="18.7109375" style="185" customWidth="1"/>
    <col min="14338" max="14589" width="9.140625" style="185"/>
    <col min="14590" max="14590" width="29.85546875" style="185" customWidth="1"/>
    <col min="14591" max="14591" width="14.28515625" style="185" bestFit="1" customWidth="1"/>
    <col min="14592" max="14592" width="18" style="185" bestFit="1" customWidth="1"/>
    <col min="14593" max="14593" width="18.7109375" style="185" customWidth="1"/>
    <col min="14594" max="14845" width="9.140625" style="185"/>
    <col min="14846" max="14846" width="29.85546875" style="185" customWidth="1"/>
    <col min="14847" max="14847" width="14.28515625" style="185" bestFit="1" customWidth="1"/>
    <col min="14848" max="14848" width="18" style="185" bestFit="1" customWidth="1"/>
    <col min="14849" max="14849" width="18.7109375" style="185" customWidth="1"/>
    <col min="14850" max="15101" width="9.140625" style="185"/>
    <col min="15102" max="15102" width="29.85546875" style="185" customWidth="1"/>
    <col min="15103" max="15103" width="14.28515625" style="185" bestFit="1" customWidth="1"/>
    <col min="15104" max="15104" width="18" style="185" bestFit="1" customWidth="1"/>
    <col min="15105" max="15105" width="18.7109375" style="185" customWidth="1"/>
    <col min="15106" max="15357" width="9.140625" style="185"/>
    <col min="15358" max="15358" width="29.85546875" style="185" customWidth="1"/>
    <col min="15359" max="15359" width="14.28515625" style="185" bestFit="1" customWidth="1"/>
    <col min="15360" max="15360" width="18" style="185" bestFit="1" customWidth="1"/>
    <col min="15361" max="15361" width="18.7109375" style="185" customWidth="1"/>
    <col min="15362" max="15613" width="9.140625" style="185"/>
    <col min="15614" max="15614" width="29.85546875" style="185" customWidth="1"/>
    <col min="15615" max="15615" width="14.28515625" style="185" bestFit="1" customWidth="1"/>
    <col min="15616" max="15616" width="18" style="185" bestFit="1" customWidth="1"/>
    <col min="15617" max="15617" width="18.7109375" style="185" customWidth="1"/>
    <col min="15618" max="15869" width="9.140625" style="185"/>
    <col min="15870" max="15870" width="29.85546875" style="185" customWidth="1"/>
    <col min="15871" max="15871" width="14.28515625" style="185" bestFit="1" customWidth="1"/>
    <col min="15872" max="15872" width="18" style="185" bestFit="1" customWidth="1"/>
    <col min="15873" max="15873" width="18.7109375" style="185" customWidth="1"/>
    <col min="15874" max="16125" width="9.140625" style="185"/>
    <col min="16126" max="16126" width="29.85546875" style="185" customWidth="1"/>
    <col min="16127" max="16127" width="14.28515625" style="185" bestFit="1" customWidth="1"/>
    <col min="16128" max="16128" width="18" style="185" bestFit="1" customWidth="1"/>
    <col min="16129" max="16129" width="18.7109375" style="185" customWidth="1"/>
    <col min="16130" max="16382" width="9.140625" style="185"/>
    <col min="16383" max="16384" width="9.140625" style="185" customWidth="1"/>
  </cols>
  <sheetData>
    <row r="1" spans="1:14" ht="15">
      <c r="A1" s="2730" t="s">
        <v>2691</v>
      </c>
      <c r="B1" s="2730"/>
      <c r="C1" s="2730"/>
      <c r="D1" s="2730"/>
      <c r="E1" s="2730"/>
    </row>
    <row r="2" spans="1:14" ht="15">
      <c r="A2" s="2731" t="s">
        <v>2692</v>
      </c>
      <c r="B2" s="2731"/>
      <c r="C2" s="2731"/>
      <c r="D2" s="2731"/>
      <c r="E2" s="2731"/>
    </row>
    <row r="3" spans="1:14">
      <c r="A3" s="1271"/>
      <c r="B3" s="1271"/>
      <c r="C3" s="1271"/>
      <c r="E3" s="2351" t="s">
        <v>2693</v>
      </c>
    </row>
    <row r="4" spans="1:14" s="194" customFormat="1" ht="37.5" customHeight="1">
      <c r="A4" s="2083" t="s">
        <v>2694</v>
      </c>
      <c r="B4" s="2083" t="s">
        <v>2695</v>
      </c>
      <c r="C4" s="2084" t="s">
        <v>2696</v>
      </c>
      <c r="D4" s="2085" t="s">
        <v>518</v>
      </c>
      <c r="E4" s="2084" t="s">
        <v>2697</v>
      </c>
    </row>
    <row r="5" spans="1:14">
      <c r="A5" s="2086" t="s">
        <v>2698</v>
      </c>
      <c r="B5" s="1761">
        <v>27.6</v>
      </c>
      <c r="C5" s="1761"/>
      <c r="D5" s="2067">
        <v>0.69010000000000005</v>
      </c>
      <c r="E5" s="1761">
        <v>0.69010000000000005</v>
      </c>
      <c r="I5" s="185" t="s">
        <v>2699</v>
      </c>
      <c r="N5" s="185">
        <v>0.69010000000000005</v>
      </c>
    </row>
    <row r="6" spans="1:14">
      <c r="A6" s="2086" t="s">
        <v>1327</v>
      </c>
      <c r="B6" s="1761">
        <v>9.06</v>
      </c>
      <c r="C6" s="1761">
        <f>'Non-Tariff'!B7</f>
        <v>4.72</v>
      </c>
      <c r="D6" s="2067">
        <f>'Non-Tariff'!C7</f>
        <v>9.44</v>
      </c>
      <c r="E6" s="1761">
        <f>'Non-Tariff'!D7</f>
        <v>9.44</v>
      </c>
    </row>
    <row r="7" spans="1:14">
      <c r="A7" s="2086" t="s">
        <v>1329</v>
      </c>
      <c r="B7" s="1761">
        <v>0</v>
      </c>
      <c r="C7" s="1761">
        <f>'Non-Tariff'!B8</f>
        <v>0</v>
      </c>
      <c r="D7" s="2067">
        <f>'Non-Tariff'!C8</f>
        <v>0</v>
      </c>
      <c r="E7" s="1761">
        <v>0</v>
      </c>
    </row>
    <row r="8" spans="1:14">
      <c r="A8" s="2086" t="s">
        <v>1330</v>
      </c>
      <c r="B8" s="1761">
        <v>34.21</v>
      </c>
      <c r="C8" s="1761">
        <f>'Non-Tariff'!B9</f>
        <v>13.15</v>
      </c>
      <c r="D8" s="2067">
        <f>'Non-Tariff'!C9</f>
        <v>26.3</v>
      </c>
      <c r="E8" s="1761">
        <f>'Non-Tariff'!D9</f>
        <v>26.3</v>
      </c>
    </row>
    <row r="9" spans="1:14">
      <c r="A9" s="2086" t="s">
        <v>1331</v>
      </c>
      <c r="B9" s="1761">
        <v>0.97</v>
      </c>
      <c r="C9" s="1761">
        <f>'Non-Tariff'!B10</f>
        <v>0.44700000000000001</v>
      </c>
      <c r="D9" s="2067">
        <f>'Non-Tariff'!C10</f>
        <v>0.89400000000000002</v>
      </c>
      <c r="E9" s="1761">
        <f>'Non-Tariff'!D10</f>
        <v>0.89400000000000002</v>
      </c>
    </row>
    <row r="10" spans="1:14">
      <c r="A10" s="2086" t="s">
        <v>1333</v>
      </c>
      <c r="B10" s="1761">
        <v>8.9499999999999993</v>
      </c>
      <c r="C10" s="1761">
        <f>'Non-Tariff'!B11</f>
        <v>8.4580000000000002</v>
      </c>
      <c r="D10" s="2067">
        <f>'Non-Tariff'!C11</f>
        <v>16.916</v>
      </c>
      <c r="E10" s="1761">
        <f>'Non-Tariff'!D11</f>
        <v>16.916</v>
      </c>
    </row>
    <row r="11" spans="1:14" s="202" customFormat="1">
      <c r="A11" s="2087" t="s">
        <v>1334</v>
      </c>
      <c r="B11" s="2088">
        <f>SUM(B12:B18)</f>
        <v>9.58</v>
      </c>
      <c r="C11" s="2088">
        <f>'Non-Tariff'!B12</f>
        <v>9.2729999999999979</v>
      </c>
      <c r="D11" s="2089">
        <f>'Non-Tariff'!C12</f>
        <v>18.458374999999997</v>
      </c>
      <c r="E11" s="2088">
        <f>'Non-Tariff'!D12</f>
        <v>18.458374999999997</v>
      </c>
    </row>
    <row r="12" spans="1:14">
      <c r="A12" s="2086" t="s">
        <v>1335</v>
      </c>
      <c r="B12" s="1761">
        <v>0.22</v>
      </c>
      <c r="C12" s="1761">
        <f>'Non-Tariff'!B13</f>
        <v>0</v>
      </c>
      <c r="D12" s="2067">
        <f>VLOOKUP(A12,'Non-Tariff'!$A$7:$C$37,3,0)</f>
        <v>0</v>
      </c>
      <c r="E12" s="1761">
        <f>'Non-Tariff'!D13</f>
        <v>0</v>
      </c>
    </row>
    <row r="13" spans="1:14">
      <c r="A13" s="2086" t="s">
        <v>1336</v>
      </c>
      <c r="B13" s="1761">
        <v>0.1</v>
      </c>
      <c r="C13" s="1761">
        <f>0.1571-C25</f>
        <v>0.11237499999999999</v>
      </c>
      <c r="D13" s="2067">
        <f>VLOOKUP(A13,'Non-Tariff'!$A$7:$C$37,3,0)</f>
        <v>0.11237499999999999</v>
      </c>
      <c r="E13" s="1761">
        <v>0.27582110799999998</v>
      </c>
    </row>
    <row r="14" spans="1:14">
      <c r="A14" s="2086" t="s">
        <v>1337</v>
      </c>
      <c r="B14" s="1761">
        <v>0.52500000000000002</v>
      </c>
      <c r="C14" s="1761">
        <f>'Non-Tariff'!B15</f>
        <v>0.185</v>
      </c>
      <c r="D14" s="2067">
        <f>VLOOKUP(A14,'Non-Tariff'!$A$7:$C$37,3,0)</f>
        <v>0.37</v>
      </c>
      <c r="E14" s="1761">
        <f>'Non-Tariff'!D15</f>
        <v>0.37</v>
      </c>
    </row>
    <row r="15" spans="1:14">
      <c r="A15" s="2086" t="s">
        <v>1338</v>
      </c>
      <c r="B15" s="1761">
        <v>0.52500000000000002</v>
      </c>
      <c r="C15" s="1761"/>
      <c r="D15" s="2067">
        <f>VLOOKUP(A15,'Non-Tariff'!$A$7:$C$37,3,0)</f>
        <v>0</v>
      </c>
      <c r="E15" s="1761">
        <v>0</v>
      </c>
    </row>
    <row r="16" spans="1:14">
      <c r="A16" s="2086" t="s">
        <v>1339</v>
      </c>
      <c r="B16" s="1761">
        <v>0.26</v>
      </c>
      <c r="C16" s="1761">
        <v>0.173570533</v>
      </c>
      <c r="D16" s="2067">
        <f>VLOOKUP(A16,'Non-Tariff'!$A$7:$C$37,3,0)</f>
        <v>0.15</v>
      </c>
      <c r="E16" s="1761">
        <v>0.15</v>
      </c>
    </row>
    <row r="17" spans="1:5">
      <c r="A17" s="2086" t="s">
        <v>1340</v>
      </c>
      <c r="B17" s="1761">
        <v>7.94</v>
      </c>
      <c r="C17" s="1761">
        <v>11.091214304999999</v>
      </c>
      <c r="D17" s="2067">
        <f>VLOOKUP(A17,'Non-Tariff'!$A$7:$C$37,3,0)</f>
        <v>17.739999999999998</v>
      </c>
      <c r="E17" s="1761">
        <v>17.739999999999998</v>
      </c>
    </row>
    <row r="18" spans="1:5">
      <c r="A18" s="2086" t="s">
        <v>1341</v>
      </c>
      <c r="B18" s="1761">
        <v>0.01</v>
      </c>
      <c r="C18" s="1761">
        <v>4.9862970999999999E-2</v>
      </c>
      <c r="D18" s="2067">
        <f>VLOOKUP(A18,'Non-Tariff'!$A$7:$C$37,3,0)</f>
        <v>8.5999999999999993E-2</v>
      </c>
      <c r="E18" s="1761">
        <v>8.5999999999999993E-2</v>
      </c>
    </row>
    <row r="19" spans="1:5" s="202" customFormat="1">
      <c r="A19" s="2087" t="s">
        <v>239</v>
      </c>
      <c r="B19" s="2088">
        <f>SUM(B5:B11)</f>
        <v>90.37</v>
      </c>
      <c r="C19" s="2088">
        <f>SUM(C5:C11)</f>
        <v>36.047999999999995</v>
      </c>
      <c r="D19" s="2089">
        <f>SUM(D5:D11)</f>
        <v>72.698475000000002</v>
      </c>
      <c r="E19" s="2088">
        <f>SUM(E5:E11)</f>
        <v>72.698475000000002</v>
      </c>
    </row>
    <row r="20" spans="1:5">
      <c r="A20" s="2086"/>
      <c r="B20" s="1761"/>
      <c r="C20" s="1761"/>
      <c r="D20" s="2067"/>
      <c r="E20" s="1761">
        <v>0</v>
      </c>
    </row>
    <row r="21" spans="1:5">
      <c r="A21" s="2086" t="s">
        <v>1342</v>
      </c>
      <c r="B21" s="1761">
        <v>48.46</v>
      </c>
      <c r="C21" s="1761">
        <v>46.802124855000002</v>
      </c>
      <c r="D21" s="2067">
        <f>VLOOKUP(A21,'Non-Tariff'!$A$7:$C$37,3,0)</f>
        <v>79.260000000000005</v>
      </c>
      <c r="E21" s="1761">
        <v>79.260000000000005</v>
      </c>
    </row>
    <row r="22" spans="1:5">
      <c r="A22" s="2086" t="s">
        <v>1343</v>
      </c>
      <c r="B22" s="1761">
        <v>0.48</v>
      </c>
      <c r="C22" s="1761">
        <v>0</v>
      </c>
      <c r="D22" s="2067">
        <f>VLOOKUP(A22,'Non-Tariff'!$A$7:$C$37,3,0)</f>
        <v>0</v>
      </c>
      <c r="E22" s="1761">
        <v>0</v>
      </c>
    </row>
    <row r="23" spans="1:5">
      <c r="A23" s="2086" t="s">
        <v>1344</v>
      </c>
      <c r="B23" s="1761">
        <v>0.41</v>
      </c>
      <c r="C23" s="1761">
        <v>0.1076949</v>
      </c>
      <c r="D23" s="2067">
        <f>VLOOKUP(A23,'Non-Tariff'!$A$7:$C$37,3,0)</f>
        <v>0.1</v>
      </c>
      <c r="E23" s="1761">
        <v>0.1</v>
      </c>
    </row>
    <row r="24" spans="1:5">
      <c r="A24" s="2086" t="s">
        <v>1345</v>
      </c>
      <c r="B24" s="1761">
        <v>17.21</v>
      </c>
      <c r="C24" s="1761">
        <v>8.4631124720000006</v>
      </c>
      <c r="D24" s="2067">
        <f>VLOOKUP(A24,'Non-Tariff'!$A$7:$C$37,3,0)</f>
        <v>15.84</v>
      </c>
      <c r="E24" s="1761">
        <v>15.84</v>
      </c>
    </row>
    <row r="25" spans="1:5">
      <c r="A25" s="2086" t="s">
        <v>1346</v>
      </c>
      <c r="B25" s="1761">
        <v>0.01</v>
      </c>
      <c r="C25" s="1761">
        <v>4.4725000000000001E-2</v>
      </c>
      <c r="D25" s="2067">
        <f>VLOOKUP(A25,'Non-Tariff'!$A$7:$C$37,3,0)</f>
        <v>0</v>
      </c>
      <c r="E25" s="1761">
        <v>0</v>
      </c>
    </row>
    <row r="26" spans="1:5">
      <c r="A26" s="2086" t="s">
        <v>1347</v>
      </c>
      <c r="B26" s="1761">
        <v>0</v>
      </c>
      <c r="C26" s="1761">
        <v>0</v>
      </c>
      <c r="D26" s="2067">
        <f>VLOOKUP(A26,'Non-Tariff'!$A$7:$C$37,3,0)</f>
        <v>0</v>
      </c>
      <c r="E26" s="1761">
        <v>0</v>
      </c>
    </row>
    <row r="27" spans="1:5">
      <c r="A27" s="2086" t="s">
        <v>1348</v>
      </c>
      <c r="B27" s="1761">
        <v>0</v>
      </c>
      <c r="C27" s="1761">
        <v>0</v>
      </c>
      <c r="D27" s="2067">
        <f>VLOOKUP(A27,'Non-Tariff'!$A$7:$C$37,3,0)</f>
        <v>0</v>
      </c>
      <c r="E27" s="1761">
        <v>0</v>
      </c>
    </row>
    <row r="28" spans="1:5">
      <c r="A28" s="2086" t="s">
        <v>1349</v>
      </c>
      <c r="B28" s="1761">
        <v>0</v>
      </c>
      <c r="C28" s="1761">
        <v>0</v>
      </c>
      <c r="D28" s="2067">
        <f>VLOOKUP(A28,'Non-Tariff'!$A$7:$C$37,3,0)</f>
        <v>0</v>
      </c>
      <c r="E28" s="1761">
        <v>0</v>
      </c>
    </row>
    <row r="29" spans="1:5">
      <c r="A29" s="2086" t="s">
        <v>1350</v>
      </c>
      <c r="B29" s="1761">
        <v>0.13</v>
      </c>
      <c r="C29" s="1761">
        <v>9.0822E-2</v>
      </c>
      <c r="D29" s="2067">
        <f>VLOOKUP(A29,'Non-Tariff'!$A$7:$C$37,3,0)</f>
        <v>0.18</v>
      </c>
      <c r="E29" s="1761">
        <v>0.18</v>
      </c>
    </row>
    <row r="30" spans="1:5">
      <c r="A30" s="2086" t="s">
        <v>1351</v>
      </c>
      <c r="B30" s="1761">
        <v>0.36</v>
      </c>
      <c r="C30" s="1761">
        <f>0.191045958+0.005</f>
        <v>0.19604595799999999</v>
      </c>
      <c r="D30" s="2067">
        <f>VLOOKUP(A30,'Non-Tariff'!$A$7:$C$37,3,0)</f>
        <v>0.318</v>
      </c>
      <c r="E30" s="1761">
        <v>0.318</v>
      </c>
    </row>
    <row r="31" spans="1:5">
      <c r="A31" s="2086" t="s">
        <v>1352</v>
      </c>
      <c r="B31" s="1761">
        <v>7.19</v>
      </c>
      <c r="C31" s="1761">
        <v>6.0242168999999999</v>
      </c>
      <c r="D31" s="2067">
        <f>VLOOKUP(A31,'Non-Tariff'!$A$7:$C$37,3,0)</f>
        <v>12.044</v>
      </c>
      <c r="E31" s="1761">
        <v>9.6352000000000011</v>
      </c>
    </row>
    <row r="32" spans="1:5" s="202" customFormat="1">
      <c r="A32" s="2087" t="s">
        <v>239</v>
      </c>
      <c r="B32" s="2088">
        <f>SUM(B20:B31)</f>
        <v>74.25</v>
      </c>
      <c r="C32" s="2088">
        <f>SUM(C20:C31)</f>
        <v>61.728742085</v>
      </c>
      <c r="D32" s="2089">
        <f>SUM(D20:D31)</f>
        <v>107.742</v>
      </c>
      <c r="E32" s="2088">
        <f>SUM(E20:E31)</f>
        <v>105.33320000000001</v>
      </c>
    </row>
    <row r="33" spans="1:5" s="202" customFormat="1">
      <c r="A33" s="2087" t="s">
        <v>1353</v>
      </c>
      <c r="B33" s="2088">
        <f>B32+B19</f>
        <v>164.62</v>
      </c>
      <c r="C33" s="2088">
        <f>C32+C19</f>
        <v>97.776742084999995</v>
      </c>
      <c r="D33" s="2089">
        <f>D32+D19</f>
        <v>180.44047499999999</v>
      </c>
      <c r="E33" s="2088">
        <f>E32+E19</f>
        <v>178.03167500000001</v>
      </c>
    </row>
    <row r="34" spans="1:5">
      <c r="A34" s="2086" t="s">
        <v>1354</v>
      </c>
      <c r="B34" s="1761">
        <v>18.309999999999999</v>
      </c>
      <c r="C34" s="1761">
        <v>14.2</v>
      </c>
      <c r="D34" s="2067">
        <f>VLOOKUP(A34,'Non-Tariff'!$A$7:$C$37,3,0)</f>
        <v>27.718752559999999</v>
      </c>
      <c r="E34" s="1761">
        <v>29.309086749999999</v>
      </c>
    </row>
    <row r="35" spans="1:5" s="202" customFormat="1">
      <c r="A35" s="2087" t="s">
        <v>239</v>
      </c>
      <c r="B35" s="2088">
        <f>SUM(B33:B34)</f>
        <v>182.93</v>
      </c>
      <c r="C35" s="2088">
        <f>SUM(C33:C34)</f>
        <v>111.976742085</v>
      </c>
      <c r="D35" s="2089">
        <f>SUM(D33:D34)</f>
        <v>208.15922755999998</v>
      </c>
      <c r="E35" s="2088">
        <f>SUM(E33:E34)</f>
        <v>207.34076175000001</v>
      </c>
    </row>
    <row r="36" spans="1:5">
      <c r="D36" s="1762"/>
    </row>
    <row r="37" spans="1:5">
      <c r="A37" s="1272"/>
      <c r="B37" s="202"/>
      <c r="E37" s="1762"/>
    </row>
    <row r="38" spans="1:5">
      <c r="B38" s="1273"/>
    </row>
  </sheetData>
  <mergeCells count="2">
    <mergeCell ref="A1:E1"/>
    <mergeCell ref="A2:E2"/>
  </mergeCells>
  <pageMargins left="0.7" right="0.7" top="0.75" bottom="0.75" header="0.3" footer="0.3"/>
  <pageSetup scale="93"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pageSetUpPr fitToPage="1"/>
  </sheetPr>
  <dimension ref="A1:R56"/>
  <sheetViews>
    <sheetView view="pageBreakPreview" zoomScale="80" zoomScaleNormal="75" zoomScaleSheetLayoutView="80" workbookViewId="0">
      <pane xSplit="2" ySplit="8" topLeftCell="C21" activePane="bottomRight" state="frozen"/>
      <selection pane="bottomRight" activeCell="C49" sqref="C49"/>
      <selection pane="bottomLeft" activeCell="A9" sqref="A9"/>
      <selection pane="topRight" activeCell="C1" sqref="C1"/>
    </sheetView>
  </sheetViews>
  <sheetFormatPr defaultColWidth="14.7109375" defaultRowHeight="15"/>
  <cols>
    <col min="1" max="1" width="6" style="336" customWidth="1"/>
    <col min="2" max="2" width="39.85546875" style="316" customWidth="1"/>
    <col min="3" max="3" width="15.28515625" style="308" customWidth="1"/>
    <col min="4" max="4" width="13.7109375" style="308" customWidth="1"/>
    <col min="5" max="6" width="12.5703125" style="308" customWidth="1"/>
    <col min="7" max="7" width="13.140625" style="308" customWidth="1"/>
    <col min="8" max="9" width="12.5703125" style="308" customWidth="1"/>
    <col min="10" max="10" width="13.42578125" style="308" customWidth="1"/>
    <col min="11" max="11" width="16.28515625" style="308" customWidth="1"/>
    <col min="12" max="16384" width="14.7109375" style="308"/>
  </cols>
  <sheetData>
    <row r="1" spans="1:18" ht="18">
      <c r="B1" s="337" t="s">
        <v>209</v>
      </c>
      <c r="C1" s="338"/>
      <c r="D1" s="338"/>
      <c r="E1" s="338"/>
      <c r="F1" s="338"/>
      <c r="G1" s="338"/>
      <c r="H1" s="338"/>
      <c r="I1" s="311" t="s">
        <v>210</v>
      </c>
      <c r="J1" s="330" t="s">
        <v>331</v>
      </c>
    </row>
    <row r="2" spans="1:18" ht="18">
      <c r="B2" s="308"/>
      <c r="C2" s="338"/>
      <c r="D2" s="338"/>
      <c r="E2" s="338"/>
      <c r="F2" s="338"/>
      <c r="G2" s="338"/>
      <c r="H2" s="338"/>
      <c r="I2" s="338"/>
      <c r="J2" s="338"/>
    </row>
    <row r="3" spans="1:18" ht="21.75" customHeight="1">
      <c r="A3" s="2486" t="s">
        <v>332</v>
      </c>
      <c r="B3" s="2486"/>
      <c r="C3" s="2486"/>
      <c r="D3" s="2486"/>
      <c r="E3" s="2486"/>
      <c r="F3" s="2486"/>
      <c r="G3" s="2486"/>
      <c r="H3" s="2486"/>
      <c r="I3" s="2486"/>
      <c r="J3" s="2486"/>
    </row>
    <row r="4" spans="1:18" ht="18">
      <c r="B4" s="340" t="s">
        <v>290</v>
      </c>
      <c r="C4" s="338"/>
      <c r="D4" s="338"/>
      <c r="E4" s="338"/>
      <c r="F4" s="338"/>
      <c r="G4" s="338"/>
      <c r="H4" s="338"/>
      <c r="I4" s="338"/>
      <c r="J4" s="338"/>
    </row>
    <row r="5" spans="1:18" ht="18">
      <c r="A5" s="341" t="s">
        <v>291</v>
      </c>
      <c r="B5" s="372" t="s">
        <v>333</v>
      </c>
      <c r="C5" s="343" t="s">
        <v>293</v>
      </c>
      <c r="D5" s="338"/>
      <c r="F5" s="338"/>
      <c r="G5" s="338"/>
      <c r="H5" s="338"/>
      <c r="I5" s="338"/>
      <c r="J5" s="338"/>
    </row>
    <row r="6" spans="1:18" ht="18">
      <c r="B6" s="338"/>
      <c r="C6" s="340"/>
      <c r="D6" s="338"/>
      <c r="E6" s="2483" t="s">
        <v>294</v>
      </c>
      <c r="F6" s="2483"/>
      <c r="G6" s="2483"/>
      <c r="H6" s="338"/>
    </row>
    <row r="7" spans="1:18" ht="18" customHeight="1">
      <c r="A7" s="2477"/>
      <c r="B7" s="2478" t="s">
        <v>296</v>
      </c>
      <c r="C7" s="2478" t="s">
        <v>297</v>
      </c>
      <c r="D7" s="2478" t="s">
        <v>298</v>
      </c>
      <c r="E7" s="345" t="s">
        <v>299</v>
      </c>
      <c r="F7" s="345"/>
      <c r="G7" s="345"/>
      <c r="H7" s="344"/>
      <c r="I7" s="2474" t="s">
        <v>300</v>
      </c>
      <c r="J7" s="2475"/>
    </row>
    <row r="8" spans="1:18" s="346" customFormat="1" ht="78.75" customHeight="1">
      <c r="A8" s="2477"/>
      <c r="B8" s="2478"/>
      <c r="C8" s="2478"/>
      <c r="D8" s="2478"/>
      <c r="E8" s="625" t="s">
        <v>242</v>
      </c>
      <c r="F8" s="625" t="s">
        <v>334</v>
      </c>
      <c r="G8" s="625" t="s">
        <v>335</v>
      </c>
      <c r="H8" s="625" t="s">
        <v>306</v>
      </c>
      <c r="I8" s="625" t="s">
        <v>307</v>
      </c>
      <c r="J8" s="625" t="s">
        <v>308</v>
      </c>
      <c r="L8" s="308"/>
      <c r="M8" s="308"/>
      <c r="N8" s="308"/>
    </row>
    <row r="9" spans="1:18" ht="18">
      <c r="A9" s="624"/>
      <c r="B9" s="625" t="s">
        <v>309</v>
      </c>
      <c r="C9" s="344"/>
      <c r="D9" s="344"/>
      <c r="E9" s="344"/>
      <c r="F9" s="344"/>
      <c r="G9" s="344"/>
      <c r="H9" s="344"/>
      <c r="I9" s="373"/>
      <c r="J9" s="373"/>
    </row>
    <row r="10" spans="1:18" ht="22.5" customHeight="1">
      <c r="A10" s="624">
        <v>1</v>
      </c>
      <c r="B10" s="348" t="s">
        <v>310</v>
      </c>
      <c r="C10" s="344">
        <v>20400</v>
      </c>
      <c r="D10" s="344">
        <v>13698</v>
      </c>
      <c r="E10" s="350">
        <v>24.442</v>
      </c>
      <c r="F10" s="350">
        <v>15.667</v>
      </c>
      <c r="G10" s="350">
        <v>5.4119999999999999</v>
      </c>
      <c r="H10" s="345">
        <f>SUM(E10:G10)</f>
        <v>45.521000000000001</v>
      </c>
      <c r="I10" s="352">
        <v>3023.52</v>
      </c>
      <c r="J10" s="352">
        <v>2493.3200000000002</v>
      </c>
      <c r="K10" s="353"/>
      <c r="L10" s="354"/>
      <c r="M10" s="339"/>
      <c r="N10" s="355"/>
      <c r="O10" s="355"/>
      <c r="P10" s="338"/>
      <c r="Q10" s="356"/>
      <c r="R10" s="356"/>
    </row>
    <row r="11" spans="1:18" ht="22.5" customHeight="1">
      <c r="A11" s="624">
        <v>2</v>
      </c>
      <c r="B11" s="348" t="s">
        <v>311</v>
      </c>
      <c r="C11" s="344">
        <v>5461</v>
      </c>
      <c r="D11" s="344">
        <v>10249</v>
      </c>
      <c r="E11" s="350">
        <v>6.5449999999999999</v>
      </c>
      <c r="F11" s="350">
        <v>7.9</v>
      </c>
      <c r="G11" s="350">
        <v>6.0650000000000004</v>
      </c>
      <c r="H11" s="345">
        <f>SUM(E11:G11)</f>
        <v>20.51</v>
      </c>
      <c r="I11" s="352">
        <v>1439.42</v>
      </c>
      <c r="J11" s="352">
        <v>1213.8</v>
      </c>
      <c r="K11" s="353"/>
      <c r="L11" s="354"/>
      <c r="M11" s="339"/>
      <c r="N11" s="355"/>
      <c r="O11" s="355"/>
      <c r="P11" s="338"/>
      <c r="Q11" s="356"/>
      <c r="R11" s="356"/>
    </row>
    <row r="12" spans="1:18" ht="22.5" customHeight="1">
      <c r="A12" s="624">
        <v>3</v>
      </c>
      <c r="B12" s="348" t="s">
        <v>312</v>
      </c>
      <c r="C12" s="344">
        <v>3201</v>
      </c>
      <c r="D12" s="344">
        <v>9208</v>
      </c>
      <c r="E12" s="350">
        <v>3.7349999999999999</v>
      </c>
      <c r="F12" s="350">
        <v>6.1369999999999996</v>
      </c>
      <c r="G12" s="350">
        <v>4.1319999999999997</v>
      </c>
      <c r="H12" s="351">
        <f>SUM(E12:G12)</f>
        <v>14.004</v>
      </c>
      <c r="I12" s="352">
        <v>998.56</v>
      </c>
      <c r="J12" s="352">
        <v>870.49</v>
      </c>
      <c r="K12" s="353"/>
      <c r="L12" s="354"/>
      <c r="M12" s="339"/>
      <c r="N12" s="355"/>
      <c r="O12" s="355"/>
      <c r="P12" s="338"/>
      <c r="Q12" s="356"/>
      <c r="R12" s="356"/>
    </row>
    <row r="13" spans="1:18" ht="22.5" customHeight="1">
      <c r="A13" s="624">
        <v>4</v>
      </c>
      <c r="B13" s="348">
        <v>4</v>
      </c>
      <c r="C13" s="344">
        <v>955</v>
      </c>
      <c r="D13" s="344">
        <v>3837</v>
      </c>
      <c r="E13" s="350">
        <v>1.139</v>
      </c>
      <c r="F13" s="350">
        <v>2.145</v>
      </c>
      <c r="G13" s="350">
        <v>2.6840000000000002</v>
      </c>
      <c r="H13" s="345">
        <f>SUM(E13:G13)</f>
        <v>5.968</v>
      </c>
      <c r="I13" s="352">
        <v>435.08</v>
      </c>
      <c r="J13" s="352">
        <v>389.73</v>
      </c>
      <c r="K13" s="353"/>
      <c r="L13" s="354"/>
      <c r="M13" s="339"/>
      <c r="N13" s="355"/>
      <c r="O13" s="355"/>
      <c r="P13" s="338"/>
      <c r="Q13" s="356"/>
      <c r="R13" s="356"/>
    </row>
    <row r="14" spans="1:18" ht="22.5" customHeight="1">
      <c r="A14" s="624">
        <v>5</v>
      </c>
      <c r="B14" s="357" t="s">
        <v>313</v>
      </c>
      <c r="C14" s="344">
        <v>1603</v>
      </c>
      <c r="D14" s="344">
        <v>10312</v>
      </c>
      <c r="E14" s="350">
        <v>1.857</v>
      </c>
      <c r="F14" s="350">
        <v>3.556</v>
      </c>
      <c r="G14" s="350">
        <v>51.424999999999997</v>
      </c>
      <c r="H14" s="345">
        <f>SUM(E14:G14)</f>
        <v>56.837999999999994</v>
      </c>
      <c r="I14" s="352">
        <v>4299.4799999999996</v>
      </c>
      <c r="J14" s="352">
        <v>4012.78</v>
      </c>
      <c r="K14" s="353"/>
      <c r="L14" s="354"/>
      <c r="M14" s="339"/>
      <c r="N14" s="355"/>
      <c r="O14" s="355"/>
      <c r="P14" s="338"/>
      <c r="Q14" s="356"/>
      <c r="R14" s="356"/>
    </row>
    <row r="15" spans="1:18" ht="22.5" customHeight="1">
      <c r="A15" s="624">
        <v>6</v>
      </c>
      <c r="B15" s="357" t="s">
        <v>314</v>
      </c>
      <c r="C15" s="345">
        <f t="shared" ref="C15:J15" si="0">SUM(C10:C14)</f>
        <v>31620</v>
      </c>
      <c r="D15" s="345">
        <f t="shared" si="0"/>
        <v>47304</v>
      </c>
      <c r="E15" s="345">
        <f t="shared" si="0"/>
        <v>37.718000000000004</v>
      </c>
      <c r="F15" s="345">
        <f t="shared" si="0"/>
        <v>35.405000000000001</v>
      </c>
      <c r="G15" s="345">
        <f t="shared" si="0"/>
        <v>69.717999999999989</v>
      </c>
      <c r="H15" s="345">
        <f t="shared" si="0"/>
        <v>142.84100000000001</v>
      </c>
      <c r="I15" s="362">
        <f t="shared" si="0"/>
        <v>10196.06</v>
      </c>
      <c r="J15" s="362">
        <f t="shared" si="0"/>
        <v>8980.1200000000008</v>
      </c>
    </row>
    <row r="16" spans="1:18" ht="36">
      <c r="A16" s="624">
        <v>7</v>
      </c>
      <c r="B16" s="359" t="s">
        <v>336</v>
      </c>
      <c r="C16" s="344">
        <v>10092</v>
      </c>
      <c r="D16" s="344">
        <v>135755</v>
      </c>
      <c r="E16" s="344">
        <v>12.031000000000001</v>
      </c>
      <c r="F16" s="344">
        <v>18.901</v>
      </c>
      <c r="G16" s="350">
        <v>58.338999999999999</v>
      </c>
      <c r="H16" s="345">
        <f>SUM(E16:G16)</f>
        <v>89.271000000000001</v>
      </c>
      <c r="I16" s="352">
        <v>6702.81</v>
      </c>
      <c r="J16" s="352">
        <v>6444.41</v>
      </c>
      <c r="K16" s="353"/>
      <c r="L16" s="354"/>
      <c r="M16" s="339"/>
      <c r="N16" s="355"/>
      <c r="O16" s="355"/>
      <c r="P16" s="338"/>
      <c r="Q16" s="356"/>
      <c r="R16" s="356"/>
    </row>
    <row r="17" spans="1:18" ht="22.5" customHeight="1">
      <c r="A17" s="624">
        <v>8</v>
      </c>
      <c r="B17" s="357" t="s">
        <v>314</v>
      </c>
      <c r="C17" s="344">
        <f t="shared" ref="C17:J17" si="1">+C16</f>
        <v>10092</v>
      </c>
      <c r="D17" s="344">
        <f t="shared" si="1"/>
        <v>135755</v>
      </c>
      <c r="E17" s="344">
        <f t="shared" si="1"/>
        <v>12.031000000000001</v>
      </c>
      <c r="F17" s="344">
        <f t="shared" si="1"/>
        <v>18.901</v>
      </c>
      <c r="G17" s="344">
        <f t="shared" si="1"/>
        <v>58.338999999999999</v>
      </c>
      <c r="H17" s="344">
        <f t="shared" si="1"/>
        <v>89.271000000000001</v>
      </c>
      <c r="I17" s="352">
        <f t="shared" si="1"/>
        <v>6702.81</v>
      </c>
      <c r="J17" s="352">
        <f t="shared" si="1"/>
        <v>6444.41</v>
      </c>
    </row>
    <row r="18" spans="1:18" ht="22.5" customHeight="1">
      <c r="A18" s="624">
        <v>9</v>
      </c>
      <c r="B18" s="357" t="s">
        <v>319</v>
      </c>
      <c r="C18" s="345">
        <f t="shared" ref="C18:J18" si="2">+C15+C17</f>
        <v>41712</v>
      </c>
      <c r="D18" s="345">
        <f t="shared" si="2"/>
        <v>183059</v>
      </c>
      <c r="E18" s="345">
        <f t="shared" si="2"/>
        <v>49.749000000000002</v>
      </c>
      <c r="F18" s="345">
        <f t="shared" si="2"/>
        <v>54.305999999999997</v>
      </c>
      <c r="G18" s="345">
        <f t="shared" si="2"/>
        <v>128.05699999999999</v>
      </c>
      <c r="H18" s="345">
        <f t="shared" si="2"/>
        <v>232.11200000000002</v>
      </c>
      <c r="I18" s="362">
        <f t="shared" si="2"/>
        <v>16898.87</v>
      </c>
      <c r="J18" s="362">
        <f t="shared" si="2"/>
        <v>15424.53</v>
      </c>
    </row>
    <row r="19" spans="1:18" ht="18">
      <c r="B19" s="360"/>
      <c r="C19" s="338"/>
      <c r="D19" s="338"/>
      <c r="E19" s="338"/>
      <c r="F19" s="338"/>
      <c r="G19" s="338"/>
      <c r="H19" s="338"/>
      <c r="I19" s="338"/>
      <c r="J19" s="355"/>
    </row>
    <row r="20" spans="1:18" ht="18">
      <c r="A20" s="341" t="s">
        <v>320</v>
      </c>
      <c r="B20" s="372" t="s">
        <v>333</v>
      </c>
      <c r="C20" s="343" t="s">
        <v>321</v>
      </c>
      <c r="D20" s="338"/>
      <c r="F20" s="338"/>
      <c r="G20" s="338"/>
      <c r="H20" s="338"/>
      <c r="I20" s="355"/>
      <c r="J20" s="355"/>
    </row>
    <row r="21" spans="1:18" ht="18">
      <c r="B21" s="360"/>
      <c r="C21" s="340"/>
      <c r="D21" s="338"/>
      <c r="E21" s="2483" t="s">
        <v>294</v>
      </c>
      <c r="F21" s="2483"/>
      <c r="G21" s="2483"/>
      <c r="H21" s="338"/>
      <c r="I21" s="355"/>
      <c r="J21" s="355"/>
    </row>
    <row r="22" spans="1:18" ht="18" customHeight="1">
      <c r="A22" s="2477"/>
      <c r="B22" s="2478" t="s">
        <v>296</v>
      </c>
      <c r="C22" s="2478" t="s">
        <v>297</v>
      </c>
      <c r="D22" s="2478" t="s">
        <v>298</v>
      </c>
      <c r="E22" s="345" t="s">
        <v>299</v>
      </c>
      <c r="F22" s="345"/>
      <c r="G22" s="345"/>
      <c r="H22" s="344"/>
      <c r="I22" s="2474" t="s">
        <v>300</v>
      </c>
      <c r="J22" s="2475"/>
    </row>
    <row r="23" spans="1:18" s="346" customFormat="1" ht="87.75" customHeight="1">
      <c r="A23" s="2477"/>
      <c r="B23" s="2478"/>
      <c r="C23" s="2478"/>
      <c r="D23" s="2478"/>
      <c r="E23" s="625" t="s">
        <v>242</v>
      </c>
      <c r="F23" s="625" t="s">
        <v>334</v>
      </c>
      <c r="G23" s="625" t="s">
        <v>335</v>
      </c>
      <c r="H23" s="625" t="s">
        <v>306</v>
      </c>
      <c r="I23" s="374" t="s">
        <v>307</v>
      </c>
      <c r="J23" s="374" t="s">
        <v>308</v>
      </c>
    </row>
    <row r="24" spans="1:18" ht="18">
      <c r="A24" s="624"/>
      <c r="B24" s="625" t="s">
        <v>309</v>
      </c>
      <c r="C24" s="344"/>
      <c r="D24" s="344"/>
      <c r="E24" s="344"/>
      <c r="F24" s="344"/>
      <c r="G24" s="344"/>
      <c r="H24" s="344"/>
      <c r="I24" s="373"/>
      <c r="J24" s="373"/>
    </row>
    <row r="25" spans="1:18" ht="26.25" customHeight="1">
      <c r="A25" s="624">
        <v>1</v>
      </c>
      <c r="B25" s="348" t="s">
        <v>310</v>
      </c>
      <c r="C25" s="344">
        <v>37492</v>
      </c>
      <c r="D25" s="344">
        <v>27771</v>
      </c>
      <c r="E25" s="350">
        <v>42.393999999999998</v>
      </c>
      <c r="F25" s="350">
        <v>29.440999999999999</v>
      </c>
      <c r="G25" s="350">
        <v>8.3239999999999998</v>
      </c>
      <c r="H25" s="345">
        <f>SUM(E25:G25)</f>
        <v>80.158999999999992</v>
      </c>
      <c r="I25" s="352">
        <v>6139.54</v>
      </c>
      <c r="J25" s="352">
        <v>4782.51</v>
      </c>
      <c r="K25" s="353"/>
      <c r="L25" s="354"/>
      <c r="M25" s="339"/>
      <c r="N25" s="355"/>
      <c r="O25" s="355"/>
      <c r="P25" s="338"/>
      <c r="Q25" s="356"/>
      <c r="R25" s="356"/>
    </row>
    <row r="26" spans="1:18" ht="26.25" customHeight="1">
      <c r="A26" s="624">
        <v>2</v>
      </c>
      <c r="B26" s="348" t="s">
        <v>311</v>
      </c>
      <c r="C26" s="344">
        <v>10264</v>
      </c>
      <c r="D26" s="344">
        <v>19040</v>
      </c>
      <c r="E26" s="350">
        <v>12.103999999999999</v>
      </c>
      <c r="F26" s="350">
        <v>9.1039999999999992</v>
      </c>
      <c r="G26" s="350">
        <v>6.6710000000000003</v>
      </c>
      <c r="H26" s="345">
        <f>SUM(E26:G26)</f>
        <v>27.878999999999998</v>
      </c>
      <c r="I26" s="352">
        <v>2117.0700000000002</v>
      </c>
      <c r="J26" s="352">
        <v>1682.74</v>
      </c>
      <c r="K26" s="353"/>
      <c r="L26" s="354"/>
      <c r="M26" s="339"/>
      <c r="N26" s="355"/>
      <c r="O26" s="355"/>
      <c r="P26" s="338"/>
      <c r="Q26" s="356"/>
      <c r="R26" s="356"/>
    </row>
    <row r="27" spans="1:18" ht="26.25" customHeight="1">
      <c r="A27" s="624">
        <v>3</v>
      </c>
      <c r="B27" s="348" t="s">
        <v>312</v>
      </c>
      <c r="C27" s="344">
        <v>4568</v>
      </c>
      <c r="D27" s="344">
        <v>13124</v>
      </c>
      <c r="E27" s="350">
        <v>5.2080000000000002</v>
      </c>
      <c r="F27" s="350">
        <v>7.298</v>
      </c>
      <c r="G27" s="350">
        <v>2.0790000000000002</v>
      </c>
      <c r="H27" s="345">
        <f>SUM(E27:G27)</f>
        <v>14.585000000000001</v>
      </c>
      <c r="I27" s="352">
        <v>1091.24</v>
      </c>
      <c r="J27" s="352">
        <v>874.14</v>
      </c>
      <c r="K27" s="353"/>
      <c r="L27" s="354"/>
      <c r="M27" s="339"/>
      <c r="N27" s="355"/>
      <c r="O27" s="355"/>
      <c r="P27" s="338"/>
      <c r="Q27" s="356"/>
      <c r="R27" s="356"/>
    </row>
    <row r="28" spans="1:18" ht="26.25" customHeight="1">
      <c r="A28" s="624">
        <v>4</v>
      </c>
      <c r="B28" s="348">
        <v>4</v>
      </c>
      <c r="C28" s="344">
        <v>1448</v>
      </c>
      <c r="D28" s="344">
        <v>5578</v>
      </c>
      <c r="E28" s="350">
        <v>1.4730000000000001</v>
      </c>
      <c r="F28" s="350">
        <v>2.3980000000000001</v>
      </c>
      <c r="G28" s="350">
        <v>3.665</v>
      </c>
      <c r="H28" s="345">
        <f>SUM(E28:G28)</f>
        <v>7.5360000000000005</v>
      </c>
      <c r="I28" s="352">
        <v>569.79999999999995</v>
      </c>
      <c r="J28" s="352">
        <v>467.96</v>
      </c>
      <c r="K28" s="353"/>
      <c r="L28" s="354"/>
      <c r="M28" s="339"/>
      <c r="N28" s="355"/>
      <c r="O28" s="355"/>
      <c r="P28" s="338"/>
      <c r="Q28" s="356"/>
      <c r="R28" s="356"/>
    </row>
    <row r="29" spans="1:18" ht="26.25" customHeight="1">
      <c r="A29" s="624">
        <v>5</v>
      </c>
      <c r="B29" s="357" t="s">
        <v>313</v>
      </c>
      <c r="C29" s="344">
        <v>1415</v>
      </c>
      <c r="D29" s="344">
        <v>7579</v>
      </c>
      <c r="E29" s="350">
        <v>1.5369999999999999</v>
      </c>
      <c r="F29" s="350">
        <v>1.887</v>
      </c>
      <c r="G29" s="350">
        <v>5.444</v>
      </c>
      <c r="H29" s="345">
        <f>SUM(E29:G29)</f>
        <v>8.8680000000000003</v>
      </c>
      <c r="I29" s="352">
        <v>661.98</v>
      </c>
      <c r="J29" s="352">
        <v>563.88</v>
      </c>
      <c r="K29" s="353"/>
      <c r="L29" s="354"/>
      <c r="M29" s="339"/>
      <c r="N29" s="355"/>
      <c r="O29" s="355"/>
      <c r="P29" s="338"/>
      <c r="Q29" s="356"/>
      <c r="R29" s="356"/>
    </row>
    <row r="30" spans="1:18" ht="26.25" customHeight="1">
      <c r="A30" s="624">
        <v>6</v>
      </c>
      <c r="B30" s="357" t="s">
        <v>314</v>
      </c>
      <c r="C30" s="345">
        <f t="shared" ref="C30:J30" si="3">SUM(C25:C29)</f>
        <v>55187</v>
      </c>
      <c r="D30" s="345">
        <f t="shared" si="3"/>
        <v>73092</v>
      </c>
      <c r="E30" s="345">
        <f t="shared" si="3"/>
        <v>62.715999999999994</v>
      </c>
      <c r="F30" s="345">
        <f t="shared" si="3"/>
        <v>50.128000000000007</v>
      </c>
      <c r="G30" s="345">
        <f t="shared" si="3"/>
        <v>26.183</v>
      </c>
      <c r="H30" s="345">
        <f t="shared" si="3"/>
        <v>139.02699999999999</v>
      </c>
      <c r="I30" s="362">
        <f t="shared" si="3"/>
        <v>10579.63</v>
      </c>
      <c r="J30" s="362">
        <f t="shared" si="3"/>
        <v>8371.23</v>
      </c>
    </row>
    <row r="31" spans="1:18" ht="39" customHeight="1">
      <c r="A31" s="624">
        <v>7</v>
      </c>
      <c r="B31" s="359" t="s">
        <v>336</v>
      </c>
      <c r="C31" s="344">
        <v>920</v>
      </c>
      <c r="D31" s="344">
        <v>11871</v>
      </c>
      <c r="E31" s="350">
        <v>1.0229999999999999</v>
      </c>
      <c r="F31" s="344">
        <v>2.1339999999999999</v>
      </c>
      <c r="G31" s="344">
        <v>10.853</v>
      </c>
      <c r="H31" s="345">
        <f>SUM(E31:G31)</f>
        <v>14.01</v>
      </c>
      <c r="I31" s="352">
        <v>1055.55</v>
      </c>
      <c r="J31" s="352">
        <v>979.8</v>
      </c>
      <c r="K31" s="353"/>
      <c r="L31" s="354"/>
      <c r="M31" s="339"/>
      <c r="N31" s="355"/>
      <c r="O31" s="355"/>
      <c r="P31" s="338"/>
      <c r="Q31" s="356"/>
      <c r="R31" s="356"/>
    </row>
    <row r="32" spans="1:18" ht="24.75" customHeight="1">
      <c r="A32" s="624">
        <v>8</v>
      </c>
      <c r="B32" s="357" t="s">
        <v>314</v>
      </c>
      <c r="C32" s="344">
        <f t="shared" ref="C32:G32" si="4">+C31</f>
        <v>920</v>
      </c>
      <c r="D32" s="344">
        <f t="shared" si="4"/>
        <v>11871</v>
      </c>
      <c r="E32" s="350">
        <f t="shared" si="4"/>
        <v>1.0229999999999999</v>
      </c>
      <c r="F32" s="344">
        <f t="shared" si="4"/>
        <v>2.1339999999999999</v>
      </c>
      <c r="G32" s="344">
        <f t="shared" si="4"/>
        <v>10.853</v>
      </c>
      <c r="H32" s="344">
        <f t="shared" ref="H32:J32" si="5">+H31</f>
        <v>14.01</v>
      </c>
      <c r="I32" s="344">
        <f t="shared" si="5"/>
        <v>1055.55</v>
      </c>
      <c r="J32" s="352">
        <f t="shared" si="5"/>
        <v>979.8</v>
      </c>
    </row>
    <row r="33" spans="1:11" ht="24.75" customHeight="1">
      <c r="A33" s="624">
        <v>9</v>
      </c>
      <c r="B33" s="357" t="s">
        <v>322</v>
      </c>
      <c r="C33" s="345">
        <f t="shared" ref="C33:J33" si="6">+C30+C32</f>
        <v>56107</v>
      </c>
      <c r="D33" s="345">
        <f t="shared" si="6"/>
        <v>84963</v>
      </c>
      <c r="E33" s="345">
        <f t="shared" si="6"/>
        <v>63.738999999999997</v>
      </c>
      <c r="F33" s="345">
        <f t="shared" si="6"/>
        <v>52.262000000000008</v>
      </c>
      <c r="G33" s="345">
        <f t="shared" si="6"/>
        <v>37.036000000000001</v>
      </c>
      <c r="H33" s="345">
        <f t="shared" si="6"/>
        <v>153.03699999999998</v>
      </c>
      <c r="I33" s="362">
        <f t="shared" si="6"/>
        <v>11635.179999999998</v>
      </c>
      <c r="J33" s="362">
        <f t="shared" si="6"/>
        <v>9351.0299999999988</v>
      </c>
      <c r="K33" s="353"/>
    </row>
    <row r="34" spans="1:11" ht="24.75" customHeight="1">
      <c r="A34" s="624"/>
      <c r="B34" s="375"/>
      <c r="C34" s="344"/>
      <c r="D34" s="344"/>
      <c r="E34" s="344"/>
      <c r="F34" s="344"/>
      <c r="G34" s="344"/>
      <c r="H34" s="344"/>
      <c r="I34" s="344"/>
      <c r="J34" s="344"/>
    </row>
    <row r="35" spans="1:11" ht="24.75" customHeight="1">
      <c r="A35" s="624"/>
      <c r="B35" s="363" t="s">
        <v>323</v>
      </c>
      <c r="C35" s="345">
        <f t="shared" ref="C35:J35" si="7">+C18+C33</f>
        <v>97819</v>
      </c>
      <c r="D35" s="345">
        <f t="shared" si="7"/>
        <v>268022</v>
      </c>
      <c r="E35" s="345">
        <f t="shared" si="7"/>
        <v>113.488</v>
      </c>
      <c r="F35" s="345">
        <f t="shared" si="7"/>
        <v>106.56800000000001</v>
      </c>
      <c r="G35" s="351">
        <f t="shared" si="7"/>
        <v>165.09299999999999</v>
      </c>
      <c r="H35" s="345">
        <f t="shared" si="7"/>
        <v>385.149</v>
      </c>
      <c r="I35" s="362">
        <f t="shared" si="7"/>
        <v>28534.049999999996</v>
      </c>
      <c r="J35" s="362">
        <f t="shared" si="7"/>
        <v>24775.559999999998</v>
      </c>
    </row>
    <row r="36" spans="1:11" ht="18" customHeight="1">
      <c r="B36" s="360"/>
      <c r="C36" s="338"/>
      <c r="D36" s="338"/>
      <c r="E36" s="181"/>
      <c r="F36" s="181"/>
      <c r="G36" s="181"/>
      <c r="H36" s="338"/>
      <c r="I36" s="338"/>
      <c r="J36" s="364"/>
    </row>
    <row r="37" spans="1:11" ht="18" customHeight="1">
      <c r="B37" s="343" t="s">
        <v>337</v>
      </c>
      <c r="C37" s="340"/>
      <c r="D37" s="340"/>
      <c r="E37" s="338"/>
      <c r="F37" s="338"/>
      <c r="G37" s="338"/>
      <c r="H37" s="338"/>
      <c r="I37" s="338"/>
      <c r="J37" s="338"/>
      <c r="K37" s="369"/>
    </row>
    <row r="38" spans="1:11" ht="54" customHeight="1">
      <c r="A38" s="624"/>
      <c r="B38" s="365"/>
      <c r="C38" s="2476" t="s">
        <v>325</v>
      </c>
      <c r="D38" s="2476"/>
      <c r="E38" s="2476" t="s">
        <v>326</v>
      </c>
      <c r="F38" s="2476"/>
      <c r="G38" s="2484" t="s">
        <v>327</v>
      </c>
      <c r="H38" s="2485"/>
      <c r="I38" s="2474" t="s">
        <v>239</v>
      </c>
      <c r="J38" s="2475"/>
    </row>
    <row r="39" spans="1:11" ht="26.25" customHeight="1">
      <c r="A39" s="624"/>
      <c r="B39" s="357"/>
      <c r="C39" s="366" t="s">
        <v>293</v>
      </c>
      <c r="D39" s="366" t="s">
        <v>321</v>
      </c>
      <c r="E39" s="366" t="s">
        <v>293</v>
      </c>
      <c r="F39" s="366" t="s">
        <v>321</v>
      </c>
      <c r="G39" s="366" t="s">
        <v>293</v>
      </c>
      <c r="H39" s="366" t="s">
        <v>321</v>
      </c>
      <c r="I39" s="366" t="s">
        <v>293</v>
      </c>
      <c r="J39" s="366" t="s">
        <v>321</v>
      </c>
    </row>
    <row r="40" spans="1:11" ht="26.25" customHeight="1">
      <c r="A40" s="624"/>
      <c r="B40" s="625" t="s">
        <v>309</v>
      </c>
      <c r="C40" s="344"/>
      <c r="D40" s="344"/>
      <c r="E40" s="344"/>
      <c r="F40" s="344"/>
      <c r="G40" s="344"/>
      <c r="H40" s="344"/>
      <c r="I40" s="344"/>
      <c r="J40" s="344"/>
    </row>
    <row r="41" spans="1:11" ht="26.25" customHeight="1">
      <c r="A41" s="624">
        <v>1</v>
      </c>
      <c r="B41" s="348" t="s">
        <v>310</v>
      </c>
      <c r="C41" s="344">
        <v>18764</v>
      </c>
      <c r="D41" s="344">
        <v>34110</v>
      </c>
      <c r="E41" s="344">
        <v>61</v>
      </c>
      <c r="F41" s="344">
        <v>344</v>
      </c>
      <c r="G41" s="344">
        <v>1575</v>
      </c>
      <c r="H41" s="344">
        <v>3038</v>
      </c>
      <c r="I41" s="344">
        <f t="shared" ref="I41:J45" si="8">+C41+E41+G41</f>
        <v>20400</v>
      </c>
      <c r="J41" s="344">
        <f t="shared" si="8"/>
        <v>37492</v>
      </c>
    </row>
    <row r="42" spans="1:11" ht="26.25" customHeight="1">
      <c r="A42" s="624">
        <v>2</v>
      </c>
      <c r="B42" s="348" t="s">
        <v>311</v>
      </c>
      <c r="C42" s="344">
        <v>5265</v>
      </c>
      <c r="D42" s="344">
        <v>9776</v>
      </c>
      <c r="E42" s="344">
        <v>5</v>
      </c>
      <c r="F42" s="344">
        <v>19</v>
      </c>
      <c r="G42" s="344">
        <v>191</v>
      </c>
      <c r="H42" s="344">
        <v>469</v>
      </c>
      <c r="I42" s="344">
        <f t="shared" si="8"/>
        <v>5461</v>
      </c>
      <c r="J42" s="344">
        <f t="shared" si="8"/>
        <v>10264</v>
      </c>
    </row>
    <row r="43" spans="1:11" ht="26.25" customHeight="1">
      <c r="A43" s="624">
        <v>3</v>
      </c>
      <c r="B43" s="348" t="s">
        <v>312</v>
      </c>
      <c r="C43" s="344">
        <v>3139</v>
      </c>
      <c r="D43" s="344">
        <v>4433</v>
      </c>
      <c r="E43" s="344">
        <v>0</v>
      </c>
      <c r="F43" s="344">
        <v>2</v>
      </c>
      <c r="G43" s="344">
        <v>62</v>
      </c>
      <c r="H43" s="344">
        <v>133</v>
      </c>
      <c r="I43" s="344">
        <f t="shared" si="8"/>
        <v>3201</v>
      </c>
      <c r="J43" s="344">
        <f t="shared" si="8"/>
        <v>4568</v>
      </c>
    </row>
    <row r="44" spans="1:11" ht="26.25" customHeight="1">
      <c r="A44" s="624">
        <v>4</v>
      </c>
      <c r="B44" s="348">
        <v>4</v>
      </c>
      <c r="C44" s="344">
        <v>928</v>
      </c>
      <c r="D44" s="344">
        <v>1399</v>
      </c>
      <c r="E44" s="344">
        <v>0</v>
      </c>
      <c r="F44" s="344">
        <v>0</v>
      </c>
      <c r="G44" s="344">
        <v>27</v>
      </c>
      <c r="H44" s="344">
        <v>49</v>
      </c>
      <c r="I44" s="344">
        <f t="shared" si="8"/>
        <v>955</v>
      </c>
      <c r="J44" s="344">
        <f t="shared" si="8"/>
        <v>1448</v>
      </c>
    </row>
    <row r="45" spans="1:11" ht="26.25" customHeight="1">
      <c r="A45" s="624">
        <v>5</v>
      </c>
      <c r="B45" s="357" t="s">
        <v>313</v>
      </c>
      <c r="C45" s="344">
        <v>11674</v>
      </c>
      <c r="D45" s="344">
        <v>2316</v>
      </c>
      <c r="E45" s="344">
        <v>0</v>
      </c>
      <c r="F45" s="344">
        <v>0</v>
      </c>
      <c r="G45" s="344">
        <v>21</v>
      </c>
      <c r="H45" s="344">
        <v>19</v>
      </c>
      <c r="I45" s="344">
        <f t="shared" si="8"/>
        <v>11695</v>
      </c>
      <c r="J45" s="344">
        <f t="shared" si="8"/>
        <v>2335</v>
      </c>
    </row>
    <row r="46" spans="1:11" ht="26.25" customHeight="1">
      <c r="A46" s="624">
        <v>6</v>
      </c>
      <c r="B46" s="367" t="s">
        <v>239</v>
      </c>
      <c r="C46" s="345">
        <f t="shared" ref="C46:J46" si="9">SUM(C41:C45)</f>
        <v>39770</v>
      </c>
      <c r="D46" s="345">
        <f t="shared" si="9"/>
        <v>52034</v>
      </c>
      <c r="E46" s="345">
        <f t="shared" si="9"/>
        <v>66</v>
      </c>
      <c r="F46" s="345">
        <f t="shared" si="9"/>
        <v>365</v>
      </c>
      <c r="G46" s="345">
        <f t="shared" si="9"/>
        <v>1876</v>
      </c>
      <c r="H46" s="345">
        <f t="shared" si="9"/>
        <v>3708</v>
      </c>
      <c r="I46" s="345">
        <f t="shared" si="9"/>
        <v>41712</v>
      </c>
      <c r="J46" s="345">
        <f t="shared" si="9"/>
        <v>56107</v>
      </c>
    </row>
    <row r="47" spans="1:11" ht="18">
      <c r="A47" s="368"/>
      <c r="B47" s="360"/>
      <c r="C47" s="338"/>
      <c r="D47" s="338"/>
      <c r="F47" s="338"/>
      <c r="G47" s="338"/>
      <c r="H47" s="338"/>
      <c r="I47" s="338"/>
      <c r="J47" s="338"/>
    </row>
    <row r="56" spans="3:10">
      <c r="C56" s="308">
        <f>+C35-C52</f>
        <v>97819</v>
      </c>
      <c r="D56" s="308">
        <f t="shared" ref="D56:J56" si="10">+D35-D52</f>
        <v>268022</v>
      </c>
      <c r="E56" s="308">
        <f t="shared" si="10"/>
        <v>113.488</v>
      </c>
      <c r="F56" s="308">
        <f t="shared" si="10"/>
        <v>106.56800000000001</v>
      </c>
      <c r="G56" s="308">
        <f t="shared" si="10"/>
        <v>165.09299999999999</v>
      </c>
      <c r="H56" s="308">
        <f t="shared" si="10"/>
        <v>385.149</v>
      </c>
      <c r="I56" s="308">
        <f t="shared" si="10"/>
        <v>28534.049999999996</v>
      </c>
      <c r="J56" s="308">
        <f t="shared" si="10"/>
        <v>24775.559999999998</v>
      </c>
    </row>
  </sheetData>
  <mergeCells count="17">
    <mergeCell ref="D7:D8"/>
    <mergeCell ref="E21:G21"/>
    <mergeCell ref="G38:H38"/>
    <mergeCell ref="I7:J7"/>
    <mergeCell ref="I22:J22"/>
    <mergeCell ref="A3:J3"/>
    <mergeCell ref="I38:J38"/>
    <mergeCell ref="A22:A23"/>
    <mergeCell ref="B22:B23"/>
    <mergeCell ref="C22:C23"/>
    <mergeCell ref="D22:D23"/>
    <mergeCell ref="C38:D38"/>
    <mergeCell ref="E38:F38"/>
    <mergeCell ref="E6:G6"/>
    <mergeCell ref="A7:A8"/>
    <mergeCell ref="B7:B8"/>
    <mergeCell ref="C7:C8"/>
  </mergeCells>
  <printOptions horizontalCentered="1"/>
  <pageMargins left="0.47244094488188981" right="0.15748031496062992" top="0.59055118110236227" bottom="0.27559055118110237" header="0.51181102362204722" footer="0.19685039370078741"/>
  <pageSetup paperSize="9" scale="6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8000"/>
  </sheetPr>
  <dimension ref="A1:T31"/>
  <sheetViews>
    <sheetView showGridLines="0" view="pageBreakPreview" topLeftCell="B1" zoomScale="80" zoomScaleNormal="97" zoomScaleSheetLayoutView="80" workbookViewId="0">
      <selection activeCell="S24" sqref="S24"/>
    </sheetView>
  </sheetViews>
  <sheetFormatPr defaultRowHeight="14.25"/>
  <cols>
    <col min="1" max="1" width="9.28515625" style="27" bestFit="1" customWidth="1"/>
    <col min="2" max="2" width="21.28515625" style="27" customWidth="1"/>
    <col min="3" max="3" width="12.85546875" style="27" customWidth="1"/>
    <col min="4" max="4" width="11.140625" style="27" customWidth="1"/>
    <col min="5" max="5" width="12.7109375" style="27" customWidth="1"/>
    <col min="6" max="6" width="10" style="27" bestFit="1" customWidth="1"/>
    <col min="7" max="7" width="9.28515625" style="27" bestFit="1" customWidth="1"/>
    <col min="8" max="9" width="10" style="27" bestFit="1" customWidth="1"/>
    <col min="10" max="10" width="10.85546875" style="27" customWidth="1"/>
    <col min="11" max="11" width="10" style="27" bestFit="1" customWidth="1"/>
    <col min="12" max="12" width="10.140625" style="27" customWidth="1"/>
    <col min="13" max="13" width="10" style="27" bestFit="1" customWidth="1"/>
    <col min="14" max="14" width="9.85546875" style="27" bestFit="1" customWidth="1"/>
    <col min="15" max="15" width="9.28515625" style="27" bestFit="1" customWidth="1"/>
    <col min="16" max="16" width="10" style="27" bestFit="1" customWidth="1"/>
    <col min="17" max="17" width="11.85546875" style="27" customWidth="1"/>
    <col min="18" max="257" width="9.140625" style="27"/>
    <col min="258" max="258" width="33.85546875" style="27" bestFit="1" customWidth="1"/>
    <col min="259" max="259" width="16.42578125" style="27" bestFit="1" customWidth="1"/>
    <col min="260" max="260" width="16.140625" style="27" bestFit="1" customWidth="1"/>
    <col min="261" max="261" width="16.42578125" style="27" bestFit="1" customWidth="1"/>
    <col min="262" max="267" width="9.140625" style="27"/>
    <col min="268" max="268" width="10.140625" style="27" customWidth="1"/>
    <col min="269" max="272" width="9.140625" style="27"/>
    <col min="273" max="273" width="10" style="27" customWidth="1"/>
    <col min="274" max="513" width="9.140625" style="27"/>
    <col min="514" max="514" width="33.85546875" style="27" bestFit="1" customWidth="1"/>
    <col min="515" max="515" width="16.42578125" style="27" bestFit="1" customWidth="1"/>
    <col min="516" max="516" width="16.140625" style="27" bestFit="1" customWidth="1"/>
    <col min="517" max="517" width="16.42578125" style="27" bestFit="1" customWidth="1"/>
    <col min="518" max="523" width="9.140625" style="27"/>
    <col min="524" max="524" width="10.140625" style="27" customWidth="1"/>
    <col min="525" max="528" width="9.140625" style="27"/>
    <col min="529" max="529" width="10" style="27" customWidth="1"/>
    <col min="530" max="769" width="9.140625" style="27"/>
    <col min="770" max="770" width="33.85546875" style="27" bestFit="1" customWidth="1"/>
    <col min="771" max="771" width="16.42578125" style="27" bestFit="1" customWidth="1"/>
    <col min="772" max="772" width="16.140625" style="27" bestFit="1" customWidth="1"/>
    <col min="773" max="773" width="16.42578125" style="27" bestFit="1" customWidth="1"/>
    <col min="774" max="779" width="9.140625" style="27"/>
    <col min="780" max="780" width="10.140625" style="27" customWidth="1"/>
    <col min="781" max="784" width="9.140625" style="27"/>
    <col min="785" max="785" width="10" style="27" customWidth="1"/>
    <col min="786" max="1025" width="9.140625" style="27"/>
    <col min="1026" max="1026" width="33.85546875" style="27" bestFit="1" customWidth="1"/>
    <col min="1027" max="1027" width="16.42578125" style="27" bestFit="1" customWidth="1"/>
    <col min="1028" max="1028" width="16.140625" style="27" bestFit="1" customWidth="1"/>
    <col min="1029" max="1029" width="16.42578125" style="27" bestFit="1" customWidth="1"/>
    <col min="1030" max="1035" width="9.140625" style="27"/>
    <col min="1036" max="1036" width="10.140625" style="27" customWidth="1"/>
    <col min="1037" max="1040" width="9.140625" style="27"/>
    <col min="1041" max="1041" width="10" style="27" customWidth="1"/>
    <col min="1042" max="1281" width="9.140625" style="27"/>
    <col min="1282" max="1282" width="33.85546875" style="27" bestFit="1" customWidth="1"/>
    <col min="1283" max="1283" width="16.42578125" style="27" bestFit="1" customWidth="1"/>
    <col min="1284" max="1284" width="16.140625" style="27" bestFit="1" customWidth="1"/>
    <col min="1285" max="1285" width="16.42578125" style="27" bestFit="1" customWidth="1"/>
    <col min="1286" max="1291" width="9.140625" style="27"/>
    <col min="1292" max="1292" width="10.140625" style="27" customWidth="1"/>
    <col min="1293" max="1296" width="9.140625" style="27"/>
    <col min="1297" max="1297" width="10" style="27" customWidth="1"/>
    <col min="1298" max="1537" width="9.140625" style="27"/>
    <col min="1538" max="1538" width="33.85546875" style="27" bestFit="1" customWidth="1"/>
    <col min="1539" max="1539" width="16.42578125" style="27" bestFit="1" customWidth="1"/>
    <col min="1540" max="1540" width="16.140625" style="27" bestFit="1" customWidth="1"/>
    <col min="1541" max="1541" width="16.42578125" style="27" bestFit="1" customWidth="1"/>
    <col min="1542" max="1547" width="9.140625" style="27"/>
    <col min="1548" max="1548" width="10.140625" style="27" customWidth="1"/>
    <col min="1549" max="1552" width="9.140625" style="27"/>
    <col min="1553" max="1553" width="10" style="27" customWidth="1"/>
    <col min="1554" max="1793" width="9.140625" style="27"/>
    <col min="1794" max="1794" width="33.85546875" style="27" bestFit="1" customWidth="1"/>
    <col min="1795" max="1795" width="16.42578125" style="27" bestFit="1" customWidth="1"/>
    <col min="1796" max="1796" width="16.140625" style="27" bestFit="1" customWidth="1"/>
    <col min="1797" max="1797" width="16.42578125" style="27" bestFit="1" customWidth="1"/>
    <col min="1798" max="1803" width="9.140625" style="27"/>
    <col min="1804" max="1804" width="10.140625" style="27" customWidth="1"/>
    <col min="1805" max="1808" width="9.140625" style="27"/>
    <col min="1809" max="1809" width="10" style="27" customWidth="1"/>
    <col min="1810" max="2049" width="9.140625" style="27"/>
    <col min="2050" max="2050" width="33.85546875" style="27" bestFit="1" customWidth="1"/>
    <col min="2051" max="2051" width="16.42578125" style="27" bestFit="1" customWidth="1"/>
    <col min="2052" max="2052" width="16.140625" style="27" bestFit="1" customWidth="1"/>
    <col min="2053" max="2053" width="16.42578125" style="27" bestFit="1" customWidth="1"/>
    <col min="2054" max="2059" width="9.140625" style="27"/>
    <col min="2060" max="2060" width="10.140625" style="27" customWidth="1"/>
    <col min="2061" max="2064" width="9.140625" style="27"/>
    <col min="2065" max="2065" width="10" style="27" customWidth="1"/>
    <col min="2066" max="2305" width="9.140625" style="27"/>
    <col min="2306" max="2306" width="33.85546875" style="27" bestFit="1" customWidth="1"/>
    <col min="2307" max="2307" width="16.42578125" style="27" bestFit="1" customWidth="1"/>
    <col min="2308" max="2308" width="16.140625" style="27" bestFit="1" customWidth="1"/>
    <col min="2309" max="2309" width="16.42578125" style="27" bestFit="1" customWidth="1"/>
    <col min="2310" max="2315" width="9.140625" style="27"/>
    <col min="2316" max="2316" width="10.140625" style="27" customWidth="1"/>
    <col min="2317" max="2320" width="9.140625" style="27"/>
    <col min="2321" max="2321" width="10" style="27" customWidth="1"/>
    <col min="2322" max="2561" width="9.140625" style="27"/>
    <col min="2562" max="2562" width="33.85546875" style="27" bestFit="1" customWidth="1"/>
    <col min="2563" max="2563" width="16.42578125" style="27" bestFit="1" customWidth="1"/>
    <col min="2564" max="2564" width="16.140625" style="27" bestFit="1" customWidth="1"/>
    <col min="2565" max="2565" width="16.42578125" style="27" bestFit="1" customWidth="1"/>
    <col min="2566" max="2571" width="9.140625" style="27"/>
    <col min="2572" max="2572" width="10.140625" style="27" customWidth="1"/>
    <col min="2573" max="2576" width="9.140625" style="27"/>
    <col min="2577" max="2577" width="10" style="27" customWidth="1"/>
    <col min="2578" max="2817" width="9.140625" style="27"/>
    <col min="2818" max="2818" width="33.85546875" style="27" bestFit="1" customWidth="1"/>
    <col min="2819" max="2819" width="16.42578125" style="27" bestFit="1" customWidth="1"/>
    <col min="2820" max="2820" width="16.140625" style="27" bestFit="1" customWidth="1"/>
    <col min="2821" max="2821" width="16.42578125" style="27" bestFit="1" customWidth="1"/>
    <col min="2822" max="2827" width="9.140625" style="27"/>
    <col min="2828" max="2828" width="10.140625" style="27" customWidth="1"/>
    <col min="2829" max="2832" width="9.140625" style="27"/>
    <col min="2833" max="2833" width="10" style="27" customWidth="1"/>
    <col min="2834" max="3073" width="9.140625" style="27"/>
    <col min="3074" max="3074" width="33.85546875" style="27" bestFit="1" customWidth="1"/>
    <col min="3075" max="3075" width="16.42578125" style="27" bestFit="1" customWidth="1"/>
    <col min="3076" max="3076" width="16.140625" style="27" bestFit="1" customWidth="1"/>
    <col min="3077" max="3077" width="16.42578125" style="27" bestFit="1" customWidth="1"/>
    <col min="3078" max="3083" width="9.140625" style="27"/>
    <col min="3084" max="3084" width="10.140625" style="27" customWidth="1"/>
    <col min="3085" max="3088" width="9.140625" style="27"/>
    <col min="3089" max="3089" width="10" style="27" customWidth="1"/>
    <col min="3090" max="3329" width="9.140625" style="27"/>
    <col min="3330" max="3330" width="33.85546875" style="27" bestFit="1" customWidth="1"/>
    <col min="3331" max="3331" width="16.42578125" style="27" bestFit="1" customWidth="1"/>
    <col min="3332" max="3332" width="16.140625" style="27" bestFit="1" customWidth="1"/>
    <col min="3333" max="3333" width="16.42578125" style="27" bestFit="1" customWidth="1"/>
    <col min="3334" max="3339" width="9.140625" style="27"/>
    <col min="3340" max="3340" width="10.140625" style="27" customWidth="1"/>
    <col min="3341" max="3344" width="9.140625" style="27"/>
    <col min="3345" max="3345" width="10" style="27" customWidth="1"/>
    <col min="3346" max="3585" width="9.140625" style="27"/>
    <col min="3586" max="3586" width="33.85546875" style="27" bestFit="1" customWidth="1"/>
    <col min="3587" max="3587" width="16.42578125" style="27" bestFit="1" customWidth="1"/>
    <col min="3588" max="3588" width="16.140625" style="27" bestFit="1" customWidth="1"/>
    <col min="3589" max="3589" width="16.42578125" style="27" bestFit="1" customWidth="1"/>
    <col min="3590" max="3595" width="9.140625" style="27"/>
    <col min="3596" max="3596" width="10.140625" style="27" customWidth="1"/>
    <col min="3597" max="3600" width="9.140625" style="27"/>
    <col min="3601" max="3601" width="10" style="27" customWidth="1"/>
    <col min="3602" max="3841" width="9.140625" style="27"/>
    <col min="3842" max="3842" width="33.85546875" style="27" bestFit="1" customWidth="1"/>
    <col min="3843" max="3843" width="16.42578125" style="27" bestFit="1" customWidth="1"/>
    <col min="3844" max="3844" width="16.140625" style="27" bestFit="1" customWidth="1"/>
    <col min="3845" max="3845" width="16.42578125" style="27" bestFit="1" customWidth="1"/>
    <col min="3846" max="3851" width="9.140625" style="27"/>
    <col min="3852" max="3852" width="10.140625" style="27" customWidth="1"/>
    <col min="3853" max="3856" width="9.140625" style="27"/>
    <col min="3857" max="3857" width="10" style="27" customWidth="1"/>
    <col min="3858" max="4097" width="9.140625" style="27"/>
    <col min="4098" max="4098" width="33.85546875" style="27" bestFit="1" customWidth="1"/>
    <col min="4099" max="4099" width="16.42578125" style="27" bestFit="1" customWidth="1"/>
    <col min="4100" max="4100" width="16.140625" style="27" bestFit="1" customWidth="1"/>
    <col min="4101" max="4101" width="16.42578125" style="27" bestFit="1" customWidth="1"/>
    <col min="4102" max="4107" width="9.140625" style="27"/>
    <col min="4108" max="4108" width="10.140625" style="27" customWidth="1"/>
    <col min="4109" max="4112" width="9.140625" style="27"/>
    <col min="4113" max="4113" width="10" style="27" customWidth="1"/>
    <col min="4114" max="4353" width="9.140625" style="27"/>
    <col min="4354" max="4354" width="33.85546875" style="27" bestFit="1" customWidth="1"/>
    <col min="4355" max="4355" width="16.42578125" style="27" bestFit="1" customWidth="1"/>
    <col min="4356" max="4356" width="16.140625" style="27" bestFit="1" customWidth="1"/>
    <col min="4357" max="4357" width="16.42578125" style="27" bestFit="1" customWidth="1"/>
    <col min="4358" max="4363" width="9.140625" style="27"/>
    <col min="4364" max="4364" width="10.140625" style="27" customWidth="1"/>
    <col min="4365" max="4368" width="9.140625" style="27"/>
    <col min="4369" max="4369" width="10" style="27" customWidth="1"/>
    <col min="4370" max="4609" width="9.140625" style="27"/>
    <col min="4610" max="4610" width="33.85546875" style="27" bestFit="1" customWidth="1"/>
    <col min="4611" max="4611" width="16.42578125" style="27" bestFit="1" customWidth="1"/>
    <col min="4612" max="4612" width="16.140625" style="27" bestFit="1" customWidth="1"/>
    <col min="4613" max="4613" width="16.42578125" style="27" bestFit="1" customWidth="1"/>
    <col min="4614" max="4619" width="9.140625" style="27"/>
    <col min="4620" max="4620" width="10.140625" style="27" customWidth="1"/>
    <col min="4621" max="4624" width="9.140625" style="27"/>
    <col min="4625" max="4625" width="10" style="27" customWidth="1"/>
    <col min="4626" max="4865" width="9.140625" style="27"/>
    <col min="4866" max="4866" width="33.85546875" style="27" bestFit="1" customWidth="1"/>
    <col min="4867" max="4867" width="16.42578125" style="27" bestFit="1" customWidth="1"/>
    <col min="4868" max="4868" width="16.140625" style="27" bestFit="1" customWidth="1"/>
    <col min="4869" max="4869" width="16.42578125" style="27" bestFit="1" customWidth="1"/>
    <col min="4870" max="4875" width="9.140625" style="27"/>
    <col min="4876" max="4876" width="10.140625" style="27" customWidth="1"/>
    <col min="4877" max="4880" width="9.140625" style="27"/>
    <col min="4881" max="4881" width="10" style="27" customWidth="1"/>
    <col min="4882" max="5121" width="9.140625" style="27"/>
    <col min="5122" max="5122" width="33.85546875" style="27" bestFit="1" customWidth="1"/>
    <col min="5123" max="5123" width="16.42578125" style="27" bestFit="1" customWidth="1"/>
    <col min="5124" max="5124" width="16.140625" style="27" bestFit="1" customWidth="1"/>
    <col min="5125" max="5125" width="16.42578125" style="27" bestFit="1" customWidth="1"/>
    <col min="5126" max="5131" width="9.140625" style="27"/>
    <col min="5132" max="5132" width="10.140625" style="27" customWidth="1"/>
    <col min="5133" max="5136" width="9.140625" style="27"/>
    <col min="5137" max="5137" width="10" style="27" customWidth="1"/>
    <col min="5138" max="5377" width="9.140625" style="27"/>
    <col min="5378" max="5378" width="33.85546875" style="27" bestFit="1" customWidth="1"/>
    <col min="5379" max="5379" width="16.42578125" style="27" bestFit="1" customWidth="1"/>
    <col min="5380" max="5380" width="16.140625" style="27" bestFit="1" customWidth="1"/>
    <col min="5381" max="5381" width="16.42578125" style="27" bestFit="1" customWidth="1"/>
    <col min="5382" max="5387" width="9.140625" style="27"/>
    <col min="5388" max="5388" width="10.140625" style="27" customWidth="1"/>
    <col min="5389" max="5392" width="9.140625" style="27"/>
    <col min="5393" max="5393" width="10" style="27" customWidth="1"/>
    <col min="5394" max="5633" width="9.140625" style="27"/>
    <col min="5634" max="5634" width="33.85546875" style="27" bestFit="1" customWidth="1"/>
    <col min="5635" max="5635" width="16.42578125" style="27" bestFit="1" customWidth="1"/>
    <col min="5636" max="5636" width="16.140625" style="27" bestFit="1" customWidth="1"/>
    <col min="5637" max="5637" width="16.42578125" style="27" bestFit="1" customWidth="1"/>
    <col min="5638" max="5643" width="9.140625" style="27"/>
    <col min="5644" max="5644" width="10.140625" style="27" customWidth="1"/>
    <col min="5645" max="5648" width="9.140625" style="27"/>
    <col min="5649" max="5649" width="10" style="27" customWidth="1"/>
    <col min="5650" max="5889" width="9.140625" style="27"/>
    <col min="5890" max="5890" width="33.85546875" style="27" bestFit="1" customWidth="1"/>
    <col min="5891" max="5891" width="16.42578125" style="27" bestFit="1" customWidth="1"/>
    <col min="5892" max="5892" width="16.140625" style="27" bestFit="1" customWidth="1"/>
    <col min="5893" max="5893" width="16.42578125" style="27" bestFit="1" customWidth="1"/>
    <col min="5894" max="5899" width="9.140625" style="27"/>
    <col min="5900" max="5900" width="10.140625" style="27" customWidth="1"/>
    <col min="5901" max="5904" width="9.140625" style="27"/>
    <col min="5905" max="5905" width="10" style="27" customWidth="1"/>
    <col min="5906" max="6145" width="9.140625" style="27"/>
    <col min="6146" max="6146" width="33.85546875" style="27" bestFit="1" customWidth="1"/>
    <col min="6147" max="6147" width="16.42578125" style="27" bestFit="1" customWidth="1"/>
    <col min="6148" max="6148" width="16.140625" style="27" bestFit="1" customWidth="1"/>
    <col min="6149" max="6149" width="16.42578125" style="27" bestFit="1" customWidth="1"/>
    <col min="6150" max="6155" width="9.140625" style="27"/>
    <col min="6156" max="6156" width="10.140625" style="27" customWidth="1"/>
    <col min="6157" max="6160" width="9.140625" style="27"/>
    <col min="6161" max="6161" width="10" style="27" customWidth="1"/>
    <col min="6162" max="6401" width="9.140625" style="27"/>
    <col min="6402" max="6402" width="33.85546875" style="27" bestFit="1" customWidth="1"/>
    <col min="6403" max="6403" width="16.42578125" style="27" bestFit="1" customWidth="1"/>
    <col min="6404" max="6404" width="16.140625" style="27" bestFit="1" customWidth="1"/>
    <col min="6405" max="6405" width="16.42578125" style="27" bestFit="1" customWidth="1"/>
    <col min="6406" max="6411" width="9.140625" style="27"/>
    <col min="6412" max="6412" width="10.140625" style="27" customWidth="1"/>
    <col min="6413" max="6416" width="9.140625" style="27"/>
    <col min="6417" max="6417" width="10" style="27" customWidth="1"/>
    <col min="6418" max="6657" width="9.140625" style="27"/>
    <col min="6658" max="6658" width="33.85546875" style="27" bestFit="1" customWidth="1"/>
    <col min="6659" max="6659" width="16.42578125" style="27" bestFit="1" customWidth="1"/>
    <col min="6660" max="6660" width="16.140625" style="27" bestFit="1" customWidth="1"/>
    <col min="6661" max="6661" width="16.42578125" style="27" bestFit="1" customWidth="1"/>
    <col min="6662" max="6667" width="9.140625" style="27"/>
    <col min="6668" max="6668" width="10.140625" style="27" customWidth="1"/>
    <col min="6669" max="6672" width="9.140625" style="27"/>
    <col min="6673" max="6673" width="10" style="27" customWidth="1"/>
    <col min="6674" max="6913" width="9.140625" style="27"/>
    <col min="6914" max="6914" width="33.85546875" style="27" bestFit="1" customWidth="1"/>
    <col min="6915" max="6915" width="16.42578125" style="27" bestFit="1" customWidth="1"/>
    <col min="6916" max="6916" width="16.140625" style="27" bestFit="1" customWidth="1"/>
    <col min="6917" max="6917" width="16.42578125" style="27" bestFit="1" customWidth="1"/>
    <col min="6918" max="6923" width="9.140625" style="27"/>
    <col min="6924" max="6924" width="10.140625" style="27" customWidth="1"/>
    <col min="6925" max="6928" width="9.140625" style="27"/>
    <col min="6929" max="6929" width="10" style="27" customWidth="1"/>
    <col min="6930" max="7169" width="9.140625" style="27"/>
    <col min="7170" max="7170" width="33.85546875" style="27" bestFit="1" customWidth="1"/>
    <col min="7171" max="7171" width="16.42578125" style="27" bestFit="1" customWidth="1"/>
    <col min="7172" max="7172" width="16.140625" style="27" bestFit="1" customWidth="1"/>
    <col min="7173" max="7173" width="16.42578125" style="27" bestFit="1" customWidth="1"/>
    <col min="7174" max="7179" width="9.140625" style="27"/>
    <col min="7180" max="7180" width="10.140625" style="27" customWidth="1"/>
    <col min="7181" max="7184" width="9.140625" style="27"/>
    <col min="7185" max="7185" width="10" style="27" customWidth="1"/>
    <col min="7186" max="7425" width="9.140625" style="27"/>
    <col min="7426" max="7426" width="33.85546875" style="27" bestFit="1" customWidth="1"/>
    <col min="7427" max="7427" width="16.42578125" style="27" bestFit="1" customWidth="1"/>
    <col min="7428" max="7428" width="16.140625" style="27" bestFit="1" customWidth="1"/>
    <col min="7429" max="7429" width="16.42578125" style="27" bestFit="1" customWidth="1"/>
    <col min="7430" max="7435" width="9.140625" style="27"/>
    <col min="7436" max="7436" width="10.140625" style="27" customWidth="1"/>
    <col min="7437" max="7440" width="9.140625" style="27"/>
    <col min="7441" max="7441" width="10" style="27" customWidth="1"/>
    <col min="7442" max="7681" width="9.140625" style="27"/>
    <col min="7682" max="7682" width="33.85546875" style="27" bestFit="1" customWidth="1"/>
    <col min="7683" max="7683" width="16.42578125" style="27" bestFit="1" customWidth="1"/>
    <col min="7684" max="7684" width="16.140625" style="27" bestFit="1" customWidth="1"/>
    <col min="7685" max="7685" width="16.42578125" style="27" bestFit="1" customWidth="1"/>
    <col min="7686" max="7691" width="9.140625" style="27"/>
    <col min="7692" max="7692" width="10.140625" style="27" customWidth="1"/>
    <col min="7693" max="7696" width="9.140625" style="27"/>
    <col min="7697" max="7697" width="10" style="27" customWidth="1"/>
    <col min="7698" max="7937" width="9.140625" style="27"/>
    <col min="7938" max="7938" width="33.85546875" style="27" bestFit="1" customWidth="1"/>
    <col min="7939" max="7939" width="16.42578125" style="27" bestFit="1" customWidth="1"/>
    <col min="7940" max="7940" width="16.140625" style="27" bestFit="1" customWidth="1"/>
    <col min="7941" max="7941" width="16.42578125" style="27" bestFit="1" customWidth="1"/>
    <col min="7942" max="7947" width="9.140625" style="27"/>
    <col min="7948" max="7948" width="10.140625" style="27" customWidth="1"/>
    <col min="7949" max="7952" width="9.140625" style="27"/>
    <col min="7953" max="7953" width="10" style="27" customWidth="1"/>
    <col min="7954" max="8193" width="9.140625" style="27"/>
    <col min="8194" max="8194" width="33.85546875" style="27" bestFit="1" customWidth="1"/>
    <col min="8195" max="8195" width="16.42578125" style="27" bestFit="1" customWidth="1"/>
    <col min="8196" max="8196" width="16.140625" style="27" bestFit="1" customWidth="1"/>
    <col min="8197" max="8197" width="16.42578125" style="27" bestFit="1" customWidth="1"/>
    <col min="8198" max="8203" width="9.140625" style="27"/>
    <col min="8204" max="8204" width="10.140625" style="27" customWidth="1"/>
    <col min="8205" max="8208" width="9.140625" style="27"/>
    <col min="8209" max="8209" width="10" style="27" customWidth="1"/>
    <col min="8210" max="8449" width="9.140625" style="27"/>
    <col min="8450" max="8450" width="33.85546875" style="27" bestFit="1" customWidth="1"/>
    <col min="8451" max="8451" width="16.42578125" style="27" bestFit="1" customWidth="1"/>
    <col min="8452" max="8452" width="16.140625" style="27" bestFit="1" customWidth="1"/>
    <col min="8453" max="8453" width="16.42578125" style="27" bestFit="1" customWidth="1"/>
    <col min="8454" max="8459" width="9.140625" style="27"/>
    <col min="8460" max="8460" width="10.140625" style="27" customWidth="1"/>
    <col min="8461" max="8464" width="9.140625" style="27"/>
    <col min="8465" max="8465" width="10" style="27" customWidth="1"/>
    <col min="8466" max="8705" width="9.140625" style="27"/>
    <col min="8706" max="8706" width="33.85546875" style="27" bestFit="1" customWidth="1"/>
    <col min="8707" max="8707" width="16.42578125" style="27" bestFit="1" customWidth="1"/>
    <col min="8708" max="8708" width="16.140625" style="27" bestFit="1" customWidth="1"/>
    <col min="8709" max="8709" width="16.42578125" style="27" bestFit="1" customWidth="1"/>
    <col min="8710" max="8715" width="9.140625" style="27"/>
    <col min="8716" max="8716" width="10.140625" style="27" customWidth="1"/>
    <col min="8717" max="8720" width="9.140625" style="27"/>
    <col min="8721" max="8721" width="10" style="27" customWidth="1"/>
    <col min="8722" max="8961" width="9.140625" style="27"/>
    <col min="8962" max="8962" width="33.85546875" style="27" bestFit="1" customWidth="1"/>
    <col min="8963" max="8963" width="16.42578125" style="27" bestFit="1" customWidth="1"/>
    <col min="8964" max="8964" width="16.140625" style="27" bestFit="1" customWidth="1"/>
    <col min="8965" max="8965" width="16.42578125" style="27" bestFit="1" customWidth="1"/>
    <col min="8966" max="8971" width="9.140625" style="27"/>
    <col min="8972" max="8972" width="10.140625" style="27" customWidth="1"/>
    <col min="8973" max="8976" width="9.140625" style="27"/>
    <col min="8977" max="8977" width="10" style="27" customWidth="1"/>
    <col min="8978" max="9217" width="9.140625" style="27"/>
    <col min="9218" max="9218" width="33.85546875" style="27" bestFit="1" customWidth="1"/>
    <col min="9219" max="9219" width="16.42578125" style="27" bestFit="1" customWidth="1"/>
    <col min="9220" max="9220" width="16.140625" style="27" bestFit="1" customWidth="1"/>
    <col min="9221" max="9221" width="16.42578125" style="27" bestFit="1" customWidth="1"/>
    <col min="9222" max="9227" width="9.140625" style="27"/>
    <col min="9228" max="9228" width="10.140625" style="27" customWidth="1"/>
    <col min="9229" max="9232" width="9.140625" style="27"/>
    <col min="9233" max="9233" width="10" style="27" customWidth="1"/>
    <col min="9234" max="9473" width="9.140625" style="27"/>
    <col min="9474" max="9474" width="33.85546875" style="27" bestFit="1" customWidth="1"/>
    <col min="9475" max="9475" width="16.42578125" style="27" bestFit="1" customWidth="1"/>
    <col min="9476" max="9476" width="16.140625" style="27" bestFit="1" customWidth="1"/>
    <col min="9477" max="9477" width="16.42578125" style="27" bestFit="1" customWidth="1"/>
    <col min="9478" max="9483" width="9.140625" style="27"/>
    <col min="9484" max="9484" width="10.140625" style="27" customWidth="1"/>
    <col min="9485" max="9488" width="9.140625" style="27"/>
    <col min="9489" max="9489" width="10" style="27" customWidth="1"/>
    <col min="9490" max="9729" width="9.140625" style="27"/>
    <col min="9730" max="9730" width="33.85546875" style="27" bestFit="1" customWidth="1"/>
    <col min="9731" max="9731" width="16.42578125" style="27" bestFit="1" customWidth="1"/>
    <col min="9732" max="9732" width="16.140625" style="27" bestFit="1" customWidth="1"/>
    <col min="9733" max="9733" width="16.42578125" style="27" bestFit="1" customWidth="1"/>
    <col min="9734" max="9739" width="9.140625" style="27"/>
    <col min="9740" max="9740" width="10.140625" style="27" customWidth="1"/>
    <col min="9741" max="9744" width="9.140625" style="27"/>
    <col min="9745" max="9745" width="10" style="27" customWidth="1"/>
    <col min="9746" max="9985" width="9.140625" style="27"/>
    <col min="9986" max="9986" width="33.85546875" style="27" bestFit="1" customWidth="1"/>
    <col min="9987" max="9987" width="16.42578125" style="27" bestFit="1" customWidth="1"/>
    <col min="9988" max="9988" width="16.140625" style="27" bestFit="1" customWidth="1"/>
    <col min="9989" max="9989" width="16.42578125" style="27" bestFit="1" customWidth="1"/>
    <col min="9990" max="9995" width="9.140625" style="27"/>
    <col min="9996" max="9996" width="10.140625" style="27" customWidth="1"/>
    <col min="9997" max="10000" width="9.140625" style="27"/>
    <col min="10001" max="10001" width="10" style="27" customWidth="1"/>
    <col min="10002" max="10241" width="9.140625" style="27"/>
    <col min="10242" max="10242" width="33.85546875" style="27" bestFit="1" customWidth="1"/>
    <col min="10243" max="10243" width="16.42578125" style="27" bestFit="1" customWidth="1"/>
    <col min="10244" max="10244" width="16.140625" style="27" bestFit="1" customWidth="1"/>
    <col min="10245" max="10245" width="16.42578125" style="27" bestFit="1" customWidth="1"/>
    <col min="10246" max="10251" width="9.140625" style="27"/>
    <col min="10252" max="10252" width="10.140625" style="27" customWidth="1"/>
    <col min="10253" max="10256" width="9.140625" style="27"/>
    <col min="10257" max="10257" width="10" style="27" customWidth="1"/>
    <col min="10258" max="10497" width="9.140625" style="27"/>
    <col min="10498" max="10498" width="33.85546875" style="27" bestFit="1" customWidth="1"/>
    <col min="10499" max="10499" width="16.42578125" style="27" bestFit="1" customWidth="1"/>
    <col min="10500" max="10500" width="16.140625" style="27" bestFit="1" customWidth="1"/>
    <col min="10501" max="10501" width="16.42578125" style="27" bestFit="1" customWidth="1"/>
    <col min="10502" max="10507" width="9.140625" style="27"/>
    <col min="10508" max="10508" width="10.140625" style="27" customWidth="1"/>
    <col min="10509" max="10512" width="9.140625" style="27"/>
    <col min="10513" max="10513" width="10" style="27" customWidth="1"/>
    <col min="10514" max="10753" width="9.140625" style="27"/>
    <col min="10754" max="10754" width="33.85546875" style="27" bestFit="1" customWidth="1"/>
    <col min="10755" max="10755" width="16.42578125" style="27" bestFit="1" customWidth="1"/>
    <col min="10756" max="10756" width="16.140625" style="27" bestFit="1" customWidth="1"/>
    <col min="10757" max="10757" width="16.42578125" style="27" bestFit="1" customWidth="1"/>
    <col min="10758" max="10763" width="9.140625" style="27"/>
    <col min="10764" max="10764" width="10.140625" style="27" customWidth="1"/>
    <col min="10765" max="10768" width="9.140625" style="27"/>
    <col min="10769" max="10769" width="10" style="27" customWidth="1"/>
    <col min="10770" max="11009" width="9.140625" style="27"/>
    <col min="11010" max="11010" width="33.85546875" style="27" bestFit="1" customWidth="1"/>
    <col min="11011" max="11011" width="16.42578125" style="27" bestFit="1" customWidth="1"/>
    <col min="11012" max="11012" width="16.140625" style="27" bestFit="1" customWidth="1"/>
    <col min="11013" max="11013" width="16.42578125" style="27" bestFit="1" customWidth="1"/>
    <col min="11014" max="11019" width="9.140625" style="27"/>
    <col min="11020" max="11020" width="10.140625" style="27" customWidth="1"/>
    <col min="11021" max="11024" width="9.140625" style="27"/>
    <col min="11025" max="11025" width="10" style="27" customWidth="1"/>
    <col min="11026" max="11265" width="9.140625" style="27"/>
    <col min="11266" max="11266" width="33.85546875" style="27" bestFit="1" customWidth="1"/>
    <col min="11267" max="11267" width="16.42578125" style="27" bestFit="1" customWidth="1"/>
    <col min="11268" max="11268" width="16.140625" style="27" bestFit="1" customWidth="1"/>
    <col min="11269" max="11269" width="16.42578125" style="27" bestFit="1" customWidth="1"/>
    <col min="11270" max="11275" width="9.140625" style="27"/>
    <col min="11276" max="11276" width="10.140625" style="27" customWidth="1"/>
    <col min="11277" max="11280" width="9.140625" style="27"/>
    <col min="11281" max="11281" width="10" style="27" customWidth="1"/>
    <col min="11282" max="11521" width="9.140625" style="27"/>
    <col min="11522" max="11522" width="33.85546875" style="27" bestFit="1" customWidth="1"/>
    <col min="11523" max="11523" width="16.42578125" style="27" bestFit="1" customWidth="1"/>
    <col min="11524" max="11524" width="16.140625" style="27" bestFit="1" customWidth="1"/>
    <col min="11525" max="11525" width="16.42578125" style="27" bestFit="1" customWidth="1"/>
    <col min="11526" max="11531" width="9.140625" style="27"/>
    <col min="11532" max="11532" width="10.140625" style="27" customWidth="1"/>
    <col min="11533" max="11536" width="9.140625" style="27"/>
    <col min="11537" max="11537" width="10" style="27" customWidth="1"/>
    <col min="11538" max="11777" width="9.140625" style="27"/>
    <col min="11778" max="11778" width="33.85546875" style="27" bestFit="1" customWidth="1"/>
    <col min="11779" max="11779" width="16.42578125" style="27" bestFit="1" customWidth="1"/>
    <col min="11780" max="11780" width="16.140625" style="27" bestFit="1" customWidth="1"/>
    <col min="11781" max="11781" width="16.42578125" style="27" bestFit="1" customWidth="1"/>
    <col min="11782" max="11787" width="9.140625" style="27"/>
    <col min="11788" max="11788" width="10.140625" style="27" customWidth="1"/>
    <col min="11789" max="11792" width="9.140625" style="27"/>
    <col min="11793" max="11793" width="10" style="27" customWidth="1"/>
    <col min="11794" max="12033" width="9.140625" style="27"/>
    <col min="12034" max="12034" width="33.85546875" style="27" bestFit="1" customWidth="1"/>
    <col min="12035" max="12035" width="16.42578125" style="27" bestFit="1" customWidth="1"/>
    <col min="12036" max="12036" width="16.140625" style="27" bestFit="1" customWidth="1"/>
    <col min="12037" max="12037" width="16.42578125" style="27" bestFit="1" customWidth="1"/>
    <col min="12038" max="12043" width="9.140625" style="27"/>
    <col min="12044" max="12044" width="10.140625" style="27" customWidth="1"/>
    <col min="12045" max="12048" width="9.140625" style="27"/>
    <col min="12049" max="12049" width="10" style="27" customWidth="1"/>
    <col min="12050" max="12289" width="9.140625" style="27"/>
    <col min="12290" max="12290" width="33.85546875" style="27" bestFit="1" customWidth="1"/>
    <col min="12291" max="12291" width="16.42578125" style="27" bestFit="1" customWidth="1"/>
    <col min="12292" max="12292" width="16.140625" style="27" bestFit="1" customWidth="1"/>
    <col min="12293" max="12293" width="16.42578125" style="27" bestFit="1" customWidth="1"/>
    <col min="12294" max="12299" width="9.140625" style="27"/>
    <col min="12300" max="12300" width="10.140625" style="27" customWidth="1"/>
    <col min="12301" max="12304" width="9.140625" style="27"/>
    <col min="12305" max="12305" width="10" style="27" customWidth="1"/>
    <col min="12306" max="12545" width="9.140625" style="27"/>
    <col min="12546" max="12546" width="33.85546875" style="27" bestFit="1" customWidth="1"/>
    <col min="12547" max="12547" width="16.42578125" style="27" bestFit="1" customWidth="1"/>
    <col min="12548" max="12548" width="16.140625" style="27" bestFit="1" customWidth="1"/>
    <col min="12549" max="12549" width="16.42578125" style="27" bestFit="1" customWidth="1"/>
    <col min="12550" max="12555" width="9.140625" style="27"/>
    <col min="12556" max="12556" width="10.140625" style="27" customWidth="1"/>
    <col min="12557" max="12560" width="9.140625" style="27"/>
    <col min="12561" max="12561" width="10" style="27" customWidth="1"/>
    <col min="12562" max="12801" width="9.140625" style="27"/>
    <col min="12802" max="12802" width="33.85546875" style="27" bestFit="1" customWidth="1"/>
    <col min="12803" max="12803" width="16.42578125" style="27" bestFit="1" customWidth="1"/>
    <col min="12804" max="12804" width="16.140625" style="27" bestFit="1" customWidth="1"/>
    <col min="12805" max="12805" width="16.42578125" style="27" bestFit="1" customWidth="1"/>
    <col min="12806" max="12811" width="9.140625" style="27"/>
    <col min="12812" max="12812" width="10.140625" style="27" customWidth="1"/>
    <col min="12813" max="12816" width="9.140625" style="27"/>
    <col min="12817" max="12817" width="10" style="27" customWidth="1"/>
    <col min="12818" max="13057" width="9.140625" style="27"/>
    <col min="13058" max="13058" width="33.85546875" style="27" bestFit="1" customWidth="1"/>
    <col min="13059" max="13059" width="16.42578125" style="27" bestFit="1" customWidth="1"/>
    <col min="13060" max="13060" width="16.140625" style="27" bestFit="1" customWidth="1"/>
    <col min="13061" max="13061" width="16.42578125" style="27" bestFit="1" customWidth="1"/>
    <col min="13062" max="13067" width="9.140625" style="27"/>
    <col min="13068" max="13068" width="10.140625" style="27" customWidth="1"/>
    <col min="13069" max="13072" width="9.140625" style="27"/>
    <col min="13073" max="13073" width="10" style="27" customWidth="1"/>
    <col min="13074" max="13313" width="9.140625" style="27"/>
    <col min="13314" max="13314" width="33.85546875" style="27" bestFit="1" customWidth="1"/>
    <col min="13315" max="13315" width="16.42578125" style="27" bestFit="1" customWidth="1"/>
    <col min="13316" max="13316" width="16.140625" style="27" bestFit="1" customWidth="1"/>
    <col min="13317" max="13317" width="16.42578125" style="27" bestFit="1" customWidth="1"/>
    <col min="13318" max="13323" width="9.140625" style="27"/>
    <col min="13324" max="13324" width="10.140625" style="27" customWidth="1"/>
    <col min="13325" max="13328" width="9.140625" style="27"/>
    <col min="13329" max="13329" width="10" style="27" customWidth="1"/>
    <col min="13330" max="13569" width="9.140625" style="27"/>
    <col min="13570" max="13570" width="33.85546875" style="27" bestFit="1" customWidth="1"/>
    <col min="13571" max="13571" width="16.42578125" style="27" bestFit="1" customWidth="1"/>
    <col min="13572" max="13572" width="16.140625" style="27" bestFit="1" customWidth="1"/>
    <col min="13573" max="13573" width="16.42578125" style="27" bestFit="1" customWidth="1"/>
    <col min="13574" max="13579" width="9.140625" style="27"/>
    <col min="13580" max="13580" width="10.140625" style="27" customWidth="1"/>
    <col min="13581" max="13584" width="9.140625" style="27"/>
    <col min="13585" max="13585" width="10" style="27" customWidth="1"/>
    <col min="13586" max="13825" width="9.140625" style="27"/>
    <col min="13826" max="13826" width="33.85546875" style="27" bestFit="1" customWidth="1"/>
    <col min="13827" max="13827" width="16.42578125" style="27" bestFit="1" customWidth="1"/>
    <col min="13828" max="13828" width="16.140625" style="27" bestFit="1" customWidth="1"/>
    <col min="13829" max="13829" width="16.42578125" style="27" bestFit="1" customWidth="1"/>
    <col min="13830" max="13835" width="9.140625" style="27"/>
    <col min="13836" max="13836" width="10.140625" style="27" customWidth="1"/>
    <col min="13837" max="13840" width="9.140625" style="27"/>
    <col min="13841" max="13841" width="10" style="27" customWidth="1"/>
    <col min="13842" max="14081" width="9.140625" style="27"/>
    <col min="14082" max="14082" width="33.85546875" style="27" bestFit="1" customWidth="1"/>
    <col min="14083" max="14083" width="16.42578125" style="27" bestFit="1" customWidth="1"/>
    <col min="14084" max="14084" width="16.140625" style="27" bestFit="1" customWidth="1"/>
    <col min="14085" max="14085" width="16.42578125" style="27" bestFit="1" customWidth="1"/>
    <col min="14086" max="14091" width="9.140625" style="27"/>
    <col min="14092" max="14092" width="10.140625" style="27" customWidth="1"/>
    <col min="14093" max="14096" width="9.140625" style="27"/>
    <col min="14097" max="14097" width="10" style="27" customWidth="1"/>
    <col min="14098" max="14337" width="9.140625" style="27"/>
    <col min="14338" max="14338" width="33.85546875" style="27" bestFit="1" customWidth="1"/>
    <col min="14339" max="14339" width="16.42578125" style="27" bestFit="1" customWidth="1"/>
    <col min="14340" max="14340" width="16.140625" style="27" bestFit="1" customWidth="1"/>
    <col min="14341" max="14341" width="16.42578125" style="27" bestFit="1" customWidth="1"/>
    <col min="14342" max="14347" width="9.140625" style="27"/>
    <col min="14348" max="14348" width="10.140625" style="27" customWidth="1"/>
    <col min="14349" max="14352" width="9.140625" style="27"/>
    <col min="14353" max="14353" width="10" style="27" customWidth="1"/>
    <col min="14354" max="14593" width="9.140625" style="27"/>
    <col min="14594" max="14594" width="33.85546875" style="27" bestFit="1" customWidth="1"/>
    <col min="14595" max="14595" width="16.42578125" style="27" bestFit="1" customWidth="1"/>
    <col min="14596" max="14596" width="16.140625" style="27" bestFit="1" customWidth="1"/>
    <col min="14597" max="14597" width="16.42578125" style="27" bestFit="1" customWidth="1"/>
    <col min="14598" max="14603" width="9.140625" style="27"/>
    <col min="14604" max="14604" width="10.140625" style="27" customWidth="1"/>
    <col min="14605" max="14608" width="9.140625" style="27"/>
    <col min="14609" max="14609" width="10" style="27" customWidth="1"/>
    <col min="14610" max="14849" width="9.140625" style="27"/>
    <col min="14850" max="14850" width="33.85546875" style="27" bestFit="1" customWidth="1"/>
    <col min="14851" max="14851" width="16.42578125" style="27" bestFit="1" customWidth="1"/>
    <col min="14852" max="14852" width="16.140625" style="27" bestFit="1" customWidth="1"/>
    <col min="14853" max="14853" width="16.42578125" style="27" bestFit="1" customWidth="1"/>
    <col min="14854" max="14859" width="9.140625" style="27"/>
    <col min="14860" max="14860" width="10.140625" style="27" customWidth="1"/>
    <col min="14861" max="14864" width="9.140625" style="27"/>
    <col min="14865" max="14865" width="10" style="27" customWidth="1"/>
    <col min="14866" max="15105" width="9.140625" style="27"/>
    <col min="15106" max="15106" width="33.85546875" style="27" bestFit="1" customWidth="1"/>
    <col min="15107" max="15107" width="16.42578125" style="27" bestFit="1" customWidth="1"/>
    <col min="15108" max="15108" width="16.140625" style="27" bestFit="1" customWidth="1"/>
    <col min="15109" max="15109" width="16.42578125" style="27" bestFit="1" customWidth="1"/>
    <col min="15110" max="15115" width="9.140625" style="27"/>
    <col min="15116" max="15116" width="10.140625" style="27" customWidth="1"/>
    <col min="15117" max="15120" width="9.140625" style="27"/>
    <col min="15121" max="15121" width="10" style="27" customWidth="1"/>
    <col min="15122" max="15361" width="9.140625" style="27"/>
    <col min="15362" max="15362" width="33.85546875" style="27" bestFit="1" customWidth="1"/>
    <col min="15363" max="15363" width="16.42578125" style="27" bestFit="1" customWidth="1"/>
    <col min="15364" max="15364" width="16.140625" style="27" bestFit="1" customWidth="1"/>
    <col min="15365" max="15365" width="16.42578125" style="27" bestFit="1" customWidth="1"/>
    <col min="15366" max="15371" width="9.140625" style="27"/>
    <col min="15372" max="15372" width="10.140625" style="27" customWidth="1"/>
    <col min="15373" max="15376" width="9.140625" style="27"/>
    <col min="15377" max="15377" width="10" style="27" customWidth="1"/>
    <col min="15378" max="15617" width="9.140625" style="27"/>
    <col min="15618" max="15618" width="33.85546875" style="27" bestFit="1" customWidth="1"/>
    <col min="15619" max="15619" width="16.42578125" style="27" bestFit="1" customWidth="1"/>
    <col min="15620" max="15620" width="16.140625" style="27" bestFit="1" customWidth="1"/>
    <col min="15621" max="15621" width="16.42578125" style="27" bestFit="1" customWidth="1"/>
    <col min="15622" max="15627" width="9.140625" style="27"/>
    <col min="15628" max="15628" width="10.140625" style="27" customWidth="1"/>
    <col min="15629" max="15632" width="9.140625" style="27"/>
    <col min="15633" max="15633" width="10" style="27" customWidth="1"/>
    <col min="15634" max="15873" width="9.140625" style="27"/>
    <col min="15874" max="15874" width="33.85546875" style="27" bestFit="1" customWidth="1"/>
    <col min="15875" max="15875" width="16.42578125" style="27" bestFit="1" customWidth="1"/>
    <col min="15876" max="15876" width="16.140625" style="27" bestFit="1" customWidth="1"/>
    <col min="15877" max="15877" width="16.42578125" style="27" bestFit="1" customWidth="1"/>
    <col min="15878" max="15883" width="9.140625" style="27"/>
    <col min="15884" max="15884" width="10.140625" style="27" customWidth="1"/>
    <col min="15885" max="15888" width="9.140625" style="27"/>
    <col min="15889" max="15889" width="10" style="27" customWidth="1"/>
    <col min="15890" max="16129" width="9.140625" style="27"/>
    <col min="16130" max="16130" width="33.85546875" style="27" bestFit="1" customWidth="1"/>
    <col min="16131" max="16131" width="16.42578125" style="27" bestFit="1" customWidth="1"/>
    <col min="16132" max="16132" width="16.140625" style="27" bestFit="1" customWidth="1"/>
    <col min="16133" max="16133" width="16.42578125" style="27" bestFit="1" customWidth="1"/>
    <col min="16134" max="16139" width="9.140625" style="27"/>
    <col min="16140" max="16140" width="10.140625" style="27" customWidth="1"/>
    <col min="16141" max="16144" width="9.140625" style="27"/>
    <col min="16145" max="16145" width="10" style="27" customWidth="1"/>
    <col min="16146" max="16384" width="9.140625" style="27"/>
  </cols>
  <sheetData>
    <row r="1" spans="1:19" ht="14.25" customHeight="1">
      <c r="A1" s="2732" t="s">
        <v>2700</v>
      </c>
      <c r="B1" s="2733"/>
      <c r="C1" s="2733"/>
      <c r="D1" s="2733"/>
      <c r="E1" s="2733"/>
      <c r="F1" s="1719"/>
      <c r="G1" s="1719"/>
      <c r="H1" s="1719"/>
      <c r="I1" s="1719"/>
      <c r="J1" s="1719"/>
      <c r="K1" s="1719"/>
      <c r="L1" s="1719"/>
      <c r="M1" s="1719"/>
      <c r="N1" s="1719"/>
      <c r="O1" s="1719"/>
      <c r="P1" s="1719"/>
      <c r="Q1" s="1719"/>
      <c r="R1" s="1719"/>
      <c r="S1" s="1719"/>
    </row>
    <row r="2" spans="1:19">
      <c r="A2" s="1719"/>
      <c r="B2" s="1719"/>
      <c r="C2" s="1719"/>
      <c r="D2" s="1719"/>
      <c r="E2" s="1719"/>
      <c r="F2" s="1719"/>
      <c r="G2" s="1719"/>
      <c r="H2" s="1719"/>
      <c r="I2" s="1719"/>
      <c r="J2" s="1719"/>
      <c r="K2" s="1719"/>
      <c r="L2" s="1719"/>
      <c r="M2" s="1719"/>
      <c r="N2" s="1719"/>
      <c r="O2" s="1719"/>
      <c r="P2" s="1719"/>
      <c r="Q2" s="1719"/>
      <c r="R2" s="1719"/>
      <c r="S2" s="1719"/>
    </row>
    <row r="3" spans="1:19" ht="30.75" customHeight="1">
      <c r="A3" s="1720" t="s">
        <v>746</v>
      </c>
      <c r="B3" s="1720" t="s">
        <v>887</v>
      </c>
      <c r="C3" s="2282" t="s">
        <v>2701</v>
      </c>
      <c r="D3" s="2282" t="s">
        <v>2702</v>
      </c>
      <c r="E3" s="2282" t="s">
        <v>2703</v>
      </c>
      <c r="F3" s="1719"/>
      <c r="G3" s="1719"/>
      <c r="H3" s="1719"/>
      <c r="I3" s="1719"/>
      <c r="J3" s="1719"/>
      <c r="K3" s="1719"/>
      <c r="L3" s="1719"/>
      <c r="M3" s="1719"/>
      <c r="N3" s="1719"/>
      <c r="O3" s="1719"/>
      <c r="P3" s="1719"/>
      <c r="Q3" s="1719"/>
      <c r="R3" s="1719"/>
      <c r="S3" s="1719"/>
    </row>
    <row r="4" spans="1:19">
      <c r="A4" s="2293">
        <v>1</v>
      </c>
      <c r="B4" s="2295" t="s">
        <v>981</v>
      </c>
      <c r="C4" s="2281"/>
      <c r="D4" s="2353">
        <f>'Interest New'!H34/100</f>
        <v>73.613682080727983</v>
      </c>
      <c r="E4" s="2353">
        <f>'Interest New'!I34/100</f>
        <v>83.795861219387902</v>
      </c>
      <c r="F4" s="1719"/>
      <c r="G4" s="1719"/>
      <c r="H4" s="1719"/>
      <c r="I4" s="1719"/>
      <c r="J4" s="1719"/>
      <c r="K4" s="1719"/>
      <c r="L4" s="1719"/>
      <c r="M4" s="1719"/>
      <c r="N4" s="1719"/>
      <c r="O4" s="1719"/>
      <c r="P4" s="1719"/>
      <c r="Q4" s="1719"/>
      <c r="R4" s="1719"/>
      <c r="S4" s="1719"/>
    </row>
    <row r="5" spans="1:19" ht="28.5">
      <c r="A5" s="2293">
        <v>2</v>
      </c>
      <c r="B5" s="257" t="s">
        <v>983</v>
      </c>
      <c r="C5" s="2281"/>
      <c r="D5" s="2353">
        <f>'Interest New'!H35/100</f>
        <v>4.2852204233668161</v>
      </c>
      <c r="E5" s="2353">
        <f>'Interest New'!I35/100</f>
        <v>5.3574308751757833</v>
      </c>
      <c r="F5" s="1723"/>
      <c r="G5" s="1719"/>
      <c r="H5" s="1719"/>
      <c r="I5" s="1719"/>
      <c r="J5" s="1719"/>
      <c r="K5" s="1719"/>
      <c r="L5" s="1719"/>
      <c r="M5" s="1719"/>
      <c r="N5" s="1719"/>
      <c r="O5" s="1719"/>
      <c r="P5" s="1719"/>
      <c r="Q5" s="1719"/>
      <c r="R5" s="1719"/>
      <c r="S5" s="1719"/>
    </row>
    <row r="6" spans="1:19" ht="28.5">
      <c r="A6" s="2293">
        <v>3</v>
      </c>
      <c r="B6" s="257" t="s">
        <v>984</v>
      </c>
      <c r="C6" s="2281"/>
      <c r="D6" s="2353">
        <f>'Interest New'!H36/100</f>
        <v>309.53766441628727</v>
      </c>
      <c r="E6" s="2353">
        <f>'Interest New'!I36/100</f>
        <v>337.40963716825297</v>
      </c>
      <c r="F6" s="1719"/>
      <c r="G6" s="1719"/>
      <c r="H6" s="1719"/>
      <c r="I6" s="1719"/>
      <c r="J6" s="1719"/>
      <c r="K6" s="1719"/>
      <c r="L6" s="1719"/>
      <c r="M6" s="1719"/>
      <c r="N6" s="1719"/>
      <c r="O6" s="1719"/>
      <c r="P6" s="1719"/>
      <c r="Q6" s="1719"/>
      <c r="R6" s="1719"/>
      <c r="S6" s="1719"/>
    </row>
    <row r="7" spans="1:19">
      <c r="A7" s="2293">
        <v>4</v>
      </c>
      <c r="B7" s="2295" t="s">
        <v>1225</v>
      </c>
      <c r="C7" s="2281"/>
      <c r="D7" s="2353">
        <f>SUM(D4:D6)</f>
        <v>387.43656692038206</v>
      </c>
      <c r="E7" s="2353">
        <f>SUM(E4:E6)</f>
        <v>426.56292926281662</v>
      </c>
      <c r="F7" s="1719"/>
      <c r="G7" s="1719"/>
      <c r="H7" s="1719"/>
      <c r="I7" s="1719"/>
      <c r="J7" s="1719"/>
      <c r="K7" s="1719"/>
      <c r="L7" s="1719"/>
      <c r="M7" s="1719"/>
      <c r="N7" s="1719"/>
      <c r="O7" s="1719"/>
      <c r="P7" s="1719"/>
      <c r="Q7" s="1719"/>
      <c r="R7" s="1719"/>
      <c r="S7" s="1719"/>
    </row>
    <row r="8" spans="1:19" ht="28.5">
      <c r="A8" s="2293">
        <v>5</v>
      </c>
      <c r="B8" s="2295" t="s">
        <v>985</v>
      </c>
      <c r="C8" s="2281"/>
      <c r="D8" s="2353">
        <f>'Interest New'!H38/100</f>
        <v>10.395546866655001</v>
      </c>
      <c r="E8" s="2353">
        <f>'Interest New'!I38/100</f>
        <v>10.395546866655001</v>
      </c>
      <c r="F8" s="1719"/>
      <c r="G8" s="1719"/>
      <c r="H8" s="1719"/>
      <c r="I8" s="1719"/>
      <c r="J8" s="1719"/>
      <c r="K8" s="1719"/>
      <c r="L8" s="1719"/>
      <c r="M8" s="1719"/>
      <c r="N8" s="1719"/>
      <c r="O8" s="1719"/>
      <c r="P8" s="1719"/>
      <c r="Q8" s="1719"/>
      <c r="R8" s="1719"/>
      <c r="S8" s="1719"/>
    </row>
    <row r="9" spans="1:19" ht="28.5">
      <c r="A9" s="2293">
        <v>6</v>
      </c>
      <c r="B9" s="2295" t="s">
        <v>986</v>
      </c>
      <c r="C9" s="2281"/>
      <c r="D9" s="2353">
        <f>D7-D8</f>
        <v>377.04102005372704</v>
      </c>
      <c r="E9" s="2353">
        <f>E7-E8</f>
        <v>416.1673823961616</v>
      </c>
      <c r="F9" s="1719"/>
      <c r="G9" s="1719"/>
      <c r="H9" s="1719"/>
      <c r="I9" s="1719"/>
      <c r="J9" s="1719"/>
      <c r="K9" s="1719"/>
      <c r="L9" s="1719"/>
      <c r="M9" s="1719"/>
      <c r="N9" s="1719"/>
      <c r="O9" s="1719"/>
      <c r="P9" s="1719"/>
      <c r="Q9" s="1719"/>
      <c r="R9" s="1719"/>
      <c r="S9" s="1719"/>
    </row>
    <row r="10" spans="1:19">
      <c r="A10" s="2293">
        <v>7</v>
      </c>
      <c r="B10" s="2295" t="s">
        <v>2704</v>
      </c>
      <c r="C10" s="2281"/>
      <c r="D10" s="2354">
        <f>'Interest New'!H40</f>
        <v>0.115</v>
      </c>
      <c r="E10" s="2354">
        <f>'Interest New'!I40</f>
        <v>0.115</v>
      </c>
      <c r="F10" s="1719"/>
      <c r="G10" s="1719"/>
      <c r="H10" s="1719"/>
      <c r="I10" s="1719"/>
      <c r="J10" s="1719"/>
      <c r="K10" s="1719"/>
      <c r="L10" s="1719"/>
      <c r="M10" s="1719"/>
      <c r="N10" s="1719"/>
      <c r="O10" s="1719"/>
      <c r="P10" s="1719"/>
      <c r="Q10" s="1719"/>
      <c r="R10" s="1719"/>
      <c r="S10" s="1719"/>
    </row>
    <row r="11" spans="1:19" ht="28.5">
      <c r="A11" s="2293">
        <v>8</v>
      </c>
      <c r="B11" s="2295" t="s">
        <v>2705</v>
      </c>
      <c r="C11" s="2281"/>
      <c r="D11" s="2355">
        <f>D9*D10</f>
        <v>43.359717306178609</v>
      </c>
      <c r="E11" s="2355">
        <f>E9*E10</f>
        <v>47.859248975558586</v>
      </c>
      <c r="F11" s="1719"/>
      <c r="G11" s="1719"/>
      <c r="H11" s="1719"/>
      <c r="I11" s="1719"/>
      <c r="J11" s="1719"/>
      <c r="K11" s="1719"/>
      <c r="L11" s="1719"/>
      <c r="M11" s="1719"/>
      <c r="N11" s="1719"/>
      <c r="O11" s="1719"/>
      <c r="P11" s="1719"/>
      <c r="Q11" s="1719"/>
      <c r="R11" s="1719"/>
      <c r="S11" s="1719"/>
    </row>
    <row r="12" spans="1:19" ht="42.75">
      <c r="A12" s="2293"/>
      <c r="B12" s="2295" t="s">
        <v>990</v>
      </c>
      <c r="C12" s="2281"/>
      <c r="D12" s="2294">
        <f>'Interest New'!H42/100</f>
        <v>4</v>
      </c>
      <c r="E12" s="2294">
        <f>'Interest New'!I42/100</f>
        <v>4</v>
      </c>
      <c r="F12" s="1719"/>
      <c r="G12" s="1719"/>
      <c r="H12" s="1719"/>
      <c r="I12" s="1719"/>
      <c r="J12" s="1719"/>
      <c r="K12" s="1719"/>
      <c r="L12" s="1719"/>
      <c r="M12" s="1719"/>
      <c r="N12" s="1719"/>
      <c r="O12" s="1719"/>
      <c r="P12" s="1719"/>
      <c r="Q12" s="1719"/>
      <c r="R12" s="1719"/>
      <c r="S12" s="1719"/>
    </row>
    <row r="13" spans="1:19" ht="15">
      <c r="A13" s="2293"/>
      <c r="B13" s="2295" t="s">
        <v>991</v>
      </c>
      <c r="C13" s="2281"/>
      <c r="D13" s="2355">
        <f>D11+D12</f>
        <v>47.359717306178609</v>
      </c>
      <c r="E13" s="2355">
        <f>E11+E12</f>
        <v>51.859248975558586</v>
      </c>
      <c r="F13" s="1719"/>
      <c r="G13" s="1719"/>
      <c r="H13" s="1719"/>
      <c r="I13" s="1719"/>
      <c r="J13" s="1719"/>
      <c r="K13" s="1719"/>
      <c r="L13" s="1719"/>
      <c r="M13" s="1719"/>
      <c r="N13" s="1719"/>
      <c r="O13" s="1719"/>
      <c r="P13" s="1719"/>
      <c r="Q13" s="1719"/>
      <c r="R13" s="1719"/>
      <c r="S13" s="1719"/>
    </row>
    <row r="14" spans="1:19">
      <c r="A14" s="1719"/>
      <c r="B14" s="1719"/>
      <c r="C14" s="1719"/>
      <c r="D14" s="1719"/>
      <c r="E14" s="1719"/>
      <c r="F14" s="1719"/>
      <c r="G14" s="1719"/>
      <c r="H14" s="1719"/>
      <c r="I14" s="1719"/>
      <c r="J14" s="1719"/>
      <c r="K14" s="1719"/>
      <c r="L14" s="1719"/>
      <c r="M14" s="1719"/>
      <c r="N14" s="1719"/>
      <c r="O14" s="1719"/>
      <c r="P14" s="1719"/>
      <c r="Q14" s="1719"/>
      <c r="R14" s="1719"/>
      <c r="S14" s="1719"/>
    </row>
    <row r="15" spans="1:19">
      <c r="A15" s="1719"/>
      <c r="B15" s="1719"/>
      <c r="C15" s="1719"/>
      <c r="D15" s="1719"/>
      <c r="E15" s="1724"/>
      <c r="F15" s="1719"/>
      <c r="G15" s="1719"/>
      <c r="H15" s="1719"/>
      <c r="I15" s="1719"/>
      <c r="J15" s="1719"/>
      <c r="K15" s="1719"/>
      <c r="L15" s="1719"/>
      <c r="M15" s="1719"/>
      <c r="N15" s="1719"/>
      <c r="O15" s="1719"/>
      <c r="P15" s="1719"/>
      <c r="Q15" s="1719"/>
      <c r="R15" s="1719"/>
      <c r="S15" s="1719"/>
    </row>
    <row r="16" spans="1:19">
      <c r="A16" s="1719"/>
      <c r="B16" s="1719"/>
      <c r="C16" s="1719"/>
      <c r="D16" s="1719"/>
      <c r="E16" s="1719"/>
      <c r="F16" s="1719"/>
      <c r="G16" s="1719"/>
      <c r="H16" s="1719"/>
      <c r="I16" s="1719"/>
      <c r="J16" s="1719"/>
      <c r="K16" s="1719"/>
      <c r="L16" s="1719"/>
      <c r="M16" s="1719"/>
      <c r="N16" s="1719"/>
      <c r="O16" s="1719"/>
      <c r="P16" s="1719"/>
      <c r="Q16" s="1719"/>
      <c r="R16" s="1719"/>
      <c r="S16" s="1719"/>
    </row>
    <row r="17" spans="1:20" ht="15">
      <c r="A17" s="1725" t="s">
        <v>2706</v>
      </c>
      <c r="B17" s="1719"/>
      <c r="C17" s="1719"/>
      <c r="D17" s="1719"/>
      <c r="E17" s="1719"/>
      <c r="F17" s="1719"/>
      <c r="G17" s="1719"/>
      <c r="H17" s="1719"/>
      <c r="I17" s="1719"/>
      <c r="J17" s="1719"/>
      <c r="K17" s="1726"/>
      <c r="L17" s="1719"/>
      <c r="M17" s="1719"/>
      <c r="N17" s="1719"/>
      <c r="O17" s="1719"/>
      <c r="P17" s="1719"/>
      <c r="Q17" s="1719"/>
      <c r="R17" s="1719"/>
      <c r="S17" s="1719"/>
      <c r="T17" s="1727"/>
    </row>
    <row r="18" spans="1:20" ht="15">
      <c r="A18" s="1720" t="s">
        <v>2707</v>
      </c>
      <c r="B18" s="1720" t="s">
        <v>2708</v>
      </c>
      <c r="C18" s="2734" t="s">
        <v>2709</v>
      </c>
      <c r="D18" s="2734"/>
      <c r="E18" s="2734"/>
      <c r="F18" s="2734"/>
      <c r="G18" s="2734"/>
      <c r="H18" s="2734" t="s">
        <v>2710</v>
      </c>
      <c r="I18" s="2734"/>
      <c r="J18" s="2734"/>
      <c r="K18" s="2734"/>
      <c r="L18" s="2734"/>
      <c r="M18" s="2734" t="s">
        <v>2711</v>
      </c>
      <c r="N18" s="2734"/>
      <c r="O18" s="2734"/>
      <c r="P18" s="2734"/>
      <c r="Q18" s="2734"/>
      <c r="R18" s="1725"/>
      <c r="S18" s="1725"/>
      <c r="T18" s="1728"/>
    </row>
    <row r="19" spans="1:20" ht="71.25">
      <c r="A19" s="1721"/>
      <c r="B19" s="1721"/>
      <c r="C19" s="2356" t="s">
        <v>2712</v>
      </c>
      <c r="D19" s="2356" t="s">
        <v>2713</v>
      </c>
      <c r="E19" s="2356" t="s">
        <v>2714</v>
      </c>
      <c r="F19" s="2356" t="s">
        <v>2715</v>
      </c>
      <c r="G19" s="2356" t="s">
        <v>2716</v>
      </c>
      <c r="H19" s="2356" t="s">
        <v>2712</v>
      </c>
      <c r="I19" s="2356" t="s">
        <v>2713</v>
      </c>
      <c r="J19" s="2356" t="s">
        <v>2714</v>
      </c>
      <c r="K19" s="2356" t="s">
        <v>2715</v>
      </c>
      <c r="L19" s="2356" t="s">
        <v>2716</v>
      </c>
      <c r="M19" s="2356" t="s">
        <v>2712</v>
      </c>
      <c r="N19" s="2356" t="s">
        <v>2713</v>
      </c>
      <c r="O19" s="2356" t="s">
        <v>2714</v>
      </c>
      <c r="P19" s="2356" t="s">
        <v>2715</v>
      </c>
      <c r="Q19" s="2356" t="s">
        <v>2716</v>
      </c>
      <c r="R19" s="1719"/>
      <c r="S19" s="1719"/>
    </row>
    <row r="20" spans="1:20" ht="28.5">
      <c r="A20" s="1729">
        <v>1</v>
      </c>
      <c r="B20" s="2352" t="s">
        <v>2717</v>
      </c>
      <c r="C20" s="1722">
        <v>131.96106998100001</v>
      </c>
      <c r="D20" s="1722">
        <v>0</v>
      </c>
      <c r="E20" s="1722">
        <v>37.421069981000002</v>
      </c>
      <c r="F20" s="1722">
        <f>C20+D20-E20</f>
        <v>94.54</v>
      </c>
      <c r="G20" s="1722">
        <v>7.1843871159999999</v>
      </c>
      <c r="H20" s="1722">
        <f>F20</f>
        <v>94.54</v>
      </c>
      <c r="I20" s="1730">
        <f>7.08290888800001+19.742174284*0</f>
        <v>7.0829088880000102</v>
      </c>
      <c r="J20" s="1722">
        <v>0</v>
      </c>
      <c r="K20" s="1722">
        <f>H20+I20-J20</f>
        <v>101.62290888800001</v>
      </c>
      <c r="L20" s="1730">
        <f>K20*11.5%</f>
        <v>11.686634522120002</v>
      </c>
      <c r="M20" s="1722">
        <f>K20</f>
        <v>101.62290888800001</v>
      </c>
      <c r="N20" s="1722">
        <f ca="1">P20-M20</f>
        <v>0</v>
      </c>
      <c r="O20" s="1722">
        <v>0</v>
      </c>
      <c r="P20" s="1722">
        <f ca="1">M20+N20-O20</f>
        <v>101.62290888800001</v>
      </c>
      <c r="Q20" s="1730">
        <f ca="1">P20*11.5%</f>
        <v>11.686634522120002</v>
      </c>
      <c r="R20" s="1731"/>
      <c r="S20" s="1719"/>
      <c r="T20" s="1732"/>
    </row>
    <row r="21" spans="1:20" ht="24" customHeight="1">
      <c r="A21" s="1729">
        <v>2</v>
      </c>
      <c r="B21" s="2352" t="s">
        <v>2718</v>
      </c>
      <c r="C21" s="1722">
        <v>76.195964900000007</v>
      </c>
      <c r="D21" s="1722">
        <v>0</v>
      </c>
      <c r="E21" s="1722">
        <v>1.6736843000000099</v>
      </c>
      <c r="F21" s="1722">
        <f>C21+D21-E21</f>
        <v>74.522280600000002</v>
      </c>
      <c r="G21" s="1722">
        <v>3.97</v>
      </c>
      <c r="H21" s="1722">
        <f>F21</f>
        <v>74.522280600000002</v>
      </c>
      <c r="I21" s="1722"/>
      <c r="J21" s="1722">
        <v>0</v>
      </c>
      <c r="K21" s="1722">
        <f t="shared" ref="K21:K24" si="0">H21+I21-J21</f>
        <v>74.522280600000002</v>
      </c>
      <c r="L21" s="1730">
        <f t="shared" ref="L21:L24" si="1">K21*11.5%</f>
        <v>8.570062269000001</v>
      </c>
      <c r="M21" s="1722">
        <f>K21</f>
        <v>74.522280600000002</v>
      </c>
      <c r="N21" s="1722">
        <f ca="1">P21-M21</f>
        <v>0</v>
      </c>
      <c r="O21" s="1722">
        <v>0</v>
      </c>
      <c r="P21" s="1722">
        <f t="shared" ref="P21:P24" ca="1" si="2">M21+N21-O21</f>
        <v>74.522280600000002</v>
      </c>
      <c r="Q21" s="1730">
        <f t="shared" ref="Q21:Q23" ca="1" si="3">P21*11.5%</f>
        <v>8.570062269000001</v>
      </c>
      <c r="R21" s="1731"/>
      <c r="S21" s="1724"/>
      <c r="T21" s="1732"/>
    </row>
    <row r="22" spans="1:20" ht="28.5">
      <c r="A22" s="1729">
        <v>3</v>
      </c>
      <c r="B22" s="2352" t="s">
        <v>2719</v>
      </c>
      <c r="C22" s="1722">
        <v>18.565891785000002</v>
      </c>
      <c r="D22" s="1722">
        <v>0</v>
      </c>
      <c r="E22" s="1722">
        <v>-6.9518260999998902E-2</v>
      </c>
      <c r="F22" s="1722">
        <f>C22+D22-E22</f>
        <v>18.635410046000001</v>
      </c>
      <c r="G22" s="1722">
        <v>1.0252795690000001</v>
      </c>
      <c r="H22" s="1722">
        <f>F22</f>
        <v>18.635410046000001</v>
      </c>
      <c r="I22" s="1722"/>
      <c r="J22" s="1722"/>
      <c r="K22" s="1722">
        <f t="shared" si="0"/>
        <v>18.635410046000001</v>
      </c>
      <c r="L22" s="1730">
        <f t="shared" si="1"/>
        <v>2.1430721552900001</v>
      </c>
      <c r="M22" s="1722">
        <f>K22</f>
        <v>18.635410046000001</v>
      </c>
      <c r="N22" s="1722">
        <f ca="1">P22-M22</f>
        <v>0</v>
      </c>
      <c r="O22" s="1722">
        <v>0</v>
      </c>
      <c r="P22" s="1722">
        <f t="shared" ca="1" si="2"/>
        <v>18.635410046000001</v>
      </c>
      <c r="Q22" s="1730">
        <f t="shared" ca="1" si="3"/>
        <v>2.1430721552900001</v>
      </c>
      <c r="R22" s="1731"/>
      <c r="S22" s="1719"/>
      <c r="T22" s="1732"/>
    </row>
    <row r="23" spans="1:20" ht="28.5">
      <c r="A23" s="1729">
        <v>4</v>
      </c>
      <c r="B23" s="2352" t="s">
        <v>2720</v>
      </c>
      <c r="C23" s="1722">
        <v>0</v>
      </c>
      <c r="D23" s="1722">
        <v>0</v>
      </c>
      <c r="E23" s="1722">
        <v>0</v>
      </c>
      <c r="F23" s="1722">
        <f>C23+D23-E23</f>
        <v>0</v>
      </c>
      <c r="G23" s="1722">
        <v>1.19541484</v>
      </c>
      <c r="H23" s="1722">
        <v>0</v>
      </c>
      <c r="I23" s="1722">
        <v>90</v>
      </c>
      <c r="J23" s="1722">
        <v>0</v>
      </c>
      <c r="K23" s="1722">
        <f t="shared" si="0"/>
        <v>90</v>
      </c>
      <c r="L23" s="1730">
        <f t="shared" si="1"/>
        <v>10.35</v>
      </c>
      <c r="M23" s="1722">
        <f>K23</f>
        <v>90</v>
      </c>
      <c r="N23" s="1722">
        <v>18</v>
      </c>
      <c r="O23" s="1722">
        <v>0</v>
      </c>
      <c r="P23" s="1722">
        <f t="shared" si="2"/>
        <v>108</v>
      </c>
      <c r="Q23" s="1730">
        <f t="shared" si="3"/>
        <v>12.42</v>
      </c>
      <c r="R23" s="1731"/>
      <c r="S23" s="1719"/>
      <c r="T23" s="1732"/>
    </row>
    <row r="24" spans="1:20" ht="28.5">
      <c r="A24" s="1729">
        <v>5</v>
      </c>
      <c r="B24" s="2352" t="s">
        <v>2721</v>
      </c>
      <c r="C24" s="1722">
        <v>0</v>
      </c>
      <c r="D24" s="1722">
        <v>0</v>
      </c>
      <c r="E24" s="1722">
        <v>0</v>
      </c>
      <c r="F24" s="1722">
        <f>C24+D24-E24</f>
        <v>0</v>
      </c>
      <c r="G24" s="1722">
        <v>1.141742</v>
      </c>
      <c r="H24" s="1722">
        <v>0</v>
      </c>
      <c r="I24" s="1722">
        <v>92.26</v>
      </c>
      <c r="J24" s="1722">
        <v>0</v>
      </c>
      <c r="K24" s="1722">
        <f t="shared" si="0"/>
        <v>92.26</v>
      </c>
      <c r="L24" s="1730">
        <f t="shared" si="1"/>
        <v>10.609900000000001</v>
      </c>
      <c r="M24" s="1722">
        <f>K24</f>
        <v>92.26</v>
      </c>
      <c r="N24" s="1722">
        <v>21</v>
      </c>
      <c r="O24" s="1722">
        <v>0</v>
      </c>
      <c r="P24" s="1722">
        <f t="shared" si="2"/>
        <v>113.26</v>
      </c>
      <c r="Q24" s="1730">
        <f>P24*11.5%+0.02</f>
        <v>13.0449</v>
      </c>
      <c r="R24" s="1731"/>
      <c r="S24" s="1719"/>
      <c r="T24" s="1732"/>
    </row>
    <row r="25" spans="1:20" ht="15">
      <c r="A25" s="1729"/>
      <c r="B25" s="1720" t="s">
        <v>239</v>
      </c>
      <c r="C25" s="1733">
        <f t="shared" ref="C25:O25" si="4">SUM(C20:C24)</f>
        <v>226.72292666600001</v>
      </c>
      <c r="D25" s="1733">
        <f t="shared" si="4"/>
        <v>0</v>
      </c>
      <c r="E25" s="1733">
        <f t="shared" si="4"/>
        <v>39.025236020000015</v>
      </c>
      <c r="F25" s="1733">
        <f t="shared" si="4"/>
        <v>187.69769064600001</v>
      </c>
      <c r="G25" s="1733">
        <f t="shared" si="4"/>
        <v>14.516823525000001</v>
      </c>
      <c r="H25" s="1733">
        <f t="shared" si="4"/>
        <v>187.69769064600001</v>
      </c>
      <c r="I25" s="1733">
        <f t="shared" si="4"/>
        <v>189.34290888800001</v>
      </c>
      <c r="J25" s="1733">
        <f t="shared" si="4"/>
        <v>0</v>
      </c>
      <c r="K25" s="1733">
        <f t="shared" si="4"/>
        <v>377.04059953400002</v>
      </c>
      <c r="L25" s="1733">
        <f t="shared" si="4"/>
        <v>43.359668946410004</v>
      </c>
      <c r="M25" s="1733">
        <f t="shared" si="4"/>
        <v>377.04059953400002</v>
      </c>
      <c r="N25" s="1733">
        <f t="shared" ca="1" si="4"/>
        <v>39</v>
      </c>
      <c r="O25" s="1733">
        <f t="shared" si="4"/>
        <v>0</v>
      </c>
      <c r="P25" s="1733">
        <f ca="1">SUM(P20:P24)</f>
        <v>416.04059953400002</v>
      </c>
      <c r="Q25" s="1733">
        <f t="shared" ref="Q25" ca="1" si="5">SUM(Q20:Q24)</f>
        <v>47.864668946409999</v>
      </c>
      <c r="R25" s="1731"/>
      <c r="S25" s="1719"/>
      <c r="T25" s="1732"/>
    </row>
    <row r="26" spans="1:20">
      <c r="A26" s="1729"/>
      <c r="B26" s="1721"/>
      <c r="C26" s="1721"/>
      <c r="D26" s="1721"/>
      <c r="E26" s="1721"/>
      <c r="F26" s="1721"/>
      <c r="G26" s="1721"/>
      <c r="H26" s="1721"/>
      <c r="I26" s="1721"/>
      <c r="J26" s="1721"/>
      <c r="K26" s="1721"/>
      <c r="L26" s="1721"/>
      <c r="M26" s="1721"/>
      <c r="N26" s="1721"/>
      <c r="O26" s="1721"/>
      <c r="P26" s="1721"/>
      <c r="Q26" s="1721"/>
      <c r="R26" s="1719"/>
      <c r="S26" s="1719"/>
    </row>
    <row r="27" spans="1:20">
      <c r="A27" s="1729"/>
      <c r="B27" s="1721"/>
      <c r="C27" s="1721"/>
      <c r="D27" s="1721"/>
      <c r="E27" s="1721"/>
      <c r="F27" s="1721"/>
      <c r="G27" s="1721"/>
      <c r="H27" s="1721"/>
      <c r="I27" s="1721"/>
      <c r="J27" s="1721"/>
      <c r="K27" s="1721"/>
      <c r="L27" s="1721"/>
      <c r="M27" s="1721"/>
      <c r="N27" s="1721"/>
      <c r="O27" s="1721"/>
      <c r="P27" s="1721"/>
      <c r="Q27" s="1721"/>
      <c r="R27" s="1719"/>
      <c r="S27" s="1719"/>
    </row>
    <row r="28" spans="1:20">
      <c r="K28" s="1732"/>
      <c r="P28" s="1732"/>
    </row>
    <row r="29" spans="1:20">
      <c r="A29" s="1719"/>
      <c r="B29" s="1719"/>
      <c r="C29" s="1719"/>
      <c r="D29" s="1719"/>
      <c r="E29" s="1719"/>
      <c r="F29" s="1719"/>
      <c r="I29" s="1719"/>
      <c r="J29" s="1719"/>
      <c r="K29" s="1724"/>
      <c r="L29" s="1719"/>
      <c r="M29" s="1719"/>
      <c r="N29" s="1719"/>
      <c r="O29" s="1719"/>
      <c r="P29" s="1719"/>
      <c r="Q29" s="1719"/>
      <c r="R29" s="1719"/>
      <c r="S29" s="1719"/>
    </row>
    <row r="30" spans="1:20">
      <c r="K30" s="1724"/>
      <c r="P30" s="1732"/>
    </row>
    <row r="31" spans="1:20">
      <c r="P31" s="1732"/>
    </row>
  </sheetData>
  <mergeCells count="4">
    <mergeCell ref="A1:E1"/>
    <mergeCell ref="C18:G18"/>
    <mergeCell ref="H18:L18"/>
    <mergeCell ref="M18:Q18"/>
  </mergeCells>
  <printOptions horizontalCentered="1"/>
  <pageMargins left="0.23622047244094491" right="0.19685039370078741" top="0.74803149606299213" bottom="0.74803149606299213" header="0.31496062992125984" footer="0.31496062992125984"/>
  <pageSetup scale="7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50"/>
  </sheetPr>
  <dimension ref="A1:J31"/>
  <sheetViews>
    <sheetView view="pageBreakPreview" zoomScale="90" zoomScaleNormal="120" zoomScaleSheetLayoutView="90" workbookViewId="0">
      <selection activeCell="N13" sqref="N13"/>
    </sheetView>
  </sheetViews>
  <sheetFormatPr defaultRowHeight="12.75"/>
  <cols>
    <col min="1" max="1" width="6.140625" style="1648" bestFit="1" customWidth="1"/>
    <col min="2" max="2" width="24" customWidth="1"/>
    <col min="3" max="3" width="13.42578125" customWidth="1"/>
    <col min="4" max="4" width="15.28515625" customWidth="1"/>
    <col min="5" max="5" width="15" customWidth="1"/>
    <col min="6" max="6" width="13.28515625" customWidth="1"/>
    <col min="7" max="7" width="12.85546875" customWidth="1"/>
    <col min="9" max="9" width="9.5703125" bestFit="1" customWidth="1"/>
    <col min="10" max="10" width="12" bestFit="1" customWidth="1"/>
  </cols>
  <sheetData>
    <row r="1" spans="1:9" ht="24" customHeight="1">
      <c r="A1" s="2654" t="s">
        <v>2722</v>
      </c>
      <c r="B1" s="2654"/>
      <c r="C1" s="2654"/>
      <c r="D1" s="2654"/>
      <c r="E1" s="2654"/>
      <c r="F1" s="2654"/>
      <c r="G1" s="2654"/>
    </row>
    <row r="2" spans="1:9" ht="75">
      <c r="A2" s="2333" t="s">
        <v>829</v>
      </c>
      <c r="B2" s="2333" t="s">
        <v>2723</v>
      </c>
      <c r="C2" s="2333" t="s">
        <v>2724</v>
      </c>
      <c r="D2" s="2333" t="s">
        <v>2725</v>
      </c>
      <c r="E2" s="2333" t="s">
        <v>2726</v>
      </c>
      <c r="F2" s="2333" t="s">
        <v>2727</v>
      </c>
      <c r="G2" s="2333" t="s">
        <v>2728</v>
      </c>
    </row>
    <row r="3" spans="1:9">
      <c r="A3" s="1599">
        <v>1</v>
      </c>
      <c r="B3" s="2362" t="s">
        <v>1511</v>
      </c>
      <c r="C3" s="21">
        <f>('F-6 New'!M7)/100</f>
        <v>2733.9634750000005</v>
      </c>
      <c r="D3" s="551">
        <v>0</v>
      </c>
      <c r="E3" s="551">
        <v>1</v>
      </c>
      <c r="F3" s="553">
        <f>C3*D3</f>
        <v>0</v>
      </c>
      <c r="G3" s="553">
        <f>C3-F3</f>
        <v>2733.9634750000005</v>
      </c>
      <c r="H3">
        <v>100</v>
      </c>
      <c r="I3" s="3">
        <f>C3-F3-G3</f>
        <v>0</v>
      </c>
    </row>
    <row r="4" spans="1:9">
      <c r="A4" s="1599">
        <v>2</v>
      </c>
      <c r="B4" s="2362" t="s">
        <v>1515</v>
      </c>
      <c r="C4" s="21">
        <f>('F-6 New'!M8)/100</f>
        <v>195.86604</v>
      </c>
      <c r="D4" s="551">
        <v>0</v>
      </c>
      <c r="E4" s="551">
        <v>1</v>
      </c>
      <c r="F4" s="553">
        <f>C4*D4</f>
        <v>0</v>
      </c>
      <c r="G4" s="553">
        <f>C4-F4</f>
        <v>195.86604</v>
      </c>
      <c r="I4" s="3">
        <f t="shared" ref="I4:I26" si="0">C4-F4-G4</f>
        <v>0</v>
      </c>
    </row>
    <row r="5" spans="1:9">
      <c r="A5" s="1599">
        <v>3</v>
      </c>
      <c r="B5" s="2362" t="s">
        <v>1516</v>
      </c>
      <c r="C5" s="21">
        <f>('F-6 New'!M9)/100</f>
        <v>1.16208</v>
      </c>
      <c r="D5" s="551">
        <v>0</v>
      </c>
      <c r="E5" s="551">
        <v>1</v>
      </c>
      <c r="F5" s="553">
        <f>C5*D5</f>
        <v>0</v>
      </c>
      <c r="G5" s="553">
        <f>C5-F5</f>
        <v>1.16208</v>
      </c>
      <c r="I5" s="3">
        <f t="shared" si="0"/>
        <v>0</v>
      </c>
    </row>
    <row r="6" spans="1:9" ht="25.5">
      <c r="A6" s="1599"/>
      <c r="B6" s="2387" t="s">
        <v>2729</v>
      </c>
      <c r="C6" s="21">
        <f>C3+C4+C5</f>
        <v>2930.9915950000004</v>
      </c>
      <c r="D6" s="1599"/>
      <c r="E6" s="1599"/>
      <c r="F6" s="2366">
        <f>SUM(F3:F5)</f>
        <v>0</v>
      </c>
      <c r="G6" s="2366">
        <f>SUM(G3:G5)</f>
        <v>2930.9915950000004</v>
      </c>
      <c r="I6" s="3">
        <f t="shared" si="0"/>
        <v>0</v>
      </c>
    </row>
    <row r="7" spans="1:9" ht="15">
      <c r="A7" s="1599"/>
      <c r="B7" s="2367" t="s">
        <v>2730</v>
      </c>
      <c r="C7" s="21">
        <v>0</v>
      </c>
      <c r="D7" s="552"/>
      <c r="E7" s="552"/>
      <c r="F7" s="555"/>
      <c r="G7" s="555"/>
      <c r="I7" s="3">
        <f t="shared" si="0"/>
        <v>0</v>
      </c>
    </row>
    <row r="8" spans="1:9">
      <c r="A8" s="1599">
        <v>4</v>
      </c>
      <c r="B8" s="2362" t="s">
        <v>1578</v>
      </c>
      <c r="C8" s="21">
        <f>('F-6 New'!M12)/100</f>
        <v>532.71740660958903</v>
      </c>
      <c r="D8" s="551">
        <v>0.6</v>
      </c>
      <c r="E8" s="551">
        <v>0.4</v>
      </c>
      <c r="F8" s="553">
        <f>C8*D8</f>
        <v>319.63044396575339</v>
      </c>
      <c r="G8" s="553">
        <f>C8-F8</f>
        <v>213.08696264383565</v>
      </c>
      <c r="I8" s="3">
        <f t="shared" si="0"/>
        <v>0</v>
      </c>
    </row>
    <row r="9" spans="1:9" ht="25.5">
      <c r="A9" s="1599">
        <v>5</v>
      </c>
      <c r="B9" s="2362" t="s">
        <v>2731</v>
      </c>
      <c r="C9" s="21">
        <f>('F-6 New'!M13)/100</f>
        <v>321.44585251054707</v>
      </c>
      <c r="D9" s="551">
        <v>0.9</v>
      </c>
      <c r="E9" s="551">
        <v>0.1</v>
      </c>
      <c r="F9" s="553">
        <f>C9*D9</f>
        <v>289.30126725949236</v>
      </c>
      <c r="G9" s="553">
        <f>C9-F9</f>
        <v>32.144585251054707</v>
      </c>
      <c r="I9" s="3">
        <f t="shared" si="0"/>
        <v>0</v>
      </c>
    </row>
    <row r="10" spans="1:9" ht="25.5">
      <c r="A10" s="1599">
        <v>6</v>
      </c>
      <c r="B10" s="2362" t="s">
        <v>1580</v>
      </c>
      <c r="C10" s="21">
        <f>('F-6 New'!M14)/100</f>
        <v>134.39507300599368</v>
      </c>
      <c r="D10" s="2364">
        <v>0.5</v>
      </c>
      <c r="E10" s="2364">
        <v>0.5</v>
      </c>
      <c r="F10" s="2363">
        <f>C10*D10</f>
        <v>67.19753650299684</v>
      </c>
      <c r="G10" s="2363">
        <f>C10-F10</f>
        <v>67.19753650299684</v>
      </c>
      <c r="I10" s="3">
        <f t="shared" si="0"/>
        <v>0</v>
      </c>
    </row>
    <row r="11" spans="1:9" ht="25.5">
      <c r="A11" s="1599">
        <v>7</v>
      </c>
      <c r="B11" s="2362" t="s">
        <v>2732</v>
      </c>
      <c r="C11" s="21">
        <f>('F-6 New'!M15)/100</f>
        <v>40.489156460190358</v>
      </c>
      <c r="D11" s="2364">
        <v>0</v>
      </c>
      <c r="E11" s="2364">
        <v>1</v>
      </c>
      <c r="F11" s="2368">
        <f>C11*D11</f>
        <v>0</v>
      </c>
      <c r="G11" s="2363">
        <f>C11-F11</f>
        <v>40.489156460190358</v>
      </c>
      <c r="I11" s="3">
        <f t="shared" si="0"/>
        <v>0</v>
      </c>
    </row>
    <row r="12" spans="1:9">
      <c r="A12" s="1599">
        <v>8</v>
      </c>
      <c r="B12" s="2362" t="s">
        <v>1532</v>
      </c>
      <c r="C12" s="21">
        <f>('F-6 New'!M16)/100</f>
        <v>97.293520148696857</v>
      </c>
      <c r="D12" s="551">
        <v>0.9</v>
      </c>
      <c r="E12" s="551">
        <v>0.1</v>
      </c>
      <c r="F12" s="553">
        <f>C12*D12</f>
        <v>87.564168133827167</v>
      </c>
      <c r="G12" s="553">
        <f>C12-F12</f>
        <v>9.7293520148696899</v>
      </c>
      <c r="I12" s="3">
        <f t="shared" si="0"/>
        <v>0</v>
      </c>
    </row>
    <row r="13" spans="1:9" ht="15">
      <c r="A13" s="1599"/>
      <c r="B13" s="2367" t="s">
        <v>2733</v>
      </c>
      <c r="C13" s="21">
        <v>0</v>
      </c>
      <c r="D13" s="552"/>
      <c r="E13" s="552"/>
      <c r="F13" s="1282"/>
      <c r="G13" s="555"/>
      <c r="I13" s="3">
        <f t="shared" si="0"/>
        <v>0</v>
      </c>
    </row>
    <row r="14" spans="1:9">
      <c r="A14" s="1599">
        <v>9</v>
      </c>
      <c r="B14" s="2362" t="s">
        <v>2734</v>
      </c>
      <c r="C14" s="21">
        <f>('Interest New'!D8)/100</f>
        <v>61.949652640431751</v>
      </c>
      <c r="D14" s="551">
        <v>0.9</v>
      </c>
      <c r="E14" s="551">
        <v>0.1</v>
      </c>
      <c r="F14" s="553">
        <f>C14*D14</f>
        <v>55.754687376388574</v>
      </c>
      <c r="G14" s="553">
        <f>C14-F14</f>
        <v>6.1949652640431765</v>
      </c>
      <c r="I14" s="3">
        <f t="shared" si="0"/>
        <v>0</v>
      </c>
    </row>
    <row r="15" spans="1:9">
      <c r="A15" s="1599">
        <v>10</v>
      </c>
      <c r="B15" s="2362" t="s">
        <v>2735</v>
      </c>
      <c r="C15" s="21">
        <f>('Interest New'!D5)/100</f>
        <v>51.859248975558593</v>
      </c>
      <c r="D15" s="551">
        <v>0.1</v>
      </c>
      <c r="E15" s="551">
        <v>0.9</v>
      </c>
      <c r="F15" s="553">
        <f>C15*D15</f>
        <v>5.1859248975558598</v>
      </c>
      <c r="G15" s="553">
        <f>C15-F15</f>
        <v>46.673324078002736</v>
      </c>
      <c r="I15" s="3">
        <f t="shared" si="0"/>
        <v>0</v>
      </c>
    </row>
    <row r="16" spans="1:9" ht="25.5">
      <c r="A16" s="1599">
        <v>11</v>
      </c>
      <c r="B16" s="2362" t="s">
        <v>1536</v>
      </c>
      <c r="C16" s="21">
        <f>('F-6 New'!M18)/100</f>
        <v>63.16802395607251</v>
      </c>
      <c r="D16" s="2364">
        <v>0</v>
      </c>
      <c r="E16" s="2364">
        <v>1</v>
      </c>
      <c r="F16" s="2369">
        <f>C16*D16</f>
        <v>0</v>
      </c>
      <c r="G16" s="2363">
        <f>C16-F16</f>
        <v>63.16802395607251</v>
      </c>
      <c r="I16" s="3">
        <f t="shared" si="0"/>
        <v>0</v>
      </c>
    </row>
    <row r="17" spans="1:10">
      <c r="A17" s="1599">
        <v>12</v>
      </c>
      <c r="B17" s="2362" t="s">
        <v>1538</v>
      </c>
      <c r="C17" s="21">
        <f>('F-6 New'!M19)/100</f>
        <v>102.5350648443325</v>
      </c>
      <c r="D17" s="551">
        <v>0.9</v>
      </c>
      <c r="E17" s="551">
        <v>0.1</v>
      </c>
      <c r="F17" s="553">
        <f>C17*D17</f>
        <v>92.28155835989925</v>
      </c>
      <c r="G17" s="553">
        <f>C17-F17</f>
        <v>10.253506484433245</v>
      </c>
      <c r="I17" s="3">
        <f t="shared" si="0"/>
        <v>0</v>
      </c>
    </row>
    <row r="18" spans="1:10">
      <c r="A18" s="1599">
        <v>13</v>
      </c>
      <c r="B18" s="2362" t="s">
        <v>2736</v>
      </c>
      <c r="C18" s="21">
        <f>('F-6 New'!M20)/100</f>
        <v>34.488942698541358</v>
      </c>
      <c r="D18" s="551">
        <v>0.9</v>
      </c>
      <c r="E18" s="551">
        <v>0.1</v>
      </c>
      <c r="F18" s="553">
        <f>C18*D18</f>
        <v>31.040048428687221</v>
      </c>
      <c r="G18" s="553">
        <f>C18-F18</f>
        <v>3.4488942698541365</v>
      </c>
      <c r="I18" s="3"/>
    </row>
    <row r="19" spans="1:10" ht="15">
      <c r="A19" s="1599"/>
      <c r="B19" s="2367" t="s">
        <v>2737</v>
      </c>
      <c r="C19" s="21">
        <v>0</v>
      </c>
      <c r="D19" s="552"/>
      <c r="E19" s="552"/>
      <c r="F19" s="1286"/>
      <c r="G19" s="555"/>
      <c r="I19" s="3">
        <f t="shared" si="0"/>
        <v>0</v>
      </c>
    </row>
    <row r="20" spans="1:10">
      <c r="A20" s="1599">
        <v>14</v>
      </c>
      <c r="B20" s="2362" t="s">
        <v>1563</v>
      </c>
      <c r="C20" s="21">
        <f>('F-6 New'!M27)/100</f>
        <v>9.2389714302571218</v>
      </c>
      <c r="D20" s="551">
        <v>0.25</v>
      </c>
      <c r="E20" s="551">
        <v>0.75</v>
      </c>
      <c r="F20" s="553">
        <f>C20*D20</f>
        <v>2.3097428575642804</v>
      </c>
      <c r="G20" s="553">
        <f>C20-F20</f>
        <v>6.9292285726928409</v>
      </c>
      <c r="I20" s="3">
        <f t="shared" si="0"/>
        <v>0</v>
      </c>
    </row>
    <row r="21" spans="1:10" ht="25.5">
      <c r="A21" s="1599">
        <v>15</v>
      </c>
      <c r="B21" s="2362" t="s">
        <v>2738</v>
      </c>
      <c r="C21" s="21">
        <f>('F-6 New'!M24)/100</f>
        <v>0</v>
      </c>
      <c r="D21" s="551">
        <v>0.25</v>
      </c>
      <c r="E21" s="551">
        <v>0.75</v>
      </c>
      <c r="F21" s="1285">
        <v>0</v>
      </c>
      <c r="G21" s="553">
        <f>C21-F21</f>
        <v>0</v>
      </c>
      <c r="I21" s="3">
        <f t="shared" si="0"/>
        <v>0</v>
      </c>
    </row>
    <row r="22" spans="1:10" ht="25.5">
      <c r="A22" s="1599">
        <v>16</v>
      </c>
      <c r="B22" s="2362" t="s">
        <v>2739</v>
      </c>
      <c r="C22" s="21">
        <f>('F-6 New'!M25)/100</f>
        <v>0</v>
      </c>
      <c r="D22" s="551">
        <v>1</v>
      </c>
      <c r="E22" s="551">
        <v>0</v>
      </c>
      <c r="F22" s="1285">
        <v>0</v>
      </c>
      <c r="G22" s="553">
        <f>C22-F22</f>
        <v>0</v>
      </c>
      <c r="I22" s="3">
        <f t="shared" si="0"/>
        <v>0</v>
      </c>
    </row>
    <row r="23" spans="1:10">
      <c r="A23" s="1599"/>
      <c r="B23" s="2365" t="s">
        <v>1353</v>
      </c>
      <c r="C23" s="21">
        <f>(SUM(C8:C22)+C6)</f>
        <v>4380.5725082802119</v>
      </c>
      <c r="D23" s="552"/>
      <c r="E23" s="552"/>
      <c r="F23" s="554">
        <f>F8+F9+F10+F12+F14+F15+F17+F18+F20</f>
        <v>950.26537778216493</v>
      </c>
      <c r="G23" s="554">
        <f>SUM(G8:G22)+G6</f>
        <v>3430.3071304980463</v>
      </c>
      <c r="I23" s="3">
        <f t="shared" si="0"/>
        <v>0</v>
      </c>
    </row>
    <row r="24" spans="1:10" ht="26.25" customHeight="1">
      <c r="A24" s="552"/>
      <c r="B24" s="2367" t="s">
        <v>2740</v>
      </c>
      <c r="C24" s="21">
        <v>0</v>
      </c>
      <c r="D24" s="552"/>
      <c r="E24" s="552"/>
      <c r="F24" s="555"/>
      <c r="G24" s="555"/>
      <c r="I24" s="3">
        <f t="shared" si="0"/>
        <v>0</v>
      </c>
    </row>
    <row r="25" spans="1:10">
      <c r="A25" s="2370">
        <v>19</v>
      </c>
      <c r="B25" s="51" t="s">
        <v>2741</v>
      </c>
      <c r="C25" s="21">
        <f>('F-6 New'!M29)/100</f>
        <v>207.34159094999998</v>
      </c>
      <c r="D25" s="1201">
        <v>0.1</v>
      </c>
      <c r="E25" s="1201">
        <v>0.9</v>
      </c>
      <c r="F25" s="13">
        <f>C25*D25</f>
        <v>20.734159094999999</v>
      </c>
      <c r="G25" s="13">
        <f>C25*E25</f>
        <v>186.60743185499999</v>
      </c>
      <c r="I25" s="3">
        <f t="shared" si="0"/>
        <v>0</v>
      </c>
    </row>
    <row r="26" spans="1:10" ht="25.5">
      <c r="A26" s="2371">
        <v>20</v>
      </c>
      <c r="B26" s="1202" t="s">
        <v>1555</v>
      </c>
      <c r="C26" s="2372">
        <f>(C23-C25)</f>
        <v>4173.2309173302119</v>
      </c>
      <c r="D26" s="2373"/>
      <c r="E26" s="2373"/>
      <c r="F26" s="2372">
        <f>F23-F25</f>
        <v>929.53121868716494</v>
      </c>
      <c r="G26" s="2372">
        <f>G23-G25</f>
        <v>3243.6996986430463</v>
      </c>
      <c r="I26" s="3">
        <f t="shared" si="0"/>
        <v>0</v>
      </c>
      <c r="J26" s="3"/>
    </row>
    <row r="27" spans="1:10" ht="28.5" customHeight="1">
      <c r="A27" s="2735" t="s">
        <v>2742</v>
      </c>
      <c r="B27" s="2736"/>
      <c r="C27" s="2736"/>
      <c r="D27" s="2736"/>
      <c r="E27" s="2736"/>
      <c r="F27" s="2736"/>
      <c r="G27" s="2737"/>
    </row>
    <row r="28" spans="1:10">
      <c r="C28" s="3"/>
    </row>
    <row r="30" spans="1:10">
      <c r="G30" s="3"/>
    </row>
    <row r="31" spans="1:10">
      <c r="C31" s="3"/>
    </row>
  </sheetData>
  <mergeCells count="2">
    <mergeCell ref="A27:G27"/>
    <mergeCell ref="A1:G1"/>
  </mergeCells>
  <pageMargins left="0.70866141732283472" right="0.70866141732283472" top="0.74803149606299213" bottom="0.74803149606299213" header="0.31496062992125984" footer="0.31496062992125984"/>
  <pageSetup paperSize="9" scale="8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O19"/>
  <sheetViews>
    <sheetView view="pageBreakPreview" zoomScaleNormal="130" zoomScaleSheetLayoutView="100" workbookViewId="0">
      <selection activeCell="J8" sqref="J8"/>
    </sheetView>
  </sheetViews>
  <sheetFormatPr defaultColWidth="9.140625" defaultRowHeight="12.75"/>
  <cols>
    <col min="1" max="1" width="16.28515625" style="54" customWidth="1"/>
    <col min="2" max="2" width="14.7109375" style="54" customWidth="1"/>
    <col min="3" max="3" width="14" style="54" customWidth="1"/>
    <col min="4" max="4" width="12.42578125" style="54" customWidth="1"/>
    <col min="5" max="5" width="11.5703125" style="54" customWidth="1"/>
    <col min="6" max="6" width="8.28515625" style="54" customWidth="1"/>
    <col min="7" max="7" width="11.28515625" style="54" customWidth="1"/>
    <col min="8" max="8" width="15" style="54" customWidth="1"/>
    <col min="9" max="16384" width="9.140625" style="54"/>
  </cols>
  <sheetData>
    <row r="1" spans="1:15" ht="20.25">
      <c r="A1" s="994" t="s">
        <v>2270</v>
      </c>
      <c r="H1" s="2381" t="s">
        <v>2743</v>
      </c>
    </row>
    <row r="3" spans="1:15" ht="15.75">
      <c r="A3" s="986" t="s">
        <v>2744</v>
      </c>
    </row>
    <row r="5" spans="1:15" ht="62.25" customHeight="1">
      <c r="A5" s="125" t="s">
        <v>2745</v>
      </c>
      <c r="B5" s="125" t="s">
        <v>2746</v>
      </c>
      <c r="C5" s="125" t="s">
        <v>2747</v>
      </c>
      <c r="D5" s="125" t="s">
        <v>2748</v>
      </c>
      <c r="E5" s="125" t="s">
        <v>2749</v>
      </c>
      <c r="F5" s="125" t="s">
        <v>2750</v>
      </c>
      <c r="G5" s="125" t="s">
        <v>2751</v>
      </c>
      <c r="H5" s="125" t="s">
        <v>2752</v>
      </c>
    </row>
    <row r="6" spans="1:15" ht="26.25" customHeight="1">
      <c r="A6" s="988">
        <f>+'TPNODL-Wheeling '!C28</f>
        <v>3555.2799999999997</v>
      </c>
      <c r="B6" s="988">
        <f>+'T-8'!AR63</f>
        <v>2206.7703567360004</v>
      </c>
      <c r="C6" s="988">
        <f>B6*1000/A6</f>
        <v>620.70226725771272</v>
      </c>
      <c r="D6" s="988">
        <f>335+24+O10</f>
        <v>359.00154501864677</v>
      </c>
      <c r="E6" s="988">
        <v>0</v>
      </c>
      <c r="F6" s="989">
        <v>0</v>
      </c>
      <c r="G6" s="989">
        <v>0</v>
      </c>
      <c r="H6" s="990">
        <f>C6-((D6/(1-F6/100))+E6+G6)</f>
        <v>261.70072223906595</v>
      </c>
    </row>
    <row r="7" spans="1:15" ht="48.75" customHeight="1">
      <c r="D7" s="991"/>
      <c r="F7" s="991"/>
      <c r="G7" s="991"/>
    </row>
    <row r="8" spans="1:15" ht="15.75">
      <c r="A8" s="986" t="s">
        <v>2753</v>
      </c>
      <c r="L8" s="54">
        <v>298</v>
      </c>
      <c r="O8" s="54">
        <v>1.1599999999999999</v>
      </c>
    </row>
    <row r="9" spans="1:15">
      <c r="A9" s="987"/>
      <c r="B9" s="987"/>
      <c r="L9" s="54">
        <v>18.3</v>
      </c>
      <c r="O9" s="54">
        <v>7508</v>
      </c>
    </row>
    <row r="10" spans="1:15" s="992" customFormat="1" ht="66" customHeight="1">
      <c r="A10" s="125" t="s">
        <v>2754</v>
      </c>
      <c r="B10" s="125" t="s">
        <v>2755</v>
      </c>
      <c r="C10" s="125" t="s">
        <v>2747</v>
      </c>
      <c r="D10" s="125" t="s">
        <v>2748</v>
      </c>
      <c r="E10" s="125" t="s">
        <v>2749</v>
      </c>
      <c r="F10" s="125" t="s">
        <v>2750</v>
      </c>
      <c r="G10" s="125" t="s">
        <v>2751</v>
      </c>
      <c r="H10" s="125" t="s">
        <v>2752</v>
      </c>
      <c r="L10" s="992">
        <f>+L8+L9</f>
        <v>316.3</v>
      </c>
      <c r="M10" s="992">
        <v>25</v>
      </c>
      <c r="O10" s="992">
        <f>(O8*10)/O9</f>
        <v>1.5450186467767715E-3</v>
      </c>
    </row>
    <row r="11" spans="1:15" ht="24.75" customHeight="1">
      <c r="A11" s="988">
        <f>+'TPNODL-Wheeling '!D28</f>
        <v>773.04600000000005</v>
      </c>
      <c r="B11" s="988">
        <f>+'T-8'!AR53</f>
        <v>514.59801174306244</v>
      </c>
      <c r="C11" s="988">
        <f>B11*1000/A11</f>
        <v>665.67579645074477</v>
      </c>
      <c r="D11" s="988">
        <f>D6</f>
        <v>359.00154501864677</v>
      </c>
      <c r="E11" s="988">
        <f>'TPNODL-Wheeling '!E25</f>
        <v>201.8173193800356</v>
      </c>
      <c r="F11" s="989">
        <v>8</v>
      </c>
      <c r="G11" s="989">
        <v>0</v>
      </c>
      <c r="H11" s="990">
        <f>C11-((D11/(1-F11/100))+E11+G11)</f>
        <v>73.639406398267056</v>
      </c>
    </row>
    <row r="13" spans="1:15">
      <c r="L13" s="54">
        <v>97.74</v>
      </c>
      <c r="M13" s="54">
        <v>100.155</v>
      </c>
    </row>
    <row r="15" spans="1:15">
      <c r="D15" s="991"/>
      <c r="E15" s="991"/>
    </row>
    <row r="16" spans="1:15">
      <c r="M16" s="993">
        <f>+'TPNODL-Wheeling '!F29*10</f>
        <v>81610.850000000006</v>
      </c>
    </row>
    <row r="19" spans="13:13">
      <c r="M19" s="54">
        <f>+M13/M16*100</f>
        <v>0.1227226526864994</v>
      </c>
    </row>
  </sheetData>
  <printOptions horizontalCentered="1"/>
  <pageMargins left="0.19685039370078741" right="0.23622047244094491" top="0.74803149606299213" bottom="0.59055118110236227" header="0.31496062992125984" footer="0.31496062992125984"/>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N36"/>
  <sheetViews>
    <sheetView view="pageBreakPreview" zoomScaleSheetLayoutView="100" workbookViewId="0">
      <pane xSplit="2" ySplit="6" topLeftCell="C19" activePane="bottomRight" state="frozen"/>
      <selection pane="bottomRight" activeCell="I25" sqref="I25"/>
      <selection pane="bottomLeft" activeCell="N9" sqref="N9"/>
      <selection pane="topRight" activeCell="N9" sqref="N9"/>
    </sheetView>
  </sheetViews>
  <sheetFormatPr defaultRowHeight="12.75"/>
  <cols>
    <col min="1" max="1" width="5.85546875" style="1648" bestFit="1" customWidth="1"/>
    <col min="2" max="2" width="36.7109375" customWidth="1"/>
    <col min="3" max="3" width="10" customWidth="1"/>
    <col min="4" max="4" width="8.7109375" customWidth="1"/>
    <col min="5" max="5" width="14.42578125" customWidth="1"/>
    <col min="6" max="6" width="13" customWidth="1"/>
    <col min="8" max="8" width="33.85546875" bestFit="1" customWidth="1"/>
    <col min="9" max="9" width="15.42578125" customWidth="1"/>
    <col min="10" max="10" width="16" customWidth="1"/>
    <col min="16" max="16" width="13.140625" customWidth="1"/>
  </cols>
  <sheetData>
    <row r="1" spans="1:14" ht="27.75" customHeight="1">
      <c r="A1" s="2620" t="s">
        <v>2270</v>
      </c>
      <c r="B1" s="2620"/>
      <c r="C1" s="2620"/>
      <c r="D1" s="2620"/>
      <c r="E1" s="2620"/>
      <c r="F1" s="2386" t="s">
        <v>2756</v>
      </c>
    </row>
    <row r="2" spans="1:14">
      <c r="A2" s="2738" t="s">
        <v>2757</v>
      </c>
      <c r="B2" s="2738"/>
      <c r="C2" s="2738"/>
      <c r="D2" s="2738"/>
      <c r="E2" s="2738"/>
      <c r="F2" s="2738"/>
    </row>
    <row r="4" spans="1:14">
      <c r="A4" s="2466"/>
      <c r="B4" s="2467"/>
      <c r="C4" s="2467"/>
      <c r="D4" s="2467"/>
      <c r="E4" s="2467"/>
      <c r="F4" s="2468" t="s">
        <v>2758</v>
      </c>
    </row>
    <row r="5" spans="1:14" s="567" customFormat="1" ht="51">
      <c r="A5" s="992" t="s">
        <v>376</v>
      </c>
      <c r="B5" s="992" t="s">
        <v>887</v>
      </c>
      <c r="C5" s="992"/>
      <c r="D5" s="992"/>
      <c r="E5" s="2334" t="s">
        <v>2759</v>
      </c>
      <c r="F5" s="992" t="s">
        <v>2760</v>
      </c>
    </row>
    <row r="6" spans="1:14" ht="13.5" thickBot="1">
      <c r="A6" s="2332"/>
      <c r="B6" s="614"/>
      <c r="C6" s="614"/>
      <c r="D6" s="614"/>
      <c r="E6" s="614"/>
      <c r="F6" s="614"/>
    </row>
    <row r="7" spans="1:14" s="1" customFormat="1" ht="13.5" thickTop="1">
      <c r="A7" s="567">
        <v>1</v>
      </c>
      <c r="B7" s="1" t="s">
        <v>2761</v>
      </c>
      <c r="E7" s="1684">
        <f>E9+E10+E11</f>
        <v>676.1292477282426</v>
      </c>
      <c r="F7" s="567" t="s">
        <v>2762</v>
      </c>
    </row>
    <row r="8" spans="1:14">
      <c r="E8" s="2377"/>
    </row>
    <row r="9" spans="1:14">
      <c r="A9" s="1648">
        <v>1.1000000000000001</v>
      </c>
      <c r="B9" t="s">
        <v>2763</v>
      </c>
      <c r="E9" s="1680">
        <f>'Allocation Totality new'!F8</f>
        <v>319.63044396575339</v>
      </c>
      <c r="F9" s="3"/>
      <c r="H9" s="616" t="e">
        <f>+#REF!</f>
        <v>#REF!</v>
      </c>
      <c r="J9" s="3"/>
      <c r="K9" s="3"/>
      <c r="N9" s="100"/>
    </row>
    <row r="10" spans="1:14">
      <c r="A10" s="1648">
        <v>1.2</v>
      </c>
      <c r="B10" t="s">
        <v>2764</v>
      </c>
      <c r="E10" s="1680">
        <f>'Allocation Totality new'!F10</f>
        <v>67.19753650299684</v>
      </c>
      <c r="F10" s="3"/>
      <c r="H10" s="616" t="e">
        <f>+#REF!</f>
        <v>#REF!</v>
      </c>
      <c r="J10" s="3"/>
      <c r="K10" s="3"/>
      <c r="N10" s="100"/>
    </row>
    <row r="11" spans="1:14">
      <c r="A11" s="1648">
        <v>1.3</v>
      </c>
      <c r="B11" t="s">
        <v>2765</v>
      </c>
      <c r="E11" s="1680">
        <f>'Allocation Totality new'!F9</f>
        <v>289.30126725949236</v>
      </c>
      <c r="F11" s="3"/>
      <c r="H11" s="616" t="e">
        <f>+#REF!</f>
        <v>#REF!</v>
      </c>
      <c r="J11" s="3"/>
      <c r="K11" s="3"/>
      <c r="N11" s="100"/>
    </row>
    <row r="12" spans="1:14">
      <c r="A12" s="1648" t="s">
        <v>432</v>
      </c>
      <c r="E12" s="1680"/>
      <c r="H12" s="616"/>
      <c r="J12" s="3"/>
      <c r="K12" s="3"/>
      <c r="N12" s="100"/>
    </row>
    <row r="13" spans="1:14">
      <c r="A13" s="1648">
        <v>2</v>
      </c>
      <c r="B13" t="s">
        <v>1532</v>
      </c>
      <c r="E13" s="1680">
        <f>'Allocation Totality new'!F12</f>
        <v>87.564168133827167</v>
      </c>
      <c r="F13" s="3"/>
      <c r="H13" s="616" t="e">
        <f>+#REF!</f>
        <v>#REF!</v>
      </c>
      <c r="J13" s="3"/>
      <c r="K13" s="3"/>
      <c r="N13" s="100"/>
    </row>
    <row r="14" spans="1:14">
      <c r="A14" s="1648">
        <v>3</v>
      </c>
      <c r="B14" t="s">
        <v>2766</v>
      </c>
      <c r="E14" s="1680">
        <f>'Allocation Totality new'!F14</f>
        <v>55.754687376388574</v>
      </c>
      <c r="H14" s="616" t="e">
        <f>+#REF!</f>
        <v>#REF!</v>
      </c>
      <c r="J14" s="3"/>
      <c r="K14" s="3"/>
    </row>
    <row r="15" spans="1:14">
      <c r="A15" s="1648">
        <v>4</v>
      </c>
      <c r="B15" t="s">
        <v>2767</v>
      </c>
      <c r="E15" s="2378">
        <f>'Allocation Totality new'!F15</f>
        <v>5.1859248975558598</v>
      </c>
      <c r="H15" s="616" t="e">
        <f>+#REF!</f>
        <v>#REF!</v>
      </c>
      <c r="J15" s="3"/>
      <c r="K15" s="3"/>
      <c r="N15" s="100"/>
    </row>
    <row r="16" spans="1:14">
      <c r="A16" s="1648">
        <v>5</v>
      </c>
      <c r="B16" t="s">
        <v>2503</v>
      </c>
      <c r="E16" s="1680">
        <f>'Allocation Totality new'!F16</f>
        <v>0</v>
      </c>
      <c r="F16" s="3"/>
      <c r="H16" s="616">
        <v>0</v>
      </c>
      <c r="J16" s="3"/>
      <c r="K16" s="3"/>
      <c r="N16" s="100"/>
    </row>
    <row r="17" spans="1:14">
      <c r="A17" s="1648">
        <v>6</v>
      </c>
      <c r="B17" t="s">
        <v>2768</v>
      </c>
      <c r="E17" s="1680"/>
      <c r="H17" s="616"/>
      <c r="N17" s="100"/>
    </row>
    <row r="18" spans="1:14">
      <c r="A18" s="1648">
        <v>7</v>
      </c>
      <c r="B18" t="s">
        <v>2769</v>
      </c>
      <c r="E18" s="1680"/>
      <c r="F18" s="3"/>
      <c r="H18" s="616"/>
    </row>
    <row r="19" spans="1:14">
      <c r="A19" s="1648">
        <v>8</v>
      </c>
      <c r="B19" t="s">
        <v>1550</v>
      </c>
      <c r="E19" s="2377">
        <v>0</v>
      </c>
      <c r="H19" s="616" t="e">
        <f>+#REF!</f>
        <v>#REF!</v>
      </c>
      <c r="J19" s="3"/>
    </row>
    <row r="20" spans="1:14">
      <c r="A20" s="1648">
        <v>9</v>
      </c>
      <c r="B20" t="s">
        <v>2770</v>
      </c>
      <c r="E20" s="2377">
        <f>'Allocation Totality new'!F20</f>
        <v>2.3097428575642804</v>
      </c>
      <c r="F20" s="3"/>
      <c r="H20" s="616" t="e">
        <f>+#REF!</f>
        <v>#REF!</v>
      </c>
      <c r="J20" s="3"/>
    </row>
    <row r="21" spans="1:14">
      <c r="A21" s="1648">
        <v>10</v>
      </c>
      <c r="B21" s="129" t="s">
        <v>2771</v>
      </c>
      <c r="E21" s="726">
        <f>'Allocation Totality new'!F17+'Allocation Totality new'!F18</f>
        <v>123.32160678858648</v>
      </c>
      <c r="F21" s="3"/>
      <c r="H21" s="616" t="e">
        <f>+#REF!+#REF!</f>
        <v>#REF!</v>
      </c>
    </row>
    <row r="22" spans="1:14">
      <c r="A22" s="1648">
        <v>11</v>
      </c>
      <c r="B22" s="129" t="s">
        <v>2772</v>
      </c>
      <c r="E22" s="726">
        <f>-('Allocation Totality new'!F25)</f>
        <v>-20.734159094999999</v>
      </c>
      <c r="F22" s="3"/>
      <c r="H22" s="616"/>
    </row>
    <row r="23" spans="1:14" s="1" customFormat="1">
      <c r="A23" s="567">
        <v>12</v>
      </c>
      <c r="B23" s="1" t="s">
        <v>2773</v>
      </c>
      <c r="E23" s="1684">
        <f>SUM(E9:E22)</f>
        <v>929.53121868716494</v>
      </c>
    </row>
    <row r="24" spans="1:14" s="1" customFormat="1">
      <c r="A24" s="567"/>
      <c r="E24" s="2379"/>
    </row>
    <row r="25" spans="1:14" s="1" customFormat="1" ht="18">
      <c r="A25" s="567">
        <v>13</v>
      </c>
      <c r="B25" s="2375" t="s">
        <v>2774</v>
      </c>
      <c r="C25" s="26"/>
      <c r="D25" s="26"/>
      <c r="E25" s="2380">
        <f>E23*1000/(D31)</f>
        <v>201.8173193800356</v>
      </c>
    </row>
    <row r="26" spans="1:14">
      <c r="E26" s="3" t="s">
        <v>432</v>
      </c>
      <c r="K26" s="1"/>
    </row>
    <row r="27" spans="1:14">
      <c r="C27" s="567" t="s">
        <v>271</v>
      </c>
      <c r="D27" s="567" t="s">
        <v>259</v>
      </c>
      <c r="E27" s="615" t="s">
        <v>232</v>
      </c>
      <c r="F27" s="615" t="s">
        <v>239</v>
      </c>
      <c r="K27" s="1"/>
      <c r="L27" s="567"/>
      <c r="M27" s="615"/>
      <c r="N27" s="615"/>
    </row>
    <row r="28" spans="1:14">
      <c r="B28" s="129" t="s">
        <v>2775</v>
      </c>
      <c r="C28" s="2382">
        <f>+'T-1'!O59</f>
        <v>3555.2799999999997</v>
      </c>
      <c r="D28" s="2382">
        <f>+'T-1'!O49</f>
        <v>773.04600000000005</v>
      </c>
      <c r="E28" s="2383">
        <f>+'T-1'!O32</f>
        <v>2678.7820000000002</v>
      </c>
      <c r="F28" s="2384">
        <f>SUM(C28:E28)</f>
        <v>7007.1080000000002</v>
      </c>
      <c r="K28" s="1"/>
      <c r="L28" s="616"/>
      <c r="M28" s="617"/>
      <c r="N28" s="616"/>
    </row>
    <row r="29" spans="1:14">
      <c r="B29" s="129" t="s">
        <v>2776</v>
      </c>
      <c r="C29" s="2382">
        <f>C28</f>
        <v>3555.2799999999997</v>
      </c>
      <c r="D29" s="2385">
        <f>D28+D30</f>
        <v>1141.5104000000001</v>
      </c>
      <c r="E29" s="2382">
        <f>+E31</f>
        <v>3464.2946000000002</v>
      </c>
      <c r="F29" s="2384">
        <f t="shared" ref="F29:F30" si="0">SUM(C29:E29)</f>
        <v>8161.085</v>
      </c>
      <c r="G29" s="616"/>
      <c r="K29" s="1"/>
      <c r="L29" s="619"/>
      <c r="M29" s="616"/>
      <c r="N29" s="616"/>
    </row>
    <row r="30" spans="1:14">
      <c r="B30" t="s">
        <v>2777</v>
      </c>
      <c r="C30" s="2382">
        <f>C29-C28</f>
        <v>0</v>
      </c>
      <c r="D30" s="2382">
        <f>(C31-C29)*8%</f>
        <v>368.46440000000001</v>
      </c>
      <c r="E30" s="2382">
        <f>+E29-E28</f>
        <v>785.51260000000002</v>
      </c>
      <c r="F30" s="2384">
        <f t="shared" si="0"/>
        <v>1153.9770000000001</v>
      </c>
      <c r="K30" s="1"/>
      <c r="L30" s="616"/>
      <c r="M30" s="616"/>
      <c r="N30" s="616"/>
    </row>
    <row r="31" spans="1:14">
      <c r="B31" s="2374" t="s">
        <v>2778</v>
      </c>
      <c r="C31" s="2382">
        <f>+'T-1'!O62</f>
        <v>8161.085</v>
      </c>
      <c r="D31" s="2382">
        <f>C31-C29</f>
        <v>4605.8050000000003</v>
      </c>
      <c r="E31" s="2382">
        <f>D31-D29</f>
        <v>3464.2946000000002</v>
      </c>
      <c r="F31" s="2382"/>
      <c r="G31" s="620"/>
      <c r="K31" s="1"/>
      <c r="L31" s="621"/>
      <c r="M31" s="621"/>
      <c r="N31" s="616"/>
    </row>
    <row r="32" spans="1:14">
      <c r="C32" s="987"/>
      <c r="D32" s="987"/>
      <c r="E32" s="987"/>
      <c r="F32" s="987"/>
      <c r="K32" s="1"/>
    </row>
    <row r="33" spans="3:11">
      <c r="D33" s="616"/>
      <c r="K33" s="1"/>
    </row>
    <row r="34" spans="3:11">
      <c r="G34" s="616"/>
    </row>
    <row r="35" spans="3:11">
      <c r="C35" s="622"/>
      <c r="D35" s="622"/>
      <c r="E35" s="622"/>
    </row>
    <row r="36" spans="3:11">
      <c r="E36" s="622"/>
    </row>
  </sheetData>
  <mergeCells count="2">
    <mergeCell ref="A2:F2"/>
    <mergeCell ref="A1:E1"/>
  </mergeCells>
  <printOptions horizontalCentered="1" gridLines="1"/>
  <pageMargins left="0.23622047244094491" right="0" top="1.1417322834645669" bottom="0.51181102362204722" header="0" footer="0"/>
  <pageSetup paperSize="9" scale="11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8000"/>
    <pageSetUpPr fitToPage="1"/>
  </sheetPr>
  <dimension ref="A1:H25"/>
  <sheetViews>
    <sheetView showOutlineSymbols="0" view="pageBreakPreview" zoomScale="80" zoomScaleNormal="87" zoomScaleSheetLayoutView="80" workbookViewId="0">
      <selection activeCell="J11" sqref="J11"/>
    </sheetView>
  </sheetViews>
  <sheetFormatPr defaultColWidth="14.7109375" defaultRowHeight="15"/>
  <cols>
    <col min="1" max="1" width="30.5703125" style="531" customWidth="1"/>
    <col min="2" max="2" width="14.7109375" style="531" customWidth="1"/>
    <col min="3" max="6" width="13.7109375" style="531" customWidth="1"/>
    <col min="7" max="7" width="14.7109375" style="531" customWidth="1"/>
    <col min="8" max="8" width="25.42578125" style="531" customWidth="1"/>
    <col min="9" max="10" width="18.85546875" style="531" customWidth="1"/>
    <col min="11" max="16384" width="14.7109375" style="531"/>
  </cols>
  <sheetData>
    <row r="1" spans="1:8">
      <c r="A1" s="508" t="s">
        <v>2779</v>
      </c>
      <c r="G1" s="541" t="s">
        <v>210</v>
      </c>
      <c r="H1" s="542" t="s">
        <v>2780</v>
      </c>
    </row>
    <row r="2" spans="1:8" ht="18">
      <c r="A2" s="590" t="s">
        <v>2781</v>
      </c>
      <c r="B2" s="590"/>
      <c r="C2" s="590"/>
      <c r="D2" s="590"/>
      <c r="E2" s="590"/>
      <c r="F2" s="590"/>
      <c r="G2" s="590"/>
      <c r="H2" s="590"/>
    </row>
    <row r="3" spans="1:8" ht="18">
      <c r="A3" s="590"/>
      <c r="B3" s="590"/>
      <c r="C3" s="590"/>
      <c r="D3" s="2739"/>
      <c r="E3" s="2739"/>
      <c r="G3" s="590"/>
    </row>
    <row r="4" spans="1:8" ht="18">
      <c r="A4" s="590"/>
      <c r="B4" s="590"/>
      <c r="C4" s="590"/>
      <c r="D4" s="590"/>
      <c r="E4" s="590"/>
      <c r="F4" s="590"/>
      <c r="G4" s="590"/>
      <c r="H4" s="590"/>
    </row>
    <row r="5" spans="1:8" ht="55.5" customHeight="1">
      <c r="A5" s="591" t="s">
        <v>2782</v>
      </c>
      <c r="B5" s="2740" t="s">
        <v>2783</v>
      </c>
      <c r="C5" s="2741"/>
      <c r="D5" s="2740" t="s">
        <v>2784</v>
      </c>
      <c r="E5" s="2741"/>
      <c r="F5" s="2740" t="s">
        <v>2785</v>
      </c>
      <c r="G5" s="2741"/>
      <c r="H5" s="592" t="s">
        <v>2786</v>
      </c>
    </row>
    <row r="6" spans="1:8">
      <c r="A6" s="593"/>
      <c r="B6" s="594" t="s">
        <v>2787</v>
      </c>
      <c r="C6" s="595"/>
      <c r="D6" s="594" t="s">
        <v>2787</v>
      </c>
      <c r="E6" s="595"/>
      <c r="F6" s="594" t="s">
        <v>2787</v>
      </c>
      <c r="G6" s="595"/>
      <c r="H6" s="596" t="s">
        <v>2788</v>
      </c>
    </row>
    <row r="7" spans="1:8" ht="15.75">
      <c r="A7" s="597" t="s">
        <v>2789</v>
      </c>
      <c r="B7" s="598" t="s">
        <v>2790</v>
      </c>
      <c r="C7" s="599"/>
      <c r="D7" s="598" t="s">
        <v>2790</v>
      </c>
      <c r="E7" s="599"/>
      <c r="F7" s="598" t="s">
        <v>2790</v>
      </c>
      <c r="G7" s="599"/>
      <c r="H7" s="600"/>
    </row>
    <row r="8" spans="1:8">
      <c r="A8" s="2742" t="s">
        <v>2791</v>
      </c>
      <c r="B8" s="601" t="s">
        <v>2792</v>
      </c>
      <c r="C8" s="602" t="s">
        <v>2793</v>
      </c>
      <c r="D8" s="601" t="s">
        <v>2792</v>
      </c>
      <c r="E8" s="602" t="s">
        <v>2793</v>
      </c>
      <c r="F8" s="601" t="s">
        <v>2792</v>
      </c>
      <c r="G8" s="602" t="s">
        <v>2793</v>
      </c>
      <c r="H8" s="603"/>
    </row>
    <row r="9" spans="1:8" ht="36.75" customHeight="1">
      <c r="A9" s="2743"/>
      <c r="B9" s="604" t="s">
        <v>2794</v>
      </c>
      <c r="C9" s="605" t="s">
        <v>2795</v>
      </c>
      <c r="D9" s="604" t="s">
        <v>2794</v>
      </c>
      <c r="E9" s="605" t="s">
        <v>2795</v>
      </c>
      <c r="F9" s="604" t="s">
        <v>2794</v>
      </c>
      <c r="G9" s="605" t="s">
        <v>2795</v>
      </c>
      <c r="H9" s="606"/>
    </row>
    <row r="10" spans="1:8">
      <c r="A10" s="103" t="s">
        <v>2796</v>
      </c>
      <c r="B10" s="604">
        <v>0</v>
      </c>
      <c r="C10" s="605">
        <v>0</v>
      </c>
      <c r="D10" s="605">
        <v>0</v>
      </c>
      <c r="E10" s="605">
        <v>0</v>
      </c>
      <c r="F10" s="605">
        <v>0</v>
      </c>
      <c r="G10" s="605">
        <v>0</v>
      </c>
      <c r="H10" s="606"/>
    </row>
    <row r="11" spans="1:8">
      <c r="A11" s="103" t="s">
        <v>2797</v>
      </c>
      <c r="B11" s="604">
        <v>0</v>
      </c>
      <c r="C11" s="605">
        <v>0</v>
      </c>
      <c r="D11" s="605">
        <v>0</v>
      </c>
      <c r="E11" s="605">
        <v>0</v>
      </c>
      <c r="F11" s="605">
        <v>0</v>
      </c>
      <c r="G11" s="605">
        <v>0</v>
      </c>
      <c r="H11" s="606"/>
    </row>
    <row r="12" spans="1:8">
      <c r="A12" s="103" t="s">
        <v>2798</v>
      </c>
      <c r="B12" s="604">
        <v>0</v>
      </c>
      <c r="C12" s="605">
        <v>0</v>
      </c>
      <c r="D12" s="605">
        <v>0</v>
      </c>
      <c r="E12" s="605">
        <v>0</v>
      </c>
      <c r="F12" s="605">
        <v>0</v>
      </c>
      <c r="G12" s="605">
        <v>0</v>
      </c>
      <c r="H12" s="606"/>
    </row>
    <row r="13" spans="1:8">
      <c r="A13" s="103" t="s">
        <v>2799</v>
      </c>
      <c r="B13" s="604">
        <v>0</v>
      </c>
      <c r="C13" s="605">
        <v>0</v>
      </c>
      <c r="D13" s="605">
        <v>0</v>
      </c>
      <c r="E13" s="605">
        <v>0</v>
      </c>
      <c r="F13" s="605">
        <v>0</v>
      </c>
      <c r="G13" s="605">
        <v>0</v>
      </c>
      <c r="H13" s="606"/>
    </row>
    <row r="14" spans="1:8">
      <c r="A14" s="103" t="s">
        <v>2800</v>
      </c>
      <c r="B14" s="604">
        <v>0</v>
      </c>
      <c r="C14" s="605">
        <v>0</v>
      </c>
      <c r="D14" s="605">
        <v>0</v>
      </c>
      <c r="E14" s="605">
        <v>0</v>
      </c>
      <c r="F14" s="605">
        <v>0</v>
      </c>
      <c r="G14" s="605">
        <v>0</v>
      </c>
      <c r="H14" s="606"/>
    </row>
    <row r="15" spans="1:8">
      <c r="A15" s="103" t="s">
        <v>2801</v>
      </c>
      <c r="B15" s="604">
        <v>0</v>
      </c>
      <c r="C15" s="605">
        <v>0</v>
      </c>
      <c r="D15" s="605">
        <v>0</v>
      </c>
      <c r="E15" s="605">
        <v>0</v>
      </c>
      <c r="F15" s="605">
        <v>0</v>
      </c>
      <c r="G15" s="605">
        <v>0</v>
      </c>
      <c r="H15" s="606"/>
    </row>
    <row r="16" spans="1:8">
      <c r="A16" s="103" t="s">
        <v>2802</v>
      </c>
      <c r="B16" s="604">
        <v>0</v>
      </c>
      <c r="C16" s="605">
        <v>0</v>
      </c>
      <c r="D16" s="605">
        <v>0</v>
      </c>
      <c r="E16" s="605">
        <v>0</v>
      </c>
      <c r="F16" s="605">
        <v>0</v>
      </c>
      <c r="G16" s="605">
        <v>0</v>
      </c>
      <c r="H16" s="606"/>
    </row>
    <row r="17" spans="1:8">
      <c r="A17" s="103" t="s">
        <v>2803</v>
      </c>
      <c r="B17" s="604">
        <v>0</v>
      </c>
      <c r="C17" s="605">
        <v>0</v>
      </c>
      <c r="D17" s="605">
        <v>0</v>
      </c>
      <c r="E17" s="605">
        <v>0</v>
      </c>
      <c r="F17" s="605">
        <v>0</v>
      </c>
      <c r="G17" s="605">
        <v>0</v>
      </c>
      <c r="H17" s="606"/>
    </row>
    <row r="18" spans="1:8">
      <c r="A18" s="103" t="s">
        <v>2804</v>
      </c>
      <c r="B18" s="604">
        <v>0</v>
      </c>
      <c r="C18" s="605">
        <v>3</v>
      </c>
      <c r="D18" s="605">
        <v>0</v>
      </c>
      <c r="E18" s="605">
        <v>0</v>
      </c>
      <c r="F18" s="605">
        <v>0</v>
      </c>
      <c r="G18" s="605">
        <v>0</v>
      </c>
      <c r="H18" s="606"/>
    </row>
    <row r="19" spans="1:8">
      <c r="A19" s="103" t="s">
        <v>2805</v>
      </c>
      <c r="B19" s="604">
        <v>0</v>
      </c>
      <c r="C19" s="605">
        <v>0</v>
      </c>
      <c r="D19" s="605">
        <v>0</v>
      </c>
      <c r="E19" s="605">
        <v>0</v>
      </c>
      <c r="F19" s="605">
        <v>0</v>
      </c>
      <c r="G19" s="605">
        <v>0</v>
      </c>
      <c r="H19" s="606"/>
    </row>
    <row r="20" spans="1:8">
      <c r="A20" s="103" t="s">
        <v>2806</v>
      </c>
      <c r="B20" s="604">
        <v>0</v>
      </c>
      <c r="C20" s="605">
        <v>0</v>
      </c>
      <c r="D20" s="605">
        <v>0</v>
      </c>
      <c r="E20" s="605">
        <v>0</v>
      </c>
      <c r="F20" s="605">
        <v>0</v>
      </c>
      <c r="G20" s="605">
        <v>0</v>
      </c>
      <c r="H20" s="606"/>
    </row>
    <row r="21" spans="1:8">
      <c r="A21" s="103" t="s">
        <v>2807</v>
      </c>
      <c r="B21" s="604">
        <v>0</v>
      </c>
      <c r="C21" s="605">
        <v>0</v>
      </c>
      <c r="D21" s="605">
        <v>0</v>
      </c>
      <c r="E21" s="605">
        <v>0</v>
      </c>
      <c r="F21" s="605">
        <v>0</v>
      </c>
      <c r="G21" s="605">
        <v>0</v>
      </c>
      <c r="H21" s="606"/>
    </row>
    <row r="22" spans="1:8">
      <c r="A22" s="103" t="s">
        <v>2808</v>
      </c>
      <c r="B22" s="604">
        <v>0</v>
      </c>
      <c r="C22" s="605">
        <v>0</v>
      </c>
      <c r="D22" s="605">
        <v>0</v>
      </c>
      <c r="E22" s="605">
        <v>0</v>
      </c>
      <c r="F22" s="605">
        <v>0</v>
      </c>
      <c r="G22" s="605">
        <v>0</v>
      </c>
      <c r="H22" s="606"/>
    </row>
    <row r="23" spans="1:8">
      <c r="A23" s="103" t="s">
        <v>2809</v>
      </c>
      <c r="B23" s="604">
        <v>0</v>
      </c>
      <c r="C23" s="605">
        <v>0</v>
      </c>
      <c r="D23" s="605">
        <v>0</v>
      </c>
      <c r="E23" s="605">
        <v>0</v>
      </c>
      <c r="F23" s="605">
        <v>0</v>
      </c>
      <c r="G23" s="605">
        <v>0</v>
      </c>
      <c r="H23" s="606"/>
    </row>
    <row r="24" spans="1:8">
      <c r="A24" s="103" t="s">
        <v>2810</v>
      </c>
      <c r="B24" s="604">
        <v>0</v>
      </c>
      <c r="C24" s="605">
        <v>0</v>
      </c>
      <c r="D24" s="605">
        <v>0</v>
      </c>
      <c r="E24" s="605">
        <v>0</v>
      </c>
      <c r="F24" s="605">
        <v>0</v>
      </c>
      <c r="G24" s="605">
        <v>0</v>
      </c>
      <c r="H24" s="606"/>
    </row>
    <row r="25" spans="1:8">
      <c r="A25" s="209" t="s">
        <v>2811</v>
      </c>
      <c r="B25" s="104">
        <f t="shared" ref="B25:G25" si="0">AVERAGE(B10:B24)</f>
        <v>0</v>
      </c>
      <c r="C25" s="106">
        <f t="shared" si="0"/>
        <v>0.2</v>
      </c>
      <c r="D25" s="104">
        <f t="shared" si="0"/>
        <v>0</v>
      </c>
      <c r="E25" s="106">
        <f t="shared" si="0"/>
        <v>0</v>
      </c>
      <c r="F25" s="104">
        <f t="shared" si="0"/>
        <v>0</v>
      </c>
      <c r="G25" s="105">
        <f t="shared" si="0"/>
        <v>0</v>
      </c>
      <c r="H25" s="607"/>
    </row>
  </sheetData>
  <mergeCells count="5">
    <mergeCell ref="D3:E3"/>
    <mergeCell ref="B5:C5"/>
    <mergeCell ref="D5:E5"/>
    <mergeCell ref="F5:G5"/>
    <mergeCell ref="A8:A9"/>
  </mergeCells>
  <printOptions horizontalCentered="1"/>
  <pageMargins left="0.5" right="0.5" top="1" bottom="0.75" header="0.5" footer="0.5"/>
  <pageSetup scale="92"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8000"/>
  </sheetPr>
  <dimension ref="A1:N15"/>
  <sheetViews>
    <sheetView view="pageBreakPreview" zoomScaleNormal="100" zoomScaleSheetLayoutView="100" workbookViewId="0">
      <selection activeCell="E18" sqref="E18"/>
    </sheetView>
  </sheetViews>
  <sheetFormatPr defaultColWidth="9.140625" defaultRowHeight="15"/>
  <cols>
    <col min="1" max="1" width="19.85546875" style="1867" customWidth="1"/>
    <col min="2" max="2" width="10.28515625" style="1867" customWidth="1"/>
    <col min="3" max="3" width="11.85546875" style="1867" customWidth="1"/>
    <col min="4" max="4" width="9.140625" style="1867"/>
    <col min="5" max="5" width="9.85546875" style="1867" customWidth="1"/>
    <col min="6" max="6" width="10.7109375" style="1867" customWidth="1"/>
    <col min="7" max="7" width="11.28515625" style="1867" customWidth="1"/>
    <col min="8" max="8" width="9.140625" style="1867"/>
    <col min="9" max="9" width="9.140625" style="1867" customWidth="1"/>
    <col min="10" max="10" width="9.140625" style="1867"/>
    <col min="11" max="11" width="10.140625" style="1867" customWidth="1"/>
    <col min="12" max="12" width="10.7109375" style="1867" customWidth="1"/>
    <col min="13" max="13" width="11.42578125" style="1867" customWidth="1"/>
    <col min="14" max="14" width="33" style="1867" bestFit="1" customWidth="1"/>
    <col min="15" max="16384" width="9.140625" style="1867"/>
  </cols>
  <sheetData>
    <row r="1" spans="1:14">
      <c r="A1" s="2745" t="s">
        <v>2779</v>
      </c>
      <c r="B1" s="2745"/>
      <c r="C1" s="518"/>
      <c r="D1" s="518"/>
      <c r="E1" s="518"/>
      <c r="F1" s="518"/>
      <c r="G1" s="518"/>
      <c r="H1" s="518"/>
      <c r="I1" s="518"/>
      <c r="J1" s="518"/>
      <c r="K1" s="518"/>
      <c r="L1" s="518"/>
      <c r="M1" s="519" t="s">
        <v>210</v>
      </c>
      <c r="N1" s="520" t="s">
        <v>2812</v>
      </c>
    </row>
    <row r="2" spans="1:14" ht="18.75" customHeight="1">
      <c r="A2" s="518"/>
      <c r="B2" s="518"/>
      <c r="C2" s="518"/>
      <c r="D2" s="518"/>
      <c r="E2" s="518"/>
      <c r="F2" s="518"/>
      <c r="G2" s="518"/>
      <c r="H2" s="518"/>
      <c r="I2" s="518"/>
      <c r="J2" s="518"/>
      <c r="K2" s="518"/>
      <c r="L2" s="518"/>
      <c r="M2" s="518"/>
      <c r="N2" s="518"/>
    </row>
    <row r="3" spans="1:14" ht="19.5" customHeight="1">
      <c r="A3" s="521" t="s">
        <v>124</v>
      </c>
      <c r="B3" s="521"/>
      <c r="C3" s="521"/>
      <c r="D3" s="521"/>
      <c r="E3" s="521"/>
      <c r="F3" s="521"/>
      <c r="G3" s="521"/>
      <c r="H3" s="521"/>
      <c r="I3" s="521"/>
      <c r="J3" s="521"/>
      <c r="K3" s="521"/>
      <c r="L3" s="521"/>
      <c r="M3" s="521"/>
      <c r="N3" s="521"/>
    </row>
    <row r="4" spans="1:14" ht="15.75">
      <c r="A4" s="518"/>
      <c r="B4" s="518"/>
      <c r="C4" s="518"/>
      <c r="D4" s="518"/>
      <c r="E4" s="522"/>
      <c r="F4" s="518"/>
      <c r="G4" s="2746"/>
      <c r="H4" s="2746"/>
      <c r="I4" s="518"/>
      <c r="J4" s="518"/>
      <c r="K4" s="518"/>
      <c r="L4" s="518"/>
      <c r="M4" s="518"/>
      <c r="N4" s="518"/>
    </row>
    <row r="5" spans="1:14" ht="18">
      <c r="A5" s="523" t="s">
        <v>2813</v>
      </c>
      <c r="B5" s="1159" t="s">
        <v>2782</v>
      </c>
      <c r="C5" s="1159"/>
      <c r="D5" s="1159"/>
      <c r="E5" s="1159"/>
      <c r="F5" s="1159"/>
      <c r="G5" s="1159"/>
      <c r="H5" s="1159"/>
      <c r="I5" s="1159"/>
      <c r="J5" s="1159"/>
      <c r="K5" s="1159"/>
      <c r="L5" s="1159"/>
      <c r="M5" s="524"/>
      <c r="N5" s="525"/>
    </row>
    <row r="6" spans="1:14" ht="30" customHeight="1">
      <c r="A6" s="2747"/>
      <c r="B6" s="2744" t="s">
        <v>2814</v>
      </c>
      <c r="C6" s="2744"/>
      <c r="D6" s="2744"/>
      <c r="E6" s="2744"/>
      <c r="F6" s="2744" t="s">
        <v>2815</v>
      </c>
      <c r="G6" s="2744"/>
      <c r="H6" s="2744"/>
      <c r="I6" s="2744"/>
      <c r="J6" s="2744" t="s">
        <v>2816</v>
      </c>
      <c r="K6" s="2744"/>
      <c r="L6" s="2744"/>
      <c r="M6" s="2744"/>
      <c r="N6" s="526" t="s">
        <v>2817</v>
      </c>
    </row>
    <row r="7" spans="1:14" ht="15.75" customHeight="1">
      <c r="A7" s="2748"/>
      <c r="B7" s="527" t="s">
        <v>2818</v>
      </c>
      <c r="C7" s="527"/>
      <c r="D7" s="527"/>
      <c r="E7" s="527"/>
      <c r="F7" s="527" t="s">
        <v>2818</v>
      </c>
      <c r="G7" s="528"/>
      <c r="H7" s="528"/>
      <c r="I7" s="528"/>
      <c r="J7" s="527" t="s">
        <v>2818</v>
      </c>
      <c r="K7" s="527"/>
      <c r="L7" s="527"/>
      <c r="M7" s="527"/>
      <c r="N7" s="2756" t="s">
        <v>2819</v>
      </c>
    </row>
    <row r="8" spans="1:14" ht="18.75" customHeight="1">
      <c r="A8" s="2748"/>
      <c r="B8" s="2759" t="s">
        <v>2820</v>
      </c>
      <c r="C8" s="2760"/>
      <c r="D8" s="2759" t="s">
        <v>2821</v>
      </c>
      <c r="E8" s="2760"/>
      <c r="F8" s="2759" t="s">
        <v>2820</v>
      </c>
      <c r="G8" s="2760"/>
      <c r="H8" s="2759" t="s">
        <v>2821</v>
      </c>
      <c r="I8" s="2760"/>
      <c r="J8" s="2759" t="s">
        <v>2820</v>
      </c>
      <c r="K8" s="2760"/>
      <c r="L8" s="2759" t="s">
        <v>2821</v>
      </c>
      <c r="M8" s="2760"/>
      <c r="N8" s="2757"/>
    </row>
    <row r="9" spans="1:14">
      <c r="A9" s="2749"/>
      <c r="B9" s="562" t="s">
        <v>2822</v>
      </c>
      <c r="C9" s="975" t="s">
        <v>2823</v>
      </c>
      <c r="D9" s="562" t="s">
        <v>2822</v>
      </c>
      <c r="E9" s="975" t="s">
        <v>2823</v>
      </c>
      <c r="F9" s="562" t="s">
        <v>2822</v>
      </c>
      <c r="G9" s="975" t="s">
        <v>2823</v>
      </c>
      <c r="H9" s="562" t="s">
        <v>2822</v>
      </c>
      <c r="I9" s="975" t="s">
        <v>2823</v>
      </c>
      <c r="J9" s="562" t="s">
        <v>2822</v>
      </c>
      <c r="K9" s="975" t="s">
        <v>2823</v>
      </c>
      <c r="L9" s="562" t="s">
        <v>2822</v>
      </c>
      <c r="M9" s="975" t="s">
        <v>2823</v>
      </c>
      <c r="N9" s="2758"/>
    </row>
    <row r="10" spans="1:14" ht="18.75" customHeight="1">
      <c r="A10" s="563"/>
      <c r="B10" s="578"/>
      <c r="C10" s="579"/>
      <c r="D10" s="579"/>
      <c r="E10" s="580"/>
      <c r="F10" s="578"/>
      <c r="G10" s="579"/>
      <c r="H10" s="579"/>
      <c r="I10" s="580"/>
      <c r="J10" s="578"/>
      <c r="K10" s="579"/>
      <c r="L10" s="579"/>
      <c r="M10" s="580"/>
      <c r="N10" s="2750" t="s">
        <v>2824</v>
      </c>
    </row>
    <row r="11" spans="1:14" ht="15.75">
      <c r="A11" s="529" t="s">
        <v>2825</v>
      </c>
      <c r="B11" s="1868">
        <v>3</v>
      </c>
      <c r="C11" s="1868">
        <v>0</v>
      </c>
      <c r="D11" s="1868">
        <v>2</v>
      </c>
      <c r="E11" s="1868">
        <v>0</v>
      </c>
      <c r="F11" s="1868">
        <v>0</v>
      </c>
      <c r="G11" s="1868">
        <v>0</v>
      </c>
      <c r="H11" s="1868">
        <v>2</v>
      </c>
      <c r="I11" s="1868">
        <v>0</v>
      </c>
      <c r="J11" s="1868">
        <v>0</v>
      </c>
      <c r="K11" s="1868">
        <v>0</v>
      </c>
      <c r="L11" s="1868">
        <v>2</v>
      </c>
      <c r="M11" s="1868">
        <v>0</v>
      </c>
      <c r="N11" s="2751"/>
    </row>
    <row r="12" spans="1:14" ht="15.75">
      <c r="A12" s="529" t="s">
        <v>2826</v>
      </c>
      <c r="B12" s="1868">
        <v>15</v>
      </c>
      <c r="C12" s="1868">
        <v>1</v>
      </c>
      <c r="D12" s="1868">
        <v>18</v>
      </c>
      <c r="E12" s="1868">
        <v>0</v>
      </c>
      <c r="F12" s="1868">
        <v>7</v>
      </c>
      <c r="G12" s="1868">
        <v>4</v>
      </c>
      <c r="H12" s="1868">
        <v>12</v>
      </c>
      <c r="I12" s="1868">
        <v>0</v>
      </c>
      <c r="J12" s="1868">
        <v>9</v>
      </c>
      <c r="K12" s="1868">
        <v>9</v>
      </c>
      <c r="L12" s="1868">
        <v>25</v>
      </c>
      <c r="M12" s="1868">
        <v>0</v>
      </c>
      <c r="N12" s="2751"/>
    </row>
    <row r="13" spans="1:14" ht="15.75">
      <c r="A13" s="529" t="s">
        <v>2827</v>
      </c>
      <c r="B13" s="1868">
        <v>9</v>
      </c>
      <c r="C13" s="1868">
        <v>7</v>
      </c>
      <c r="D13" s="1868">
        <v>6</v>
      </c>
      <c r="E13" s="1868">
        <v>0</v>
      </c>
      <c r="F13" s="1868">
        <v>11</v>
      </c>
      <c r="G13" s="1868">
        <v>2</v>
      </c>
      <c r="H13" s="1868">
        <v>3</v>
      </c>
      <c r="I13" s="1868">
        <v>0</v>
      </c>
      <c r="J13" s="1868">
        <v>4</v>
      </c>
      <c r="K13" s="1868">
        <v>9</v>
      </c>
      <c r="L13" s="1868">
        <v>7</v>
      </c>
      <c r="M13" s="1868">
        <v>0</v>
      </c>
      <c r="N13" s="2751"/>
    </row>
    <row r="14" spans="1:14" ht="15.75">
      <c r="A14" s="529" t="s">
        <v>2828</v>
      </c>
      <c r="B14" s="2753" t="s">
        <v>2829</v>
      </c>
      <c r="C14" s="2754"/>
      <c r="D14" s="2754"/>
      <c r="E14" s="2755"/>
      <c r="F14" s="2753" t="s">
        <v>2829</v>
      </c>
      <c r="G14" s="2754"/>
      <c r="H14" s="2754"/>
      <c r="I14" s="2755"/>
      <c r="J14" s="2753" t="s">
        <v>2829</v>
      </c>
      <c r="K14" s="2754"/>
      <c r="L14" s="2754"/>
      <c r="M14" s="2755"/>
      <c r="N14" s="2751"/>
    </row>
    <row r="15" spans="1:14" ht="26.25" customHeight="1">
      <c r="A15" s="1869"/>
      <c r="B15" s="1870">
        <f t="shared" ref="B15:M15" si="0">SUM(B11:B13)</f>
        <v>27</v>
      </c>
      <c r="C15" s="1870">
        <f t="shared" si="0"/>
        <v>8</v>
      </c>
      <c r="D15" s="1870">
        <f t="shared" si="0"/>
        <v>26</v>
      </c>
      <c r="E15" s="1870">
        <f t="shared" si="0"/>
        <v>0</v>
      </c>
      <c r="F15" s="1870">
        <f t="shared" si="0"/>
        <v>18</v>
      </c>
      <c r="G15" s="1870">
        <f t="shared" si="0"/>
        <v>6</v>
      </c>
      <c r="H15" s="1870">
        <f>SUM(H11:H13)</f>
        <v>17</v>
      </c>
      <c r="I15" s="1870">
        <f t="shared" si="0"/>
        <v>0</v>
      </c>
      <c r="J15" s="1870">
        <f t="shared" si="0"/>
        <v>13</v>
      </c>
      <c r="K15" s="1870">
        <f t="shared" si="0"/>
        <v>18</v>
      </c>
      <c r="L15" s="1870">
        <f t="shared" si="0"/>
        <v>34</v>
      </c>
      <c r="M15" s="1870">
        <f t="shared" si="0"/>
        <v>0</v>
      </c>
      <c r="N15" s="2752"/>
    </row>
  </sheetData>
  <mergeCells count="17">
    <mergeCell ref="N10:N15"/>
    <mergeCell ref="B14:E14"/>
    <mergeCell ref="F14:I14"/>
    <mergeCell ref="J14:M14"/>
    <mergeCell ref="N7:N9"/>
    <mergeCell ref="B8:C8"/>
    <mergeCell ref="D8:E8"/>
    <mergeCell ref="F8:G8"/>
    <mergeCell ref="H8:I8"/>
    <mergeCell ref="J8:K8"/>
    <mergeCell ref="L8:M8"/>
    <mergeCell ref="J6:M6"/>
    <mergeCell ref="A1:B1"/>
    <mergeCell ref="G4:H4"/>
    <mergeCell ref="A6:A9"/>
    <mergeCell ref="B6:E6"/>
    <mergeCell ref="F6:I6"/>
  </mergeCells>
  <pageMargins left="0.70866141732283472" right="0.70866141732283472" top="0.74803149606299213" bottom="0.74803149606299213" header="0.31496062992125984" footer="0.31496062992125984"/>
  <pageSetup paperSize="9" scale="73" orientation="landscape"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8000"/>
    <pageSetUpPr fitToPage="1"/>
  </sheetPr>
  <dimension ref="A1:J5"/>
  <sheetViews>
    <sheetView showOutlineSymbols="0" view="pageBreakPreview" zoomScale="80" zoomScaleNormal="87" zoomScaleSheetLayoutView="80" workbookViewId="0">
      <selection activeCell="F5" sqref="F5"/>
    </sheetView>
  </sheetViews>
  <sheetFormatPr defaultRowHeight="14.25"/>
  <cols>
    <col min="1" max="1" width="12.85546875" style="110" customWidth="1"/>
    <col min="2" max="10" width="17.42578125" style="110" customWidth="1"/>
    <col min="11" max="11" width="11.85546875" style="110" customWidth="1"/>
    <col min="12" max="256" width="9.140625" style="110"/>
    <col min="257" max="257" width="12.85546875" style="110" customWidth="1"/>
    <col min="258" max="258" width="19.5703125" style="110" customWidth="1"/>
    <col min="259" max="259" width="18.85546875" style="110" customWidth="1"/>
    <col min="260" max="260" width="17.85546875" style="110" customWidth="1"/>
    <col min="261" max="261" width="19.5703125" style="110" customWidth="1"/>
    <col min="262" max="263" width="16.140625" style="110" customWidth="1"/>
    <col min="264" max="264" width="16.5703125" style="110" customWidth="1"/>
    <col min="265" max="265" width="17.28515625" style="110" customWidth="1"/>
    <col min="266" max="266" width="20.140625" style="110" customWidth="1"/>
    <col min="267" max="267" width="11.85546875" style="110" customWidth="1"/>
    <col min="268" max="512" width="9.140625" style="110"/>
    <col min="513" max="513" width="12.85546875" style="110" customWidth="1"/>
    <col min="514" max="514" width="19.5703125" style="110" customWidth="1"/>
    <col min="515" max="515" width="18.85546875" style="110" customWidth="1"/>
    <col min="516" max="516" width="17.85546875" style="110" customWidth="1"/>
    <col min="517" max="517" width="19.5703125" style="110" customWidth="1"/>
    <col min="518" max="519" width="16.140625" style="110" customWidth="1"/>
    <col min="520" max="520" width="16.5703125" style="110" customWidth="1"/>
    <col min="521" max="521" width="17.28515625" style="110" customWidth="1"/>
    <col min="522" max="522" width="20.140625" style="110" customWidth="1"/>
    <col min="523" max="523" width="11.85546875" style="110" customWidth="1"/>
    <col min="524" max="768" width="9.140625" style="110"/>
    <col min="769" max="769" width="12.85546875" style="110" customWidth="1"/>
    <col min="770" max="770" width="19.5703125" style="110" customWidth="1"/>
    <col min="771" max="771" width="18.85546875" style="110" customWidth="1"/>
    <col min="772" max="772" width="17.85546875" style="110" customWidth="1"/>
    <col min="773" max="773" width="19.5703125" style="110" customWidth="1"/>
    <col min="774" max="775" width="16.140625" style="110" customWidth="1"/>
    <col min="776" max="776" width="16.5703125" style="110" customWidth="1"/>
    <col min="777" max="777" width="17.28515625" style="110" customWidth="1"/>
    <col min="778" max="778" width="20.140625" style="110" customWidth="1"/>
    <col min="779" max="779" width="11.85546875" style="110" customWidth="1"/>
    <col min="780" max="1024" width="9.140625" style="110"/>
    <col min="1025" max="1025" width="12.85546875" style="110" customWidth="1"/>
    <col min="1026" max="1026" width="19.5703125" style="110" customWidth="1"/>
    <col min="1027" max="1027" width="18.85546875" style="110" customWidth="1"/>
    <col min="1028" max="1028" width="17.85546875" style="110" customWidth="1"/>
    <col min="1029" max="1029" width="19.5703125" style="110" customWidth="1"/>
    <col min="1030" max="1031" width="16.140625" style="110" customWidth="1"/>
    <col min="1032" max="1032" width="16.5703125" style="110" customWidth="1"/>
    <col min="1033" max="1033" width="17.28515625" style="110" customWidth="1"/>
    <col min="1034" max="1034" width="20.140625" style="110" customWidth="1"/>
    <col min="1035" max="1035" width="11.85546875" style="110" customWidth="1"/>
    <col min="1036" max="1280" width="9.140625" style="110"/>
    <col min="1281" max="1281" width="12.85546875" style="110" customWidth="1"/>
    <col min="1282" max="1282" width="19.5703125" style="110" customWidth="1"/>
    <col min="1283" max="1283" width="18.85546875" style="110" customWidth="1"/>
    <col min="1284" max="1284" width="17.85546875" style="110" customWidth="1"/>
    <col min="1285" max="1285" width="19.5703125" style="110" customWidth="1"/>
    <col min="1286" max="1287" width="16.140625" style="110" customWidth="1"/>
    <col min="1288" max="1288" width="16.5703125" style="110" customWidth="1"/>
    <col min="1289" max="1289" width="17.28515625" style="110" customWidth="1"/>
    <col min="1290" max="1290" width="20.140625" style="110" customWidth="1"/>
    <col min="1291" max="1291" width="11.85546875" style="110" customWidth="1"/>
    <col min="1292" max="1536" width="9.140625" style="110"/>
    <col min="1537" max="1537" width="12.85546875" style="110" customWidth="1"/>
    <col min="1538" max="1538" width="19.5703125" style="110" customWidth="1"/>
    <col min="1539" max="1539" width="18.85546875" style="110" customWidth="1"/>
    <col min="1540" max="1540" width="17.85546875" style="110" customWidth="1"/>
    <col min="1541" max="1541" width="19.5703125" style="110" customWidth="1"/>
    <col min="1542" max="1543" width="16.140625" style="110" customWidth="1"/>
    <col min="1544" max="1544" width="16.5703125" style="110" customWidth="1"/>
    <col min="1545" max="1545" width="17.28515625" style="110" customWidth="1"/>
    <col min="1546" max="1546" width="20.140625" style="110" customWidth="1"/>
    <col min="1547" max="1547" width="11.85546875" style="110" customWidth="1"/>
    <col min="1548" max="1792" width="9.140625" style="110"/>
    <col min="1793" max="1793" width="12.85546875" style="110" customWidth="1"/>
    <col min="1794" max="1794" width="19.5703125" style="110" customWidth="1"/>
    <col min="1795" max="1795" width="18.85546875" style="110" customWidth="1"/>
    <col min="1796" max="1796" width="17.85546875" style="110" customWidth="1"/>
    <col min="1797" max="1797" width="19.5703125" style="110" customWidth="1"/>
    <col min="1798" max="1799" width="16.140625" style="110" customWidth="1"/>
    <col min="1800" max="1800" width="16.5703125" style="110" customWidth="1"/>
    <col min="1801" max="1801" width="17.28515625" style="110" customWidth="1"/>
    <col min="1802" max="1802" width="20.140625" style="110" customWidth="1"/>
    <col min="1803" max="1803" width="11.85546875" style="110" customWidth="1"/>
    <col min="1804" max="2048" width="9.140625" style="110"/>
    <col min="2049" max="2049" width="12.85546875" style="110" customWidth="1"/>
    <col min="2050" max="2050" width="19.5703125" style="110" customWidth="1"/>
    <col min="2051" max="2051" width="18.85546875" style="110" customWidth="1"/>
    <col min="2052" max="2052" width="17.85546875" style="110" customWidth="1"/>
    <col min="2053" max="2053" width="19.5703125" style="110" customWidth="1"/>
    <col min="2054" max="2055" width="16.140625" style="110" customWidth="1"/>
    <col min="2056" max="2056" width="16.5703125" style="110" customWidth="1"/>
    <col min="2057" max="2057" width="17.28515625" style="110" customWidth="1"/>
    <col min="2058" max="2058" width="20.140625" style="110" customWidth="1"/>
    <col min="2059" max="2059" width="11.85546875" style="110" customWidth="1"/>
    <col min="2060" max="2304" width="9.140625" style="110"/>
    <col min="2305" max="2305" width="12.85546875" style="110" customWidth="1"/>
    <col min="2306" max="2306" width="19.5703125" style="110" customWidth="1"/>
    <col min="2307" max="2307" width="18.85546875" style="110" customWidth="1"/>
    <col min="2308" max="2308" width="17.85546875" style="110" customWidth="1"/>
    <col min="2309" max="2309" width="19.5703125" style="110" customWidth="1"/>
    <col min="2310" max="2311" width="16.140625" style="110" customWidth="1"/>
    <col min="2312" max="2312" width="16.5703125" style="110" customWidth="1"/>
    <col min="2313" max="2313" width="17.28515625" style="110" customWidth="1"/>
    <col min="2314" max="2314" width="20.140625" style="110" customWidth="1"/>
    <col min="2315" max="2315" width="11.85546875" style="110" customWidth="1"/>
    <col min="2316" max="2560" width="9.140625" style="110"/>
    <col min="2561" max="2561" width="12.85546875" style="110" customWidth="1"/>
    <col min="2562" max="2562" width="19.5703125" style="110" customWidth="1"/>
    <col min="2563" max="2563" width="18.85546875" style="110" customWidth="1"/>
    <col min="2564" max="2564" width="17.85546875" style="110" customWidth="1"/>
    <col min="2565" max="2565" width="19.5703125" style="110" customWidth="1"/>
    <col min="2566" max="2567" width="16.140625" style="110" customWidth="1"/>
    <col min="2568" max="2568" width="16.5703125" style="110" customWidth="1"/>
    <col min="2569" max="2569" width="17.28515625" style="110" customWidth="1"/>
    <col min="2570" max="2570" width="20.140625" style="110" customWidth="1"/>
    <col min="2571" max="2571" width="11.85546875" style="110" customWidth="1"/>
    <col min="2572" max="2816" width="9.140625" style="110"/>
    <col min="2817" max="2817" width="12.85546875" style="110" customWidth="1"/>
    <col min="2818" max="2818" width="19.5703125" style="110" customWidth="1"/>
    <col min="2819" max="2819" width="18.85546875" style="110" customWidth="1"/>
    <col min="2820" max="2820" width="17.85546875" style="110" customWidth="1"/>
    <col min="2821" max="2821" width="19.5703125" style="110" customWidth="1"/>
    <col min="2822" max="2823" width="16.140625" style="110" customWidth="1"/>
    <col min="2824" max="2824" width="16.5703125" style="110" customWidth="1"/>
    <col min="2825" max="2825" width="17.28515625" style="110" customWidth="1"/>
    <col min="2826" max="2826" width="20.140625" style="110" customWidth="1"/>
    <col min="2827" max="2827" width="11.85546875" style="110" customWidth="1"/>
    <col min="2828" max="3072" width="9.140625" style="110"/>
    <col min="3073" max="3073" width="12.85546875" style="110" customWidth="1"/>
    <col min="3074" max="3074" width="19.5703125" style="110" customWidth="1"/>
    <col min="3075" max="3075" width="18.85546875" style="110" customWidth="1"/>
    <col min="3076" max="3076" width="17.85546875" style="110" customWidth="1"/>
    <col min="3077" max="3077" width="19.5703125" style="110" customWidth="1"/>
    <col min="3078" max="3079" width="16.140625" style="110" customWidth="1"/>
    <col min="3080" max="3080" width="16.5703125" style="110" customWidth="1"/>
    <col min="3081" max="3081" width="17.28515625" style="110" customWidth="1"/>
    <col min="3082" max="3082" width="20.140625" style="110" customWidth="1"/>
    <col min="3083" max="3083" width="11.85546875" style="110" customWidth="1"/>
    <col min="3084" max="3328" width="9.140625" style="110"/>
    <col min="3329" max="3329" width="12.85546875" style="110" customWidth="1"/>
    <col min="3330" max="3330" width="19.5703125" style="110" customWidth="1"/>
    <col min="3331" max="3331" width="18.85546875" style="110" customWidth="1"/>
    <col min="3332" max="3332" width="17.85546875" style="110" customWidth="1"/>
    <col min="3333" max="3333" width="19.5703125" style="110" customWidth="1"/>
    <col min="3334" max="3335" width="16.140625" style="110" customWidth="1"/>
    <col min="3336" max="3336" width="16.5703125" style="110" customWidth="1"/>
    <col min="3337" max="3337" width="17.28515625" style="110" customWidth="1"/>
    <col min="3338" max="3338" width="20.140625" style="110" customWidth="1"/>
    <col min="3339" max="3339" width="11.85546875" style="110" customWidth="1"/>
    <col min="3340" max="3584" width="9.140625" style="110"/>
    <col min="3585" max="3585" width="12.85546875" style="110" customWidth="1"/>
    <col min="3586" max="3586" width="19.5703125" style="110" customWidth="1"/>
    <col min="3587" max="3587" width="18.85546875" style="110" customWidth="1"/>
    <col min="3588" max="3588" width="17.85546875" style="110" customWidth="1"/>
    <col min="3589" max="3589" width="19.5703125" style="110" customWidth="1"/>
    <col min="3590" max="3591" width="16.140625" style="110" customWidth="1"/>
    <col min="3592" max="3592" width="16.5703125" style="110" customWidth="1"/>
    <col min="3593" max="3593" width="17.28515625" style="110" customWidth="1"/>
    <col min="3594" max="3594" width="20.140625" style="110" customWidth="1"/>
    <col min="3595" max="3595" width="11.85546875" style="110" customWidth="1"/>
    <col min="3596" max="3840" width="9.140625" style="110"/>
    <col min="3841" max="3841" width="12.85546875" style="110" customWidth="1"/>
    <col min="3842" max="3842" width="19.5703125" style="110" customWidth="1"/>
    <col min="3843" max="3843" width="18.85546875" style="110" customWidth="1"/>
    <col min="3844" max="3844" width="17.85546875" style="110" customWidth="1"/>
    <col min="3845" max="3845" width="19.5703125" style="110" customWidth="1"/>
    <col min="3846" max="3847" width="16.140625" style="110" customWidth="1"/>
    <col min="3848" max="3848" width="16.5703125" style="110" customWidth="1"/>
    <col min="3849" max="3849" width="17.28515625" style="110" customWidth="1"/>
    <col min="3850" max="3850" width="20.140625" style="110" customWidth="1"/>
    <col min="3851" max="3851" width="11.85546875" style="110" customWidth="1"/>
    <col min="3852" max="4096" width="9.140625" style="110"/>
    <col min="4097" max="4097" width="12.85546875" style="110" customWidth="1"/>
    <col min="4098" max="4098" width="19.5703125" style="110" customWidth="1"/>
    <col min="4099" max="4099" width="18.85546875" style="110" customWidth="1"/>
    <col min="4100" max="4100" width="17.85546875" style="110" customWidth="1"/>
    <col min="4101" max="4101" width="19.5703125" style="110" customWidth="1"/>
    <col min="4102" max="4103" width="16.140625" style="110" customWidth="1"/>
    <col min="4104" max="4104" width="16.5703125" style="110" customWidth="1"/>
    <col min="4105" max="4105" width="17.28515625" style="110" customWidth="1"/>
    <col min="4106" max="4106" width="20.140625" style="110" customWidth="1"/>
    <col min="4107" max="4107" width="11.85546875" style="110" customWidth="1"/>
    <col min="4108" max="4352" width="9.140625" style="110"/>
    <col min="4353" max="4353" width="12.85546875" style="110" customWidth="1"/>
    <col min="4354" max="4354" width="19.5703125" style="110" customWidth="1"/>
    <col min="4355" max="4355" width="18.85546875" style="110" customWidth="1"/>
    <col min="4356" max="4356" width="17.85546875" style="110" customWidth="1"/>
    <col min="4357" max="4357" width="19.5703125" style="110" customWidth="1"/>
    <col min="4358" max="4359" width="16.140625" style="110" customWidth="1"/>
    <col min="4360" max="4360" width="16.5703125" style="110" customWidth="1"/>
    <col min="4361" max="4361" width="17.28515625" style="110" customWidth="1"/>
    <col min="4362" max="4362" width="20.140625" style="110" customWidth="1"/>
    <col min="4363" max="4363" width="11.85546875" style="110" customWidth="1"/>
    <col min="4364" max="4608" width="9.140625" style="110"/>
    <col min="4609" max="4609" width="12.85546875" style="110" customWidth="1"/>
    <col min="4610" max="4610" width="19.5703125" style="110" customWidth="1"/>
    <col min="4611" max="4611" width="18.85546875" style="110" customWidth="1"/>
    <col min="4612" max="4612" width="17.85546875" style="110" customWidth="1"/>
    <col min="4613" max="4613" width="19.5703125" style="110" customWidth="1"/>
    <col min="4614" max="4615" width="16.140625" style="110" customWidth="1"/>
    <col min="4616" max="4616" width="16.5703125" style="110" customWidth="1"/>
    <col min="4617" max="4617" width="17.28515625" style="110" customWidth="1"/>
    <col min="4618" max="4618" width="20.140625" style="110" customWidth="1"/>
    <col min="4619" max="4619" width="11.85546875" style="110" customWidth="1"/>
    <col min="4620" max="4864" width="9.140625" style="110"/>
    <col min="4865" max="4865" width="12.85546875" style="110" customWidth="1"/>
    <col min="4866" max="4866" width="19.5703125" style="110" customWidth="1"/>
    <col min="4867" max="4867" width="18.85546875" style="110" customWidth="1"/>
    <col min="4868" max="4868" width="17.85546875" style="110" customWidth="1"/>
    <col min="4869" max="4869" width="19.5703125" style="110" customWidth="1"/>
    <col min="4870" max="4871" width="16.140625" style="110" customWidth="1"/>
    <col min="4872" max="4872" width="16.5703125" style="110" customWidth="1"/>
    <col min="4873" max="4873" width="17.28515625" style="110" customWidth="1"/>
    <col min="4874" max="4874" width="20.140625" style="110" customWidth="1"/>
    <col min="4875" max="4875" width="11.85546875" style="110" customWidth="1"/>
    <col min="4876" max="5120" width="9.140625" style="110"/>
    <col min="5121" max="5121" width="12.85546875" style="110" customWidth="1"/>
    <col min="5122" max="5122" width="19.5703125" style="110" customWidth="1"/>
    <col min="5123" max="5123" width="18.85546875" style="110" customWidth="1"/>
    <col min="5124" max="5124" width="17.85546875" style="110" customWidth="1"/>
    <col min="5125" max="5125" width="19.5703125" style="110" customWidth="1"/>
    <col min="5126" max="5127" width="16.140625" style="110" customWidth="1"/>
    <col min="5128" max="5128" width="16.5703125" style="110" customWidth="1"/>
    <col min="5129" max="5129" width="17.28515625" style="110" customWidth="1"/>
    <col min="5130" max="5130" width="20.140625" style="110" customWidth="1"/>
    <col min="5131" max="5131" width="11.85546875" style="110" customWidth="1"/>
    <col min="5132" max="5376" width="9.140625" style="110"/>
    <col min="5377" max="5377" width="12.85546875" style="110" customWidth="1"/>
    <col min="5378" max="5378" width="19.5703125" style="110" customWidth="1"/>
    <col min="5379" max="5379" width="18.85546875" style="110" customWidth="1"/>
    <col min="5380" max="5380" width="17.85546875" style="110" customWidth="1"/>
    <col min="5381" max="5381" width="19.5703125" style="110" customWidth="1"/>
    <col min="5382" max="5383" width="16.140625" style="110" customWidth="1"/>
    <col min="5384" max="5384" width="16.5703125" style="110" customWidth="1"/>
    <col min="5385" max="5385" width="17.28515625" style="110" customWidth="1"/>
    <col min="5386" max="5386" width="20.140625" style="110" customWidth="1"/>
    <col min="5387" max="5387" width="11.85546875" style="110" customWidth="1"/>
    <col min="5388" max="5632" width="9.140625" style="110"/>
    <col min="5633" max="5633" width="12.85546875" style="110" customWidth="1"/>
    <col min="5634" max="5634" width="19.5703125" style="110" customWidth="1"/>
    <col min="5635" max="5635" width="18.85546875" style="110" customWidth="1"/>
    <col min="5636" max="5636" width="17.85546875" style="110" customWidth="1"/>
    <col min="5637" max="5637" width="19.5703125" style="110" customWidth="1"/>
    <col min="5638" max="5639" width="16.140625" style="110" customWidth="1"/>
    <col min="5640" max="5640" width="16.5703125" style="110" customWidth="1"/>
    <col min="5641" max="5641" width="17.28515625" style="110" customWidth="1"/>
    <col min="5642" max="5642" width="20.140625" style="110" customWidth="1"/>
    <col min="5643" max="5643" width="11.85546875" style="110" customWidth="1"/>
    <col min="5644" max="5888" width="9.140625" style="110"/>
    <col min="5889" max="5889" width="12.85546875" style="110" customWidth="1"/>
    <col min="5890" max="5890" width="19.5703125" style="110" customWidth="1"/>
    <col min="5891" max="5891" width="18.85546875" style="110" customWidth="1"/>
    <col min="5892" max="5892" width="17.85546875" style="110" customWidth="1"/>
    <col min="5893" max="5893" width="19.5703125" style="110" customWidth="1"/>
    <col min="5894" max="5895" width="16.140625" style="110" customWidth="1"/>
    <col min="5896" max="5896" width="16.5703125" style="110" customWidth="1"/>
    <col min="5897" max="5897" width="17.28515625" style="110" customWidth="1"/>
    <col min="5898" max="5898" width="20.140625" style="110" customWidth="1"/>
    <col min="5899" max="5899" width="11.85546875" style="110" customWidth="1"/>
    <col min="5900" max="6144" width="9.140625" style="110"/>
    <col min="6145" max="6145" width="12.85546875" style="110" customWidth="1"/>
    <col min="6146" max="6146" width="19.5703125" style="110" customWidth="1"/>
    <col min="6147" max="6147" width="18.85546875" style="110" customWidth="1"/>
    <col min="6148" max="6148" width="17.85546875" style="110" customWidth="1"/>
    <col min="6149" max="6149" width="19.5703125" style="110" customWidth="1"/>
    <col min="6150" max="6151" width="16.140625" style="110" customWidth="1"/>
    <col min="6152" max="6152" width="16.5703125" style="110" customWidth="1"/>
    <col min="6153" max="6153" width="17.28515625" style="110" customWidth="1"/>
    <col min="6154" max="6154" width="20.140625" style="110" customWidth="1"/>
    <col min="6155" max="6155" width="11.85546875" style="110" customWidth="1"/>
    <col min="6156" max="6400" width="9.140625" style="110"/>
    <col min="6401" max="6401" width="12.85546875" style="110" customWidth="1"/>
    <col min="6402" max="6402" width="19.5703125" style="110" customWidth="1"/>
    <col min="6403" max="6403" width="18.85546875" style="110" customWidth="1"/>
    <col min="6404" max="6404" width="17.85546875" style="110" customWidth="1"/>
    <col min="6405" max="6405" width="19.5703125" style="110" customWidth="1"/>
    <col min="6406" max="6407" width="16.140625" style="110" customWidth="1"/>
    <col min="6408" max="6408" width="16.5703125" style="110" customWidth="1"/>
    <col min="6409" max="6409" width="17.28515625" style="110" customWidth="1"/>
    <col min="6410" max="6410" width="20.140625" style="110" customWidth="1"/>
    <col min="6411" max="6411" width="11.85546875" style="110" customWidth="1"/>
    <col min="6412" max="6656" width="9.140625" style="110"/>
    <col min="6657" max="6657" width="12.85546875" style="110" customWidth="1"/>
    <col min="6658" max="6658" width="19.5703125" style="110" customWidth="1"/>
    <col min="6659" max="6659" width="18.85546875" style="110" customWidth="1"/>
    <col min="6660" max="6660" width="17.85546875" style="110" customWidth="1"/>
    <col min="6661" max="6661" width="19.5703125" style="110" customWidth="1"/>
    <col min="6662" max="6663" width="16.140625" style="110" customWidth="1"/>
    <col min="6664" max="6664" width="16.5703125" style="110" customWidth="1"/>
    <col min="6665" max="6665" width="17.28515625" style="110" customWidth="1"/>
    <col min="6666" max="6666" width="20.140625" style="110" customWidth="1"/>
    <col min="6667" max="6667" width="11.85546875" style="110" customWidth="1"/>
    <col min="6668" max="6912" width="9.140625" style="110"/>
    <col min="6913" max="6913" width="12.85546875" style="110" customWidth="1"/>
    <col min="6914" max="6914" width="19.5703125" style="110" customWidth="1"/>
    <col min="6915" max="6915" width="18.85546875" style="110" customWidth="1"/>
    <col min="6916" max="6916" width="17.85546875" style="110" customWidth="1"/>
    <col min="6917" max="6917" width="19.5703125" style="110" customWidth="1"/>
    <col min="6918" max="6919" width="16.140625" style="110" customWidth="1"/>
    <col min="6920" max="6920" width="16.5703125" style="110" customWidth="1"/>
    <col min="6921" max="6921" width="17.28515625" style="110" customWidth="1"/>
    <col min="6922" max="6922" width="20.140625" style="110" customWidth="1"/>
    <col min="6923" max="6923" width="11.85546875" style="110" customWidth="1"/>
    <col min="6924" max="7168" width="9.140625" style="110"/>
    <col min="7169" max="7169" width="12.85546875" style="110" customWidth="1"/>
    <col min="7170" max="7170" width="19.5703125" style="110" customWidth="1"/>
    <col min="7171" max="7171" width="18.85546875" style="110" customWidth="1"/>
    <col min="7172" max="7172" width="17.85546875" style="110" customWidth="1"/>
    <col min="7173" max="7173" width="19.5703125" style="110" customWidth="1"/>
    <col min="7174" max="7175" width="16.140625" style="110" customWidth="1"/>
    <col min="7176" max="7176" width="16.5703125" style="110" customWidth="1"/>
    <col min="7177" max="7177" width="17.28515625" style="110" customWidth="1"/>
    <col min="7178" max="7178" width="20.140625" style="110" customWidth="1"/>
    <col min="7179" max="7179" width="11.85546875" style="110" customWidth="1"/>
    <col min="7180" max="7424" width="9.140625" style="110"/>
    <col min="7425" max="7425" width="12.85546875" style="110" customWidth="1"/>
    <col min="7426" max="7426" width="19.5703125" style="110" customWidth="1"/>
    <col min="7427" max="7427" width="18.85546875" style="110" customWidth="1"/>
    <col min="7428" max="7428" width="17.85546875" style="110" customWidth="1"/>
    <col min="7429" max="7429" width="19.5703125" style="110" customWidth="1"/>
    <col min="7430" max="7431" width="16.140625" style="110" customWidth="1"/>
    <col min="7432" max="7432" width="16.5703125" style="110" customWidth="1"/>
    <col min="7433" max="7433" width="17.28515625" style="110" customWidth="1"/>
    <col min="7434" max="7434" width="20.140625" style="110" customWidth="1"/>
    <col min="7435" max="7435" width="11.85546875" style="110" customWidth="1"/>
    <col min="7436" max="7680" width="9.140625" style="110"/>
    <col min="7681" max="7681" width="12.85546875" style="110" customWidth="1"/>
    <col min="7682" max="7682" width="19.5703125" style="110" customWidth="1"/>
    <col min="7683" max="7683" width="18.85546875" style="110" customWidth="1"/>
    <col min="7684" max="7684" width="17.85546875" style="110" customWidth="1"/>
    <col min="7685" max="7685" width="19.5703125" style="110" customWidth="1"/>
    <col min="7686" max="7687" width="16.140625" style="110" customWidth="1"/>
    <col min="7688" max="7688" width="16.5703125" style="110" customWidth="1"/>
    <col min="7689" max="7689" width="17.28515625" style="110" customWidth="1"/>
    <col min="7690" max="7690" width="20.140625" style="110" customWidth="1"/>
    <col min="7691" max="7691" width="11.85546875" style="110" customWidth="1"/>
    <col min="7692" max="7936" width="9.140625" style="110"/>
    <col min="7937" max="7937" width="12.85546875" style="110" customWidth="1"/>
    <col min="7938" max="7938" width="19.5703125" style="110" customWidth="1"/>
    <col min="7939" max="7939" width="18.85546875" style="110" customWidth="1"/>
    <col min="7940" max="7940" width="17.85546875" style="110" customWidth="1"/>
    <col min="7941" max="7941" width="19.5703125" style="110" customWidth="1"/>
    <col min="7942" max="7943" width="16.140625" style="110" customWidth="1"/>
    <col min="7944" max="7944" width="16.5703125" style="110" customWidth="1"/>
    <col min="7945" max="7945" width="17.28515625" style="110" customWidth="1"/>
    <col min="7946" max="7946" width="20.140625" style="110" customWidth="1"/>
    <col min="7947" max="7947" width="11.85546875" style="110" customWidth="1"/>
    <col min="7948" max="8192" width="9.140625" style="110"/>
    <col min="8193" max="8193" width="12.85546875" style="110" customWidth="1"/>
    <col min="8194" max="8194" width="19.5703125" style="110" customWidth="1"/>
    <col min="8195" max="8195" width="18.85546875" style="110" customWidth="1"/>
    <col min="8196" max="8196" width="17.85546875" style="110" customWidth="1"/>
    <col min="8197" max="8197" width="19.5703125" style="110" customWidth="1"/>
    <col min="8198" max="8199" width="16.140625" style="110" customWidth="1"/>
    <col min="8200" max="8200" width="16.5703125" style="110" customWidth="1"/>
    <col min="8201" max="8201" width="17.28515625" style="110" customWidth="1"/>
    <col min="8202" max="8202" width="20.140625" style="110" customWidth="1"/>
    <col min="8203" max="8203" width="11.85546875" style="110" customWidth="1"/>
    <col min="8204" max="8448" width="9.140625" style="110"/>
    <col min="8449" max="8449" width="12.85546875" style="110" customWidth="1"/>
    <col min="8450" max="8450" width="19.5703125" style="110" customWidth="1"/>
    <col min="8451" max="8451" width="18.85546875" style="110" customWidth="1"/>
    <col min="8452" max="8452" width="17.85546875" style="110" customWidth="1"/>
    <col min="8453" max="8453" width="19.5703125" style="110" customWidth="1"/>
    <col min="8454" max="8455" width="16.140625" style="110" customWidth="1"/>
    <col min="8456" max="8456" width="16.5703125" style="110" customWidth="1"/>
    <col min="8457" max="8457" width="17.28515625" style="110" customWidth="1"/>
    <col min="8458" max="8458" width="20.140625" style="110" customWidth="1"/>
    <col min="8459" max="8459" width="11.85546875" style="110" customWidth="1"/>
    <col min="8460" max="8704" width="9.140625" style="110"/>
    <col min="8705" max="8705" width="12.85546875" style="110" customWidth="1"/>
    <col min="8706" max="8706" width="19.5703125" style="110" customWidth="1"/>
    <col min="8707" max="8707" width="18.85546875" style="110" customWidth="1"/>
    <col min="8708" max="8708" width="17.85546875" style="110" customWidth="1"/>
    <col min="8709" max="8709" width="19.5703125" style="110" customWidth="1"/>
    <col min="8710" max="8711" width="16.140625" style="110" customWidth="1"/>
    <col min="8712" max="8712" width="16.5703125" style="110" customWidth="1"/>
    <col min="8713" max="8713" width="17.28515625" style="110" customWidth="1"/>
    <col min="8714" max="8714" width="20.140625" style="110" customWidth="1"/>
    <col min="8715" max="8715" width="11.85546875" style="110" customWidth="1"/>
    <col min="8716" max="8960" width="9.140625" style="110"/>
    <col min="8961" max="8961" width="12.85546875" style="110" customWidth="1"/>
    <col min="8962" max="8962" width="19.5703125" style="110" customWidth="1"/>
    <col min="8963" max="8963" width="18.85546875" style="110" customWidth="1"/>
    <col min="8964" max="8964" width="17.85546875" style="110" customWidth="1"/>
    <col min="8965" max="8965" width="19.5703125" style="110" customWidth="1"/>
    <col min="8966" max="8967" width="16.140625" style="110" customWidth="1"/>
    <col min="8968" max="8968" width="16.5703125" style="110" customWidth="1"/>
    <col min="8969" max="8969" width="17.28515625" style="110" customWidth="1"/>
    <col min="8970" max="8970" width="20.140625" style="110" customWidth="1"/>
    <col min="8971" max="8971" width="11.85546875" style="110" customWidth="1"/>
    <col min="8972" max="9216" width="9.140625" style="110"/>
    <col min="9217" max="9217" width="12.85546875" style="110" customWidth="1"/>
    <col min="9218" max="9218" width="19.5703125" style="110" customWidth="1"/>
    <col min="9219" max="9219" width="18.85546875" style="110" customWidth="1"/>
    <col min="9220" max="9220" width="17.85546875" style="110" customWidth="1"/>
    <col min="9221" max="9221" width="19.5703125" style="110" customWidth="1"/>
    <col min="9222" max="9223" width="16.140625" style="110" customWidth="1"/>
    <col min="9224" max="9224" width="16.5703125" style="110" customWidth="1"/>
    <col min="9225" max="9225" width="17.28515625" style="110" customWidth="1"/>
    <col min="9226" max="9226" width="20.140625" style="110" customWidth="1"/>
    <col min="9227" max="9227" width="11.85546875" style="110" customWidth="1"/>
    <col min="9228" max="9472" width="9.140625" style="110"/>
    <col min="9473" max="9473" width="12.85546875" style="110" customWidth="1"/>
    <col min="9474" max="9474" width="19.5703125" style="110" customWidth="1"/>
    <col min="9475" max="9475" width="18.85546875" style="110" customWidth="1"/>
    <col min="9476" max="9476" width="17.85546875" style="110" customWidth="1"/>
    <col min="9477" max="9477" width="19.5703125" style="110" customWidth="1"/>
    <col min="9478" max="9479" width="16.140625" style="110" customWidth="1"/>
    <col min="9480" max="9480" width="16.5703125" style="110" customWidth="1"/>
    <col min="9481" max="9481" width="17.28515625" style="110" customWidth="1"/>
    <col min="9482" max="9482" width="20.140625" style="110" customWidth="1"/>
    <col min="9483" max="9483" width="11.85546875" style="110" customWidth="1"/>
    <col min="9484" max="9728" width="9.140625" style="110"/>
    <col min="9729" max="9729" width="12.85546875" style="110" customWidth="1"/>
    <col min="9730" max="9730" width="19.5703125" style="110" customWidth="1"/>
    <col min="9731" max="9731" width="18.85546875" style="110" customWidth="1"/>
    <col min="9732" max="9732" width="17.85546875" style="110" customWidth="1"/>
    <col min="9733" max="9733" width="19.5703125" style="110" customWidth="1"/>
    <col min="9734" max="9735" width="16.140625" style="110" customWidth="1"/>
    <col min="9736" max="9736" width="16.5703125" style="110" customWidth="1"/>
    <col min="9737" max="9737" width="17.28515625" style="110" customWidth="1"/>
    <col min="9738" max="9738" width="20.140625" style="110" customWidth="1"/>
    <col min="9739" max="9739" width="11.85546875" style="110" customWidth="1"/>
    <col min="9740" max="9984" width="9.140625" style="110"/>
    <col min="9985" max="9985" width="12.85546875" style="110" customWidth="1"/>
    <col min="9986" max="9986" width="19.5703125" style="110" customWidth="1"/>
    <col min="9987" max="9987" width="18.85546875" style="110" customWidth="1"/>
    <col min="9988" max="9988" width="17.85546875" style="110" customWidth="1"/>
    <col min="9989" max="9989" width="19.5703125" style="110" customWidth="1"/>
    <col min="9990" max="9991" width="16.140625" style="110" customWidth="1"/>
    <col min="9992" max="9992" width="16.5703125" style="110" customWidth="1"/>
    <col min="9993" max="9993" width="17.28515625" style="110" customWidth="1"/>
    <col min="9994" max="9994" width="20.140625" style="110" customWidth="1"/>
    <col min="9995" max="9995" width="11.85546875" style="110" customWidth="1"/>
    <col min="9996" max="10240" width="9.140625" style="110"/>
    <col min="10241" max="10241" width="12.85546875" style="110" customWidth="1"/>
    <col min="10242" max="10242" width="19.5703125" style="110" customWidth="1"/>
    <col min="10243" max="10243" width="18.85546875" style="110" customWidth="1"/>
    <col min="10244" max="10244" width="17.85546875" style="110" customWidth="1"/>
    <col min="10245" max="10245" width="19.5703125" style="110" customWidth="1"/>
    <col min="10246" max="10247" width="16.140625" style="110" customWidth="1"/>
    <col min="10248" max="10248" width="16.5703125" style="110" customWidth="1"/>
    <col min="10249" max="10249" width="17.28515625" style="110" customWidth="1"/>
    <col min="10250" max="10250" width="20.140625" style="110" customWidth="1"/>
    <col min="10251" max="10251" width="11.85546875" style="110" customWidth="1"/>
    <col min="10252" max="10496" width="9.140625" style="110"/>
    <col min="10497" max="10497" width="12.85546875" style="110" customWidth="1"/>
    <col min="10498" max="10498" width="19.5703125" style="110" customWidth="1"/>
    <col min="10499" max="10499" width="18.85546875" style="110" customWidth="1"/>
    <col min="10500" max="10500" width="17.85546875" style="110" customWidth="1"/>
    <col min="10501" max="10501" width="19.5703125" style="110" customWidth="1"/>
    <col min="10502" max="10503" width="16.140625" style="110" customWidth="1"/>
    <col min="10504" max="10504" width="16.5703125" style="110" customWidth="1"/>
    <col min="10505" max="10505" width="17.28515625" style="110" customWidth="1"/>
    <col min="10506" max="10506" width="20.140625" style="110" customWidth="1"/>
    <col min="10507" max="10507" width="11.85546875" style="110" customWidth="1"/>
    <col min="10508" max="10752" width="9.140625" style="110"/>
    <col min="10753" max="10753" width="12.85546875" style="110" customWidth="1"/>
    <col min="10754" max="10754" width="19.5703125" style="110" customWidth="1"/>
    <col min="10755" max="10755" width="18.85546875" style="110" customWidth="1"/>
    <col min="10756" max="10756" width="17.85546875" style="110" customWidth="1"/>
    <col min="10757" max="10757" width="19.5703125" style="110" customWidth="1"/>
    <col min="10758" max="10759" width="16.140625" style="110" customWidth="1"/>
    <col min="10760" max="10760" width="16.5703125" style="110" customWidth="1"/>
    <col min="10761" max="10761" width="17.28515625" style="110" customWidth="1"/>
    <col min="10762" max="10762" width="20.140625" style="110" customWidth="1"/>
    <col min="10763" max="10763" width="11.85546875" style="110" customWidth="1"/>
    <col min="10764" max="11008" width="9.140625" style="110"/>
    <col min="11009" max="11009" width="12.85546875" style="110" customWidth="1"/>
    <col min="11010" max="11010" width="19.5703125" style="110" customWidth="1"/>
    <col min="11011" max="11011" width="18.85546875" style="110" customWidth="1"/>
    <col min="11012" max="11012" width="17.85546875" style="110" customWidth="1"/>
    <col min="11013" max="11013" width="19.5703125" style="110" customWidth="1"/>
    <col min="11014" max="11015" width="16.140625" style="110" customWidth="1"/>
    <col min="11016" max="11016" width="16.5703125" style="110" customWidth="1"/>
    <col min="11017" max="11017" width="17.28515625" style="110" customWidth="1"/>
    <col min="11018" max="11018" width="20.140625" style="110" customWidth="1"/>
    <col min="11019" max="11019" width="11.85546875" style="110" customWidth="1"/>
    <col min="11020" max="11264" width="9.140625" style="110"/>
    <col min="11265" max="11265" width="12.85546875" style="110" customWidth="1"/>
    <col min="11266" max="11266" width="19.5703125" style="110" customWidth="1"/>
    <col min="11267" max="11267" width="18.85546875" style="110" customWidth="1"/>
    <col min="11268" max="11268" width="17.85546875" style="110" customWidth="1"/>
    <col min="11269" max="11269" width="19.5703125" style="110" customWidth="1"/>
    <col min="11270" max="11271" width="16.140625" style="110" customWidth="1"/>
    <col min="11272" max="11272" width="16.5703125" style="110" customWidth="1"/>
    <col min="11273" max="11273" width="17.28515625" style="110" customWidth="1"/>
    <col min="11274" max="11274" width="20.140625" style="110" customWidth="1"/>
    <col min="11275" max="11275" width="11.85546875" style="110" customWidth="1"/>
    <col min="11276" max="11520" width="9.140625" style="110"/>
    <col min="11521" max="11521" width="12.85546875" style="110" customWidth="1"/>
    <col min="11522" max="11522" width="19.5703125" style="110" customWidth="1"/>
    <col min="11523" max="11523" width="18.85546875" style="110" customWidth="1"/>
    <col min="11524" max="11524" width="17.85546875" style="110" customWidth="1"/>
    <col min="11525" max="11525" width="19.5703125" style="110" customWidth="1"/>
    <col min="11526" max="11527" width="16.140625" style="110" customWidth="1"/>
    <col min="11528" max="11528" width="16.5703125" style="110" customWidth="1"/>
    <col min="11529" max="11529" width="17.28515625" style="110" customWidth="1"/>
    <col min="11530" max="11530" width="20.140625" style="110" customWidth="1"/>
    <col min="11531" max="11531" width="11.85546875" style="110" customWidth="1"/>
    <col min="11532" max="11776" width="9.140625" style="110"/>
    <col min="11777" max="11777" width="12.85546875" style="110" customWidth="1"/>
    <col min="11778" max="11778" width="19.5703125" style="110" customWidth="1"/>
    <col min="11779" max="11779" width="18.85546875" style="110" customWidth="1"/>
    <col min="11780" max="11780" width="17.85546875" style="110" customWidth="1"/>
    <col min="11781" max="11781" width="19.5703125" style="110" customWidth="1"/>
    <col min="11782" max="11783" width="16.140625" style="110" customWidth="1"/>
    <col min="11784" max="11784" width="16.5703125" style="110" customWidth="1"/>
    <col min="11785" max="11785" width="17.28515625" style="110" customWidth="1"/>
    <col min="11786" max="11786" width="20.140625" style="110" customWidth="1"/>
    <col min="11787" max="11787" width="11.85546875" style="110" customWidth="1"/>
    <col min="11788" max="12032" width="9.140625" style="110"/>
    <col min="12033" max="12033" width="12.85546875" style="110" customWidth="1"/>
    <col min="12034" max="12034" width="19.5703125" style="110" customWidth="1"/>
    <col min="12035" max="12035" width="18.85546875" style="110" customWidth="1"/>
    <col min="12036" max="12036" width="17.85546875" style="110" customWidth="1"/>
    <col min="12037" max="12037" width="19.5703125" style="110" customWidth="1"/>
    <col min="12038" max="12039" width="16.140625" style="110" customWidth="1"/>
    <col min="12040" max="12040" width="16.5703125" style="110" customWidth="1"/>
    <col min="12041" max="12041" width="17.28515625" style="110" customWidth="1"/>
    <col min="12042" max="12042" width="20.140625" style="110" customWidth="1"/>
    <col min="12043" max="12043" width="11.85546875" style="110" customWidth="1"/>
    <col min="12044" max="12288" width="9.140625" style="110"/>
    <col min="12289" max="12289" width="12.85546875" style="110" customWidth="1"/>
    <col min="12290" max="12290" width="19.5703125" style="110" customWidth="1"/>
    <col min="12291" max="12291" width="18.85546875" style="110" customWidth="1"/>
    <col min="12292" max="12292" width="17.85546875" style="110" customWidth="1"/>
    <col min="12293" max="12293" width="19.5703125" style="110" customWidth="1"/>
    <col min="12294" max="12295" width="16.140625" style="110" customWidth="1"/>
    <col min="12296" max="12296" width="16.5703125" style="110" customWidth="1"/>
    <col min="12297" max="12297" width="17.28515625" style="110" customWidth="1"/>
    <col min="12298" max="12298" width="20.140625" style="110" customWidth="1"/>
    <col min="12299" max="12299" width="11.85546875" style="110" customWidth="1"/>
    <col min="12300" max="12544" width="9.140625" style="110"/>
    <col min="12545" max="12545" width="12.85546875" style="110" customWidth="1"/>
    <col min="12546" max="12546" width="19.5703125" style="110" customWidth="1"/>
    <col min="12547" max="12547" width="18.85546875" style="110" customWidth="1"/>
    <col min="12548" max="12548" width="17.85546875" style="110" customWidth="1"/>
    <col min="12549" max="12549" width="19.5703125" style="110" customWidth="1"/>
    <col min="12550" max="12551" width="16.140625" style="110" customWidth="1"/>
    <col min="12552" max="12552" width="16.5703125" style="110" customWidth="1"/>
    <col min="12553" max="12553" width="17.28515625" style="110" customWidth="1"/>
    <col min="12554" max="12554" width="20.140625" style="110" customWidth="1"/>
    <col min="12555" max="12555" width="11.85546875" style="110" customWidth="1"/>
    <col min="12556" max="12800" width="9.140625" style="110"/>
    <col min="12801" max="12801" width="12.85546875" style="110" customWidth="1"/>
    <col min="12802" max="12802" width="19.5703125" style="110" customWidth="1"/>
    <col min="12803" max="12803" width="18.85546875" style="110" customWidth="1"/>
    <col min="12804" max="12804" width="17.85546875" style="110" customWidth="1"/>
    <col min="12805" max="12805" width="19.5703125" style="110" customWidth="1"/>
    <col min="12806" max="12807" width="16.140625" style="110" customWidth="1"/>
    <col min="12808" max="12808" width="16.5703125" style="110" customWidth="1"/>
    <col min="12809" max="12809" width="17.28515625" style="110" customWidth="1"/>
    <col min="12810" max="12810" width="20.140625" style="110" customWidth="1"/>
    <col min="12811" max="12811" width="11.85546875" style="110" customWidth="1"/>
    <col min="12812" max="13056" width="9.140625" style="110"/>
    <col min="13057" max="13057" width="12.85546875" style="110" customWidth="1"/>
    <col min="13058" max="13058" width="19.5703125" style="110" customWidth="1"/>
    <col min="13059" max="13059" width="18.85546875" style="110" customWidth="1"/>
    <col min="13060" max="13060" width="17.85546875" style="110" customWidth="1"/>
    <col min="13061" max="13061" width="19.5703125" style="110" customWidth="1"/>
    <col min="13062" max="13063" width="16.140625" style="110" customWidth="1"/>
    <col min="13064" max="13064" width="16.5703125" style="110" customWidth="1"/>
    <col min="13065" max="13065" width="17.28515625" style="110" customWidth="1"/>
    <col min="13066" max="13066" width="20.140625" style="110" customWidth="1"/>
    <col min="13067" max="13067" width="11.85546875" style="110" customWidth="1"/>
    <col min="13068" max="13312" width="9.140625" style="110"/>
    <col min="13313" max="13313" width="12.85546875" style="110" customWidth="1"/>
    <col min="13314" max="13314" width="19.5703125" style="110" customWidth="1"/>
    <col min="13315" max="13315" width="18.85546875" style="110" customWidth="1"/>
    <col min="13316" max="13316" width="17.85546875" style="110" customWidth="1"/>
    <col min="13317" max="13317" width="19.5703125" style="110" customWidth="1"/>
    <col min="13318" max="13319" width="16.140625" style="110" customWidth="1"/>
    <col min="13320" max="13320" width="16.5703125" style="110" customWidth="1"/>
    <col min="13321" max="13321" width="17.28515625" style="110" customWidth="1"/>
    <col min="13322" max="13322" width="20.140625" style="110" customWidth="1"/>
    <col min="13323" max="13323" width="11.85546875" style="110" customWidth="1"/>
    <col min="13324" max="13568" width="9.140625" style="110"/>
    <col min="13569" max="13569" width="12.85546875" style="110" customWidth="1"/>
    <col min="13570" max="13570" width="19.5703125" style="110" customWidth="1"/>
    <col min="13571" max="13571" width="18.85546875" style="110" customWidth="1"/>
    <col min="13572" max="13572" width="17.85546875" style="110" customWidth="1"/>
    <col min="13573" max="13573" width="19.5703125" style="110" customWidth="1"/>
    <col min="13574" max="13575" width="16.140625" style="110" customWidth="1"/>
    <col min="13576" max="13576" width="16.5703125" style="110" customWidth="1"/>
    <col min="13577" max="13577" width="17.28515625" style="110" customWidth="1"/>
    <col min="13578" max="13578" width="20.140625" style="110" customWidth="1"/>
    <col min="13579" max="13579" width="11.85546875" style="110" customWidth="1"/>
    <col min="13580" max="13824" width="9.140625" style="110"/>
    <col min="13825" max="13825" width="12.85546875" style="110" customWidth="1"/>
    <col min="13826" max="13826" width="19.5703125" style="110" customWidth="1"/>
    <col min="13827" max="13827" width="18.85546875" style="110" customWidth="1"/>
    <col min="13828" max="13828" width="17.85546875" style="110" customWidth="1"/>
    <col min="13829" max="13829" width="19.5703125" style="110" customWidth="1"/>
    <col min="13830" max="13831" width="16.140625" style="110" customWidth="1"/>
    <col min="13832" max="13832" width="16.5703125" style="110" customWidth="1"/>
    <col min="13833" max="13833" width="17.28515625" style="110" customWidth="1"/>
    <col min="13834" max="13834" width="20.140625" style="110" customWidth="1"/>
    <col min="13835" max="13835" width="11.85546875" style="110" customWidth="1"/>
    <col min="13836" max="14080" width="9.140625" style="110"/>
    <col min="14081" max="14081" width="12.85546875" style="110" customWidth="1"/>
    <col min="14082" max="14082" width="19.5703125" style="110" customWidth="1"/>
    <col min="14083" max="14083" width="18.85546875" style="110" customWidth="1"/>
    <col min="14084" max="14084" width="17.85546875" style="110" customWidth="1"/>
    <col min="14085" max="14085" width="19.5703125" style="110" customWidth="1"/>
    <col min="14086" max="14087" width="16.140625" style="110" customWidth="1"/>
    <col min="14088" max="14088" width="16.5703125" style="110" customWidth="1"/>
    <col min="14089" max="14089" width="17.28515625" style="110" customWidth="1"/>
    <col min="14090" max="14090" width="20.140625" style="110" customWidth="1"/>
    <col min="14091" max="14091" width="11.85546875" style="110" customWidth="1"/>
    <col min="14092" max="14336" width="9.140625" style="110"/>
    <col min="14337" max="14337" width="12.85546875" style="110" customWidth="1"/>
    <col min="14338" max="14338" width="19.5703125" style="110" customWidth="1"/>
    <col min="14339" max="14339" width="18.85546875" style="110" customWidth="1"/>
    <col min="14340" max="14340" width="17.85546875" style="110" customWidth="1"/>
    <col min="14341" max="14341" width="19.5703125" style="110" customWidth="1"/>
    <col min="14342" max="14343" width="16.140625" style="110" customWidth="1"/>
    <col min="14344" max="14344" width="16.5703125" style="110" customWidth="1"/>
    <col min="14345" max="14345" width="17.28515625" style="110" customWidth="1"/>
    <col min="14346" max="14346" width="20.140625" style="110" customWidth="1"/>
    <col min="14347" max="14347" width="11.85546875" style="110" customWidth="1"/>
    <col min="14348" max="14592" width="9.140625" style="110"/>
    <col min="14593" max="14593" width="12.85546875" style="110" customWidth="1"/>
    <col min="14594" max="14594" width="19.5703125" style="110" customWidth="1"/>
    <col min="14595" max="14595" width="18.85546875" style="110" customWidth="1"/>
    <col min="14596" max="14596" width="17.85546875" style="110" customWidth="1"/>
    <col min="14597" max="14597" width="19.5703125" style="110" customWidth="1"/>
    <col min="14598" max="14599" width="16.140625" style="110" customWidth="1"/>
    <col min="14600" max="14600" width="16.5703125" style="110" customWidth="1"/>
    <col min="14601" max="14601" width="17.28515625" style="110" customWidth="1"/>
    <col min="14602" max="14602" width="20.140625" style="110" customWidth="1"/>
    <col min="14603" max="14603" width="11.85546875" style="110" customWidth="1"/>
    <col min="14604" max="14848" width="9.140625" style="110"/>
    <col min="14849" max="14849" width="12.85546875" style="110" customWidth="1"/>
    <col min="14850" max="14850" width="19.5703125" style="110" customWidth="1"/>
    <col min="14851" max="14851" width="18.85546875" style="110" customWidth="1"/>
    <col min="14852" max="14852" width="17.85546875" style="110" customWidth="1"/>
    <col min="14853" max="14853" width="19.5703125" style="110" customWidth="1"/>
    <col min="14854" max="14855" width="16.140625" style="110" customWidth="1"/>
    <col min="14856" max="14856" width="16.5703125" style="110" customWidth="1"/>
    <col min="14857" max="14857" width="17.28515625" style="110" customWidth="1"/>
    <col min="14858" max="14858" width="20.140625" style="110" customWidth="1"/>
    <col min="14859" max="14859" width="11.85546875" style="110" customWidth="1"/>
    <col min="14860" max="15104" width="9.140625" style="110"/>
    <col min="15105" max="15105" width="12.85546875" style="110" customWidth="1"/>
    <col min="15106" max="15106" width="19.5703125" style="110" customWidth="1"/>
    <col min="15107" max="15107" width="18.85546875" style="110" customWidth="1"/>
    <col min="15108" max="15108" width="17.85546875" style="110" customWidth="1"/>
    <col min="15109" max="15109" width="19.5703125" style="110" customWidth="1"/>
    <col min="15110" max="15111" width="16.140625" style="110" customWidth="1"/>
    <col min="15112" max="15112" width="16.5703125" style="110" customWidth="1"/>
    <col min="15113" max="15113" width="17.28515625" style="110" customWidth="1"/>
    <col min="15114" max="15114" width="20.140625" style="110" customWidth="1"/>
    <col min="15115" max="15115" width="11.85546875" style="110" customWidth="1"/>
    <col min="15116" max="15360" width="9.140625" style="110"/>
    <col min="15361" max="15361" width="12.85546875" style="110" customWidth="1"/>
    <col min="15362" max="15362" width="19.5703125" style="110" customWidth="1"/>
    <col min="15363" max="15363" width="18.85546875" style="110" customWidth="1"/>
    <col min="15364" max="15364" width="17.85546875" style="110" customWidth="1"/>
    <col min="15365" max="15365" width="19.5703125" style="110" customWidth="1"/>
    <col min="15366" max="15367" width="16.140625" style="110" customWidth="1"/>
    <col min="15368" max="15368" width="16.5703125" style="110" customWidth="1"/>
    <col min="15369" max="15369" width="17.28515625" style="110" customWidth="1"/>
    <col min="15370" max="15370" width="20.140625" style="110" customWidth="1"/>
    <col min="15371" max="15371" width="11.85546875" style="110" customWidth="1"/>
    <col min="15372" max="15616" width="9.140625" style="110"/>
    <col min="15617" max="15617" width="12.85546875" style="110" customWidth="1"/>
    <col min="15618" max="15618" width="19.5703125" style="110" customWidth="1"/>
    <col min="15619" max="15619" width="18.85546875" style="110" customWidth="1"/>
    <col min="15620" max="15620" width="17.85546875" style="110" customWidth="1"/>
    <col min="15621" max="15621" width="19.5703125" style="110" customWidth="1"/>
    <col min="15622" max="15623" width="16.140625" style="110" customWidth="1"/>
    <col min="15624" max="15624" width="16.5703125" style="110" customWidth="1"/>
    <col min="15625" max="15625" width="17.28515625" style="110" customWidth="1"/>
    <col min="15626" max="15626" width="20.140625" style="110" customWidth="1"/>
    <col min="15627" max="15627" width="11.85546875" style="110" customWidth="1"/>
    <col min="15628" max="15872" width="9.140625" style="110"/>
    <col min="15873" max="15873" width="12.85546875" style="110" customWidth="1"/>
    <col min="15874" max="15874" width="19.5703125" style="110" customWidth="1"/>
    <col min="15875" max="15875" width="18.85546875" style="110" customWidth="1"/>
    <col min="15876" max="15876" width="17.85546875" style="110" customWidth="1"/>
    <col min="15877" max="15877" width="19.5703125" style="110" customWidth="1"/>
    <col min="15878" max="15879" width="16.140625" style="110" customWidth="1"/>
    <col min="15880" max="15880" width="16.5703125" style="110" customWidth="1"/>
    <col min="15881" max="15881" width="17.28515625" style="110" customWidth="1"/>
    <col min="15882" max="15882" width="20.140625" style="110" customWidth="1"/>
    <col min="15883" max="15883" width="11.85546875" style="110" customWidth="1"/>
    <col min="15884" max="16128" width="9.140625" style="110"/>
    <col min="16129" max="16129" width="12.85546875" style="110" customWidth="1"/>
    <col min="16130" max="16130" width="19.5703125" style="110" customWidth="1"/>
    <col min="16131" max="16131" width="18.85546875" style="110" customWidth="1"/>
    <col min="16132" max="16132" width="17.85546875" style="110" customWidth="1"/>
    <col min="16133" max="16133" width="19.5703125" style="110" customWidth="1"/>
    <col min="16134" max="16135" width="16.140625" style="110" customWidth="1"/>
    <col min="16136" max="16136" width="16.5703125" style="110" customWidth="1"/>
    <col min="16137" max="16137" width="17.28515625" style="110" customWidth="1"/>
    <col min="16138" max="16138" width="20.140625" style="110" customWidth="1"/>
    <col min="16139" max="16139" width="11.85546875" style="110" customWidth="1"/>
    <col min="16140" max="16384" width="9.140625" style="110"/>
  </cols>
  <sheetData>
    <row r="1" spans="1:10" s="90" customFormat="1" ht="35.25" customHeight="1">
      <c r="A1" s="2761" t="s">
        <v>2830</v>
      </c>
      <c r="B1" s="2761"/>
      <c r="C1" s="2761"/>
      <c r="I1" s="2762" t="s">
        <v>2831</v>
      </c>
      <c r="J1" s="2763"/>
    </row>
    <row r="2" spans="1:10" ht="33.75" customHeight="1">
      <c r="A2" s="2764" t="s">
        <v>2832</v>
      </c>
      <c r="B2" s="2764"/>
      <c r="C2" s="2764"/>
      <c r="D2" s="2764"/>
      <c r="E2" s="2764"/>
      <c r="F2" s="2764"/>
      <c r="G2" s="2764"/>
      <c r="H2" s="2764"/>
      <c r="I2" s="2764"/>
      <c r="J2" s="2764"/>
    </row>
    <row r="3" spans="1:10" ht="77.25" customHeight="1">
      <c r="A3" s="1792" t="s">
        <v>2833</v>
      </c>
      <c r="B3" s="2765" t="s">
        <v>2834</v>
      </c>
      <c r="C3" s="2765"/>
      <c r="D3" s="2765"/>
      <c r="E3" s="2765" t="s">
        <v>2835</v>
      </c>
      <c r="F3" s="2765"/>
      <c r="G3" s="2765"/>
      <c r="H3" s="2765" t="s">
        <v>2836</v>
      </c>
      <c r="I3" s="2765"/>
      <c r="J3" s="2765"/>
    </row>
    <row r="4" spans="1:10" ht="174" customHeight="1">
      <c r="A4" s="1325"/>
      <c r="B4" s="1325" t="s">
        <v>2837</v>
      </c>
      <c r="C4" s="1325" t="s">
        <v>2838</v>
      </c>
      <c r="D4" s="1325" t="s">
        <v>2839</v>
      </c>
      <c r="E4" s="1325" t="s">
        <v>2837</v>
      </c>
      <c r="F4" s="1325" t="s">
        <v>2838</v>
      </c>
      <c r="G4" s="1325" t="s">
        <v>2839</v>
      </c>
      <c r="H4" s="1325" t="s">
        <v>2837</v>
      </c>
      <c r="I4" s="1325" t="s">
        <v>2838</v>
      </c>
      <c r="J4" s="1325" t="s">
        <v>2839</v>
      </c>
    </row>
    <row r="5" spans="1:10" ht="70.5" customHeight="1">
      <c r="A5" s="1324" t="s">
        <v>2840</v>
      </c>
      <c r="B5" s="1871">
        <v>49038</v>
      </c>
      <c r="C5" s="1871">
        <v>49038</v>
      </c>
      <c r="D5" s="1872" t="s">
        <v>2841</v>
      </c>
      <c r="E5" s="1871">
        <v>38598</v>
      </c>
      <c r="F5" s="1871">
        <v>38598</v>
      </c>
      <c r="G5" s="1872" t="s">
        <v>2841</v>
      </c>
      <c r="H5" s="1871">
        <v>51543</v>
      </c>
      <c r="I5" s="1871">
        <v>51543</v>
      </c>
      <c r="J5" s="1872" t="s">
        <v>2841</v>
      </c>
    </row>
  </sheetData>
  <mergeCells count="6">
    <mergeCell ref="A1:C1"/>
    <mergeCell ref="I1:J1"/>
    <mergeCell ref="A2:J2"/>
    <mergeCell ref="B3:D3"/>
    <mergeCell ref="E3:G3"/>
    <mergeCell ref="H3:J3"/>
  </mergeCells>
  <printOptions horizontalCentered="1"/>
  <pageMargins left="0.5" right="0.5" top="1" bottom="0.75" header="0.5" footer="0.5"/>
  <pageSetup scale="76"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8000"/>
    <pageSetUpPr fitToPage="1"/>
  </sheetPr>
  <dimension ref="A1:J5"/>
  <sheetViews>
    <sheetView view="pageBreakPreview" zoomScale="80" zoomScaleSheetLayoutView="80" workbookViewId="0">
      <selection activeCell="F7" sqref="F7"/>
    </sheetView>
  </sheetViews>
  <sheetFormatPr defaultRowHeight="14.25"/>
  <cols>
    <col min="1" max="1" width="13" style="110" customWidth="1"/>
    <col min="2" max="2" width="17.140625" style="110" customWidth="1"/>
    <col min="3" max="3" width="18.42578125" style="110" customWidth="1"/>
    <col min="4" max="4" width="17.7109375" style="110" customWidth="1"/>
    <col min="5" max="5" width="13.7109375" style="110" customWidth="1"/>
    <col min="6" max="7" width="17.28515625" style="110" customWidth="1"/>
    <col min="8" max="8" width="14.85546875" style="110" customWidth="1"/>
    <col min="9" max="9" width="17" style="110" customWidth="1"/>
    <col min="10" max="10" width="18.28515625" style="110" customWidth="1"/>
    <col min="11" max="257" width="9.140625" style="110"/>
    <col min="258" max="258" width="17.140625" style="110" customWidth="1"/>
    <col min="259" max="259" width="18.42578125" style="110" customWidth="1"/>
    <col min="260" max="260" width="17.7109375" style="110" customWidth="1"/>
    <col min="261" max="261" width="13.7109375" style="110" customWidth="1"/>
    <col min="262" max="263" width="17.28515625" style="110" customWidth="1"/>
    <col min="264" max="264" width="14.85546875" style="110" customWidth="1"/>
    <col min="265" max="265" width="17" style="110" customWidth="1"/>
    <col min="266" max="266" width="17.28515625" style="110" customWidth="1"/>
    <col min="267" max="513" width="9.140625" style="110"/>
    <col min="514" max="514" width="17.140625" style="110" customWidth="1"/>
    <col min="515" max="515" width="18.42578125" style="110" customWidth="1"/>
    <col min="516" max="516" width="17.7109375" style="110" customWidth="1"/>
    <col min="517" max="517" width="13.7109375" style="110" customWidth="1"/>
    <col min="518" max="519" width="17.28515625" style="110" customWidth="1"/>
    <col min="520" max="520" width="14.85546875" style="110" customWidth="1"/>
    <col min="521" max="521" width="17" style="110" customWidth="1"/>
    <col min="522" max="522" width="17.28515625" style="110" customWidth="1"/>
    <col min="523" max="769" width="9.140625" style="110"/>
    <col min="770" max="770" width="17.140625" style="110" customWidth="1"/>
    <col min="771" max="771" width="18.42578125" style="110" customWidth="1"/>
    <col min="772" max="772" width="17.7109375" style="110" customWidth="1"/>
    <col min="773" max="773" width="13.7109375" style="110" customWidth="1"/>
    <col min="774" max="775" width="17.28515625" style="110" customWidth="1"/>
    <col min="776" max="776" width="14.85546875" style="110" customWidth="1"/>
    <col min="777" max="777" width="17" style="110" customWidth="1"/>
    <col min="778" max="778" width="17.28515625" style="110" customWidth="1"/>
    <col min="779" max="1025" width="9.140625" style="110"/>
    <col min="1026" max="1026" width="17.140625" style="110" customWidth="1"/>
    <col min="1027" max="1027" width="18.42578125" style="110" customWidth="1"/>
    <col min="1028" max="1028" width="17.7109375" style="110" customWidth="1"/>
    <col min="1029" max="1029" width="13.7109375" style="110" customWidth="1"/>
    <col min="1030" max="1031" width="17.28515625" style="110" customWidth="1"/>
    <col min="1032" max="1032" width="14.85546875" style="110" customWidth="1"/>
    <col min="1033" max="1033" width="17" style="110" customWidth="1"/>
    <col min="1034" max="1034" width="17.28515625" style="110" customWidth="1"/>
    <col min="1035" max="1281" width="9.140625" style="110"/>
    <col min="1282" max="1282" width="17.140625" style="110" customWidth="1"/>
    <col min="1283" max="1283" width="18.42578125" style="110" customWidth="1"/>
    <col min="1284" max="1284" width="17.7109375" style="110" customWidth="1"/>
    <col min="1285" max="1285" width="13.7109375" style="110" customWidth="1"/>
    <col min="1286" max="1287" width="17.28515625" style="110" customWidth="1"/>
    <col min="1288" max="1288" width="14.85546875" style="110" customWidth="1"/>
    <col min="1289" max="1289" width="17" style="110" customWidth="1"/>
    <col min="1290" max="1290" width="17.28515625" style="110" customWidth="1"/>
    <col min="1291" max="1537" width="9.140625" style="110"/>
    <col min="1538" max="1538" width="17.140625" style="110" customWidth="1"/>
    <col min="1539" max="1539" width="18.42578125" style="110" customWidth="1"/>
    <col min="1540" max="1540" width="17.7109375" style="110" customWidth="1"/>
    <col min="1541" max="1541" width="13.7109375" style="110" customWidth="1"/>
    <col min="1542" max="1543" width="17.28515625" style="110" customWidth="1"/>
    <col min="1544" max="1544" width="14.85546875" style="110" customWidth="1"/>
    <col min="1545" max="1545" width="17" style="110" customWidth="1"/>
    <col min="1546" max="1546" width="17.28515625" style="110" customWidth="1"/>
    <col min="1547" max="1793" width="9.140625" style="110"/>
    <col min="1794" max="1794" width="17.140625" style="110" customWidth="1"/>
    <col min="1795" max="1795" width="18.42578125" style="110" customWidth="1"/>
    <col min="1796" max="1796" width="17.7109375" style="110" customWidth="1"/>
    <col min="1797" max="1797" width="13.7109375" style="110" customWidth="1"/>
    <col min="1798" max="1799" width="17.28515625" style="110" customWidth="1"/>
    <col min="1800" max="1800" width="14.85546875" style="110" customWidth="1"/>
    <col min="1801" max="1801" width="17" style="110" customWidth="1"/>
    <col min="1802" max="1802" width="17.28515625" style="110" customWidth="1"/>
    <col min="1803" max="2049" width="9.140625" style="110"/>
    <col min="2050" max="2050" width="17.140625" style="110" customWidth="1"/>
    <col min="2051" max="2051" width="18.42578125" style="110" customWidth="1"/>
    <col min="2052" max="2052" width="17.7109375" style="110" customWidth="1"/>
    <col min="2053" max="2053" width="13.7109375" style="110" customWidth="1"/>
    <col min="2054" max="2055" width="17.28515625" style="110" customWidth="1"/>
    <col min="2056" max="2056" width="14.85546875" style="110" customWidth="1"/>
    <col min="2057" max="2057" width="17" style="110" customWidth="1"/>
    <col min="2058" max="2058" width="17.28515625" style="110" customWidth="1"/>
    <col min="2059" max="2305" width="9.140625" style="110"/>
    <col min="2306" max="2306" width="17.140625" style="110" customWidth="1"/>
    <col min="2307" max="2307" width="18.42578125" style="110" customWidth="1"/>
    <col min="2308" max="2308" width="17.7109375" style="110" customWidth="1"/>
    <col min="2309" max="2309" width="13.7109375" style="110" customWidth="1"/>
    <col min="2310" max="2311" width="17.28515625" style="110" customWidth="1"/>
    <col min="2312" max="2312" width="14.85546875" style="110" customWidth="1"/>
    <col min="2313" max="2313" width="17" style="110" customWidth="1"/>
    <col min="2314" max="2314" width="17.28515625" style="110" customWidth="1"/>
    <col min="2315" max="2561" width="9.140625" style="110"/>
    <col min="2562" max="2562" width="17.140625" style="110" customWidth="1"/>
    <col min="2563" max="2563" width="18.42578125" style="110" customWidth="1"/>
    <col min="2564" max="2564" width="17.7109375" style="110" customWidth="1"/>
    <col min="2565" max="2565" width="13.7109375" style="110" customWidth="1"/>
    <col min="2566" max="2567" width="17.28515625" style="110" customWidth="1"/>
    <col min="2568" max="2568" width="14.85546875" style="110" customWidth="1"/>
    <col min="2569" max="2569" width="17" style="110" customWidth="1"/>
    <col min="2570" max="2570" width="17.28515625" style="110" customWidth="1"/>
    <col min="2571" max="2817" width="9.140625" style="110"/>
    <col min="2818" max="2818" width="17.140625" style="110" customWidth="1"/>
    <col min="2819" max="2819" width="18.42578125" style="110" customWidth="1"/>
    <col min="2820" max="2820" width="17.7109375" style="110" customWidth="1"/>
    <col min="2821" max="2821" width="13.7109375" style="110" customWidth="1"/>
    <col min="2822" max="2823" width="17.28515625" style="110" customWidth="1"/>
    <col min="2824" max="2824" width="14.85546875" style="110" customWidth="1"/>
    <col min="2825" max="2825" width="17" style="110" customWidth="1"/>
    <col min="2826" max="2826" width="17.28515625" style="110" customWidth="1"/>
    <col min="2827" max="3073" width="9.140625" style="110"/>
    <col min="3074" max="3074" width="17.140625" style="110" customWidth="1"/>
    <col min="3075" max="3075" width="18.42578125" style="110" customWidth="1"/>
    <col min="3076" max="3076" width="17.7109375" style="110" customWidth="1"/>
    <col min="3077" max="3077" width="13.7109375" style="110" customWidth="1"/>
    <col min="3078" max="3079" width="17.28515625" style="110" customWidth="1"/>
    <col min="3080" max="3080" width="14.85546875" style="110" customWidth="1"/>
    <col min="3081" max="3081" width="17" style="110" customWidth="1"/>
    <col min="3082" max="3082" width="17.28515625" style="110" customWidth="1"/>
    <col min="3083" max="3329" width="9.140625" style="110"/>
    <col min="3330" max="3330" width="17.140625" style="110" customWidth="1"/>
    <col min="3331" max="3331" width="18.42578125" style="110" customWidth="1"/>
    <col min="3332" max="3332" width="17.7109375" style="110" customWidth="1"/>
    <col min="3333" max="3333" width="13.7109375" style="110" customWidth="1"/>
    <col min="3334" max="3335" width="17.28515625" style="110" customWidth="1"/>
    <col min="3336" max="3336" width="14.85546875" style="110" customWidth="1"/>
    <col min="3337" max="3337" width="17" style="110" customWidth="1"/>
    <col min="3338" max="3338" width="17.28515625" style="110" customWidth="1"/>
    <col min="3339" max="3585" width="9.140625" style="110"/>
    <col min="3586" max="3586" width="17.140625" style="110" customWidth="1"/>
    <col min="3587" max="3587" width="18.42578125" style="110" customWidth="1"/>
    <col min="3588" max="3588" width="17.7109375" style="110" customWidth="1"/>
    <col min="3589" max="3589" width="13.7109375" style="110" customWidth="1"/>
    <col min="3590" max="3591" width="17.28515625" style="110" customWidth="1"/>
    <col min="3592" max="3592" width="14.85546875" style="110" customWidth="1"/>
    <col min="3593" max="3593" width="17" style="110" customWidth="1"/>
    <col min="3594" max="3594" width="17.28515625" style="110" customWidth="1"/>
    <col min="3595" max="3841" width="9.140625" style="110"/>
    <col min="3842" max="3842" width="17.140625" style="110" customWidth="1"/>
    <col min="3843" max="3843" width="18.42578125" style="110" customWidth="1"/>
    <col min="3844" max="3844" width="17.7109375" style="110" customWidth="1"/>
    <col min="3845" max="3845" width="13.7109375" style="110" customWidth="1"/>
    <col min="3846" max="3847" width="17.28515625" style="110" customWidth="1"/>
    <col min="3848" max="3848" width="14.85546875" style="110" customWidth="1"/>
    <col min="3849" max="3849" width="17" style="110" customWidth="1"/>
    <col min="3850" max="3850" width="17.28515625" style="110" customWidth="1"/>
    <col min="3851" max="4097" width="9.140625" style="110"/>
    <col min="4098" max="4098" width="17.140625" style="110" customWidth="1"/>
    <col min="4099" max="4099" width="18.42578125" style="110" customWidth="1"/>
    <col min="4100" max="4100" width="17.7109375" style="110" customWidth="1"/>
    <col min="4101" max="4101" width="13.7109375" style="110" customWidth="1"/>
    <col min="4102" max="4103" width="17.28515625" style="110" customWidth="1"/>
    <col min="4104" max="4104" width="14.85546875" style="110" customWidth="1"/>
    <col min="4105" max="4105" width="17" style="110" customWidth="1"/>
    <col min="4106" max="4106" width="17.28515625" style="110" customWidth="1"/>
    <col min="4107" max="4353" width="9.140625" style="110"/>
    <col min="4354" max="4354" width="17.140625" style="110" customWidth="1"/>
    <col min="4355" max="4355" width="18.42578125" style="110" customWidth="1"/>
    <col min="4356" max="4356" width="17.7109375" style="110" customWidth="1"/>
    <col min="4357" max="4357" width="13.7109375" style="110" customWidth="1"/>
    <col min="4358" max="4359" width="17.28515625" style="110" customWidth="1"/>
    <col min="4360" max="4360" width="14.85546875" style="110" customWidth="1"/>
    <col min="4361" max="4361" width="17" style="110" customWidth="1"/>
    <col min="4362" max="4362" width="17.28515625" style="110" customWidth="1"/>
    <col min="4363" max="4609" width="9.140625" style="110"/>
    <col min="4610" max="4610" width="17.140625" style="110" customWidth="1"/>
    <col min="4611" max="4611" width="18.42578125" style="110" customWidth="1"/>
    <col min="4612" max="4612" width="17.7109375" style="110" customWidth="1"/>
    <col min="4613" max="4613" width="13.7109375" style="110" customWidth="1"/>
    <col min="4614" max="4615" width="17.28515625" style="110" customWidth="1"/>
    <col min="4616" max="4616" width="14.85546875" style="110" customWidth="1"/>
    <col min="4617" max="4617" width="17" style="110" customWidth="1"/>
    <col min="4618" max="4618" width="17.28515625" style="110" customWidth="1"/>
    <col min="4619" max="4865" width="9.140625" style="110"/>
    <col min="4866" max="4866" width="17.140625" style="110" customWidth="1"/>
    <col min="4867" max="4867" width="18.42578125" style="110" customWidth="1"/>
    <col min="4868" max="4868" width="17.7109375" style="110" customWidth="1"/>
    <col min="4869" max="4869" width="13.7109375" style="110" customWidth="1"/>
    <col min="4870" max="4871" width="17.28515625" style="110" customWidth="1"/>
    <col min="4872" max="4872" width="14.85546875" style="110" customWidth="1"/>
    <col min="4873" max="4873" width="17" style="110" customWidth="1"/>
    <col min="4874" max="4874" width="17.28515625" style="110" customWidth="1"/>
    <col min="4875" max="5121" width="9.140625" style="110"/>
    <col min="5122" max="5122" width="17.140625" style="110" customWidth="1"/>
    <col min="5123" max="5123" width="18.42578125" style="110" customWidth="1"/>
    <col min="5124" max="5124" width="17.7109375" style="110" customWidth="1"/>
    <col min="5125" max="5125" width="13.7109375" style="110" customWidth="1"/>
    <col min="5126" max="5127" width="17.28515625" style="110" customWidth="1"/>
    <col min="5128" max="5128" width="14.85546875" style="110" customWidth="1"/>
    <col min="5129" max="5129" width="17" style="110" customWidth="1"/>
    <col min="5130" max="5130" width="17.28515625" style="110" customWidth="1"/>
    <col min="5131" max="5377" width="9.140625" style="110"/>
    <col min="5378" max="5378" width="17.140625" style="110" customWidth="1"/>
    <col min="5379" max="5379" width="18.42578125" style="110" customWidth="1"/>
    <col min="5380" max="5380" width="17.7109375" style="110" customWidth="1"/>
    <col min="5381" max="5381" width="13.7109375" style="110" customWidth="1"/>
    <col min="5382" max="5383" width="17.28515625" style="110" customWidth="1"/>
    <col min="5384" max="5384" width="14.85546875" style="110" customWidth="1"/>
    <col min="5385" max="5385" width="17" style="110" customWidth="1"/>
    <col min="5386" max="5386" width="17.28515625" style="110" customWidth="1"/>
    <col min="5387" max="5633" width="9.140625" style="110"/>
    <col min="5634" max="5634" width="17.140625" style="110" customWidth="1"/>
    <col min="5635" max="5635" width="18.42578125" style="110" customWidth="1"/>
    <col min="5636" max="5636" width="17.7109375" style="110" customWidth="1"/>
    <col min="5637" max="5637" width="13.7109375" style="110" customWidth="1"/>
    <col min="5638" max="5639" width="17.28515625" style="110" customWidth="1"/>
    <col min="5640" max="5640" width="14.85546875" style="110" customWidth="1"/>
    <col min="5641" max="5641" width="17" style="110" customWidth="1"/>
    <col min="5642" max="5642" width="17.28515625" style="110" customWidth="1"/>
    <col min="5643" max="5889" width="9.140625" style="110"/>
    <col min="5890" max="5890" width="17.140625" style="110" customWidth="1"/>
    <col min="5891" max="5891" width="18.42578125" style="110" customWidth="1"/>
    <col min="5892" max="5892" width="17.7109375" style="110" customWidth="1"/>
    <col min="5893" max="5893" width="13.7109375" style="110" customWidth="1"/>
    <col min="5894" max="5895" width="17.28515625" style="110" customWidth="1"/>
    <col min="5896" max="5896" width="14.85546875" style="110" customWidth="1"/>
    <col min="5897" max="5897" width="17" style="110" customWidth="1"/>
    <col min="5898" max="5898" width="17.28515625" style="110" customWidth="1"/>
    <col min="5899" max="6145" width="9.140625" style="110"/>
    <col min="6146" max="6146" width="17.140625" style="110" customWidth="1"/>
    <col min="6147" max="6147" width="18.42578125" style="110" customWidth="1"/>
    <col min="6148" max="6148" width="17.7109375" style="110" customWidth="1"/>
    <col min="6149" max="6149" width="13.7109375" style="110" customWidth="1"/>
    <col min="6150" max="6151" width="17.28515625" style="110" customWidth="1"/>
    <col min="6152" max="6152" width="14.85546875" style="110" customWidth="1"/>
    <col min="6153" max="6153" width="17" style="110" customWidth="1"/>
    <col min="6154" max="6154" width="17.28515625" style="110" customWidth="1"/>
    <col min="6155" max="6401" width="9.140625" style="110"/>
    <col min="6402" max="6402" width="17.140625" style="110" customWidth="1"/>
    <col min="6403" max="6403" width="18.42578125" style="110" customWidth="1"/>
    <col min="6404" max="6404" width="17.7109375" style="110" customWidth="1"/>
    <col min="6405" max="6405" width="13.7109375" style="110" customWidth="1"/>
    <col min="6406" max="6407" width="17.28515625" style="110" customWidth="1"/>
    <col min="6408" max="6408" width="14.85546875" style="110" customWidth="1"/>
    <col min="6409" max="6409" width="17" style="110" customWidth="1"/>
    <col min="6410" max="6410" width="17.28515625" style="110" customWidth="1"/>
    <col min="6411" max="6657" width="9.140625" style="110"/>
    <col min="6658" max="6658" width="17.140625" style="110" customWidth="1"/>
    <col min="6659" max="6659" width="18.42578125" style="110" customWidth="1"/>
    <col min="6660" max="6660" width="17.7109375" style="110" customWidth="1"/>
    <col min="6661" max="6661" width="13.7109375" style="110" customWidth="1"/>
    <col min="6662" max="6663" width="17.28515625" style="110" customWidth="1"/>
    <col min="6664" max="6664" width="14.85546875" style="110" customWidth="1"/>
    <col min="6665" max="6665" width="17" style="110" customWidth="1"/>
    <col min="6666" max="6666" width="17.28515625" style="110" customWidth="1"/>
    <col min="6667" max="6913" width="9.140625" style="110"/>
    <col min="6914" max="6914" width="17.140625" style="110" customWidth="1"/>
    <col min="6915" max="6915" width="18.42578125" style="110" customWidth="1"/>
    <col min="6916" max="6916" width="17.7109375" style="110" customWidth="1"/>
    <col min="6917" max="6917" width="13.7109375" style="110" customWidth="1"/>
    <col min="6918" max="6919" width="17.28515625" style="110" customWidth="1"/>
    <col min="6920" max="6920" width="14.85546875" style="110" customWidth="1"/>
    <col min="6921" max="6921" width="17" style="110" customWidth="1"/>
    <col min="6922" max="6922" width="17.28515625" style="110" customWidth="1"/>
    <col min="6923" max="7169" width="9.140625" style="110"/>
    <col min="7170" max="7170" width="17.140625" style="110" customWidth="1"/>
    <col min="7171" max="7171" width="18.42578125" style="110" customWidth="1"/>
    <col min="7172" max="7172" width="17.7109375" style="110" customWidth="1"/>
    <col min="7173" max="7173" width="13.7109375" style="110" customWidth="1"/>
    <col min="7174" max="7175" width="17.28515625" style="110" customWidth="1"/>
    <col min="7176" max="7176" width="14.85546875" style="110" customWidth="1"/>
    <col min="7177" max="7177" width="17" style="110" customWidth="1"/>
    <col min="7178" max="7178" width="17.28515625" style="110" customWidth="1"/>
    <col min="7179" max="7425" width="9.140625" style="110"/>
    <col min="7426" max="7426" width="17.140625" style="110" customWidth="1"/>
    <col min="7427" max="7427" width="18.42578125" style="110" customWidth="1"/>
    <col min="7428" max="7428" width="17.7109375" style="110" customWidth="1"/>
    <col min="7429" max="7429" width="13.7109375" style="110" customWidth="1"/>
    <col min="7430" max="7431" width="17.28515625" style="110" customWidth="1"/>
    <col min="7432" max="7432" width="14.85546875" style="110" customWidth="1"/>
    <col min="7433" max="7433" width="17" style="110" customWidth="1"/>
    <col min="7434" max="7434" width="17.28515625" style="110" customWidth="1"/>
    <col min="7435" max="7681" width="9.140625" style="110"/>
    <col min="7682" max="7682" width="17.140625" style="110" customWidth="1"/>
    <col min="7683" max="7683" width="18.42578125" style="110" customWidth="1"/>
    <col min="7684" max="7684" width="17.7109375" style="110" customWidth="1"/>
    <col min="7685" max="7685" width="13.7109375" style="110" customWidth="1"/>
    <col min="7686" max="7687" width="17.28515625" style="110" customWidth="1"/>
    <col min="7688" max="7688" width="14.85546875" style="110" customWidth="1"/>
    <col min="7689" max="7689" width="17" style="110" customWidth="1"/>
    <col min="7690" max="7690" width="17.28515625" style="110" customWidth="1"/>
    <col min="7691" max="7937" width="9.140625" style="110"/>
    <col min="7938" max="7938" width="17.140625" style="110" customWidth="1"/>
    <col min="7939" max="7939" width="18.42578125" style="110" customWidth="1"/>
    <col min="7940" max="7940" width="17.7109375" style="110" customWidth="1"/>
    <col min="7941" max="7941" width="13.7109375" style="110" customWidth="1"/>
    <col min="7942" max="7943" width="17.28515625" style="110" customWidth="1"/>
    <col min="7944" max="7944" width="14.85546875" style="110" customWidth="1"/>
    <col min="7945" max="7945" width="17" style="110" customWidth="1"/>
    <col min="7946" max="7946" width="17.28515625" style="110" customWidth="1"/>
    <col min="7947" max="8193" width="9.140625" style="110"/>
    <col min="8194" max="8194" width="17.140625" style="110" customWidth="1"/>
    <col min="8195" max="8195" width="18.42578125" style="110" customWidth="1"/>
    <col min="8196" max="8196" width="17.7109375" style="110" customWidth="1"/>
    <col min="8197" max="8197" width="13.7109375" style="110" customWidth="1"/>
    <col min="8198" max="8199" width="17.28515625" style="110" customWidth="1"/>
    <col min="8200" max="8200" width="14.85546875" style="110" customWidth="1"/>
    <col min="8201" max="8201" width="17" style="110" customWidth="1"/>
    <col min="8202" max="8202" width="17.28515625" style="110" customWidth="1"/>
    <col min="8203" max="8449" width="9.140625" style="110"/>
    <col min="8450" max="8450" width="17.140625" style="110" customWidth="1"/>
    <col min="8451" max="8451" width="18.42578125" style="110" customWidth="1"/>
    <col min="8452" max="8452" width="17.7109375" style="110" customWidth="1"/>
    <col min="8453" max="8453" width="13.7109375" style="110" customWidth="1"/>
    <col min="8454" max="8455" width="17.28515625" style="110" customWidth="1"/>
    <col min="8456" max="8456" width="14.85546875" style="110" customWidth="1"/>
    <col min="8457" max="8457" width="17" style="110" customWidth="1"/>
    <col min="8458" max="8458" width="17.28515625" style="110" customWidth="1"/>
    <col min="8459" max="8705" width="9.140625" style="110"/>
    <col min="8706" max="8706" width="17.140625" style="110" customWidth="1"/>
    <col min="8707" max="8707" width="18.42578125" style="110" customWidth="1"/>
    <col min="8708" max="8708" width="17.7109375" style="110" customWidth="1"/>
    <col min="8709" max="8709" width="13.7109375" style="110" customWidth="1"/>
    <col min="8710" max="8711" width="17.28515625" style="110" customWidth="1"/>
    <col min="8712" max="8712" width="14.85546875" style="110" customWidth="1"/>
    <col min="8713" max="8713" width="17" style="110" customWidth="1"/>
    <col min="8714" max="8714" width="17.28515625" style="110" customWidth="1"/>
    <col min="8715" max="8961" width="9.140625" style="110"/>
    <col min="8962" max="8962" width="17.140625" style="110" customWidth="1"/>
    <col min="8963" max="8963" width="18.42578125" style="110" customWidth="1"/>
    <col min="8964" max="8964" width="17.7109375" style="110" customWidth="1"/>
    <col min="8965" max="8965" width="13.7109375" style="110" customWidth="1"/>
    <col min="8966" max="8967" width="17.28515625" style="110" customWidth="1"/>
    <col min="8968" max="8968" width="14.85546875" style="110" customWidth="1"/>
    <col min="8969" max="8969" width="17" style="110" customWidth="1"/>
    <col min="8970" max="8970" width="17.28515625" style="110" customWidth="1"/>
    <col min="8971" max="9217" width="9.140625" style="110"/>
    <col min="9218" max="9218" width="17.140625" style="110" customWidth="1"/>
    <col min="9219" max="9219" width="18.42578125" style="110" customWidth="1"/>
    <col min="9220" max="9220" width="17.7109375" style="110" customWidth="1"/>
    <col min="9221" max="9221" width="13.7109375" style="110" customWidth="1"/>
    <col min="9222" max="9223" width="17.28515625" style="110" customWidth="1"/>
    <col min="9224" max="9224" width="14.85546875" style="110" customWidth="1"/>
    <col min="9225" max="9225" width="17" style="110" customWidth="1"/>
    <col min="9226" max="9226" width="17.28515625" style="110" customWidth="1"/>
    <col min="9227" max="9473" width="9.140625" style="110"/>
    <col min="9474" max="9474" width="17.140625" style="110" customWidth="1"/>
    <col min="9475" max="9475" width="18.42578125" style="110" customWidth="1"/>
    <col min="9476" max="9476" width="17.7109375" style="110" customWidth="1"/>
    <col min="9477" max="9477" width="13.7109375" style="110" customWidth="1"/>
    <col min="9478" max="9479" width="17.28515625" style="110" customWidth="1"/>
    <col min="9480" max="9480" width="14.85546875" style="110" customWidth="1"/>
    <col min="9481" max="9481" width="17" style="110" customWidth="1"/>
    <col min="9482" max="9482" width="17.28515625" style="110" customWidth="1"/>
    <col min="9483" max="9729" width="9.140625" style="110"/>
    <col min="9730" max="9730" width="17.140625" style="110" customWidth="1"/>
    <col min="9731" max="9731" width="18.42578125" style="110" customWidth="1"/>
    <col min="9732" max="9732" width="17.7109375" style="110" customWidth="1"/>
    <col min="9733" max="9733" width="13.7109375" style="110" customWidth="1"/>
    <col min="9734" max="9735" width="17.28515625" style="110" customWidth="1"/>
    <col min="9736" max="9736" width="14.85546875" style="110" customWidth="1"/>
    <col min="9737" max="9737" width="17" style="110" customWidth="1"/>
    <col min="9738" max="9738" width="17.28515625" style="110" customWidth="1"/>
    <col min="9739" max="9985" width="9.140625" style="110"/>
    <col min="9986" max="9986" width="17.140625" style="110" customWidth="1"/>
    <col min="9987" max="9987" width="18.42578125" style="110" customWidth="1"/>
    <col min="9988" max="9988" width="17.7109375" style="110" customWidth="1"/>
    <col min="9989" max="9989" width="13.7109375" style="110" customWidth="1"/>
    <col min="9990" max="9991" width="17.28515625" style="110" customWidth="1"/>
    <col min="9992" max="9992" width="14.85546875" style="110" customWidth="1"/>
    <col min="9993" max="9993" width="17" style="110" customWidth="1"/>
    <col min="9994" max="9994" width="17.28515625" style="110" customWidth="1"/>
    <col min="9995" max="10241" width="9.140625" style="110"/>
    <col min="10242" max="10242" width="17.140625" style="110" customWidth="1"/>
    <col min="10243" max="10243" width="18.42578125" style="110" customWidth="1"/>
    <col min="10244" max="10244" width="17.7109375" style="110" customWidth="1"/>
    <col min="10245" max="10245" width="13.7109375" style="110" customWidth="1"/>
    <col min="10246" max="10247" width="17.28515625" style="110" customWidth="1"/>
    <col min="10248" max="10248" width="14.85546875" style="110" customWidth="1"/>
    <col min="10249" max="10249" width="17" style="110" customWidth="1"/>
    <col min="10250" max="10250" width="17.28515625" style="110" customWidth="1"/>
    <col min="10251" max="10497" width="9.140625" style="110"/>
    <col min="10498" max="10498" width="17.140625" style="110" customWidth="1"/>
    <col min="10499" max="10499" width="18.42578125" style="110" customWidth="1"/>
    <col min="10500" max="10500" width="17.7109375" style="110" customWidth="1"/>
    <col min="10501" max="10501" width="13.7109375" style="110" customWidth="1"/>
    <col min="10502" max="10503" width="17.28515625" style="110" customWidth="1"/>
    <col min="10504" max="10504" width="14.85546875" style="110" customWidth="1"/>
    <col min="10505" max="10505" width="17" style="110" customWidth="1"/>
    <col min="10506" max="10506" width="17.28515625" style="110" customWidth="1"/>
    <col min="10507" max="10753" width="9.140625" style="110"/>
    <col min="10754" max="10754" width="17.140625" style="110" customWidth="1"/>
    <col min="10755" max="10755" width="18.42578125" style="110" customWidth="1"/>
    <col min="10756" max="10756" width="17.7109375" style="110" customWidth="1"/>
    <col min="10757" max="10757" width="13.7109375" style="110" customWidth="1"/>
    <col min="10758" max="10759" width="17.28515625" style="110" customWidth="1"/>
    <col min="10760" max="10760" width="14.85546875" style="110" customWidth="1"/>
    <col min="10761" max="10761" width="17" style="110" customWidth="1"/>
    <col min="10762" max="10762" width="17.28515625" style="110" customWidth="1"/>
    <col min="10763" max="11009" width="9.140625" style="110"/>
    <col min="11010" max="11010" width="17.140625" style="110" customWidth="1"/>
    <col min="11011" max="11011" width="18.42578125" style="110" customWidth="1"/>
    <col min="11012" max="11012" width="17.7109375" style="110" customWidth="1"/>
    <col min="11013" max="11013" width="13.7109375" style="110" customWidth="1"/>
    <col min="11014" max="11015" width="17.28515625" style="110" customWidth="1"/>
    <col min="11016" max="11016" width="14.85546875" style="110" customWidth="1"/>
    <col min="11017" max="11017" width="17" style="110" customWidth="1"/>
    <col min="11018" max="11018" width="17.28515625" style="110" customWidth="1"/>
    <col min="11019" max="11265" width="9.140625" style="110"/>
    <col min="11266" max="11266" width="17.140625" style="110" customWidth="1"/>
    <col min="11267" max="11267" width="18.42578125" style="110" customWidth="1"/>
    <col min="11268" max="11268" width="17.7109375" style="110" customWidth="1"/>
    <col min="11269" max="11269" width="13.7109375" style="110" customWidth="1"/>
    <col min="11270" max="11271" width="17.28515625" style="110" customWidth="1"/>
    <col min="11272" max="11272" width="14.85546875" style="110" customWidth="1"/>
    <col min="11273" max="11273" width="17" style="110" customWidth="1"/>
    <col min="11274" max="11274" width="17.28515625" style="110" customWidth="1"/>
    <col min="11275" max="11521" width="9.140625" style="110"/>
    <col min="11522" max="11522" width="17.140625" style="110" customWidth="1"/>
    <col min="11523" max="11523" width="18.42578125" style="110" customWidth="1"/>
    <col min="11524" max="11524" width="17.7109375" style="110" customWidth="1"/>
    <col min="11525" max="11525" width="13.7109375" style="110" customWidth="1"/>
    <col min="11526" max="11527" width="17.28515625" style="110" customWidth="1"/>
    <col min="11528" max="11528" width="14.85546875" style="110" customWidth="1"/>
    <col min="11529" max="11529" width="17" style="110" customWidth="1"/>
    <col min="11530" max="11530" width="17.28515625" style="110" customWidth="1"/>
    <col min="11531" max="11777" width="9.140625" style="110"/>
    <col min="11778" max="11778" width="17.140625" style="110" customWidth="1"/>
    <col min="11779" max="11779" width="18.42578125" style="110" customWidth="1"/>
    <col min="11780" max="11780" width="17.7109375" style="110" customWidth="1"/>
    <col min="11781" max="11781" width="13.7109375" style="110" customWidth="1"/>
    <col min="11782" max="11783" width="17.28515625" style="110" customWidth="1"/>
    <col min="11784" max="11784" width="14.85546875" style="110" customWidth="1"/>
    <col min="11785" max="11785" width="17" style="110" customWidth="1"/>
    <col min="11786" max="11786" width="17.28515625" style="110" customWidth="1"/>
    <col min="11787" max="12033" width="9.140625" style="110"/>
    <col min="12034" max="12034" width="17.140625" style="110" customWidth="1"/>
    <col min="12035" max="12035" width="18.42578125" style="110" customWidth="1"/>
    <col min="12036" max="12036" width="17.7109375" style="110" customWidth="1"/>
    <col min="12037" max="12037" width="13.7109375" style="110" customWidth="1"/>
    <col min="12038" max="12039" width="17.28515625" style="110" customWidth="1"/>
    <col min="12040" max="12040" width="14.85546875" style="110" customWidth="1"/>
    <col min="12041" max="12041" width="17" style="110" customWidth="1"/>
    <col min="12042" max="12042" width="17.28515625" style="110" customWidth="1"/>
    <col min="12043" max="12289" width="9.140625" style="110"/>
    <col min="12290" max="12290" width="17.140625" style="110" customWidth="1"/>
    <col min="12291" max="12291" width="18.42578125" style="110" customWidth="1"/>
    <col min="12292" max="12292" width="17.7109375" style="110" customWidth="1"/>
    <col min="12293" max="12293" width="13.7109375" style="110" customWidth="1"/>
    <col min="12294" max="12295" width="17.28515625" style="110" customWidth="1"/>
    <col min="12296" max="12296" width="14.85546875" style="110" customWidth="1"/>
    <col min="12297" max="12297" width="17" style="110" customWidth="1"/>
    <col min="12298" max="12298" width="17.28515625" style="110" customWidth="1"/>
    <col min="12299" max="12545" width="9.140625" style="110"/>
    <col min="12546" max="12546" width="17.140625" style="110" customWidth="1"/>
    <col min="12547" max="12547" width="18.42578125" style="110" customWidth="1"/>
    <col min="12548" max="12548" width="17.7109375" style="110" customWidth="1"/>
    <col min="12549" max="12549" width="13.7109375" style="110" customWidth="1"/>
    <col min="12550" max="12551" width="17.28515625" style="110" customWidth="1"/>
    <col min="12552" max="12552" width="14.85546875" style="110" customWidth="1"/>
    <col min="12553" max="12553" width="17" style="110" customWidth="1"/>
    <col min="12554" max="12554" width="17.28515625" style="110" customWidth="1"/>
    <col min="12555" max="12801" width="9.140625" style="110"/>
    <col min="12802" max="12802" width="17.140625" style="110" customWidth="1"/>
    <col min="12803" max="12803" width="18.42578125" style="110" customWidth="1"/>
    <col min="12804" max="12804" width="17.7109375" style="110" customWidth="1"/>
    <col min="12805" max="12805" width="13.7109375" style="110" customWidth="1"/>
    <col min="12806" max="12807" width="17.28515625" style="110" customWidth="1"/>
    <col min="12808" max="12808" width="14.85546875" style="110" customWidth="1"/>
    <col min="12809" max="12809" width="17" style="110" customWidth="1"/>
    <col min="12810" max="12810" width="17.28515625" style="110" customWidth="1"/>
    <col min="12811" max="13057" width="9.140625" style="110"/>
    <col min="13058" max="13058" width="17.140625" style="110" customWidth="1"/>
    <col min="13059" max="13059" width="18.42578125" style="110" customWidth="1"/>
    <col min="13060" max="13060" width="17.7109375" style="110" customWidth="1"/>
    <col min="13061" max="13061" width="13.7109375" style="110" customWidth="1"/>
    <col min="13062" max="13063" width="17.28515625" style="110" customWidth="1"/>
    <col min="13064" max="13064" width="14.85546875" style="110" customWidth="1"/>
    <col min="13065" max="13065" width="17" style="110" customWidth="1"/>
    <col min="13066" max="13066" width="17.28515625" style="110" customWidth="1"/>
    <col min="13067" max="13313" width="9.140625" style="110"/>
    <col min="13314" max="13314" width="17.140625" style="110" customWidth="1"/>
    <col min="13315" max="13315" width="18.42578125" style="110" customWidth="1"/>
    <col min="13316" max="13316" width="17.7109375" style="110" customWidth="1"/>
    <col min="13317" max="13317" width="13.7109375" style="110" customWidth="1"/>
    <col min="13318" max="13319" width="17.28515625" style="110" customWidth="1"/>
    <col min="13320" max="13320" width="14.85546875" style="110" customWidth="1"/>
    <col min="13321" max="13321" width="17" style="110" customWidth="1"/>
    <col min="13322" max="13322" width="17.28515625" style="110" customWidth="1"/>
    <col min="13323" max="13569" width="9.140625" style="110"/>
    <col min="13570" max="13570" width="17.140625" style="110" customWidth="1"/>
    <col min="13571" max="13571" width="18.42578125" style="110" customWidth="1"/>
    <col min="13572" max="13572" width="17.7109375" style="110" customWidth="1"/>
    <col min="13573" max="13573" width="13.7109375" style="110" customWidth="1"/>
    <col min="13574" max="13575" width="17.28515625" style="110" customWidth="1"/>
    <col min="13576" max="13576" width="14.85546875" style="110" customWidth="1"/>
    <col min="13577" max="13577" width="17" style="110" customWidth="1"/>
    <col min="13578" max="13578" width="17.28515625" style="110" customWidth="1"/>
    <col min="13579" max="13825" width="9.140625" style="110"/>
    <col min="13826" max="13826" width="17.140625" style="110" customWidth="1"/>
    <col min="13827" max="13827" width="18.42578125" style="110" customWidth="1"/>
    <col min="13828" max="13828" width="17.7109375" style="110" customWidth="1"/>
    <col min="13829" max="13829" width="13.7109375" style="110" customWidth="1"/>
    <col min="13830" max="13831" width="17.28515625" style="110" customWidth="1"/>
    <col min="13832" max="13832" width="14.85546875" style="110" customWidth="1"/>
    <col min="13833" max="13833" width="17" style="110" customWidth="1"/>
    <col min="13834" max="13834" width="17.28515625" style="110" customWidth="1"/>
    <col min="13835" max="14081" width="9.140625" style="110"/>
    <col min="14082" max="14082" width="17.140625" style="110" customWidth="1"/>
    <col min="14083" max="14083" width="18.42578125" style="110" customWidth="1"/>
    <col min="14084" max="14084" width="17.7109375" style="110" customWidth="1"/>
    <col min="14085" max="14085" width="13.7109375" style="110" customWidth="1"/>
    <col min="14086" max="14087" width="17.28515625" style="110" customWidth="1"/>
    <col min="14088" max="14088" width="14.85546875" style="110" customWidth="1"/>
    <col min="14089" max="14089" width="17" style="110" customWidth="1"/>
    <col min="14090" max="14090" width="17.28515625" style="110" customWidth="1"/>
    <col min="14091" max="14337" width="9.140625" style="110"/>
    <col min="14338" max="14338" width="17.140625" style="110" customWidth="1"/>
    <col min="14339" max="14339" width="18.42578125" style="110" customWidth="1"/>
    <col min="14340" max="14340" width="17.7109375" style="110" customWidth="1"/>
    <col min="14341" max="14341" width="13.7109375" style="110" customWidth="1"/>
    <col min="14342" max="14343" width="17.28515625" style="110" customWidth="1"/>
    <col min="14344" max="14344" width="14.85546875" style="110" customWidth="1"/>
    <col min="14345" max="14345" width="17" style="110" customWidth="1"/>
    <col min="14346" max="14346" width="17.28515625" style="110" customWidth="1"/>
    <col min="14347" max="14593" width="9.140625" style="110"/>
    <col min="14594" max="14594" width="17.140625" style="110" customWidth="1"/>
    <col min="14595" max="14595" width="18.42578125" style="110" customWidth="1"/>
    <col min="14596" max="14596" width="17.7109375" style="110" customWidth="1"/>
    <col min="14597" max="14597" width="13.7109375" style="110" customWidth="1"/>
    <col min="14598" max="14599" width="17.28515625" style="110" customWidth="1"/>
    <col min="14600" max="14600" width="14.85546875" style="110" customWidth="1"/>
    <col min="14601" max="14601" width="17" style="110" customWidth="1"/>
    <col min="14602" max="14602" width="17.28515625" style="110" customWidth="1"/>
    <col min="14603" max="14849" width="9.140625" style="110"/>
    <col min="14850" max="14850" width="17.140625" style="110" customWidth="1"/>
    <col min="14851" max="14851" width="18.42578125" style="110" customWidth="1"/>
    <col min="14852" max="14852" width="17.7109375" style="110" customWidth="1"/>
    <col min="14853" max="14853" width="13.7109375" style="110" customWidth="1"/>
    <col min="14854" max="14855" width="17.28515625" style="110" customWidth="1"/>
    <col min="14856" max="14856" width="14.85546875" style="110" customWidth="1"/>
    <col min="14857" max="14857" width="17" style="110" customWidth="1"/>
    <col min="14858" max="14858" width="17.28515625" style="110" customWidth="1"/>
    <col min="14859" max="15105" width="9.140625" style="110"/>
    <col min="15106" max="15106" width="17.140625" style="110" customWidth="1"/>
    <col min="15107" max="15107" width="18.42578125" style="110" customWidth="1"/>
    <col min="15108" max="15108" width="17.7109375" style="110" customWidth="1"/>
    <col min="15109" max="15109" width="13.7109375" style="110" customWidth="1"/>
    <col min="15110" max="15111" width="17.28515625" style="110" customWidth="1"/>
    <col min="15112" max="15112" width="14.85546875" style="110" customWidth="1"/>
    <col min="15113" max="15113" width="17" style="110" customWidth="1"/>
    <col min="15114" max="15114" width="17.28515625" style="110" customWidth="1"/>
    <col min="15115" max="15361" width="9.140625" style="110"/>
    <col min="15362" max="15362" width="17.140625" style="110" customWidth="1"/>
    <col min="15363" max="15363" width="18.42578125" style="110" customWidth="1"/>
    <col min="15364" max="15364" width="17.7109375" style="110" customWidth="1"/>
    <col min="15365" max="15365" width="13.7109375" style="110" customWidth="1"/>
    <col min="15366" max="15367" width="17.28515625" style="110" customWidth="1"/>
    <col min="15368" max="15368" width="14.85546875" style="110" customWidth="1"/>
    <col min="15369" max="15369" width="17" style="110" customWidth="1"/>
    <col min="15370" max="15370" width="17.28515625" style="110" customWidth="1"/>
    <col min="15371" max="15617" width="9.140625" style="110"/>
    <col min="15618" max="15618" width="17.140625" style="110" customWidth="1"/>
    <col min="15619" max="15619" width="18.42578125" style="110" customWidth="1"/>
    <col min="15620" max="15620" width="17.7109375" style="110" customWidth="1"/>
    <col min="15621" max="15621" width="13.7109375" style="110" customWidth="1"/>
    <col min="15622" max="15623" width="17.28515625" style="110" customWidth="1"/>
    <col min="15624" max="15624" width="14.85546875" style="110" customWidth="1"/>
    <col min="15625" max="15625" width="17" style="110" customWidth="1"/>
    <col min="15626" max="15626" width="17.28515625" style="110" customWidth="1"/>
    <col min="15627" max="15873" width="9.140625" style="110"/>
    <col min="15874" max="15874" width="17.140625" style="110" customWidth="1"/>
    <col min="15875" max="15875" width="18.42578125" style="110" customWidth="1"/>
    <col min="15876" max="15876" width="17.7109375" style="110" customWidth="1"/>
    <col min="15877" max="15877" width="13.7109375" style="110" customWidth="1"/>
    <col min="15878" max="15879" width="17.28515625" style="110" customWidth="1"/>
    <col min="15880" max="15880" width="14.85546875" style="110" customWidth="1"/>
    <col min="15881" max="15881" width="17" style="110" customWidth="1"/>
    <col min="15882" max="15882" width="17.28515625" style="110" customWidth="1"/>
    <col min="15883" max="16129" width="9.140625" style="110"/>
    <col min="16130" max="16130" width="17.140625" style="110" customWidth="1"/>
    <col min="16131" max="16131" width="18.42578125" style="110" customWidth="1"/>
    <col min="16132" max="16132" width="17.7109375" style="110" customWidth="1"/>
    <col min="16133" max="16133" width="13.7109375" style="110" customWidth="1"/>
    <col min="16134" max="16135" width="17.28515625" style="110" customWidth="1"/>
    <col min="16136" max="16136" width="14.85546875" style="110" customWidth="1"/>
    <col min="16137" max="16137" width="17" style="110" customWidth="1"/>
    <col min="16138" max="16138" width="17.28515625" style="110" customWidth="1"/>
    <col min="16139" max="16384" width="9.140625" style="110"/>
  </cols>
  <sheetData>
    <row r="1" spans="1:10" s="90" customFormat="1" ht="31.5" customHeight="1">
      <c r="A1" s="2761" t="s">
        <v>2830</v>
      </c>
      <c r="B1" s="2761"/>
      <c r="C1" s="2761"/>
      <c r="G1" s="2762" t="s">
        <v>2842</v>
      </c>
      <c r="H1" s="2762"/>
      <c r="I1" s="2762"/>
      <c r="J1" s="2762"/>
    </row>
    <row r="2" spans="1:10" ht="34.5" customHeight="1">
      <c r="A2" s="2764" t="s">
        <v>2843</v>
      </c>
      <c r="B2" s="2764"/>
      <c r="C2" s="2764"/>
      <c r="D2" s="2764"/>
      <c r="E2" s="2764"/>
      <c r="F2" s="2764"/>
      <c r="G2" s="2764"/>
      <c r="H2" s="2764"/>
      <c r="I2" s="2764"/>
      <c r="J2" s="2764"/>
    </row>
    <row r="3" spans="1:10" ht="63.75" customHeight="1">
      <c r="A3" s="196" t="s">
        <v>2782</v>
      </c>
      <c r="B3" s="2766" t="s">
        <v>2834</v>
      </c>
      <c r="C3" s="2767"/>
      <c r="D3" s="2768"/>
      <c r="E3" s="2766" t="s">
        <v>2835</v>
      </c>
      <c r="F3" s="2767"/>
      <c r="G3" s="2768"/>
      <c r="H3" s="2766" t="s">
        <v>2836</v>
      </c>
      <c r="I3" s="2767"/>
      <c r="J3" s="2768"/>
    </row>
    <row r="4" spans="1:10" ht="168.75" customHeight="1">
      <c r="A4" s="111"/>
      <c r="B4" s="109" t="s">
        <v>2844</v>
      </c>
      <c r="C4" s="107" t="s">
        <v>2845</v>
      </c>
      <c r="D4" s="108" t="s">
        <v>2846</v>
      </c>
      <c r="E4" s="109" t="s">
        <v>2847</v>
      </c>
      <c r="F4" s="107" t="s">
        <v>2845</v>
      </c>
      <c r="G4" s="108" t="s">
        <v>2846</v>
      </c>
      <c r="H4" s="109" t="s">
        <v>2847</v>
      </c>
      <c r="I4" s="107" t="s">
        <v>2845</v>
      </c>
      <c r="J4" s="108" t="s">
        <v>2846</v>
      </c>
    </row>
    <row r="5" spans="1:10" ht="62.25" customHeight="1">
      <c r="A5" s="112" t="s">
        <v>2840</v>
      </c>
      <c r="B5" s="1873">
        <v>33</v>
      </c>
      <c r="C5" s="1874">
        <v>33</v>
      </c>
      <c r="D5" s="1875" t="s">
        <v>2841</v>
      </c>
      <c r="E5" s="1873">
        <v>28</v>
      </c>
      <c r="F5" s="1874">
        <v>28</v>
      </c>
      <c r="G5" s="1875" t="s">
        <v>2841</v>
      </c>
      <c r="H5" s="1873">
        <v>46</v>
      </c>
      <c r="I5" s="1873">
        <v>46</v>
      </c>
      <c r="J5" s="1875" t="s">
        <v>2841</v>
      </c>
    </row>
  </sheetData>
  <mergeCells count="6">
    <mergeCell ref="A1:C1"/>
    <mergeCell ref="G1:J1"/>
    <mergeCell ref="A2:J2"/>
    <mergeCell ref="B3:D3"/>
    <mergeCell ref="E3:G3"/>
    <mergeCell ref="H3:J3"/>
  </mergeCells>
  <pageMargins left="0.43307086614173229" right="0.23622047244094491" top="0.98425196850393704" bottom="0.98425196850393704" header="0.51181102362204722" footer="0.51181102362204722"/>
  <pageSetup paperSize="9" scale="87" orientation="landscape" r:id="rId1"/>
  <headerFooter alignWithMargins="0">
    <oddHeader>&amp;L&amp;[1]</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8000"/>
    <pageSetUpPr fitToPage="1"/>
  </sheetPr>
  <dimension ref="A1:J8"/>
  <sheetViews>
    <sheetView showOutlineSymbols="0" view="pageBreakPreview" zoomScale="90" zoomScaleNormal="87" zoomScaleSheetLayoutView="90" workbookViewId="0">
      <selection activeCell="J4" sqref="J4"/>
    </sheetView>
  </sheetViews>
  <sheetFormatPr defaultRowHeight="14.25"/>
  <cols>
    <col min="1" max="1" width="37" style="110" customWidth="1"/>
    <col min="2" max="2" width="18" style="110" bestFit="1" customWidth="1"/>
    <col min="3" max="3" width="16.85546875" style="110" bestFit="1" customWidth="1"/>
    <col min="4" max="4" width="18" style="110" bestFit="1" customWidth="1"/>
    <col min="5" max="5" width="16.85546875" style="110" bestFit="1" customWidth="1"/>
    <col min="6" max="6" width="18" style="110" customWidth="1"/>
    <col min="7" max="7" width="16.85546875" style="110" bestFit="1" customWidth="1"/>
    <col min="8" max="8" width="22.7109375" style="110" customWidth="1"/>
    <col min="9" max="9" width="9.140625" style="110"/>
    <col min="10" max="12" width="16.7109375" style="110" bestFit="1" customWidth="1"/>
    <col min="13" max="13" width="17.7109375" style="110" bestFit="1" customWidth="1"/>
    <col min="14" max="256" width="9.140625" style="110"/>
    <col min="257" max="257" width="37" style="110" customWidth="1"/>
    <col min="258" max="258" width="18" style="110" bestFit="1" customWidth="1"/>
    <col min="259" max="259" width="16.85546875" style="110" bestFit="1" customWidth="1"/>
    <col min="260" max="260" width="18" style="110" bestFit="1" customWidth="1"/>
    <col min="261" max="261" width="16.85546875" style="110" bestFit="1" customWidth="1"/>
    <col min="262" max="262" width="18" style="110" customWidth="1"/>
    <col min="263" max="263" width="16.85546875" style="110" bestFit="1" customWidth="1"/>
    <col min="264" max="264" width="21.42578125" style="110" customWidth="1"/>
    <col min="265" max="265" width="9.140625" style="110"/>
    <col min="266" max="268" width="16.7109375" style="110" bestFit="1" customWidth="1"/>
    <col min="269" max="269" width="17.7109375" style="110" bestFit="1" customWidth="1"/>
    <col min="270" max="512" width="9.140625" style="110"/>
    <col min="513" max="513" width="37" style="110" customWidth="1"/>
    <col min="514" max="514" width="18" style="110" bestFit="1" customWidth="1"/>
    <col min="515" max="515" width="16.85546875" style="110" bestFit="1" customWidth="1"/>
    <col min="516" max="516" width="18" style="110" bestFit="1" customWidth="1"/>
    <col min="517" max="517" width="16.85546875" style="110" bestFit="1" customWidth="1"/>
    <col min="518" max="518" width="18" style="110" customWidth="1"/>
    <col min="519" max="519" width="16.85546875" style="110" bestFit="1" customWidth="1"/>
    <col min="520" max="520" width="21.42578125" style="110" customWidth="1"/>
    <col min="521" max="521" width="9.140625" style="110"/>
    <col min="522" max="524" width="16.7109375" style="110" bestFit="1" customWidth="1"/>
    <col min="525" max="525" width="17.7109375" style="110" bestFit="1" customWidth="1"/>
    <col min="526" max="768" width="9.140625" style="110"/>
    <col min="769" max="769" width="37" style="110" customWidth="1"/>
    <col min="770" max="770" width="18" style="110" bestFit="1" customWidth="1"/>
    <col min="771" max="771" width="16.85546875" style="110" bestFit="1" customWidth="1"/>
    <col min="772" max="772" width="18" style="110" bestFit="1" customWidth="1"/>
    <col min="773" max="773" width="16.85546875" style="110" bestFit="1" customWidth="1"/>
    <col min="774" max="774" width="18" style="110" customWidth="1"/>
    <col min="775" max="775" width="16.85546875" style="110" bestFit="1" customWidth="1"/>
    <col min="776" max="776" width="21.42578125" style="110" customWidth="1"/>
    <col min="777" max="777" width="9.140625" style="110"/>
    <col min="778" max="780" width="16.7109375" style="110" bestFit="1" customWidth="1"/>
    <col min="781" max="781" width="17.7109375" style="110" bestFit="1" customWidth="1"/>
    <col min="782" max="1024" width="9.140625" style="110"/>
    <col min="1025" max="1025" width="37" style="110" customWidth="1"/>
    <col min="1026" max="1026" width="18" style="110" bestFit="1" customWidth="1"/>
    <col min="1027" max="1027" width="16.85546875" style="110" bestFit="1" customWidth="1"/>
    <col min="1028" max="1028" width="18" style="110" bestFit="1" customWidth="1"/>
    <col min="1029" max="1029" width="16.85546875" style="110" bestFit="1" customWidth="1"/>
    <col min="1030" max="1030" width="18" style="110" customWidth="1"/>
    <col min="1031" max="1031" width="16.85546875" style="110" bestFit="1" customWidth="1"/>
    <col min="1032" max="1032" width="21.42578125" style="110" customWidth="1"/>
    <col min="1033" max="1033" width="9.140625" style="110"/>
    <col min="1034" max="1036" width="16.7109375" style="110" bestFit="1" customWidth="1"/>
    <col min="1037" max="1037" width="17.7109375" style="110" bestFit="1" customWidth="1"/>
    <col min="1038" max="1280" width="9.140625" style="110"/>
    <col min="1281" max="1281" width="37" style="110" customWidth="1"/>
    <col min="1282" max="1282" width="18" style="110" bestFit="1" customWidth="1"/>
    <col min="1283" max="1283" width="16.85546875" style="110" bestFit="1" customWidth="1"/>
    <col min="1284" max="1284" width="18" style="110" bestFit="1" customWidth="1"/>
    <col min="1285" max="1285" width="16.85546875" style="110" bestFit="1" customWidth="1"/>
    <col min="1286" max="1286" width="18" style="110" customWidth="1"/>
    <col min="1287" max="1287" width="16.85546875" style="110" bestFit="1" customWidth="1"/>
    <col min="1288" max="1288" width="21.42578125" style="110" customWidth="1"/>
    <col min="1289" max="1289" width="9.140625" style="110"/>
    <col min="1290" max="1292" width="16.7109375" style="110" bestFit="1" customWidth="1"/>
    <col min="1293" max="1293" width="17.7109375" style="110" bestFit="1" customWidth="1"/>
    <col min="1294" max="1536" width="9.140625" style="110"/>
    <col min="1537" max="1537" width="37" style="110" customWidth="1"/>
    <col min="1538" max="1538" width="18" style="110" bestFit="1" customWidth="1"/>
    <col min="1539" max="1539" width="16.85546875" style="110" bestFit="1" customWidth="1"/>
    <col min="1540" max="1540" width="18" style="110" bestFit="1" customWidth="1"/>
    <col min="1541" max="1541" width="16.85546875" style="110" bestFit="1" customWidth="1"/>
    <col min="1542" max="1542" width="18" style="110" customWidth="1"/>
    <col min="1543" max="1543" width="16.85546875" style="110" bestFit="1" customWidth="1"/>
    <col min="1544" max="1544" width="21.42578125" style="110" customWidth="1"/>
    <col min="1545" max="1545" width="9.140625" style="110"/>
    <col min="1546" max="1548" width="16.7109375" style="110" bestFit="1" customWidth="1"/>
    <col min="1549" max="1549" width="17.7109375" style="110" bestFit="1" customWidth="1"/>
    <col min="1550" max="1792" width="9.140625" style="110"/>
    <col min="1793" max="1793" width="37" style="110" customWidth="1"/>
    <col min="1794" max="1794" width="18" style="110" bestFit="1" customWidth="1"/>
    <col min="1795" max="1795" width="16.85546875" style="110" bestFit="1" customWidth="1"/>
    <col min="1796" max="1796" width="18" style="110" bestFit="1" customWidth="1"/>
    <col min="1797" max="1797" width="16.85546875" style="110" bestFit="1" customWidth="1"/>
    <col min="1798" max="1798" width="18" style="110" customWidth="1"/>
    <col min="1799" max="1799" width="16.85546875" style="110" bestFit="1" customWidth="1"/>
    <col min="1800" max="1800" width="21.42578125" style="110" customWidth="1"/>
    <col min="1801" max="1801" width="9.140625" style="110"/>
    <col min="1802" max="1804" width="16.7109375" style="110" bestFit="1" customWidth="1"/>
    <col min="1805" max="1805" width="17.7109375" style="110" bestFit="1" customWidth="1"/>
    <col min="1806" max="2048" width="9.140625" style="110"/>
    <col min="2049" max="2049" width="37" style="110" customWidth="1"/>
    <col min="2050" max="2050" width="18" style="110" bestFit="1" customWidth="1"/>
    <col min="2051" max="2051" width="16.85546875" style="110" bestFit="1" customWidth="1"/>
    <col min="2052" max="2052" width="18" style="110" bestFit="1" customWidth="1"/>
    <col min="2053" max="2053" width="16.85546875" style="110" bestFit="1" customWidth="1"/>
    <col min="2054" max="2054" width="18" style="110" customWidth="1"/>
    <col min="2055" max="2055" width="16.85546875" style="110" bestFit="1" customWidth="1"/>
    <col min="2056" max="2056" width="21.42578125" style="110" customWidth="1"/>
    <col min="2057" max="2057" width="9.140625" style="110"/>
    <col min="2058" max="2060" width="16.7109375" style="110" bestFit="1" customWidth="1"/>
    <col min="2061" max="2061" width="17.7109375" style="110" bestFit="1" customWidth="1"/>
    <col min="2062" max="2304" width="9.140625" style="110"/>
    <col min="2305" max="2305" width="37" style="110" customWidth="1"/>
    <col min="2306" max="2306" width="18" style="110" bestFit="1" customWidth="1"/>
    <col min="2307" max="2307" width="16.85546875" style="110" bestFit="1" customWidth="1"/>
    <col min="2308" max="2308" width="18" style="110" bestFit="1" customWidth="1"/>
    <col min="2309" max="2309" width="16.85546875" style="110" bestFit="1" customWidth="1"/>
    <col min="2310" max="2310" width="18" style="110" customWidth="1"/>
    <col min="2311" max="2311" width="16.85546875" style="110" bestFit="1" customWidth="1"/>
    <col min="2312" max="2312" width="21.42578125" style="110" customWidth="1"/>
    <col min="2313" max="2313" width="9.140625" style="110"/>
    <col min="2314" max="2316" width="16.7109375" style="110" bestFit="1" customWidth="1"/>
    <col min="2317" max="2317" width="17.7109375" style="110" bestFit="1" customWidth="1"/>
    <col min="2318" max="2560" width="9.140625" style="110"/>
    <col min="2561" max="2561" width="37" style="110" customWidth="1"/>
    <col min="2562" max="2562" width="18" style="110" bestFit="1" customWidth="1"/>
    <col min="2563" max="2563" width="16.85546875" style="110" bestFit="1" customWidth="1"/>
    <col min="2564" max="2564" width="18" style="110" bestFit="1" customWidth="1"/>
    <col min="2565" max="2565" width="16.85546875" style="110" bestFit="1" customWidth="1"/>
    <col min="2566" max="2566" width="18" style="110" customWidth="1"/>
    <col min="2567" max="2567" width="16.85546875" style="110" bestFit="1" customWidth="1"/>
    <col min="2568" max="2568" width="21.42578125" style="110" customWidth="1"/>
    <col min="2569" max="2569" width="9.140625" style="110"/>
    <col min="2570" max="2572" width="16.7109375" style="110" bestFit="1" customWidth="1"/>
    <col min="2573" max="2573" width="17.7109375" style="110" bestFit="1" customWidth="1"/>
    <col min="2574" max="2816" width="9.140625" style="110"/>
    <col min="2817" max="2817" width="37" style="110" customWidth="1"/>
    <col min="2818" max="2818" width="18" style="110" bestFit="1" customWidth="1"/>
    <col min="2819" max="2819" width="16.85546875" style="110" bestFit="1" customWidth="1"/>
    <col min="2820" max="2820" width="18" style="110" bestFit="1" customWidth="1"/>
    <col min="2821" max="2821" width="16.85546875" style="110" bestFit="1" customWidth="1"/>
    <col min="2822" max="2822" width="18" style="110" customWidth="1"/>
    <col min="2823" max="2823" width="16.85546875" style="110" bestFit="1" customWidth="1"/>
    <col min="2824" max="2824" width="21.42578125" style="110" customWidth="1"/>
    <col min="2825" max="2825" width="9.140625" style="110"/>
    <col min="2826" max="2828" width="16.7109375" style="110" bestFit="1" customWidth="1"/>
    <col min="2829" max="2829" width="17.7109375" style="110" bestFit="1" customWidth="1"/>
    <col min="2830" max="3072" width="9.140625" style="110"/>
    <col min="3073" max="3073" width="37" style="110" customWidth="1"/>
    <col min="3074" max="3074" width="18" style="110" bestFit="1" customWidth="1"/>
    <col min="3075" max="3075" width="16.85546875" style="110" bestFit="1" customWidth="1"/>
    <col min="3076" max="3076" width="18" style="110" bestFit="1" customWidth="1"/>
    <col min="3077" max="3077" width="16.85546875" style="110" bestFit="1" customWidth="1"/>
    <col min="3078" max="3078" width="18" style="110" customWidth="1"/>
    <col min="3079" max="3079" width="16.85546875" style="110" bestFit="1" customWidth="1"/>
    <col min="3080" max="3080" width="21.42578125" style="110" customWidth="1"/>
    <col min="3081" max="3081" width="9.140625" style="110"/>
    <col min="3082" max="3084" width="16.7109375" style="110" bestFit="1" customWidth="1"/>
    <col min="3085" max="3085" width="17.7109375" style="110" bestFit="1" customWidth="1"/>
    <col min="3086" max="3328" width="9.140625" style="110"/>
    <col min="3329" max="3329" width="37" style="110" customWidth="1"/>
    <col min="3330" max="3330" width="18" style="110" bestFit="1" customWidth="1"/>
    <col min="3331" max="3331" width="16.85546875" style="110" bestFit="1" customWidth="1"/>
    <col min="3332" max="3332" width="18" style="110" bestFit="1" customWidth="1"/>
    <col min="3333" max="3333" width="16.85546875" style="110" bestFit="1" customWidth="1"/>
    <col min="3334" max="3334" width="18" style="110" customWidth="1"/>
    <col min="3335" max="3335" width="16.85546875" style="110" bestFit="1" customWidth="1"/>
    <col min="3336" max="3336" width="21.42578125" style="110" customWidth="1"/>
    <col min="3337" max="3337" width="9.140625" style="110"/>
    <col min="3338" max="3340" width="16.7109375" style="110" bestFit="1" customWidth="1"/>
    <col min="3341" max="3341" width="17.7109375" style="110" bestFit="1" customWidth="1"/>
    <col min="3342" max="3584" width="9.140625" style="110"/>
    <col min="3585" max="3585" width="37" style="110" customWidth="1"/>
    <col min="3586" max="3586" width="18" style="110" bestFit="1" customWidth="1"/>
    <col min="3587" max="3587" width="16.85546875" style="110" bestFit="1" customWidth="1"/>
    <col min="3588" max="3588" width="18" style="110" bestFit="1" customWidth="1"/>
    <col min="3589" max="3589" width="16.85546875" style="110" bestFit="1" customWidth="1"/>
    <col min="3590" max="3590" width="18" style="110" customWidth="1"/>
    <col min="3591" max="3591" width="16.85546875" style="110" bestFit="1" customWidth="1"/>
    <col min="3592" max="3592" width="21.42578125" style="110" customWidth="1"/>
    <col min="3593" max="3593" width="9.140625" style="110"/>
    <col min="3594" max="3596" width="16.7109375" style="110" bestFit="1" customWidth="1"/>
    <col min="3597" max="3597" width="17.7109375" style="110" bestFit="1" customWidth="1"/>
    <col min="3598" max="3840" width="9.140625" style="110"/>
    <col min="3841" max="3841" width="37" style="110" customWidth="1"/>
    <col min="3842" max="3842" width="18" style="110" bestFit="1" customWidth="1"/>
    <col min="3843" max="3843" width="16.85546875" style="110" bestFit="1" customWidth="1"/>
    <col min="3844" max="3844" width="18" style="110" bestFit="1" customWidth="1"/>
    <col min="3845" max="3845" width="16.85546875" style="110" bestFit="1" customWidth="1"/>
    <col min="3846" max="3846" width="18" style="110" customWidth="1"/>
    <col min="3847" max="3847" width="16.85546875" style="110" bestFit="1" customWidth="1"/>
    <col min="3848" max="3848" width="21.42578125" style="110" customWidth="1"/>
    <col min="3849" max="3849" width="9.140625" style="110"/>
    <col min="3850" max="3852" width="16.7109375" style="110" bestFit="1" customWidth="1"/>
    <col min="3853" max="3853" width="17.7109375" style="110" bestFit="1" customWidth="1"/>
    <col min="3854" max="4096" width="9.140625" style="110"/>
    <col min="4097" max="4097" width="37" style="110" customWidth="1"/>
    <col min="4098" max="4098" width="18" style="110" bestFit="1" customWidth="1"/>
    <col min="4099" max="4099" width="16.85546875" style="110" bestFit="1" customWidth="1"/>
    <col min="4100" max="4100" width="18" style="110" bestFit="1" customWidth="1"/>
    <col min="4101" max="4101" width="16.85546875" style="110" bestFit="1" customWidth="1"/>
    <col min="4102" max="4102" width="18" style="110" customWidth="1"/>
    <col min="4103" max="4103" width="16.85546875" style="110" bestFit="1" customWidth="1"/>
    <col min="4104" max="4104" width="21.42578125" style="110" customWidth="1"/>
    <col min="4105" max="4105" width="9.140625" style="110"/>
    <col min="4106" max="4108" width="16.7109375" style="110" bestFit="1" customWidth="1"/>
    <col min="4109" max="4109" width="17.7109375" style="110" bestFit="1" customWidth="1"/>
    <col min="4110" max="4352" width="9.140625" style="110"/>
    <col min="4353" max="4353" width="37" style="110" customWidth="1"/>
    <col min="4354" max="4354" width="18" style="110" bestFit="1" customWidth="1"/>
    <col min="4355" max="4355" width="16.85546875" style="110" bestFit="1" customWidth="1"/>
    <col min="4356" max="4356" width="18" style="110" bestFit="1" customWidth="1"/>
    <col min="4357" max="4357" width="16.85546875" style="110" bestFit="1" customWidth="1"/>
    <col min="4358" max="4358" width="18" style="110" customWidth="1"/>
    <col min="4359" max="4359" width="16.85546875" style="110" bestFit="1" customWidth="1"/>
    <col min="4360" max="4360" width="21.42578125" style="110" customWidth="1"/>
    <col min="4361" max="4361" width="9.140625" style="110"/>
    <col min="4362" max="4364" width="16.7109375" style="110" bestFit="1" customWidth="1"/>
    <col min="4365" max="4365" width="17.7109375" style="110" bestFit="1" customWidth="1"/>
    <col min="4366" max="4608" width="9.140625" style="110"/>
    <col min="4609" max="4609" width="37" style="110" customWidth="1"/>
    <col min="4610" max="4610" width="18" style="110" bestFit="1" customWidth="1"/>
    <col min="4611" max="4611" width="16.85546875" style="110" bestFit="1" customWidth="1"/>
    <col min="4612" max="4612" width="18" style="110" bestFit="1" customWidth="1"/>
    <col min="4613" max="4613" width="16.85546875" style="110" bestFit="1" customWidth="1"/>
    <col min="4614" max="4614" width="18" style="110" customWidth="1"/>
    <col min="4615" max="4615" width="16.85546875" style="110" bestFit="1" customWidth="1"/>
    <col min="4616" max="4616" width="21.42578125" style="110" customWidth="1"/>
    <col min="4617" max="4617" width="9.140625" style="110"/>
    <col min="4618" max="4620" width="16.7109375" style="110" bestFit="1" customWidth="1"/>
    <col min="4621" max="4621" width="17.7109375" style="110" bestFit="1" customWidth="1"/>
    <col min="4622" max="4864" width="9.140625" style="110"/>
    <col min="4865" max="4865" width="37" style="110" customWidth="1"/>
    <col min="4866" max="4866" width="18" style="110" bestFit="1" customWidth="1"/>
    <col min="4867" max="4867" width="16.85546875" style="110" bestFit="1" customWidth="1"/>
    <col min="4868" max="4868" width="18" style="110" bestFit="1" customWidth="1"/>
    <col min="4869" max="4869" width="16.85546875" style="110" bestFit="1" customWidth="1"/>
    <col min="4870" max="4870" width="18" style="110" customWidth="1"/>
    <col min="4871" max="4871" width="16.85546875" style="110" bestFit="1" customWidth="1"/>
    <col min="4872" max="4872" width="21.42578125" style="110" customWidth="1"/>
    <col min="4873" max="4873" width="9.140625" style="110"/>
    <col min="4874" max="4876" width="16.7109375" style="110" bestFit="1" customWidth="1"/>
    <col min="4877" max="4877" width="17.7109375" style="110" bestFit="1" customWidth="1"/>
    <col min="4878" max="5120" width="9.140625" style="110"/>
    <col min="5121" max="5121" width="37" style="110" customWidth="1"/>
    <col min="5122" max="5122" width="18" style="110" bestFit="1" customWidth="1"/>
    <col min="5123" max="5123" width="16.85546875" style="110" bestFit="1" customWidth="1"/>
    <col min="5124" max="5124" width="18" style="110" bestFit="1" customWidth="1"/>
    <col min="5125" max="5125" width="16.85546875" style="110" bestFit="1" customWidth="1"/>
    <col min="5126" max="5126" width="18" style="110" customWidth="1"/>
    <col min="5127" max="5127" width="16.85546875" style="110" bestFit="1" customWidth="1"/>
    <col min="5128" max="5128" width="21.42578125" style="110" customWidth="1"/>
    <col min="5129" max="5129" width="9.140625" style="110"/>
    <col min="5130" max="5132" width="16.7109375" style="110" bestFit="1" customWidth="1"/>
    <col min="5133" max="5133" width="17.7109375" style="110" bestFit="1" customWidth="1"/>
    <col min="5134" max="5376" width="9.140625" style="110"/>
    <col min="5377" max="5377" width="37" style="110" customWidth="1"/>
    <col min="5378" max="5378" width="18" style="110" bestFit="1" customWidth="1"/>
    <col min="5379" max="5379" width="16.85546875" style="110" bestFit="1" customWidth="1"/>
    <col min="5380" max="5380" width="18" style="110" bestFit="1" customWidth="1"/>
    <col min="5381" max="5381" width="16.85546875" style="110" bestFit="1" customWidth="1"/>
    <col min="5382" max="5382" width="18" style="110" customWidth="1"/>
    <col min="5383" max="5383" width="16.85546875" style="110" bestFit="1" customWidth="1"/>
    <col min="5384" max="5384" width="21.42578125" style="110" customWidth="1"/>
    <col min="5385" max="5385" width="9.140625" style="110"/>
    <col min="5386" max="5388" width="16.7109375" style="110" bestFit="1" customWidth="1"/>
    <col min="5389" max="5389" width="17.7109375" style="110" bestFit="1" customWidth="1"/>
    <col min="5390" max="5632" width="9.140625" style="110"/>
    <col min="5633" max="5633" width="37" style="110" customWidth="1"/>
    <col min="5634" max="5634" width="18" style="110" bestFit="1" customWidth="1"/>
    <col min="5635" max="5635" width="16.85546875" style="110" bestFit="1" customWidth="1"/>
    <col min="5636" max="5636" width="18" style="110" bestFit="1" customWidth="1"/>
    <col min="5637" max="5637" width="16.85546875" style="110" bestFit="1" customWidth="1"/>
    <col min="5638" max="5638" width="18" style="110" customWidth="1"/>
    <col min="5639" max="5639" width="16.85546875" style="110" bestFit="1" customWidth="1"/>
    <col min="5640" max="5640" width="21.42578125" style="110" customWidth="1"/>
    <col min="5641" max="5641" width="9.140625" style="110"/>
    <col min="5642" max="5644" width="16.7109375" style="110" bestFit="1" customWidth="1"/>
    <col min="5645" max="5645" width="17.7109375" style="110" bestFit="1" customWidth="1"/>
    <col min="5646" max="5888" width="9.140625" style="110"/>
    <col min="5889" max="5889" width="37" style="110" customWidth="1"/>
    <col min="5890" max="5890" width="18" style="110" bestFit="1" customWidth="1"/>
    <col min="5891" max="5891" width="16.85546875" style="110" bestFit="1" customWidth="1"/>
    <col min="5892" max="5892" width="18" style="110" bestFit="1" customWidth="1"/>
    <col min="5893" max="5893" width="16.85546875" style="110" bestFit="1" customWidth="1"/>
    <col min="5894" max="5894" width="18" style="110" customWidth="1"/>
    <col min="5895" max="5895" width="16.85546875" style="110" bestFit="1" customWidth="1"/>
    <col min="5896" max="5896" width="21.42578125" style="110" customWidth="1"/>
    <col min="5897" max="5897" width="9.140625" style="110"/>
    <col min="5898" max="5900" width="16.7109375" style="110" bestFit="1" customWidth="1"/>
    <col min="5901" max="5901" width="17.7109375" style="110" bestFit="1" customWidth="1"/>
    <col min="5902" max="6144" width="9.140625" style="110"/>
    <col min="6145" max="6145" width="37" style="110" customWidth="1"/>
    <col min="6146" max="6146" width="18" style="110" bestFit="1" customWidth="1"/>
    <col min="6147" max="6147" width="16.85546875" style="110" bestFit="1" customWidth="1"/>
    <col min="6148" max="6148" width="18" style="110" bestFit="1" customWidth="1"/>
    <col min="6149" max="6149" width="16.85546875" style="110" bestFit="1" customWidth="1"/>
    <col min="6150" max="6150" width="18" style="110" customWidth="1"/>
    <col min="6151" max="6151" width="16.85546875" style="110" bestFit="1" customWidth="1"/>
    <col min="6152" max="6152" width="21.42578125" style="110" customWidth="1"/>
    <col min="6153" max="6153" width="9.140625" style="110"/>
    <col min="6154" max="6156" width="16.7109375" style="110" bestFit="1" customWidth="1"/>
    <col min="6157" max="6157" width="17.7109375" style="110" bestFit="1" customWidth="1"/>
    <col min="6158" max="6400" width="9.140625" style="110"/>
    <col min="6401" max="6401" width="37" style="110" customWidth="1"/>
    <col min="6402" max="6402" width="18" style="110" bestFit="1" customWidth="1"/>
    <col min="6403" max="6403" width="16.85546875" style="110" bestFit="1" customWidth="1"/>
    <col min="6404" max="6404" width="18" style="110" bestFit="1" customWidth="1"/>
    <col min="6405" max="6405" width="16.85546875" style="110" bestFit="1" customWidth="1"/>
    <col min="6406" max="6406" width="18" style="110" customWidth="1"/>
    <col min="6407" max="6407" width="16.85546875" style="110" bestFit="1" customWidth="1"/>
    <col min="6408" max="6408" width="21.42578125" style="110" customWidth="1"/>
    <col min="6409" max="6409" width="9.140625" style="110"/>
    <col min="6410" max="6412" width="16.7109375" style="110" bestFit="1" customWidth="1"/>
    <col min="6413" max="6413" width="17.7109375" style="110" bestFit="1" customWidth="1"/>
    <col min="6414" max="6656" width="9.140625" style="110"/>
    <col min="6657" max="6657" width="37" style="110" customWidth="1"/>
    <col min="6658" max="6658" width="18" style="110" bestFit="1" customWidth="1"/>
    <col min="6659" max="6659" width="16.85546875" style="110" bestFit="1" customWidth="1"/>
    <col min="6660" max="6660" width="18" style="110" bestFit="1" customWidth="1"/>
    <col min="6661" max="6661" width="16.85546875" style="110" bestFit="1" customWidth="1"/>
    <col min="6662" max="6662" width="18" style="110" customWidth="1"/>
    <col min="6663" max="6663" width="16.85546875" style="110" bestFit="1" customWidth="1"/>
    <col min="6664" max="6664" width="21.42578125" style="110" customWidth="1"/>
    <col min="6665" max="6665" width="9.140625" style="110"/>
    <col min="6666" max="6668" width="16.7109375" style="110" bestFit="1" customWidth="1"/>
    <col min="6669" max="6669" width="17.7109375" style="110" bestFit="1" customWidth="1"/>
    <col min="6670" max="6912" width="9.140625" style="110"/>
    <col min="6913" max="6913" width="37" style="110" customWidth="1"/>
    <col min="6914" max="6914" width="18" style="110" bestFit="1" customWidth="1"/>
    <col min="6915" max="6915" width="16.85546875" style="110" bestFit="1" customWidth="1"/>
    <col min="6916" max="6916" width="18" style="110" bestFit="1" customWidth="1"/>
    <col min="6917" max="6917" width="16.85546875" style="110" bestFit="1" customWidth="1"/>
    <col min="6918" max="6918" width="18" style="110" customWidth="1"/>
    <col min="6919" max="6919" width="16.85546875" style="110" bestFit="1" customWidth="1"/>
    <col min="6920" max="6920" width="21.42578125" style="110" customWidth="1"/>
    <col min="6921" max="6921" width="9.140625" style="110"/>
    <col min="6922" max="6924" width="16.7109375" style="110" bestFit="1" customWidth="1"/>
    <col min="6925" max="6925" width="17.7109375" style="110" bestFit="1" customWidth="1"/>
    <col min="6926" max="7168" width="9.140625" style="110"/>
    <col min="7169" max="7169" width="37" style="110" customWidth="1"/>
    <col min="7170" max="7170" width="18" style="110" bestFit="1" customWidth="1"/>
    <col min="7171" max="7171" width="16.85546875" style="110" bestFit="1" customWidth="1"/>
    <col min="7172" max="7172" width="18" style="110" bestFit="1" customWidth="1"/>
    <col min="7173" max="7173" width="16.85546875" style="110" bestFit="1" customWidth="1"/>
    <col min="7174" max="7174" width="18" style="110" customWidth="1"/>
    <col min="7175" max="7175" width="16.85546875" style="110" bestFit="1" customWidth="1"/>
    <col min="7176" max="7176" width="21.42578125" style="110" customWidth="1"/>
    <col min="7177" max="7177" width="9.140625" style="110"/>
    <col min="7178" max="7180" width="16.7109375" style="110" bestFit="1" customWidth="1"/>
    <col min="7181" max="7181" width="17.7109375" style="110" bestFit="1" customWidth="1"/>
    <col min="7182" max="7424" width="9.140625" style="110"/>
    <col min="7425" max="7425" width="37" style="110" customWidth="1"/>
    <col min="7426" max="7426" width="18" style="110" bestFit="1" customWidth="1"/>
    <col min="7427" max="7427" width="16.85546875" style="110" bestFit="1" customWidth="1"/>
    <col min="7428" max="7428" width="18" style="110" bestFit="1" customWidth="1"/>
    <col min="7429" max="7429" width="16.85546875" style="110" bestFit="1" customWidth="1"/>
    <col min="7430" max="7430" width="18" style="110" customWidth="1"/>
    <col min="7431" max="7431" width="16.85546875" style="110" bestFit="1" customWidth="1"/>
    <col min="7432" max="7432" width="21.42578125" style="110" customWidth="1"/>
    <col min="7433" max="7433" width="9.140625" style="110"/>
    <col min="7434" max="7436" width="16.7109375" style="110" bestFit="1" customWidth="1"/>
    <col min="7437" max="7437" width="17.7109375" style="110" bestFit="1" customWidth="1"/>
    <col min="7438" max="7680" width="9.140625" style="110"/>
    <col min="7681" max="7681" width="37" style="110" customWidth="1"/>
    <col min="7682" max="7682" width="18" style="110" bestFit="1" customWidth="1"/>
    <col min="7683" max="7683" width="16.85546875" style="110" bestFit="1" customWidth="1"/>
    <col min="7684" max="7684" width="18" style="110" bestFit="1" customWidth="1"/>
    <col min="7685" max="7685" width="16.85546875" style="110" bestFit="1" customWidth="1"/>
    <col min="7686" max="7686" width="18" style="110" customWidth="1"/>
    <col min="7687" max="7687" width="16.85546875" style="110" bestFit="1" customWidth="1"/>
    <col min="7688" max="7688" width="21.42578125" style="110" customWidth="1"/>
    <col min="7689" max="7689" width="9.140625" style="110"/>
    <col min="7690" max="7692" width="16.7109375" style="110" bestFit="1" customWidth="1"/>
    <col min="7693" max="7693" width="17.7109375" style="110" bestFit="1" customWidth="1"/>
    <col min="7694" max="7936" width="9.140625" style="110"/>
    <col min="7937" max="7937" width="37" style="110" customWidth="1"/>
    <col min="7938" max="7938" width="18" style="110" bestFit="1" customWidth="1"/>
    <col min="7939" max="7939" width="16.85546875" style="110" bestFit="1" customWidth="1"/>
    <col min="7940" max="7940" width="18" style="110" bestFit="1" customWidth="1"/>
    <col min="7941" max="7941" width="16.85546875" style="110" bestFit="1" customWidth="1"/>
    <col min="7942" max="7942" width="18" style="110" customWidth="1"/>
    <col min="7943" max="7943" width="16.85546875" style="110" bestFit="1" customWidth="1"/>
    <col min="7944" max="7944" width="21.42578125" style="110" customWidth="1"/>
    <col min="7945" max="7945" width="9.140625" style="110"/>
    <col min="7946" max="7948" width="16.7109375" style="110" bestFit="1" customWidth="1"/>
    <col min="7949" max="7949" width="17.7109375" style="110" bestFit="1" customWidth="1"/>
    <col min="7950" max="8192" width="9.140625" style="110"/>
    <col min="8193" max="8193" width="37" style="110" customWidth="1"/>
    <col min="8194" max="8194" width="18" style="110" bestFit="1" customWidth="1"/>
    <col min="8195" max="8195" width="16.85546875" style="110" bestFit="1" customWidth="1"/>
    <col min="8196" max="8196" width="18" style="110" bestFit="1" customWidth="1"/>
    <col min="8197" max="8197" width="16.85546875" style="110" bestFit="1" customWidth="1"/>
    <col min="8198" max="8198" width="18" style="110" customWidth="1"/>
    <col min="8199" max="8199" width="16.85546875" style="110" bestFit="1" customWidth="1"/>
    <col min="8200" max="8200" width="21.42578125" style="110" customWidth="1"/>
    <col min="8201" max="8201" width="9.140625" style="110"/>
    <col min="8202" max="8204" width="16.7109375" style="110" bestFit="1" customWidth="1"/>
    <col min="8205" max="8205" width="17.7109375" style="110" bestFit="1" customWidth="1"/>
    <col min="8206" max="8448" width="9.140625" style="110"/>
    <col min="8449" max="8449" width="37" style="110" customWidth="1"/>
    <col min="8450" max="8450" width="18" style="110" bestFit="1" customWidth="1"/>
    <col min="8451" max="8451" width="16.85546875" style="110" bestFit="1" customWidth="1"/>
    <col min="8452" max="8452" width="18" style="110" bestFit="1" customWidth="1"/>
    <col min="8453" max="8453" width="16.85546875" style="110" bestFit="1" customWidth="1"/>
    <col min="8454" max="8454" width="18" style="110" customWidth="1"/>
    <col min="8455" max="8455" width="16.85546875" style="110" bestFit="1" customWidth="1"/>
    <col min="8456" max="8456" width="21.42578125" style="110" customWidth="1"/>
    <col min="8457" max="8457" width="9.140625" style="110"/>
    <col min="8458" max="8460" width="16.7109375" style="110" bestFit="1" customWidth="1"/>
    <col min="8461" max="8461" width="17.7109375" style="110" bestFit="1" customWidth="1"/>
    <col min="8462" max="8704" width="9.140625" style="110"/>
    <col min="8705" max="8705" width="37" style="110" customWidth="1"/>
    <col min="8706" max="8706" width="18" style="110" bestFit="1" customWidth="1"/>
    <col min="8707" max="8707" width="16.85546875" style="110" bestFit="1" customWidth="1"/>
    <col min="8708" max="8708" width="18" style="110" bestFit="1" customWidth="1"/>
    <col min="8709" max="8709" width="16.85546875" style="110" bestFit="1" customWidth="1"/>
    <col min="8710" max="8710" width="18" style="110" customWidth="1"/>
    <col min="8711" max="8711" width="16.85546875" style="110" bestFit="1" customWidth="1"/>
    <col min="8712" max="8712" width="21.42578125" style="110" customWidth="1"/>
    <col min="8713" max="8713" width="9.140625" style="110"/>
    <col min="8714" max="8716" width="16.7109375" style="110" bestFit="1" customWidth="1"/>
    <col min="8717" max="8717" width="17.7109375" style="110" bestFit="1" customWidth="1"/>
    <col min="8718" max="8960" width="9.140625" style="110"/>
    <col min="8961" max="8961" width="37" style="110" customWidth="1"/>
    <col min="8962" max="8962" width="18" style="110" bestFit="1" customWidth="1"/>
    <col min="8963" max="8963" width="16.85546875" style="110" bestFit="1" customWidth="1"/>
    <col min="8964" max="8964" width="18" style="110" bestFit="1" customWidth="1"/>
    <col min="8965" max="8965" width="16.85546875" style="110" bestFit="1" customWidth="1"/>
    <col min="8966" max="8966" width="18" style="110" customWidth="1"/>
    <col min="8967" max="8967" width="16.85546875" style="110" bestFit="1" customWidth="1"/>
    <col min="8968" max="8968" width="21.42578125" style="110" customWidth="1"/>
    <col min="8969" max="8969" width="9.140625" style="110"/>
    <col min="8970" max="8972" width="16.7109375" style="110" bestFit="1" customWidth="1"/>
    <col min="8973" max="8973" width="17.7109375" style="110" bestFit="1" customWidth="1"/>
    <col min="8974" max="9216" width="9.140625" style="110"/>
    <col min="9217" max="9217" width="37" style="110" customWidth="1"/>
    <col min="9218" max="9218" width="18" style="110" bestFit="1" customWidth="1"/>
    <col min="9219" max="9219" width="16.85546875" style="110" bestFit="1" customWidth="1"/>
    <col min="9220" max="9220" width="18" style="110" bestFit="1" customWidth="1"/>
    <col min="9221" max="9221" width="16.85546875" style="110" bestFit="1" customWidth="1"/>
    <col min="9222" max="9222" width="18" style="110" customWidth="1"/>
    <col min="9223" max="9223" width="16.85546875" style="110" bestFit="1" customWidth="1"/>
    <col min="9224" max="9224" width="21.42578125" style="110" customWidth="1"/>
    <col min="9225" max="9225" width="9.140625" style="110"/>
    <col min="9226" max="9228" width="16.7109375" style="110" bestFit="1" customWidth="1"/>
    <col min="9229" max="9229" width="17.7109375" style="110" bestFit="1" customWidth="1"/>
    <col min="9230" max="9472" width="9.140625" style="110"/>
    <col min="9473" max="9473" width="37" style="110" customWidth="1"/>
    <col min="9474" max="9474" width="18" style="110" bestFit="1" customWidth="1"/>
    <col min="9475" max="9475" width="16.85546875" style="110" bestFit="1" customWidth="1"/>
    <col min="9476" max="9476" width="18" style="110" bestFit="1" customWidth="1"/>
    <col min="9477" max="9477" width="16.85546875" style="110" bestFit="1" customWidth="1"/>
    <col min="9478" max="9478" width="18" style="110" customWidth="1"/>
    <col min="9479" max="9479" width="16.85546875" style="110" bestFit="1" customWidth="1"/>
    <col min="9480" max="9480" width="21.42578125" style="110" customWidth="1"/>
    <col min="9481" max="9481" width="9.140625" style="110"/>
    <col min="9482" max="9484" width="16.7109375" style="110" bestFit="1" customWidth="1"/>
    <col min="9485" max="9485" width="17.7109375" style="110" bestFit="1" customWidth="1"/>
    <col min="9486" max="9728" width="9.140625" style="110"/>
    <col min="9729" max="9729" width="37" style="110" customWidth="1"/>
    <col min="9730" max="9730" width="18" style="110" bestFit="1" customWidth="1"/>
    <col min="9731" max="9731" width="16.85546875" style="110" bestFit="1" customWidth="1"/>
    <col min="9732" max="9732" width="18" style="110" bestFit="1" customWidth="1"/>
    <col min="9733" max="9733" width="16.85546875" style="110" bestFit="1" customWidth="1"/>
    <col min="9734" max="9734" width="18" style="110" customWidth="1"/>
    <col min="9735" max="9735" width="16.85546875" style="110" bestFit="1" customWidth="1"/>
    <col min="9736" max="9736" width="21.42578125" style="110" customWidth="1"/>
    <col min="9737" max="9737" width="9.140625" style="110"/>
    <col min="9738" max="9740" width="16.7109375" style="110" bestFit="1" customWidth="1"/>
    <col min="9741" max="9741" width="17.7109375" style="110" bestFit="1" customWidth="1"/>
    <col min="9742" max="9984" width="9.140625" style="110"/>
    <col min="9985" max="9985" width="37" style="110" customWidth="1"/>
    <col min="9986" max="9986" width="18" style="110" bestFit="1" customWidth="1"/>
    <col min="9987" max="9987" width="16.85546875" style="110" bestFit="1" customWidth="1"/>
    <col min="9988" max="9988" width="18" style="110" bestFit="1" customWidth="1"/>
    <col min="9989" max="9989" width="16.85546875" style="110" bestFit="1" customWidth="1"/>
    <col min="9990" max="9990" width="18" style="110" customWidth="1"/>
    <col min="9991" max="9991" width="16.85546875" style="110" bestFit="1" customWidth="1"/>
    <col min="9992" max="9992" width="21.42578125" style="110" customWidth="1"/>
    <col min="9993" max="9993" width="9.140625" style="110"/>
    <col min="9994" max="9996" width="16.7109375" style="110" bestFit="1" customWidth="1"/>
    <col min="9997" max="9997" width="17.7109375" style="110" bestFit="1" customWidth="1"/>
    <col min="9998" max="10240" width="9.140625" style="110"/>
    <col min="10241" max="10241" width="37" style="110" customWidth="1"/>
    <col min="10242" max="10242" width="18" style="110" bestFit="1" customWidth="1"/>
    <col min="10243" max="10243" width="16.85546875" style="110" bestFit="1" customWidth="1"/>
    <col min="10244" max="10244" width="18" style="110" bestFit="1" customWidth="1"/>
    <col min="10245" max="10245" width="16.85546875" style="110" bestFit="1" customWidth="1"/>
    <col min="10246" max="10246" width="18" style="110" customWidth="1"/>
    <col min="10247" max="10247" width="16.85546875" style="110" bestFit="1" customWidth="1"/>
    <col min="10248" max="10248" width="21.42578125" style="110" customWidth="1"/>
    <col min="10249" max="10249" width="9.140625" style="110"/>
    <col min="10250" max="10252" width="16.7109375" style="110" bestFit="1" customWidth="1"/>
    <col min="10253" max="10253" width="17.7109375" style="110" bestFit="1" customWidth="1"/>
    <col min="10254" max="10496" width="9.140625" style="110"/>
    <col min="10497" max="10497" width="37" style="110" customWidth="1"/>
    <col min="10498" max="10498" width="18" style="110" bestFit="1" customWidth="1"/>
    <col min="10499" max="10499" width="16.85546875" style="110" bestFit="1" customWidth="1"/>
    <col min="10500" max="10500" width="18" style="110" bestFit="1" customWidth="1"/>
    <col min="10501" max="10501" width="16.85546875" style="110" bestFit="1" customWidth="1"/>
    <col min="10502" max="10502" width="18" style="110" customWidth="1"/>
    <col min="10503" max="10503" width="16.85546875" style="110" bestFit="1" customWidth="1"/>
    <col min="10504" max="10504" width="21.42578125" style="110" customWidth="1"/>
    <col min="10505" max="10505" width="9.140625" style="110"/>
    <col min="10506" max="10508" width="16.7109375" style="110" bestFit="1" customWidth="1"/>
    <col min="10509" max="10509" width="17.7109375" style="110" bestFit="1" customWidth="1"/>
    <col min="10510" max="10752" width="9.140625" style="110"/>
    <col min="10753" max="10753" width="37" style="110" customWidth="1"/>
    <col min="10754" max="10754" width="18" style="110" bestFit="1" customWidth="1"/>
    <col min="10755" max="10755" width="16.85546875" style="110" bestFit="1" customWidth="1"/>
    <col min="10756" max="10756" width="18" style="110" bestFit="1" customWidth="1"/>
    <col min="10757" max="10757" width="16.85546875" style="110" bestFit="1" customWidth="1"/>
    <col min="10758" max="10758" width="18" style="110" customWidth="1"/>
    <col min="10759" max="10759" width="16.85546875" style="110" bestFit="1" customWidth="1"/>
    <col min="10760" max="10760" width="21.42578125" style="110" customWidth="1"/>
    <col min="10761" max="10761" width="9.140625" style="110"/>
    <col min="10762" max="10764" width="16.7109375" style="110" bestFit="1" customWidth="1"/>
    <col min="10765" max="10765" width="17.7109375" style="110" bestFit="1" customWidth="1"/>
    <col min="10766" max="11008" width="9.140625" style="110"/>
    <col min="11009" max="11009" width="37" style="110" customWidth="1"/>
    <col min="11010" max="11010" width="18" style="110" bestFit="1" customWidth="1"/>
    <col min="11011" max="11011" width="16.85546875" style="110" bestFit="1" customWidth="1"/>
    <col min="11012" max="11012" width="18" style="110" bestFit="1" customWidth="1"/>
    <col min="11013" max="11013" width="16.85546875" style="110" bestFit="1" customWidth="1"/>
    <col min="11014" max="11014" width="18" style="110" customWidth="1"/>
    <col min="11015" max="11015" width="16.85546875" style="110" bestFit="1" customWidth="1"/>
    <col min="11016" max="11016" width="21.42578125" style="110" customWidth="1"/>
    <col min="11017" max="11017" width="9.140625" style="110"/>
    <col min="11018" max="11020" width="16.7109375" style="110" bestFit="1" customWidth="1"/>
    <col min="11021" max="11021" width="17.7109375" style="110" bestFit="1" customWidth="1"/>
    <col min="11022" max="11264" width="9.140625" style="110"/>
    <col min="11265" max="11265" width="37" style="110" customWidth="1"/>
    <col min="11266" max="11266" width="18" style="110" bestFit="1" customWidth="1"/>
    <col min="11267" max="11267" width="16.85546875" style="110" bestFit="1" customWidth="1"/>
    <col min="11268" max="11268" width="18" style="110" bestFit="1" customWidth="1"/>
    <col min="11269" max="11269" width="16.85546875" style="110" bestFit="1" customWidth="1"/>
    <col min="11270" max="11270" width="18" style="110" customWidth="1"/>
    <col min="11271" max="11271" width="16.85546875" style="110" bestFit="1" customWidth="1"/>
    <col min="11272" max="11272" width="21.42578125" style="110" customWidth="1"/>
    <col min="11273" max="11273" width="9.140625" style="110"/>
    <col min="11274" max="11276" width="16.7109375" style="110" bestFit="1" customWidth="1"/>
    <col min="11277" max="11277" width="17.7109375" style="110" bestFit="1" customWidth="1"/>
    <col min="11278" max="11520" width="9.140625" style="110"/>
    <col min="11521" max="11521" width="37" style="110" customWidth="1"/>
    <col min="11522" max="11522" width="18" style="110" bestFit="1" customWidth="1"/>
    <col min="11523" max="11523" width="16.85546875" style="110" bestFit="1" customWidth="1"/>
    <col min="11524" max="11524" width="18" style="110" bestFit="1" customWidth="1"/>
    <col min="11525" max="11525" width="16.85546875" style="110" bestFit="1" customWidth="1"/>
    <col min="11526" max="11526" width="18" style="110" customWidth="1"/>
    <col min="11527" max="11527" width="16.85546875" style="110" bestFit="1" customWidth="1"/>
    <col min="11528" max="11528" width="21.42578125" style="110" customWidth="1"/>
    <col min="11529" max="11529" width="9.140625" style="110"/>
    <col min="11530" max="11532" width="16.7109375" style="110" bestFit="1" customWidth="1"/>
    <col min="11533" max="11533" width="17.7109375" style="110" bestFit="1" customWidth="1"/>
    <col min="11534" max="11776" width="9.140625" style="110"/>
    <col min="11777" max="11777" width="37" style="110" customWidth="1"/>
    <col min="11778" max="11778" width="18" style="110" bestFit="1" customWidth="1"/>
    <col min="11779" max="11779" width="16.85546875" style="110" bestFit="1" customWidth="1"/>
    <col min="11780" max="11780" width="18" style="110" bestFit="1" customWidth="1"/>
    <col min="11781" max="11781" width="16.85546875" style="110" bestFit="1" customWidth="1"/>
    <col min="11782" max="11782" width="18" style="110" customWidth="1"/>
    <col min="11783" max="11783" width="16.85546875" style="110" bestFit="1" customWidth="1"/>
    <col min="11784" max="11784" width="21.42578125" style="110" customWidth="1"/>
    <col min="11785" max="11785" width="9.140625" style="110"/>
    <col min="11786" max="11788" width="16.7109375" style="110" bestFit="1" customWidth="1"/>
    <col min="11789" max="11789" width="17.7109375" style="110" bestFit="1" customWidth="1"/>
    <col min="11790" max="12032" width="9.140625" style="110"/>
    <col min="12033" max="12033" width="37" style="110" customWidth="1"/>
    <col min="12034" max="12034" width="18" style="110" bestFit="1" customWidth="1"/>
    <col min="12035" max="12035" width="16.85546875" style="110" bestFit="1" customWidth="1"/>
    <col min="12036" max="12036" width="18" style="110" bestFit="1" customWidth="1"/>
    <col min="12037" max="12037" width="16.85546875" style="110" bestFit="1" customWidth="1"/>
    <col min="12038" max="12038" width="18" style="110" customWidth="1"/>
    <col min="12039" max="12039" width="16.85546875" style="110" bestFit="1" customWidth="1"/>
    <col min="12040" max="12040" width="21.42578125" style="110" customWidth="1"/>
    <col min="12041" max="12041" width="9.140625" style="110"/>
    <col min="12042" max="12044" width="16.7109375" style="110" bestFit="1" customWidth="1"/>
    <col min="12045" max="12045" width="17.7109375" style="110" bestFit="1" customWidth="1"/>
    <col min="12046" max="12288" width="9.140625" style="110"/>
    <col min="12289" max="12289" width="37" style="110" customWidth="1"/>
    <col min="12290" max="12290" width="18" style="110" bestFit="1" customWidth="1"/>
    <col min="12291" max="12291" width="16.85546875" style="110" bestFit="1" customWidth="1"/>
    <col min="12292" max="12292" width="18" style="110" bestFit="1" customWidth="1"/>
    <col min="12293" max="12293" width="16.85546875" style="110" bestFit="1" customWidth="1"/>
    <col min="12294" max="12294" width="18" style="110" customWidth="1"/>
    <col min="12295" max="12295" width="16.85546875" style="110" bestFit="1" customWidth="1"/>
    <col min="12296" max="12296" width="21.42578125" style="110" customWidth="1"/>
    <col min="12297" max="12297" width="9.140625" style="110"/>
    <col min="12298" max="12300" width="16.7109375" style="110" bestFit="1" customWidth="1"/>
    <col min="12301" max="12301" width="17.7109375" style="110" bestFit="1" customWidth="1"/>
    <col min="12302" max="12544" width="9.140625" style="110"/>
    <col min="12545" max="12545" width="37" style="110" customWidth="1"/>
    <col min="12546" max="12546" width="18" style="110" bestFit="1" customWidth="1"/>
    <col min="12547" max="12547" width="16.85546875" style="110" bestFit="1" customWidth="1"/>
    <col min="12548" max="12548" width="18" style="110" bestFit="1" customWidth="1"/>
    <col min="12549" max="12549" width="16.85546875" style="110" bestFit="1" customWidth="1"/>
    <col min="12550" max="12550" width="18" style="110" customWidth="1"/>
    <col min="12551" max="12551" width="16.85546875" style="110" bestFit="1" customWidth="1"/>
    <col min="12552" max="12552" width="21.42578125" style="110" customWidth="1"/>
    <col min="12553" max="12553" width="9.140625" style="110"/>
    <col min="12554" max="12556" width="16.7109375" style="110" bestFit="1" customWidth="1"/>
    <col min="12557" max="12557" width="17.7109375" style="110" bestFit="1" customWidth="1"/>
    <col min="12558" max="12800" width="9.140625" style="110"/>
    <col min="12801" max="12801" width="37" style="110" customWidth="1"/>
    <col min="12802" max="12802" width="18" style="110" bestFit="1" customWidth="1"/>
    <col min="12803" max="12803" width="16.85546875" style="110" bestFit="1" customWidth="1"/>
    <col min="12804" max="12804" width="18" style="110" bestFit="1" customWidth="1"/>
    <col min="12805" max="12805" width="16.85546875" style="110" bestFit="1" customWidth="1"/>
    <col min="12806" max="12806" width="18" style="110" customWidth="1"/>
    <col min="12807" max="12807" width="16.85546875" style="110" bestFit="1" customWidth="1"/>
    <col min="12808" max="12808" width="21.42578125" style="110" customWidth="1"/>
    <col min="12809" max="12809" width="9.140625" style="110"/>
    <col min="12810" max="12812" width="16.7109375" style="110" bestFit="1" customWidth="1"/>
    <col min="12813" max="12813" width="17.7109375" style="110" bestFit="1" customWidth="1"/>
    <col min="12814" max="13056" width="9.140625" style="110"/>
    <col min="13057" max="13057" width="37" style="110" customWidth="1"/>
    <col min="13058" max="13058" width="18" style="110" bestFit="1" customWidth="1"/>
    <col min="13059" max="13059" width="16.85546875" style="110" bestFit="1" customWidth="1"/>
    <col min="13060" max="13060" width="18" style="110" bestFit="1" customWidth="1"/>
    <col min="13061" max="13061" width="16.85546875" style="110" bestFit="1" customWidth="1"/>
    <col min="13062" max="13062" width="18" style="110" customWidth="1"/>
    <col min="13063" max="13063" width="16.85546875" style="110" bestFit="1" customWidth="1"/>
    <col min="13064" max="13064" width="21.42578125" style="110" customWidth="1"/>
    <col min="13065" max="13065" width="9.140625" style="110"/>
    <col min="13066" max="13068" width="16.7109375" style="110" bestFit="1" customWidth="1"/>
    <col min="13069" max="13069" width="17.7109375" style="110" bestFit="1" customWidth="1"/>
    <col min="13070" max="13312" width="9.140625" style="110"/>
    <col min="13313" max="13313" width="37" style="110" customWidth="1"/>
    <col min="13314" max="13314" width="18" style="110" bestFit="1" customWidth="1"/>
    <col min="13315" max="13315" width="16.85546875" style="110" bestFit="1" customWidth="1"/>
    <col min="13316" max="13316" width="18" style="110" bestFit="1" customWidth="1"/>
    <col min="13317" max="13317" width="16.85546875" style="110" bestFit="1" customWidth="1"/>
    <col min="13318" max="13318" width="18" style="110" customWidth="1"/>
    <col min="13319" max="13319" width="16.85546875" style="110" bestFit="1" customWidth="1"/>
    <col min="13320" max="13320" width="21.42578125" style="110" customWidth="1"/>
    <col min="13321" max="13321" width="9.140625" style="110"/>
    <col min="13322" max="13324" width="16.7109375" style="110" bestFit="1" customWidth="1"/>
    <col min="13325" max="13325" width="17.7109375" style="110" bestFit="1" customWidth="1"/>
    <col min="13326" max="13568" width="9.140625" style="110"/>
    <col min="13569" max="13569" width="37" style="110" customWidth="1"/>
    <col min="13570" max="13570" width="18" style="110" bestFit="1" customWidth="1"/>
    <col min="13571" max="13571" width="16.85546875" style="110" bestFit="1" customWidth="1"/>
    <col min="13572" max="13572" width="18" style="110" bestFit="1" customWidth="1"/>
    <col min="13573" max="13573" width="16.85546875" style="110" bestFit="1" customWidth="1"/>
    <col min="13574" max="13574" width="18" style="110" customWidth="1"/>
    <col min="13575" max="13575" width="16.85546875" style="110" bestFit="1" customWidth="1"/>
    <col min="13576" max="13576" width="21.42578125" style="110" customWidth="1"/>
    <col min="13577" max="13577" width="9.140625" style="110"/>
    <col min="13578" max="13580" width="16.7109375" style="110" bestFit="1" customWidth="1"/>
    <col min="13581" max="13581" width="17.7109375" style="110" bestFit="1" customWidth="1"/>
    <col min="13582" max="13824" width="9.140625" style="110"/>
    <col min="13825" max="13825" width="37" style="110" customWidth="1"/>
    <col min="13826" max="13826" width="18" style="110" bestFit="1" customWidth="1"/>
    <col min="13827" max="13827" width="16.85546875" style="110" bestFit="1" customWidth="1"/>
    <col min="13828" max="13828" width="18" style="110" bestFit="1" customWidth="1"/>
    <col min="13829" max="13829" width="16.85546875" style="110" bestFit="1" customWidth="1"/>
    <col min="13830" max="13830" width="18" style="110" customWidth="1"/>
    <col min="13831" max="13831" width="16.85546875" style="110" bestFit="1" customWidth="1"/>
    <col min="13832" max="13832" width="21.42578125" style="110" customWidth="1"/>
    <col min="13833" max="13833" width="9.140625" style="110"/>
    <col min="13834" max="13836" width="16.7109375" style="110" bestFit="1" customWidth="1"/>
    <col min="13837" max="13837" width="17.7109375" style="110" bestFit="1" customWidth="1"/>
    <col min="13838" max="14080" width="9.140625" style="110"/>
    <col min="14081" max="14081" width="37" style="110" customWidth="1"/>
    <col min="14082" max="14082" width="18" style="110" bestFit="1" customWidth="1"/>
    <col min="14083" max="14083" width="16.85546875" style="110" bestFit="1" customWidth="1"/>
    <col min="14084" max="14084" width="18" style="110" bestFit="1" customWidth="1"/>
    <col min="14085" max="14085" width="16.85546875" style="110" bestFit="1" customWidth="1"/>
    <col min="14086" max="14086" width="18" style="110" customWidth="1"/>
    <col min="14087" max="14087" width="16.85546875" style="110" bestFit="1" customWidth="1"/>
    <col min="14088" max="14088" width="21.42578125" style="110" customWidth="1"/>
    <col min="14089" max="14089" width="9.140625" style="110"/>
    <col min="14090" max="14092" width="16.7109375" style="110" bestFit="1" customWidth="1"/>
    <col min="14093" max="14093" width="17.7109375" style="110" bestFit="1" customWidth="1"/>
    <col min="14094" max="14336" width="9.140625" style="110"/>
    <col min="14337" max="14337" width="37" style="110" customWidth="1"/>
    <col min="14338" max="14338" width="18" style="110" bestFit="1" customWidth="1"/>
    <col min="14339" max="14339" width="16.85546875" style="110" bestFit="1" customWidth="1"/>
    <col min="14340" max="14340" width="18" style="110" bestFit="1" customWidth="1"/>
    <col min="14341" max="14341" width="16.85546875" style="110" bestFit="1" customWidth="1"/>
    <col min="14342" max="14342" width="18" style="110" customWidth="1"/>
    <col min="14343" max="14343" width="16.85546875" style="110" bestFit="1" customWidth="1"/>
    <col min="14344" max="14344" width="21.42578125" style="110" customWidth="1"/>
    <col min="14345" max="14345" width="9.140625" style="110"/>
    <col min="14346" max="14348" width="16.7109375" style="110" bestFit="1" customWidth="1"/>
    <col min="14349" max="14349" width="17.7109375" style="110" bestFit="1" customWidth="1"/>
    <col min="14350" max="14592" width="9.140625" style="110"/>
    <col min="14593" max="14593" width="37" style="110" customWidth="1"/>
    <col min="14594" max="14594" width="18" style="110" bestFit="1" customWidth="1"/>
    <col min="14595" max="14595" width="16.85546875" style="110" bestFit="1" customWidth="1"/>
    <col min="14596" max="14596" width="18" style="110" bestFit="1" customWidth="1"/>
    <col min="14597" max="14597" width="16.85546875" style="110" bestFit="1" customWidth="1"/>
    <col min="14598" max="14598" width="18" style="110" customWidth="1"/>
    <col min="14599" max="14599" width="16.85546875" style="110" bestFit="1" customWidth="1"/>
    <col min="14600" max="14600" width="21.42578125" style="110" customWidth="1"/>
    <col min="14601" max="14601" width="9.140625" style="110"/>
    <col min="14602" max="14604" width="16.7109375" style="110" bestFit="1" customWidth="1"/>
    <col min="14605" max="14605" width="17.7109375" style="110" bestFit="1" customWidth="1"/>
    <col min="14606" max="14848" width="9.140625" style="110"/>
    <col min="14849" max="14849" width="37" style="110" customWidth="1"/>
    <col min="14850" max="14850" width="18" style="110" bestFit="1" customWidth="1"/>
    <col min="14851" max="14851" width="16.85546875" style="110" bestFit="1" customWidth="1"/>
    <col min="14852" max="14852" width="18" style="110" bestFit="1" customWidth="1"/>
    <col min="14853" max="14853" width="16.85546875" style="110" bestFit="1" customWidth="1"/>
    <col min="14854" max="14854" width="18" style="110" customWidth="1"/>
    <col min="14855" max="14855" width="16.85546875" style="110" bestFit="1" customWidth="1"/>
    <col min="14856" max="14856" width="21.42578125" style="110" customWidth="1"/>
    <col min="14857" max="14857" width="9.140625" style="110"/>
    <col min="14858" max="14860" width="16.7109375" style="110" bestFit="1" customWidth="1"/>
    <col min="14861" max="14861" width="17.7109375" style="110" bestFit="1" customWidth="1"/>
    <col min="14862" max="15104" width="9.140625" style="110"/>
    <col min="15105" max="15105" width="37" style="110" customWidth="1"/>
    <col min="15106" max="15106" width="18" style="110" bestFit="1" customWidth="1"/>
    <col min="15107" max="15107" width="16.85546875" style="110" bestFit="1" customWidth="1"/>
    <col min="15108" max="15108" width="18" style="110" bestFit="1" customWidth="1"/>
    <col min="15109" max="15109" width="16.85546875" style="110" bestFit="1" customWidth="1"/>
    <col min="15110" max="15110" width="18" style="110" customWidth="1"/>
    <col min="15111" max="15111" width="16.85546875" style="110" bestFit="1" customWidth="1"/>
    <col min="15112" max="15112" width="21.42578125" style="110" customWidth="1"/>
    <col min="15113" max="15113" width="9.140625" style="110"/>
    <col min="15114" max="15116" width="16.7109375" style="110" bestFit="1" customWidth="1"/>
    <col min="15117" max="15117" width="17.7109375" style="110" bestFit="1" customWidth="1"/>
    <col min="15118" max="15360" width="9.140625" style="110"/>
    <col min="15361" max="15361" width="37" style="110" customWidth="1"/>
    <col min="15362" max="15362" width="18" style="110" bestFit="1" customWidth="1"/>
    <col min="15363" max="15363" width="16.85546875" style="110" bestFit="1" customWidth="1"/>
    <col min="15364" max="15364" width="18" style="110" bestFit="1" customWidth="1"/>
    <col min="15365" max="15365" width="16.85546875" style="110" bestFit="1" customWidth="1"/>
    <col min="15366" max="15366" width="18" style="110" customWidth="1"/>
    <col min="15367" max="15367" width="16.85546875" style="110" bestFit="1" customWidth="1"/>
    <col min="15368" max="15368" width="21.42578125" style="110" customWidth="1"/>
    <col min="15369" max="15369" width="9.140625" style="110"/>
    <col min="15370" max="15372" width="16.7109375" style="110" bestFit="1" customWidth="1"/>
    <col min="15373" max="15373" width="17.7109375" style="110" bestFit="1" customWidth="1"/>
    <col min="15374" max="15616" width="9.140625" style="110"/>
    <col min="15617" max="15617" width="37" style="110" customWidth="1"/>
    <col min="15618" max="15618" width="18" style="110" bestFit="1" customWidth="1"/>
    <col min="15619" max="15619" width="16.85546875" style="110" bestFit="1" customWidth="1"/>
    <col min="15620" max="15620" width="18" style="110" bestFit="1" customWidth="1"/>
    <col min="15621" max="15621" width="16.85546875" style="110" bestFit="1" customWidth="1"/>
    <col min="15622" max="15622" width="18" style="110" customWidth="1"/>
    <col min="15623" max="15623" width="16.85546875" style="110" bestFit="1" customWidth="1"/>
    <col min="15624" max="15624" width="21.42578125" style="110" customWidth="1"/>
    <col min="15625" max="15625" width="9.140625" style="110"/>
    <col min="15626" max="15628" width="16.7109375" style="110" bestFit="1" customWidth="1"/>
    <col min="15629" max="15629" width="17.7109375" style="110" bestFit="1" customWidth="1"/>
    <col min="15630" max="15872" width="9.140625" style="110"/>
    <col min="15873" max="15873" width="37" style="110" customWidth="1"/>
    <col min="15874" max="15874" width="18" style="110" bestFit="1" customWidth="1"/>
    <col min="15875" max="15875" width="16.85546875" style="110" bestFit="1" customWidth="1"/>
    <col min="15876" max="15876" width="18" style="110" bestFit="1" customWidth="1"/>
    <col min="15877" max="15877" width="16.85546875" style="110" bestFit="1" customWidth="1"/>
    <col min="15878" max="15878" width="18" style="110" customWidth="1"/>
    <col min="15879" max="15879" width="16.85546875" style="110" bestFit="1" customWidth="1"/>
    <col min="15880" max="15880" width="21.42578125" style="110" customWidth="1"/>
    <col min="15881" max="15881" width="9.140625" style="110"/>
    <col min="15882" max="15884" width="16.7109375" style="110" bestFit="1" customWidth="1"/>
    <col min="15885" max="15885" width="17.7109375" style="110" bestFit="1" customWidth="1"/>
    <col min="15886" max="16128" width="9.140625" style="110"/>
    <col min="16129" max="16129" width="37" style="110" customWidth="1"/>
    <col min="16130" max="16130" width="18" style="110" bestFit="1" customWidth="1"/>
    <col min="16131" max="16131" width="16.85546875" style="110" bestFit="1" customWidth="1"/>
    <col min="16132" max="16132" width="18" style="110" bestFit="1" customWidth="1"/>
    <col min="16133" max="16133" width="16.85546875" style="110" bestFit="1" customWidth="1"/>
    <col min="16134" max="16134" width="18" style="110" customWidth="1"/>
    <col min="16135" max="16135" width="16.85546875" style="110" bestFit="1" customWidth="1"/>
    <col min="16136" max="16136" width="21.42578125" style="110" customWidth="1"/>
    <col min="16137" max="16137" width="9.140625" style="110"/>
    <col min="16138" max="16140" width="16.7109375" style="110" bestFit="1" customWidth="1"/>
    <col min="16141" max="16141" width="17.7109375" style="110" bestFit="1" customWidth="1"/>
    <col min="16142" max="16384" width="9.140625" style="110"/>
  </cols>
  <sheetData>
    <row r="1" spans="1:10" s="90" customFormat="1" ht="21" customHeight="1">
      <c r="A1" s="2772" t="s">
        <v>2830</v>
      </c>
      <c r="B1" s="2772"/>
      <c r="F1" s="2773" t="s">
        <v>2848</v>
      </c>
      <c r="G1" s="2773"/>
      <c r="H1" s="2773"/>
    </row>
    <row r="2" spans="1:10" ht="43.5" customHeight="1">
      <c r="A2" s="2774" t="s">
        <v>2849</v>
      </c>
      <c r="B2" s="2774"/>
      <c r="C2" s="2774"/>
      <c r="D2" s="2774"/>
      <c r="E2" s="2774"/>
      <c r="F2" s="2774"/>
      <c r="G2" s="2774"/>
      <c r="H2" s="2774"/>
    </row>
    <row r="3" spans="1:10" ht="57" customHeight="1">
      <c r="A3" s="196" t="s">
        <v>2850</v>
      </c>
      <c r="B3" s="2766" t="s">
        <v>2851</v>
      </c>
      <c r="C3" s="2768"/>
      <c r="D3" s="2766" t="s">
        <v>2852</v>
      </c>
      <c r="E3" s="2768"/>
      <c r="F3" s="2766" t="s">
        <v>2853</v>
      </c>
      <c r="G3" s="2768"/>
      <c r="H3" s="2775" t="s">
        <v>2854</v>
      </c>
    </row>
    <row r="4" spans="1:10" ht="52.5" customHeight="1">
      <c r="A4" s="111"/>
      <c r="B4" s="978" t="s">
        <v>2855</v>
      </c>
      <c r="C4" s="977" t="s">
        <v>2856</v>
      </c>
      <c r="D4" s="978" t="s">
        <v>2855</v>
      </c>
      <c r="E4" s="977" t="s">
        <v>2856</v>
      </c>
      <c r="F4" s="978" t="s">
        <v>2855</v>
      </c>
      <c r="G4" s="977" t="s">
        <v>2856</v>
      </c>
      <c r="H4" s="2776"/>
    </row>
    <row r="5" spans="1:10" ht="59.25" customHeight="1">
      <c r="A5" s="113" t="s">
        <v>2857</v>
      </c>
      <c r="B5" s="976">
        <v>5674</v>
      </c>
      <c r="C5" s="976">
        <v>4967.4666666666699</v>
      </c>
      <c r="D5" s="976">
        <v>2729</v>
      </c>
      <c r="E5" s="976">
        <v>1538</v>
      </c>
      <c r="F5" s="976">
        <v>3772</v>
      </c>
      <c r="G5" s="976">
        <v>2170</v>
      </c>
      <c r="H5" s="2769" t="s">
        <v>2858</v>
      </c>
      <c r="J5" s="114"/>
    </row>
    <row r="6" spans="1:10" ht="59.25" customHeight="1">
      <c r="A6" s="115" t="s">
        <v>2859</v>
      </c>
      <c r="B6" s="976">
        <v>59527</v>
      </c>
      <c r="C6" s="976">
        <v>22139</v>
      </c>
      <c r="D6" s="976">
        <v>49154</v>
      </c>
      <c r="E6" s="976">
        <v>16181</v>
      </c>
      <c r="F6" s="976">
        <v>58196</v>
      </c>
      <c r="G6" s="976">
        <v>28990</v>
      </c>
      <c r="H6" s="2770"/>
      <c r="J6" s="114"/>
    </row>
    <row r="7" spans="1:10" ht="15">
      <c r="B7" s="1876"/>
      <c r="C7" s="1876"/>
      <c r="D7" s="1876"/>
      <c r="E7" s="1876"/>
      <c r="F7" s="1876"/>
      <c r="G7" s="1876"/>
      <c r="H7" s="1867"/>
    </row>
    <row r="8" spans="1:10">
      <c r="A8" s="2771"/>
      <c r="B8" s="2771"/>
      <c r="C8" s="2771"/>
      <c r="D8" s="2771"/>
      <c r="E8" s="2771"/>
      <c r="F8" s="2771"/>
      <c r="G8" s="2771"/>
      <c r="H8" s="2771"/>
    </row>
  </sheetData>
  <mergeCells count="9">
    <mergeCell ref="H5:H6"/>
    <mergeCell ref="A8:H8"/>
    <mergeCell ref="A1:B1"/>
    <mergeCell ref="F1:H1"/>
    <mergeCell ref="A2:H2"/>
    <mergeCell ref="B3:C3"/>
    <mergeCell ref="D3:E3"/>
    <mergeCell ref="F3:G3"/>
    <mergeCell ref="H3:H4"/>
  </mergeCells>
  <printOptions horizontalCentered="1"/>
  <pageMargins left="0.5" right="0.5" top="1" bottom="0.75" header="0.5" footer="0.5"/>
  <pageSetup scale="7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8000"/>
    <pageSetUpPr fitToPage="1"/>
  </sheetPr>
  <dimension ref="A1:G8"/>
  <sheetViews>
    <sheetView showOutlineSymbols="0" view="pageBreakPreview" zoomScaleNormal="87" zoomScaleSheetLayoutView="100" workbookViewId="0">
      <selection activeCell="G7" sqref="G7"/>
    </sheetView>
  </sheetViews>
  <sheetFormatPr defaultColWidth="14.7109375" defaultRowHeight="15"/>
  <cols>
    <col min="1" max="1" width="4.7109375" style="533" customWidth="1"/>
    <col min="2" max="2" width="17.42578125" style="531" customWidth="1"/>
    <col min="3" max="3" width="18.140625" style="531" customWidth="1"/>
    <col min="4" max="4" width="17.140625" style="531" customWidth="1"/>
    <col min="5" max="5" width="16.7109375" style="531" customWidth="1"/>
    <col min="6" max="6" width="23.140625" style="531" customWidth="1"/>
    <col min="7" max="7" width="62.28515625" style="531" bestFit="1" customWidth="1"/>
    <col min="8" max="16384" width="14.7109375" style="531"/>
  </cols>
  <sheetData>
    <row r="1" spans="1:7" ht="20.25" customHeight="1">
      <c r="A1" s="2777" t="s">
        <v>2779</v>
      </c>
      <c r="B1" s="2777"/>
      <c r="C1" s="1877"/>
      <c r="D1" s="1877"/>
      <c r="E1" s="1877"/>
      <c r="F1" s="541"/>
      <c r="G1" s="568" t="s">
        <v>2860</v>
      </c>
    </row>
    <row r="2" spans="1:7">
      <c r="A2" s="2777" t="s">
        <v>2861</v>
      </c>
      <c r="B2" s="2777"/>
      <c r="C2" s="2777"/>
      <c r="D2" s="2777"/>
      <c r="E2" s="2777"/>
      <c r="F2" s="2777"/>
      <c r="G2" s="2777"/>
    </row>
    <row r="3" spans="1:7" ht="63.75" customHeight="1">
      <c r="A3" s="1878" t="s">
        <v>2862</v>
      </c>
      <c r="B3" s="1879" t="s">
        <v>2782</v>
      </c>
      <c r="C3" s="1880" t="s">
        <v>2863</v>
      </c>
      <c r="D3" s="1880" t="s">
        <v>2864</v>
      </c>
      <c r="E3" s="1880" t="s">
        <v>2865</v>
      </c>
      <c r="F3" s="1880" t="s">
        <v>2866</v>
      </c>
      <c r="G3" s="1880" t="s">
        <v>2867</v>
      </c>
    </row>
    <row r="4" spans="1:7">
      <c r="A4" s="1881"/>
      <c r="B4" s="1882" t="s">
        <v>2813</v>
      </c>
      <c r="C4" s="1883"/>
      <c r="D4" s="1883"/>
      <c r="E4" s="1883"/>
      <c r="F4" s="1883"/>
      <c r="G4" s="1883"/>
    </row>
    <row r="5" spans="1:7" ht="143.25" customHeight="1">
      <c r="A5" s="1881">
        <v>1</v>
      </c>
      <c r="B5" s="1884" t="s">
        <v>2868</v>
      </c>
      <c r="C5" s="1881">
        <v>3</v>
      </c>
      <c r="D5" s="1881">
        <v>5</v>
      </c>
      <c r="E5" s="1881">
        <v>9</v>
      </c>
      <c r="F5" s="1885" t="s">
        <v>2869</v>
      </c>
      <c r="G5" s="1884" t="s">
        <v>2870</v>
      </c>
    </row>
    <row r="6" spans="1:7">
      <c r="A6" s="1881"/>
      <c r="B6" s="1883"/>
      <c r="C6" s="1881"/>
      <c r="D6" s="1881"/>
      <c r="E6" s="1881"/>
      <c r="F6" s="1886"/>
      <c r="G6" s="1883"/>
    </row>
    <row r="7" spans="1:7" ht="210.75" customHeight="1">
      <c r="A7" s="1881">
        <v>2</v>
      </c>
      <c r="B7" s="1884" t="s">
        <v>2871</v>
      </c>
      <c r="C7" s="1881">
        <v>2067</v>
      </c>
      <c r="D7" s="1881">
        <v>810</v>
      </c>
      <c r="E7" s="1881">
        <v>2391</v>
      </c>
      <c r="F7" s="1886" t="s">
        <v>2872</v>
      </c>
      <c r="G7" s="1884" t="s">
        <v>2873</v>
      </c>
    </row>
    <row r="8" spans="1:7">
      <c r="A8" s="1881"/>
      <c r="B8" s="1883"/>
      <c r="C8" s="1883"/>
      <c r="D8" s="1883"/>
      <c r="E8" s="1883"/>
      <c r="F8" s="1883"/>
      <c r="G8" s="1883"/>
    </row>
  </sheetData>
  <mergeCells count="2">
    <mergeCell ref="A1:B1"/>
    <mergeCell ref="A2:G2"/>
  </mergeCells>
  <printOptions horizontalCentered="1"/>
  <pageMargins left="0.5" right="0.5" top="1" bottom="0.75" header="0.5" footer="0.5"/>
  <pageSetup scale="8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pageSetUpPr fitToPage="1"/>
  </sheetPr>
  <dimension ref="A1:J63"/>
  <sheetViews>
    <sheetView view="pageBreakPreview" zoomScale="80" zoomScaleNormal="75" zoomScaleSheetLayoutView="80" workbookViewId="0">
      <selection activeCell="I46" sqref="I46:J46"/>
    </sheetView>
  </sheetViews>
  <sheetFormatPr defaultColWidth="14.7109375" defaultRowHeight="15"/>
  <cols>
    <col min="1" max="1" width="6" style="336" customWidth="1"/>
    <col min="2" max="2" width="39.85546875" style="316" customWidth="1"/>
    <col min="3" max="3" width="15.28515625" style="308" customWidth="1"/>
    <col min="4" max="4" width="13.7109375" style="308" customWidth="1"/>
    <col min="5" max="6" width="12.5703125" style="308" customWidth="1"/>
    <col min="7" max="7" width="13.140625" style="308" customWidth="1"/>
    <col min="8" max="10" width="12.5703125" style="308" customWidth="1"/>
    <col min="11" max="16384" width="14.7109375" style="308"/>
  </cols>
  <sheetData>
    <row r="1" spans="1:10" ht="18">
      <c r="B1" s="337" t="s">
        <v>338</v>
      </c>
      <c r="C1" s="338"/>
      <c r="D1" s="338"/>
      <c r="E1" s="338"/>
      <c r="F1" s="338"/>
      <c r="G1" s="1692"/>
      <c r="H1" s="1693"/>
      <c r="I1" s="311" t="s">
        <v>210</v>
      </c>
      <c r="J1" s="330" t="s">
        <v>331</v>
      </c>
    </row>
    <row r="2" spans="1:10" ht="18">
      <c r="B2" s="308"/>
      <c r="C2" s="338"/>
      <c r="D2" s="338"/>
      <c r="E2" s="338"/>
      <c r="F2" s="338"/>
      <c r="G2" s="338"/>
      <c r="H2" s="338"/>
      <c r="I2" s="338"/>
      <c r="J2" s="338"/>
    </row>
    <row r="3" spans="1:10" ht="31.5" customHeight="1">
      <c r="A3" s="2486" t="s">
        <v>339</v>
      </c>
      <c r="B3" s="2486"/>
      <c r="C3" s="2486"/>
      <c r="D3" s="2486"/>
      <c r="E3" s="2486"/>
      <c r="F3" s="2486"/>
      <c r="G3" s="2486"/>
      <c r="H3" s="2486"/>
      <c r="I3" s="2486"/>
      <c r="J3" s="2486"/>
    </row>
    <row r="4" spans="1:10" ht="18">
      <c r="B4" s="340" t="s">
        <v>290</v>
      </c>
      <c r="C4" s="338"/>
      <c r="D4" s="338"/>
      <c r="E4" s="338"/>
      <c r="F4" s="338"/>
      <c r="G4" s="338"/>
      <c r="H4" s="338"/>
      <c r="I4" s="338"/>
      <c r="J4" s="338"/>
    </row>
    <row r="5" spans="1:10" ht="18">
      <c r="A5" s="341" t="s">
        <v>291</v>
      </c>
      <c r="B5" s="372" t="s">
        <v>333</v>
      </c>
      <c r="C5" s="343" t="s">
        <v>293</v>
      </c>
      <c r="D5" s="338"/>
      <c r="F5" s="338"/>
      <c r="G5" s="338"/>
      <c r="H5" s="338"/>
      <c r="I5" s="338"/>
      <c r="J5" s="338"/>
    </row>
    <row r="6" spans="1:10" ht="18">
      <c r="B6" s="338"/>
      <c r="C6" s="340"/>
      <c r="D6" s="338"/>
      <c r="E6" s="2483" t="s">
        <v>294</v>
      </c>
      <c r="F6" s="2483"/>
      <c r="G6" s="2483"/>
      <c r="H6" s="338"/>
    </row>
    <row r="7" spans="1:10" ht="18" customHeight="1">
      <c r="A7" s="2477"/>
      <c r="B7" s="2478" t="s">
        <v>296</v>
      </c>
      <c r="C7" s="2478" t="s">
        <v>297</v>
      </c>
      <c r="D7" s="2478" t="s">
        <v>298</v>
      </c>
      <c r="E7" s="345" t="s">
        <v>299</v>
      </c>
      <c r="F7" s="345"/>
      <c r="G7" s="345"/>
      <c r="H7" s="344"/>
      <c r="I7" s="2474" t="s">
        <v>300</v>
      </c>
      <c r="J7" s="2475"/>
    </row>
    <row r="8" spans="1:10" s="346" customFormat="1" ht="78.75" customHeight="1">
      <c r="A8" s="2477"/>
      <c r="B8" s="2478"/>
      <c r="C8" s="2478"/>
      <c r="D8" s="2478"/>
      <c r="E8" s="625" t="s">
        <v>242</v>
      </c>
      <c r="F8" s="625" t="s">
        <v>334</v>
      </c>
      <c r="G8" s="625" t="s">
        <v>335</v>
      </c>
      <c r="H8" s="625" t="s">
        <v>306</v>
      </c>
      <c r="I8" s="625" t="s">
        <v>307</v>
      </c>
      <c r="J8" s="625" t="s">
        <v>308</v>
      </c>
    </row>
    <row r="9" spans="1:10" ht="22.5" customHeight="1">
      <c r="A9" s="624"/>
      <c r="B9" s="625" t="s">
        <v>309</v>
      </c>
      <c r="C9" s="344"/>
      <c r="D9" s="344"/>
      <c r="E9" s="344"/>
      <c r="F9" s="344"/>
      <c r="G9" s="344"/>
      <c r="H9" s="344"/>
      <c r="I9" s="373"/>
      <c r="J9" s="373"/>
    </row>
    <row r="10" spans="1:10" ht="22.5" customHeight="1">
      <c r="A10" s="624">
        <v>1</v>
      </c>
      <c r="B10" s="348" t="s">
        <v>310</v>
      </c>
      <c r="C10" s="344">
        <v>20768</v>
      </c>
      <c r="D10" s="344">
        <v>14288</v>
      </c>
      <c r="E10" s="344">
        <v>12.154999999999999</v>
      </c>
      <c r="F10" s="344">
        <v>4.9770000000000003</v>
      </c>
      <c r="G10" s="350">
        <v>4.125</v>
      </c>
      <c r="H10" s="345">
        <f>SUM(E10:G10)</f>
        <v>21.256999999999998</v>
      </c>
      <c r="I10" s="352">
        <v>1416.42</v>
      </c>
      <c r="J10" s="352">
        <v>1055.3499999999999</v>
      </c>
    </row>
    <row r="11" spans="1:10" ht="22.5" customHeight="1">
      <c r="A11" s="624">
        <v>2</v>
      </c>
      <c r="B11" s="348" t="s">
        <v>311</v>
      </c>
      <c r="C11" s="344">
        <v>6609</v>
      </c>
      <c r="D11" s="344">
        <v>12459</v>
      </c>
      <c r="E11" s="344">
        <v>3.7490000000000001</v>
      </c>
      <c r="F11" s="344">
        <v>3.7869999999999999</v>
      </c>
      <c r="G11" s="350">
        <v>4.6989999999999998</v>
      </c>
      <c r="H11" s="345">
        <f t="shared" ref="H11:H14" si="0">SUM(E11:G11)</f>
        <v>12.234999999999999</v>
      </c>
      <c r="I11" s="352">
        <v>867.19</v>
      </c>
      <c r="J11" s="352">
        <v>671.35</v>
      </c>
    </row>
    <row r="12" spans="1:10" ht="22.5" customHeight="1">
      <c r="A12" s="624">
        <v>3</v>
      </c>
      <c r="B12" s="348" t="s">
        <v>312</v>
      </c>
      <c r="C12" s="344">
        <v>3779</v>
      </c>
      <c r="D12" s="344">
        <v>10893</v>
      </c>
      <c r="E12" s="344">
        <v>2.0459999999999998</v>
      </c>
      <c r="F12" s="344">
        <v>2.629</v>
      </c>
      <c r="G12" s="350">
        <v>4.3360000000000003</v>
      </c>
      <c r="H12" s="345">
        <f t="shared" si="0"/>
        <v>9.0109999999999992</v>
      </c>
      <c r="I12" s="352">
        <v>654.69000000000005</v>
      </c>
      <c r="J12" s="352">
        <v>518.58000000000004</v>
      </c>
    </row>
    <row r="13" spans="1:10" ht="22.5" customHeight="1">
      <c r="A13" s="624">
        <v>4</v>
      </c>
      <c r="B13" s="348">
        <v>4</v>
      </c>
      <c r="C13" s="344">
        <v>1490</v>
      </c>
      <c r="D13" s="344">
        <v>5789</v>
      </c>
      <c r="E13" s="344">
        <v>0.85699999999999998</v>
      </c>
      <c r="F13" s="344">
        <v>1.026</v>
      </c>
      <c r="G13" s="350">
        <v>3.0489999999999999</v>
      </c>
      <c r="H13" s="345">
        <f t="shared" si="0"/>
        <v>4.9320000000000004</v>
      </c>
      <c r="I13" s="352">
        <v>364.83</v>
      </c>
      <c r="J13" s="352">
        <v>295.68</v>
      </c>
    </row>
    <row r="14" spans="1:10" ht="22.5" customHeight="1">
      <c r="A14" s="624">
        <v>5</v>
      </c>
      <c r="B14" s="357" t="s">
        <v>313</v>
      </c>
      <c r="C14" s="344">
        <v>2041</v>
      </c>
      <c r="D14" s="344">
        <v>13766</v>
      </c>
      <c r="E14" s="344">
        <v>1.1240000000000001</v>
      </c>
      <c r="F14" s="344">
        <v>1.7450000000000001</v>
      </c>
      <c r="G14" s="350">
        <v>25.308</v>
      </c>
      <c r="H14" s="345">
        <f t="shared" si="0"/>
        <v>28.177</v>
      </c>
      <c r="I14" s="352">
        <v>2137.6</v>
      </c>
      <c r="J14" s="352">
        <v>1862.14</v>
      </c>
    </row>
    <row r="15" spans="1:10" ht="22.5" customHeight="1">
      <c r="A15" s="624">
        <v>6</v>
      </c>
      <c r="B15" s="357" t="s">
        <v>314</v>
      </c>
      <c r="C15" s="345">
        <f t="shared" ref="C15:J15" si="1">SUM(C10:C14)</f>
        <v>34687</v>
      </c>
      <c r="D15" s="345">
        <f t="shared" si="1"/>
        <v>57195</v>
      </c>
      <c r="E15" s="345">
        <f t="shared" si="1"/>
        <v>19.930999999999997</v>
      </c>
      <c r="F15" s="345">
        <f t="shared" si="1"/>
        <v>14.163999999999998</v>
      </c>
      <c r="G15" s="345">
        <f t="shared" si="1"/>
        <v>41.516999999999996</v>
      </c>
      <c r="H15" s="345">
        <f t="shared" si="1"/>
        <v>75.611999999999995</v>
      </c>
      <c r="I15" s="362">
        <f t="shared" si="1"/>
        <v>5440.73</v>
      </c>
      <c r="J15" s="362">
        <f t="shared" si="1"/>
        <v>4403.0999999999995</v>
      </c>
    </row>
    <row r="16" spans="1:10" ht="36.75" customHeight="1">
      <c r="A16" s="624">
        <v>7</v>
      </c>
      <c r="B16" s="359" t="s">
        <v>336</v>
      </c>
      <c r="C16" s="344">
        <v>10282</v>
      </c>
      <c r="D16" s="344">
        <v>143534</v>
      </c>
      <c r="E16" s="344">
        <v>6.1269999999999998</v>
      </c>
      <c r="F16" s="344">
        <v>11.519</v>
      </c>
      <c r="G16" s="344">
        <v>70.570999999999998</v>
      </c>
      <c r="H16" s="345">
        <f>SUM(E16:G16)</f>
        <v>88.216999999999999</v>
      </c>
      <c r="I16" s="352">
        <v>6697.79</v>
      </c>
      <c r="J16" s="352">
        <v>6077.11</v>
      </c>
    </row>
    <row r="17" spans="1:10" ht="22.5" customHeight="1">
      <c r="A17" s="624">
        <v>8</v>
      </c>
      <c r="B17" s="357" t="s">
        <v>314</v>
      </c>
      <c r="C17" s="344">
        <f t="shared" ref="C17:J17" si="2">+C16</f>
        <v>10282</v>
      </c>
      <c r="D17" s="344">
        <f t="shared" si="2"/>
        <v>143534</v>
      </c>
      <c r="E17" s="344">
        <f t="shared" si="2"/>
        <v>6.1269999999999998</v>
      </c>
      <c r="F17" s="344">
        <f t="shared" si="2"/>
        <v>11.519</v>
      </c>
      <c r="G17" s="344">
        <f t="shared" si="2"/>
        <v>70.570999999999998</v>
      </c>
      <c r="H17" s="344">
        <f t="shared" si="2"/>
        <v>88.216999999999999</v>
      </c>
      <c r="I17" s="352">
        <f t="shared" si="2"/>
        <v>6697.79</v>
      </c>
      <c r="J17" s="352">
        <f t="shared" si="2"/>
        <v>6077.11</v>
      </c>
    </row>
    <row r="18" spans="1:10" ht="22.5" customHeight="1">
      <c r="A18" s="624">
        <v>9</v>
      </c>
      <c r="B18" s="357" t="s">
        <v>319</v>
      </c>
      <c r="C18" s="345">
        <f t="shared" ref="C18:J18" si="3">+C15+C17</f>
        <v>44969</v>
      </c>
      <c r="D18" s="345">
        <f t="shared" si="3"/>
        <v>200729</v>
      </c>
      <c r="E18" s="345">
        <f t="shared" si="3"/>
        <v>26.057999999999996</v>
      </c>
      <c r="F18" s="345">
        <f t="shared" si="3"/>
        <v>25.683</v>
      </c>
      <c r="G18" s="345">
        <f t="shared" si="3"/>
        <v>112.08799999999999</v>
      </c>
      <c r="H18" s="345">
        <f t="shared" si="3"/>
        <v>163.82900000000001</v>
      </c>
      <c r="I18" s="362">
        <f t="shared" si="3"/>
        <v>12138.52</v>
      </c>
      <c r="J18" s="362">
        <f t="shared" si="3"/>
        <v>10480.209999999999</v>
      </c>
    </row>
    <row r="19" spans="1:10" ht="18">
      <c r="B19" s="360"/>
      <c r="C19" s="338"/>
      <c r="D19" s="338"/>
      <c r="E19" s="338"/>
      <c r="F19" s="338"/>
      <c r="G19" s="338"/>
      <c r="H19" s="338"/>
      <c r="I19" s="355"/>
      <c r="J19" s="355"/>
    </row>
    <row r="20" spans="1:10" ht="18">
      <c r="A20" s="341" t="s">
        <v>320</v>
      </c>
      <c r="B20" s="372" t="s">
        <v>333</v>
      </c>
      <c r="C20" s="343" t="s">
        <v>321</v>
      </c>
      <c r="D20" s="338"/>
      <c r="H20" s="338"/>
      <c r="I20" s="355"/>
      <c r="J20" s="355"/>
    </row>
    <row r="21" spans="1:10" ht="18">
      <c r="B21" s="360"/>
      <c r="C21" s="340"/>
      <c r="D21" s="338"/>
      <c r="E21" s="2483" t="s">
        <v>294</v>
      </c>
      <c r="F21" s="2483"/>
      <c r="G21" s="2483"/>
      <c r="H21" s="338"/>
      <c r="I21" s="355"/>
      <c r="J21" s="355"/>
    </row>
    <row r="22" spans="1:10" ht="18" customHeight="1">
      <c r="A22" s="2477"/>
      <c r="B22" s="2478" t="s">
        <v>296</v>
      </c>
      <c r="C22" s="2478" t="s">
        <v>297</v>
      </c>
      <c r="D22" s="2478" t="s">
        <v>298</v>
      </c>
      <c r="E22" s="345" t="s">
        <v>299</v>
      </c>
      <c r="F22" s="345"/>
      <c r="G22" s="345"/>
      <c r="H22" s="344"/>
      <c r="I22" s="2474" t="s">
        <v>300</v>
      </c>
      <c r="J22" s="2475"/>
    </row>
    <row r="23" spans="1:10" s="346" customFormat="1" ht="87.75" customHeight="1">
      <c r="A23" s="2477"/>
      <c r="B23" s="2478"/>
      <c r="C23" s="2478"/>
      <c r="D23" s="2478"/>
      <c r="E23" s="625" t="s">
        <v>242</v>
      </c>
      <c r="F23" s="625" t="s">
        <v>334</v>
      </c>
      <c r="G23" s="625" t="s">
        <v>335</v>
      </c>
      <c r="H23" s="625" t="s">
        <v>306</v>
      </c>
      <c r="I23" s="374" t="s">
        <v>307</v>
      </c>
      <c r="J23" s="374" t="s">
        <v>308</v>
      </c>
    </row>
    <row r="24" spans="1:10" ht="24" customHeight="1">
      <c r="A24" s="624"/>
      <c r="B24" s="625" t="s">
        <v>309</v>
      </c>
      <c r="C24" s="344"/>
      <c r="D24" s="344"/>
      <c r="E24" s="344"/>
      <c r="F24" s="344"/>
      <c r="G24" s="344"/>
      <c r="H24" s="344"/>
      <c r="I24" s="373"/>
      <c r="J24" s="373"/>
    </row>
    <row r="25" spans="1:10" ht="24" customHeight="1">
      <c r="A25" s="624">
        <v>1</v>
      </c>
      <c r="B25" s="348" t="s">
        <v>310</v>
      </c>
      <c r="C25" s="344">
        <v>41570</v>
      </c>
      <c r="D25" s="344">
        <v>31066</v>
      </c>
      <c r="E25" s="344">
        <v>15.137</v>
      </c>
      <c r="F25" s="344">
        <v>7.92</v>
      </c>
      <c r="G25" s="350">
        <v>4.0410000000000004</v>
      </c>
      <c r="H25" s="345">
        <f>SUM(E25:G25)</f>
        <v>27.098000000000003</v>
      </c>
      <c r="I25" s="352">
        <v>1829.43</v>
      </c>
      <c r="J25" s="352">
        <v>1203.92</v>
      </c>
    </row>
    <row r="26" spans="1:10" ht="24" customHeight="1">
      <c r="A26" s="624">
        <v>2</v>
      </c>
      <c r="B26" s="348" t="s">
        <v>311</v>
      </c>
      <c r="C26" s="344">
        <v>12058</v>
      </c>
      <c r="D26" s="344">
        <v>22381</v>
      </c>
      <c r="E26" s="344">
        <v>6.5449999999999999</v>
      </c>
      <c r="F26" s="344">
        <v>4.8170000000000002</v>
      </c>
      <c r="G26" s="350">
        <v>5.03</v>
      </c>
      <c r="H26" s="345">
        <f>SUM(E26:G26)</f>
        <v>16.391999999999999</v>
      </c>
      <c r="I26" s="352">
        <v>1149.04</v>
      </c>
      <c r="J26" s="352">
        <v>763</v>
      </c>
    </row>
    <row r="27" spans="1:10" ht="24" customHeight="1">
      <c r="A27" s="624">
        <v>3</v>
      </c>
      <c r="B27" s="348" t="s">
        <v>312</v>
      </c>
      <c r="C27" s="344">
        <v>5328</v>
      </c>
      <c r="D27" s="344">
        <v>15294</v>
      </c>
      <c r="E27" s="344">
        <v>2.5619999999999998</v>
      </c>
      <c r="F27" s="344">
        <v>2.8479999999999999</v>
      </c>
      <c r="G27" s="350">
        <v>1.2629999999999999</v>
      </c>
      <c r="H27" s="345">
        <f>SUM(E27:G27)</f>
        <v>6.673</v>
      </c>
      <c r="I27" s="352">
        <v>475.28</v>
      </c>
      <c r="J27" s="352">
        <v>323.07</v>
      </c>
    </row>
    <row r="28" spans="1:10" ht="24" customHeight="1">
      <c r="A28" s="624">
        <v>4</v>
      </c>
      <c r="B28" s="348">
        <v>4</v>
      </c>
      <c r="C28" s="344">
        <v>1690</v>
      </c>
      <c r="D28" s="344">
        <v>6514</v>
      </c>
      <c r="E28" s="344">
        <v>0.76500000000000001</v>
      </c>
      <c r="F28" s="344">
        <v>0.73499999999999999</v>
      </c>
      <c r="G28" s="350">
        <v>3.1709999999999998</v>
      </c>
      <c r="H28" s="345">
        <f>SUM(E28:G28)</f>
        <v>4.6709999999999994</v>
      </c>
      <c r="I28" s="352">
        <v>349.76</v>
      </c>
      <c r="J28" s="352">
        <v>267.44</v>
      </c>
    </row>
    <row r="29" spans="1:10" ht="24" customHeight="1">
      <c r="A29" s="624">
        <v>5</v>
      </c>
      <c r="B29" s="357" t="s">
        <v>313</v>
      </c>
      <c r="C29" s="344">
        <v>2128</v>
      </c>
      <c r="D29" s="308">
        <v>12473</v>
      </c>
      <c r="E29" s="344">
        <v>0.91400000000000003</v>
      </c>
      <c r="F29" s="344">
        <v>0.98099999999999998</v>
      </c>
      <c r="G29" s="350">
        <v>4.4820000000000002</v>
      </c>
      <c r="H29" s="345">
        <f>SUM(E29:G29)</f>
        <v>6.3770000000000007</v>
      </c>
      <c r="I29" s="352">
        <v>486.21</v>
      </c>
      <c r="J29" s="352">
        <v>383.29</v>
      </c>
    </row>
    <row r="30" spans="1:10" ht="24" customHeight="1">
      <c r="A30" s="624">
        <v>6</v>
      </c>
      <c r="B30" s="357" t="s">
        <v>314</v>
      </c>
      <c r="C30" s="345">
        <f t="shared" ref="C30:J30" si="4">SUM(C25:C29)</f>
        <v>62774</v>
      </c>
      <c r="D30" s="345">
        <f t="shared" si="4"/>
        <v>87728</v>
      </c>
      <c r="E30" s="345">
        <f t="shared" si="4"/>
        <v>25.923000000000005</v>
      </c>
      <c r="F30" s="345">
        <f t="shared" si="4"/>
        <v>17.301000000000002</v>
      </c>
      <c r="G30" s="345">
        <f t="shared" si="4"/>
        <v>17.987000000000002</v>
      </c>
      <c r="H30" s="345">
        <f t="shared" si="4"/>
        <v>61.211000000000006</v>
      </c>
      <c r="I30" s="362">
        <f t="shared" si="4"/>
        <v>4289.72</v>
      </c>
      <c r="J30" s="362">
        <f t="shared" si="4"/>
        <v>2940.7200000000003</v>
      </c>
    </row>
    <row r="31" spans="1:10" ht="42" customHeight="1">
      <c r="A31" s="624">
        <v>7</v>
      </c>
      <c r="B31" s="359" t="s">
        <v>336</v>
      </c>
      <c r="C31" s="344">
        <v>1167</v>
      </c>
      <c r="D31" s="344">
        <v>18348</v>
      </c>
      <c r="E31" s="344">
        <v>0.65300000000000002</v>
      </c>
      <c r="F31" s="344">
        <v>1.028</v>
      </c>
      <c r="G31" s="344">
        <v>7.0330000000000004</v>
      </c>
      <c r="H31" s="345">
        <f>SUM(E31:G31)</f>
        <v>8.7140000000000004</v>
      </c>
      <c r="I31" s="352">
        <v>661.1</v>
      </c>
      <c r="J31" s="352">
        <v>563</v>
      </c>
    </row>
    <row r="32" spans="1:10" ht="24" customHeight="1">
      <c r="A32" s="624">
        <v>8</v>
      </c>
      <c r="B32" s="357" t="s">
        <v>314</v>
      </c>
      <c r="C32" s="344">
        <f t="shared" ref="C32:J32" si="5">+C31</f>
        <v>1167</v>
      </c>
      <c r="D32" s="344">
        <f t="shared" si="5"/>
        <v>18348</v>
      </c>
      <c r="E32" s="344">
        <f t="shared" si="5"/>
        <v>0.65300000000000002</v>
      </c>
      <c r="F32" s="344">
        <f t="shared" si="5"/>
        <v>1.028</v>
      </c>
      <c r="G32" s="344">
        <f t="shared" si="5"/>
        <v>7.0330000000000004</v>
      </c>
      <c r="H32" s="344">
        <f t="shared" si="5"/>
        <v>8.7140000000000004</v>
      </c>
      <c r="I32" s="352">
        <f t="shared" si="5"/>
        <v>661.1</v>
      </c>
      <c r="J32" s="352">
        <f t="shared" si="5"/>
        <v>563</v>
      </c>
    </row>
    <row r="33" spans="1:10" ht="24" customHeight="1">
      <c r="A33" s="624">
        <v>9</v>
      </c>
      <c r="B33" s="357" t="s">
        <v>322</v>
      </c>
      <c r="C33" s="345">
        <f t="shared" ref="C33:J33" si="6">+C30+C32</f>
        <v>63941</v>
      </c>
      <c r="D33" s="345">
        <f t="shared" si="6"/>
        <v>106076</v>
      </c>
      <c r="E33" s="345">
        <f t="shared" si="6"/>
        <v>26.576000000000004</v>
      </c>
      <c r="F33" s="345">
        <f t="shared" si="6"/>
        <v>18.329000000000001</v>
      </c>
      <c r="G33" s="345">
        <f t="shared" si="6"/>
        <v>25.020000000000003</v>
      </c>
      <c r="H33" s="345">
        <f t="shared" si="6"/>
        <v>69.925000000000011</v>
      </c>
      <c r="I33" s="362">
        <f t="shared" si="6"/>
        <v>4950.8200000000006</v>
      </c>
      <c r="J33" s="362">
        <f t="shared" si="6"/>
        <v>3503.7200000000003</v>
      </c>
    </row>
    <row r="34" spans="1:10" ht="24" customHeight="1">
      <c r="A34" s="624"/>
      <c r="B34" s="375"/>
      <c r="C34" s="344"/>
      <c r="D34" s="344"/>
      <c r="E34" s="344"/>
      <c r="F34" s="344"/>
      <c r="G34" s="344"/>
      <c r="H34" s="344"/>
      <c r="I34" s="344"/>
      <c r="J34" s="344"/>
    </row>
    <row r="35" spans="1:10" ht="24" customHeight="1">
      <c r="A35" s="624"/>
      <c r="B35" s="363" t="s">
        <v>323</v>
      </c>
      <c r="C35" s="345">
        <f t="shared" ref="C35:J35" si="7">+C18+C33</f>
        <v>108910</v>
      </c>
      <c r="D35" s="345">
        <f t="shared" si="7"/>
        <v>306805</v>
      </c>
      <c r="E35" s="345">
        <f t="shared" si="7"/>
        <v>52.634</v>
      </c>
      <c r="F35" s="345">
        <f t="shared" si="7"/>
        <v>44.012</v>
      </c>
      <c r="G35" s="351">
        <f t="shared" si="7"/>
        <v>137.108</v>
      </c>
      <c r="H35" s="345">
        <f t="shared" si="7"/>
        <v>233.75400000000002</v>
      </c>
      <c r="I35" s="362">
        <f t="shared" si="7"/>
        <v>17089.34</v>
      </c>
      <c r="J35" s="362">
        <f t="shared" si="7"/>
        <v>13983.93</v>
      </c>
    </row>
    <row r="36" spans="1:10" ht="18" customHeight="1">
      <c r="B36" s="360"/>
      <c r="C36" s="338"/>
      <c r="D36" s="338"/>
      <c r="E36" s="338"/>
      <c r="F36" s="338"/>
      <c r="G36" s="338"/>
      <c r="H36" s="338"/>
      <c r="I36" s="338"/>
      <c r="J36" s="338"/>
    </row>
    <row r="37" spans="1:10" ht="18" customHeight="1">
      <c r="B37" s="343" t="s">
        <v>340</v>
      </c>
      <c r="C37" s="340"/>
      <c r="D37" s="340"/>
      <c r="E37" s="338"/>
      <c r="F37" s="338"/>
      <c r="G37" s="338"/>
      <c r="H37" s="338"/>
      <c r="I37" s="355"/>
      <c r="J37" s="355"/>
    </row>
    <row r="38" spans="1:10" ht="54" customHeight="1">
      <c r="A38" s="624"/>
      <c r="B38" s="365"/>
      <c r="C38" s="2476" t="s">
        <v>325</v>
      </c>
      <c r="D38" s="2476"/>
      <c r="E38" s="2476" t="s">
        <v>326</v>
      </c>
      <c r="F38" s="2476"/>
      <c r="G38" s="2484" t="s">
        <v>327</v>
      </c>
      <c r="H38" s="2485"/>
      <c r="I38" s="2474" t="s">
        <v>239</v>
      </c>
      <c r="J38" s="2475"/>
    </row>
    <row r="39" spans="1:10" ht="24.75" customHeight="1">
      <c r="A39" s="624"/>
      <c r="B39" s="357"/>
      <c r="C39" s="366" t="s">
        <v>293</v>
      </c>
      <c r="D39" s="366" t="s">
        <v>321</v>
      </c>
      <c r="E39" s="366" t="s">
        <v>293</v>
      </c>
      <c r="F39" s="366" t="s">
        <v>321</v>
      </c>
      <c r="G39" s="366" t="s">
        <v>293</v>
      </c>
      <c r="H39" s="366" t="s">
        <v>321</v>
      </c>
      <c r="I39" s="366" t="s">
        <v>293</v>
      </c>
      <c r="J39" s="366" t="s">
        <v>321</v>
      </c>
    </row>
    <row r="40" spans="1:10" ht="24.75" customHeight="1">
      <c r="A40" s="624"/>
      <c r="B40" s="625" t="s">
        <v>309</v>
      </c>
      <c r="C40" s="344"/>
      <c r="D40" s="344"/>
      <c r="E40" s="344"/>
      <c r="F40" s="344"/>
      <c r="G40" s="344"/>
      <c r="H40" s="344"/>
      <c r="I40" s="344"/>
      <c r="J40" s="344"/>
    </row>
    <row r="41" spans="1:10" ht="24.75" customHeight="1">
      <c r="A41" s="624">
        <v>1</v>
      </c>
      <c r="B41" s="348" t="s">
        <v>310</v>
      </c>
      <c r="C41" s="344">
        <v>19407</v>
      </c>
      <c r="D41" s="344">
        <v>38606</v>
      </c>
      <c r="E41" s="344">
        <v>29</v>
      </c>
      <c r="F41" s="344">
        <v>174</v>
      </c>
      <c r="G41" s="344">
        <v>1332</v>
      </c>
      <c r="H41" s="344">
        <v>2790</v>
      </c>
      <c r="I41" s="344">
        <f t="shared" ref="I41:J45" si="8">+C41+E41+G41</f>
        <v>20768</v>
      </c>
      <c r="J41" s="344">
        <f t="shared" si="8"/>
        <v>41570</v>
      </c>
    </row>
    <row r="42" spans="1:10" ht="24.75" customHeight="1">
      <c r="A42" s="624">
        <v>2</v>
      </c>
      <c r="B42" s="348" t="s">
        <v>311</v>
      </c>
      <c r="C42" s="344">
        <v>6501</v>
      </c>
      <c r="D42" s="344">
        <v>11653</v>
      </c>
      <c r="E42" s="344">
        <v>5</v>
      </c>
      <c r="F42" s="344">
        <v>3</v>
      </c>
      <c r="G42" s="344">
        <v>103</v>
      </c>
      <c r="H42" s="344">
        <v>402</v>
      </c>
      <c r="I42" s="344">
        <f t="shared" si="8"/>
        <v>6609</v>
      </c>
      <c r="J42" s="344">
        <f t="shared" si="8"/>
        <v>12058</v>
      </c>
    </row>
    <row r="43" spans="1:10" ht="24.75" customHeight="1">
      <c r="A43" s="624">
        <v>3</v>
      </c>
      <c r="B43" s="348" t="s">
        <v>312</v>
      </c>
      <c r="C43" s="344">
        <v>3752</v>
      </c>
      <c r="D43" s="344">
        <v>5223</v>
      </c>
      <c r="E43" s="344">
        <v>0</v>
      </c>
      <c r="F43" s="344">
        <v>0</v>
      </c>
      <c r="G43" s="344">
        <v>27</v>
      </c>
      <c r="H43" s="344">
        <v>105</v>
      </c>
      <c r="I43" s="344">
        <f t="shared" si="8"/>
        <v>3779</v>
      </c>
      <c r="J43" s="344">
        <f t="shared" si="8"/>
        <v>5328</v>
      </c>
    </row>
    <row r="44" spans="1:10" ht="24.75" customHeight="1">
      <c r="A44" s="624">
        <v>4</v>
      </c>
      <c r="B44" s="348">
        <v>4</v>
      </c>
      <c r="C44" s="344">
        <v>1478</v>
      </c>
      <c r="D44" s="344">
        <v>1652</v>
      </c>
      <c r="E44" s="344">
        <v>0</v>
      </c>
      <c r="F44" s="344">
        <v>0</v>
      </c>
      <c r="G44" s="344">
        <v>12</v>
      </c>
      <c r="H44" s="344">
        <v>38</v>
      </c>
      <c r="I44" s="344">
        <f t="shared" si="8"/>
        <v>1490</v>
      </c>
      <c r="J44" s="344">
        <f t="shared" si="8"/>
        <v>1690</v>
      </c>
    </row>
    <row r="45" spans="1:10" ht="24.75" customHeight="1">
      <c r="A45" s="624">
        <v>5</v>
      </c>
      <c r="B45" s="357" t="s">
        <v>313</v>
      </c>
      <c r="C45" s="344">
        <v>12314</v>
      </c>
      <c r="D45" s="344">
        <v>3280</v>
      </c>
      <c r="E45" s="344">
        <v>0</v>
      </c>
      <c r="F45" s="344">
        <v>0</v>
      </c>
      <c r="G45" s="344">
        <v>9</v>
      </c>
      <c r="H45" s="344">
        <v>15</v>
      </c>
      <c r="I45" s="344">
        <f t="shared" si="8"/>
        <v>12323</v>
      </c>
      <c r="J45" s="344">
        <f t="shared" si="8"/>
        <v>3295</v>
      </c>
    </row>
    <row r="46" spans="1:10" ht="24.75" customHeight="1">
      <c r="A46" s="624">
        <v>6</v>
      </c>
      <c r="B46" s="367" t="s">
        <v>239</v>
      </c>
      <c r="C46" s="345">
        <f t="shared" ref="C46:J46" si="9">SUM(C41:C45)</f>
        <v>43452</v>
      </c>
      <c r="D46" s="345">
        <f t="shared" si="9"/>
        <v>60414</v>
      </c>
      <c r="E46" s="345">
        <f t="shared" si="9"/>
        <v>34</v>
      </c>
      <c r="F46" s="345">
        <f t="shared" si="9"/>
        <v>177</v>
      </c>
      <c r="G46" s="345">
        <f t="shared" si="9"/>
        <v>1483</v>
      </c>
      <c r="H46" s="345">
        <f t="shared" si="9"/>
        <v>3350</v>
      </c>
      <c r="I46" s="345">
        <f t="shared" si="9"/>
        <v>44969</v>
      </c>
      <c r="J46" s="345">
        <f t="shared" si="9"/>
        <v>63941</v>
      </c>
    </row>
    <row r="49" spans="3:10">
      <c r="C49" s="2487"/>
      <c r="D49" s="2487"/>
      <c r="F49" s="2487"/>
      <c r="G49" s="2487"/>
      <c r="I49" s="2487"/>
      <c r="J49" s="2487"/>
    </row>
    <row r="50" spans="3:10">
      <c r="C50" s="336"/>
      <c r="D50" s="336"/>
      <c r="E50" s="336"/>
      <c r="F50" s="336"/>
      <c r="G50" s="336"/>
      <c r="H50" s="336"/>
      <c r="I50" s="336"/>
      <c r="J50" s="336"/>
    </row>
    <row r="56" spans="3:10" ht="15.75">
      <c r="C56" s="330"/>
      <c r="D56" s="330"/>
      <c r="E56" s="330"/>
      <c r="F56" s="330"/>
      <c r="G56" s="330"/>
      <c r="H56" s="330"/>
      <c r="I56" s="330"/>
      <c r="J56" s="330"/>
    </row>
    <row r="58" spans="3:10" ht="18">
      <c r="E58" s="376"/>
      <c r="F58" s="377"/>
      <c r="G58" s="377"/>
      <c r="H58" s="376"/>
      <c r="I58" s="377"/>
      <c r="J58" s="377"/>
    </row>
    <row r="60" spans="3:10">
      <c r="E60" s="378"/>
      <c r="H60" s="378"/>
    </row>
    <row r="63" spans="3:10" ht="15.75">
      <c r="E63" s="330"/>
      <c r="H63" s="330"/>
    </row>
  </sheetData>
  <mergeCells count="20">
    <mergeCell ref="A3:J3"/>
    <mergeCell ref="A22:A23"/>
    <mergeCell ref="B22:B23"/>
    <mergeCell ref="A7:A8"/>
    <mergeCell ref="B7:B8"/>
    <mergeCell ref="E6:G6"/>
    <mergeCell ref="E21:G21"/>
    <mergeCell ref="C22:C23"/>
    <mergeCell ref="D22:D23"/>
    <mergeCell ref="C7:C8"/>
    <mergeCell ref="I7:J7"/>
    <mergeCell ref="I22:J22"/>
    <mergeCell ref="D7:D8"/>
    <mergeCell ref="C49:D49"/>
    <mergeCell ref="F49:G49"/>
    <mergeCell ref="I49:J49"/>
    <mergeCell ref="I38:J38"/>
    <mergeCell ref="C38:D38"/>
    <mergeCell ref="G38:H38"/>
    <mergeCell ref="E38:F38"/>
  </mergeCells>
  <pageMargins left="0.47244094488188981" right="0.15748031496062992" top="0.59055118110236227" bottom="0.27559055118110237" header="0.51181102362204722" footer="0.19685039370078741"/>
  <pageSetup paperSize="9" scale="6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8000"/>
  </sheetPr>
  <dimension ref="A1:O39"/>
  <sheetViews>
    <sheetView showOutlineSymbols="0" view="pageBreakPreview" topLeftCell="A7" zoomScaleNormal="87" zoomScaleSheetLayoutView="100" workbookViewId="0">
      <selection activeCell="J20" sqref="J20"/>
    </sheetView>
  </sheetViews>
  <sheetFormatPr defaultColWidth="14.7109375" defaultRowHeight="15"/>
  <cols>
    <col min="1" max="1" width="14.7109375" style="531" customWidth="1"/>
    <col min="2" max="2" width="11.28515625" style="531" customWidth="1"/>
    <col min="3" max="6" width="13.85546875" style="531" customWidth="1"/>
    <col min="7" max="7" width="12.5703125" style="531" customWidth="1"/>
    <col min="8" max="8" width="13" style="531" customWidth="1"/>
    <col min="9" max="10" width="13.85546875" style="531" customWidth="1"/>
    <col min="11" max="11" width="13.5703125" style="531" customWidth="1"/>
    <col min="12" max="12" width="12.7109375" style="531" customWidth="1"/>
    <col min="13" max="14" width="13.85546875" style="531" customWidth="1"/>
    <col min="15" max="16384" width="14.7109375" style="531"/>
  </cols>
  <sheetData>
    <row r="1" spans="1:15">
      <c r="A1" s="508" t="s">
        <v>209</v>
      </c>
      <c r="F1" s="508"/>
      <c r="M1" s="541" t="s">
        <v>210</v>
      </c>
      <c r="N1" s="542" t="s">
        <v>2874</v>
      </c>
    </row>
    <row r="3" spans="1:15" ht="18">
      <c r="A3" s="2778" t="s">
        <v>2875</v>
      </c>
      <c r="B3" s="2778"/>
      <c r="C3" s="2778"/>
      <c r="D3" s="2778"/>
      <c r="E3" s="2778"/>
      <c r="F3" s="2778"/>
      <c r="G3" s="2778"/>
      <c r="H3" s="2778"/>
      <c r="I3" s="2778"/>
      <c r="J3" s="2778"/>
      <c r="K3" s="2778"/>
      <c r="L3" s="2778"/>
      <c r="M3" s="2778"/>
      <c r="N3" s="2778"/>
    </row>
    <row r="4" spans="1:15" s="544" customFormat="1" ht="66" customHeight="1">
      <c r="A4" s="543" t="s">
        <v>2782</v>
      </c>
      <c r="B4" s="2744" t="s">
        <v>2876</v>
      </c>
      <c r="C4" s="2744"/>
      <c r="D4" s="2744"/>
      <c r="E4" s="2744"/>
      <c r="F4" s="2744"/>
      <c r="G4" s="2744"/>
      <c r="H4" s="2744" t="s">
        <v>2877</v>
      </c>
      <c r="I4" s="2744"/>
      <c r="J4" s="2744"/>
      <c r="K4" s="2744"/>
      <c r="L4" s="2744"/>
      <c r="M4" s="2744"/>
      <c r="N4" s="561" t="s">
        <v>2878</v>
      </c>
    </row>
    <row r="5" spans="1:15" s="544" customFormat="1" ht="97.5" customHeight="1">
      <c r="A5" s="543" t="s">
        <v>2879</v>
      </c>
      <c r="B5" s="545" t="s">
        <v>2880</v>
      </c>
      <c r="C5" s="545" t="s">
        <v>2881</v>
      </c>
      <c r="D5" s="545" t="s">
        <v>2882</v>
      </c>
      <c r="E5" s="545" t="s">
        <v>2883</v>
      </c>
      <c r="F5" s="545" t="s">
        <v>2884</v>
      </c>
      <c r="G5" s="545" t="s">
        <v>2885</v>
      </c>
      <c r="H5" s="545" t="s">
        <v>2880</v>
      </c>
      <c r="I5" s="545" t="s">
        <v>2881</v>
      </c>
      <c r="J5" s="545" t="s">
        <v>2882</v>
      </c>
      <c r="K5" s="545" t="s">
        <v>2883</v>
      </c>
      <c r="L5" s="545" t="s">
        <v>2884</v>
      </c>
      <c r="M5" s="545" t="s">
        <v>2885</v>
      </c>
      <c r="N5" s="545" t="s">
        <v>2886</v>
      </c>
      <c r="O5" s="546"/>
    </row>
    <row r="6" spans="1:15" ht="21" customHeight="1">
      <c r="A6" s="530" t="s">
        <v>1673</v>
      </c>
      <c r="B6" s="547">
        <v>1964743</v>
      </c>
      <c r="C6" s="547">
        <v>1454263</v>
      </c>
      <c r="D6" s="530">
        <v>35341</v>
      </c>
      <c r="E6" s="547">
        <v>1489604</v>
      </c>
      <c r="F6" s="530">
        <v>0</v>
      </c>
      <c r="G6" s="547">
        <v>638992</v>
      </c>
      <c r="H6" s="547">
        <v>2041997</v>
      </c>
      <c r="I6" s="547">
        <v>1821019</v>
      </c>
      <c r="J6" s="547">
        <v>36136</v>
      </c>
      <c r="K6" s="547">
        <v>1857155</v>
      </c>
      <c r="L6" s="530">
        <v>0</v>
      </c>
      <c r="M6" s="547">
        <v>1194519</v>
      </c>
      <c r="N6" s="547"/>
    </row>
    <row r="7" spans="1:15" ht="21" customHeight="1">
      <c r="A7" s="530" t="s">
        <v>348</v>
      </c>
      <c r="B7" s="547">
        <v>1990257</v>
      </c>
      <c r="C7" s="547">
        <v>1601036</v>
      </c>
      <c r="D7" s="530">
        <v>34719</v>
      </c>
      <c r="E7" s="547">
        <v>1635755</v>
      </c>
      <c r="F7" s="530">
        <v>0</v>
      </c>
      <c r="G7" s="547">
        <v>789165</v>
      </c>
      <c r="H7" s="547">
        <v>1998001</v>
      </c>
      <c r="I7" s="547">
        <v>1837313</v>
      </c>
      <c r="J7" s="547">
        <v>36430</v>
      </c>
      <c r="K7" s="547">
        <v>1873743</v>
      </c>
      <c r="L7" s="530">
        <v>0</v>
      </c>
      <c r="M7" s="547">
        <v>1310143</v>
      </c>
      <c r="N7" s="547"/>
    </row>
    <row r="8" spans="1:15" ht="21" customHeight="1">
      <c r="A8" s="530" t="s">
        <v>1674</v>
      </c>
      <c r="B8" s="547">
        <v>2003440</v>
      </c>
      <c r="C8" s="547">
        <v>1627984</v>
      </c>
      <c r="D8" s="530">
        <v>35035</v>
      </c>
      <c r="E8" s="547">
        <v>1663019</v>
      </c>
      <c r="F8" s="530">
        <v>0</v>
      </c>
      <c r="G8" s="547">
        <v>840750</v>
      </c>
      <c r="H8" s="547">
        <v>1990417</v>
      </c>
      <c r="I8" s="547">
        <v>1814733</v>
      </c>
      <c r="J8" s="547">
        <v>36726</v>
      </c>
      <c r="K8" s="547">
        <v>1851459</v>
      </c>
      <c r="L8" s="530">
        <v>0</v>
      </c>
      <c r="M8" s="547">
        <v>1241236</v>
      </c>
      <c r="N8" s="547"/>
    </row>
    <row r="9" spans="1:15" ht="21" customHeight="1">
      <c r="A9" s="530" t="s">
        <v>1675</v>
      </c>
      <c r="B9" s="547">
        <v>2039464</v>
      </c>
      <c r="C9" s="547">
        <v>1738153</v>
      </c>
      <c r="D9" s="530">
        <v>35214</v>
      </c>
      <c r="E9" s="547">
        <v>1773367</v>
      </c>
      <c r="F9" s="530">
        <v>0</v>
      </c>
      <c r="G9" s="547">
        <v>966545</v>
      </c>
      <c r="H9" s="547">
        <v>1972159</v>
      </c>
      <c r="I9" s="547">
        <v>1837066</v>
      </c>
      <c r="J9" s="547">
        <v>36995</v>
      </c>
      <c r="K9" s="547">
        <v>1874061</v>
      </c>
      <c r="L9" s="530">
        <v>0</v>
      </c>
      <c r="M9" s="547">
        <v>1362552</v>
      </c>
      <c r="N9" s="547"/>
    </row>
    <row r="10" spans="1:15" ht="21" customHeight="1">
      <c r="A10" s="530" t="s">
        <v>1676</v>
      </c>
      <c r="B10" s="547">
        <v>2016149</v>
      </c>
      <c r="C10" s="547">
        <v>1679393</v>
      </c>
      <c r="D10" s="530">
        <v>35977</v>
      </c>
      <c r="E10" s="547">
        <v>1715370</v>
      </c>
      <c r="F10" s="530">
        <v>0</v>
      </c>
      <c r="G10" s="547">
        <v>947163</v>
      </c>
      <c r="H10" s="547">
        <v>1949950</v>
      </c>
      <c r="I10" s="547">
        <v>1837925</v>
      </c>
      <c r="J10" s="547">
        <v>37498</v>
      </c>
      <c r="K10" s="547">
        <v>1875423</v>
      </c>
      <c r="L10" s="530">
        <v>0</v>
      </c>
      <c r="M10" s="547">
        <v>1335939</v>
      </c>
      <c r="N10" s="547"/>
    </row>
    <row r="11" spans="1:15" ht="21" customHeight="1">
      <c r="A11" s="530" t="s">
        <v>2887</v>
      </c>
      <c r="B11" s="547">
        <v>2036289</v>
      </c>
      <c r="C11" s="547">
        <v>1796069</v>
      </c>
      <c r="D11" s="530">
        <v>36140</v>
      </c>
      <c r="E11" s="547">
        <v>1832209</v>
      </c>
      <c r="F11" s="530">
        <v>0</v>
      </c>
      <c r="G11" s="547">
        <v>1182547</v>
      </c>
      <c r="H11" s="547">
        <v>1943573</v>
      </c>
      <c r="I11" s="547">
        <v>1847262</v>
      </c>
      <c r="J11" s="547">
        <v>38277</v>
      </c>
      <c r="K11" s="547">
        <v>1885539</v>
      </c>
      <c r="L11" s="530">
        <v>0</v>
      </c>
      <c r="M11" s="547">
        <v>1342057</v>
      </c>
      <c r="N11" s="1887"/>
      <c r="O11" s="979"/>
    </row>
    <row r="12" spans="1:15" ht="21" customHeight="1">
      <c r="A12" s="530" t="s">
        <v>2888</v>
      </c>
      <c r="B12" s="547">
        <v>2099851</v>
      </c>
      <c r="C12" s="530">
        <v>1833486</v>
      </c>
      <c r="D12" s="530">
        <v>35825</v>
      </c>
      <c r="E12" s="547">
        <v>1869311</v>
      </c>
      <c r="F12" s="530">
        <v>0</v>
      </c>
      <c r="G12" s="530">
        <v>1154602</v>
      </c>
      <c r="H12" s="530"/>
      <c r="I12" s="530"/>
      <c r="J12" s="530"/>
      <c r="K12" s="530"/>
      <c r="L12" s="530"/>
      <c r="M12" s="530"/>
      <c r="N12" s="530"/>
    </row>
    <row r="13" spans="1:15" ht="21" customHeight="1">
      <c r="A13" s="530" t="s">
        <v>2889</v>
      </c>
      <c r="B13" s="547">
        <v>2102779</v>
      </c>
      <c r="C13" s="530">
        <v>1854594</v>
      </c>
      <c r="D13" s="530">
        <v>36030</v>
      </c>
      <c r="E13" s="547">
        <v>1890624</v>
      </c>
      <c r="F13" s="530">
        <v>0</v>
      </c>
      <c r="G13" s="530">
        <v>1222548</v>
      </c>
      <c r="H13" s="530"/>
      <c r="I13" s="530"/>
      <c r="J13" s="530"/>
      <c r="K13" s="530"/>
      <c r="L13" s="530"/>
      <c r="M13" s="530"/>
      <c r="N13" s="530"/>
    </row>
    <row r="14" spans="1:15" ht="21" customHeight="1">
      <c r="A14" s="530" t="s">
        <v>2890</v>
      </c>
      <c r="B14" s="547">
        <v>2096504</v>
      </c>
      <c r="C14" s="530">
        <v>1855008</v>
      </c>
      <c r="D14" s="530">
        <v>36172</v>
      </c>
      <c r="E14" s="547">
        <v>1891180</v>
      </c>
      <c r="F14" s="530">
        <v>0</v>
      </c>
      <c r="G14" s="530">
        <v>1332777</v>
      </c>
      <c r="H14" s="530"/>
      <c r="I14" s="530"/>
      <c r="J14" s="530"/>
      <c r="K14" s="530"/>
      <c r="L14" s="530"/>
      <c r="M14" s="530"/>
      <c r="N14" s="530"/>
    </row>
    <row r="15" spans="1:15" ht="21" customHeight="1">
      <c r="A15" s="530" t="s">
        <v>2891</v>
      </c>
      <c r="B15" s="547">
        <v>2089160</v>
      </c>
      <c r="C15" s="530">
        <v>1832931</v>
      </c>
      <c r="D15" s="530">
        <v>36236</v>
      </c>
      <c r="E15" s="547">
        <v>1869167</v>
      </c>
      <c r="F15" s="530">
        <v>0</v>
      </c>
      <c r="G15" s="530">
        <v>1271671</v>
      </c>
      <c r="H15" s="530"/>
      <c r="I15" s="530"/>
      <c r="J15" s="530"/>
      <c r="K15" s="530"/>
      <c r="L15" s="530"/>
      <c r="M15" s="530"/>
      <c r="N15" s="530"/>
    </row>
    <row r="16" spans="1:15" ht="21" customHeight="1">
      <c r="A16" s="530" t="s">
        <v>2892</v>
      </c>
      <c r="B16" s="547">
        <v>2045234</v>
      </c>
      <c r="C16" s="530">
        <v>1806421</v>
      </c>
      <c r="D16" s="530">
        <v>36081</v>
      </c>
      <c r="E16" s="547">
        <v>1842502</v>
      </c>
      <c r="F16" s="530">
        <v>0</v>
      </c>
      <c r="G16" s="530">
        <v>1296207</v>
      </c>
      <c r="H16" s="530"/>
      <c r="I16" s="530"/>
      <c r="J16" s="530"/>
      <c r="K16" s="530"/>
      <c r="L16" s="530"/>
      <c r="M16" s="530"/>
      <c r="N16" s="530"/>
    </row>
    <row r="17" spans="1:14" ht="21" customHeight="1">
      <c r="A17" s="530" t="s">
        <v>1683</v>
      </c>
      <c r="B17" s="547">
        <v>2041588</v>
      </c>
      <c r="C17" s="530">
        <v>1842328</v>
      </c>
      <c r="D17" s="530">
        <v>35791</v>
      </c>
      <c r="E17" s="547">
        <v>1878119</v>
      </c>
      <c r="F17" s="530">
        <v>0</v>
      </c>
      <c r="G17" s="530">
        <v>1659120</v>
      </c>
      <c r="H17" s="1887"/>
      <c r="I17" s="979"/>
      <c r="J17" s="530"/>
      <c r="K17" s="530"/>
      <c r="L17" s="530"/>
      <c r="M17" s="530"/>
      <c r="N17" s="530"/>
    </row>
    <row r="18" spans="1:14" ht="21" customHeight="1">
      <c r="A18" s="532" t="s">
        <v>2893</v>
      </c>
      <c r="B18" s="548">
        <f>SUM(B6:B17)/12</f>
        <v>2043788.1666666667</v>
      </c>
      <c r="C18" s="548">
        <f t="shared" ref="C18:G18" si="0">SUM(C6:C17)/12</f>
        <v>1743472.1666666667</v>
      </c>
      <c r="D18" s="548">
        <f t="shared" si="0"/>
        <v>35713.416666666664</v>
      </c>
      <c r="E18" s="548">
        <f t="shared" si="0"/>
        <v>1779185.5833333333</v>
      </c>
      <c r="F18" s="548">
        <f t="shared" si="0"/>
        <v>0</v>
      </c>
      <c r="G18" s="548">
        <f t="shared" si="0"/>
        <v>1108507.25</v>
      </c>
      <c r="H18" s="548">
        <f t="shared" ref="H18:M18" si="1">SUM(H6:H17)/6</f>
        <v>1982682.8333333333</v>
      </c>
      <c r="I18" s="548">
        <f t="shared" si="1"/>
        <v>1832553</v>
      </c>
      <c r="J18" s="548">
        <f t="shared" si="1"/>
        <v>37010.333333333336</v>
      </c>
      <c r="K18" s="548">
        <f t="shared" si="1"/>
        <v>1869563.3333333333</v>
      </c>
      <c r="L18" s="548">
        <f t="shared" si="1"/>
        <v>0</v>
      </c>
      <c r="M18" s="548">
        <f t="shared" si="1"/>
        <v>1297741</v>
      </c>
      <c r="N18" s="543"/>
    </row>
    <row r="20" spans="1:14">
      <c r="F20" s="533"/>
      <c r="G20" s="533"/>
      <c r="H20" s="533"/>
    </row>
    <row r="21" spans="1:14">
      <c r="E21" s="574"/>
    </row>
    <row r="22" spans="1:14">
      <c r="E22" s="574"/>
    </row>
    <row r="23" spans="1:14">
      <c r="E23" s="574"/>
    </row>
    <row r="24" spans="1:14">
      <c r="E24" s="574"/>
    </row>
    <row r="25" spans="1:14">
      <c r="C25" s="1160"/>
      <c r="E25" s="574"/>
    </row>
    <row r="26" spans="1:14">
      <c r="C26" s="1160"/>
      <c r="E26" s="574"/>
    </row>
    <row r="27" spans="1:14">
      <c r="C27" s="1160"/>
      <c r="E27" s="574"/>
    </row>
    <row r="28" spans="1:14">
      <c r="C28" s="1160"/>
      <c r="E28" s="574"/>
    </row>
    <row r="29" spans="1:14">
      <c r="C29" s="1160"/>
      <c r="E29" s="574"/>
    </row>
    <row r="30" spans="1:14">
      <c r="C30" s="1160"/>
      <c r="E30" s="574"/>
    </row>
    <row r="31" spans="1:14">
      <c r="C31" s="1160"/>
      <c r="E31" s="574"/>
    </row>
    <row r="32" spans="1:14">
      <c r="C32" s="1160"/>
      <c r="E32" s="574"/>
    </row>
    <row r="33" spans="3:5">
      <c r="C33" s="1160"/>
      <c r="E33" s="574"/>
    </row>
    <row r="34" spans="3:5">
      <c r="C34" s="1160"/>
      <c r="E34" s="574"/>
    </row>
    <row r="35" spans="3:5">
      <c r="C35" s="1160"/>
      <c r="E35" s="574"/>
    </row>
    <row r="36" spans="3:5">
      <c r="C36" s="1160"/>
      <c r="E36" s="574"/>
    </row>
    <row r="37" spans="3:5">
      <c r="C37" s="1160"/>
      <c r="E37" s="574"/>
    </row>
    <row r="38" spans="3:5">
      <c r="C38" s="1160"/>
      <c r="E38" s="574"/>
    </row>
    <row r="39" spans="3:5">
      <c r="C39" s="1160"/>
      <c r="E39" s="574"/>
    </row>
  </sheetData>
  <mergeCells count="3">
    <mergeCell ref="A3:N3"/>
    <mergeCell ref="B4:G4"/>
    <mergeCell ref="H4:M4"/>
  </mergeCells>
  <printOptions horizontalCentered="1"/>
  <pageMargins left="0.15748031496062992" right="0.19685039370078741" top="0.70866141732283472" bottom="0.74803149606299213" header="0.51181102362204722" footer="0.51181102362204722"/>
  <pageSetup paperSize="9" scale="76"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8000"/>
  </sheetPr>
  <dimension ref="A2:S726"/>
  <sheetViews>
    <sheetView view="pageBreakPreview" topLeftCell="A235" zoomScale="90" zoomScaleNormal="80" zoomScaleSheetLayoutView="90" workbookViewId="0">
      <selection activeCell="H39" sqref="H39"/>
    </sheetView>
  </sheetViews>
  <sheetFormatPr defaultColWidth="9.140625" defaultRowHeight="12.75"/>
  <cols>
    <col min="1" max="1" width="6.5703125" style="1793" customWidth="1"/>
    <col min="2" max="2" width="43.85546875" style="517" customWidth="1"/>
    <col min="3" max="3" width="8.42578125" style="1793" customWidth="1"/>
    <col min="4" max="4" width="6.7109375" style="517" customWidth="1"/>
    <col min="5" max="5" width="9.140625" style="1793"/>
    <col min="6" max="6" width="9.140625" style="517"/>
    <col min="7" max="7" width="10.42578125" style="517" customWidth="1"/>
    <col min="8" max="8" width="11.140625" style="517" customWidth="1"/>
    <col min="9" max="18" width="9.140625" style="517"/>
    <col min="19" max="19" width="11.140625" style="517" customWidth="1"/>
    <col min="20" max="16384" width="9.140625" style="517"/>
  </cols>
  <sheetData>
    <row r="2" spans="1:19" ht="15">
      <c r="A2" s="1794" t="s">
        <v>2894</v>
      </c>
      <c r="B2" s="980"/>
    </row>
    <row r="3" spans="1:19" ht="15">
      <c r="A3" s="1794" t="s">
        <v>2895</v>
      </c>
      <c r="B3" s="980"/>
      <c r="M3" s="981"/>
      <c r="S3" s="981" t="s">
        <v>2896</v>
      </c>
    </row>
    <row r="4" spans="1:19" ht="15">
      <c r="A4" s="1794" t="s">
        <v>2897</v>
      </c>
      <c r="B4" s="980"/>
    </row>
    <row r="5" spans="1:19" ht="18.75" customHeight="1">
      <c r="A5" s="2780" t="s">
        <v>2898</v>
      </c>
      <c r="B5" s="2780" t="s">
        <v>2899</v>
      </c>
      <c r="C5" s="2780" t="s">
        <v>2900</v>
      </c>
      <c r="D5" s="2780" t="s">
        <v>512</v>
      </c>
      <c r="E5" s="2780" t="s">
        <v>497</v>
      </c>
      <c r="F5" s="2780" t="s">
        <v>2901</v>
      </c>
      <c r="G5" s="1888">
        <v>44652</v>
      </c>
      <c r="H5" s="1888">
        <v>44682</v>
      </c>
      <c r="I5" s="1888">
        <v>44713</v>
      </c>
      <c r="J5" s="1888">
        <v>44743</v>
      </c>
      <c r="K5" s="1888">
        <v>44774</v>
      </c>
      <c r="L5" s="1888">
        <v>44805</v>
      </c>
      <c r="M5" s="1888">
        <v>44835</v>
      </c>
      <c r="N5" s="1888">
        <v>44866</v>
      </c>
      <c r="O5" s="1888">
        <v>44896</v>
      </c>
      <c r="P5" s="1888">
        <v>44927</v>
      </c>
      <c r="Q5" s="1888">
        <v>44958</v>
      </c>
      <c r="R5" s="1888">
        <v>44986</v>
      </c>
      <c r="S5" s="2779" t="s">
        <v>2902</v>
      </c>
    </row>
    <row r="6" spans="1:19" ht="24">
      <c r="A6" s="2780"/>
      <c r="B6" s="2780"/>
      <c r="C6" s="2780"/>
      <c r="D6" s="2780"/>
      <c r="E6" s="2780"/>
      <c r="F6" s="2780"/>
      <c r="G6" s="1889" t="s">
        <v>2903</v>
      </c>
      <c r="H6" s="1889" t="s">
        <v>2903</v>
      </c>
      <c r="I6" s="1889" t="s">
        <v>2903</v>
      </c>
      <c r="J6" s="1889" t="s">
        <v>2903</v>
      </c>
      <c r="K6" s="1889" t="s">
        <v>2903</v>
      </c>
      <c r="L6" s="1889" t="s">
        <v>2903</v>
      </c>
      <c r="M6" s="1889" t="s">
        <v>2903</v>
      </c>
      <c r="N6" s="1889" t="s">
        <v>2903</v>
      </c>
      <c r="O6" s="1889" t="s">
        <v>2903</v>
      </c>
      <c r="P6" s="1889" t="s">
        <v>2903</v>
      </c>
      <c r="Q6" s="1889" t="s">
        <v>2903</v>
      </c>
      <c r="R6" s="1889" t="s">
        <v>2903</v>
      </c>
      <c r="S6" s="2779"/>
    </row>
    <row r="7" spans="1:19" ht="34.5" customHeight="1">
      <c r="A7" s="1890"/>
      <c r="B7" s="1891" t="s">
        <v>2904</v>
      </c>
      <c r="C7" s="1890"/>
      <c r="D7" s="1890"/>
      <c r="E7" s="1890"/>
      <c r="F7" s="1890"/>
      <c r="G7" s="1892"/>
      <c r="H7" s="1892"/>
      <c r="I7" s="1892"/>
      <c r="J7" s="1892"/>
      <c r="K7" s="1892"/>
      <c r="L7" s="1892"/>
      <c r="M7" s="1892"/>
      <c r="N7" s="1892"/>
      <c r="O7" s="1892"/>
      <c r="P7" s="1892"/>
      <c r="Q7" s="1892"/>
      <c r="R7" s="1892"/>
      <c r="S7" s="1893"/>
    </row>
    <row r="8" spans="1:19">
      <c r="A8" s="1894">
        <v>1</v>
      </c>
      <c r="B8" s="1895" t="s">
        <v>2905</v>
      </c>
      <c r="C8" s="1894" t="s">
        <v>524</v>
      </c>
      <c r="D8" s="1895" t="s">
        <v>737</v>
      </c>
      <c r="E8" s="1894" t="s">
        <v>232</v>
      </c>
      <c r="F8" s="1896">
        <v>110</v>
      </c>
      <c r="G8" s="1897">
        <v>0</v>
      </c>
      <c r="H8" s="1897">
        <v>0</v>
      </c>
      <c r="I8" s="1897">
        <v>0</v>
      </c>
      <c r="J8" s="1897">
        <v>0.66545454545454552</v>
      </c>
      <c r="K8" s="1897">
        <v>0.58327272727272728</v>
      </c>
      <c r="L8" s="1897">
        <v>0.63854545454545453</v>
      </c>
      <c r="M8" s="1897">
        <v>0.50036363636363634</v>
      </c>
      <c r="N8" s="1897">
        <v>0.41963636363636359</v>
      </c>
      <c r="O8" s="1897">
        <v>0.2218181818181818</v>
      </c>
      <c r="P8" s="1897">
        <v>0.16470000000000001</v>
      </c>
      <c r="Q8" s="1897">
        <v>0.26218181818181818</v>
      </c>
      <c r="R8" s="1897">
        <v>0.26138181818181816</v>
      </c>
      <c r="S8" s="1898">
        <f t="shared" ref="S8:S71" si="0">+SUM(G8:R8)/12</f>
        <v>0.3097795454545455</v>
      </c>
    </row>
    <row r="9" spans="1:19">
      <c r="A9" s="1894">
        <f>+A8+1</f>
        <v>2</v>
      </c>
      <c r="B9" s="1895" t="s">
        <v>2906</v>
      </c>
      <c r="C9" s="1894" t="s">
        <v>524</v>
      </c>
      <c r="D9" s="1895" t="s">
        <v>636</v>
      </c>
      <c r="E9" s="1894" t="s">
        <v>259</v>
      </c>
      <c r="F9" s="1896">
        <v>110</v>
      </c>
      <c r="G9" s="1897">
        <v>0</v>
      </c>
      <c r="H9" s="1897">
        <v>0</v>
      </c>
      <c r="I9" s="1897">
        <v>0</v>
      </c>
      <c r="J9" s="1897">
        <v>0</v>
      </c>
      <c r="K9" s="1897">
        <v>0</v>
      </c>
      <c r="L9" s="1897">
        <v>0</v>
      </c>
      <c r="M9" s="1897">
        <v>0</v>
      </c>
      <c r="N9" s="1897">
        <v>0.26400000000000001</v>
      </c>
      <c r="O9" s="1897">
        <v>0.24218181818181819</v>
      </c>
      <c r="P9" s="1897">
        <v>0.12872727272727272</v>
      </c>
      <c r="Q9" s="1897">
        <v>0.16800000000000001</v>
      </c>
      <c r="R9" s="1897">
        <v>1.0909090909090908E-2</v>
      </c>
      <c r="S9" s="1898">
        <f t="shared" si="0"/>
        <v>6.7818181818181819E-2</v>
      </c>
    </row>
    <row r="10" spans="1:19">
      <c r="A10" s="1894">
        <f t="shared" ref="A10:A73" si="1">+A9+1</f>
        <v>3</v>
      </c>
      <c r="B10" s="1895" t="s">
        <v>2907</v>
      </c>
      <c r="C10" s="1894" t="s">
        <v>524</v>
      </c>
      <c r="D10" s="1895" t="s">
        <v>541</v>
      </c>
      <c r="E10" s="1894" t="s">
        <v>259</v>
      </c>
      <c r="F10" s="1896">
        <v>110</v>
      </c>
      <c r="G10" s="1897">
        <v>0</v>
      </c>
      <c r="H10" s="1897">
        <v>0</v>
      </c>
      <c r="I10" s="1897">
        <v>0</v>
      </c>
      <c r="J10" s="1897">
        <v>0</v>
      </c>
      <c r="K10" s="1897">
        <v>1.8545454545454547</v>
      </c>
      <c r="L10" s="1897">
        <v>1.2021818181818182</v>
      </c>
      <c r="M10" s="1897">
        <v>1.0014545454545456</v>
      </c>
      <c r="N10" s="1897">
        <v>0.92727272727272736</v>
      </c>
      <c r="O10" s="1897">
        <v>1.2109090909090907</v>
      </c>
      <c r="P10" s="1897">
        <v>0.80945454545454554</v>
      </c>
      <c r="Q10" s="1897">
        <v>0.24218181818181819</v>
      </c>
      <c r="R10" s="1897">
        <v>0.79636363636363627</v>
      </c>
      <c r="S10" s="1898">
        <f t="shared" si="0"/>
        <v>0.67036363636363638</v>
      </c>
    </row>
    <row r="11" spans="1:19">
      <c r="A11" s="1894">
        <f t="shared" si="1"/>
        <v>4</v>
      </c>
      <c r="B11" s="1895" t="s">
        <v>2908</v>
      </c>
      <c r="C11" s="1894" t="s">
        <v>524</v>
      </c>
      <c r="D11" s="1895" t="s">
        <v>641</v>
      </c>
      <c r="E11" s="1894" t="s">
        <v>259</v>
      </c>
      <c r="F11" s="1896">
        <v>110</v>
      </c>
      <c r="G11" s="1897">
        <v>0</v>
      </c>
      <c r="H11" s="1897">
        <v>0</v>
      </c>
      <c r="I11" s="1897">
        <v>0</v>
      </c>
      <c r="J11" s="1897">
        <v>0</v>
      </c>
      <c r="K11" s="1897">
        <v>0</v>
      </c>
      <c r="L11" s="1897">
        <v>0</v>
      </c>
      <c r="M11" s="1897">
        <v>0</v>
      </c>
      <c r="N11" s="1897">
        <v>0</v>
      </c>
      <c r="O11" s="1897">
        <v>0</v>
      </c>
      <c r="P11" s="1897">
        <v>0.78872727272727272</v>
      </c>
      <c r="Q11" s="1897">
        <v>0.86072727272727279</v>
      </c>
      <c r="R11" s="1897">
        <v>0.92618181818181811</v>
      </c>
      <c r="S11" s="1898">
        <f t="shared" si="0"/>
        <v>0.21463636363636363</v>
      </c>
    </row>
    <row r="12" spans="1:19">
      <c r="A12" s="1894">
        <f t="shared" si="1"/>
        <v>5</v>
      </c>
      <c r="B12" s="1895" t="s">
        <v>2909</v>
      </c>
      <c r="C12" s="1894" t="s">
        <v>524</v>
      </c>
      <c r="D12" s="1895" t="s">
        <v>541</v>
      </c>
      <c r="E12" s="1894" t="s">
        <v>259</v>
      </c>
      <c r="F12" s="1896">
        <v>110</v>
      </c>
      <c r="G12" s="1897">
        <v>0.84436363636363632</v>
      </c>
      <c r="H12" s="1897">
        <v>0.70909090909090911</v>
      </c>
      <c r="I12" s="1897">
        <v>0.29454545454545455</v>
      </c>
      <c r="J12" s="1897">
        <v>0.22472727272727272</v>
      </c>
      <c r="K12" s="1897">
        <v>0.24436363636363637</v>
      </c>
      <c r="L12" s="1897">
        <v>0.52363636363636368</v>
      </c>
      <c r="M12" s="1897">
        <v>0.192</v>
      </c>
      <c r="N12" s="1897">
        <v>0.15054545454545454</v>
      </c>
      <c r="O12" s="1897">
        <v>0.16800000000000001</v>
      </c>
      <c r="P12" s="1897">
        <v>0.18109090909090911</v>
      </c>
      <c r="Q12" s="1897">
        <v>0.13745454545454547</v>
      </c>
      <c r="R12" s="1897">
        <v>0.12654545454545452</v>
      </c>
      <c r="S12" s="1898">
        <f t="shared" si="0"/>
        <v>0.3163636363636364</v>
      </c>
    </row>
    <row r="13" spans="1:19">
      <c r="A13" s="1894">
        <f t="shared" si="1"/>
        <v>6</v>
      </c>
      <c r="B13" s="1895" t="s">
        <v>2910</v>
      </c>
      <c r="C13" s="1894" t="s">
        <v>524</v>
      </c>
      <c r="D13" s="1895" t="s">
        <v>541</v>
      </c>
      <c r="E13" s="1894" t="s">
        <v>259</v>
      </c>
      <c r="F13" s="1896">
        <v>110</v>
      </c>
      <c r="G13" s="1897">
        <v>0.93672727272727263</v>
      </c>
      <c r="H13" s="1897">
        <v>1.0312727272727273</v>
      </c>
      <c r="I13" s="1897">
        <v>0.92945454545454542</v>
      </c>
      <c r="J13" s="1897">
        <v>0.96799999999999986</v>
      </c>
      <c r="K13" s="1897">
        <v>1.2058181818181819</v>
      </c>
      <c r="L13" s="1897">
        <v>0.97600000000000009</v>
      </c>
      <c r="M13" s="1897">
        <v>0.92654545454545467</v>
      </c>
      <c r="N13" s="1897">
        <v>0.96727272727272728</v>
      </c>
      <c r="O13" s="1897">
        <v>0.97963636363636353</v>
      </c>
      <c r="P13" s="1897">
        <v>0.99345454545454548</v>
      </c>
      <c r="Q13" s="1897">
        <v>1.0407272727272727</v>
      </c>
      <c r="R13" s="1897">
        <v>1.0334545454545456</v>
      </c>
      <c r="S13" s="1898">
        <f t="shared" si="0"/>
        <v>0.99903030303030294</v>
      </c>
    </row>
    <row r="14" spans="1:19">
      <c r="A14" s="1894">
        <f t="shared" si="1"/>
        <v>7</v>
      </c>
      <c r="B14" s="1895" t="s">
        <v>2911</v>
      </c>
      <c r="C14" s="1894" t="s">
        <v>524</v>
      </c>
      <c r="D14" s="1895" t="s">
        <v>636</v>
      </c>
      <c r="E14" s="1894" t="s">
        <v>259</v>
      </c>
      <c r="F14" s="1896">
        <v>110</v>
      </c>
      <c r="G14" s="1897">
        <v>0.80399999999999994</v>
      </c>
      <c r="H14" s="1897">
        <v>0.53454545454545455</v>
      </c>
      <c r="I14" s="1897">
        <v>0.56181818181818177</v>
      </c>
      <c r="J14" s="1897">
        <v>0.62618181818181817</v>
      </c>
      <c r="K14" s="1897">
        <v>0.56400000000000006</v>
      </c>
      <c r="L14" s="1897">
        <v>0.50836363636363635</v>
      </c>
      <c r="M14" s="1897">
        <v>0.84218181818181814</v>
      </c>
      <c r="N14" s="1897">
        <v>0.61199999999999999</v>
      </c>
      <c r="O14" s="1897">
        <v>0.40472727272727277</v>
      </c>
      <c r="P14" s="1897">
        <v>0.48981818181818182</v>
      </c>
      <c r="Q14" s="1897">
        <v>0.51381818181818184</v>
      </c>
      <c r="R14" s="1897">
        <v>0.59890909090909084</v>
      </c>
      <c r="S14" s="1898">
        <f t="shared" si="0"/>
        <v>0.58836363636363631</v>
      </c>
    </row>
    <row r="15" spans="1:19">
      <c r="A15" s="1894">
        <f t="shared" si="1"/>
        <v>8</v>
      </c>
      <c r="B15" s="1895" t="s">
        <v>2912</v>
      </c>
      <c r="C15" s="1894" t="s">
        <v>524</v>
      </c>
      <c r="D15" s="1895" t="s">
        <v>636</v>
      </c>
      <c r="E15" s="1894" t="s">
        <v>259</v>
      </c>
      <c r="F15" s="1896">
        <v>110</v>
      </c>
      <c r="G15" s="1897">
        <v>0.22045454545454546</v>
      </c>
      <c r="H15" s="1897">
        <v>0.29318181818181815</v>
      </c>
      <c r="I15" s="1897">
        <v>0.22954545454545455</v>
      </c>
      <c r="J15" s="1897">
        <v>0.25318181818181817</v>
      </c>
      <c r="K15" s="1897">
        <v>0.23454545454545456</v>
      </c>
      <c r="L15" s="1897">
        <v>0.25963636363636367</v>
      </c>
      <c r="M15" s="1897">
        <v>0.23636363636363636</v>
      </c>
      <c r="N15" s="1897">
        <v>0.24400000000000002</v>
      </c>
      <c r="O15" s="1897">
        <v>0.24618181818181817</v>
      </c>
      <c r="P15" s="1897">
        <v>0.25927272727272727</v>
      </c>
      <c r="Q15" s="1897">
        <v>0.24363636363636365</v>
      </c>
      <c r="R15" s="1897">
        <v>0.28327272727272729</v>
      </c>
      <c r="S15" s="1898">
        <f t="shared" si="0"/>
        <v>0.25027272727272726</v>
      </c>
    </row>
    <row r="16" spans="1:19">
      <c r="A16" s="1894">
        <f t="shared" si="1"/>
        <v>9</v>
      </c>
      <c r="B16" s="1895" t="s">
        <v>2913</v>
      </c>
      <c r="C16" s="1894" t="s">
        <v>524</v>
      </c>
      <c r="D16" s="1895" t="s">
        <v>541</v>
      </c>
      <c r="E16" s="1894" t="s">
        <v>259</v>
      </c>
      <c r="F16" s="1896">
        <v>110</v>
      </c>
      <c r="G16" s="1897">
        <v>0.13636363636363635</v>
      </c>
      <c r="H16" s="1897">
        <v>9.2727272727272742E-2</v>
      </c>
      <c r="I16" s="1897">
        <v>9.2727272727272742E-2</v>
      </c>
      <c r="J16" s="1897">
        <v>9.2727272727272742E-2</v>
      </c>
      <c r="K16" s="1897">
        <v>0.60545454545454536</v>
      </c>
      <c r="L16" s="1897">
        <v>0.18545454545454548</v>
      </c>
      <c r="M16" s="1897">
        <v>0.12545454545454546</v>
      </c>
      <c r="N16" s="1897">
        <v>0.26181818181818184</v>
      </c>
      <c r="O16" s="1897">
        <v>0.16363636363636364</v>
      </c>
      <c r="P16" s="1897">
        <v>0.11454545454545456</v>
      </c>
      <c r="Q16" s="1897">
        <v>0.14181818181818182</v>
      </c>
      <c r="R16" s="1897">
        <v>0.12</v>
      </c>
      <c r="S16" s="1898">
        <f t="shared" si="0"/>
        <v>0.17772727272727273</v>
      </c>
    </row>
    <row r="17" spans="1:19">
      <c r="A17" s="1894">
        <f t="shared" si="1"/>
        <v>10</v>
      </c>
      <c r="B17" s="1895" t="s">
        <v>2914</v>
      </c>
      <c r="C17" s="1894" t="s">
        <v>524</v>
      </c>
      <c r="D17" s="1895" t="s">
        <v>737</v>
      </c>
      <c r="E17" s="1894" t="s">
        <v>259</v>
      </c>
      <c r="F17" s="1896">
        <v>110</v>
      </c>
      <c r="G17" s="1897">
        <v>0.25999999999999995</v>
      </c>
      <c r="H17" s="1897">
        <v>0.26727272727272727</v>
      </c>
      <c r="I17" s="1897">
        <v>0.31636363636363635</v>
      </c>
      <c r="J17" s="1897">
        <v>0.24072727272727271</v>
      </c>
      <c r="K17" s="1897">
        <v>0.24727272727272731</v>
      </c>
      <c r="L17" s="1897">
        <v>0.24727272727272731</v>
      </c>
      <c r="M17" s="1897">
        <v>0.23418181818181816</v>
      </c>
      <c r="N17" s="1897">
        <v>0.21527272727272728</v>
      </c>
      <c r="O17" s="1897">
        <v>0.192</v>
      </c>
      <c r="P17" s="1897">
        <v>0.19636363636363638</v>
      </c>
      <c r="Q17" s="1897">
        <v>0.22836363636363635</v>
      </c>
      <c r="R17" s="1897">
        <v>0.25600000000000001</v>
      </c>
      <c r="S17" s="1898">
        <f t="shared" si="0"/>
        <v>0.24175757575757575</v>
      </c>
    </row>
    <row r="18" spans="1:19">
      <c r="A18" s="1894">
        <f t="shared" si="1"/>
        <v>11</v>
      </c>
      <c r="B18" s="1895" t="s">
        <v>2915</v>
      </c>
      <c r="C18" s="1894" t="s">
        <v>524</v>
      </c>
      <c r="D18" s="1895" t="s">
        <v>541</v>
      </c>
      <c r="E18" s="1894" t="s">
        <v>259</v>
      </c>
      <c r="F18" s="1896">
        <v>110</v>
      </c>
      <c r="G18" s="1897">
        <v>6.4363636363636359E-2</v>
      </c>
      <c r="H18" s="1897">
        <v>6.5909090909090903E-2</v>
      </c>
      <c r="I18" s="1897">
        <v>6.4818181818181816E-2</v>
      </c>
      <c r="J18" s="1897">
        <v>7.4272727272727268E-2</v>
      </c>
      <c r="K18" s="1897">
        <v>5.7181818181818181E-2</v>
      </c>
      <c r="L18" s="1897">
        <v>5.4636363636363636E-2</v>
      </c>
      <c r="M18" s="1897">
        <v>3.9363636363636365E-2</v>
      </c>
      <c r="N18" s="1897">
        <v>4.1909090909090903E-2</v>
      </c>
      <c r="O18" s="1897">
        <v>5.2090909090909097E-2</v>
      </c>
      <c r="P18" s="1897">
        <v>4.990909090909091E-2</v>
      </c>
      <c r="Q18" s="1897">
        <v>5.1000000000000004E-2</v>
      </c>
      <c r="R18" s="1897">
        <v>5.3909090909090907E-2</v>
      </c>
      <c r="S18" s="1898">
        <f t="shared" si="0"/>
        <v>5.5780303030303034E-2</v>
      </c>
    </row>
    <row r="19" spans="1:19">
      <c r="A19" s="1894">
        <f t="shared" si="1"/>
        <v>12</v>
      </c>
      <c r="B19" s="1895" t="s">
        <v>2916</v>
      </c>
      <c r="C19" s="1894" t="s">
        <v>524</v>
      </c>
      <c r="D19" s="1895" t="s">
        <v>636</v>
      </c>
      <c r="E19" s="1894" t="s">
        <v>259</v>
      </c>
      <c r="F19" s="1896">
        <v>110</v>
      </c>
      <c r="G19" s="1897">
        <v>1.0901818181818181</v>
      </c>
      <c r="H19" s="1897">
        <v>0.96218181818181825</v>
      </c>
      <c r="I19" s="1897">
        <v>1.1207272727272726</v>
      </c>
      <c r="J19" s="1897">
        <v>0.84363636363636374</v>
      </c>
      <c r="K19" s="1897">
        <v>0.82036363636363629</v>
      </c>
      <c r="L19" s="1897">
        <v>0.89236363636363636</v>
      </c>
      <c r="M19" s="1897">
        <v>0.83927272727272739</v>
      </c>
      <c r="N19" s="1897">
        <v>0.74181818181818182</v>
      </c>
      <c r="O19" s="1897">
        <v>0.92581818181818187</v>
      </c>
      <c r="P19" s="1897">
        <v>0.81309090909090909</v>
      </c>
      <c r="Q19" s="1897">
        <v>0.83563636363636362</v>
      </c>
      <c r="R19" s="1897">
        <v>0.68218181818181811</v>
      </c>
      <c r="S19" s="1898">
        <f t="shared" si="0"/>
        <v>0.88060606060606039</v>
      </c>
    </row>
    <row r="20" spans="1:19">
      <c r="A20" s="1894">
        <f t="shared" si="1"/>
        <v>13</v>
      </c>
      <c r="B20" s="1895" t="s">
        <v>2917</v>
      </c>
      <c r="C20" s="1894" t="s">
        <v>524</v>
      </c>
      <c r="D20" s="1895" t="s">
        <v>636</v>
      </c>
      <c r="E20" s="1894" t="s">
        <v>259</v>
      </c>
      <c r="F20" s="1896">
        <v>110.2</v>
      </c>
      <c r="G20" s="1897">
        <v>0.27876588021778581</v>
      </c>
      <c r="H20" s="1897">
        <v>0.38112522686025407</v>
      </c>
      <c r="I20" s="1897">
        <v>0.37894736842105264</v>
      </c>
      <c r="J20" s="1897">
        <v>0.40072595281306711</v>
      </c>
      <c r="K20" s="1897">
        <v>0.419600725952813</v>
      </c>
      <c r="L20" s="1897">
        <v>0.3829401088929219</v>
      </c>
      <c r="M20" s="1897">
        <v>0.41161524500907437</v>
      </c>
      <c r="N20" s="1897">
        <v>0.28892921960072598</v>
      </c>
      <c r="O20" s="1897">
        <v>0.18148820326678766</v>
      </c>
      <c r="P20" s="1897">
        <v>0.16043557168784028</v>
      </c>
      <c r="Q20" s="1897">
        <v>0.15099818511796734</v>
      </c>
      <c r="R20" s="1897">
        <v>0.19455535390199638</v>
      </c>
      <c r="S20" s="1898">
        <f t="shared" si="0"/>
        <v>0.30251058681185722</v>
      </c>
    </row>
    <row r="21" spans="1:19">
      <c r="A21" s="1894">
        <f t="shared" si="1"/>
        <v>14</v>
      </c>
      <c r="B21" s="1895" t="s">
        <v>2918</v>
      </c>
      <c r="C21" s="1894" t="s">
        <v>613</v>
      </c>
      <c r="D21" s="1895" t="s">
        <v>636</v>
      </c>
      <c r="E21" s="1894" t="s">
        <v>259</v>
      </c>
      <c r="F21" s="1896">
        <v>111</v>
      </c>
      <c r="G21" s="1897">
        <v>0</v>
      </c>
      <c r="H21" s="1897">
        <v>0</v>
      </c>
      <c r="I21" s="1897">
        <v>0</v>
      </c>
      <c r="J21" s="1897">
        <v>0</v>
      </c>
      <c r="K21" s="1897">
        <v>0</v>
      </c>
      <c r="L21" s="1897">
        <v>0</v>
      </c>
      <c r="M21" s="1897">
        <v>0</v>
      </c>
      <c r="N21" s="1897">
        <v>0</v>
      </c>
      <c r="O21" s="1897">
        <v>0</v>
      </c>
      <c r="P21" s="1897">
        <v>0</v>
      </c>
      <c r="Q21" s="1897">
        <v>0</v>
      </c>
      <c r="R21" s="1897">
        <v>0.85405405405405399</v>
      </c>
      <c r="S21" s="1898">
        <f t="shared" si="0"/>
        <v>7.1171171171171166E-2</v>
      </c>
    </row>
    <row r="22" spans="1:19">
      <c r="A22" s="1894">
        <f t="shared" si="1"/>
        <v>15</v>
      </c>
      <c r="B22" s="1895" t="s">
        <v>2919</v>
      </c>
      <c r="C22" s="1894" t="s">
        <v>524</v>
      </c>
      <c r="D22" s="1895" t="s">
        <v>636</v>
      </c>
      <c r="E22" s="1894" t="s">
        <v>259</v>
      </c>
      <c r="F22" s="1896">
        <v>111</v>
      </c>
      <c r="G22" s="1897">
        <v>0.24432432432432433</v>
      </c>
      <c r="H22" s="1897">
        <v>0.23495495495495494</v>
      </c>
      <c r="I22" s="1897">
        <v>0.25585585585585585</v>
      </c>
      <c r="J22" s="1897">
        <v>0.21333333333333332</v>
      </c>
      <c r="K22" s="1897">
        <v>0.2198198198198198</v>
      </c>
      <c r="L22" s="1897">
        <v>0.12252252252252253</v>
      </c>
      <c r="M22" s="1897">
        <v>0.24576576576576575</v>
      </c>
      <c r="N22" s="1897">
        <v>0.14198198198198198</v>
      </c>
      <c r="O22" s="1897">
        <v>0.19243243243243244</v>
      </c>
      <c r="P22" s="1897">
        <v>9.1531531531531526E-2</v>
      </c>
      <c r="Q22" s="1897">
        <v>0.13765765765765764</v>
      </c>
      <c r="R22" s="1897">
        <v>0.22846846846846847</v>
      </c>
      <c r="S22" s="1898">
        <f t="shared" si="0"/>
        <v>0.19405405405405407</v>
      </c>
    </row>
    <row r="23" spans="1:19">
      <c r="A23" s="1894">
        <f t="shared" si="1"/>
        <v>16</v>
      </c>
      <c r="B23" s="1895" t="s">
        <v>2920</v>
      </c>
      <c r="C23" s="1894" t="s">
        <v>524</v>
      </c>
      <c r="D23" s="1895" t="s">
        <v>541</v>
      </c>
      <c r="E23" s="1894" t="s">
        <v>259</v>
      </c>
      <c r="F23" s="1896">
        <v>111</v>
      </c>
      <c r="G23" s="1897">
        <v>1.3076576576576577</v>
      </c>
      <c r="H23" s="1897">
        <v>1.3315315315315315</v>
      </c>
      <c r="I23" s="1897">
        <v>1.3148648648648649</v>
      </c>
      <c r="J23" s="1897">
        <v>1.3207207207207208</v>
      </c>
      <c r="K23" s="1897">
        <v>1.1675675675675674</v>
      </c>
      <c r="L23" s="1897">
        <v>1.2576576576576577</v>
      </c>
      <c r="M23" s="1897">
        <v>1.4288288288288287</v>
      </c>
      <c r="N23" s="1897">
        <v>1.5369369369369368</v>
      </c>
      <c r="O23" s="1897">
        <v>1.7387387387387387</v>
      </c>
      <c r="P23" s="1897">
        <v>1.6360360360360362</v>
      </c>
      <c r="Q23" s="1897">
        <v>1.49009009009009</v>
      </c>
      <c r="R23" s="1897">
        <v>1.4666666666666668</v>
      </c>
      <c r="S23" s="1898">
        <f t="shared" si="0"/>
        <v>1.4164414414414415</v>
      </c>
    </row>
    <row r="24" spans="1:19">
      <c r="A24" s="1894">
        <f t="shared" si="1"/>
        <v>17</v>
      </c>
      <c r="B24" s="1895" t="s">
        <v>2921</v>
      </c>
      <c r="C24" s="1894" t="s">
        <v>524</v>
      </c>
      <c r="D24" s="1895" t="s">
        <v>737</v>
      </c>
      <c r="E24" s="1894" t="s">
        <v>259</v>
      </c>
      <c r="F24" s="1896">
        <v>111</v>
      </c>
      <c r="G24" s="1897">
        <v>0.11891891891891893</v>
      </c>
      <c r="H24" s="1897">
        <v>0.12612612612612614</v>
      </c>
      <c r="I24" s="1897">
        <v>0.12252252252252253</v>
      </c>
      <c r="J24" s="1897">
        <v>0.13333333333333333</v>
      </c>
      <c r="K24" s="1897">
        <v>0.12684684684684686</v>
      </c>
      <c r="L24" s="1897">
        <v>0.2227027027027027</v>
      </c>
      <c r="M24" s="1897">
        <v>0.12072072072072072</v>
      </c>
      <c r="N24" s="1897">
        <v>0.1063063063063063</v>
      </c>
      <c r="O24" s="1897">
        <v>0.14918918918918916</v>
      </c>
      <c r="P24" s="1897">
        <v>0.11747747747747747</v>
      </c>
      <c r="Q24" s="1897">
        <v>0.12972972972972971</v>
      </c>
      <c r="R24" s="1897">
        <v>0.14414414414414414</v>
      </c>
      <c r="S24" s="1898">
        <f t="shared" si="0"/>
        <v>0.13483483483483483</v>
      </c>
    </row>
    <row r="25" spans="1:19">
      <c r="A25" s="1894">
        <f t="shared" si="1"/>
        <v>18</v>
      </c>
      <c r="B25" s="1895" t="s">
        <v>2922</v>
      </c>
      <c r="C25" s="1894" t="s">
        <v>524</v>
      </c>
      <c r="D25" s="1895" t="s">
        <v>636</v>
      </c>
      <c r="E25" s="1894" t="s">
        <v>259</v>
      </c>
      <c r="F25" s="1896">
        <v>111</v>
      </c>
      <c r="G25" s="1897">
        <v>0.3884684684684685</v>
      </c>
      <c r="H25" s="1897">
        <v>0.38126126126126125</v>
      </c>
      <c r="I25" s="1897">
        <v>0.29549549549549553</v>
      </c>
      <c r="J25" s="1897">
        <v>0.31495495495495496</v>
      </c>
      <c r="K25" s="1897">
        <v>0.24360360360360359</v>
      </c>
      <c r="L25" s="1897">
        <v>0.2810810810810811</v>
      </c>
      <c r="M25" s="1897">
        <v>0.26306306306306304</v>
      </c>
      <c r="N25" s="1897">
        <v>0.24432432432432433</v>
      </c>
      <c r="O25" s="1897">
        <v>0.23135135135135132</v>
      </c>
      <c r="P25" s="1897">
        <v>0.25729729729729733</v>
      </c>
      <c r="Q25" s="1897">
        <v>0.24864864864864866</v>
      </c>
      <c r="R25" s="1897">
        <v>0.24144144144144145</v>
      </c>
      <c r="S25" s="1898">
        <f t="shared" si="0"/>
        <v>0.28258258258258262</v>
      </c>
    </row>
    <row r="26" spans="1:19">
      <c r="A26" s="1894">
        <f t="shared" si="1"/>
        <v>19</v>
      </c>
      <c r="B26" s="1895" t="s">
        <v>2923</v>
      </c>
      <c r="C26" s="1894" t="s">
        <v>524</v>
      </c>
      <c r="D26" s="1895" t="s">
        <v>541</v>
      </c>
      <c r="E26" s="1894" t="s">
        <v>259</v>
      </c>
      <c r="F26" s="1896">
        <v>111</v>
      </c>
      <c r="G26" s="1897">
        <v>1.8018018018018018E-2</v>
      </c>
      <c r="H26" s="1897">
        <v>0</v>
      </c>
      <c r="I26" s="1897">
        <v>0</v>
      </c>
      <c r="J26" s="1897">
        <v>0</v>
      </c>
      <c r="K26" s="1897">
        <v>0</v>
      </c>
      <c r="L26" s="1897">
        <v>0.86558558558558552</v>
      </c>
      <c r="M26" s="1897">
        <v>5.5495495495495498E-2</v>
      </c>
      <c r="N26" s="1897">
        <v>7.7117117117117107E-2</v>
      </c>
      <c r="O26" s="1897">
        <v>7.0630630630630631E-2</v>
      </c>
      <c r="P26" s="1897">
        <v>4.4684684684684686E-2</v>
      </c>
      <c r="Q26" s="1897">
        <v>1.7124324324324325</v>
      </c>
      <c r="R26" s="1897">
        <v>1.6814414414414416</v>
      </c>
      <c r="S26" s="1898">
        <f t="shared" si="0"/>
        <v>0.3771171171171171</v>
      </c>
    </row>
    <row r="27" spans="1:19">
      <c r="A27" s="1894">
        <f t="shared" si="1"/>
        <v>20</v>
      </c>
      <c r="B27" s="1895" t="s">
        <v>2924</v>
      </c>
      <c r="C27" s="1894" t="s">
        <v>524</v>
      </c>
      <c r="D27" s="1895" t="s">
        <v>737</v>
      </c>
      <c r="E27" s="1894" t="s">
        <v>259</v>
      </c>
      <c r="F27" s="1896">
        <v>111</v>
      </c>
      <c r="G27" s="1897">
        <v>8.4684684684684694E-2</v>
      </c>
      <c r="H27" s="1897">
        <v>9.0090090090090086E-2</v>
      </c>
      <c r="I27" s="1897">
        <v>8.5045045045045037E-2</v>
      </c>
      <c r="J27" s="1897">
        <v>0.30558558558558563</v>
      </c>
      <c r="K27" s="1897">
        <v>9.0090090090090086E-2</v>
      </c>
      <c r="L27" s="1897">
        <v>0.10090090090090091</v>
      </c>
      <c r="M27" s="1897">
        <v>0.1063063063063063</v>
      </c>
      <c r="N27" s="1897">
        <v>9.90990990990991E-2</v>
      </c>
      <c r="O27" s="1897">
        <v>0.10090090090090091</v>
      </c>
      <c r="P27" s="1897">
        <v>0.11027027027027027</v>
      </c>
      <c r="Q27" s="1897">
        <v>9.0810810810810813E-2</v>
      </c>
      <c r="R27" s="1897">
        <v>8.5045045045045037E-2</v>
      </c>
      <c r="S27" s="1898">
        <f t="shared" si="0"/>
        <v>0.1124024024024024</v>
      </c>
    </row>
    <row r="28" spans="1:19">
      <c r="A28" s="1894">
        <f t="shared" si="1"/>
        <v>21</v>
      </c>
      <c r="B28" s="1895" t="s">
        <v>2925</v>
      </c>
      <c r="C28" s="1894" t="s">
        <v>524</v>
      </c>
      <c r="D28" s="1895" t="s">
        <v>636</v>
      </c>
      <c r="E28" s="1894" t="s">
        <v>259</v>
      </c>
      <c r="F28" s="1896">
        <v>111</v>
      </c>
      <c r="G28" s="1897">
        <v>4.3243243243243239E-2</v>
      </c>
      <c r="H28" s="1897">
        <v>0.22774774774774775</v>
      </c>
      <c r="I28" s="1897">
        <v>8.9369369369369372E-2</v>
      </c>
      <c r="J28" s="1897">
        <v>8.8648648648648645E-2</v>
      </c>
      <c r="K28" s="1897">
        <v>7.6396396396396407E-2</v>
      </c>
      <c r="L28" s="1897">
        <v>0.11603603603603603</v>
      </c>
      <c r="M28" s="1897">
        <v>7.7837837837837848E-2</v>
      </c>
      <c r="N28" s="1897">
        <v>0.10594594594594595</v>
      </c>
      <c r="O28" s="1897">
        <v>6.8468468468468463E-2</v>
      </c>
      <c r="P28" s="1897">
        <v>8.2162162162162169E-2</v>
      </c>
      <c r="Q28" s="1897">
        <v>8.7927927927927932E-2</v>
      </c>
      <c r="R28" s="1897">
        <v>9.9459459459459457E-2</v>
      </c>
      <c r="S28" s="1898">
        <f t="shared" si="0"/>
        <v>9.6936936936936946E-2</v>
      </c>
    </row>
    <row r="29" spans="1:19">
      <c r="A29" s="1894">
        <f t="shared" si="1"/>
        <v>22</v>
      </c>
      <c r="B29" s="1895" t="s">
        <v>2926</v>
      </c>
      <c r="C29" s="1894" t="s">
        <v>524</v>
      </c>
      <c r="D29" s="1895" t="s">
        <v>737</v>
      </c>
      <c r="E29" s="1894" t="s">
        <v>259</v>
      </c>
      <c r="F29" s="1896">
        <v>111</v>
      </c>
      <c r="G29" s="1897">
        <v>0.42882882882882878</v>
      </c>
      <c r="H29" s="1897">
        <v>0.57477477477477479</v>
      </c>
      <c r="I29" s="1897">
        <v>0.5520720720720721</v>
      </c>
      <c r="J29" s="1897">
        <v>0.4857657657657658</v>
      </c>
      <c r="K29" s="1897">
        <v>0.29693693693693696</v>
      </c>
      <c r="L29" s="1897">
        <v>0.35459459459459458</v>
      </c>
      <c r="M29" s="1897">
        <v>0.35747747747747749</v>
      </c>
      <c r="N29" s="1897">
        <v>0.26234234234234233</v>
      </c>
      <c r="O29" s="1897">
        <v>0.12468468468468469</v>
      </c>
      <c r="P29" s="1897">
        <v>0.14990990990990991</v>
      </c>
      <c r="Q29" s="1897">
        <v>0.28612612612612609</v>
      </c>
      <c r="R29" s="1897">
        <v>0.36396396396396402</v>
      </c>
      <c r="S29" s="1898">
        <f t="shared" si="0"/>
        <v>0.35312312312312311</v>
      </c>
    </row>
    <row r="30" spans="1:19">
      <c r="A30" s="1894">
        <f t="shared" si="1"/>
        <v>23</v>
      </c>
      <c r="B30" s="1895" t="s">
        <v>2927</v>
      </c>
      <c r="C30" s="1894" t="s">
        <v>524</v>
      </c>
      <c r="D30" s="1895" t="s">
        <v>737</v>
      </c>
      <c r="E30" s="1894" t="s">
        <v>259</v>
      </c>
      <c r="F30" s="1896">
        <v>111</v>
      </c>
      <c r="G30" s="1897">
        <v>9.2972972972972981E-2</v>
      </c>
      <c r="H30" s="1897">
        <v>0.12468468468468469</v>
      </c>
      <c r="I30" s="1897">
        <v>8.5765765765765778E-2</v>
      </c>
      <c r="J30" s="1897">
        <v>4.6126126126126127E-2</v>
      </c>
      <c r="K30" s="1897">
        <v>4.8288288288288288E-2</v>
      </c>
      <c r="L30" s="1897">
        <v>5.0450450450450456E-2</v>
      </c>
      <c r="M30" s="1897">
        <v>4.8288288288288288E-2</v>
      </c>
      <c r="N30" s="1897">
        <v>0.22774774774774775</v>
      </c>
      <c r="O30" s="1897">
        <v>4.4684684684684686E-2</v>
      </c>
      <c r="P30" s="1897">
        <v>4.3963963963963966E-2</v>
      </c>
      <c r="Q30" s="1897">
        <v>4.0360360360360358E-2</v>
      </c>
      <c r="R30" s="1897">
        <v>5.1171171171171176E-2</v>
      </c>
      <c r="S30" s="1898">
        <f t="shared" si="0"/>
        <v>7.5375375375375378E-2</v>
      </c>
    </row>
    <row r="31" spans="1:19">
      <c r="A31" s="1894">
        <f t="shared" si="1"/>
        <v>24</v>
      </c>
      <c r="B31" s="1895" t="s">
        <v>2928</v>
      </c>
      <c r="C31" s="1894" t="s">
        <v>524</v>
      </c>
      <c r="D31" s="1895" t="s">
        <v>737</v>
      </c>
      <c r="E31" s="1894" t="s">
        <v>259</v>
      </c>
      <c r="F31" s="1896">
        <v>111.1</v>
      </c>
      <c r="G31" s="1897">
        <v>0</v>
      </c>
      <c r="H31" s="1897">
        <v>0</v>
      </c>
      <c r="I31" s="1897">
        <v>0</v>
      </c>
      <c r="J31" s="1897">
        <v>0</v>
      </c>
      <c r="K31" s="1897">
        <v>0</v>
      </c>
      <c r="L31" s="1897">
        <v>0</v>
      </c>
      <c r="M31" s="1897">
        <v>0</v>
      </c>
      <c r="N31" s="1897">
        <v>0</v>
      </c>
      <c r="O31" s="1897">
        <v>0</v>
      </c>
      <c r="P31" s="1897">
        <v>0</v>
      </c>
      <c r="Q31" s="1897">
        <v>0.29738973897389748</v>
      </c>
      <c r="R31" s="1897">
        <v>0.39747974797479746</v>
      </c>
      <c r="S31" s="1898">
        <f t="shared" si="0"/>
        <v>5.7905790579057904E-2</v>
      </c>
    </row>
    <row r="32" spans="1:19">
      <c r="A32" s="1894">
        <f t="shared" si="1"/>
        <v>25</v>
      </c>
      <c r="B32" s="1895" t="s">
        <v>2929</v>
      </c>
      <c r="C32" s="1894" t="s">
        <v>2930</v>
      </c>
      <c r="D32" s="1895" t="s">
        <v>541</v>
      </c>
      <c r="E32" s="1894" t="s">
        <v>259</v>
      </c>
      <c r="F32" s="1896">
        <v>112</v>
      </c>
      <c r="G32" s="1897">
        <v>0</v>
      </c>
      <c r="H32" s="1897">
        <v>0</v>
      </c>
      <c r="I32" s="1897">
        <v>0</v>
      </c>
      <c r="J32" s="1897">
        <v>0</v>
      </c>
      <c r="K32" s="1897">
        <v>0</v>
      </c>
      <c r="L32" s="1897">
        <v>0</v>
      </c>
      <c r="M32" s="1897">
        <v>0</v>
      </c>
      <c r="N32" s="1897">
        <v>0</v>
      </c>
      <c r="O32" s="1897">
        <v>0</v>
      </c>
      <c r="P32" s="1897">
        <v>0</v>
      </c>
      <c r="Q32" s="1897">
        <v>0</v>
      </c>
      <c r="R32" s="1897">
        <v>0</v>
      </c>
      <c r="S32" s="1898">
        <f t="shared" si="0"/>
        <v>0</v>
      </c>
    </row>
    <row r="33" spans="1:19">
      <c r="A33" s="1894">
        <f t="shared" si="1"/>
        <v>26</v>
      </c>
      <c r="B33" s="1895" t="s">
        <v>2931</v>
      </c>
      <c r="C33" s="1894" t="s">
        <v>524</v>
      </c>
      <c r="D33" s="1895" t="s">
        <v>737</v>
      </c>
      <c r="E33" s="1894" t="s">
        <v>259</v>
      </c>
      <c r="F33" s="1896">
        <v>112</v>
      </c>
      <c r="G33" s="1897">
        <v>0.185</v>
      </c>
      <c r="H33" s="1897">
        <v>0.19142857142857145</v>
      </c>
      <c r="I33" s="1897">
        <v>0.28857142857142859</v>
      </c>
      <c r="J33" s="1897">
        <v>0.21</v>
      </c>
      <c r="K33" s="1897">
        <v>0.22285714285714284</v>
      </c>
      <c r="L33" s="1897">
        <v>0.23357142857142857</v>
      </c>
      <c r="M33" s="1897">
        <v>0.21285714285714286</v>
      </c>
      <c r="N33" s="1897">
        <v>0.18999999999999997</v>
      </c>
      <c r="O33" s="1897">
        <v>0.16785714285714287</v>
      </c>
      <c r="P33" s="1897">
        <v>0.16928571428571429</v>
      </c>
      <c r="Q33" s="1897">
        <v>0.20285714285714287</v>
      </c>
      <c r="R33" s="1897">
        <v>0.20571428571428571</v>
      </c>
      <c r="S33" s="1898">
        <f t="shared" si="0"/>
        <v>0.20666666666666667</v>
      </c>
    </row>
    <row r="34" spans="1:19">
      <c r="A34" s="1894">
        <f t="shared" si="1"/>
        <v>27</v>
      </c>
      <c r="B34" s="1895" t="s">
        <v>2932</v>
      </c>
      <c r="C34" s="1894" t="s">
        <v>524</v>
      </c>
      <c r="D34" s="1895" t="s">
        <v>636</v>
      </c>
      <c r="E34" s="1894" t="s">
        <v>259</v>
      </c>
      <c r="F34" s="1896">
        <v>112</v>
      </c>
      <c r="G34" s="1897">
        <v>0.6339285714285714</v>
      </c>
      <c r="H34" s="1897">
        <v>0.7410714285714286</v>
      </c>
      <c r="I34" s="1897">
        <v>0.75401785714285718</v>
      </c>
      <c r="J34" s="1897">
        <v>0.6071428571428571</v>
      </c>
      <c r="K34" s="1897">
        <v>0.6160714285714286</v>
      </c>
      <c r="L34" s="1897">
        <v>0.625</v>
      </c>
      <c r="M34" s="1897">
        <v>0.5178571428571429</v>
      </c>
      <c r="N34" s="1897">
        <v>0.48214285714285715</v>
      </c>
      <c r="O34" s="1897">
        <v>0.41964285714285715</v>
      </c>
      <c r="P34" s="1897">
        <v>0.5</v>
      </c>
      <c r="Q34" s="1897">
        <v>0.5</v>
      </c>
      <c r="R34" s="1897">
        <v>0.5803571428571429</v>
      </c>
      <c r="S34" s="1898">
        <f t="shared" si="0"/>
        <v>0.58143601190476191</v>
      </c>
    </row>
    <row r="35" spans="1:19">
      <c r="A35" s="1894">
        <f t="shared" si="1"/>
        <v>28</v>
      </c>
      <c r="B35" s="1895" t="s">
        <v>2933</v>
      </c>
      <c r="C35" s="1894" t="s">
        <v>524</v>
      </c>
      <c r="D35" s="1895" t="s">
        <v>541</v>
      </c>
      <c r="E35" s="1894" t="s">
        <v>259</v>
      </c>
      <c r="F35" s="1896">
        <v>114.5</v>
      </c>
      <c r="G35" s="1897">
        <v>4.0524017467248909E-2</v>
      </c>
      <c r="H35" s="1897">
        <v>0.17746724890829696</v>
      </c>
      <c r="I35" s="1897">
        <v>0.17327510917030567</v>
      </c>
      <c r="J35" s="1897">
        <v>3.9126637554585147E-2</v>
      </c>
      <c r="K35" s="1897">
        <v>4.3318777292576417E-2</v>
      </c>
      <c r="L35" s="1897">
        <v>4.8908296943231448E-2</v>
      </c>
      <c r="M35" s="1897">
        <v>0.30882096069868997</v>
      </c>
      <c r="N35" s="1897">
        <v>2.6550218340611356E-2</v>
      </c>
      <c r="O35" s="1897">
        <v>0.17187772925764191</v>
      </c>
      <c r="P35" s="1897">
        <v>0.17327510917030567</v>
      </c>
      <c r="Q35" s="1897">
        <v>0.18305676855895198</v>
      </c>
      <c r="R35" s="1897">
        <v>0.17746724890829696</v>
      </c>
      <c r="S35" s="1898">
        <f t="shared" si="0"/>
        <v>0.1303056768558952</v>
      </c>
    </row>
    <row r="36" spans="1:19">
      <c r="A36" s="1894">
        <f t="shared" si="1"/>
        <v>29</v>
      </c>
      <c r="B36" s="1895" t="s">
        <v>2934</v>
      </c>
      <c r="C36" s="1894" t="s">
        <v>524</v>
      </c>
      <c r="D36" s="1895" t="s">
        <v>636</v>
      </c>
      <c r="E36" s="1894" t="s">
        <v>259</v>
      </c>
      <c r="F36" s="1896">
        <v>115</v>
      </c>
      <c r="G36" s="1897">
        <v>0</v>
      </c>
      <c r="H36" s="1897">
        <v>0</v>
      </c>
      <c r="I36" s="1897">
        <v>0.45913043478260868</v>
      </c>
      <c r="J36" s="1897">
        <v>0.10226086956521739</v>
      </c>
      <c r="K36" s="1897">
        <v>6.6782608695652182E-2</v>
      </c>
      <c r="L36" s="1897">
        <v>9.1826086956521738E-2</v>
      </c>
      <c r="M36" s="1897">
        <v>8.347826086956521E-2</v>
      </c>
      <c r="N36" s="1897">
        <v>7.3043478260869571E-2</v>
      </c>
      <c r="O36" s="1897">
        <v>5.4260869565217383E-2</v>
      </c>
      <c r="P36" s="1897">
        <v>5.4260869565217383E-2</v>
      </c>
      <c r="Q36" s="1897">
        <v>9.5999999999999988E-2</v>
      </c>
      <c r="R36" s="1897">
        <v>7.3043478260869571E-2</v>
      </c>
      <c r="S36" s="1898">
        <f t="shared" si="0"/>
        <v>9.6173913043478262E-2</v>
      </c>
    </row>
    <row r="37" spans="1:19">
      <c r="A37" s="1894">
        <f t="shared" si="1"/>
        <v>30</v>
      </c>
      <c r="B37" s="1895" t="s">
        <v>2935</v>
      </c>
      <c r="C37" s="1894" t="s">
        <v>524</v>
      </c>
      <c r="D37" s="1895" t="s">
        <v>541</v>
      </c>
      <c r="E37" s="1894" t="s">
        <v>259</v>
      </c>
      <c r="F37" s="1896">
        <v>115</v>
      </c>
      <c r="G37" s="1897">
        <v>0.64069565217391311</v>
      </c>
      <c r="H37" s="1897">
        <v>0.58226086956521739</v>
      </c>
      <c r="I37" s="1897">
        <v>0.74156521739130432</v>
      </c>
      <c r="J37" s="1897">
        <v>0.72973913043478245</v>
      </c>
      <c r="K37" s="1897">
        <v>1.391304347826087E-2</v>
      </c>
      <c r="L37" s="1897">
        <v>0.71443478260869564</v>
      </c>
      <c r="M37" s="1897">
        <v>8.6956521739130432E-2</v>
      </c>
      <c r="N37" s="1897">
        <v>0.83130434782608686</v>
      </c>
      <c r="O37" s="1897">
        <v>0.8723478260869566</v>
      </c>
      <c r="P37" s="1897">
        <v>0.83478260869565213</v>
      </c>
      <c r="Q37" s="1897">
        <v>0.80139130434782602</v>
      </c>
      <c r="R37" s="1897">
        <v>0.73947826086956525</v>
      </c>
      <c r="S37" s="1898">
        <f t="shared" si="0"/>
        <v>0.63240579710144917</v>
      </c>
    </row>
    <row r="38" spans="1:19">
      <c r="A38" s="1894">
        <f t="shared" si="1"/>
        <v>31</v>
      </c>
      <c r="B38" s="1895" t="s">
        <v>2936</v>
      </c>
      <c r="C38" s="1894" t="s">
        <v>524</v>
      </c>
      <c r="D38" s="1895" t="s">
        <v>541</v>
      </c>
      <c r="E38" s="1894" t="s">
        <v>259</v>
      </c>
      <c r="F38" s="1896">
        <v>116</v>
      </c>
      <c r="G38" s="1897">
        <v>1.3448275862068966</v>
      </c>
      <c r="H38" s="1897">
        <v>1.366206896551724</v>
      </c>
      <c r="I38" s="1897">
        <v>1.3220689655172415</v>
      </c>
      <c r="J38" s="1897">
        <v>1.2517241379310344</v>
      </c>
      <c r="K38" s="1897">
        <v>3.9310344827586212E-2</v>
      </c>
      <c r="L38" s="1897">
        <v>0.53241379310344827</v>
      </c>
      <c r="M38" s="1897">
        <v>7.7931034482758607E-2</v>
      </c>
      <c r="N38" s="1897">
        <v>0.10965517241379311</v>
      </c>
      <c r="O38" s="1897">
        <v>0.92689655172413787</v>
      </c>
      <c r="P38" s="1897">
        <v>1.2882758620689656</v>
      </c>
      <c r="Q38" s="1897">
        <v>1.4917241379310344</v>
      </c>
      <c r="R38" s="1897">
        <v>1.6241379310344826</v>
      </c>
      <c r="S38" s="1898">
        <f t="shared" si="0"/>
        <v>0.94793103448275862</v>
      </c>
    </row>
    <row r="39" spans="1:19">
      <c r="A39" s="1894">
        <f t="shared" si="1"/>
        <v>32</v>
      </c>
      <c r="B39" s="1895" t="s">
        <v>2937</v>
      </c>
      <c r="C39" s="1894" t="s">
        <v>524</v>
      </c>
      <c r="D39" s="1895" t="s">
        <v>541</v>
      </c>
      <c r="E39" s="1894" t="s">
        <v>259</v>
      </c>
      <c r="F39" s="1896">
        <v>116</v>
      </c>
      <c r="G39" s="1897">
        <v>1.1641379310344826</v>
      </c>
      <c r="H39" s="1897">
        <v>1.1124137931034481</v>
      </c>
      <c r="I39" s="1897">
        <v>1.0131034482758621</v>
      </c>
      <c r="J39" s="1897">
        <v>1.0255172413793103</v>
      </c>
      <c r="K39" s="1897">
        <v>3.1034482758620686E-2</v>
      </c>
      <c r="L39" s="1897">
        <v>2.4827586206896551E-2</v>
      </c>
      <c r="M39" s="1897">
        <v>0.22758620689655173</v>
      </c>
      <c r="N39" s="1897">
        <v>5.0344827586206897E-2</v>
      </c>
      <c r="O39" s="1897">
        <v>3.3793103448275859E-2</v>
      </c>
      <c r="P39" s="1897">
        <v>3.310344827586207E-2</v>
      </c>
      <c r="Q39" s="1897">
        <v>3.0344827586206897E-2</v>
      </c>
      <c r="R39" s="1897">
        <v>3.2413793103448281E-2</v>
      </c>
      <c r="S39" s="1898">
        <f t="shared" si="0"/>
        <v>0.3982183908045977</v>
      </c>
    </row>
    <row r="40" spans="1:19">
      <c r="A40" s="1894">
        <f t="shared" si="1"/>
        <v>33</v>
      </c>
      <c r="B40" s="1895" t="s">
        <v>2938</v>
      </c>
      <c r="C40" s="1894" t="s">
        <v>524</v>
      </c>
      <c r="D40" s="1895" t="s">
        <v>541</v>
      </c>
      <c r="E40" s="1894" t="s">
        <v>259</v>
      </c>
      <c r="F40" s="1896">
        <v>116</v>
      </c>
      <c r="G40" s="1897">
        <v>0.26206896551724135</v>
      </c>
      <c r="H40" s="1897">
        <v>0.29793103448275865</v>
      </c>
      <c r="I40" s="1897">
        <v>0.25172413793103449</v>
      </c>
      <c r="J40" s="1897">
        <v>0.26068965517241383</v>
      </c>
      <c r="K40" s="1897">
        <v>0.28689655172413792</v>
      </c>
      <c r="L40" s="1897">
        <v>0.24413793103448275</v>
      </c>
      <c r="M40" s="1897">
        <v>0.18620689655172415</v>
      </c>
      <c r="N40" s="1897">
        <v>0.18827586206896552</v>
      </c>
      <c r="O40" s="1897">
        <v>0.22</v>
      </c>
      <c r="P40" s="1897">
        <v>0.17862068965517242</v>
      </c>
      <c r="Q40" s="1897">
        <v>0.18275862068965518</v>
      </c>
      <c r="R40" s="1897">
        <v>0.18551724137931033</v>
      </c>
      <c r="S40" s="1898">
        <f t="shared" si="0"/>
        <v>0.22873563218390802</v>
      </c>
    </row>
    <row r="41" spans="1:19">
      <c r="A41" s="1894">
        <f t="shared" si="1"/>
        <v>34</v>
      </c>
      <c r="B41" s="1895" t="s">
        <v>2939</v>
      </c>
      <c r="C41" s="1894" t="s">
        <v>524</v>
      </c>
      <c r="D41" s="1895" t="s">
        <v>629</v>
      </c>
      <c r="E41" s="1894" t="s">
        <v>259</v>
      </c>
      <c r="F41" s="1896">
        <v>116.67</v>
      </c>
      <c r="G41" s="1897">
        <v>1.1931087683209052</v>
      </c>
      <c r="H41" s="1897">
        <v>2.0193708751178536</v>
      </c>
      <c r="I41" s="1897">
        <v>2.3327333504757011</v>
      </c>
      <c r="J41" s="1897">
        <v>1.870575126424959</v>
      </c>
      <c r="K41" s="1897">
        <v>1.9439444587297503</v>
      </c>
      <c r="L41" s="1897">
        <v>1.9281734807576927</v>
      </c>
      <c r="M41" s="1897">
        <v>1.47904345590126</v>
      </c>
      <c r="N41" s="1897">
        <v>1.1108254049884287</v>
      </c>
      <c r="O41" s="1897">
        <v>1.1985943258764036</v>
      </c>
      <c r="P41" s="1897">
        <v>1.167738064626725</v>
      </c>
      <c r="Q41" s="1897">
        <v>1.217793777320648</v>
      </c>
      <c r="R41" s="1897">
        <v>1.2740207422645067</v>
      </c>
      <c r="S41" s="1898">
        <f t="shared" si="0"/>
        <v>1.5613268192337362</v>
      </c>
    </row>
    <row r="42" spans="1:19">
      <c r="A42" s="1894">
        <f t="shared" si="1"/>
        <v>35</v>
      </c>
      <c r="B42" s="1895" t="s">
        <v>2940</v>
      </c>
      <c r="C42" s="1894" t="s">
        <v>524</v>
      </c>
      <c r="D42" s="1895" t="s">
        <v>541</v>
      </c>
      <c r="E42" s="1894" t="s">
        <v>259</v>
      </c>
      <c r="F42" s="1896">
        <v>117</v>
      </c>
      <c r="G42" s="1897">
        <v>0.95179487179487166</v>
      </c>
      <c r="H42" s="1897">
        <v>0.9374358974358975</v>
      </c>
      <c r="I42" s="1897">
        <v>0.94495726495726484</v>
      </c>
      <c r="J42" s="1897">
        <v>0.95863247863247858</v>
      </c>
      <c r="K42" s="1897">
        <v>1.0878632478632477</v>
      </c>
      <c r="L42" s="1897">
        <v>0.96</v>
      </c>
      <c r="M42" s="1897">
        <v>1.091965811965812</v>
      </c>
      <c r="N42" s="1897">
        <v>1.0666666666666667</v>
      </c>
      <c r="O42" s="1897">
        <v>1.0379487179487179</v>
      </c>
      <c r="P42" s="1897">
        <v>1.0051282051282051</v>
      </c>
      <c r="Q42" s="1897">
        <v>0.95452991452991454</v>
      </c>
      <c r="R42" s="1897">
        <v>0.94495726495726484</v>
      </c>
      <c r="S42" s="1898">
        <f t="shared" si="0"/>
        <v>0.99515669515669514</v>
      </c>
    </row>
    <row r="43" spans="1:19">
      <c r="A43" s="1894">
        <f t="shared" si="1"/>
        <v>36</v>
      </c>
      <c r="B43" s="1895" t="s">
        <v>2941</v>
      </c>
      <c r="C43" s="1894" t="s">
        <v>524</v>
      </c>
      <c r="D43" s="1895" t="s">
        <v>636</v>
      </c>
      <c r="E43" s="1894" t="s">
        <v>259</v>
      </c>
      <c r="F43" s="1896">
        <v>117.2</v>
      </c>
      <c r="G43" s="1897">
        <v>1.4279863481228667</v>
      </c>
      <c r="H43" s="1897">
        <v>1.5310580204778157</v>
      </c>
      <c r="I43" s="1897">
        <v>1.7310580204778157</v>
      </c>
      <c r="J43" s="1897">
        <v>1.31740614334471</v>
      </c>
      <c r="K43" s="1897">
        <v>1.3071672354948805</v>
      </c>
      <c r="L43" s="1897">
        <v>1.4668941979522185</v>
      </c>
      <c r="M43" s="1897">
        <v>1.4948805460750851</v>
      </c>
      <c r="N43" s="1897">
        <v>1.1010238907849828</v>
      </c>
      <c r="O43" s="1897">
        <v>1.0450511945392493</v>
      </c>
      <c r="P43" s="1897">
        <v>0.71945392491467575</v>
      </c>
      <c r="Q43" s="1897">
        <v>1.4047781569965871</v>
      </c>
      <c r="R43" s="1897">
        <v>1.4484641638225255</v>
      </c>
      <c r="S43" s="1898">
        <f t="shared" si="0"/>
        <v>1.3329351535836176</v>
      </c>
    </row>
    <row r="44" spans="1:19">
      <c r="A44" s="1894">
        <f t="shared" si="1"/>
        <v>37</v>
      </c>
      <c r="B44" s="1895" t="s">
        <v>2942</v>
      </c>
      <c r="C44" s="1894" t="s">
        <v>524</v>
      </c>
      <c r="D44" s="1895" t="s">
        <v>629</v>
      </c>
      <c r="E44" s="1894" t="s">
        <v>259</v>
      </c>
      <c r="F44" s="1896">
        <v>117.78</v>
      </c>
      <c r="G44" s="1897">
        <v>0.48267957208354562</v>
      </c>
      <c r="H44" s="1897">
        <v>0.54245202920699609</v>
      </c>
      <c r="I44" s="1897">
        <v>0.47317031754117844</v>
      </c>
      <c r="J44" s="1897">
        <v>0.48539650195279338</v>
      </c>
      <c r="K44" s="1897">
        <v>0.41679402275428767</v>
      </c>
      <c r="L44" s="1897">
        <v>0.43241636950246221</v>
      </c>
      <c r="M44" s="1897">
        <v>0.45958566819493973</v>
      </c>
      <c r="N44" s="1897">
        <v>0.50916963830871109</v>
      </c>
      <c r="O44" s="1897">
        <v>0.63482764476141951</v>
      </c>
      <c r="P44" s="1897">
        <v>0.70546782136186115</v>
      </c>
      <c r="Q44" s="1897">
        <v>0.59611139412463909</v>
      </c>
      <c r="R44" s="1897">
        <v>0.55128205128205132</v>
      </c>
      <c r="S44" s="1898">
        <f t="shared" si="0"/>
        <v>0.52411275258957379</v>
      </c>
    </row>
    <row r="45" spans="1:19">
      <c r="A45" s="1894">
        <f t="shared" si="1"/>
        <v>38</v>
      </c>
      <c r="B45" s="1895" t="s">
        <v>2943</v>
      </c>
      <c r="C45" s="1894" t="s">
        <v>524</v>
      </c>
      <c r="D45" s="1895" t="s">
        <v>541</v>
      </c>
      <c r="E45" s="1894" t="s">
        <v>259</v>
      </c>
      <c r="F45" s="1896">
        <v>118</v>
      </c>
      <c r="G45" s="1897">
        <v>0.60491525423728809</v>
      </c>
      <c r="H45" s="1897">
        <v>0.51322033898305086</v>
      </c>
      <c r="I45" s="1897">
        <v>0.55525423728813561</v>
      </c>
      <c r="J45" s="1897">
        <v>0.63593220338983047</v>
      </c>
      <c r="K45" s="1897">
        <v>0.66440677966101702</v>
      </c>
      <c r="L45" s="1897">
        <v>0.696949152542373</v>
      </c>
      <c r="M45" s="1897">
        <v>0.70644067796610166</v>
      </c>
      <c r="N45" s="1897">
        <v>0.67864406779661013</v>
      </c>
      <c r="O45" s="1897">
        <v>0.92474576271186437</v>
      </c>
      <c r="P45" s="1897">
        <v>0.84610169491525411</v>
      </c>
      <c r="Q45" s="1897">
        <v>0.783728813559322</v>
      </c>
      <c r="R45" s="1897">
        <v>0.60610169491525423</v>
      </c>
      <c r="S45" s="1898">
        <f t="shared" si="0"/>
        <v>0.6847033898305086</v>
      </c>
    </row>
    <row r="46" spans="1:19">
      <c r="A46" s="1894">
        <f t="shared" si="1"/>
        <v>39</v>
      </c>
      <c r="B46" s="1895" t="s">
        <v>2944</v>
      </c>
      <c r="C46" s="1894" t="s">
        <v>524</v>
      </c>
      <c r="D46" s="1895" t="s">
        <v>636</v>
      </c>
      <c r="E46" s="1894" t="s">
        <v>259</v>
      </c>
      <c r="F46" s="1896">
        <v>118</v>
      </c>
      <c r="G46" s="1897">
        <v>8.6355932203389829E-2</v>
      </c>
      <c r="H46" s="1897">
        <v>9.4491525423728823E-2</v>
      </c>
      <c r="I46" s="1897">
        <v>9.5847457627118646E-2</v>
      </c>
      <c r="J46" s="1897">
        <v>8.0932203389830509E-2</v>
      </c>
      <c r="K46" s="1897">
        <v>8.5000000000000006E-2</v>
      </c>
      <c r="L46" s="1897">
        <v>0.10805084745762712</v>
      </c>
      <c r="M46" s="1897">
        <v>8.9067796610169489E-2</v>
      </c>
      <c r="N46" s="1897">
        <v>8.7711864406779652E-2</v>
      </c>
      <c r="O46" s="1897">
        <v>8.3644067796610183E-2</v>
      </c>
      <c r="P46" s="1897">
        <v>8.3644067796610183E-2</v>
      </c>
      <c r="Q46" s="1897">
        <v>8.3644067796610183E-2</v>
      </c>
      <c r="R46" s="1897">
        <v>8.5000000000000006E-2</v>
      </c>
      <c r="S46" s="1898">
        <f t="shared" si="0"/>
        <v>8.8615819209039548E-2</v>
      </c>
    </row>
    <row r="47" spans="1:19">
      <c r="A47" s="1894">
        <f t="shared" si="1"/>
        <v>40</v>
      </c>
      <c r="B47" s="1895" t="s">
        <v>2922</v>
      </c>
      <c r="C47" s="1894" t="s">
        <v>524</v>
      </c>
      <c r="D47" s="1895" t="s">
        <v>636</v>
      </c>
      <c r="E47" s="1894" t="s">
        <v>259</v>
      </c>
      <c r="F47" s="1896">
        <v>118</v>
      </c>
      <c r="G47" s="1897">
        <v>0.53288135593220343</v>
      </c>
      <c r="H47" s="1897">
        <v>0.52813559322033898</v>
      </c>
      <c r="I47" s="1897">
        <v>0.53694915254237296</v>
      </c>
      <c r="J47" s="1897">
        <v>0.44813559322033902</v>
      </c>
      <c r="K47" s="1897">
        <v>0.4583050847457627</v>
      </c>
      <c r="L47" s="1897">
        <v>0.44881355932203387</v>
      </c>
      <c r="M47" s="1897">
        <v>0.41220338983050847</v>
      </c>
      <c r="N47" s="1897">
        <v>0.41830508474576272</v>
      </c>
      <c r="O47" s="1897">
        <v>0.4515254237288136</v>
      </c>
      <c r="P47" s="1897">
        <v>0.44949152542372883</v>
      </c>
      <c r="Q47" s="1897">
        <v>0.45220338983050845</v>
      </c>
      <c r="R47" s="1897">
        <v>0.46372881355932205</v>
      </c>
      <c r="S47" s="1898">
        <f t="shared" si="0"/>
        <v>0.4667231638418079</v>
      </c>
    </row>
    <row r="48" spans="1:19">
      <c r="A48" s="1894">
        <f t="shared" si="1"/>
        <v>41</v>
      </c>
      <c r="B48" s="1895" t="s">
        <v>2945</v>
      </c>
      <c r="C48" s="1894" t="s">
        <v>524</v>
      </c>
      <c r="D48" s="1895" t="s">
        <v>541</v>
      </c>
      <c r="E48" s="1894" t="s">
        <v>259</v>
      </c>
      <c r="F48" s="1896">
        <v>119</v>
      </c>
      <c r="G48" s="1897">
        <v>1.4823529411764707</v>
      </c>
      <c r="H48" s="1897">
        <v>1.3546218487394959</v>
      </c>
      <c r="I48" s="1897">
        <v>1.5092436974789916</v>
      </c>
      <c r="J48" s="1897">
        <v>1.5731092436974792</v>
      </c>
      <c r="K48" s="1897">
        <v>1.4978151260504202</v>
      </c>
      <c r="L48" s="1897">
        <v>1.4433613445378151</v>
      </c>
      <c r="M48" s="1897">
        <v>1.3230252100840336</v>
      </c>
      <c r="N48" s="1897">
        <v>0.14521008403361346</v>
      </c>
      <c r="O48" s="1897">
        <v>0.56537815126050417</v>
      </c>
      <c r="P48" s="1897">
        <v>1.4010084033613446</v>
      </c>
      <c r="Q48" s="1897">
        <v>1.3364705882352941</v>
      </c>
      <c r="R48" s="1897">
        <v>1.3989915966386557</v>
      </c>
      <c r="S48" s="1898">
        <f t="shared" si="0"/>
        <v>1.2525490196078433</v>
      </c>
    </row>
    <row r="49" spans="1:19">
      <c r="A49" s="1894">
        <f t="shared" si="1"/>
        <v>42</v>
      </c>
      <c r="B49" s="1895" t="s">
        <v>2946</v>
      </c>
      <c r="C49" s="1894" t="s">
        <v>2930</v>
      </c>
      <c r="D49" s="1895" t="s">
        <v>541</v>
      </c>
      <c r="E49" s="1894" t="s">
        <v>259</v>
      </c>
      <c r="F49" s="1896">
        <v>119</v>
      </c>
      <c r="G49" s="1897">
        <v>0</v>
      </c>
      <c r="H49" s="1897">
        <v>0</v>
      </c>
      <c r="I49" s="1897">
        <v>0</v>
      </c>
      <c r="J49" s="1897">
        <v>0</v>
      </c>
      <c r="K49" s="1897">
        <v>0</v>
      </c>
      <c r="L49" s="1897">
        <v>0</v>
      </c>
      <c r="M49" s="1897">
        <v>0</v>
      </c>
      <c r="N49" s="1897">
        <v>0</v>
      </c>
      <c r="O49" s="1897">
        <v>0</v>
      </c>
      <c r="P49" s="1897">
        <v>0</v>
      </c>
      <c r="Q49" s="1897">
        <v>0</v>
      </c>
      <c r="R49" s="1897">
        <v>0</v>
      </c>
      <c r="S49" s="1898">
        <f t="shared" si="0"/>
        <v>0</v>
      </c>
    </row>
    <row r="50" spans="1:19">
      <c r="A50" s="1894">
        <f t="shared" si="1"/>
        <v>43</v>
      </c>
      <c r="B50" s="1895" t="s">
        <v>2947</v>
      </c>
      <c r="C50" s="1894" t="s">
        <v>524</v>
      </c>
      <c r="D50" s="1895" t="s">
        <v>730</v>
      </c>
      <c r="E50" s="1894" t="s">
        <v>259</v>
      </c>
      <c r="F50" s="1896">
        <v>119</v>
      </c>
      <c r="G50" s="1897">
        <v>0.91697478991596626</v>
      </c>
      <c r="H50" s="1897">
        <v>0.93983193277310928</v>
      </c>
      <c r="I50" s="1897">
        <v>0.93579831932773094</v>
      </c>
      <c r="J50" s="1897">
        <v>0.56605042016806717</v>
      </c>
      <c r="K50" s="1897">
        <v>0.55663865546218483</v>
      </c>
      <c r="L50" s="1897">
        <v>0.47731092436974787</v>
      </c>
      <c r="M50" s="1897">
        <v>0.97613445378151253</v>
      </c>
      <c r="N50" s="1897">
        <v>0.9458823529411764</v>
      </c>
      <c r="O50" s="1897">
        <v>0.95529411764705885</v>
      </c>
      <c r="P50" s="1897">
        <v>0.93109243697479005</v>
      </c>
      <c r="Q50" s="1897">
        <v>0.96268907563025208</v>
      </c>
      <c r="R50" s="1897">
        <v>0.86991596638655455</v>
      </c>
      <c r="S50" s="1898">
        <f t="shared" si="0"/>
        <v>0.83613445378151263</v>
      </c>
    </row>
    <row r="51" spans="1:19">
      <c r="A51" s="1894">
        <f t="shared" si="1"/>
        <v>44</v>
      </c>
      <c r="B51" s="1895" t="s">
        <v>2947</v>
      </c>
      <c r="C51" s="1894" t="s">
        <v>524</v>
      </c>
      <c r="D51" s="1895" t="s">
        <v>730</v>
      </c>
      <c r="E51" s="1894" t="s">
        <v>259</v>
      </c>
      <c r="F51" s="1896">
        <v>119</v>
      </c>
      <c r="G51" s="1897">
        <v>0.68840336134453783</v>
      </c>
      <c r="H51" s="1897">
        <v>1.0090756302521009</v>
      </c>
      <c r="I51" s="1897">
        <v>1.0467226890756303</v>
      </c>
      <c r="J51" s="1897">
        <v>1.0682352941176472</v>
      </c>
      <c r="K51" s="1897">
        <v>0.91428571428571437</v>
      </c>
      <c r="L51" s="1897">
        <v>1.1200000000000001</v>
      </c>
      <c r="M51" s="1897">
        <v>1.0043697478991598</v>
      </c>
      <c r="N51" s="1897">
        <v>0.99966386554621844</v>
      </c>
      <c r="O51" s="1897">
        <v>0.71462184873949586</v>
      </c>
      <c r="P51" s="1897">
        <v>0.70857142857142852</v>
      </c>
      <c r="Q51" s="1897">
        <v>0.70789915966386563</v>
      </c>
      <c r="R51" s="1897">
        <v>0.73478991596638654</v>
      </c>
      <c r="S51" s="1898">
        <f t="shared" si="0"/>
        <v>0.8930532212885155</v>
      </c>
    </row>
    <row r="52" spans="1:19">
      <c r="A52" s="1894">
        <f t="shared" si="1"/>
        <v>45</v>
      </c>
      <c r="B52" s="1895" t="s">
        <v>2948</v>
      </c>
      <c r="C52" s="1894" t="s">
        <v>524</v>
      </c>
      <c r="D52" s="1895" t="s">
        <v>541</v>
      </c>
      <c r="E52" s="1894" t="s">
        <v>259</v>
      </c>
      <c r="F52" s="1896">
        <v>120</v>
      </c>
      <c r="G52" s="1897">
        <v>0</v>
      </c>
      <c r="H52" s="1897">
        <v>0</v>
      </c>
      <c r="I52" s="1897">
        <v>0</v>
      </c>
      <c r="J52" s="1897">
        <v>0</v>
      </c>
      <c r="K52" s="1897">
        <v>0</v>
      </c>
      <c r="L52" s="1897">
        <v>0</v>
      </c>
      <c r="M52" s="1897">
        <v>0</v>
      </c>
      <c r="N52" s="1897">
        <v>0</v>
      </c>
      <c r="O52" s="1897">
        <v>0</v>
      </c>
      <c r="P52" s="1897">
        <v>0</v>
      </c>
      <c r="Q52" s="1897">
        <v>0</v>
      </c>
      <c r="R52" s="1897">
        <v>0.37466666666666665</v>
      </c>
      <c r="S52" s="1898">
        <f t="shared" si="0"/>
        <v>3.1222222222222221E-2</v>
      </c>
    </row>
    <row r="53" spans="1:19">
      <c r="A53" s="1894">
        <f t="shared" si="1"/>
        <v>46</v>
      </c>
      <c r="B53" s="1895" t="s">
        <v>2949</v>
      </c>
      <c r="C53" s="1894" t="s">
        <v>524</v>
      </c>
      <c r="D53" s="1895" t="s">
        <v>541</v>
      </c>
      <c r="E53" s="1894" t="s">
        <v>259</v>
      </c>
      <c r="F53" s="1896">
        <v>120</v>
      </c>
      <c r="G53" s="1897">
        <v>0.68500000000000005</v>
      </c>
      <c r="H53" s="1897">
        <v>0.99199999999999988</v>
      </c>
      <c r="I53" s="1897">
        <v>1.1879999999999999</v>
      </c>
      <c r="J53" s="1897">
        <v>1.37</v>
      </c>
      <c r="K53" s="1897">
        <v>0.879</v>
      </c>
      <c r="L53" s="1897">
        <v>0.90100000000000002</v>
      </c>
      <c r="M53" s="1897">
        <v>0.78500000000000003</v>
      </c>
      <c r="N53" s="1897">
        <v>0.68900000000000006</v>
      </c>
      <c r="O53" s="1897">
        <v>0.66200000000000003</v>
      </c>
      <c r="P53" s="1897">
        <v>0.63400000000000001</v>
      </c>
      <c r="Q53" s="1897">
        <v>0.46399999999999991</v>
      </c>
      <c r="R53" s="1897">
        <v>0.4</v>
      </c>
      <c r="S53" s="1898">
        <f t="shared" si="0"/>
        <v>0.80408333333333359</v>
      </c>
    </row>
    <row r="54" spans="1:19">
      <c r="A54" s="1894">
        <f t="shared" si="1"/>
        <v>47</v>
      </c>
      <c r="B54" s="1895" t="s">
        <v>2950</v>
      </c>
      <c r="C54" s="1894" t="s">
        <v>524</v>
      </c>
      <c r="D54" s="1895" t="s">
        <v>541</v>
      </c>
      <c r="E54" s="1894" t="s">
        <v>259</v>
      </c>
      <c r="F54" s="1896">
        <v>120</v>
      </c>
      <c r="G54" s="1897">
        <v>0.11533333333333333</v>
      </c>
      <c r="H54" s="1897">
        <v>1.3166666666666667</v>
      </c>
      <c r="I54" s="1897">
        <v>1.3426666666666667</v>
      </c>
      <c r="J54" s="1897">
        <v>1.1960000000000002</v>
      </c>
      <c r="K54" s="1897">
        <v>1.1946666666666665</v>
      </c>
      <c r="L54" s="1897">
        <v>1.026</v>
      </c>
      <c r="M54" s="1897">
        <v>0.92933333333333334</v>
      </c>
      <c r="N54" s="1897">
        <v>0.90133333333333332</v>
      </c>
      <c r="O54" s="1897">
        <v>9.7333333333333327E-2</v>
      </c>
      <c r="P54" s="1897">
        <v>9.6666666666666679E-2</v>
      </c>
      <c r="Q54" s="1897">
        <v>9.6000000000000002E-2</v>
      </c>
      <c r="R54" s="1897">
        <v>0.10466666666666666</v>
      </c>
      <c r="S54" s="1898">
        <f t="shared" si="0"/>
        <v>0.70138888888888873</v>
      </c>
    </row>
    <row r="55" spans="1:19">
      <c r="A55" s="1894">
        <f t="shared" si="1"/>
        <v>48</v>
      </c>
      <c r="B55" s="1895" t="s">
        <v>2951</v>
      </c>
      <c r="C55" s="1894" t="s">
        <v>524</v>
      </c>
      <c r="D55" s="1895" t="s">
        <v>636</v>
      </c>
      <c r="E55" s="1894" t="s">
        <v>259</v>
      </c>
      <c r="F55" s="1896">
        <v>120</v>
      </c>
      <c r="G55" s="1897">
        <v>0.55700000000000005</v>
      </c>
      <c r="H55" s="1897">
        <v>0.52</v>
      </c>
      <c r="I55" s="1897">
        <v>0.37100000000000005</v>
      </c>
      <c r="J55" s="1897">
        <v>0.36700000000000005</v>
      </c>
      <c r="K55" s="1897">
        <v>0.32700000000000001</v>
      </c>
      <c r="L55" s="1897">
        <v>0.378</v>
      </c>
      <c r="M55" s="1897">
        <v>0.25</v>
      </c>
      <c r="N55" s="1897">
        <v>0.16600000000000001</v>
      </c>
      <c r="O55" s="1897">
        <v>0.151</v>
      </c>
      <c r="P55" s="1897">
        <v>0.157</v>
      </c>
      <c r="Q55" s="1897">
        <v>0.21000000000000002</v>
      </c>
      <c r="R55" s="1897">
        <v>0.21299999999999999</v>
      </c>
      <c r="S55" s="1898">
        <f t="shared" si="0"/>
        <v>0.30558333333333332</v>
      </c>
    </row>
    <row r="56" spans="1:19">
      <c r="A56" s="1894">
        <f t="shared" si="1"/>
        <v>49</v>
      </c>
      <c r="B56" s="1895" t="s">
        <v>2952</v>
      </c>
      <c r="C56" s="1894" t="s">
        <v>524</v>
      </c>
      <c r="D56" s="1895" t="s">
        <v>541</v>
      </c>
      <c r="E56" s="1894" t="s">
        <v>259</v>
      </c>
      <c r="F56" s="1896">
        <v>120</v>
      </c>
      <c r="G56" s="1897">
        <v>0.83266666666666667</v>
      </c>
      <c r="H56" s="1897">
        <v>0.83666666666666667</v>
      </c>
      <c r="I56" s="1897">
        <v>0.83466666666666678</v>
      </c>
      <c r="J56" s="1897">
        <v>0.61333333333333329</v>
      </c>
      <c r="K56" s="1897">
        <v>0.73066666666666669</v>
      </c>
      <c r="L56" s="1897">
        <v>0.76</v>
      </c>
      <c r="M56" s="1897">
        <v>0.72933333333333328</v>
      </c>
      <c r="N56" s="1897">
        <v>0.77733333333333332</v>
      </c>
      <c r="O56" s="1897">
        <v>0.85</v>
      </c>
      <c r="P56" s="1897">
        <v>0.79666666666666663</v>
      </c>
      <c r="Q56" s="1897">
        <v>0.78600000000000003</v>
      </c>
      <c r="R56" s="1897">
        <v>0.72799999999999998</v>
      </c>
      <c r="S56" s="1898">
        <f t="shared" si="0"/>
        <v>0.77294444444444432</v>
      </c>
    </row>
    <row r="57" spans="1:19">
      <c r="A57" s="1894">
        <f t="shared" si="1"/>
        <v>50</v>
      </c>
      <c r="B57" s="1895" t="s">
        <v>2953</v>
      </c>
      <c r="C57" s="1894" t="s">
        <v>524</v>
      </c>
      <c r="D57" s="1895" t="s">
        <v>541</v>
      </c>
      <c r="E57" s="1894" t="s">
        <v>259</v>
      </c>
      <c r="F57" s="1896">
        <v>120</v>
      </c>
      <c r="G57" s="1897">
        <v>0.86199999999999999</v>
      </c>
      <c r="H57" s="1897">
        <v>0.70599999999999996</v>
      </c>
      <c r="I57" s="1897">
        <v>1.036</v>
      </c>
      <c r="J57" s="1897">
        <v>1.0780000000000001</v>
      </c>
      <c r="K57" s="1897">
        <v>0.8859999999999999</v>
      </c>
      <c r="L57" s="1897">
        <v>0.436</v>
      </c>
      <c r="M57" s="1897">
        <v>0.8640000000000001</v>
      </c>
      <c r="N57" s="1897">
        <v>1.006</v>
      </c>
      <c r="O57" s="1897">
        <v>0.996</v>
      </c>
      <c r="P57" s="1897">
        <v>0.37</v>
      </c>
      <c r="Q57" s="1897">
        <v>0.17200000000000001</v>
      </c>
      <c r="R57" s="1897">
        <v>0.28800000000000003</v>
      </c>
      <c r="S57" s="1898">
        <f t="shared" si="0"/>
        <v>0.72500000000000009</v>
      </c>
    </row>
    <row r="58" spans="1:19">
      <c r="A58" s="1894">
        <f t="shared" si="1"/>
        <v>51</v>
      </c>
      <c r="B58" s="1895" t="s">
        <v>2954</v>
      </c>
      <c r="C58" s="1894" t="s">
        <v>524</v>
      </c>
      <c r="D58" s="1895" t="s">
        <v>636</v>
      </c>
      <c r="E58" s="1894" t="s">
        <v>259</v>
      </c>
      <c r="F58" s="1896">
        <v>120</v>
      </c>
      <c r="G58" s="1897">
        <v>0.21</v>
      </c>
      <c r="H58" s="1897">
        <v>0.20599999999999999</v>
      </c>
      <c r="I58" s="1897">
        <v>0.20466666666666669</v>
      </c>
      <c r="J58" s="1897">
        <v>0.33933333333333332</v>
      </c>
      <c r="K58" s="1897">
        <v>0.186</v>
      </c>
      <c r="L58" s="1897">
        <v>0.16266666666666665</v>
      </c>
      <c r="M58" s="1897">
        <v>0.12933333333333333</v>
      </c>
      <c r="N58" s="1897">
        <v>0.11866666666666667</v>
      </c>
      <c r="O58" s="1897">
        <v>0.11333333333333334</v>
      </c>
      <c r="P58" s="1897">
        <v>9.6666666666666679E-2</v>
      </c>
      <c r="Q58" s="1897">
        <v>0.13799999999999998</v>
      </c>
      <c r="R58" s="1897">
        <v>0.20066666666666666</v>
      </c>
      <c r="S58" s="1898">
        <f t="shared" si="0"/>
        <v>0.17544444444444443</v>
      </c>
    </row>
    <row r="59" spans="1:19">
      <c r="A59" s="1894">
        <f t="shared" si="1"/>
        <v>52</v>
      </c>
      <c r="B59" s="1895" t="s">
        <v>2955</v>
      </c>
      <c r="C59" s="1894" t="s">
        <v>524</v>
      </c>
      <c r="D59" s="1895" t="s">
        <v>541</v>
      </c>
      <c r="E59" s="1894" t="s">
        <v>259</v>
      </c>
      <c r="F59" s="1896">
        <v>120</v>
      </c>
      <c r="G59" s="1897">
        <v>0.99116666666666664</v>
      </c>
      <c r="H59" s="1897">
        <v>0.76666666666666672</v>
      </c>
      <c r="I59" s="1897">
        <v>0.70783333333333331</v>
      </c>
      <c r="J59" s="1897">
        <v>0.67283333333333328</v>
      </c>
      <c r="K59" s="1897">
        <v>0.74433333333333329</v>
      </c>
      <c r="L59" s="1897">
        <v>0</v>
      </c>
      <c r="M59" s="1897">
        <v>0</v>
      </c>
      <c r="N59" s="1897">
        <v>0</v>
      </c>
      <c r="O59" s="1897">
        <v>0</v>
      </c>
      <c r="P59" s="1897">
        <v>0</v>
      </c>
      <c r="Q59" s="1897">
        <v>0</v>
      </c>
      <c r="R59" s="1897">
        <v>0</v>
      </c>
      <c r="S59" s="1898">
        <f t="shared" si="0"/>
        <v>0.32356944444444441</v>
      </c>
    </row>
    <row r="60" spans="1:19">
      <c r="A60" s="1894">
        <f t="shared" si="1"/>
        <v>53</v>
      </c>
      <c r="B60" s="1895" t="s">
        <v>2956</v>
      </c>
      <c r="C60" s="1894" t="s">
        <v>524</v>
      </c>
      <c r="D60" s="1895" t="s">
        <v>541</v>
      </c>
      <c r="E60" s="1894" t="s">
        <v>259</v>
      </c>
      <c r="F60" s="1896">
        <v>121.4</v>
      </c>
      <c r="G60" s="1897">
        <v>0.6556836902800659</v>
      </c>
      <c r="H60" s="1897">
        <v>0.61943986820428332</v>
      </c>
      <c r="I60" s="1897">
        <v>0.66227347611202636</v>
      </c>
      <c r="J60" s="1897">
        <v>0.68863261943986809</v>
      </c>
      <c r="K60" s="1897">
        <v>0.66556836902800665</v>
      </c>
      <c r="L60" s="1897">
        <v>0.66886326194398682</v>
      </c>
      <c r="M60" s="1897">
        <v>0.43163097199341022</v>
      </c>
      <c r="N60" s="1897">
        <v>0.49752883031301481</v>
      </c>
      <c r="O60" s="1897">
        <v>0.61285008237232297</v>
      </c>
      <c r="P60" s="1897">
        <v>0.55683690280065901</v>
      </c>
      <c r="Q60" s="1897">
        <v>0.53047775947281717</v>
      </c>
      <c r="R60" s="1897">
        <v>0.51400329489291596</v>
      </c>
      <c r="S60" s="1898">
        <f t="shared" si="0"/>
        <v>0.59198242723778149</v>
      </c>
    </row>
    <row r="61" spans="1:19">
      <c r="A61" s="1894">
        <f t="shared" si="1"/>
        <v>54</v>
      </c>
      <c r="B61" s="1895" t="s">
        <v>2957</v>
      </c>
      <c r="C61" s="1894" t="s">
        <v>524</v>
      </c>
      <c r="D61" s="1895" t="s">
        <v>636</v>
      </c>
      <c r="E61" s="1894" t="s">
        <v>259</v>
      </c>
      <c r="F61" s="1896">
        <v>122</v>
      </c>
      <c r="G61" s="1897">
        <v>0</v>
      </c>
      <c r="H61" s="1897">
        <v>0.78557377049180332</v>
      </c>
      <c r="I61" s="1897">
        <v>0.90622950819672121</v>
      </c>
      <c r="J61" s="1897">
        <v>0.68327868852459017</v>
      </c>
      <c r="K61" s="1897">
        <v>0.82688524590163925</v>
      </c>
      <c r="L61" s="1897">
        <v>1.0373770491803278</v>
      </c>
      <c r="M61" s="1897">
        <v>0.94819672131147548</v>
      </c>
      <c r="N61" s="1897">
        <v>0.96524590163934421</v>
      </c>
      <c r="O61" s="1897">
        <v>0.81245901639344253</v>
      </c>
      <c r="P61" s="1897">
        <v>0.83606557377049184</v>
      </c>
      <c r="Q61" s="1897">
        <v>0.87213114754098364</v>
      </c>
      <c r="R61" s="1897">
        <v>0.94491803278688524</v>
      </c>
      <c r="S61" s="1898">
        <f t="shared" si="0"/>
        <v>0.80153005464480875</v>
      </c>
    </row>
    <row r="62" spans="1:19">
      <c r="A62" s="1894">
        <f t="shared" si="1"/>
        <v>55</v>
      </c>
      <c r="B62" s="1895" t="s">
        <v>2958</v>
      </c>
      <c r="C62" s="1894" t="s">
        <v>524</v>
      </c>
      <c r="D62" s="1895" t="s">
        <v>541</v>
      </c>
      <c r="E62" s="1894" t="s">
        <v>259</v>
      </c>
      <c r="F62" s="1896">
        <v>122</v>
      </c>
      <c r="G62" s="1897">
        <v>0.39639344262295084</v>
      </c>
      <c r="H62" s="1897">
        <v>0.41803278688524598</v>
      </c>
      <c r="I62" s="1897">
        <v>0.36491803278688528</v>
      </c>
      <c r="J62" s="1897">
        <v>0.41311475409836068</v>
      </c>
      <c r="K62" s="1897">
        <v>0.29901639344262293</v>
      </c>
      <c r="L62" s="1897">
        <v>0.41213114754098362</v>
      </c>
      <c r="M62" s="1897">
        <v>4.5245901639344256E-2</v>
      </c>
      <c r="N62" s="1897">
        <v>0.41803278688524598</v>
      </c>
      <c r="O62" s="1897">
        <v>0.43770491803278688</v>
      </c>
      <c r="P62" s="1897">
        <v>0.40918032786885239</v>
      </c>
      <c r="Q62" s="1897">
        <v>0.40229508196721309</v>
      </c>
      <c r="R62" s="1897">
        <v>0.38163934426229512</v>
      </c>
      <c r="S62" s="1898">
        <f t="shared" si="0"/>
        <v>0.36647540983606558</v>
      </c>
    </row>
    <row r="63" spans="1:19">
      <c r="A63" s="1894">
        <f t="shared" si="1"/>
        <v>56</v>
      </c>
      <c r="B63" s="1895" t="s">
        <v>2959</v>
      </c>
      <c r="C63" s="1894" t="s">
        <v>524</v>
      </c>
      <c r="D63" s="1895" t="s">
        <v>636</v>
      </c>
      <c r="E63" s="1894" t="s">
        <v>259</v>
      </c>
      <c r="F63" s="1896">
        <v>122</v>
      </c>
      <c r="G63" s="1897">
        <v>0.15737704918032785</v>
      </c>
      <c r="H63" s="1897">
        <v>0.19672131147540983</v>
      </c>
      <c r="I63" s="1897">
        <v>0.18852459016393441</v>
      </c>
      <c r="J63" s="1897">
        <v>0.16721311475409834</v>
      </c>
      <c r="K63" s="1897">
        <v>0.17901639344262296</v>
      </c>
      <c r="L63" s="1897">
        <v>0.22622950819672133</v>
      </c>
      <c r="M63" s="1897">
        <v>0.23934426229508196</v>
      </c>
      <c r="N63" s="1897">
        <v>0.2321311475409836</v>
      </c>
      <c r="O63" s="1897">
        <v>0.23344262295081969</v>
      </c>
      <c r="P63" s="1897">
        <v>0.23737704918032787</v>
      </c>
      <c r="Q63" s="1897">
        <v>0.23344262295081969</v>
      </c>
      <c r="R63" s="1897">
        <v>0.22098360655737706</v>
      </c>
      <c r="S63" s="1898">
        <f t="shared" si="0"/>
        <v>0.20931693989071035</v>
      </c>
    </row>
    <row r="64" spans="1:19">
      <c r="A64" s="1894">
        <f t="shared" si="1"/>
        <v>57</v>
      </c>
      <c r="B64" s="1895" t="s">
        <v>2960</v>
      </c>
      <c r="C64" s="1894" t="s">
        <v>524</v>
      </c>
      <c r="D64" s="1895" t="s">
        <v>636</v>
      </c>
      <c r="E64" s="1894" t="s">
        <v>259</v>
      </c>
      <c r="F64" s="1896">
        <v>122</v>
      </c>
      <c r="G64" s="1897">
        <v>0.99516393442622952</v>
      </c>
      <c r="H64" s="1897">
        <v>0.92065573770491804</v>
      </c>
      <c r="I64" s="1897">
        <v>0.94278688524590171</v>
      </c>
      <c r="J64" s="1897">
        <v>1.0920491803278687</v>
      </c>
      <c r="K64" s="1897">
        <v>1.1227868852459015</v>
      </c>
      <c r="L64" s="1897">
        <v>1.2870491803278687</v>
      </c>
      <c r="M64" s="1897">
        <v>0.95139344262295089</v>
      </c>
      <c r="N64" s="1897">
        <v>0.65459016393442626</v>
      </c>
      <c r="O64" s="1897">
        <v>0.76819672131147543</v>
      </c>
      <c r="P64" s="1897">
        <v>0.5055737704918033</v>
      </c>
      <c r="Q64" s="1897">
        <v>0.74655737704918035</v>
      </c>
      <c r="R64" s="1897">
        <v>0.8675409836065574</v>
      </c>
      <c r="S64" s="1898">
        <f t="shared" si="0"/>
        <v>0.90452868852459034</v>
      </c>
    </row>
    <row r="65" spans="1:19">
      <c r="A65" s="1894">
        <f t="shared" si="1"/>
        <v>58</v>
      </c>
      <c r="B65" s="1895" t="s">
        <v>2961</v>
      </c>
      <c r="C65" s="1894" t="s">
        <v>524</v>
      </c>
      <c r="D65" s="1895" t="s">
        <v>737</v>
      </c>
      <c r="E65" s="1894" t="s">
        <v>259</v>
      </c>
      <c r="F65" s="1896">
        <v>122</v>
      </c>
      <c r="G65" s="1897">
        <v>0.62295081967213117</v>
      </c>
      <c r="H65" s="1897">
        <v>0.74819672131147541</v>
      </c>
      <c r="I65" s="1897">
        <v>0.70032786885245901</v>
      </c>
      <c r="J65" s="1897">
        <v>0.63540983606557377</v>
      </c>
      <c r="K65" s="1897">
        <v>0.59606557377049174</v>
      </c>
      <c r="L65" s="1897">
        <v>0.66950819672131145</v>
      </c>
      <c r="M65" s="1897">
        <v>0.61967213114754094</v>
      </c>
      <c r="N65" s="1897">
        <v>0.28590163934426233</v>
      </c>
      <c r="O65" s="1897">
        <v>0.14885245901639343</v>
      </c>
      <c r="P65" s="1897">
        <v>0.17049180327868854</v>
      </c>
      <c r="Q65" s="1897">
        <v>0.29901639344262299</v>
      </c>
      <c r="R65" s="1897">
        <v>0.4334426229508197</v>
      </c>
      <c r="S65" s="1898">
        <f t="shared" si="0"/>
        <v>0.49415300546448088</v>
      </c>
    </row>
    <row r="66" spans="1:19">
      <c r="A66" s="1894">
        <f t="shared" si="1"/>
        <v>59</v>
      </c>
      <c r="B66" s="1895" t="s">
        <v>2962</v>
      </c>
      <c r="C66" s="1894" t="s">
        <v>524</v>
      </c>
      <c r="D66" s="1895" t="s">
        <v>541</v>
      </c>
      <c r="E66" s="1894" t="s">
        <v>259</v>
      </c>
      <c r="F66" s="1896">
        <v>122</v>
      </c>
      <c r="G66" s="1897">
        <v>1.6393442622950821E-2</v>
      </c>
      <c r="H66" s="1897">
        <v>0.31</v>
      </c>
      <c r="I66" s="1897">
        <v>2.5081967213114755E-2</v>
      </c>
      <c r="J66" s="1897">
        <v>2.1475409836065575E-2</v>
      </c>
      <c r="K66" s="1897">
        <v>2.5081967213114755E-2</v>
      </c>
      <c r="L66" s="1897">
        <v>2.1475409836065575E-2</v>
      </c>
      <c r="M66" s="1897">
        <v>2.2622950819672128E-2</v>
      </c>
      <c r="N66" s="1897">
        <v>2.9180327868852461E-2</v>
      </c>
      <c r="O66" s="1897">
        <v>3.7377049180327873E-2</v>
      </c>
      <c r="P66" s="1897">
        <v>0.26721311475409837</v>
      </c>
      <c r="Q66" s="1897">
        <v>5.7868852459016393E-2</v>
      </c>
      <c r="R66" s="1897">
        <v>0.36377049180327864</v>
      </c>
      <c r="S66" s="1898">
        <f t="shared" si="0"/>
        <v>9.9795081967213109E-2</v>
      </c>
    </row>
    <row r="67" spans="1:19">
      <c r="A67" s="1894">
        <f t="shared" si="1"/>
        <v>60</v>
      </c>
      <c r="B67" s="1895" t="s">
        <v>2963</v>
      </c>
      <c r="C67" s="1894" t="s">
        <v>524</v>
      </c>
      <c r="D67" s="1895" t="s">
        <v>541</v>
      </c>
      <c r="E67" s="1894" t="s">
        <v>259</v>
      </c>
      <c r="F67" s="1896">
        <v>122</v>
      </c>
      <c r="G67" s="1897">
        <v>0.46819672131147544</v>
      </c>
      <c r="H67" s="1897">
        <v>0.47147540983606562</v>
      </c>
      <c r="I67" s="1897">
        <v>0.53180327868852462</v>
      </c>
      <c r="J67" s="1897">
        <v>0.46885245901639339</v>
      </c>
      <c r="K67" s="1897">
        <v>0.5790163934426229</v>
      </c>
      <c r="L67" s="1897">
        <v>0.57704918032786878</v>
      </c>
      <c r="M67" s="1897">
        <v>0.53639344262295086</v>
      </c>
      <c r="N67" s="1897">
        <v>0.44590163934426236</v>
      </c>
      <c r="O67" s="1897">
        <v>0.36459016393442623</v>
      </c>
      <c r="P67" s="1897">
        <v>0.33180327868852455</v>
      </c>
      <c r="Q67" s="1897">
        <v>0.47868852459016392</v>
      </c>
      <c r="R67" s="1897">
        <v>0.4937704918032787</v>
      </c>
      <c r="S67" s="1898">
        <f t="shared" si="0"/>
        <v>0.47896174863387975</v>
      </c>
    </row>
    <row r="68" spans="1:19">
      <c r="A68" s="1894">
        <f t="shared" si="1"/>
        <v>61</v>
      </c>
      <c r="B68" s="1895" t="s">
        <v>2964</v>
      </c>
      <c r="C68" s="1894" t="s">
        <v>524</v>
      </c>
      <c r="D68" s="1895" t="s">
        <v>737</v>
      </c>
      <c r="E68" s="1894" t="s">
        <v>259</v>
      </c>
      <c r="F68" s="1896">
        <v>122</v>
      </c>
      <c r="G68" s="1897">
        <v>0.23901639344262296</v>
      </c>
      <c r="H68" s="1897">
        <v>0.14754098360655737</v>
      </c>
      <c r="I68" s="1897">
        <v>0.23901639344262296</v>
      </c>
      <c r="J68" s="1897">
        <v>0.25377049180327871</v>
      </c>
      <c r="K68" s="1897">
        <v>0.24295081967213114</v>
      </c>
      <c r="L68" s="1897">
        <v>0.24000000000000002</v>
      </c>
      <c r="M68" s="1897">
        <v>0.19672131147540983</v>
      </c>
      <c r="N68" s="1897">
        <v>0.17606557377049181</v>
      </c>
      <c r="O68" s="1897">
        <v>0.14262295081967216</v>
      </c>
      <c r="P68" s="1897">
        <v>0.14557377049180328</v>
      </c>
      <c r="Q68" s="1897">
        <v>0.13672131147540983</v>
      </c>
      <c r="R68" s="1897">
        <v>0.15147540983606558</v>
      </c>
      <c r="S68" s="1898">
        <f t="shared" si="0"/>
        <v>0.19262295081967215</v>
      </c>
    </row>
    <row r="69" spans="1:19">
      <c r="A69" s="1894">
        <f t="shared" si="1"/>
        <v>62</v>
      </c>
      <c r="B69" s="1895" t="s">
        <v>2965</v>
      </c>
      <c r="C69" s="1894" t="s">
        <v>524</v>
      </c>
      <c r="D69" s="1895" t="s">
        <v>2966</v>
      </c>
      <c r="E69" s="1894" t="s">
        <v>259</v>
      </c>
      <c r="F69" s="1896">
        <v>122.5</v>
      </c>
      <c r="G69" s="1897">
        <v>1.1128163265306124</v>
      </c>
      <c r="H69" s="1897">
        <v>1.1520000000000001</v>
      </c>
      <c r="I69" s="1897">
        <v>1.0422857142857143</v>
      </c>
      <c r="J69" s="1897">
        <v>0.91885714285714271</v>
      </c>
      <c r="K69" s="1897">
        <v>0.89730612244897956</v>
      </c>
      <c r="L69" s="1897">
        <v>0.95412244897959175</v>
      </c>
      <c r="M69" s="1897">
        <v>0.90514285714285714</v>
      </c>
      <c r="N69" s="1897">
        <v>0.3369795918367347</v>
      </c>
      <c r="O69" s="1897">
        <v>0.33110204081632649</v>
      </c>
      <c r="P69" s="1897">
        <v>0.27624489795918367</v>
      </c>
      <c r="Q69" s="1897">
        <v>0.27232653061224488</v>
      </c>
      <c r="R69" s="1897">
        <v>0.30367346938775513</v>
      </c>
      <c r="S69" s="1898">
        <f t="shared" si="0"/>
        <v>0.70857142857142863</v>
      </c>
    </row>
    <row r="70" spans="1:19">
      <c r="A70" s="1894">
        <f t="shared" si="1"/>
        <v>63</v>
      </c>
      <c r="B70" s="1895" t="s">
        <v>2967</v>
      </c>
      <c r="C70" s="1894" t="s">
        <v>524</v>
      </c>
      <c r="D70" s="1895" t="s">
        <v>541</v>
      </c>
      <c r="E70" s="1894" t="s">
        <v>259</v>
      </c>
      <c r="F70" s="1896">
        <v>123</v>
      </c>
      <c r="G70" s="1897">
        <v>0</v>
      </c>
      <c r="H70" s="1897">
        <v>0.72260162601626021</v>
      </c>
      <c r="I70" s="1897">
        <v>0.73821138211382109</v>
      </c>
      <c r="J70" s="1897">
        <v>0.76422764227642281</v>
      </c>
      <c r="K70" s="1897">
        <v>0.95674796747967483</v>
      </c>
      <c r="L70" s="1897">
        <v>1.0107317073170732</v>
      </c>
      <c r="M70" s="1897">
        <v>0.82536585365853665</v>
      </c>
      <c r="N70" s="1897">
        <v>0.68097560975609761</v>
      </c>
      <c r="O70" s="1897">
        <v>0.89821138211382112</v>
      </c>
      <c r="P70" s="1897">
        <v>0.80650406504065042</v>
      </c>
      <c r="Q70" s="1897">
        <v>0.72780487804878047</v>
      </c>
      <c r="R70" s="1897">
        <v>0.5476422764227642</v>
      </c>
      <c r="S70" s="1898">
        <f t="shared" si="0"/>
        <v>0.72325203252032511</v>
      </c>
    </row>
    <row r="71" spans="1:19">
      <c r="A71" s="1894">
        <f t="shared" si="1"/>
        <v>64</v>
      </c>
      <c r="B71" s="1895" t="s">
        <v>2968</v>
      </c>
      <c r="C71" s="1894" t="s">
        <v>524</v>
      </c>
      <c r="D71" s="1895" t="s">
        <v>636</v>
      </c>
      <c r="E71" s="1894" t="s">
        <v>259</v>
      </c>
      <c r="F71" s="1896">
        <v>123</v>
      </c>
      <c r="G71" s="1897">
        <v>0.672520325203252</v>
      </c>
      <c r="H71" s="1897">
        <v>0.47804878048780486</v>
      </c>
      <c r="I71" s="1897">
        <v>0.25821138211382111</v>
      </c>
      <c r="J71" s="1897">
        <v>0.58536585365853655</v>
      </c>
      <c r="K71" s="1897">
        <v>0.77528455284552844</v>
      </c>
      <c r="L71" s="1897">
        <v>0.86634146341463425</v>
      </c>
      <c r="M71" s="1897">
        <v>0.30894308943089432</v>
      </c>
      <c r="N71" s="1897">
        <v>0.11186991869918698</v>
      </c>
      <c r="O71" s="1897">
        <v>0.10536585365853658</v>
      </c>
      <c r="P71" s="1897">
        <v>4.878048780487805E-2</v>
      </c>
      <c r="Q71" s="1897">
        <v>0.3278048780487805</v>
      </c>
      <c r="R71" s="1897">
        <v>0.78634146341463418</v>
      </c>
      <c r="S71" s="1898">
        <f t="shared" si="0"/>
        <v>0.44373983739837403</v>
      </c>
    </row>
    <row r="72" spans="1:19">
      <c r="A72" s="1894">
        <f t="shared" si="1"/>
        <v>65</v>
      </c>
      <c r="B72" s="1895" t="s">
        <v>2969</v>
      </c>
      <c r="C72" s="1894" t="s">
        <v>524</v>
      </c>
      <c r="D72" s="1895" t="s">
        <v>541</v>
      </c>
      <c r="E72" s="1894" t="s">
        <v>259</v>
      </c>
      <c r="F72" s="1896">
        <v>123</v>
      </c>
      <c r="G72" s="1897">
        <v>9.0406504065040638E-2</v>
      </c>
      <c r="H72" s="1897">
        <v>7.6747967479674786E-2</v>
      </c>
      <c r="I72" s="1897">
        <v>1.916747967479675</v>
      </c>
      <c r="J72" s="1897">
        <v>0.22569105691056912</v>
      </c>
      <c r="K72" s="1897">
        <v>6.1788617886178857E-2</v>
      </c>
      <c r="L72" s="1897">
        <v>4.3577235772357725E-2</v>
      </c>
      <c r="M72" s="1897">
        <v>4.3577235772357725E-2</v>
      </c>
      <c r="N72" s="1897">
        <v>2.0266666666666668</v>
      </c>
      <c r="O72" s="1897">
        <v>8.5203252032520327E-2</v>
      </c>
      <c r="P72" s="1897">
        <v>2.4013008130081297</v>
      </c>
      <c r="Q72" s="1897">
        <v>2.0689430894308942</v>
      </c>
      <c r="R72" s="1897">
        <v>1.856260162601626</v>
      </c>
      <c r="S72" s="1898">
        <f t="shared" ref="S72:S135" si="2">+SUM(G72:R72)/12</f>
        <v>0.90807588075880741</v>
      </c>
    </row>
    <row r="73" spans="1:19">
      <c r="A73" s="1894">
        <f t="shared" si="1"/>
        <v>66</v>
      </c>
      <c r="B73" s="1895" t="s">
        <v>2970</v>
      </c>
      <c r="C73" s="1894" t="s">
        <v>524</v>
      </c>
      <c r="D73" s="1895" t="s">
        <v>541</v>
      </c>
      <c r="E73" s="1894" t="s">
        <v>259</v>
      </c>
      <c r="F73" s="1896">
        <v>123</v>
      </c>
      <c r="G73" s="1897">
        <v>0.92617886178861786</v>
      </c>
      <c r="H73" s="1897">
        <v>0.97691056910569107</v>
      </c>
      <c r="I73" s="1897">
        <v>0.86439024390243901</v>
      </c>
      <c r="J73" s="1897">
        <v>1.007479674796748</v>
      </c>
      <c r="K73" s="1897">
        <v>1.1043902439024391</v>
      </c>
      <c r="L73" s="1897">
        <v>1.2604878048780488</v>
      </c>
      <c r="M73" s="1897">
        <v>1.1447154471544714</v>
      </c>
      <c r="N73" s="1897">
        <v>0.96065040650406497</v>
      </c>
      <c r="O73" s="1897">
        <v>0.95219512195121958</v>
      </c>
      <c r="P73" s="1897">
        <v>0.98211382113821133</v>
      </c>
      <c r="Q73" s="1897">
        <v>1.0120325203252032</v>
      </c>
      <c r="R73" s="1897">
        <v>1.0321951219512195</v>
      </c>
      <c r="S73" s="1898">
        <f t="shared" si="2"/>
        <v>1.0186449864498648</v>
      </c>
    </row>
    <row r="74" spans="1:19">
      <c r="A74" s="1894">
        <f t="shared" ref="A74:A137" si="3">+A73+1</f>
        <v>67</v>
      </c>
      <c r="B74" s="1895" t="s">
        <v>2971</v>
      </c>
      <c r="C74" s="1894" t="s">
        <v>524</v>
      </c>
      <c r="D74" s="1895" t="s">
        <v>636</v>
      </c>
      <c r="E74" s="1894" t="s">
        <v>259</v>
      </c>
      <c r="F74" s="1896">
        <v>123</v>
      </c>
      <c r="G74" s="1897">
        <v>0.27121951219512197</v>
      </c>
      <c r="H74" s="1897">
        <v>0.2653658536585366</v>
      </c>
      <c r="I74" s="1897">
        <v>0.27317073170731709</v>
      </c>
      <c r="J74" s="1897">
        <v>0.19317073170731708</v>
      </c>
      <c r="K74" s="1897">
        <v>0.17365853658536584</v>
      </c>
      <c r="L74" s="1897">
        <v>0.16975609756097559</v>
      </c>
      <c r="M74" s="1897">
        <v>0.14829268292682926</v>
      </c>
      <c r="N74" s="1897">
        <v>0.12292682926829269</v>
      </c>
      <c r="O74" s="1897">
        <v>0.1346341463414634</v>
      </c>
      <c r="P74" s="1897">
        <v>0.1678048780487805</v>
      </c>
      <c r="Q74" s="1897">
        <v>0.12097560975609756</v>
      </c>
      <c r="R74" s="1897">
        <v>0.12487804878048782</v>
      </c>
      <c r="S74" s="1898">
        <f t="shared" si="2"/>
        <v>0.18048780487804875</v>
      </c>
    </row>
    <row r="75" spans="1:19">
      <c r="A75" s="1894">
        <f t="shared" si="3"/>
        <v>68</v>
      </c>
      <c r="B75" s="1895" t="s">
        <v>2972</v>
      </c>
      <c r="C75" s="1894" t="s">
        <v>524</v>
      </c>
      <c r="D75" s="1895" t="s">
        <v>629</v>
      </c>
      <c r="E75" s="1894" t="s">
        <v>259</v>
      </c>
      <c r="F75" s="1896">
        <v>123</v>
      </c>
      <c r="G75" s="1897">
        <v>0.36634146341463414</v>
      </c>
      <c r="H75" s="1897">
        <v>0.46959349593495936</v>
      </c>
      <c r="I75" s="1897">
        <v>0.47479674796747967</v>
      </c>
      <c r="J75" s="1897">
        <v>0.34211382113821137</v>
      </c>
      <c r="K75" s="1897">
        <v>0.41430894308943095</v>
      </c>
      <c r="L75" s="1897">
        <v>0.27577235772357728</v>
      </c>
      <c r="M75" s="1897">
        <v>0.4195121951219512</v>
      </c>
      <c r="N75" s="1897">
        <v>0.29723577235772353</v>
      </c>
      <c r="O75" s="1897">
        <v>0.31284552845528452</v>
      </c>
      <c r="P75" s="1897">
        <v>0.43577235772357725</v>
      </c>
      <c r="Q75" s="1897">
        <v>0.29918699186991865</v>
      </c>
      <c r="R75" s="1897">
        <v>0.39089430894308941</v>
      </c>
      <c r="S75" s="1898">
        <f t="shared" si="2"/>
        <v>0.37486449864498644</v>
      </c>
    </row>
    <row r="76" spans="1:19">
      <c r="A76" s="1894">
        <f t="shared" si="3"/>
        <v>69</v>
      </c>
      <c r="B76" s="1895" t="s">
        <v>2973</v>
      </c>
      <c r="C76" s="1894" t="s">
        <v>524</v>
      </c>
      <c r="D76" s="1895" t="s">
        <v>541</v>
      </c>
      <c r="E76" s="1894" t="s">
        <v>259</v>
      </c>
      <c r="F76" s="1896">
        <v>123.6</v>
      </c>
      <c r="G76" s="1897">
        <v>0.89967637540453094</v>
      </c>
      <c r="H76" s="1897">
        <v>1.0194174757281553</v>
      </c>
      <c r="I76" s="1897">
        <v>0.78446601941747585</v>
      </c>
      <c r="J76" s="1897">
        <v>0.89579288025889969</v>
      </c>
      <c r="K76" s="1897">
        <v>2.3948220064724919E-2</v>
      </c>
      <c r="L76" s="1897">
        <v>0.92686084142394831</v>
      </c>
      <c r="M76" s="1897">
        <v>1.0084142394822007</v>
      </c>
      <c r="N76" s="1897">
        <v>1.0841423948220066</v>
      </c>
      <c r="O76" s="1897">
        <v>0.93527508090614886</v>
      </c>
      <c r="P76" s="1897">
        <v>0.910032362459547</v>
      </c>
      <c r="Q76" s="1897">
        <v>0.8653721682847898</v>
      </c>
      <c r="R76" s="1897">
        <v>0.83365695792880257</v>
      </c>
      <c r="S76" s="1898">
        <f t="shared" si="2"/>
        <v>0.84892125134843577</v>
      </c>
    </row>
    <row r="77" spans="1:19">
      <c r="A77" s="1894">
        <f t="shared" si="3"/>
        <v>70</v>
      </c>
      <c r="B77" s="1895" t="s">
        <v>2974</v>
      </c>
      <c r="C77" s="1894" t="s">
        <v>524</v>
      </c>
      <c r="D77" s="1895" t="s">
        <v>541</v>
      </c>
      <c r="E77" s="1894" t="s">
        <v>259</v>
      </c>
      <c r="F77" s="1896">
        <v>125</v>
      </c>
      <c r="G77" s="1897">
        <v>1.0144</v>
      </c>
      <c r="H77" s="1897">
        <v>0.98239999999999994</v>
      </c>
      <c r="I77" s="1897">
        <v>1.0144</v>
      </c>
      <c r="J77" s="1897">
        <v>0.82240000000000002</v>
      </c>
      <c r="K77" s="1897">
        <v>0.96</v>
      </c>
      <c r="L77" s="1897">
        <v>0.93759999999999999</v>
      </c>
      <c r="M77" s="1897">
        <v>0.93120000000000003</v>
      </c>
      <c r="N77" s="1897">
        <v>0.96320000000000006</v>
      </c>
      <c r="O77" s="1897">
        <v>1.0335999999999999</v>
      </c>
      <c r="P77" s="1897">
        <v>1.0335999999999999</v>
      </c>
      <c r="Q77" s="1897">
        <v>0.99520000000000008</v>
      </c>
      <c r="R77" s="1897">
        <v>1.0016</v>
      </c>
      <c r="S77" s="1898">
        <f t="shared" si="2"/>
        <v>0.97413333333333341</v>
      </c>
    </row>
    <row r="78" spans="1:19">
      <c r="A78" s="1894">
        <f t="shared" si="3"/>
        <v>71</v>
      </c>
      <c r="B78" s="1895" t="s">
        <v>2975</v>
      </c>
      <c r="C78" s="1894" t="s">
        <v>524</v>
      </c>
      <c r="D78" s="1895" t="s">
        <v>2966</v>
      </c>
      <c r="E78" s="1894" t="s">
        <v>259</v>
      </c>
      <c r="F78" s="1896">
        <v>125</v>
      </c>
      <c r="G78" s="1897">
        <v>0</v>
      </c>
      <c r="H78" s="1897">
        <v>0.51200000000000001</v>
      </c>
      <c r="I78" s="1897">
        <v>0.59455999999999998</v>
      </c>
      <c r="J78" s="1897">
        <v>0.75967999999999991</v>
      </c>
      <c r="K78" s="1897">
        <v>0.33535999999999999</v>
      </c>
      <c r="L78" s="1897">
        <v>0.46016000000000001</v>
      </c>
      <c r="M78" s="1897">
        <v>0.41536000000000001</v>
      </c>
      <c r="N78" s="1897">
        <v>3.456E-2</v>
      </c>
      <c r="O78" s="1897">
        <v>2.6240000000000003E-2</v>
      </c>
      <c r="P78" s="1897">
        <v>0.43071999999999999</v>
      </c>
      <c r="Q78" s="1897">
        <v>0.91007999999999989</v>
      </c>
      <c r="R78" s="1897">
        <v>1.05088</v>
      </c>
      <c r="S78" s="1898">
        <f t="shared" si="2"/>
        <v>0.46080000000000004</v>
      </c>
    </row>
    <row r="79" spans="1:19">
      <c r="A79" s="1894">
        <f t="shared" si="3"/>
        <v>72</v>
      </c>
      <c r="B79" s="1895" t="s">
        <v>2976</v>
      </c>
      <c r="C79" s="1894" t="s">
        <v>524</v>
      </c>
      <c r="D79" s="1895" t="s">
        <v>2966</v>
      </c>
      <c r="E79" s="1894" t="s">
        <v>259</v>
      </c>
      <c r="F79" s="1896">
        <v>125</v>
      </c>
      <c r="G79" s="1897">
        <v>0.82303999999999999</v>
      </c>
      <c r="H79" s="1897">
        <v>1.1686400000000001</v>
      </c>
      <c r="I79" s="1897">
        <v>1.18912</v>
      </c>
      <c r="J79" s="1897">
        <v>0.61631999999999998</v>
      </c>
      <c r="K79" s="1897">
        <v>1.0387200000000001</v>
      </c>
      <c r="L79" s="1897">
        <v>1.2134400000000001</v>
      </c>
      <c r="M79" s="1897">
        <v>1.0214399999999999</v>
      </c>
      <c r="N79" s="1897">
        <v>0.20735999999999999</v>
      </c>
      <c r="O79" s="1897">
        <v>9.9839999999999984E-2</v>
      </c>
      <c r="P79" s="1897">
        <v>0.24575999999999998</v>
      </c>
      <c r="Q79" s="1897">
        <v>0.28992000000000001</v>
      </c>
      <c r="R79" s="1897">
        <v>0.45247999999999999</v>
      </c>
      <c r="S79" s="1898">
        <f t="shared" si="2"/>
        <v>0.69717333333333353</v>
      </c>
    </row>
    <row r="80" spans="1:19">
      <c r="A80" s="1894">
        <f t="shared" si="3"/>
        <v>73</v>
      </c>
      <c r="B80" s="1895" t="s">
        <v>2977</v>
      </c>
      <c r="C80" s="1894" t="s">
        <v>524</v>
      </c>
      <c r="D80" s="1895" t="s">
        <v>541</v>
      </c>
      <c r="E80" s="1894" t="s">
        <v>259</v>
      </c>
      <c r="F80" s="1896">
        <v>126</v>
      </c>
      <c r="G80" s="1897">
        <v>0.98412698412698407</v>
      </c>
      <c r="H80" s="1897">
        <v>0.8596825396825396</v>
      </c>
      <c r="I80" s="1897">
        <v>0.90984126984127001</v>
      </c>
      <c r="J80" s="1897">
        <v>1.1053968253968254</v>
      </c>
      <c r="K80" s="1897">
        <v>0.78666666666666663</v>
      </c>
      <c r="L80" s="1897">
        <v>2.6031746031746034E-2</v>
      </c>
      <c r="M80" s="1897">
        <v>0.99428571428571422</v>
      </c>
      <c r="N80" s="1897">
        <v>0.99428571428571422</v>
      </c>
      <c r="O80" s="1897">
        <v>0.92698412698412691</v>
      </c>
      <c r="P80" s="1897">
        <v>0.92190476190476189</v>
      </c>
      <c r="Q80" s="1897">
        <v>1.3346031746031746</v>
      </c>
      <c r="R80" s="1897">
        <v>0.96571428571428575</v>
      </c>
      <c r="S80" s="1898">
        <f t="shared" si="2"/>
        <v>0.90079365079365081</v>
      </c>
    </row>
    <row r="81" spans="1:19">
      <c r="A81" s="1894">
        <f t="shared" si="3"/>
        <v>74</v>
      </c>
      <c r="B81" s="1895" t="s">
        <v>2978</v>
      </c>
      <c r="C81" s="1894" t="s">
        <v>524</v>
      </c>
      <c r="D81" s="1895" t="s">
        <v>541</v>
      </c>
      <c r="E81" s="1894" t="s">
        <v>259</v>
      </c>
      <c r="F81" s="1896">
        <v>127</v>
      </c>
      <c r="G81" s="1897">
        <v>1.1943307086614174</v>
      </c>
      <c r="H81" s="1897">
        <v>1.1628346456692911</v>
      </c>
      <c r="I81" s="1897">
        <v>1.2566929133858269</v>
      </c>
      <c r="J81" s="1897">
        <v>1.3455118110236219</v>
      </c>
      <c r="K81" s="1897">
        <v>0.21732283464566932</v>
      </c>
      <c r="L81" s="1897">
        <v>0.1662992125984252</v>
      </c>
      <c r="M81" s="1897">
        <v>0.17133858267716534</v>
      </c>
      <c r="N81" s="1897">
        <v>8.8188976377952769E-2</v>
      </c>
      <c r="O81" s="1897">
        <v>0.66582677165354331</v>
      </c>
      <c r="P81" s="1897">
        <v>1.1496062992125984</v>
      </c>
      <c r="Q81" s="1897">
        <v>1.2667716535433071</v>
      </c>
      <c r="R81" s="1897">
        <v>1.1533858267716537</v>
      </c>
      <c r="S81" s="1898">
        <f t="shared" si="2"/>
        <v>0.81984251968503941</v>
      </c>
    </row>
    <row r="82" spans="1:19">
      <c r="A82" s="1894">
        <f t="shared" si="3"/>
        <v>75</v>
      </c>
      <c r="B82" s="1895" t="s">
        <v>2979</v>
      </c>
      <c r="C82" s="1894" t="s">
        <v>524</v>
      </c>
      <c r="D82" s="1895" t="s">
        <v>541</v>
      </c>
      <c r="E82" s="1894" t="s">
        <v>259</v>
      </c>
      <c r="F82" s="1896">
        <v>127.8</v>
      </c>
      <c r="G82" s="1897">
        <v>0.57120500782472616</v>
      </c>
      <c r="H82" s="1897">
        <v>0.18122065727699532</v>
      </c>
      <c r="I82" s="1897">
        <v>0.52644757433489831</v>
      </c>
      <c r="J82" s="1897">
        <v>0.53364632237871679</v>
      </c>
      <c r="K82" s="1897">
        <v>0.51330203442879507</v>
      </c>
      <c r="L82" s="1897">
        <v>0.44413145539906101</v>
      </c>
      <c r="M82" s="1897">
        <v>1.1862284820031299</v>
      </c>
      <c r="N82" s="1897">
        <v>1.3436619718309859</v>
      </c>
      <c r="O82" s="1897">
        <v>0.73239436619718323</v>
      </c>
      <c r="P82" s="1897">
        <v>0.77433489827856028</v>
      </c>
      <c r="Q82" s="1897">
        <v>0.80845070422535203</v>
      </c>
      <c r="R82" s="1897">
        <v>0.83755868544600942</v>
      </c>
      <c r="S82" s="1898">
        <f t="shared" si="2"/>
        <v>0.70438184663536785</v>
      </c>
    </row>
    <row r="83" spans="1:19">
      <c r="A83" s="1894">
        <f t="shared" si="3"/>
        <v>76</v>
      </c>
      <c r="B83" s="1895" t="s">
        <v>2980</v>
      </c>
      <c r="C83" s="1894" t="s">
        <v>524</v>
      </c>
      <c r="D83" s="1895" t="s">
        <v>541</v>
      </c>
      <c r="E83" s="1894" t="s">
        <v>259</v>
      </c>
      <c r="F83" s="1896">
        <v>128.80000000000001</v>
      </c>
      <c r="G83" s="1897">
        <v>1.1161490683229811</v>
      </c>
      <c r="H83" s="1897">
        <v>1.1304347826086956</v>
      </c>
      <c r="I83" s="1897">
        <v>1.1167701863354036</v>
      </c>
      <c r="J83" s="1897">
        <v>1.0099378881987575</v>
      </c>
      <c r="K83" s="1897">
        <v>1.1527950310559005</v>
      </c>
      <c r="L83" s="1897">
        <v>0.95155279503105583</v>
      </c>
      <c r="M83" s="1897">
        <v>9.8136645962732916E-2</v>
      </c>
      <c r="N83" s="1897">
        <v>0.12236024844720496</v>
      </c>
      <c r="O83" s="1897">
        <v>0.24720496894409938</v>
      </c>
      <c r="P83" s="1897">
        <v>0.97888198757763967</v>
      </c>
      <c r="Q83" s="1897">
        <v>1.1440993788819875</v>
      </c>
      <c r="R83" s="1897">
        <v>1.0422360248447204</v>
      </c>
      <c r="S83" s="1898">
        <f t="shared" si="2"/>
        <v>0.84254658385093151</v>
      </c>
    </row>
    <row r="84" spans="1:19">
      <c r="A84" s="1894">
        <f t="shared" si="3"/>
        <v>77</v>
      </c>
      <c r="B84" s="1895" t="s">
        <v>2981</v>
      </c>
      <c r="C84" s="1894" t="s">
        <v>524</v>
      </c>
      <c r="D84" s="1895" t="s">
        <v>541</v>
      </c>
      <c r="E84" s="1894" t="s">
        <v>259</v>
      </c>
      <c r="F84" s="1896">
        <v>130</v>
      </c>
      <c r="G84" s="1897">
        <v>1.1430769230769231</v>
      </c>
      <c r="H84" s="1897">
        <v>1.0523076923076924</v>
      </c>
      <c r="I84" s="1897">
        <v>1.0584615384615383</v>
      </c>
      <c r="J84" s="1897">
        <v>0.4046153846153846</v>
      </c>
      <c r="K84" s="1897">
        <v>5.0461538461538467E-2</v>
      </c>
      <c r="L84" s="1897">
        <v>7.0769230769230765E-2</v>
      </c>
      <c r="M84" s="1897">
        <v>4.3076923076923082E-2</v>
      </c>
      <c r="N84" s="1897">
        <v>0.10153846153846155</v>
      </c>
      <c r="O84" s="1897">
        <v>0.22615384615384615</v>
      </c>
      <c r="P84" s="1897">
        <v>1.1735384615384616</v>
      </c>
      <c r="Q84" s="1897">
        <v>1.2547692307692309</v>
      </c>
      <c r="R84" s="1897">
        <v>1.1064615384615384</v>
      </c>
      <c r="S84" s="1898">
        <f t="shared" si="2"/>
        <v>0.64043589743589735</v>
      </c>
    </row>
    <row r="85" spans="1:19">
      <c r="A85" s="1894">
        <f t="shared" si="3"/>
        <v>78</v>
      </c>
      <c r="B85" s="1895" t="s">
        <v>2982</v>
      </c>
      <c r="C85" s="1894" t="s">
        <v>524</v>
      </c>
      <c r="D85" s="1895" t="s">
        <v>541</v>
      </c>
      <c r="E85" s="1894" t="s">
        <v>259</v>
      </c>
      <c r="F85" s="1896">
        <v>130</v>
      </c>
      <c r="G85" s="1897">
        <v>0</v>
      </c>
      <c r="H85" s="1897">
        <v>0</v>
      </c>
      <c r="I85" s="1897">
        <v>0</v>
      </c>
      <c r="J85" s="1897">
        <v>0</v>
      </c>
      <c r="K85" s="1897">
        <v>0</v>
      </c>
      <c r="L85" s="1897">
        <v>0</v>
      </c>
      <c r="M85" s="1897">
        <v>0</v>
      </c>
      <c r="N85" s="1897">
        <v>0</v>
      </c>
      <c r="O85" s="1897">
        <v>0</v>
      </c>
      <c r="P85" s="1897">
        <v>0</v>
      </c>
      <c r="Q85" s="1897">
        <v>0</v>
      </c>
      <c r="R85" s="1897">
        <v>0.98307692307692307</v>
      </c>
      <c r="S85" s="1898">
        <f t="shared" si="2"/>
        <v>8.1923076923076918E-2</v>
      </c>
    </row>
    <row r="86" spans="1:19">
      <c r="A86" s="1894">
        <f t="shared" si="3"/>
        <v>79</v>
      </c>
      <c r="B86" s="1895" t="s">
        <v>2983</v>
      </c>
      <c r="C86" s="1894" t="s">
        <v>524</v>
      </c>
      <c r="D86" s="1895" t="s">
        <v>636</v>
      </c>
      <c r="E86" s="1894" t="s">
        <v>259</v>
      </c>
      <c r="F86" s="1896">
        <v>130</v>
      </c>
      <c r="G86" s="1897">
        <v>0.32553846153846155</v>
      </c>
      <c r="H86" s="1897">
        <v>0.29538461538461536</v>
      </c>
      <c r="I86" s="1897">
        <v>0.31569230769230766</v>
      </c>
      <c r="J86" s="1897">
        <v>0.26092307692307692</v>
      </c>
      <c r="K86" s="1897">
        <v>0.25723076923076921</v>
      </c>
      <c r="L86" s="1897">
        <v>0.30830769230769228</v>
      </c>
      <c r="M86" s="1897">
        <v>0.2363076923076923</v>
      </c>
      <c r="N86" s="1897">
        <v>0.18769230769230769</v>
      </c>
      <c r="O86" s="1897">
        <v>0.23876923076923076</v>
      </c>
      <c r="P86" s="1897">
        <v>0.16984615384615384</v>
      </c>
      <c r="Q86" s="1897">
        <v>0.2147692307692308</v>
      </c>
      <c r="R86" s="1897">
        <v>0.26276923076923081</v>
      </c>
      <c r="S86" s="1898">
        <f t="shared" si="2"/>
        <v>0.2561025641025641</v>
      </c>
    </row>
    <row r="87" spans="1:19">
      <c r="A87" s="1894">
        <f t="shared" si="3"/>
        <v>80</v>
      </c>
      <c r="B87" s="1895" t="s">
        <v>2984</v>
      </c>
      <c r="C87" s="1894" t="s">
        <v>524</v>
      </c>
      <c r="D87" s="1895" t="s">
        <v>541</v>
      </c>
      <c r="E87" s="1894" t="s">
        <v>259</v>
      </c>
      <c r="F87" s="1896">
        <v>131</v>
      </c>
      <c r="G87" s="1897">
        <v>0.8175572519083969</v>
      </c>
      <c r="H87" s="1897">
        <v>0.70900763358778618</v>
      </c>
      <c r="I87" s="1897">
        <v>0.65038167938931291</v>
      </c>
      <c r="J87" s="1897">
        <v>0.63938931297709922</v>
      </c>
      <c r="K87" s="1897">
        <v>0.64854961832061075</v>
      </c>
      <c r="L87" s="1897">
        <v>0.65954198473282433</v>
      </c>
      <c r="M87" s="1897">
        <v>0.81435114503816797</v>
      </c>
      <c r="N87" s="1897">
        <v>0.73190839694656484</v>
      </c>
      <c r="O87" s="1897">
        <v>0.71450381679389308</v>
      </c>
      <c r="P87" s="1897">
        <v>0.68702290076335881</v>
      </c>
      <c r="Q87" s="1897">
        <v>0.75297709923664125</v>
      </c>
      <c r="R87" s="1897">
        <v>0.62015267175572519</v>
      </c>
      <c r="S87" s="1898">
        <f t="shared" si="2"/>
        <v>0.70377862595419849</v>
      </c>
    </row>
    <row r="88" spans="1:19">
      <c r="A88" s="1894">
        <f t="shared" si="3"/>
        <v>81</v>
      </c>
      <c r="B88" s="1895" t="s">
        <v>2985</v>
      </c>
      <c r="C88" s="1894" t="s">
        <v>524</v>
      </c>
      <c r="D88" s="1895" t="s">
        <v>541</v>
      </c>
      <c r="E88" s="1894" t="s">
        <v>232</v>
      </c>
      <c r="F88" s="1896">
        <v>132</v>
      </c>
      <c r="G88" s="1897">
        <v>0.72242424242424241</v>
      </c>
      <c r="H88" s="1897">
        <v>1.1575757575757575</v>
      </c>
      <c r="I88" s="1897">
        <v>0.89818181818181819</v>
      </c>
      <c r="J88" s="1897">
        <v>0.84606060606060596</v>
      </c>
      <c r="K88" s="1897">
        <v>0.15515151515151515</v>
      </c>
      <c r="L88" s="1897">
        <v>5.2121212121212117E-2</v>
      </c>
      <c r="M88" s="1897">
        <v>5.9393939393939395E-2</v>
      </c>
      <c r="N88" s="1897">
        <v>7.8787878787878796E-2</v>
      </c>
      <c r="O88" s="1897">
        <v>0.46545454545454545</v>
      </c>
      <c r="P88" s="1897">
        <v>1.0387878787878788</v>
      </c>
      <c r="Q88" s="1897">
        <v>1.010909090909091</v>
      </c>
      <c r="R88" s="1897">
        <v>0.94666666666666677</v>
      </c>
      <c r="S88" s="1898">
        <f t="shared" si="2"/>
        <v>0.61929292929292934</v>
      </c>
    </row>
    <row r="89" spans="1:19">
      <c r="A89" s="1894">
        <f t="shared" si="3"/>
        <v>82</v>
      </c>
      <c r="B89" s="1895" t="s">
        <v>2986</v>
      </c>
      <c r="C89" s="1894" t="s">
        <v>524</v>
      </c>
      <c r="D89" s="1895" t="s">
        <v>541</v>
      </c>
      <c r="E89" s="1894" t="s">
        <v>259</v>
      </c>
      <c r="F89" s="1896">
        <v>132</v>
      </c>
      <c r="G89" s="1897">
        <v>6.1818181818181821E-2</v>
      </c>
      <c r="H89" s="1897">
        <v>0.61363636363636365</v>
      </c>
      <c r="I89" s="1897">
        <v>0.56272727272727274</v>
      </c>
      <c r="J89" s="1897">
        <v>1.07</v>
      </c>
      <c r="K89" s="1897">
        <v>0.72454545454545449</v>
      </c>
      <c r="L89" s="1897">
        <v>0.6072727272727273</v>
      </c>
      <c r="M89" s="1897">
        <v>0.68</v>
      </c>
      <c r="N89" s="1897">
        <v>0.58454545454545448</v>
      </c>
      <c r="O89" s="1897">
        <v>0.59636363636363643</v>
      </c>
      <c r="P89" s="1897">
        <v>0.45545454545454545</v>
      </c>
      <c r="Q89" s="1897">
        <v>0.42727272727272725</v>
      </c>
      <c r="R89" s="1897">
        <v>0.04</v>
      </c>
      <c r="S89" s="1898">
        <f t="shared" si="2"/>
        <v>0.53530303030303028</v>
      </c>
    </row>
    <row r="90" spans="1:19">
      <c r="A90" s="1894">
        <f t="shared" si="3"/>
        <v>83</v>
      </c>
      <c r="B90" s="1895" t="s">
        <v>2987</v>
      </c>
      <c r="C90" s="1894" t="s">
        <v>524</v>
      </c>
      <c r="D90" s="1895" t="s">
        <v>541</v>
      </c>
      <c r="E90" s="1894" t="s">
        <v>259</v>
      </c>
      <c r="F90" s="1896">
        <v>133</v>
      </c>
      <c r="G90" s="1897">
        <v>0.52030075187969915</v>
      </c>
      <c r="H90" s="1897">
        <v>0.96240601503759393</v>
      </c>
      <c r="I90" s="1897">
        <v>0.99368421052631595</v>
      </c>
      <c r="J90" s="1897">
        <v>0.99308270676691712</v>
      </c>
      <c r="K90" s="1897">
        <v>0.57383458646616536</v>
      </c>
      <c r="L90" s="1897">
        <v>0.56962406015037603</v>
      </c>
      <c r="M90" s="1897">
        <v>0.57503759398496246</v>
      </c>
      <c r="N90" s="1897">
        <v>0.56661654135338346</v>
      </c>
      <c r="O90" s="1897">
        <v>3.9097744360902256E-2</v>
      </c>
      <c r="P90" s="1897">
        <v>0.36992481203007521</v>
      </c>
      <c r="Q90" s="1897">
        <v>1.9849624060150377E-2</v>
      </c>
      <c r="R90" s="1897">
        <v>3.1278195488721808E-2</v>
      </c>
      <c r="S90" s="1898">
        <f t="shared" si="2"/>
        <v>0.5178947368421053</v>
      </c>
    </row>
    <row r="91" spans="1:19">
      <c r="A91" s="1894">
        <f t="shared" si="3"/>
        <v>84</v>
      </c>
      <c r="B91" s="1895" t="s">
        <v>2988</v>
      </c>
      <c r="C91" s="1894" t="s">
        <v>524</v>
      </c>
      <c r="D91" s="1895" t="s">
        <v>730</v>
      </c>
      <c r="E91" s="1894" t="s">
        <v>259</v>
      </c>
      <c r="F91" s="1896">
        <v>133</v>
      </c>
      <c r="G91" s="1897">
        <v>0.84180451127819544</v>
      </c>
      <c r="H91" s="1897">
        <v>0.86075187969924816</v>
      </c>
      <c r="I91" s="1897">
        <v>0.86345864661654126</v>
      </c>
      <c r="J91" s="1897">
        <v>0.85263157894736852</v>
      </c>
      <c r="K91" s="1897">
        <v>0.91488721804511286</v>
      </c>
      <c r="L91" s="1897">
        <v>0.84631578947368413</v>
      </c>
      <c r="M91" s="1897">
        <v>0.86526315789473685</v>
      </c>
      <c r="N91" s="1897">
        <v>1.2342857142857142</v>
      </c>
      <c r="O91" s="1897">
        <v>0.86706766917293243</v>
      </c>
      <c r="P91" s="1897">
        <v>0.87699248120300755</v>
      </c>
      <c r="Q91" s="1897">
        <v>1.1774436090225564</v>
      </c>
      <c r="R91" s="1897">
        <v>0.84451127819548877</v>
      </c>
      <c r="S91" s="1898">
        <f t="shared" si="2"/>
        <v>0.92045112781954896</v>
      </c>
    </row>
    <row r="92" spans="1:19">
      <c r="A92" s="1894">
        <f t="shared" si="3"/>
        <v>85</v>
      </c>
      <c r="B92" s="1895" t="s">
        <v>2989</v>
      </c>
      <c r="C92" s="1894" t="s">
        <v>524</v>
      </c>
      <c r="D92" s="1895" t="s">
        <v>2966</v>
      </c>
      <c r="E92" s="1894" t="s">
        <v>259</v>
      </c>
      <c r="F92" s="1896">
        <v>133</v>
      </c>
      <c r="G92" s="1897">
        <v>0.93834586466165415</v>
      </c>
      <c r="H92" s="1897">
        <v>1.2980451127819548</v>
      </c>
      <c r="I92" s="1897">
        <v>1.3413533834586466</v>
      </c>
      <c r="J92" s="1897">
        <v>1.1813533834586467</v>
      </c>
      <c r="K92" s="1897">
        <v>0.21894736842105264</v>
      </c>
      <c r="L92" s="1897">
        <v>0.85774436090225559</v>
      </c>
      <c r="M92" s="1897">
        <v>1.0640601503759399</v>
      </c>
      <c r="N92" s="1897">
        <v>0.23097744360902256</v>
      </c>
      <c r="O92" s="1897">
        <v>0.18105263157894735</v>
      </c>
      <c r="P92" s="1897">
        <v>0.24781954887218047</v>
      </c>
      <c r="Q92" s="1897">
        <v>0.316390977443609</v>
      </c>
      <c r="R92" s="1897">
        <v>0.59248120300751883</v>
      </c>
      <c r="S92" s="1898">
        <f t="shared" si="2"/>
        <v>0.70571428571428585</v>
      </c>
    </row>
    <row r="93" spans="1:19">
      <c r="A93" s="1894">
        <f t="shared" si="3"/>
        <v>86</v>
      </c>
      <c r="B93" s="1895" t="s">
        <v>2990</v>
      </c>
      <c r="C93" s="1894" t="s">
        <v>524</v>
      </c>
      <c r="D93" s="1895" t="s">
        <v>636</v>
      </c>
      <c r="E93" s="1894" t="s">
        <v>259</v>
      </c>
      <c r="F93" s="1896">
        <v>133</v>
      </c>
      <c r="G93" s="1897">
        <v>0.67609022556390974</v>
      </c>
      <c r="H93" s="1897">
        <v>0.6255639097744361</v>
      </c>
      <c r="I93" s="1897">
        <v>0.62736842105263158</v>
      </c>
      <c r="J93" s="1897">
        <v>0.5630075187969924</v>
      </c>
      <c r="K93" s="1897">
        <v>0.57503759398496246</v>
      </c>
      <c r="L93" s="1897">
        <v>0.65563909774436091</v>
      </c>
      <c r="M93" s="1897">
        <v>0.55699248120300748</v>
      </c>
      <c r="N93" s="1897">
        <v>0.43669172932330824</v>
      </c>
      <c r="O93" s="1897">
        <v>0.30315789473684213</v>
      </c>
      <c r="P93" s="1897">
        <v>0.30436090225563905</v>
      </c>
      <c r="Q93" s="1897">
        <v>0.52150375939849625</v>
      </c>
      <c r="R93" s="1897">
        <v>0.57744360902255631</v>
      </c>
      <c r="S93" s="1898">
        <f t="shared" si="2"/>
        <v>0.53523809523809529</v>
      </c>
    </row>
    <row r="94" spans="1:19">
      <c r="A94" s="1894">
        <f t="shared" si="3"/>
        <v>87</v>
      </c>
      <c r="B94" s="1895" t="s">
        <v>2991</v>
      </c>
      <c r="C94" s="1894" t="s">
        <v>524</v>
      </c>
      <c r="D94" s="1895" t="s">
        <v>737</v>
      </c>
      <c r="E94" s="1894" t="s">
        <v>259</v>
      </c>
      <c r="F94" s="1896">
        <v>133</v>
      </c>
      <c r="G94" s="1897">
        <v>1.2048120300751881</v>
      </c>
      <c r="H94" s="1897">
        <v>1.0857142857142859</v>
      </c>
      <c r="I94" s="1897">
        <v>1.1669172932330829</v>
      </c>
      <c r="J94" s="1897">
        <v>1.0911278195488723</v>
      </c>
      <c r="K94" s="1897">
        <v>1.0165413533834589</v>
      </c>
      <c r="L94" s="1897">
        <v>1.1651127819548872</v>
      </c>
      <c r="M94" s="1897">
        <v>0.97744360902255634</v>
      </c>
      <c r="N94" s="1897">
        <v>0.60511278195488716</v>
      </c>
      <c r="O94" s="1897">
        <v>0.31879699248120302</v>
      </c>
      <c r="P94" s="1897">
        <v>0.27969924812030078</v>
      </c>
      <c r="Q94" s="1897">
        <v>0.60390977443609029</v>
      </c>
      <c r="R94" s="1897">
        <v>0.78796992481203021</v>
      </c>
      <c r="S94" s="1898">
        <f t="shared" si="2"/>
        <v>0.85859649122807014</v>
      </c>
    </row>
    <row r="95" spans="1:19">
      <c r="A95" s="1894">
        <f t="shared" si="3"/>
        <v>88</v>
      </c>
      <c r="B95" s="1895" t="s">
        <v>2992</v>
      </c>
      <c r="C95" s="1894" t="s">
        <v>524</v>
      </c>
      <c r="D95" s="1895" t="s">
        <v>541</v>
      </c>
      <c r="E95" s="1894" t="s">
        <v>259</v>
      </c>
      <c r="F95" s="1896">
        <v>133</v>
      </c>
      <c r="G95" s="1897">
        <v>0.8806015037593985</v>
      </c>
      <c r="H95" s="1897">
        <v>1.0375939849624061</v>
      </c>
      <c r="I95" s="1897">
        <v>0.81203007518796988</v>
      </c>
      <c r="J95" s="1897">
        <v>0.95278195488721806</v>
      </c>
      <c r="K95" s="1897">
        <v>0.84631578947368413</v>
      </c>
      <c r="L95" s="1897">
        <v>0.90766917293233085</v>
      </c>
      <c r="M95" s="1897">
        <v>0.92210526315789476</v>
      </c>
      <c r="N95" s="1897">
        <v>0.98165413533834589</v>
      </c>
      <c r="O95" s="1897">
        <v>0.99609022556390969</v>
      </c>
      <c r="P95" s="1897">
        <v>0.94736842105263153</v>
      </c>
      <c r="Q95" s="1897">
        <v>0.95278195488721806</v>
      </c>
      <c r="R95" s="1897">
        <v>1.0827067669172932</v>
      </c>
      <c r="S95" s="1898">
        <f t="shared" si="2"/>
        <v>0.94330827067669176</v>
      </c>
    </row>
    <row r="96" spans="1:19">
      <c r="A96" s="1894">
        <f t="shared" si="3"/>
        <v>89</v>
      </c>
      <c r="B96" s="1895" t="s">
        <v>2993</v>
      </c>
      <c r="C96" s="1894" t="s">
        <v>524</v>
      </c>
      <c r="D96" s="1895" t="s">
        <v>636</v>
      </c>
      <c r="E96" s="1894" t="s">
        <v>259</v>
      </c>
      <c r="F96" s="1896">
        <v>133</v>
      </c>
      <c r="G96" s="1897">
        <v>0.80451127819548873</v>
      </c>
      <c r="H96" s="1897">
        <v>0.78195488721804507</v>
      </c>
      <c r="I96" s="1897">
        <v>0.79699248120300747</v>
      </c>
      <c r="J96" s="1897">
        <v>0.86466165413533835</v>
      </c>
      <c r="K96" s="1897">
        <v>0.86466165413533835</v>
      </c>
      <c r="L96" s="1897">
        <v>0.83458646616541354</v>
      </c>
      <c r="M96" s="1897">
        <v>0.89473684210526316</v>
      </c>
      <c r="N96" s="1897">
        <v>0.89473684210526316</v>
      </c>
      <c r="O96" s="1897">
        <v>0.95488721804511278</v>
      </c>
      <c r="P96" s="1897">
        <v>1.0075187969924813</v>
      </c>
      <c r="Q96" s="1897">
        <v>0.96992481203007519</v>
      </c>
      <c r="R96" s="1897">
        <v>0.84962406015037595</v>
      </c>
      <c r="S96" s="1898">
        <f t="shared" si="2"/>
        <v>0.87656641604010022</v>
      </c>
    </row>
    <row r="97" spans="1:19">
      <c r="A97" s="1894">
        <f t="shared" si="3"/>
        <v>90</v>
      </c>
      <c r="B97" s="1895" t="s">
        <v>2994</v>
      </c>
      <c r="C97" s="1894" t="s">
        <v>524</v>
      </c>
      <c r="D97" s="1895" t="s">
        <v>629</v>
      </c>
      <c r="E97" s="1894" t="s">
        <v>259</v>
      </c>
      <c r="F97" s="1896">
        <v>133.33000000000001</v>
      </c>
      <c r="G97" s="1897">
        <v>0.66001650041251025</v>
      </c>
      <c r="H97" s="1897">
        <v>0.34500862521563036</v>
      </c>
      <c r="I97" s="1897">
        <v>0.36000900022500559</v>
      </c>
      <c r="J97" s="1897">
        <v>0.49501237530938269</v>
      </c>
      <c r="K97" s="1897">
        <v>0.33180829520738014</v>
      </c>
      <c r="L97" s="1897">
        <v>0.29700742518562961</v>
      </c>
      <c r="M97" s="1897">
        <v>0.31800795019875494</v>
      </c>
      <c r="N97" s="1897">
        <v>0.36900922523063073</v>
      </c>
      <c r="O97" s="1897">
        <v>9.9602490062251539E-2</v>
      </c>
      <c r="P97" s="1897">
        <v>9.9002475061876552E-2</v>
      </c>
      <c r="Q97" s="1897">
        <v>0.16260406510162753</v>
      </c>
      <c r="R97" s="1897">
        <v>0.18720468011700289</v>
      </c>
      <c r="S97" s="1898">
        <f t="shared" si="2"/>
        <v>0.31035775894397361</v>
      </c>
    </row>
    <row r="98" spans="1:19">
      <c r="A98" s="1894">
        <f t="shared" si="3"/>
        <v>91</v>
      </c>
      <c r="B98" s="1895" t="s">
        <v>2995</v>
      </c>
      <c r="C98" s="1894" t="s">
        <v>524</v>
      </c>
      <c r="D98" s="1895" t="s">
        <v>629</v>
      </c>
      <c r="E98" s="1894" t="s">
        <v>259</v>
      </c>
      <c r="F98" s="1896">
        <v>133.33000000000001</v>
      </c>
      <c r="G98" s="1897">
        <v>0.64501612540313502</v>
      </c>
      <c r="H98" s="1897">
        <v>0.6630165754143853</v>
      </c>
      <c r="I98" s="1897">
        <v>0.62401560039000969</v>
      </c>
      <c r="J98" s="1897">
        <v>0.64201605040125997</v>
      </c>
      <c r="K98" s="1897">
        <v>0.69001725043126072</v>
      </c>
      <c r="L98" s="1897">
        <v>0.73201830045751137</v>
      </c>
      <c r="M98" s="1897">
        <v>0.67801695042376053</v>
      </c>
      <c r="N98" s="1897">
        <v>0.75901897547438679</v>
      </c>
      <c r="O98" s="1897">
        <v>0.86402160054001331</v>
      </c>
      <c r="P98" s="1897">
        <v>0.84902122553063808</v>
      </c>
      <c r="Q98" s="1897">
        <v>0.82202055051376288</v>
      </c>
      <c r="R98" s="1897">
        <v>0.72301807545188612</v>
      </c>
      <c r="S98" s="1898">
        <f t="shared" si="2"/>
        <v>0.7242681067026675</v>
      </c>
    </row>
    <row r="99" spans="1:19">
      <c r="A99" s="1894">
        <f t="shared" si="3"/>
        <v>92</v>
      </c>
      <c r="B99" s="1895" t="s">
        <v>2996</v>
      </c>
      <c r="C99" s="1894" t="s">
        <v>524</v>
      </c>
      <c r="D99" s="1895" t="s">
        <v>541</v>
      </c>
      <c r="E99" s="1894" t="s">
        <v>259</v>
      </c>
      <c r="F99" s="1896">
        <v>134</v>
      </c>
      <c r="G99" s="1897">
        <v>0.81791044776119415</v>
      </c>
      <c r="H99" s="1897">
        <v>1.4791044776119402</v>
      </c>
      <c r="I99" s="1897">
        <v>1.4489552238805969</v>
      </c>
      <c r="J99" s="1897">
        <v>1.3892537313432836</v>
      </c>
      <c r="K99" s="1897">
        <v>1.3880597014925373</v>
      </c>
      <c r="L99" s="1897">
        <v>1.4376119402985073</v>
      </c>
      <c r="M99" s="1897">
        <v>1.4555223880597015</v>
      </c>
      <c r="N99" s="1897">
        <v>1.4214925373134331</v>
      </c>
      <c r="O99" s="1897">
        <v>1.4638805970149253</v>
      </c>
      <c r="P99" s="1897">
        <v>1.4292537313432836</v>
      </c>
      <c r="Q99" s="1897">
        <v>1.5874626865671644</v>
      </c>
      <c r="R99" s="1897">
        <v>1.5056716417910447</v>
      </c>
      <c r="S99" s="1898">
        <f t="shared" si="2"/>
        <v>1.4020149253731347</v>
      </c>
    </row>
    <row r="100" spans="1:19">
      <c r="A100" s="1894">
        <f t="shared" si="3"/>
        <v>93</v>
      </c>
      <c r="B100" s="1895" t="s">
        <v>2997</v>
      </c>
      <c r="C100" s="1894" t="s">
        <v>524</v>
      </c>
      <c r="D100" s="1895" t="s">
        <v>2966</v>
      </c>
      <c r="E100" s="1894" t="s">
        <v>259</v>
      </c>
      <c r="F100" s="1896">
        <v>134</v>
      </c>
      <c r="G100" s="1897">
        <v>0.555223880597015</v>
      </c>
      <c r="H100" s="1897">
        <v>0.62865671641791043</v>
      </c>
      <c r="I100" s="1897">
        <v>0.81671641791044769</v>
      </c>
      <c r="J100" s="1897">
        <v>0.82208955223880609</v>
      </c>
      <c r="K100" s="1897">
        <v>0.44238805970149253</v>
      </c>
      <c r="L100" s="1897">
        <v>0.23462686567164179</v>
      </c>
      <c r="M100" s="1897">
        <v>0.31343283582089559</v>
      </c>
      <c r="N100" s="1897">
        <v>0.20955223880597015</v>
      </c>
      <c r="O100" s="1897">
        <v>0.14865671641791045</v>
      </c>
      <c r="P100" s="1897">
        <v>1.7910447761194031E-2</v>
      </c>
      <c r="Q100" s="1897">
        <v>0.30268656716417908</v>
      </c>
      <c r="R100" s="1897">
        <v>0.41373134328358208</v>
      </c>
      <c r="S100" s="1898">
        <f t="shared" si="2"/>
        <v>0.40880597014925374</v>
      </c>
    </row>
    <row r="101" spans="1:19">
      <c r="A101" s="1894">
        <f t="shared" si="3"/>
        <v>94</v>
      </c>
      <c r="B101" s="1895" t="s">
        <v>2998</v>
      </c>
      <c r="C101" s="1894" t="s">
        <v>524</v>
      </c>
      <c r="D101" s="1895" t="s">
        <v>636</v>
      </c>
      <c r="E101" s="1894" t="s">
        <v>259</v>
      </c>
      <c r="F101" s="1896">
        <v>134</v>
      </c>
      <c r="G101" s="1897">
        <v>0.58716417910447771</v>
      </c>
      <c r="H101" s="1897">
        <v>0.48447761194029854</v>
      </c>
      <c r="I101" s="1897">
        <v>0.53701492537313433</v>
      </c>
      <c r="J101" s="1897">
        <v>0.4158208955223881</v>
      </c>
      <c r="K101" s="1897">
        <v>0.42835820895522386</v>
      </c>
      <c r="L101" s="1897">
        <v>0.45223880597014926</v>
      </c>
      <c r="M101" s="1897">
        <v>0.44835820895522388</v>
      </c>
      <c r="N101" s="1897">
        <v>0.37104477611940295</v>
      </c>
      <c r="O101" s="1897">
        <v>0.32865671641791044</v>
      </c>
      <c r="P101" s="1897">
        <v>0.31402985074626866</v>
      </c>
      <c r="Q101" s="1897">
        <v>0.35343283582089552</v>
      </c>
      <c r="R101" s="1897">
        <v>0.41194029850746272</v>
      </c>
      <c r="S101" s="1898">
        <f t="shared" si="2"/>
        <v>0.42771144278606971</v>
      </c>
    </row>
    <row r="102" spans="1:19">
      <c r="A102" s="1894">
        <f t="shared" si="3"/>
        <v>95</v>
      </c>
      <c r="B102" s="1895" t="s">
        <v>2999</v>
      </c>
      <c r="C102" s="1894" t="s">
        <v>524</v>
      </c>
      <c r="D102" s="1895" t="s">
        <v>541</v>
      </c>
      <c r="E102" s="1894" t="s">
        <v>259</v>
      </c>
      <c r="F102" s="1896">
        <v>134</v>
      </c>
      <c r="G102" s="1897">
        <v>1.1379104477611939</v>
      </c>
      <c r="H102" s="1897">
        <v>1.0913432835820893</v>
      </c>
      <c r="I102" s="1897">
        <v>1.1432835820895522</v>
      </c>
      <c r="J102" s="1897">
        <v>1.052537313432836</v>
      </c>
      <c r="K102" s="1897">
        <v>0.16</v>
      </c>
      <c r="L102" s="1897">
        <v>0.17014925373134329</v>
      </c>
      <c r="M102" s="1897">
        <v>0.13373134328358208</v>
      </c>
      <c r="N102" s="1897">
        <v>0.1755223880597015</v>
      </c>
      <c r="O102" s="1897">
        <v>1.0710447761194031</v>
      </c>
      <c r="P102" s="1897">
        <v>1.2626865671641789</v>
      </c>
      <c r="Q102" s="1897">
        <v>1.0764179104477611</v>
      </c>
      <c r="R102" s="1897">
        <v>1.2256716417910449</v>
      </c>
      <c r="S102" s="1898">
        <f t="shared" si="2"/>
        <v>0.80835820895522392</v>
      </c>
    </row>
    <row r="103" spans="1:19">
      <c r="A103" s="1894">
        <f t="shared" si="3"/>
        <v>96</v>
      </c>
      <c r="B103" s="1895" t="s">
        <v>3000</v>
      </c>
      <c r="C103" s="1894" t="s">
        <v>524</v>
      </c>
      <c r="D103" s="1895" t="s">
        <v>541</v>
      </c>
      <c r="E103" s="1894" t="s">
        <v>259</v>
      </c>
      <c r="F103" s="1896">
        <v>134</v>
      </c>
      <c r="G103" s="1897">
        <v>0.85820895522388063</v>
      </c>
      <c r="H103" s="1897">
        <v>0.85447761194029848</v>
      </c>
      <c r="I103" s="1897">
        <v>0.94328358208955232</v>
      </c>
      <c r="J103" s="1897">
        <v>0.92686567164179101</v>
      </c>
      <c r="K103" s="1897">
        <v>0.17910447761194029</v>
      </c>
      <c r="L103" s="1897">
        <v>0.96417910447761201</v>
      </c>
      <c r="M103" s="1897">
        <v>0.95074626865671652</v>
      </c>
      <c r="N103" s="1897">
        <v>1.1328358208955223</v>
      </c>
      <c r="O103" s="1897">
        <v>1.1298507462686567</v>
      </c>
      <c r="P103" s="1897">
        <v>1.1895522388059701</v>
      </c>
      <c r="Q103" s="1897">
        <v>1.1447761194029851</v>
      </c>
      <c r="R103" s="1897">
        <v>0.92238805970149262</v>
      </c>
      <c r="S103" s="1898">
        <f t="shared" si="2"/>
        <v>0.93302238805970161</v>
      </c>
    </row>
    <row r="104" spans="1:19">
      <c r="A104" s="1894">
        <f t="shared" si="3"/>
        <v>97</v>
      </c>
      <c r="B104" s="1895" t="s">
        <v>3001</v>
      </c>
      <c r="C104" s="1894" t="s">
        <v>524</v>
      </c>
      <c r="D104" s="1895" t="s">
        <v>541</v>
      </c>
      <c r="E104" s="1894" t="s">
        <v>259</v>
      </c>
      <c r="F104" s="1896">
        <v>134</v>
      </c>
      <c r="G104" s="1897">
        <v>0.79164179104477606</v>
      </c>
      <c r="H104" s="1897">
        <v>0.97552238805970148</v>
      </c>
      <c r="I104" s="1897">
        <v>1.0746268656716418</v>
      </c>
      <c r="J104" s="1897">
        <v>0.88</v>
      </c>
      <c r="K104" s="1897">
        <v>0.88537313432835807</v>
      </c>
      <c r="L104" s="1897">
        <v>0.98865671641791042</v>
      </c>
      <c r="M104" s="1897">
        <v>0.81253731343283575</v>
      </c>
      <c r="N104" s="1897">
        <v>0.77074626865671647</v>
      </c>
      <c r="O104" s="1897">
        <v>0.69373134328358199</v>
      </c>
      <c r="P104" s="1897">
        <v>0.1480597014925373</v>
      </c>
      <c r="Q104" s="1897">
        <v>0.71641791044776115</v>
      </c>
      <c r="R104" s="1897">
        <v>0.71223880597014921</v>
      </c>
      <c r="S104" s="1898">
        <f t="shared" si="2"/>
        <v>0.78746268656716412</v>
      </c>
    </row>
    <row r="105" spans="1:19">
      <c r="A105" s="1894">
        <f t="shared" si="3"/>
        <v>98</v>
      </c>
      <c r="B105" s="1895" t="s">
        <v>3002</v>
      </c>
      <c r="C105" s="1894" t="s">
        <v>524</v>
      </c>
      <c r="D105" s="1895" t="s">
        <v>636</v>
      </c>
      <c r="E105" s="1894" t="s">
        <v>259</v>
      </c>
      <c r="F105" s="1896">
        <v>134</v>
      </c>
      <c r="G105" s="1897">
        <v>0.26865671641791045</v>
      </c>
      <c r="H105" s="1897">
        <v>0.25313432835820898</v>
      </c>
      <c r="I105" s="1897">
        <v>0.29313432835820896</v>
      </c>
      <c r="J105" s="1897">
        <v>0.24597014925373134</v>
      </c>
      <c r="K105" s="1897">
        <v>0.25671641791044775</v>
      </c>
      <c r="L105" s="1897">
        <v>0.25791044776119404</v>
      </c>
      <c r="M105" s="1897">
        <v>0.24656716417910451</v>
      </c>
      <c r="N105" s="1897">
        <v>0.21492537313432833</v>
      </c>
      <c r="O105" s="1897">
        <v>0.21134328358208956</v>
      </c>
      <c r="P105" s="1897">
        <v>0.20656716417910448</v>
      </c>
      <c r="Q105" s="1897">
        <v>0.22805970149253729</v>
      </c>
      <c r="R105" s="1897">
        <v>0.20776119402985072</v>
      </c>
      <c r="S105" s="1898">
        <f t="shared" si="2"/>
        <v>0.2408955223880597</v>
      </c>
    </row>
    <row r="106" spans="1:19">
      <c r="A106" s="1894">
        <f t="shared" si="3"/>
        <v>99</v>
      </c>
      <c r="B106" s="1895" t="s">
        <v>3003</v>
      </c>
      <c r="C106" s="1894" t="s">
        <v>524</v>
      </c>
      <c r="D106" s="1895" t="s">
        <v>737</v>
      </c>
      <c r="E106" s="1894" t="s">
        <v>259</v>
      </c>
      <c r="F106" s="1896">
        <v>134</v>
      </c>
      <c r="G106" s="1897">
        <v>0.40298507462686567</v>
      </c>
      <c r="H106" s="1897">
        <v>0.42388059701492536</v>
      </c>
      <c r="I106" s="1897">
        <v>0.39522388059701491</v>
      </c>
      <c r="J106" s="1897">
        <v>0.33432835820895518</v>
      </c>
      <c r="K106" s="1897">
        <v>0.31402985074626866</v>
      </c>
      <c r="L106" s="1897">
        <v>0.59223880597014922</v>
      </c>
      <c r="M106" s="1897">
        <v>0.36656716417910445</v>
      </c>
      <c r="N106" s="1897">
        <v>0.41791044776119401</v>
      </c>
      <c r="O106" s="1897">
        <v>0.29313432835820896</v>
      </c>
      <c r="P106" s="1897">
        <v>0.34268656716417911</v>
      </c>
      <c r="Q106" s="1897">
        <v>0.3647761194029851</v>
      </c>
      <c r="R106" s="1897">
        <v>0.47761194029850745</v>
      </c>
      <c r="S106" s="1898">
        <f t="shared" si="2"/>
        <v>0.39378109452736315</v>
      </c>
    </row>
    <row r="107" spans="1:19">
      <c r="A107" s="1894">
        <f t="shared" si="3"/>
        <v>100</v>
      </c>
      <c r="B107" s="1895" t="s">
        <v>3004</v>
      </c>
      <c r="C107" s="1894" t="s">
        <v>524</v>
      </c>
      <c r="D107" s="1895" t="s">
        <v>541</v>
      </c>
      <c r="E107" s="1894" t="s">
        <v>259</v>
      </c>
      <c r="F107" s="1896">
        <v>134</v>
      </c>
      <c r="G107" s="1897">
        <v>5.9701492537313432E-2</v>
      </c>
      <c r="H107" s="1897">
        <v>0.11641791044776119</v>
      </c>
      <c r="I107" s="1897">
        <v>0.2626865671641791</v>
      </c>
      <c r="J107" s="1897">
        <v>0.36716417910447763</v>
      </c>
      <c r="K107" s="1897">
        <v>0.27164179104477609</v>
      </c>
      <c r="L107" s="1897">
        <v>0.47462686567164181</v>
      </c>
      <c r="M107" s="1897">
        <v>0.51343283582089549</v>
      </c>
      <c r="N107" s="1897">
        <v>0.54029850746268648</v>
      </c>
      <c r="O107" s="1897">
        <v>0.60895522388059697</v>
      </c>
      <c r="P107" s="1897">
        <v>0.56119402985074629</v>
      </c>
      <c r="Q107" s="1897">
        <v>0.58208955223880599</v>
      </c>
      <c r="R107" s="1897">
        <v>0.59104477611940298</v>
      </c>
      <c r="S107" s="1898">
        <f t="shared" si="2"/>
        <v>0.4124378109452736</v>
      </c>
    </row>
    <row r="108" spans="1:19">
      <c r="A108" s="1894">
        <f t="shared" si="3"/>
        <v>101</v>
      </c>
      <c r="B108" s="1895" t="s">
        <v>3005</v>
      </c>
      <c r="C108" s="1894" t="s">
        <v>524</v>
      </c>
      <c r="D108" s="1895" t="s">
        <v>541</v>
      </c>
      <c r="E108" s="1894" t="s">
        <v>259</v>
      </c>
      <c r="F108" s="1896">
        <v>134</v>
      </c>
      <c r="G108" s="1897">
        <v>0.93253731343283575</v>
      </c>
      <c r="H108" s="1897">
        <v>0.71940298507462686</v>
      </c>
      <c r="I108" s="1897">
        <v>0.75820895522388054</v>
      </c>
      <c r="J108" s="1897">
        <v>0.64179104477611937</v>
      </c>
      <c r="K108" s="1897">
        <v>0.7629850746268656</v>
      </c>
      <c r="L108" s="1897">
        <v>0.86417910447761193</v>
      </c>
      <c r="M108" s="1897">
        <v>0.83582089552238803</v>
      </c>
      <c r="N108" s="1897">
        <v>0.82089552238805974</v>
      </c>
      <c r="O108" s="1897">
        <v>0.62686567164179108</v>
      </c>
      <c r="P108" s="1897">
        <v>0.71641791044776115</v>
      </c>
      <c r="Q108" s="1897">
        <v>0.65671641791044777</v>
      </c>
      <c r="R108" s="1897">
        <v>0.74626865671641796</v>
      </c>
      <c r="S108" s="1898">
        <f t="shared" si="2"/>
        <v>0.75684079601990051</v>
      </c>
    </row>
    <row r="109" spans="1:19">
      <c r="A109" s="1894">
        <f t="shared" si="3"/>
        <v>102</v>
      </c>
      <c r="B109" s="1895" t="s">
        <v>3006</v>
      </c>
      <c r="C109" s="1894" t="s">
        <v>524</v>
      </c>
      <c r="D109" s="1895" t="s">
        <v>636</v>
      </c>
      <c r="E109" s="1894" t="s">
        <v>259</v>
      </c>
      <c r="F109" s="1896">
        <v>134</v>
      </c>
      <c r="G109" s="1897">
        <v>0.42268656716417913</v>
      </c>
      <c r="H109" s="1897">
        <v>0.48119402985074627</v>
      </c>
      <c r="I109" s="1897">
        <v>0.45492537313432835</v>
      </c>
      <c r="J109" s="1897">
        <v>0.45432835820895523</v>
      </c>
      <c r="K109" s="1897">
        <v>0.43343283582089553</v>
      </c>
      <c r="L109" s="1897">
        <v>0.42985074626865666</v>
      </c>
      <c r="M109" s="1897">
        <v>0.36597014925373134</v>
      </c>
      <c r="N109" s="1897">
        <v>0.31522388059701495</v>
      </c>
      <c r="O109" s="1897">
        <v>0.25253731343283581</v>
      </c>
      <c r="P109" s="1897">
        <v>0.2626865671641791</v>
      </c>
      <c r="Q109" s="1897">
        <v>0.32597014925373136</v>
      </c>
      <c r="R109" s="1897">
        <v>0.3062686567164179</v>
      </c>
      <c r="S109" s="1898">
        <f t="shared" si="2"/>
        <v>0.37542288557213926</v>
      </c>
    </row>
    <row r="110" spans="1:19">
      <c r="A110" s="1894">
        <f t="shared" si="3"/>
        <v>103</v>
      </c>
      <c r="B110" s="1895" t="s">
        <v>3007</v>
      </c>
      <c r="C110" s="1894" t="s">
        <v>524</v>
      </c>
      <c r="D110" s="1895" t="s">
        <v>636</v>
      </c>
      <c r="E110" s="1894" t="s">
        <v>259</v>
      </c>
      <c r="F110" s="1896">
        <v>134</v>
      </c>
      <c r="G110" s="1897">
        <v>0.7629850746268656</v>
      </c>
      <c r="H110" s="1897">
        <v>0.80597014925373134</v>
      </c>
      <c r="I110" s="1897">
        <v>0.83283582089552244</v>
      </c>
      <c r="J110" s="1897">
        <v>0.72776119402985073</v>
      </c>
      <c r="K110" s="1897">
        <v>0.73611940298507461</v>
      </c>
      <c r="L110" s="1897">
        <v>0.7391044776119402</v>
      </c>
      <c r="M110" s="1897">
        <v>0.73373134328358203</v>
      </c>
      <c r="N110" s="1897">
        <v>0.66328358208955229</v>
      </c>
      <c r="O110" s="1897">
        <v>0.54507462686567165</v>
      </c>
      <c r="P110" s="1897">
        <v>0.48179104477611939</v>
      </c>
      <c r="Q110" s="1897">
        <v>0.61492537313432827</v>
      </c>
      <c r="R110" s="1897">
        <v>0.80656716417910446</v>
      </c>
      <c r="S110" s="1898">
        <f t="shared" si="2"/>
        <v>0.70417910447761189</v>
      </c>
    </row>
    <row r="111" spans="1:19">
      <c r="A111" s="1894">
        <f t="shared" si="3"/>
        <v>104</v>
      </c>
      <c r="B111" s="1895" t="s">
        <v>3008</v>
      </c>
      <c r="C111" s="1894" t="s">
        <v>524</v>
      </c>
      <c r="D111" s="1895" t="s">
        <v>541</v>
      </c>
      <c r="E111" s="1894" t="s">
        <v>259</v>
      </c>
      <c r="F111" s="1896">
        <v>134</v>
      </c>
      <c r="G111" s="1897">
        <v>1.1797014925373135</v>
      </c>
      <c r="H111" s="1897">
        <v>1.2113432835820894</v>
      </c>
      <c r="I111" s="1897">
        <v>1.0961194029850745</v>
      </c>
      <c r="J111" s="1897">
        <v>0.91164179104477605</v>
      </c>
      <c r="K111" s="1897">
        <v>0.8770149253731343</v>
      </c>
      <c r="L111" s="1897">
        <v>0.62925373134328355</v>
      </c>
      <c r="M111" s="1897">
        <v>0.15641791044776121</v>
      </c>
      <c r="N111" s="1897">
        <v>3.5223880597014923E-2</v>
      </c>
      <c r="O111" s="1897">
        <v>4.5373134328358211E-2</v>
      </c>
      <c r="P111" s="1897">
        <v>0.72238805970149256</v>
      </c>
      <c r="Q111" s="1897">
        <v>0.9158208955223881</v>
      </c>
      <c r="R111" s="1897">
        <v>1.1140298507462687</v>
      </c>
      <c r="S111" s="1898">
        <f t="shared" si="2"/>
        <v>0.74119402985074612</v>
      </c>
    </row>
    <row r="112" spans="1:19">
      <c r="A112" s="1894">
        <f t="shared" si="3"/>
        <v>105</v>
      </c>
      <c r="B112" s="1895" t="s">
        <v>3009</v>
      </c>
      <c r="C112" s="1894" t="s">
        <v>524</v>
      </c>
      <c r="D112" s="1895" t="s">
        <v>636</v>
      </c>
      <c r="E112" s="1894" t="s">
        <v>259</v>
      </c>
      <c r="F112" s="1896">
        <v>134</v>
      </c>
      <c r="G112" s="1897">
        <v>0.2883582089552239</v>
      </c>
      <c r="H112" s="1897">
        <v>0.27283582089552233</v>
      </c>
      <c r="I112" s="1897">
        <v>0.27402985074626868</v>
      </c>
      <c r="J112" s="1897">
        <v>0.24417910447761193</v>
      </c>
      <c r="K112" s="1897">
        <v>0.26686567164179104</v>
      </c>
      <c r="L112" s="1897">
        <v>0.25671641791044775</v>
      </c>
      <c r="M112" s="1897">
        <v>0.20597014925373136</v>
      </c>
      <c r="N112" s="1897">
        <v>0.20835820895522389</v>
      </c>
      <c r="O112" s="1897">
        <v>0.25432835820895522</v>
      </c>
      <c r="P112" s="1897">
        <v>0.23761194029850749</v>
      </c>
      <c r="Q112" s="1897">
        <v>0.24358208955223881</v>
      </c>
      <c r="R112" s="1897">
        <v>0.22805970149253729</v>
      </c>
      <c r="S112" s="1898">
        <f t="shared" si="2"/>
        <v>0.24840796019900493</v>
      </c>
    </row>
    <row r="113" spans="1:19">
      <c r="A113" s="1894">
        <f t="shared" si="3"/>
        <v>106</v>
      </c>
      <c r="B113" s="1895" t="s">
        <v>3010</v>
      </c>
      <c r="C113" s="1894" t="s">
        <v>524</v>
      </c>
      <c r="D113" s="1895" t="s">
        <v>629</v>
      </c>
      <c r="E113" s="1894" t="s">
        <v>259</v>
      </c>
      <c r="F113" s="1896">
        <v>134</v>
      </c>
      <c r="G113" s="1897">
        <v>0.80656716417910446</v>
      </c>
      <c r="H113" s="1897">
        <v>0.84238805970149255</v>
      </c>
      <c r="I113" s="1897">
        <v>0.88298507462686571</v>
      </c>
      <c r="J113" s="1897">
        <v>0.69194029850746264</v>
      </c>
      <c r="K113" s="1897">
        <v>0.76119402985074625</v>
      </c>
      <c r="L113" s="1897">
        <v>0.71283582089552244</v>
      </c>
      <c r="M113" s="1897">
        <v>0.63582089552238807</v>
      </c>
      <c r="N113" s="1897">
        <v>0.69253731343283587</v>
      </c>
      <c r="O113" s="1897">
        <v>0.75104477611940301</v>
      </c>
      <c r="P113" s="1897">
        <v>0.76417910447761195</v>
      </c>
      <c r="Q113" s="1897">
        <v>0.7808955223880597</v>
      </c>
      <c r="R113" s="1897">
        <v>0.61671641791044773</v>
      </c>
      <c r="S113" s="1898">
        <f t="shared" si="2"/>
        <v>0.74492537313432827</v>
      </c>
    </row>
    <row r="114" spans="1:19">
      <c r="A114" s="1894">
        <f t="shared" si="3"/>
        <v>107</v>
      </c>
      <c r="B114" s="1895" t="s">
        <v>3011</v>
      </c>
      <c r="C114" s="1894" t="s">
        <v>524</v>
      </c>
      <c r="D114" s="1895" t="s">
        <v>636</v>
      </c>
      <c r="E114" s="1894" t="s">
        <v>259</v>
      </c>
      <c r="F114" s="1896">
        <v>136</v>
      </c>
      <c r="G114" s="1897">
        <v>0.62941176470588234</v>
      </c>
      <c r="H114" s="1897">
        <v>0.64117647058823535</v>
      </c>
      <c r="I114" s="1897">
        <v>0.7161764705882353</v>
      </c>
      <c r="J114" s="1897">
        <v>0.68823529411764717</v>
      </c>
      <c r="K114" s="1897">
        <v>0.75882352941176467</v>
      </c>
      <c r="L114" s="1897">
        <v>0.71176470588235297</v>
      </c>
      <c r="M114" s="1897">
        <v>0.69558823529411773</v>
      </c>
      <c r="N114" s="1897">
        <v>0.76470588235294112</v>
      </c>
      <c r="O114" s="1897">
        <v>0.7397058823529411</v>
      </c>
      <c r="P114" s="1897">
        <v>0.77941176470588236</v>
      </c>
      <c r="Q114" s="1897">
        <v>0.78529411764705892</v>
      </c>
      <c r="R114" s="1897">
        <v>0.74558823529411766</v>
      </c>
      <c r="S114" s="1898">
        <f t="shared" si="2"/>
        <v>0.72132352941176459</v>
      </c>
    </row>
    <row r="115" spans="1:19">
      <c r="A115" s="1894">
        <f t="shared" si="3"/>
        <v>108</v>
      </c>
      <c r="B115" s="1895" t="s">
        <v>3012</v>
      </c>
      <c r="C115" s="1894" t="s">
        <v>524</v>
      </c>
      <c r="D115" s="1895" t="s">
        <v>541</v>
      </c>
      <c r="E115" s="1894" t="s">
        <v>259</v>
      </c>
      <c r="F115" s="1896">
        <v>137</v>
      </c>
      <c r="G115" s="1897">
        <v>0.81430656934306567</v>
      </c>
      <c r="H115" s="1897">
        <v>0.77839416058394162</v>
      </c>
      <c r="I115" s="1897">
        <v>0.84583941605839408</v>
      </c>
      <c r="J115" s="1897">
        <v>0.83678832116788326</v>
      </c>
      <c r="K115" s="1897">
        <v>8.905109489051094E-2</v>
      </c>
      <c r="L115" s="1897">
        <v>8.7591240875912399E-3</v>
      </c>
      <c r="M115" s="1897">
        <v>0.46890510948905106</v>
      </c>
      <c r="N115" s="1897">
        <v>0.33080291970802922</v>
      </c>
      <c r="O115" s="1897">
        <v>0.35270072992700729</v>
      </c>
      <c r="P115" s="1897">
        <v>0.38131386861313871</v>
      </c>
      <c r="Q115" s="1897">
        <v>0.39737226277372262</v>
      </c>
      <c r="R115" s="1897">
        <v>0.42656934306569344</v>
      </c>
      <c r="S115" s="1898">
        <f t="shared" si="2"/>
        <v>0.47756690997566914</v>
      </c>
    </row>
    <row r="116" spans="1:19">
      <c r="A116" s="1894">
        <f t="shared" si="3"/>
        <v>109</v>
      </c>
      <c r="B116" s="1895" t="s">
        <v>3013</v>
      </c>
      <c r="C116" s="1894" t="s">
        <v>524</v>
      </c>
      <c r="D116" s="1895" t="s">
        <v>541</v>
      </c>
      <c r="E116" s="1894" t="s">
        <v>259</v>
      </c>
      <c r="F116" s="1896">
        <v>137</v>
      </c>
      <c r="G116" s="1897">
        <v>1.5766423357664233E-2</v>
      </c>
      <c r="H116" s="1897">
        <v>1.8394160583941607E-2</v>
      </c>
      <c r="I116" s="1897">
        <v>2.0145985401459853E-2</v>
      </c>
      <c r="J116" s="1897">
        <v>2.1021897810218976E-2</v>
      </c>
      <c r="K116" s="1897">
        <v>1.4014598540145987E-2</v>
      </c>
      <c r="L116" s="1897">
        <v>2.1897810218978103E-2</v>
      </c>
      <c r="M116" s="1897">
        <v>2.1897810218978103E-2</v>
      </c>
      <c r="N116" s="1897">
        <v>2.6277372262773723E-2</v>
      </c>
      <c r="O116" s="1897">
        <v>2.6277372262773723E-2</v>
      </c>
      <c r="P116" s="1897">
        <v>2.1021897810218976E-2</v>
      </c>
      <c r="Q116" s="1897">
        <v>2.0145985401459853E-2</v>
      </c>
      <c r="R116" s="1897">
        <v>7.4452554744525556E-2</v>
      </c>
      <c r="S116" s="1898">
        <f t="shared" si="2"/>
        <v>2.5109489051094891E-2</v>
      </c>
    </row>
    <row r="117" spans="1:19">
      <c r="A117" s="1894">
        <f t="shared" si="3"/>
        <v>110</v>
      </c>
      <c r="B117" s="1895" t="s">
        <v>3014</v>
      </c>
      <c r="C117" s="1894" t="s">
        <v>524</v>
      </c>
      <c r="D117" s="1895" t="s">
        <v>636</v>
      </c>
      <c r="E117" s="1894" t="s">
        <v>259</v>
      </c>
      <c r="F117" s="1896">
        <v>138</v>
      </c>
      <c r="G117" s="1897">
        <v>0.32521739130434779</v>
      </c>
      <c r="H117" s="1897">
        <v>0.3263768115942029</v>
      </c>
      <c r="I117" s="1897">
        <v>0.30550724637681159</v>
      </c>
      <c r="J117" s="1897">
        <v>0.2707246376811594</v>
      </c>
      <c r="K117" s="1897">
        <v>0.26202898550724635</v>
      </c>
      <c r="L117" s="1897">
        <v>0.25913043478260867</v>
      </c>
      <c r="M117" s="1897">
        <v>0.23710144927536231</v>
      </c>
      <c r="N117" s="1897">
        <v>0.22028985507246376</v>
      </c>
      <c r="O117" s="1897">
        <v>0.27826086956521739</v>
      </c>
      <c r="P117" s="1897">
        <v>0.21797101449275363</v>
      </c>
      <c r="Q117" s="1897">
        <v>0.216231884057971</v>
      </c>
      <c r="R117" s="1897">
        <v>0.24231884057971012</v>
      </c>
      <c r="S117" s="1898">
        <f t="shared" si="2"/>
        <v>0.26342995169082123</v>
      </c>
    </row>
    <row r="118" spans="1:19">
      <c r="A118" s="1894">
        <f t="shared" si="3"/>
        <v>111</v>
      </c>
      <c r="B118" s="1895" t="s">
        <v>3015</v>
      </c>
      <c r="C118" s="1894" t="s">
        <v>524</v>
      </c>
      <c r="D118" s="1895" t="s">
        <v>636</v>
      </c>
      <c r="E118" s="1894" t="s">
        <v>259</v>
      </c>
      <c r="F118" s="1896">
        <v>138</v>
      </c>
      <c r="G118" s="1897">
        <v>1.1901449275362319</v>
      </c>
      <c r="H118" s="1897">
        <v>1.1878260869565216</v>
      </c>
      <c r="I118" s="1897">
        <v>1.2179710144927538</v>
      </c>
      <c r="J118" s="1897">
        <v>1.1849275362318841</v>
      </c>
      <c r="K118" s="1897">
        <v>1.1959420289855074</v>
      </c>
      <c r="L118" s="1897">
        <v>1.1542028985507247</v>
      </c>
      <c r="M118" s="1897">
        <v>1.1246376811594203</v>
      </c>
      <c r="N118" s="1897">
        <v>1.1171014492753624</v>
      </c>
      <c r="O118" s="1897">
        <v>1.0881159420289854</v>
      </c>
      <c r="P118" s="1897">
        <v>1.1686956521739131</v>
      </c>
      <c r="Q118" s="1897">
        <v>1.1634782608695653</v>
      </c>
      <c r="R118" s="1897">
        <v>1.2237681159420291</v>
      </c>
      <c r="S118" s="1898">
        <f t="shared" si="2"/>
        <v>1.1680676328502415</v>
      </c>
    </row>
    <row r="119" spans="1:19">
      <c r="A119" s="1894">
        <f t="shared" si="3"/>
        <v>112</v>
      </c>
      <c r="B119" s="1895" t="s">
        <v>3016</v>
      </c>
      <c r="C119" s="1894" t="s">
        <v>524</v>
      </c>
      <c r="D119" s="1895" t="s">
        <v>541</v>
      </c>
      <c r="E119" s="1894" t="s">
        <v>259</v>
      </c>
      <c r="F119" s="1896">
        <v>138</v>
      </c>
      <c r="G119" s="1897">
        <v>7.8260869565217397E-2</v>
      </c>
      <c r="H119" s="1897">
        <v>0.64463768115942022</v>
      </c>
      <c r="I119" s="1897">
        <v>0.5895652173913043</v>
      </c>
      <c r="J119" s="1897">
        <v>4.9855072463768114E-2</v>
      </c>
      <c r="K119" s="1897">
        <v>0.54202898550724632</v>
      </c>
      <c r="L119" s="1897">
        <v>8.1739130434782606E-2</v>
      </c>
      <c r="M119" s="1897">
        <v>3.4782608695652174E-2</v>
      </c>
      <c r="N119" s="1897">
        <v>8.6956521739130432E-2</v>
      </c>
      <c r="O119" s="1897">
        <v>6.7246376811594205E-2</v>
      </c>
      <c r="P119" s="1897">
        <v>7.1884057971014492E-2</v>
      </c>
      <c r="Q119" s="1897">
        <v>7.0724637681159414E-2</v>
      </c>
      <c r="R119" s="1897">
        <v>7.1304347826086953E-2</v>
      </c>
      <c r="S119" s="1898">
        <f t="shared" si="2"/>
        <v>0.19908212560386471</v>
      </c>
    </row>
    <row r="120" spans="1:19">
      <c r="A120" s="1894">
        <f t="shared" si="3"/>
        <v>113</v>
      </c>
      <c r="B120" s="1895" t="s">
        <v>3017</v>
      </c>
      <c r="C120" s="1894" t="s">
        <v>524</v>
      </c>
      <c r="D120" s="1895" t="s">
        <v>541</v>
      </c>
      <c r="E120" s="1894" t="s">
        <v>259</v>
      </c>
      <c r="F120" s="1896">
        <v>139</v>
      </c>
      <c r="G120" s="1897">
        <v>0</v>
      </c>
      <c r="H120" s="1897">
        <v>0.73496402877697853</v>
      </c>
      <c r="I120" s="1897">
        <v>0.75856115107913669</v>
      </c>
      <c r="J120" s="1897">
        <v>0.74302158273381291</v>
      </c>
      <c r="K120" s="1897">
        <v>0.75568345323741015</v>
      </c>
      <c r="L120" s="1897">
        <v>0.75568345323741015</v>
      </c>
      <c r="M120" s="1897">
        <v>0.86100719424460437</v>
      </c>
      <c r="N120" s="1897">
        <v>0.86273381294964036</v>
      </c>
      <c r="O120" s="1897">
        <v>0.93582733812949626</v>
      </c>
      <c r="P120" s="1897">
        <v>0.87654676258992803</v>
      </c>
      <c r="Q120" s="1897">
        <v>0.92834532374100709</v>
      </c>
      <c r="R120" s="1897">
        <v>0.88287769784172676</v>
      </c>
      <c r="S120" s="1898">
        <f t="shared" si="2"/>
        <v>0.75793764988009604</v>
      </c>
    </row>
    <row r="121" spans="1:19">
      <c r="A121" s="1894">
        <f t="shared" si="3"/>
        <v>114</v>
      </c>
      <c r="B121" s="1895" t="s">
        <v>3018</v>
      </c>
      <c r="C121" s="1894" t="s">
        <v>524</v>
      </c>
      <c r="D121" s="1895" t="s">
        <v>636</v>
      </c>
      <c r="E121" s="1894" t="s">
        <v>259</v>
      </c>
      <c r="F121" s="1896">
        <v>139</v>
      </c>
      <c r="G121" s="1897">
        <v>0</v>
      </c>
      <c r="H121" s="1897">
        <v>0.64244604316546761</v>
      </c>
      <c r="I121" s="1897">
        <v>0.51582733812949644</v>
      </c>
      <c r="J121" s="1897">
        <v>0.43812949640287768</v>
      </c>
      <c r="K121" s="1897">
        <v>0.60503597122302155</v>
      </c>
      <c r="L121" s="1897">
        <v>0.4525179856115108</v>
      </c>
      <c r="M121" s="1897">
        <v>0.4697841726618705</v>
      </c>
      <c r="N121" s="1897">
        <v>0.47553956834532368</v>
      </c>
      <c r="O121" s="1897">
        <v>0.20215827338129497</v>
      </c>
      <c r="P121" s="1897">
        <v>0.21654676258992805</v>
      </c>
      <c r="Q121" s="1897">
        <v>0.3345323741007194</v>
      </c>
      <c r="R121" s="1897">
        <v>0.4122302158273381</v>
      </c>
      <c r="S121" s="1898">
        <f t="shared" si="2"/>
        <v>0.39706235011990404</v>
      </c>
    </row>
    <row r="122" spans="1:19">
      <c r="A122" s="1894">
        <f t="shared" si="3"/>
        <v>115</v>
      </c>
      <c r="B122" s="1895" t="s">
        <v>3019</v>
      </c>
      <c r="C122" s="1894" t="s">
        <v>524</v>
      </c>
      <c r="D122" s="1895" t="s">
        <v>636</v>
      </c>
      <c r="E122" s="1894" t="s">
        <v>259</v>
      </c>
      <c r="F122" s="1896">
        <v>139</v>
      </c>
      <c r="G122" s="1897">
        <v>0.30848920863309354</v>
      </c>
      <c r="H122" s="1897">
        <v>0.33496402877697845</v>
      </c>
      <c r="I122" s="1897">
        <v>0.35568345323741007</v>
      </c>
      <c r="J122" s="1897">
        <v>0.37870503597122301</v>
      </c>
      <c r="K122" s="1897">
        <v>0.26589928057553958</v>
      </c>
      <c r="L122" s="1897">
        <v>0.26705035971223018</v>
      </c>
      <c r="M122" s="1897">
        <v>0.25784172661870502</v>
      </c>
      <c r="N122" s="1897">
        <v>0.30964028776978414</v>
      </c>
      <c r="O122" s="1897">
        <v>0.36143884892086325</v>
      </c>
      <c r="P122" s="1897">
        <v>0.32920863309352516</v>
      </c>
      <c r="Q122" s="1897">
        <v>0.35453237410071942</v>
      </c>
      <c r="R122" s="1897">
        <v>0.35338129496402881</v>
      </c>
      <c r="S122" s="1898">
        <f t="shared" si="2"/>
        <v>0.32306954436450841</v>
      </c>
    </row>
    <row r="123" spans="1:19">
      <c r="A123" s="1894">
        <f t="shared" si="3"/>
        <v>116</v>
      </c>
      <c r="B123" s="1895" t="s">
        <v>3019</v>
      </c>
      <c r="C123" s="1894" t="s">
        <v>524</v>
      </c>
      <c r="D123" s="1895" t="s">
        <v>636</v>
      </c>
      <c r="E123" s="1894" t="s">
        <v>259</v>
      </c>
      <c r="F123" s="1896">
        <v>139</v>
      </c>
      <c r="G123" s="1897">
        <v>0.32575539568345324</v>
      </c>
      <c r="H123" s="1897">
        <v>0.29352517985611509</v>
      </c>
      <c r="I123" s="1897">
        <v>0.42359712230215824</v>
      </c>
      <c r="J123" s="1897">
        <v>0.38215827338129493</v>
      </c>
      <c r="K123" s="1897">
        <v>0.2854676258992806</v>
      </c>
      <c r="L123" s="1897">
        <v>0.34647482014388487</v>
      </c>
      <c r="M123" s="1897">
        <v>0.77237410071942458</v>
      </c>
      <c r="N123" s="1897">
        <v>0.32805755395683456</v>
      </c>
      <c r="O123" s="1897">
        <v>0.42474820143884895</v>
      </c>
      <c r="P123" s="1897">
        <v>0.42244604316546769</v>
      </c>
      <c r="Q123" s="1897">
        <v>0.44546762589928052</v>
      </c>
      <c r="R123" s="1897">
        <v>0.44431654676258997</v>
      </c>
      <c r="S123" s="1898">
        <f t="shared" si="2"/>
        <v>0.40786570743405276</v>
      </c>
    </row>
    <row r="124" spans="1:19">
      <c r="A124" s="1894">
        <f t="shared" si="3"/>
        <v>117</v>
      </c>
      <c r="B124" s="1895" t="s">
        <v>3020</v>
      </c>
      <c r="C124" s="1894" t="s">
        <v>524</v>
      </c>
      <c r="D124" s="1895" t="s">
        <v>636</v>
      </c>
      <c r="E124" s="1894" t="s">
        <v>259</v>
      </c>
      <c r="F124" s="1896">
        <v>139</v>
      </c>
      <c r="G124" s="1897">
        <v>0</v>
      </c>
      <c r="H124" s="1897">
        <v>0</v>
      </c>
      <c r="I124" s="1897">
        <v>0</v>
      </c>
      <c r="J124" s="1897">
        <v>0</v>
      </c>
      <c r="K124" s="1897">
        <v>0</v>
      </c>
      <c r="L124" s="1897">
        <v>0</v>
      </c>
      <c r="M124" s="1897">
        <v>0</v>
      </c>
      <c r="N124" s="1897">
        <v>0</v>
      </c>
      <c r="O124" s="1897">
        <v>0</v>
      </c>
      <c r="P124" s="1897">
        <v>0.72575539568345315</v>
      </c>
      <c r="Q124" s="1897">
        <v>0.66935251798561157</v>
      </c>
      <c r="R124" s="1897">
        <v>0.66647482014388493</v>
      </c>
      <c r="S124" s="1898">
        <f t="shared" si="2"/>
        <v>0.17179856115107914</v>
      </c>
    </row>
    <row r="125" spans="1:19">
      <c r="A125" s="1894">
        <f t="shared" si="3"/>
        <v>118</v>
      </c>
      <c r="B125" s="1895" t="s">
        <v>3021</v>
      </c>
      <c r="C125" s="1894" t="s">
        <v>524</v>
      </c>
      <c r="D125" s="1895" t="s">
        <v>541</v>
      </c>
      <c r="E125" s="1894" t="s">
        <v>259</v>
      </c>
      <c r="F125" s="1896">
        <v>140</v>
      </c>
      <c r="G125" s="1897">
        <v>1.5222857142857142</v>
      </c>
      <c r="H125" s="1897">
        <v>1.7237142857142858</v>
      </c>
      <c r="I125" s="1897">
        <v>1.5017142857142856</v>
      </c>
      <c r="J125" s="1897">
        <v>1.5282857142857142</v>
      </c>
      <c r="K125" s="1897">
        <v>1.1219999999999999</v>
      </c>
      <c r="L125" s="1897">
        <v>0.51514285714285712</v>
      </c>
      <c r="M125" s="1897">
        <v>0.16028571428571428</v>
      </c>
      <c r="N125" s="1897">
        <v>0.13542857142857143</v>
      </c>
      <c r="O125" s="1897">
        <v>0.18771428571428569</v>
      </c>
      <c r="P125" s="1897">
        <v>1.3097142857142856</v>
      </c>
      <c r="Q125" s="1897">
        <v>1.3088571428571429</v>
      </c>
      <c r="R125" s="1897">
        <v>1.2291428571428573</v>
      </c>
      <c r="S125" s="1898">
        <f t="shared" si="2"/>
        <v>1.020357142857143</v>
      </c>
    </row>
    <row r="126" spans="1:19">
      <c r="A126" s="1894">
        <f t="shared" si="3"/>
        <v>119</v>
      </c>
      <c r="B126" s="1895" t="s">
        <v>3022</v>
      </c>
      <c r="C126" s="1894" t="s">
        <v>524</v>
      </c>
      <c r="D126" s="1895" t="s">
        <v>2966</v>
      </c>
      <c r="E126" s="1894" t="s">
        <v>259</v>
      </c>
      <c r="F126" s="1896">
        <v>140</v>
      </c>
      <c r="G126" s="1897">
        <v>0.36857142857142855</v>
      </c>
      <c r="H126" s="1897">
        <v>0.65400000000000003</v>
      </c>
      <c r="I126" s="1897">
        <v>0.57085714285714284</v>
      </c>
      <c r="J126" s="1897">
        <v>0.59571428571428575</v>
      </c>
      <c r="K126" s="1897">
        <v>0.42000000000000004</v>
      </c>
      <c r="L126" s="1897">
        <v>0.41228571428571426</v>
      </c>
      <c r="M126" s="1897">
        <v>0.1242857142857143</v>
      </c>
      <c r="N126" s="1897">
        <v>0.14399999999999999</v>
      </c>
      <c r="O126" s="1897">
        <v>5.0571428571428573E-2</v>
      </c>
      <c r="P126" s="1897">
        <v>7.285714285714287E-2</v>
      </c>
      <c r="Q126" s="1897">
        <v>0.1577142857142857</v>
      </c>
      <c r="R126" s="1897">
        <v>0.13028571428571428</v>
      </c>
      <c r="S126" s="1898">
        <f t="shared" si="2"/>
        <v>0.30842857142857144</v>
      </c>
    </row>
    <row r="127" spans="1:19">
      <c r="A127" s="1894">
        <f t="shared" si="3"/>
        <v>120</v>
      </c>
      <c r="B127" s="1895" t="s">
        <v>3023</v>
      </c>
      <c r="C127" s="1894" t="s">
        <v>524</v>
      </c>
      <c r="D127" s="1895" t="s">
        <v>541</v>
      </c>
      <c r="E127" s="1894" t="s">
        <v>259</v>
      </c>
      <c r="F127" s="1896">
        <v>140</v>
      </c>
      <c r="G127" s="1897">
        <v>0.53657142857142859</v>
      </c>
      <c r="H127" s="1897">
        <v>1.016</v>
      </c>
      <c r="I127" s="1897">
        <v>0.99028571428571444</v>
      </c>
      <c r="J127" s="1897">
        <v>0.81485714285714284</v>
      </c>
      <c r="K127" s="1897">
        <v>0.80342857142857149</v>
      </c>
      <c r="L127" s="1897">
        <v>0.48800000000000004</v>
      </c>
      <c r="M127" s="1897">
        <v>0.46342857142857152</v>
      </c>
      <c r="N127" s="1897">
        <v>0.45428571428571429</v>
      </c>
      <c r="O127" s="1897">
        <v>0.43142857142857144</v>
      </c>
      <c r="P127" s="1897">
        <v>0.4291428571428571</v>
      </c>
      <c r="Q127" s="1897">
        <v>0.4548571428571429</v>
      </c>
      <c r="R127" s="1897">
        <v>0.4662857142857143</v>
      </c>
      <c r="S127" s="1898">
        <f t="shared" si="2"/>
        <v>0.61238095238095236</v>
      </c>
    </row>
    <row r="128" spans="1:19">
      <c r="A128" s="1894">
        <f t="shared" si="3"/>
        <v>121</v>
      </c>
      <c r="B128" s="1895" t="s">
        <v>3024</v>
      </c>
      <c r="C128" s="1894" t="s">
        <v>524</v>
      </c>
      <c r="D128" s="1895" t="s">
        <v>636</v>
      </c>
      <c r="E128" s="1894" t="s">
        <v>259</v>
      </c>
      <c r="F128" s="1896">
        <v>140</v>
      </c>
      <c r="G128" s="1897">
        <v>0.95857142857142874</v>
      </c>
      <c r="H128" s="1897">
        <v>0.79285714285714293</v>
      </c>
      <c r="I128" s="1897">
        <v>0.8085714285714285</v>
      </c>
      <c r="J128" s="1897">
        <v>0.62114285714285722</v>
      </c>
      <c r="K128" s="1897">
        <v>0.78171428571428569</v>
      </c>
      <c r="L128" s="1897">
        <v>0.8085714285714285</v>
      </c>
      <c r="M128" s="1897">
        <v>0.66228571428571426</v>
      </c>
      <c r="N128" s="1897">
        <v>0.67028571428571426</v>
      </c>
      <c r="O128" s="1897">
        <v>0.68400000000000005</v>
      </c>
      <c r="P128" s="1897">
        <v>0.63085714285714278</v>
      </c>
      <c r="Q128" s="1897">
        <v>0.8085714285714285</v>
      </c>
      <c r="R128" s="1897">
        <v>0.85371428571428576</v>
      </c>
      <c r="S128" s="1898">
        <f t="shared" si="2"/>
        <v>0.75676190476190464</v>
      </c>
    </row>
    <row r="129" spans="1:19">
      <c r="A129" s="1894">
        <f t="shared" si="3"/>
        <v>122</v>
      </c>
      <c r="B129" s="1895" t="s">
        <v>3025</v>
      </c>
      <c r="C129" s="1894" t="s">
        <v>524</v>
      </c>
      <c r="D129" s="1895" t="s">
        <v>541</v>
      </c>
      <c r="E129" s="1894" t="s">
        <v>259</v>
      </c>
      <c r="F129" s="1896">
        <v>140</v>
      </c>
      <c r="G129" s="1897">
        <v>0.70285714285714285</v>
      </c>
      <c r="H129" s="1897">
        <v>0.76171428571428568</v>
      </c>
      <c r="I129" s="1897">
        <v>0.72228571428571431</v>
      </c>
      <c r="J129" s="1897">
        <v>0.51257142857142857</v>
      </c>
      <c r="K129" s="1897">
        <v>0.49028571428571427</v>
      </c>
      <c r="L129" s="1897">
        <v>0.42171428571428576</v>
      </c>
      <c r="M129" s="1897">
        <v>0.44628571428571434</v>
      </c>
      <c r="N129" s="1897">
        <v>0.44114285714285717</v>
      </c>
      <c r="O129" s="1897">
        <v>0.42971428571428572</v>
      </c>
      <c r="P129" s="1897">
        <v>0.36</v>
      </c>
      <c r="Q129" s="1897">
        <v>0.45942857142857135</v>
      </c>
      <c r="R129" s="1897">
        <v>0.36285714285714282</v>
      </c>
      <c r="S129" s="1898">
        <f t="shared" si="2"/>
        <v>0.50923809523809527</v>
      </c>
    </row>
    <row r="130" spans="1:19">
      <c r="A130" s="1894">
        <f t="shared" si="3"/>
        <v>123</v>
      </c>
      <c r="B130" s="1895" t="s">
        <v>3026</v>
      </c>
      <c r="C130" s="1894" t="s">
        <v>524</v>
      </c>
      <c r="D130" s="1895" t="s">
        <v>737</v>
      </c>
      <c r="E130" s="1894" t="s">
        <v>259</v>
      </c>
      <c r="F130" s="1896">
        <v>141</v>
      </c>
      <c r="G130" s="1897">
        <v>0.17304964539007092</v>
      </c>
      <c r="H130" s="1897">
        <v>0.20425531914893616</v>
      </c>
      <c r="I130" s="1897">
        <v>0.21106382978723404</v>
      </c>
      <c r="J130" s="1897">
        <v>0.13957446808510637</v>
      </c>
      <c r="K130" s="1897">
        <v>0.16340425531914893</v>
      </c>
      <c r="L130" s="1897">
        <v>0.11687943262411347</v>
      </c>
      <c r="M130" s="1897">
        <v>0.10893617021276596</v>
      </c>
      <c r="N130" s="1897">
        <v>0.61843971631205674</v>
      </c>
      <c r="O130" s="1897">
        <v>0.1327659574468085</v>
      </c>
      <c r="P130" s="1897">
        <v>0.16907801418439716</v>
      </c>
      <c r="Q130" s="1897">
        <v>0.13503546099290781</v>
      </c>
      <c r="R130" s="1897">
        <v>0.15432624113475177</v>
      </c>
      <c r="S130" s="1898">
        <f t="shared" si="2"/>
        <v>0.19390070921985816</v>
      </c>
    </row>
    <row r="131" spans="1:19">
      <c r="A131" s="1894">
        <f t="shared" si="3"/>
        <v>124</v>
      </c>
      <c r="B131" s="1895" t="s">
        <v>3013</v>
      </c>
      <c r="C131" s="1894" t="s">
        <v>524</v>
      </c>
      <c r="D131" s="1895" t="s">
        <v>541</v>
      </c>
      <c r="E131" s="1894" t="s">
        <v>259</v>
      </c>
      <c r="F131" s="1896">
        <v>141</v>
      </c>
      <c r="G131" s="1897">
        <v>1.8782978723404258</v>
      </c>
      <c r="H131" s="1897">
        <v>2.114042553191489</v>
      </c>
      <c r="I131" s="1897">
        <v>1.8025531914893618</v>
      </c>
      <c r="J131" s="1897">
        <v>1.48</v>
      </c>
      <c r="K131" s="1897">
        <v>3.4042553191489362E-2</v>
      </c>
      <c r="L131" s="1897">
        <v>1.1821276595744681</v>
      </c>
      <c r="M131" s="1897">
        <v>1.3982978723404256</v>
      </c>
      <c r="N131" s="1897">
        <v>1.3957446808510638</v>
      </c>
      <c r="O131" s="1897">
        <v>1.8578723404255317</v>
      </c>
      <c r="P131" s="1897">
        <v>1.5982978723404255</v>
      </c>
      <c r="Q131" s="1897">
        <v>1.9531914893617024</v>
      </c>
      <c r="R131" s="1897">
        <v>2.0110638297872341</v>
      </c>
      <c r="S131" s="1898">
        <f t="shared" si="2"/>
        <v>1.5587943262411346</v>
      </c>
    </row>
    <row r="132" spans="1:19">
      <c r="A132" s="1894">
        <f t="shared" si="3"/>
        <v>125</v>
      </c>
      <c r="B132" s="1895" t="s">
        <v>3027</v>
      </c>
      <c r="C132" s="1894" t="s">
        <v>524</v>
      </c>
      <c r="D132" s="1895" t="s">
        <v>541</v>
      </c>
      <c r="E132" s="1894" t="s">
        <v>259</v>
      </c>
      <c r="F132" s="1896">
        <v>141</v>
      </c>
      <c r="G132" s="1897">
        <v>0.57560283687943259</v>
      </c>
      <c r="H132" s="1897">
        <v>0.50297872340425531</v>
      </c>
      <c r="I132" s="1897">
        <v>0.50439716312056737</v>
      </c>
      <c r="J132" s="1897">
        <v>0.40794326241134754</v>
      </c>
      <c r="K132" s="1897">
        <v>2.5815602836879434E-2</v>
      </c>
      <c r="L132" s="1897">
        <v>4.6524822695035467E-2</v>
      </c>
      <c r="M132" s="1897">
        <v>1.617021276595745E-2</v>
      </c>
      <c r="N132" s="1897">
        <v>0.56794326241134752</v>
      </c>
      <c r="O132" s="1897">
        <v>0.53134751773049649</v>
      </c>
      <c r="P132" s="1897">
        <v>0.53900709219858156</v>
      </c>
      <c r="Q132" s="1897">
        <v>0.60737588652482266</v>
      </c>
      <c r="R132" s="1897">
        <v>0.73503546099290784</v>
      </c>
      <c r="S132" s="1898">
        <f t="shared" si="2"/>
        <v>0.42167848699763594</v>
      </c>
    </row>
    <row r="133" spans="1:19">
      <c r="A133" s="1894">
        <f t="shared" si="3"/>
        <v>126</v>
      </c>
      <c r="B133" s="1895" t="s">
        <v>3028</v>
      </c>
      <c r="C133" s="1894" t="s">
        <v>524</v>
      </c>
      <c r="D133" s="1895" t="s">
        <v>636</v>
      </c>
      <c r="E133" s="1894" t="s">
        <v>259</v>
      </c>
      <c r="F133" s="1896">
        <v>141</v>
      </c>
      <c r="G133" s="1897">
        <v>0.58950354609929079</v>
      </c>
      <c r="H133" s="1897">
        <v>0.61900709219858152</v>
      </c>
      <c r="I133" s="1897">
        <v>0.63829787234042556</v>
      </c>
      <c r="J133" s="1897">
        <v>0.58156028368794321</v>
      </c>
      <c r="K133" s="1897">
        <v>0.53900709219858156</v>
      </c>
      <c r="L133" s="1897">
        <v>0.55035460992907803</v>
      </c>
      <c r="M133" s="1897">
        <v>0.5134751773049645</v>
      </c>
      <c r="N133" s="1897">
        <v>0.49134751773049645</v>
      </c>
      <c r="O133" s="1897">
        <v>0.51460992907801417</v>
      </c>
      <c r="P133" s="1897">
        <v>0.4777304964539007</v>
      </c>
      <c r="Q133" s="1897">
        <v>0.5236879432624113</v>
      </c>
      <c r="R133" s="1897">
        <v>0.52255319148936175</v>
      </c>
      <c r="S133" s="1898">
        <f t="shared" si="2"/>
        <v>0.54676122931442073</v>
      </c>
    </row>
    <row r="134" spans="1:19">
      <c r="A134" s="1894">
        <f t="shared" si="3"/>
        <v>127</v>
      </c>
      <c r="B134" s="1895" t="s">
        <v>3029</v>
      </c>
      <c r="C134" s="1894" t="s">
        <v>524</v>
      </c>
      <c r="D134" s="1895" t="s">
        <v>541</v>
      </c>
      <c r="E134" s="1894" t="s">
        <v>259</v>
      </c>
      <c r="F134" s="1896">
        <v>142</v>
      </c>
      <c r="G134" s="1897">
        <v>0.89690140845070432</v>
      </c>
      <c r="H134" s="1897">
        <v>0.83154929577464798</v>
      </c>
      <c r="I134" s="1897">
        <v>7.7183098591549301E-2</v>
      </c>
      <c r="J134" s="1897">
        <v>5.3521126760563378E-2</v>
      </c>
      <c r="K134" s="1897">
        <v>7.6619718309859142E-2</v>
      </c>
      <c r="L134" s="1897">
        <v>0.14760563380281691</v>
      </c>
      <c r="M134" s="1897">
        <v>7.0985915492957741E-2</v>
      </c>
      <c r="N134" s="1897">
        <v>6.3098591549295771E-2</v>
      </c>
      <c r="O134" s="1897">
        <v>6.1408450704225355E-2</v>
      </c>
      <c r="P134" s="1897">
        <v>2.9295774647887324E-2</v>
      </c>
      <c r="Q134" s="1897">
        <v>3.6619718309859155E-2</v>
      </c>
      <c r="R134" s="1897">
        <v>8.3380281690140848E-2</v>
      </c>
      <c r="S134" s="1898">
        <f t="shared" si="2"/>
        <v>0.2023474178403756</v>
      </c>
    </row>
    <row r="135" spans="1:19">
      <c r="A135" s="1894">
        <f t="shared" si="3"/>
        <v>128</v>
      </c>
      <c r="B135" s="1895" t="s">
        <v>3030</v>
      </c>
      <c r="C135" s="1894" t="s">
        <v>524</v>
      </c>
      <c r="D135" s="1895" t="s">
        <v>2966</v>
      </c>
      <c r="E135" s="1894" t="s">
        <v>259</v>
      </c>
      <c r="F135" s="1896">
        <v>142</v>
      </c>
      <c r="G135" s="1897">
        <v>0.68788732394366203</v>
      </c>
      <c r="H135" s="1897">
        <v>0.98422535211267603</v>
      </c>
      <c r="I135" s="1897">
        <v>0.61633802816901406</v>
      </c>
      <c r="J135" s="1897">
        <v>0.81577464788732401</v>
      </c>
      <c r="K135" s="1897">
        <v>0.82084507042253518</v>
      </c>
      <c r="L135" s="1897">
        <v>0.58028169014084496</v>
      </c>
      <c r="M135" s="1897">
        <v>0.91605633802816888</v>
      </c>
      <c r="N135" s="1897">
        <v>0.93915492957746471</v>
      </c>
      <c r="O135" s="1897">
        <v>0.82704225352112681</v>
      </c>
      <c r="P135" s="1897">
        <v>0.10478873239436619</v>
      </c>
      <c r="Q135" s="1897">
        <v>0.58704225352112671</v>
      </c>
      <c r="R135" s="1897">
        <v>0.55098591549295772</v>
      </c>
      <c r="S135" s="1898">
        <f t="shared" si="2"/>
        <v>0.70253521126760576</v>
      </c>
    </row>
    <row r="136" spans="1:19">
      <c r="A136" s="1894">
        <f t="shared" si="3"/>
        <v>129</v>
      </c>
      <c r="B136" s="1895" t="s">
        <v>3031</v>
      </c>
      <c r="C136" s="1894" t="s">
        <v>524</v>
      </c>
      <c r="D136" s="1895" t="s">
        <v>541</v>
      </c>
      <c r="E136" s="1894" t="s">
        <v>259</v>
      </c>
      <c r="F136" s="1896">
        <v>142</v>
      </c>
      <c r="G136" s="1897">
        <v>1</v>
      </c>
      <c r="H136" s="1897">
        <v>1.0490140845070424</v>
      </c>
      <c r="I136" s="1897">
        <v>1.1047887323943661</v>
      </c>
      <c r="J136" s="1897">
        <v>1.0056338028169012</v>
      </c>
      <c r="K136" s="1897">
        <v>0.93690140845070413</v>
      </c>
      <c r="L136" s="1897">
        <v>0.91549295774647887</v>
      </c>
      <c r="M136" s="1897">
        <v>0.8630985915492958</v>
      </c>
      <c r="N136" s="1897">
        <v>0.84</v>
      </c>
      <c r="O136" s="1897">
        <v>0.96619718309859171</v>
      </c>
      <c r="P136" s="1897">
        <v>0.74704225352112674</v>
      </c>
      <c r="Q136" s="1897">
        <v>0.93521126760563389</v>
      </c>
      <c r="R136" s="1897">
        <v>0.58197183098591554</v>
      </c>
      <c r="S136" s="1898">
        <f t="shared" ref="S136:S199" si="4">+SUM(G136:R136)/12</f>
        <v>0.91211267605633806</v>
      </c>
    </row>
    <row r="137" spans="1:19">
      <c r="A137" s="1894">
        <f t="shared" si="3"/>
        <v>130</v>
      </c>
      <c r="B137" s="1895" t="s">
        <v>3032</v>
      </c>
      <c r="C137" s="1894" t="s">
        <v>524</v>
      </c>
      <c r="D137" s="1895" t="s">
        <v>730</v>
      </c>
      <c r="E137" s="1894" t="s">
        <v>259</v>
      </c>
      <c r="F137" s="1896">
        <v>142</v>
      </c>
      <c r="G137" s="1897">
        <v>0.42929577464788732</v>
      </c>
      <c r="H137" s="1897">
        <v>0.49746478873239436</v>
      </c>
      <c r="I137" s="1897">
        <v>0.53521126760563376</v>
      </c>
      <c r="J137" s="1897">
        <v>0.63887323943661967</v>
      </c>
      <c r="K137" s="1897">
        <v>0.5053521126760564</v>
      </c>
      <c r="L137" s="1897">
        <v>0.49352112676056337</v>
      </c>
      <c r="M137" s="1897">
        <v>0.50816901408450699</v>
      </c>
      <c r="N137" s="1897">
        <v>0.59154929577464788</v>
      </c>
      <c r="O137" s="1897">
        <v>0.56957746478873239</v>
      </c>
      <c r="P137" s="1897">
        <v>0.53633802816901421</v>
      </c>
      <c r="Q137" s="1897">
        <v>0.50140845070422535</v>
      </c>
      <c r="R137" s="1897">
        <v>0.5138028169014085</v>
      </c>
      <c r="S137" s="1898">
        <f t="shared" si="4"/>
        <v>0.52671361502347425</v>
      </c>
    </row>
    <row r="138" spans="1:19">
      <c r="A138" s="1894">
        <f t="shared" ref="A138:A201" si="5">+A137+1</f>
        <v>131</v>
      </c>
      <c r="B138" s="1895" t="s">
        <v>3033</v>
      </c>
      <c r="C138" s="1894" t="s">
        <v>524</v>
      </c>
      <c r="D138" s="1895" t="s">
        <v>636</v>
      </c>
      <c r="E138" s="1894" t="s">
        <v>259</v>
      </c>
      <c r="F138" s="1896">
        <v>144</v>
      </c>
      <c r="G138" s="1897">
        <v>0</v>
      </c>
      <c r="H138" s="1897">
        <v>0</v>
      </c>
      <c r="I138" s="1897">
        <v>0</v>
      </c>
      <c r="J138" s="1897">
        <v>0</v>
      </c>
      <c r="K138" s="1897">
        <v>0</v>
      </c>
      <c r="L138" s="1897">
        <v>0</v>
      </c>
      <c r="M138" s="1897">
        <v>0</v>
      </c>
      <c r="N138" s="1897">
        <v>0</v>
      </c>
      <c r="O138" s="1897">
        <v>0</v>
      </c>
      <c r="P138" s="1897">
        <v>2.2562499999999996</v>
      </c>
      <c r="Q138" s="1897">
        <v>2.2673611111111112</v>
      </c>
      <c r="R138" s="1897">
        <v>2.0284722222222222</v>
      </c>
      <c r="S138" s="1898">
        <f t="shared" si="4"/>
        <v>0.54600694444444431</v>
      </c>
    </row>
    <row r="139" spans="1:19">
      <c r="A139" s="1894">
        <f t="shared" si="5"/>
        <v>132</v>
      </c>
      <c r="B139" s="1895" t="s">
        <v>3034</v>
      </c>
      <c r="C139" s="1894" t="s">
        <v>524</v>
      </c>
      <c r="D139" s="1895" t="s">
        <v>2966</v>
      </c>
      <c r="E139" s="1894" t="s">
        <v>259</v>
      </c>
      <c r="F139" s="1896">
        <v>144</v>
      </c>
      <c r="G139" s="1897">
        <v>1.2864583333333333</v>
      </c>
      <c r="H139" s="1897">
        <v>1.5364583333333333</v>
      </c>
      <c r="I139" s="1897">
        <v>1.1614583333333333</v>
      </c>
      <c r="J139" s="1897">
        <v>1.2864583333333333</v>
      </c>
      <c r="K139" s="1897">
        <v>1.3386805555555557</v>
      </c>
      <c r="L139" s="1897">
        <v>1.5170138888888891</v>
      </c>
      <c r="M139" s="1897">
        <v>0.88368055555555558</v>
      </c>
      <c r="N139" s="1897">
        <v>0.9447916666666667</v>
      </c>
      <c r="O139" s="1897">
        <v>0.71312500000000001</v>
      </c>
      <c r="P139" s="1897">
        <v>0.173125</v>
      </c>
      <c r="Q139" s="1897">
        <v>0.11423611111111111</v>
      </c>
      <c r="R139" s="1897">
        <v>9.5347222222222208E-2</v>
      </c>
      <c r="S139" s="1898">
        <f t="shared" si="4"/>
        <v>0.92090277777777774</v>
      </c>
    </row>
    <row r="140" spans="1:19">
      <c r="A140" s="1894">
        <f t="shared" si="5"/>
        <v>133</v>
      </c>
      <c r="B140" s="1895" t="s">
        <v>3035</v>
      </c>
      <c r="C140" s="1894" t="s">
        <v>524</v>
      </c>
      <c r="D140" s="1895" t="s">
        <v>636</v>
      </c>
      <c r="E140" s="1894" t="s">
        <v>259</v>
      </c>
      <c r="F140" s="1896">
        <v>144</v>
      </c>
      <c r="G140" s="1897">
        <v>0.50305555555555559</v>
      </c>
      <c r="H140" s="1897">
        <v>0.64666666666666672</v>
      </c>
      <c r="I140" s="1897">
        <v>0.52555555555555555</v>
      </c>
      <c r="J140" s="1897">
        <v>0.42111111111111116</v>
      </c>
      <c r="K140" s="1897">
        <v>0.50444444444444447</v>
      </c>
      <c r="L140" s="1897">
        <v>0.41944444444444445</v>
      </c>
      <c r="M140" s="1897">
        <v>0.46499999999999997</v>
      </c>
      <c r="N140" s="1897">
        <v>0.49</v>
      </c>
      <c r="O140" s="1897">
        <v>0.23277777777777781</v>
      </c>
      <c r="P140" s="1897">
        <v>0.37777777777777782</v>
      </c>
      <c r="Q140" s="1897">
        <v>0.41666666666666669</v>
      </c>
      <c r="R140" s="1897">
        <v>0.3988888888888889</v>
      </c>
      <c r="S140" s="1898">
        <f t="shared" si="4"/>
        <v>0.45011574074074079</v>
      </c>
    </row>
    <row r="141" spans="1:19">
      <c r="A141" s="1894">
        <f t="shared" si="5"/>
        <v>134</v>
      </c>
      <c r="B141" s="1895" t="s">
        <v>3036</v>
      </c>
      <c r="C141" s="1894" t="s">
        <v>524</v>
      </c>
      <c r="D141" s="1895" t="s">
        <v>2966</v>
      </c>
      <c r="E141" s="1894" t="s">
        <v>259</v>
      </c>
      <c r="F141" s="1896">
        <v>144.9</v>
      </c>
      <c r="G141" s="1897">
        <v>0.50793650793650791</v>
      </c>
      <c r="H141" s="1897">
        <v>0.50075914423740508</v>
      </c>
      <c r="I141" s="1897">
        <v>0.16231884057971013</v>
      </c>
      <c r="J141" s="1897">
        <v>5.9075224292615587E-2</v>
      </c>
      <c r="K141" s="1897">
        <v>0.13581780538302277</v>
      </c>
      <c r="L141" s="1897">
        <v>5.7418909592822635E-2</v>
      </c>
      <c r="M141" s="1897">
        <v>0.19268461007591442</v>
      </c>
      <c r="N141" s="1897">
        <v>0.1556935817805383</v>
      </c>
      <c r="O141" s="1897">
        <v>0.20427881297446512</v>
      </c>
      <c r="P141" s="1897">
        <v>3.2022084195997239E-2</v>
      </c>
      <c r="Q141" s="1897">
        <v>6.6252587991718417E-2</v>
      </c>
      <c r="R141" s="1897">
        <v>0.25507246376811593</v>
      </c>
      <c r="S141" s="1898">
        <f t="shared" si="4"/>
        <v>0.19411088106740282</v>
      </c>
    </row>
    <row r="142" spans="1:19">
      <c r="A142" s="1894">
        <f t="shared" si="5"/>
        <v>135</v>
      </c>
      <c r="B142" s="1895" t="s">
        <v>3037</v>
      </c>
      <c r="C142" s="1894" t="s">
        <v>524</v>
      </c>
      <c r="D142" s="1895" t="s">
        <v>730</v>
      </c>
      <c r="E142" s="1894" t="s">
        <v>259</v>
      </c>
      <c r="F142" s="1896">
        <v>145</v>
      </c>
      <c r="G142" s="1897">
        <v>1.7671724137931031</v>
      </c>
      <c r="H142" s="1897">
        <v>1.76</v>
      </c>
      <c r="I142" s="1897">
        <v>1.9188965517241381</v>
      </c>
      <c r="J142" s="1897">
        <v>1.966344827586207</v>
      </c>
      <c r="K142" s="1897">
        <v>2.0645517241379308</v>
      </c>
      <c r="L142" s="1897">
        <v>1.9862068965517241</v>
      </c>
      <c r="M142" s="1897">
        <v>1.9961379310344827</v>
      </c>
      <c r="N142" s="1897">
        <v>2.0049655172413794</v>
      </c>
      <c r="O142" s="1897">
        <v>2.0325517241379312</v>
      </c>
      <c r="P142" s="1897">
        <v>2.0612413793103448</v>
      </c>
      <c r="Q142" s="1897">
        <v>1.9332413793103447</v>
      </c>
      <c r="R142" s="1897">
        <v>1.8957241379310346</v>
      </c>
      <c r="S142" s="1898">
        <f t="shared" si="4"/>
        <v>1.9489195402298849</v>
      </c>
    </row>
    <row r="143" spans="1:19">
      <c r="A143" s="1894">
        <f t="shared" si="5"/>
        <v>136</v>
      </c>
      <c r="B143" s="1895" t="s">
        <v>3038</v>
      </c>
      <c r="C143" s="1894" t="s">
        <v>524</v>
      </c>
      <c r="D143" s="1895" t="s">
        <v>636</v>
      </c>
      <c r="E143" s="1894" t="s">
        <v>259</v>
      </c>
      <c r="F143" s="1896">
        <v>148</v>
      </c>
      <c r="G143" s="1897">
        <v>0.34459459459459457</v>
      </c>
      <c r="H143" s="1897">
        <v>0.29729729729729731</v>
      </c>
      <c r="I143" s="1897">
        <v>0.42567567567567566</v>
      </c>
      <c r="J143" s="1897">
        <v>0.91216216216216217</v>
      </c>
      <c r="K143" s="1897">
        <v>0.20945945945945946</v>
      </c>
      <c r="L143" s="1897">
        <v>0.30405405405405406</v>
      </c>
      <c r="M143" s="1897">
        <v>0.54729729729729726</v>
      </c>
      <c r="N143" s="1897">
        <v>0.22297297297297297</v>
      </c>
      <c r="O143" s="1897">
        <v>0.25</v>
      </c>
      <c r="P143" s="1897">
        <v>1.0135135135135136</v>
      </c>
      <c r="Q143" s="1897">
        <v>1.027027027027027</v>
      </c>
      <c r="R143" s="1897">
        <v>0.56081081081081086</v>
      </c>
      <c r="S143" s="1898">
        <f t="shared" si="4"/>
        <v>0.50957207207207211</v>
      </c>
    </row>
    <row r="144" spans="1:19">
      <c r="A144" s="1894">
        <f t="shared" si="5"/>
        <v>137</v>
      </c>
      <c r="B144" s="1895" t="s">
        <v>3039</v>
      </c>
      <c r="C144" s="1894" t="s">
        <v>524</v>
      </c>
      <c r="D144" s="1895" t="s">
        <v>737</v>
      </c>
      <c r="E144" s="1894" t="s">
        <v>259</v>
      </c>
      <c r="F144" s="1896">
        <v>149</v>
      </c>
      <c r="G144" s="1897">
        <v>0.19597315436241611</v>
      </c>
      <c r="H144" s="1897">
        <v>0.18040268456375838</v>
      </c>
      <c r="I144" s="1897">
        <v>0.61369127516778521</v>
      </c>
      <c r="J144" s="1897">
        <v>0.28832214765100672</v>
      </c>
      <c r="K144" s="1897">
        <v>0.28993288590604022</v>
      </c>
      <c r="L144" s="1897">
        <v>0.27221476510067111</v>
      </c>
      <c r="M144" s="1897">
        <v>0.2609395973154362</v>
      </c>
      <c r="N144" s="1897">
        <v>0.18684563758389258</v>
      </c>
      <c r="O144" s="1897">
        <v>8.697986577181209E-2</v>
      </c>
      <c r="P144" s="1897">
        <v>8.2147651006711411E-2</v>
      </c>
      <c r="Q144" s="1897">
        <v>0.17557046979865773</v>
      </c>
      <c r="R144" s="1897">
        <v>0.18845637583892619</v>
      </c>
      <c r="S144" s="1898">
        <f t="shared" si="4"/>
        <v>0.23512304250559282</v>
      </c>
    </row>
    <row r="145" spans="1:19">
      <c r="A145" s="1894">
        <f t="shared" si="5"/>
        <v>138</v>
      </c>
      <c r="B145" s="1895" t="s">
        <v>2949</v>
      </c>
      <c r="C145" s="1894" t="s">
        <v>524</v>
      </c>
      <c r="D145" s="1895" t="s">
        <v>541</v>
      </c>
      <c r="E145" s="1894" t="s">
        <v>259</v>
      </c>
      <c r="F145" s="1896">
        <v>150</v>
      </c>
      <c r="G145" s="1897">
        <v>1.7333333333333333E-2</v>
      </c>
      <c r="H145" s="1897">
        <v>0.78133333333333332</v>
      </c>
      <c r="I145" s="1897">
        <v>0.52666666666666662</v>
      </c>
      <c r="J145" s="1897">
        <v>0.53200000000000003</v>
      </c>
      <c r="K145" s="1897">
        <v>0.76133333333333331</v>
      </c>
      <c r="L145" s="1897">
        <v>0.48266666666666669</v>
      </c>
      <c r="M145" s="1897">
        <v>0.48266666666666669</v>
      </c>
      <c r="N145" s="1897">
        <v>0.4453333333333333</v>
      </c>
      <c r="O145" s="1897">
        <v>9.4666666666666677E-2</v>
      </c>
      <c r="P145" s="1897">
        <v>0.46399999999999997</v>
      </c>
      <c r="Q145" s="1897">
        <v>0.43466666666666659</v>
      </c>
      <c r="R145" s="1897">
        <v>0.46133333333333337</v>
      </c>
      <c r="S145" s="1898">
        <f t="shared" si="4"/>
        <v>0.45700000000000007</v>
      </c>
    </row>
    <row r="146" spans="1:19">
      <c r="A146" s="1894">
        <f t="shared" si="5"/>
        <v>139</v>
      </c>
      <c r="B146" s="1895" t="s">
        <v>3040</v>
      </c>
      <c r="C146" s="1894" t="s">
        <v>524</v>
      </c>
      <c r="D146" s="1895" t="s">
        <v>541</v>
      </c>
      <c r="E146" s="1894" t="s">
        <v>259</v>
      </c>
      <c r="F146" s="1896">
        <v>150</v>
      </c>
      <c r="G146" s="1897">
        <v>0.7407999999999999</v>
      </c>
      <c r="H146" s="1897">
        <v>0.72960000000000003</v>
      </c>
      <c r="I146" s="1897">
        <v>0.76426666666666676</v>
      </c>
      <c r="J146" s="1897">
        <v>0.80693333333333328</v>
      </c>
      <c r="K146" s="1897">
        <v>0.82506666666666673</v>
      </c>
      <c r="L146" s="1897">
        <v>0.77706666666666668</v>
      </c>
      <c r="M146" s="1897">
        <v>0.74346666666666661</v>
      </c>
      <c r="N146" s="1897">
        <v>0.6784</v>
      </c>
      <c r="O146" s="1897">
        <v>0.5968</v>
      </c>
      <c r="P146" s="1897">
        <v>2.8800000000000003E-2</v>
      </c>
      <c r="Q146" s="1897">
        <v>6.88E-2</v>
      </c>
      <c r="R146" s="1897">
        <v>9.9199999999999997E-2</v>
      </c>
      <c r="S146" s="1898">
        <f t="shared" si="4"/>
        <v>0.5716</v>
      </c>
    </row>
    <row r="147" spans="1:19">
      <c r="A147" s="1894">
        <f t="shared" si="5"/>
        <v>140</v>
      </c>
      <c r="B147" s="1895" t="s">
        <v>3041</v>
      </c>
      <c r="C147" s="1894" t="s">
        <v>524</v>
      </c>
      <c r="D147" s="1895" t="s">
        <v>737</v>
      </c>
      <c r="E147" s="1894" t="s">
        <v>259</v>
      </c>
      <c r="F147" s="1896">
        <v>150</v>
      </c>
      <c r="G147" s="1897">
        <v>0.37333333333333341</v>
      </c>
      <c r="H147" s="1897">
        <v>0.37330000000000002</v>
      </c>
      <c r="I147" s="1897">
        <v>0.4330666666666666</v>
      </c>
      <c r="J147" s="1897">
        <v>0.4330666666666666</v>
      </c>
      <c r="K147" s="1897">
        <v>5.2266666666666663E-2</v>
      </c>
      <c r="L147" s="1897">
        <v>0.4181333333333333</v>
      </c>
      <c r="M147" s="1897">
        <v>0.37866666666666665</v>
      </c>
      <c r="N147" s="1897">
        <v>0.33173333333333332</v>
      </c>
      <c r="O147" s="1897">
        <v>0.27093333333333336</v>
      </c>
      <c r="P147" s="1897">
        <v>0.26346666666666663</v>
      </c>
      <c r="Q147" s="1897">
        <v>0.3392</v>
      </c>
      <c r="R147" s="1897">
        <v>0.38080000000000003</v>
      </c>
      <c r="S147" s="1898">
        <f t="shared" si="4"/>
        <v>0.33733055555555552</v>
      </c>
    </row>
    <row r="148" spans="1:19">
      <c r="A148" s="1894">
        <f t="shared" si="5"/>
        <v>141</v>
      </c>
      <c r="B148" s="1895" t="s">
        <v>3042</v>
      </c>
      <c r="C148" s="1894" t="s">
        <v>524</v>
      </c>
      <c r="D148" s="1895" t="s">
        <v>541</v>
      </c>
      <c r="E148" s="1894" t="s">
        <v>259</v>
      </c>
      <c r="F148" s="1896">
        <v>150</v>
      </c>
      <c r="G148" s="1897">
        <v>0.86773333333333336</v>
      </c>
      <c r="H148" s="1897">
        <v>0.96479999999999999</v>
      </c>
      <c r="I148" s="1897">
        <v>0.8992</v>
      </c>
      <c r="J148" s="1897">
        <v>0.92479999999999996</v>
      </c>
      <c r="K148" s="1897">
        <v>0.91786666666666672</v>
      </c>
      <c r="L148" s="1897">
        <v>0.6837333333333333</v>
      </c>
      <c r="M148" s="1897">
        <v>0.6704</v>
      </c>
      <c r="N148" s="1897">
        <v>0.83519999999999994</v>
      </c>
      <c r="O148" s="1897">
        <v>0.81653333333333344</v>
      </c>
      <c r="P148" s="1897">
        <v>0.7658666666666667</v>
      </c>
      <c r="Q148" s="1897">
        <v>0.6346666666666666</v>
      </c>
      <c r="R148" s="1897">
        <v>0.65759999999999996</v>
      </c>
      <c r="S148" s="1898">
        <f t="shared" si="4"/>
        <v>0.80319999999999991</v>
      </c>
    </row>
    <row r="149" spans="1:19">
      <c r="A149" s="1894">
        <f t="shared" si="5"/>
        <v>142</v>
      </c>
      <c r="B149" s="1895" t="s">
        <v>3043</v>
      </c>
      <c r="C149" s="1894" t="s">
        <v>524</v>
      </c>
      <c r="D149" s="1895" t="s">
        <v>2966</v>
      </c>
      <c r="E149" s="1894" t="s">
        <v>259</v>
      </c>
      <c r="F149" s="1896">
        <v>150</v>
      </c>
      <c r="G149" s="1897">
        <v>1.0746666666666669</v>
      </c>
      <c r="H149" s="1897">
        <v>1.1679999999999999</v>
      </c>
      <c r="I149" s="1897">
        <v>0.87200000000000011</v>
      </c>
      <c r="J149" s="1897">
        <v>1.6426666666666667</v>
      </c>
      <c r="K149" s="1897">
        <v>2.0133333333333332</v>
      </c>
      <c r="L149" s="1897">
        <v>0.96</v>
      </c>
      <c r="M149" s="1897">
        <v>1.44</v>
      </c>
      <c r="N149" s="1897">
        <v>0.39573333333333333</v>
      </c>
      <c r="O149" s="1897">
        <v>0.19146666666666667</v>
      </c>
      <c r="P149" s="1897">
        <v>0.13173333333333331</v>
      </c>
      <c r="Q149" s="1897">
        <v>0.22453333333333333</v>
      </c>
      <c r="R149" s="1897">
        <v>0.81386666666666674</v>
      </c>
      <c r="S149" s="1898">
        <f t="shared" si="4"/>
        <v>0.91066666666666674</v>
      </c>
    </row>
    <row r="150" spans="1:19">
      <c r="A150" s="1894">
        <f t="shared" si="5"/>
        <v>143</v>
      </c>
      <c r="B150" s="1895" t="s">
        <v>3044</v>
      </c>
      <c r="C150" s="1894" t="s">
        <v>524</v>
      </c>
      <c r="D150" s="1895" t="s">
        <v>541</v>
      </c>
      <c r="E150" s="1894" t="s">
        <v>259</v>
      </c>
      <c r="F150" s="1896">
        <v>150</v>
      </c>
      <c r="G150" s="1897">
        <v>0.76213333333333333</v>
      </c>
      <c r="H150" s="1897">
        <v>0.63173333333333337</v>
      </c>
      <c r="I150" s="1897">
        <v>0.60373333333333334</v>
      </c>
      <c r="J150" s="1897">
        <v>0.61466666666666669</v>
      </c>
      <c r="K150" s="1897">
        <v>0.41493333333333332</v>
      </c>
      <c r="L150" s="1897">
        <v>0.53600000000000003</v>
      </c>
      <c r="M150" s="1897">
        <v>6.2933333333333327E-2</v>
      </c>
      <c r="N150" s="1897">
        <v>8.3733333333333326E-2</v>
      </c>
      <c r="O150" s="1897">
        <v>0.52266666666666672</v>
      </c>
      <c r="P150" s="1897">
        <v>0.53653333333333331</v>
      </c>
      <c r="Q150" s="1897">
        <v>0.60906666666666665</v>
      </c>
      <c r="R150" s="1897">
        <v>0.62186666666666668</v>
      </c>
      <c r="S150" s="1898">
        <f t="shared" si="4"/>
        <v>0.50000000000000011</v>
      </c>
    </row>
    <row r="151" spans="1:19">
      <c r="A151" s="1894">
        <f t="shared" si="5"/>
        <v>144</v>
      </c>
      <c r="B151" s="1895" t="s">
        <v>3045</v>
      </c>
      <c r="C151" s="1894" t="s">
        <v>524</v>
      </c>
      <c r="D151" s="1895" t="s">
        <v>541</v>
      </c>
      <c r="E151" s="1894" t="s">
        <v>259</v>
      </c>
      <c r="F151" s="1896">
        <v>150</v>
      </c>
      <c r="G151" s="1897">
        <v>0.66133333333333333</v>
      </c>
      <c r="H151" s="1897">
        <v>0.64533333333333331</v>
      </c>
      <c r="I151" s="1897">
        <v>0.6213333333333334</v>
      </c>
      <c r="J151" s="1897">
        <v>0.65066666666666662</v>
      </c>
      <c r="K151" s="1897">
        <v>0.53333333333333333</v>
      </c>
      <c r="L151" s="1897">
        <v>0.10613333333333334</v>
      </c>
      <c r="M151" s="1897">
        <v>9.0133333333333329E-2</v>
      </c>
      <c r="N151" s="1897">
        <v>5.4933333333333334E-2</v>
      </c>
      <c r="O151" s="1897">
        <v>0.68640000000000001</v>
      </c>
      <c r="P151" s="1897">
        <v>1.0581333333333334</v>
      </c>
      <c r="Q151" s="1897">
        <v>0.81973333333333342</v>
      </c>
      <c r="R151" s="1897">
        <v>0.8474666666666667</v>
      </c>
      <c r="S151" s="1898">
        <f t="shared" si="4"/>
        <v>0.56457777777777773</v>
      </c>
    </row>
    <row r="152" spans="1:19">
      <c r="A152" s="1894">
        <f t="shared" si="5"/>
        <v>145</v>
      </c>
      <c r="B152" s="1895" t="s">
        <v>3046</v>
      </c>
      <c r="C152" s="1894" t="s">
        <v>2930</v>
      </c>
      <c r="D152" s="1895" t="s">
        <v>541</v>
      </c>
      <c r="E152" s="1894" t="s">
        <v>259</v>
      </c>
      <c r="F152" s="1896">
        <v>150</v>
      </c>
      <c r="G152" s="1897">
        <v>0</v>
      </c>
      <c r="H152" s="1897">
        <v>0</v>
      </c>
      <c r="I152" s="1897">
        <v>0</v>
      </c>
      <c r="J152" s="1897">
        <v>0</v>
      </c>
      <c r="K152" s="1897">
        <v>0</v>
      </c>
      <c r="L152" s="1897">
        <v>0</v>
      </c>
      <c r="M152" s="1897">
        <v>0</v>
      </c>
      <c r="N152" s="1897">
        <v>0</v>
      </c>
      <c r="O152" s="1897">
        <v>0</v>
      </c>
      <c r="P152" s="1897">
        <v>0</v>
      </c>
      <c r="Q152" s="1897">
        <v>0</v>
      </c>
      <c r="R152" s="1897">
        <v>0</v>
      </c>
      <c r="S152" s="1898">
        <f t="shared" si="4"/>
        <v>0</v>
      </c>
    </row>
    <row r="153" spans="1:19">
      <c r="A153" s="1894">
        <f t="shared" si="5"/>
        <v>146</v>
      </c>
      <c r="B153" s="1895" t="s">
        <v>3047</v>
      </c>
      <c r="C153" s="1894" t="s">
        <v>524</v>
      </c>
      <c r="D153" s="1895" t="s">
        <v>636</v>
      </c>
      <c r="E153" s="1894" t="s">
        <v>259</v>
      </c>
      <c r="F153" s="1896">
        <v>150</v>
      </c>
      <c r="G153" s="1897">
        <v>0</v>
      </c>
      <c r="H153" s="1897">
        <v>0</v>
      </c>
      <c r="I153" s="1897">
        <v>0</v>
      </c>
      <c r="J153" s="1897">
        <v>0</v>
      </c>
      <c r="K153" s="1897">
        <v>0</v>
      </c>
      <c r="L153" s="1897">
        <v>0</v>
      </c>
      <c r="M153" s="1897">
        <v>2.7733333333333336E-2</v>
      </c>
      <c r="N153" s="1897">
        <v>3.4133333333333335E-2</v>
      </c>
      <c r="O153" s="1897">
        <v>3.093333333333333E-2</v>
      </c>
      <c r="P153" s="1897">
        <v>3.1466666666666664E-2</v>
      </c>
      <c r="Q153" s="1897">
        <v>3.0400000000000003E-2</v>
      </c>
      <c r="R153" s="1897">
        <v>3.5200000000000002E-2</v>
      </c>
      <c r="S153" s="1898">
        <f t="shared" si="4"/>
        <v>1.5822222222222224E-2</v>
      </c>
    </row>
    <row r="154" spans="1:19">
      <c r="A154" s="1894">
        <f t="shared" si="5"/>
        <v>147</v>
      </c>
      <c r="B154" s="1895" t="s">
        <v>3048</v>
      </c>
      <c r="C154" s="1894" t="s">
        <v>524</v>
      </c>
      <c r="D154" s="1895" t="s">
        <v>636</v>
      </c>
      <c r="E154" s="1894" t="s">
        <v>259</v>
      </c>
      <c r="F154" s="1896">
        <v>150</v>
      </c>
      <c r="G154" s="1897">
        <v>0.82613333333333339</v>
      </c>
      <c r="H154" s="1897">
        <v>0.85599999999999998</v>
      </c>
      <c r="I154" s="1897">
        <v>0.83413333333333339</v>
      </c>
      <c r="J154" s="1897">
        <v>0.86719999999999986</v>
      </c>
      <c r="K154" s="1897">
        <v>0.71839999999999993</v>
      </c>
      <c r="L154" s="1897">
        <v>0.84586666666666666</v>
      </c>
      <c r="M154" s="1897">
        <v>0.84053333333333335</v>
      </c>
      <c r="N154" s="1897">
        <v>0.7248</v>
      </c>
      <c r="O154" s="1897">
        <v>0.65066666666666662</v>
      </c>
      <c r="P154" s="1897">
        <v>0.69493333333333329</v>
      </c>
      <c r="Q154" s="1897">
        <v>0.65066666666666662</v>
      </c>
      <c r="R154" s="1897">
        <v>0.7573333333333333</v>
      </c>
      <c r="S154" s="1898">
        <f t="shared" si="4"/>
        <v>0.77222222222222214</v>
      </c>
    </row>
    <row r="155" spans="1:19">
      <c r="A155" s="1894">
        <f t="shared" si="5"/>
        <v>148</v>
      </c>
      <c r="B155" s="1895" t="s">
        <v>3049</v>
      </c>
      <c r="C155" s="1894" t="s">
        <v>524</v>
      </c>
      <c r="D155" s="1895" t="s">
        <v>636</v>
      </c>
      <c r="E155" s="1894" t="s">
        <v>259</v>
      </c>
      <c r="F155" s="1896">
        <v>150</v>
      </c>
      <c r="G155" s="1897">
        <v>0.6</v>
      </c>
      <c r="H155" s="1897">
        <v>0.63200000000000001</v>
      </c>
      <c r="I155" s="1897">
        <v>0.44800000000000001</v>
      </c>
      <c r="J155" s="1897">
        <v>0.63039999999999996</v>
      </c>
      <c r="K155" s="1897">
        <v>0.65920000000000001</v>
      </c>
      <c r="L155" s="1897">
        <v>0.42880000000000007</v>
      </c>
      <c r="M155" s="1897">
        <v>0.49600000000000005</v>
      </c>
      <c r="N155" s="1897">
        <v>0.37759999999999999</v>
      </c>
      <c r="O155" s="1897">
        <v>0.504</v>
      </c>
      <c r="P155" s="1897">
        <v>0.23839999999999997</v>
      </c>
      <c r="Q155" s="1897">
        <v>0.50880000000000003</v>
      </c>
      <c r="R155" s="1897">
        <v>0.41920000000000002</v>
      </c>
      <c r="S155" s="1898">
        <f t="shared" si="4"/>
        <v>0.49520000000000003</v>
      </c>
    </row>
    <row r="156" spans="1:19">
      <c r="A156" s="1894">
        <f t="shared" si="5"/>
        <v>149</v>
      </c>
      <c r="B156" s="1895" t="s">
        <v>3050</v>
      </c>
      <c r="C156" s="1894" t="s">
        <v>524</v>
      </c>
      <c r="D156" s="1895" t="s">
        <v>636</v>
      </c>
      <c r="E156" s="1894" t="s">
        <v>259</v>
      </c>
      <c r="F156" s="1896">
        <v>150</v>
      </c>
      <c r="G156" s="1897">
        <v>8.9599999999999999E-2</v>
      </c>
      <c r="H156" s="1897">
        <v>0.11093333333333334</v>
      </c>
      <c r="I156" s="1897">
        <v>0.11146666666666666</v>
      </c>
      <c r="J156" s="1897">
        <v>0.17333333333333334</v>
      </c>
      <c r="K156" s="1897">
        <v>0.10346666666666667</v>
      </c>
      <c r="L156" s="1897">
        <v>0.11840000000000001</v>
      </c>
      <c r="M156" s="1897">
        <v>9.4399999999999998E-2</v>
      </c>
      <c r="N156" s="1897">
        <v>7.5199999999999989E-2</v>
      </c>
      <c r="O156" s="1897">
        <v>5.2800000000000007E-2</v>
      </c>
      <c r="P156" s="1897">
        <v>4.48E-2</v>
      </c>
      <c r="Q156" s="1897">
        <v>6.4000000000000001E-2</v>
      </c>
      <c r="R156" s="1897">
        <v>0.12746666666666667</v>
      </c>
      <c r="S156" s="1898">
        <f t="shared" si="4"/>
        <v>9.7155555555555551E-2</v>
      </c>
    </row>
    <row r="157" spans="1:19">
      <c r="A157" s="1894">
        <f t="shared" si="5"/>
        <v>150</v>
      </c>
      <c r="B157" s="1895" t="s">
        <v>3019</v>
      </c>
      <c r="C157" s="1894" t="s">
        <v>2930</v>
      </c>
      <c r="D157" s="1895" t="s">
        <v>541</v>
      </c>
      <c r="E157" s="1894" t="s">
        <v>259</v>
      </c>
      <c r="F157" s="1896">
        <v>150</v>
      </c>
      <c r="G157" s="1897">
        <v>6.7199999999999996E-2</v>
      </c>
      <c r="H157" s="1897">
        <v>0</v>
      </c>
      <c r="I157" s="1897">
        <v>0</v>
      </c>
      <c r="J157" s="1897">
        <v>0</v>
      </c>
      <c r="K157" s="1897">
        <v>0</v>
      </c>
      <c r="L157" s="1897">
        <v>0</v>
      </c>
      <c r="M157" s="1897">
        <v>0</v>
      </c>
      <c r="N157" s="1897">
        <v>0</v>
      </c>
      <c r="O157" s="1897">
        <v>0</v>
      </c>
      <c r="P157" s="1897">
        <v>0</v>
      </c>
      <c r="Q157" s="1897">
        <v>0</v>
      </c>
      <c r="R157" s="1897">
        <v>0</v>
      </c>
      <c r="S157" s="1898">
        <f t="shared" si="4"/>
        <v>5.5999999999999999E-3</v>
      </c>
    </row>
    <row r="158" spans="1:19">
      <c r="A158" s="1894">
        <f t="shared" si="5"/>
        <v>151</v>
      </c>
      <c r="B158" s="1895" t="s">
        <v>3051</v>
      </c>
      <c r="C158" s="1894" t="s">
        <v>524</v>
      </c>
      <c r="D158" s="1895" t="s">
        <v>2966</v>
      </c>
      <c r="E158" s="1894" t="s">
        <v>259</v>
      </c>
      <c r="F158" s="1896">
        <v>150</v>
      </c>
      <c r="G158" s="1897">
        <v>0.5003333333333333</v>
      </c>
      <c r="H158" s="1897">
        <v>0.48833333333333334</v>
      </c>
      <c r="I158" s="1897">
        <v>0.6163333333333334</v>
      </c>
      <c r="J158" s="1897">
        <v>0.58833333333333337</v>
      </c>
      <c r="K158" s="1897">
        <v>0.438</v>
      </c>
      <c r="L158" s="1897">
        <v>0.35520000000000002</v>
      </c>
      <c r="M158" s="1897">
        <v>0.58199999999999996</v>
      </c>
      <c r="N158" s="1897">
        <v>0.36159999999999998</v>
      </c>
      <c r="O158" s="1897">
        <v>0.14080000000000001</v>
      </c>
      <c r="P158" s="1897">
        <v>3.1199999999999999E-2</v>
      </c>
      <c r="Q158" s="1897">
        <v>2.3199999999999998E-2</v>
      </c>
      <c r="R158" s="1897">
        <v>0.27439999999999998</v>
      </c>
      <c r="S158" s="1898">
        <f t="shared" si="4"/>
        <v>0.3666444444444445</v>
      </c>
    </row>
    <row r="159" spans="1:19">
      <c r="A159" s="1894">
        <f t="shared" si="5"/>
        <v>152</v>
      </c>
      <c r="B159" s="1895" t="s">
        <v>3052</v>
      </c>
      <c r="C159" s="1894" t="s">
        <v>524</v>
      </c>
      <c r="D159" s="1895" t="s">
        <v>636</v>
      </c>
      <c r="E159" s="1894" t="s">
        <v>259</v>
      </c>
      <c r="F159" s="1896">
        <v>151</v>
      </c>
      <c r="G159" s="1897">
        <v>1.385430463576159</v>
      </c>
      <c r="H159" s="1897">
        <v>1.4622516556291392</v>
      </c>
      <c r="I159" s="1897">
        <v>1.409271523178808</v>
      </c>
      <c r="J159" s="1897">
        <v>1.4278145695364239</v>
      </c>
      <c r="K159" s="1897">
        <v>1.6423841059602649</v>
      </c>
      <c r="L159" s="1897">
        <v>1.5443708609271523</v>
      </c>
      <c r="M159" s="1897">
        <v>1.5708609271523177</v>
      </c>
      <c r="N159" s="1897">
        <v>1.3430463576158942</v>
      </c>
      <c r="O159" s="1897">
        <v>1.6344370860927153</v>
      </c>
      <c r="P159" s="1897">
        <v>1.6105960264900661</v>
      </c>
      <c r="Q159" s="1897">
        <v>1.4437086092715234</v>
      </c>
      <c r="R159" s="1897">
        <v>1.3827814569536425</v>
      </c>
      <c r="S159" s="1898">
        <f t="shared" si="4"/>
        <v>1.4880794701986755</v>
      </c>
    </row>
    <row r="160" spans="1:19">
      <c r="A160" s="1894">
        <f t="shared" si="5"/>
        <v>153</v>
      </c>
      <c r="B160" s="1895" t="s">
        <v>3053</v>
      </c>
      <c r="C160" s="1894" t="s">
        <v>524</v>
      </c>
      <c r="D160" s="1895" t="s">
        <v>636</v>
      </c>
      <c r="E160" s="1894" t="s">
        <v>259</v>
      </c>
      <c r="F160" s="1896">
        <v>152</v>
      </c>
      <c r="G160" s="1897">
        <v>0.52500000000000002</v>
      </c>
      <c r="H160" s="1897">
        <v>0.49868421052631579</v>
      </c>
      <c r="I160" s="1897">
        <v>0.49894736842105264</v>
      </c>
      <c r="J160" s="1897">
        <v>0.49894736842105264</v>
      </c>
      <c r="K160" s="1897">
        <v>0.48421052631578942</v>
      </c>
      <c r="L160" s="1897">
        <v>0.48947368421052634</v>
      </c>
      <c r="M160" s="1897">
        <v>0.4863157894736842</v>
      </c>
      <c r="N160" s="1897">
        <v>0.46473684210526317</v>
      </c>
      <c r="O160" s="1897">
        <v>0.37368421052631579</v>
      </c>
      <c r="P160" s="1897">
        <v>0.17157894736842105</v>
      </c>
      <c r="Q160" s="1897">
        <v>9.6315789473684216E-2</v>
      </c>
      <c r="R160" s="1897">
        <v>0.49947368421052635</v>
      </c>
      <c r="S160" s="1898">
        <f t="shared" si="4"/>
        <v>0.42394736842105263</v>
      </c>
    </row>
    <row r="161" spans="1:19">
      <c r="A161" s="1894">
        <f t="shared" si="5"/>
        <v>154</v>
      </c>
      <c r="B161" s="1895" t="s">
        <v>3054</v>
      </c>
      <c r="C161" s="1894" t="s">
        <v>524</v>
      </c>
      <c r="D161" s="1895" t="s">
        <v>541</v>
      </c>
      <c r="E161" s="1894" t="s">
        <v>259</v>
      </c>
      <c r="F161" s="1896">
        <v>152</v>
      </c>
      <c r="G161" s="1897">
        <v>0.12647368421052632</v>
      </c>
      <c r="H161" s="1897">
        <v>1.2296052631578945E-2</v>
      </c>
      <c r="I161" s="1897">
        <v>7.0263157894736843E-3</v>
      </c>
      <c r="J161" s="1897">
        <v>0.14579605263157897</v>
      </c>
      <c r="K161" s="1897">
        <v>0.22308552631578946</v>
      </c>
      <c r="L161" s="1897">
        <v>0.28456578947368422</v>
      </c>
      <c r="M161" s="1897">
        <v>0.8</v>
      </c>
      <c r="N161" s="1897">
        <v>0.32131578947368422</v>
      </c>
      <c r="O161" s="1897">
        <v>2.6052631578947369E-2</v>
      </c>
      <c r="P161" s="1897">
        <v>0.2013157894736842</v>
      </c>
      <c r="Q161" s="1897">
        <v>0.27631578947368424</v>
      </c>
      <c r="R161" s="1897">
        <v>3.8684210526315786E-2</v>
      </c>
      <c r="S161" s="1898">
        <f t="shared" si="4"/>
        <v>0.20524396929824562</v>
      </c>
    </row>
    <row r="162" spans="1:19">
      <c r="A162" s="1894">
        <f t="shared" si="5"/>
        <v>155</v>
      </c>
      <c r="B162" s="1895" t="s">
        <v>3055</v>
      </c>
      <c r="C162" s="1894" t="s">
        <v>524</v>
      </c>
      <c r="D162" s="1895" t="s">
        <v>541</v>
      </c>
      <c r="E162" s="1894" t="s">
        <v>259</v>
      </c>
      <c r="F162" s="1896">
        <v>152</v>
      </c>
      <c r="G162" s="1897">
        <v>1.368421052631579</v>
      </c>
      <c r="H162" s="1897">
        <v>1.3263157894736841</v>
      </c>
      <c r="I162" s="1897">
        <v>1.3157894736842106</v>
      </c>
      <c r="J162" s="1897">
        <v>1</v>
      </c>
      <c r="K162" s="1897">
        <v>1.4157894736842107</v>
      </c>
      <c r="L162" s="1897">
        <v>1.6736842105263159</v>
      </c>
      <c r="M162" s="1897">
        <v>1.8</v>
      </c>
      <c r="N162" s="1897">
        <v>1.3315789473684212</v>
      </c>
      <c r="O162" s="1897">
        <v>2.2947368421052632</v>
      </c>
      <c r="P162" s="1897">
        <v>2.1368421052631579</v>
      </c>
      <c r="Q162" s="1897">
        <v>2.9263157894736849</v>
      </c>
      <c r="R162" s="1897">
        <v>1.7421052631578948</v>
      </c>
      <c r="S162" s="1898">
        <f t="shared" si="4"/>
        <v>1.6942982456140354</v>
      </c>
    </row>
    <row r="163" spans="1:19">
      <c r="A163" s="1894">
        <f t="shared" si="5"/>
        <v>156</v>
      </c>
      <c r="B163" s="1895" t="s">
        <v>3056</v>
      </c>
      <c r="C163" s="1894" t="s">
        <v>524</v>
      </c>
      <c r="D163" s="1895" t="s">
        <v>541</v>
      </c>
      <c r="E163" s="1894" t="s">
        <v>259</v>
      </c>
      <c r="F163" s="1896">
        <v>153</v>
      </c>
      <c r="G163" s="1897">
        <v>8.5228758169934637E-2</v>
      </c>
      <c r="H163" s="1897">
        <v>0.53385620915032672</v>
      </c>
      <c r="I163" s="1897">
        <v>0.61019607843137258</v>
      </c>
      <c r="J163" s="1897">
        <v>0.51241830065359484</v>
      </c>
      <c r="K163" s="1897">
        <v>0.42666666666666669</v>
      </c>
      <c r="L163" s="1897">
        <v>0.47163398692810454</v>
      </c>
      <c r="M163" s="1897">
        <v>0.51189542483660133</v>
      </c>
      <c r="N163" s="1897">
        <v>0.43503267973856213</v>
      </c>
      <c r="O163" s="1897">
        <v>0.42300653594771243</v>
      </c>
      <c r="P163" s="1897">
        <v>0.42039215686274506</v>
      </c>
      <c r="Q163" s="1897">
        <v>4.1307189542483663E-2</v>
      </c>
      <c r="R163" s="1897">
        <v>4.3398692810457516E-2</v>
      </c>
      <c r="S163" s="1898">
        <f t="shared" si="4"/>
        <v>0.37625272331154674</v>
      </c>
    </row>
    <row r="164" spans="1:19">
      <c r="A164" s="1894">
        <f t="shared" si="5"/>
        <v>157</v>
      </c>
      <c r="B164" s="1895" t="s">
        <v>3057</v>
      </c>
      <c r="C164" s="1894" t="s">
        <v>524</v>
      </c>
      <c r="D164" s="1895" t="s">
        <v>541</v>
      </c>
      <c r="E164" s="1894" t="s">
        <v>259</v>
      </c>
      <c r="F164" s="1896">
        <v>154</v>
      </c>
      <c r="G164" s="1897">
        <v>0.8571428571428571</v>
      </c>
      <c r="H164" s="1897">
        <v>0.8696103896103895</v>
      </c>
      <c r="I164" s="1897">
        <v>0.14233766233766235</v>
      </c>
      <c r="J164" s="1897">
        <v>0.74077922077922076</v>
      </c>
      <c r="K164" s="1897">
        <v>0.75324675324675316</v>
      </c>
      <c r="L164" s="1897">
        <v>0</v>
      </c>
      <c r="M164" s="1897">
        <v>0</v>
      </c>
      <c r="N164" s="1897">
        <v>0</v>
      </c>
      <c r="O164" s="1897">
        <v>0.81766233766233776</v>
      </c>
      <c r="P164" s="1897">
        <v>0.79480519480519474</v>
      </c>
      <c r="Q164" s="1897">
        <v>0.79272727272727284</v>
      </c>
      <c r="R164" s="1897">
        <v>0.7605194805194806</v>
      </c>
      <c r="S164" s="1898">
        <f t="shared" si="4"/>
        <v>0.54406926406926404</v>
      </c>
    </row>
    <row r="165" spans="1:19">
      <c r="A165" s="1894">
        <f t="shared" si="5"/>
        <v>158</v>
      </c>
      <c r="B165" s="1895" t="s">
        <v>3058</v>
      </c>
      <c r="C165" s="1894" t="s">
        <v>524</v>
      </c>
      <c r="D165" s="1895" t="s">
        <v>541</v>
      </c>
      <c r="E165" s="1894" t="s">
        <v>259</v>
      </c>
      <c r="F165" s="1896">
        <v>154</v>
      </c>
      <c r="G165" s="1897">
        <v>0.53610389610389608</v>
      </c>
      <c r="H165" s="1897">
        <v>0.55740259740259746</v>
      </c>
      <c r="I165" s="1897">
        <v>0.59480519480519489</v>
      </c>
      <c r="J165" s="1897">
        <v>0.58441558441558439</v>
      </c>
      <c r="K165" s="1897">
        <v>0.53870129870129868</v>
      </c>
      <c r="L165" s="1897">
        <v>0.56259740259740265</v>
      </c>
      <c r="M165" s="1897">
        <v>0.56103896103896111</v>
      </c>
      <c r="N165" s="1897">
        <v>0.50649350649350644</v>
      </c>
      <c r="O165" s="1897">
        <v>0.51844155844155848</v>
      </c>
      <c r="P165" s="1897">
        <v>0.50649350649350644</v>
      </c>
      <c r="Q165" s="1897">
        <v>0.530909090909091</v>
      </c>
      <c r="R165" s="1897">
        <v>0.56727272727272726</v>
      </c>
      <c r="S165" s="1898">
        <f t="shared" si="4"/>
        <v>0.54705627705627713</v>
      </c>
    </row>
    <row r="166" spans="1:19">
      <c r="A166" s="1894">
        <f t="shared" si="5"/>
        <v>159</v>
      </c>
      <c r="B166" s="1895" t="s">
        <v>3059</v>
      </c>
      <c r="C166" s="1894" t="s">
        <v>524</v>
      </c>
      <c r="D166" s="1895" t="s">
        <v>541</v>
      </c>
      <c r="E166" s="1894" t="s">
        <v>259</v>
      </c>
      <c r="F166" s="1896">
        <v>156</v>
      </c>
      <c r="G166" s="1897">
        <v>0.71307692307692316</v>
      </c>
      <c r="H166" s="1897">
        <v>0.67384615384615376</v>
      </c>
      <c r="I166" s="1897">
        <v>0.66</v>
      </c>
      <c r="J166" s="1897">
        <v>0.71461538461538454</v>
      </c>
      <c r="K166" s="1897">
        <v>0.65923076923076929</v>
      </c>
      <c r="L166" s="1897">
        <v>1.9999999999999997E-2</v>
      </c>
      <c r="M166" s="1897">
        <v>0.74615384615384617</v>
      </c>
      <c r="N166" s="1897">
        <v>0.72076923076923083</v>
      </c>
      <c r="O166" s="1897">
        <v>0.69692307692307687</v>
      </c>
      <c r="P166" s="1897">
        <v>0.65923076923076929</v>
      </c>
      <c r="Q166" s="1897">
        <v>0.76384615384615384</v>
      </c>
      <c r="R166" s="1897">
        <v>1.0338461538461539</v>
      </c>
      <c r="S166" s="1898">
        <f t="shared" si="4"/>
        <v>0.67179487179487174</v>
      </c>
    </row>
    <row r="167" spans="1:19">
      <c r="A167" s="1894">
        <f t="shared" si="5"/>
        <v>160</v>
      </c>
      <c r="B167" s="1895" t="s">
        <v>3060</v>
      </c>
      <c r="C167" s="1894" t="s">
        <v>524</v>
      </c>
      <c r="D167" s="1895" t="s">
        <v>541</v>
      </c>
      <c r="E167" s="1894" t="s">
        <v>259</v>
      </c>
      <c r="F167" s="1896">
        <v>156</v>
      </c>
      <c r="G167" s="1897">
        <v>0.5823076923076923</v>
      </c>
      <c r="H167" s="1897">
        <v>0.60923076923076924</v>
      </c>
      <c r="I167" s="1897">
        <v>0.61</v>
      </c>
      <c r="J167" s="1897">
        <v>0.60307692307692307</v>
      </c>
      <c r="K167" s="1897">
        <v>6.9230769230769233E-3</v>
      </c>
      <c r="L167" s="1897">
        <v>0.55538461538461537</v>
      </c>
      <c r="M167" s="1897">
        <v>8.9743589743589737E-3</v>
      </c>
      <c r="N167" s="1897">
        <v>5.7692307692307696E-3</v>
      </c>
      <c r="O167" s="1897">
        <v>3.8461538461538459E-3</v>
      </c>
      <c r="P167" s="1897">
        <v>3.205128205128205E-3</v>
      </c>
      <c r="Q167" s="1897">
        <v>3.205128205128205E-3</v>
      </c>
      <c r="R167" s="1897">
        <v>0.68298076923076922</v>
      </c>
      <c r="S167" s="1898">
        <f t="shared" si="4"/>
        <v>0.3062419871794872</v>
      </c>
    </row>
    <row r="168" spans="1:19">
      <c r="A168" s="1894">
        <f t="shared" si="5"/>
        <v>161</v>
      </c>
      <c r="B168" s="1895" t="s">
        <v>3061</v>
      </c>
      <c r="C168" s="1894" t="s">
        <v>524</v>
      </c>
      <c r="D168" s="1895" t="s">
        <v>2966</v>
      </c>
      <c r="E168" s="1894" t="s">
        <v>259</v>
      </c>
      <c r="F168" s="1896">
        <v>156</v>
      </c>
      <c r="G168" s="1897">
        <v>0.35128205128205131</v>
      </c>
      <c r="H168" s="1897">
        <v>0.58974358974358976</v>
      </c>
      <c r="I168" s="1897">
        <v>0.3692307692307692</v>
      </c>
      <c r="J168" s="1897">
        <v>0.3692307692307692</v>
      </c>
      <c r="K168" s="1897">
        <v>0.44615384615384612</v>
      </c>
      <c r="L168" s="1897">
        <v>0.47692307692307695</v>
      </c>
      <c r="M168" s="1897">
        <v>0.47692307692307695</v>
      </c>
      <c r="N168" s="1897">
        <v>0.15692307692307692</v>
      </c>
      <c r="O168" s="1897">
        <v>6.2564102564102567E-2</v>
      </c>
      <c r="P168" s="1897">
        <v>6.4102564102564097E-2</v>
      </c>
      <c r="Q168" s="1897">
        <v>0.23025641025641028</v>
      </c>
      <c r="R168" s="1897">
        <v>0.57948717948717954</v>
      </c>
      <c r="S168" s="1898">
        <f t="shared" si="4"/>
        <v>0.34773504273504274</v>
      </c>
    </row>
    <row r="169" spans="1:19">
      <c r="A169" s="1894">
        <f t="shared" si="5"/>
        <v>162</v>
      </c>
      <c r="B169" s="1895" t="s">
        <v>3062</v>
      </c>
      <c r="C169" s="1894" t="s">
        <v>524</v>
      </c>
      <c r="D169" s="1895" t="s">
        <v>541</v>
      </c>
      <c r="E169" s="1894" t="s">
        <v>259</v>
      </c>
      <c r="F169" s="1896">
        <v>156</v>
      </c>
      <c r="G169" s="1897">
        <v>0.62820512820512819</v>
      </c>
      <c r="H169" s="1897">
        <v>0.57282051282051283</v>
      </c>
      <c r="I169" s="1897">
        <v>0.58974358974358976</v>
      </c>
      <c r="J169" s="1897">
        <v>0.63128205128205128</v>
      </c>
      <c r="K169" s="1897">
        <v>0.6497435897435897</v>
      </c>
      <c r="L169" s="1897">
        <v>0.65435897435897439</v>
      </c>
      <c r="M169" s="1897">
        <v>0.67897435897435887</v>
      </c>
      <c r="N169" s="1897">
        <v>0.70717948717948709</v>
      </c>
      <c r="O169" s="1897">
        <v>0.64256410256410257</v>
      </c>
      <c r="P169" s="1897">
        <v>0.698974358974359</v>
      </c>
      <c r="Q169" s="1897">
        <v>0.5953846153846154</v>
      </c>
      <c r="R169" s="1897">
        <v>0.72461538461538466</v>
      </c>
      <c r="S169" s="1898">
        <f t="shared" si="4"/>
        <v>0.64782051282051278</v>
      </c>
    </row>
    <row r="170" spans="1:19">
      <c r="A170" s="1894">
        <f t="shared" si="5"/>
        <v>163</v>
      </c>
      <c r="B170" s="1895" t="s">
        <v>3063</v>
      </c>
      <c r="C170" s="1894" t="s">
        <v>524</v>
      </c>
      <c r="D170" s="1895" t="s">
        <v>541</v>
      </c>
      <c r="E170" s="1894" t="s">
        <v>259</v>
      </c>
      <c r="F170" s="1896">
        <v>156</v>
      </c>
      <c r="G170" s="1897">
        <v>0.43461538461538468</v>
      </c>
      <c r="H170" s="1897">
        <v>2.564102564102564E-2</v>
      </c>
      <c r="I170" s="1897">
        <v>2.1794871794871797E-2</v>
      </c>
      <c r="J170" s="1897">
        <v>0.2166666666666667</v>
      </c>
      <c r="K170" s="1897">
        <v>2.3076923076923075E-2</v>
      </c>
      <c r="L170" s="1897">
        <v>2.3076923076923075E-2</v>
      </c>
      <c r="M170" s="1897">
        <v>2.1794871794871797E-2</v>
      </c>
      <c r="N170" s="1897">
        <v>2.1794871794871797E-2</v>
      </c>
      <c r="O170" s="1897">
        <v>2.3076923076923075E-2</v>
      </c>
      <c r="P170" s="1897">
        <v>1.9999999999999997E-2</v>
      </c>
      <c r="Q170" s="1897">
        <v>2.0512820512820513E-2</v>
      </c>
      <c r="R170" s="1897">
        <v>1.846153846153846E-2</v>
      </c>
      <c r="S170" s="1898">
        <f t="shared" si="4"/>
        <v>7.2542735042735063E-2</v>
      </c>
    </row>
    <row r="171" spans="1:19">
      <c r="A171" s="1894">
        <f t="shared" si="5"/>
        <v>164</v>
      </c>
      <c r="B171" s="1895" t="s">
        <v>3064</v>
      </c>
      <c r="C171" s="1894" t="s">
        <v>524</v>
      </c>
      <c r="D171" s="1895" t="s">
        <v>541</v>
      </c>
      <c r="E171" s="1894" t="s">
        <v>259</v>
      </c>
      <c r="F171" s="1896">
        <v>156</v>
      </c>
      <c r="G171" s="1897">
        <v>0.58769230769230763</v>
      </c>
      <c r="H171" s="1897">
        <v>0.52846153846153843</v>
      </c>
      <c r="I171" s="1897">
        <v>0.53</v>
      </c>
      <c r="J171" s="1897">
        <v>0.49153846153846148</v>
      </c>
      <c r="K171" s="1897">
        <v>0.50153846153846149</v>
      </c>
      <c r="L171" s="1897">
        <v>0.4876923076923077</v>
      </c>
      <c r="M171" s="1897">
        <v>0.52461538461538459</v>
      </c>
      <c r="N171" s="1897">
        <v>0.47769230769230769</v>
      </c>
      <c r="O171" s="1897">
        <v>0.52384615384615385</v>
      </c>
      <c r="P171" s="1897">
        <v>0.56384615384615389</v>
      </c>
      <c r="Q171" s="1897">
        <v>0.55846153846153845</v>
      </c>
      <c r="R171" s="1897">
        <v>0.5461538461538461</v>
      </c>
      <c r="S171" s="1898">
        <f t="shared" si="4"/>
        <v>0.52679487179487183</v>
      </c>
    </row>
    <row r="172" spans="1:19">
      <c r="A172" s="1894">
        <f t="shared" si="5"/>
        <v>165</v>
      </c>
      <c r="B172" s="1895" t="s">
        <v>3065</v>
      </c>
      <c r="C172" s="1894" t="s">
        <v>524</v>
      </c>
      <c r="D172" s="1895" t="s">
        <v>541</v>
      </c>
      <c r="E172" s="1894" t="s">
        <v>259</v>
      </c>
      <c r="F172" s="1896">
        <v>160</v>
      </c>
      <c r="G172" s="1897">
        <v>0</v>
      </c>
      <c r="H172" s="1897">
        <v>0</v>
      </c>
      <c r="I172" s="1897">
        <v>0</v>
      </c>
      <c r="J172" s="1897">
        <v>0.69</v>
      </c>
      <c r="K172" s="1897">
        <v>0.92624999999999991</v>
      </c>
      <c r="L172" s="1897">
        <v>0.84375</v>
      </c>
      <c r="M172" s="1897">
        <v>0.96</v>
      </c>
      <c r="N172" s="1897">
        <v>1.002</v>
      </c>
      <c r="O172" s="1897">
        <v>1.0169999999999999</v>
      </c>
      <c r="P172" s="1897">
        <v>1.008</v>
      </c>
      <c r="Q172" s="1897">
        <v>1.0507500000000001</v>
      </c>
      <c r="R172" s="1897">
        <v>0.9817499999999999</v>
      </c>
      <c r="S172" s="1898">
        <f t="shared" si="4"/>
        <v>0.70662499999999995</v>
      </c>
    </row>
    <row r="173" spans="1:19">
      <c r="A173" s="1894">
        <f t="shared" si="5"/>
        <v>166</v>
      </c>
      <c r="B173" s="1895" t="s">
        <v>3066</v>
      </c>
      <c r="C173" s="1894" t="s">
        <v>524</v>
      </c>
      <c r="D173" s="1895" t="s">
        <v>636</v>
      </c>
      <c r="E173" s="1894" t="s">
        <v>259</v>
      </c>
      <c r="F173" s="1896">
        <v>160</v>
      </c>
      <c r="G173" s="1897">
        <v>0.71</v>
      </c>
      <c r="H173" s="1897">
        <v>0.72124999999999995</v>
      </c>
      <c r="I173" s="1897">
        <v>0.64600000000000013</v>
      </c>
      <c r="J173" s="1897">
        <v>0.5675</v>
      </c>
      <c r="K173" s="1897">
        <v>0.75249999999999995</v>
      </c>
      <c r="L173" s="1897">
        <v>0.65049999999999997</v>
      </c>
      <c r="M173" s="1897">
        <v>0.69750000000000001</v>
      </c>
      <c r="N173" s="1897">
        <v>0.67749999999999999</v>
      </c>
      <c r="O173" s="1897">
        <v>0.69375000000000009</v>
      </c>
      <c r="P173" s="1897">
        <v>0.69199999999999995</v>
      </c>
      <c r="Q173" s="1897">
        <v>0.67400000000000004</v>
      </c>
      <c r="R173" s="1897">
        <v>0.70650000000000002</v>
      </c>
      <c r="S173" s="1898">
        <f t="shared" si="4"/>
        <v>0.68241666666666667</v>
      </c>
    </row>
    <row r="174" spans="1:19">
      <c r="A174" s="1894">
        <f t="shared" si="5"/>
        <v>167</v>
      </c>
      <c r="B174" s="1895" t="s">
        <v>3067</v>
      </c>
      <c r="C174" s="1894" t="s">
        <v>524</v>
      </c>
      <c r="D174" s="1895" t="s">
        <v>541</v>
      </c>
      <c r="E174" s="1894" t="s">
        <v>259</v>
      </c>
      <c r="F174" s="1896">
        <v>160</v>
      </c>
      <c r="G174" s="1897">
        <v>0.54949999999999999</v>
      </c>
      <c r="H174" s="1897">
        <v>0.55899999999999994</v>
      </c>
      <c r="I174" s="1897">
        <v>0.57650000000000001</v>
      </c>
      <c r="J174" s="1897">
        <v>0.61850000000000005</v>
      </c>
      <c r="K174" s="1897">
        <v>0.50849999999999995</v>
      </c>
      <c r="L174" s="1897">
        <v>0.72499999999999987</v>
      </c>
      <c r="M174" s="1897">
        <v>0.61349999999999993</v>
      </c>
      <c r="N174" s="1897">
        <v>0.59299999999999997</v>
      </c>
      <c r="O174" s="1897">
        <v>0.58350000000000002</v>
      </c>
      <c r="P174" s="1897">
        <v>0.53199999999999992</v>
      </c>
      <c r="Q174" s="1897">
        <v>0.66100000000000003</v>
      </c>
      <c r="R174" s="1897">
        <v>0.64949999999999997</v>
      </c>
      <c r="S174" s="1898">
        <f t="shared" si="4"/>
        <v>0.59745833333333331</v>
      </c>
    </row>
    <row r="175" spans="1:19">
      <c r="A175" s="1894">
        <f t="shared" si="5"/>
        <v>168</v>
      </c>
      <c r="B175" s="1895" t="s">
        <v>3068</v>
      </c>
      <c r="C175" s="1894" t="s">
        <v>524</v>
      </c>
      <c r="D175" s="1895" t="s">
        <v>541</v>
      </c>
      <c r="E175" s="1894" t="s">
        <v>259</v>
      </c>
      <c r="F175" s="1896">
        <v>160</v>
      </c>
      <c r="G175" s="1897">
        <v>0.62549999999999994</v>
      </c>
      <c r="H175" s="1897">
        <v>1.0334999999999999</v>
      </c>
      <c r="I175" s="1897">
        <v>1.3325</v>
      </c>
      <c r="J175" s="1897">
        <v>1.319</v>
      </c>
      <c r="K175" s="1897">
        <v>1.2945</v>
      </c>
      <c r="L175" s="1897">
        <v>1.3025</v>
      </c>
      <c r="M175" s="1897">
        <v>1.3134999999999999</v>
      </c>
      <c r="N175" s="1897">
        <v>1.073</v>
      </c>
      <c r="O175" s="1897">
        <v>0.98350000000000004</v>
      </c>
      <c r="P175" s="1897">
        <v>0.90300000000000014</v>
      </c>
      <c r="Q175" s="1897">
        <v>0.91800000000000015</v>
      </c>
      <c r="R175" s="1897">
        <v>0.92200000000000004</v>
      </c>
      <c r="S175" s="1898">
        <f t="shared" si="4"/>
        <v>1.0850416666666669</v>
      </c>
    </row>
    <row r="176" spans="1:19">
      <c r="A176" s="1894">
        <f t="shared" si="5"/>
        <v>169</v>
      </c>
      <c r="B176" s="1895" t="s">
        <v>3069</v>
      </c>
      <c r="C176" s="1894" t="s">
        <v>524</v>
      </c>
      <c r="D176" s="1895" t="s">
        <v>636</v>
      </c>
      <c r="E176" s="1894" t="s">
        <v>259</v>
      </c>
      <c r="F176" s="1896">
        <v>160</v>
      </c>
      <c r="G176" s="1897">
        <v>0.43724999999999997</v>
      </c>
      <c r="H176" s="1897">
        <v>0.33975</v>
      </c>
      <c r="I176" s="1897">
        <v>0.33524999999999994</v>
      </c>
      <c r="J176" s="1897">
        <v>0.26624999999999999</v>
      </c>
      <c r="K176" s="1897">
        <v>0.27825</v>
      </c>
      <c r="L176" s="1897">
        <v>0.32624999999999998</v>
      </c>
      <c r="M176" s="1897">
        <v>0.23624999999999999</v>
      </c>
      <c r="N176" s="1897">
        <v>0.33599999999999997</v>
      </c>
      <c r="O176" s="1897">
        <v>0.2205</v>
      </c>
      <c r="P176" s="1897">
        <v>0.19650000000000001</v>
      </c>
      <c r="Q176" s="1897">
        <v>0.22425</v>
      </c>
      <c r="R176" s="1897">
        <v>0.26024999999999998</v>
      </c>
      <c r="S176" s="1898">
        <f t="shared" si="4"/>
        <v>0.28806249999999994</v>
      </c>
    </row>
    <row r="177" spans="1:19">
      <c r="A177" s="1894">
        <f t="shared" si="5"/>
        <v>170</v>
      </c>
      <c r="B177" s="1895" t="s">
        <v>3070</v>
      </c>
      <c r="C177" s="1894" t="s">
        <v>524</v>
      </c>
      <c r="D177" s="1895" t="s">
        <v>629</v>
      </c>
      <c r="E177" s="1894" t="s">
        <v>259</v>
      </c>
      <c r="F177" s="1896">
        <v>160</v>
      </c>
      <c r="G177" s="1897">
        <v>0.41249999999999998</v>
      </c>
      <c r="H177" s="1897">
        <v>0.33750000000000002</v>
      </c>
      <c r="I177" s="1897">
        <v>0.39899999999999997</v>
      </c>
      <c r="J177" s="1897">
        <v>0.5</v>
      </c>
      <c r="K177" s="1897">
        <v>0.48799999999999999</v>
      </c>
      <c r="L177" s="1897">
        <v>0.38200000000000001</v>
      </c>
      <c r="M177" s="1897">
        <v>0.40849999999999997</v>
      </c>
      <c r="N177" s="1897">
        <v>0.42250000000000004</v>
      </c>
      <c r="O177" s="1897">
        <v>0.42000000000000004</v>
      </c>
      <c r="P177" s="1897">
        <v>0.44299999999999995</v>
      </c>
      <c r="Q177" s="1897">
        <v>0.39550000000000002</v>
      </c>
      <c r="R177" s="1897">
        <v>0.34399999999999997</v>
      </c>
      <c r="S177" s="1898">
        <f t="shared" si="4"/>
        <v>0.4127083333333334</v>
      </c>
    </row>
    <row r="178" spans="1:19">
      <c r="A178" s="1894">
        <f t="shared" si="5"/>
        <v>171</v>
      </c>
      <c r="B178" s="1895" t="s">
        <v>3071</v>
      </c>
      <c r="C178" s="1894" t="s">
        <v>524</v>
      </c>
      <c r="D178" s="1895" t="s">
        <v>541</v>
      </c>
      <c r="E178" s="1894" t="s">
        <v>259</v>
      </c>
      <c r="F178" s="1896">
        <v>161</v>
      </c>
      <c r="G178" s="1897">
        <v>0.4695652173913043</v>
      </c>
      <c r="H178" s="1897">
        <v>0.44422360248447201</v>
      </c>
      <c r="I178" s="1897">
        <v>0.6156521739130435</v>
      </c>
      <c r="J178" s="1897">
        <v>0.48447204968944102</v>
      </c>
      <c r="K178" s="1897">
        <v>0.49192546583850932</v>
      </c>
      <c r="L178" s="1897">
        <v>0.47850931677018627</v>
      </c>
      <c r="M178" s="1897">
        <v>0.52173913043478271</v>
      </c>
      <c r="N178" s="1897">
        <v>0</v>
      </c>
      <c r="O178" s="1897">
        <v>0</v>
      </c>
      <c r="P178" s="1897">
        <v>0.47105590062111802</v>
      </c>
      <c r="Q178" s="1897">
        <v>0.42633540372670808</v>
      </c>
      <c r="R178" s="1897">
        <v>0.33689440993788816</v>
      </c>
      <c r="S178" s="1898">
        <f t="shared" si="4"/>
        <v>0.3950310559006211</v>
      </c>
    </row>
    <row r="179" spans="1:19">
      <c r="A179" s="1894">
        <f t="shared" si="5"/>
        <v>172</v>
      </c>
      <c r="B179" s="1895" t="s">
        <v>3072</v>
      </c>
      <c r="C179" s="1894" t="s">
        <v>524</v>
      </c>
      <c r="D179" s="1895" t="s">
        <v>541</v>
      </c>
      <c r="E179" s="1894" t="s">
        <v>259</v>
      </c>
      <c r="F179" s="1896">
        <v>161</v>
      </c>
      <c r="G179" s="1897">
        <v>1.0857142857142859</v>
      </c>
      <c r="H179" s="1897">
        <v>1.079751552795031</v>
      </c>
      <c r="I179" s="1897">
        <v>1.1304347826086956</v>
      </c>
      <c r="J179" s="1897">
        <v>1.0852173913043479</v>
      </c>
      <c r="K179" s="1897">
        <v>0.25192546583850933</v>
      </c>
      <c r="L179" s="1897">
        <v>0.27875776397515523</v>
      </c>
      <c r="M179" s="1897">
        <v>0.1515527950310559</v>
      </c>
      <c r="N179" s="1897">
        <v>8.1987577639751563E-2</v>
      </c>
      <c r="O179" s="1897">
        <v>0.16745341614906833</v>
      </c>
      <c r="P179" s="1897">
        <v>0.99130434782608712</v>
      </c>
      <c r="Q179" s="1897">
        <v>0.96248447204968945</v>
      </c>
      <c r="R179" s="1897">
        <v>0.95850931677018625</v>
      </c>
      <c r="S179" s="1898">
        <f t="shared" si="4"/>
        <v>0.68542443064182201</v>
      </c>
    </row>
    <row r="180" spans="1:19">
      <c r="A180" s="1894">
        <f t="shared" si="5"/>
        <v>173</v>
      </c>
      <c r="B180" s="1895" t="s">
        <v>3073</v>
      </c>
      <c r="C180" s="1894" t="s">
        <v>524</v>
      </c>
      <c r="D180" s="1895" t="s">
        <v>541</v>
      </c>
      <c r="E180" s="1894" t="s">
        <v>259</v>
      </c>
      <c r="F180" s="1896">
        <v>162</v>
      </c>
      <c r="G180" s="1897">
        <v>1.2395061728395063</v>
      </c>
      <c r="H180" s="1897">
        <v>1.0962962962962963</v>
      </c>
      <c r="I180" s="1897">
        <v>1.1506172839506172</v>
      </c>
      <c r="J180" s="1897">
        <v>1.162469135802469</v>
      </c>
      <c r="K180" s="1897">
        <v>1.0577777777777779</v>
      </c>
      <c r="L180" s="1897">
        <v>1.2799999999999998</v>
      </c>
      <c r="M180" s="1897">
        <v>1.0637037037037036</v>
      </c>
      <c r="N180" s="1897">
        <v>0.14222222222222222</v>
      </c>
      <c r="O180" s="1897">
        <v>0.2004938271604938</v>
      </c>
      <c r="P180" s="1897">
        <v>1.1861728395061728</v>
      </c>
      <c r="Q180" s="1897">
        <v>1.0617283950617284</v>
      </c>
      <c r="R180" s="1897">
        <v>1.2819753086419754</v>
      </c>
      <c r="S180" s="1898">
        <f t="shared" si="4"/>
        <v>0.99358024691358005</v>
      </c>
    </row>
    <row r="181" spans="1:19">
      <c r="A181" s="1894">
        <f t="shared" si="5"/>
        <v>174</v>
      </c>
      <c r="B181" s="1895" t="s">
        <v>3074</v>
      </c>
      <c r="C181" s="1894" t="s">
        <v>524</v>
      </c>
      <c r="D181" s="1895" t="s">
        <v>623</v>
      </c>
      <c r="E181" s="1894" t="s">
        <v>259</v>
      </c>
      <c r="F181" s="1896">
        <v>165</v>
      </c>
      <c r="G181" s="1897">
        <v>0.38787878787878788</v>
      </c>
      <c r="H181" s="1897">
        <v>0.32242424242424245</v>
      </c>
      <c r="I181" s="1897">
        <v>0.32242424242424245</v>
      </c>
      <c r="J181" s="1897">
        <v>0.30545454545454542</v>
      </c>
      <c r="K181" s="1897">
        <v>0.29575757575757572</v>
      </c>
      <c r="L181" s="1897">
        <v>0.29769696969696974</v>
      </c>
      <c r="M181" s="1897">
        <v>0.32727272727272727</v>
      </c>
      <c r="N181" s="1897">
        <v>0.27878787878787881</v>
      </c>
      <c r="O181" s="1897">
        <v>0.25309090909090914</v>
      </c>
      <c r="P181" s="1897">
        <v>0.25018181818181817</v>
      </c>
      <c r="Q181" s="1897">
        <v>0.2647272727272727</v>
      </c>
      <c r="R181" s="1897">
        <v>0.42957575757575756</v>
      </c>
      <c r="S181" s="1898">
        <f t="shared" si="4"/>
        <v>0.31127272727272731</v>
      </c>
    </row>
    <row r="182" spans="1:19">
      <c r="A182" s="1894">
        <f t="shared" si="5"/>
        <v>175</v>
      </c>
      <c r="B182" s="1895" t="s">
        <v>3075</v>
      </c>
      <c r="C182" s="1894" t="s">
        <v>524</v>
      </c>
      <c r="D182" s="1895" t="s">
        <v>636</v>
      </c>
      <c r="E182" s="1894" t="s">
        <v>259</v>
      </c>
      <c r="F182" s="1896">
        <v>165</v>
      </c>
      <c r="G182" s="1897">
        <v>0.12121212121212122</v>
      </c>
      <c r="H182" s="1897">
        <v>0.12121212121212122</v>
      </c>
      <c r="I182" s="1897">
        <v>0.12242424242424242</v>
      </c>
      <c r="J182" s="1897">
        <v>9.8424242424242414E-2</v>
      </c>
      <c r="K182" s="1897">
        <v>9.9878787878787886E-2</v>
      </c>
      <c r="L182" s="1897">
        <v>0.11975757575757577</v>
      </c>
      <c r="M182" s="1897">
        <v>9.9878787878787886E-2</v>
      </c>
      <c r="N182" s="1897">
        <v>0.26860606060606063</v>
      </c>
      <c r="O182" s="1897">
        <v>6.1090909090909092E-2</v>
      </c>
      <c r="P182" s="1897">
        <v>6.545454545454546E-2</v>
      </c>
      <c r="Q182" s="1897">
        <v>6.4969696969696969E-2</v>
      </c>
      <c r="R182" s="1897">
        <v>6.7878787878787872E-2</v>
      </c>
      <c r="S182" s="1898">
        <f t="shared" si="4"/>
        <v>0.10923232323232324</v>
      </c>
    </row>
    <row r="183" spans="1:19">
      <c r="A183" s="1894">
        <f t="shared" si="5"/>
        <v>176</v>
      </c>
      <c r="B183" s="1895" t="s">
        <v>3076</v>
      </c>
      <c r="C183" s="1894" t="s">
        <v>524</v>
      </c>
      <c r="D183" s="1895" t="s">
        <v>636</v>
      </c>
      <c r="E183" s="1894" t="s">
        <v>259</v>
      </c>
      <c r="F183" s="1896">
        <v>167</v>
      </c>
      <c r="G183" s="1897">
        <v>0.19161676646706588</v>
      </c>
      <c r="H183" s="1897">
        <v>0.19161676646706588</v>
      </c>
      <c r="I183" s="1897">
        <v>0.21473053892215568</v>
      </c>
      <c r="J183" s="1897">
        <v>0.25005988023952097</v>
      </c>
      <c r="K183" s="1897">
        <v>0.29029940119760483</v>
      </c>
      <c r="L183" s="1897">
        <v>0.30467065868263477</v>
      </c>
      <c r="M183" s="1897">
        <v>0.27784431137724552</v>
      </c>
      <c r="N183" s="1897">
        <v>0.25101796407185628</v>
      </c>
      <c r="O183" s="1897">
        <v>0.21461077844311374</v>
      </c>
      <c r="P183" s="1897">
        <v>0.15233532934131738</v>
      </c>
      <c r="Q183" s="1897">
        <v>0.19736526946107785</v>
      </c>
      <c r="R183" s="1897">
        <v>0.22898203592814373</v>
      </c>
      <c r="S183" s="1898">
        <f t="shared" si="4"/>
        <v>0.23042914171656689</v>
      </c>
    </row>
    <row r="184" spans="1:19">
      <c r="A184" s="1894">
        <f t="shared" si="5"/>
        <v>177</v>
      </c>
      <c r="B184" s="1895" t="s">
        <v>3077</v>
      </c>
      <c r="C184" s="1894" t="s">
        <v>524</v>
      </c>
      <c r="D184" s="1895" t="s">
        <v>541</v>
      </c>
      <c r="E184" s="1894" t="s">
        <v>259</v>
      </c>
      <c r="F184" s="1896">
        <v>167</v>
      </c>
      <c r="G184" s="1897">
        <v>0.58826347305389226</v>
      </c>
      <c r="H184" s="1897">
        <v>0.60982035928143719</v>
      </c>
      <c r="I184" s="1897">
        <v>0.67401197604790408</v>
      </c>
      <c r="J184" s="1897">
        <v>0.28263473053892213</v>
      </c>
      <c r="K184" s="1897">
        <v>0.27640718562874256</v>
      </c>
      <c r="L184" s="1897">
        <v>0.30946107784431143</v>
      </c>
      <c r="M184" s="1897">
        <v>0.62946107784431127</v>
      </c>
      <c r="N184" s="1897">
        <v>0.65580838323353297</v>
      </c>
      <c r="O184" s="1897">
        <v>0.7022754491017964</v>
      </c>
      <c r="P184" s="1897">
        <v>0.75832335329341316</v>
      </c>
      <c r="Q184" s="1897">
        <v>0.72047904191616774</v>
      </c>
      <c r="R184" s="1897">
        <v>0.3391616766467066</v>
      </c>
      <c r="S184" s="1898">
        <f t="shared" si="4"/>
        <v>0.54550898203592812</v>
      </c>
    </row>
    <row r="185" spans="1:19">
      <c r="A185" s="1894">
        <f t="shared" si="5"/>
        <v>178</v>
      </c>
      <c r="B185" s="1895" t="s">
        <v>3078</v>
      </c>
      <c r="C185" s="1894" t="s">
        <v>524</v>
      </c>
      <c r="D185" s="1895" t="s">
        <v>636</v>
      </c>
      <c r="E185" s="1894" t="s">
        <v>259</v>
      </c>
      <c r="F185" s="1896">
        <v>167</v>
      </c>
      <c r="G185" s="1897">
        <v>0</v>
      </c>
      <c r="H185" s="1897">
        <v>0</v>
      </c>
      <c r="I185" s="1897">
        <v>0</v>
      </c>
      <c r="J185" s="1897">
        <v>0</v>
      </c>
      <c r="K185" s="1897">
        <v>0</v>
      </c>
      <c r="L185" s="1897">
        <v>0</v>
      </c>
      <c r="M185" s="1897">
        <v>0</v>
      </c>
      <c r="N185" s="1897">
        <v>0.3097005988023952</v>
      </c>
      <c r="O185" s="1897">
        <v>0.24215568862275447</v>
      </c>
      <c r="P185" s="1897">
        <v>0.24287425149700595</v>
      </c>
      <c r="Q185" s="1897">
        <v>0.30538922155688625</v>
      </c>
      <c r="R185" s="1897">
        <v>0.34347305389221555</v>
      </c>
      <c r="S185" s="1898">
        <f t="shared" si="4"/>
        <v>0.12029940119760478</v>
      </c>
    </row>
    <row r="186" spans="1:19">
      <c r="A186" s="1894">
        <f t="shared" si="5"/>
        <v>179</v>
      </c>
      <c r="B186" s="1895" t="s">
        <v>3079</v>
      </c>
      <c r="C186" s="1894" t="s">
        <v>524</v>
      </c>
      <c r="D186" s="1895" t="s">
        <v>541</v>
      </c>
      <c r="E186" s="1894" t="s">
        <v>259</v>
      </c>
      <c r="F186" s="1896">
        <v>167</v>
      </c>
      <c r="G186" s="1897">
        <v>1.2253892215568862</v>
      </c>
      <c r="H186" s="1897">
        <v>1.2431137724550898</v>
      </c>
      <c r="I186" s="1897">
        <v>1.2895808383233531</v>
      </c>
      <c r="J186" s="1897">
        <v>1.2675449101796408</v>
      </c>
      <c r="K186" s="1897">
        <v>1.3437125748502996</v>
      </c>
      <c r="L186" s="1897">
        <v>1.2661077844311377</v>
      </c>
      <c r="M186" s="1897">
        <v>1.3370059880239522</v>
      </c>
      <c r="N186" s="1897">
        <v>1.2665868263473055</v>
      </c>
      <c r="O186" s="1897">
        <v>1.2560479041916166</v>
      </c>
      <c r="P186" s="1897">
        <v>1.2493413173652694</v>
      </c>
      <c r="Q186" s="1897">
        <v>3.1137724550898204E-2</v>
      </c>
      <c r="R186" s="1897">
        <v>8.479041916167665E-2</v>
      </c>
      <c r="S186" s="1898">
        <f t="shared" si="4"/>
        <v>1.0716966067864271</v>
      </c>
    </row>
    <row r="187" spans="1:19">
      <c r="A187" s="1894">
        <f t="shared" si="5"/>
        <v>180</v>
      </c>
      <c r="B187" s="1895" t="s">
        <v>3080</v>
      </c>
      <c r="C187" s="1894" t="s">
        <v>613</v>
      </c>
      <c r="D187" s="1895" t="s">
        <v>641</v>
      </c>
      <c r="E187" s="1894" t="s">
        <v>259</v>
      </c>
      <c r="F187" s="1896">
        <v>167</v>
      </c>
      <c r="G187" s="1897">
        <v>0</v>
      </c>
      <c r="H187" s="1897">
        <v>0</v>
      </c>
      <c r="I187" s="1897">
        <v>0</v>
      </c>
      <c r="J187" s="1897">
        <v>0</v>
      </c>
      <c r="K187" s="1897">
        <v>0</v>
      </c>
      <c r="L187" s="1897">
        <v>0</v>
      </c>
      <c r="M187" s="1897">
        <v>0</v>
      </c>
      <c r="N187" s="1897">
        <v>0</v>
      </c>
      <c r="O187" s="1897">
        <v>0</v>
      </c>
      <c r="P187" s="1897">
        <v>0</v>
      </c>
      <c r="Q187" s="1897">
        <v>0</v>
      </c>
      <c r="R187" s="1897">
        <v>0.85808383233532937</v>
      </c>
      <c r="S187" s="1898">
        <f t="shared" si="4"/>
        <v>7.1506986027944114E-2</v>
      </c>
    </row>
    <row r="188" spans="1:19">
      <c r="A188" s="1894">
        <f t="shared" si="5"/>
        <v>181</v>
      </c>
      <c r="B188" s="1895" t="s">
        <v>3081</v>
      </c>
      <c r="C188" s="1894" t="s">
        <v>524</v>
      </c>
      <c r="D188" s="1895" t="s">
        <v>2966</v>
      </c>
      <c r="E188" s="1894" t="s">
        <v>259</v>
      </c>
      <c r="F188" s="1896">
        <v>167</v>
      </c>
      <c r="G188" s="1897">
        <v>0.75880239520958093</v>
      </c>
      <c r="H188" s="1897">
        <v>0.84023952095808374</v>
      </c>
      <c r="I188" s="1897">
        <v>0.72862275449101799</v>
      </c>
      <c r="J188" s="1897">
        <v>0.42395209580838322</v>
      </c>
      <c r="K188" s="1897">
        <v>0.3429940119760479</v>
      </c>
      <c r="L188" s="1897">
        <v>0.72335329341317367</v>
      </c>
      <c r="M188" s="1897">
        <v>0.98922155688622748</v>
      </c>
      <c r="N188" s="1897">
        <v>0.66538922155688618</v>
      </c>
      <c r="O188" s="1897">
        <v>4.4071856287425146E-2</v>
      </c>
      <c r="P188" s="1897">
        <v>0.11065868263473054</v>
      </c>
      <c r="Q188" s="1897">
        <v>0.35880239520958079</v>
      </c>
      <c r="R188" s="1897">
        <v>0.99209580838323352</v>
      </c>
      <c r="S188" s="1898">
        <f t="shared" si="4"/>
        <v>0.58151696606786418</v>
      </c>
    </row>
    <row r="189" spans="1:19">
      <c r="A189" s="1894">
        <f t="shared" si="5"/>
        <v>182</v>
      </c>
      <c r="B189" s="1895" t="s">
        <v>3082</v>
      </c>
      <c r="C189" s="1894" t="s">
        <v>524</v>
      </c>
      <c r="D189" s="1895" t="s">
        <v>2966</v>
      </c>
      <c r="E189" s="1894" t="s">
        <v>259</v>
      </c>
      <c r="F189" s="1896">
        <v>167</v>
      </c>
      <c r="G189" s="1897">
        <v>0.31856287425149704</v>
      </c>
      <c r="H189" s="1897">
        <v>0.5408383233532934</v>
      </c>
      <c r="I189" s="1897">
        <v>0.68502994011976048</v>
      </c>
      <c r="J189" s="1897">
        <v>0.47041916167664671</v>
      </c>
      <c r="K189" s="1897">
        <v>0.1317365269461078</v>
      </c>
      <c r="L189" s="1897">
        <v>9.2455089820359285E-2</v>
      </c>
      <c r="M189" s="1897">
        <v>0.1125748502994012</v>
      </c>
      <c r="N189" s="1897">
        <v>0.20263473053892214</v>
      </c>
      <c r="O189" s="1897">
        <v>0.1125748502994012</v>
      </c>
      <c r="P189" s="1897">
        <v>0.23137724550898203</v>
      </c>
      <c r="Q189" s="1897">
        <v>0.72862275449101799</v>
      </c>
      <c r="R189" s="1897">
        <v>0.73053892215568861</v>
      </c>
      <c r="S189" s="1898">
        <f t="shared" si="4"/>
        <v>0.36311377245508986</v>
      </c>
    </row>
    <row r="190" spans="1:19">
      <c r="A190" s="1894">
        <f t="shared" si="5"/>
        <v>183</v>
      </c>
      <c r="B190" s="1895" t="s">
        <v>3083</v>
      </c>
      <c r="C190" s="1894" t="s">
        <v>524</v>
      </c>
      <c r="D190" s="1895" t="s">
        <v>636</v>
      </c>
      <c r="E190" s="1894" t="s">
        <v>259</v>
      </c>
      <c r="F190" s="1896">
        <v>167</v>
      </c>
      <c r="G190" s="1897">
        <v>0.25269461077844307</v>
      </c>
      <c r="H190" s="1897">
        <v>0.25149700598802394</v>
      </c>
      <c r="I190" s="1897">
        <v>0.24574850299401196</v>
      </c>
      <c r="J190" s="1897">
        <v>0.26395209580838325</v>
      </c>
      <c r="K190" s="1897">
        <v>0.18443113772455091</v>
      </c>
      <c r="L190" s="1897">
        <v>0.26347305389221559</v>
      </c>
      <c r="M190" s="1897">
        <v>0.29029940119760483</v>
      </c>
      <c r="N190" s="1897">
        <v>0.24335329341317366</v>
      </c>
      <c r="O190" s="1897">
        <v>0.24862275449101798</v>
      </c>
      <c r="P190" s="1897">
        <v>0.27449101796407183</v>
      </c>
      <c r="Q190" s="1897">
        <v>0.23377245508982036</v>
      </c>
      <c r="R190" s="1897">
        <v>0.23041916167664669</v>
      </c>
      <c r="S190" s="1898">
        <f t="shared" si="4"/>
        <v>0.24856287425149701</v>
      </c>
    </row>
    <row r="191" spans="1:19">
      <c r="A191" s="1894">
        <f t="shared" si="5"/>
        <v>184</v>
      </c>
      <c r="B191" s="1895" t="s">
        <v>3084</v>
      </c>
      <c r="C191" s="1894" t="s">
        <v>524</v>
      </c>
      <c r="D191" s="1895" t="s">
        <v>636</v>
      </c>
      <c r="E191" s="1894" t="s">
        <v>259</v>
      </c>
      <c r="F191" s="1896">
        <v>167</v>
      </c>
      <c r="G191" s="1897">
        <v>0</v>
      </c>
      <c r="H191" s="1897">
        <v>0</v>
      </c>
      <c r="I191" s="1897">
        <v>0</v>
      </c>
      <c r="J191" s="1897">
        <v>0</v>
      </c>
      <c r="K191" s="1897">
        <v>0</v>
      </c>
      <c r="L191" s="1897">
        <v>0</v>
      </c>
      <c r="M191" s="1897">
        <v>0</v>
      </c>
      <c r="N191" s="1897">
        <v>0</v>
      </c>
      <c r="O191" s="1897">
        <v>0</v>
      </c>
      <c r="P191" s="1897">
        <v>2.2275449101796407E-2</v>
      </c>
      <c r="Q191" s="1897">
        <v>2.1556886227544911E-2</v>
      </c>
      <c r="R191" s="1897">
        <v>2.2994011976047907E-2</v>
      </c>
      <c r="S191" s="1898">
        <f t="shared" si="4"/>
        <v>5.5688622754491018E-3</v>
      </c>
    </row>
    <row r="192" spans="1:19">
      <c r="A192" s="1894">
        <f t="shared" si="5"/>
        <v>185</v>
      </c>
      <c r="B192" s="1895" t="s">
        <v>3085</v>
      </c>
      <c r="C192" s="1894" t="s">
        <v>524</v>
      </c>
      <c r="D192" s="1895" t="s">
        <v>636</v>
      </c>
      <c r="E192" s="1894" t="s">
        <v>259</v>
      </c>
      <c r="F192" s="1896">
        <v>167</v>
      </c>
      <c r="G192" s="1897">
        <v>3.2574850299401194E-2</v>
      </c>
      <c r="H192" s="1897">
        <v>3.161676646706587E-2</v>
      </c>
      <c r="I192" s="1897">
        <v>4.5029940119760484E-2</v>
      </c>
      <c r="J192" s="1897">
        <v>3.7365269461077842E-2</v>
      </c>
      <c r="K192" s="1897">
        <v>3.161676646706587E-2</v>
      </c>
      <c r="L192" s="1897">
        <v>0.64862275449101792</v>
      </c>
      <c r="M192" s="1897">
        <v>3.3532934131736532E-2</v>
      </c>
      <c r="N192" s="1897">
        <v>3.7365269461077842E-2</v>
      </c>
      <c r="O192" s="1897">
        <v>2.9700598802395211E-2</v>
      </c>
      <c r="P192" s="1897">
        <v>3.7365269461077842E-2</v>
      </c>
      <c r="Q192" s="1897">
        <v>3.9281437125748504E-2</v>
      </c>
      <c r="R192" s="1897">
        <v>4.0239520958083828E-2</v>
      </c>
      <c r="S192" s="1898">
        <f t="shared" si="4"/>
        <v>8.7025948103792425E-2</v>
      </c>
    </row>
    <row r="193" spans="1:19">
      <c r="A193" s="1894">
        <f t="shared" si="5"/>
        <v>186</v>
      </c>
      <c r="B193" s="1895" t="s">
        <v>3086</v>
      </c>
      <c r="C193" s="1894" t="s">
        <v>524</v>
      </c>
      <c r="D193" s="1895" t="s">
        <v>636</v>
      </c>
      <c r="E193" s="1894" t="s">
        <v>259</v>
      </c>
      <c r="F193" s="1896">
        <v>167</v>
      </c>
      <c r="G193" s="1897">
        <v>0</v>
      </c>
      <c r="H193" s="1897">
        <v>0.12934131736526946</v>
      </c>
      <c r="I193" s="1897">
        <v>0.11880239520958084</v>
      </c>
      <c r="J193" s="1897">
        <v>0.11209580838323352</v>
      </c>
      <c r="K193" s="1897">
        <v>9.964071856287425E-2</v>
      </c>
      <c r="L193" s="1897">
        <v>0.13988023952095807</v>
      </c>
      <c r="M193" s="1897">
        <v>0.12455089820359282</v>
      </c>
      <c r="N193" s="1897">
        <v>0.19257485029940119</v>
      </c>
      <c r="O193" s="1897">
        <v>7.9520958083832333E-2</v>
      </c>
      <c r="P193" s="1897">
        <v>6.9940119760479036E-2</v>
      </c>
      <c r="Q193" s="1897">
        <v>9.580838323353294E-2</v>
      </c>
      <c r="R193" s="1897">
        <v>0.10443113772455091</v>
      </c>
      <c r="S193" s="1898">
        <f t="shared" si="4"/>
        <v>0.10554890219560877</v>
      </c>
    </row>
    <row r="194" spans="1:19">
      <c r="A194" s="1894">
        <f t="shared" si="5"/>
        <v>187</v>
      </c>
      <c r="B194" s="1895" t="s">
        <v>3087</v>
      </c>
      <c r="C194" s="1894" t="s">
        <v>524</v>
      </c>
      <c r="D194" s="1895" t="s">
        <v>636</v>
      </c>
      <c r="E194" s="1894" t="s">
        <v>259</v>
      </c>
      <c r="F194" s="1896">
        <v>167</v>
      </c>
      <c r="G194" s="1897">
        <v>0.77245508982035926</v>
      </c>
      <c r="H194" s="1897">
        <v>0.864071856287425</v>
      </c>
      <c r="I194" s="1897">
        <v>0.78610778443113771</v>
      </c>
      <c r="J194" s="1897">
        <v>0.79401197604790419</v>
      </c>
      <c r="K194" s="1897">
        <v>0.81197604790419153</v>
      </c>
      <c r="L194" s="1897">
        <v>0.7077844311377246</v>
      </c>
      <c r="M194" s="1897">
        <v>0.62874251497005984</v>
      </c>
      <c r="N194" s="1897">
        <v>0.5245508982035928</v>
      </c>
      <c r="O194" s="1897">
        <v>0.37652694610778442</v>
      </c>
      <c r="P194" s="1897">
        <v>0.54970059880239519</v>
      </c>
      <c r="Q194" s="1897">
        <v>0.56550898203592825</v>
      </c>
      <c r="R194" s="1897">
        <v>0.69125748502994011</v>
      </c>
      <c r="S194" s="1898">
        <f t="shared" si="4"/>
        <v>0.6727245508982036</v>
      </c>
    </row>
    <row r="195" spans="1:19">
      <c r="A195" s="1894">
        <f t="shared" si="5"/>
        <v>188</v>
      </c>
      <c r="B195" s="1895" t="s">
        <v>3088</v>
      </c>
      <c r="C195" s="1894" t="s">
        <v>613</v>
      </c>
      <c r="D195" s="1895" t="s">
        <v>541</v>
      </c>
      <c r="E195" s="1894" t="s">
        <v>259</v>
      </c>
      <c r="F195" s="1896">
        <v>167</v>
      </c>
      <c r="G195" s="1897">
        <v>0</v>
      </c>
      <c r="H195" s="1897">
        <v>0</v>
      </c>
      <c r="I195" s="1897">
        <v>0</v>
      </c>
      <c r="J195" s="1897">
        <v>0</v>
      </c>
      <c r="K195" s="1897">
        <v>0</v>
      </c>
      <c r="L195" s="1897">
        <v>0</v>
      </c>
      <c r="M195" s="1897">
        <v>0</v>
      </c>
      <c r="N195" s="1897">
        <v>0</v>
      </c>
      <c r="O195" s="1897">
        <v>0</v>
      </c>
      <c r="P195" s="1897">
        <v>0</v>
      </c>
      <c r="Q195" s="1897">
        <v>0</v>
      </c>
      <c r="R195" s="1897">
        <v>5.1017964071856298E-2</v>
      </c>
      <c r="S195" s="1898">
        <f t="shared" si="4"/>
        <v>4.2514970059880251E-3</v>
      </c>
    </row>
    <row r="196" spans="1:19">
      <c r="A196" s="1894">
        <f t="shared" si="5"/>
        <v>189</v>
      </c>
      <c r="B196" s="1895" t="s">
        <v>3089</v>
      </c>
      <c r="C196" s="1894" t="s">
        <v>524</v>
      </c>
      <c r="D196" s="1895" t="s">
        <v>2966</v>
      </c>
      <c r="E196" s="1894" t="s">
        <v>259</v>
      </c>
      <c r="F196" s="1896">
        <v>167</v>
      </c>
      <c r="G196" s="1897">
        <v>1.0955688622754489</v>
      </c>
      <c r="H196" s="1897">
        <v>0.98778443113772463</v>
      </c>
      <c r="I196" s="1897">
        <v>0.10538922155688621</v>
      </c>
      <c r="J196" s="1897">
        <v>0.75784431137724551</v>
      </c>
      <c r="K196" s="1897">
        <v>0.56766467065868265</v>
      </c>
      <c r="L196" s="1897">
        <v>0.56958083832335327</v>
      </c>
      <c r="M196" s="1897">
        <v>0.3037125748502994</v>
      </c>
      <c r="N196" s="1897">
        <v>7.0419161676646705E-2</v>
      </c>
      <c r="O196" s="1897">
        <v>2.9461077844311383E-2</v>
      </c>
      <c r="P196" s="1897">
        <v>0.58419161676646703</v>
      </c>
      <c r="Q196" s="1897">
        <v>0.88598802395209586</v>
      </c>
      <c r="R196" s="1897">
        <v>0.98083832335329346</v>
      </c>
      <c r="S196" s="1898">
        <f t="shared" si="4"/>
        <v>0.57820359281437128</v>
      </c>
    </row>
    <row r="197" spans="1:19">
      <c r="A197" s="1894">
        <f t="shared" si="5"/>
        <v>190</v>
      </c>
      <c r="B197" s="1895" t="s">
        <v>3090</v>
      </c>
      <c r="C197" s="1894" t="s">
        <v>524</v>
      </c>
      <c r="D197" s="1895" t="s">
        <v>636</v>
      </c>
      <c r="E197" s="1894" t="s">
        <v>259</v>
      </c>
      <c r="F197" s="1896">
        <v>167</v>
      </c>
      <c r="G197" s="1897">
        <v>0.45029940119760481</v>
      </c>
      <c r="H197" s="1897">
        <v>0.48335329341317362</v>
      </c>
      <c r="I197" s="1897">
        <v>0.50299401197604787</v>
      </c>
      <c r="J197" s="1897">
        <v>0.6107784431137725</v>
      </c>
      <c r="K197" s="1897">
        <v>8.6227544910179629E-2</v>
      </c>
      <c r="L197" s="1897">
        <v>0.64287425149700606</v>
      </c>
      <c r="M197" s="1897">
        <v>1.2560479041916166</v>
      </c>
      <c r="N197" s="1897">
        <v>0.6946107784431137</v>
      </c>
      <c r="O197" s="1897">
        <v>0.58634730538922153</v>
      </c>
      <c r="P197" s="1897">
        <v>0.61221556886227546</v>
      </c>
      <c r="Q197" s="1897">
        <v>0.57197604790419165</v>
      </c>
      <c r="R197" s="1897">
        <v>0.60359281437125745</v>
      </c>
      <c r="S197" s="1898">
        <f t="shared" si="4"/>
        <v>0.59177644710578836</v>
      </c>
    </row>
    <row r="198" spans="1:19">
      <c r="A198" s="1894">
        <f t="shared" si="5"/>
        <v>191</v>
      </c>
      <c r="B198" s="1895" t="s">
        <v>3091</v>
      </c>
      <c r="C198" s="1894" t="s">
        <v>524</v>
      </c>
      <c r="D198" s="1895" t="s">
        <v>2966</v>
      </c>
      <c r="E198" s="1894" t="s">
        <v>259</v>
      </c>
      <c r="F198" s="1896">
        <v>167</v>
      </c>
      <c r="G198" s="1897">
        <v>0</v>
      </c>
      <c r="H198" s="1897">
        <v>0.53508982035928143</v>
      </c>
      <c r="I198" s="1897">
        <v>0.74682634730538933</v>
      </c>
      <c r="J198" s="1897">
        <v>0.14419161676646705</v>
      </c>
      <c r="K198" s="1897">
        <v>0.15616766467065868</v>
      </c>
      <c r="L198" s="1897">
        <v>0.14514970059880242</v>
      </c>
      <c r="M198" s="1897">
        <v>0.22131736526946108</v>
      </c>
      <c r="N198" s="1897">
        <v>0.18922155688622755</v>
      </c>
      <c r="O198" s="1897">
        <v>0.10874251497005988</v>
      </c>
      <c r="P198" s="1897">
        <v>0.10874251497005988</v>
      </c>
      <c r="Q198" s="1897">
        <v>0.49532934131736528</v>
      </c>
      <c r="R198" s="1897">
        <v>0.60023952095808375</v>
      </c>
      <c r="S198" s="1898">
        <f t="shared" si="4"/>
        <v>0.28758483033932136</v>
      </c>
    </row>
    <row r="199" spans="1:19">
      <c r="A199" s="1894">
        <f t="shared" si="5"/>
        <v>192</v>
      </c>
      <c r="B199" s="1895" t="s">
        <v>3092</v>
      </c>
      <c r="C199" s="1894" t="s">
        <v>524</v>
      </c>
      <c r="D199" s="1895" t="s">
        <v>636</v>
      </c>
      <c r="E199" s="1894" t="s">
        <v>259</v>
      </c>
      <c r="F199" s="1896">
        <v>167</v>
      </c>
      <c r="G199" s="1897">
        <v>0.73868263473053897</v>
      </c>
      <c r="H199" s="1897">
        <v>0.67257485029940112</v>
      </c>
      <c r="I199" s="1897">
        <v>0.73005988023952095</v>
      </c>
      <c r="J199" s="1897">
        <v>0.62946107784431127</v>
      </c>
      <c r="K199" s="1897">
        <v>0.58970059880239523</v>
      </c>
      <c r="L199" s="1897">
        <v>0.56766467065868265</v>
      </c>
      <c r="M199" s="1897">
        <v>0.59065868263473054</v>
      </c>
      <c r="N199" s="1897">
        <v>0.52694610778443118</v>
      </c>
      <c r="O199" s="1897">
        <v>0.54706586826347303</v>
      </c>
      <c r="P199" s="1897">
        <v>0.52790419161676649</v>
      </c>
      <c r="Q199" s="1897">
        <v>0.54802395209580834</v>
      </c>
      <c r="R199" s="1897">
        <v>0.82251497005988017</v>
      </c>
      <c r="S199" s="1898">
        <f t="shared" si="4"/>
        <v>0.62427145708582821</v>
      </c>
    </row>
    <row r="200" spans="1:19">
      <c r="A200" s="1894">
        <f t="shared" si="5"/>
        <v>193</v>
      </c>
      <c r="B200" s="1895" t="s">
        <v>3093</v>
      </c>
      <c r="C200" s="1894" t="s">
        <v>524</v>
      </c>
      <c r="D200" s="1895" t="s">
        <v>2966</v>
      </c>
      <c r="E200" s="1894" t="s">
        <v>259</v>
      </c>
      <c r="F200" s="1896">
        <v>167</v>
      </c>
      <c r="G200" s="1897">
        <v>1.0347305389221557</v>
      </c>
      <c r="H200" s="1897">
        <v>1.1702994011976047</v>
      </c>
      <c r="I200" s="1897">
        <v>0.61892215568862285</v>
      </c>
      <c r="J200" s="1897">
        <v>0.72670658682634726</v>
      </c>
      <c r="K200" s="1897">
        <v>0.33868263473053895</v>
      </c>
      <c r="L200" s="1897">
        <v>0.33676646706586827</v>
      </c>
      <c r="M200" s="1897">
        <v>0.25005988023952097</v>
      </c>
      <c r="N200" s="1897">
        <v>0.21892215568862272</v>
      </c>
      <c r="O200" s="1897">
        <v>0.18778443113772456</v>
      </c>
      <c r="P200" s="1897">
        <v>0.60502994011976041</v>
      </c>
      <c r="Q200" s="1897">
        <v>0.72383233532934133</v>
      </c>
      <c r="R200" s="1897">
        <v>0.94562874251496998</v>
      </c>
      <c r="S200" s="1898">
        <f t="shared" ref="S200:S263" si="6">+SUM(G200:R200)/12</f>
        <v>0.59644710578842308</v>
      </c>
    </row>
    <row r="201" spans="1:19">
      <c r="A201" s="1894">
        <f t="shared" si="5"/>
        <v>194</v>
      </c>
      <c r="B201" s="1895" t="s">
        <v>3094</v>
      </c>
      <c r="C201" s="1894" t="s">
        <v>524</v>
      </c>
      <c r="D201" s="1895" t="s">
        <v>541</v>
      </c>
      <c r="E201" s="1894" t="s">
        <v>259</v>
      </c>
      <c r="F201" s="1896">
        <v>167</v>
      </c>
      <c r="G201" s="1897">
        <v>0.71017964071856288</v>
      </c>
      <c r="H201" s="1897">
        <v>0.51089820359281435</v>
      </c>
      <c r="I201" s="1897">
        <v>0.24586826347305391</v>
      </c>
      <c r="J201" s="1897">
        <v>8.0479041916167657E-2</v>
      </c>
      <c r="K201" s="1897">
        <v>2.2035928143712573E-2</v>
      </c>
      <c r="L201" s="1897">
        <v>4.0718562874251504E-2</v>
      </c>
      <c r="M201" s="1897">
        <v>3.7365269461077842E-2</v>
      </c>
      <c r="N201" s="1897">
        <v>3.8323353293413173E-2</v>
      </c>
      <c r="O201" s="1897">
        <v>3.4970059880239518E-2</v>
      </c>
      <c r="P201" s="1897">
        <v>3.5449101796407187E-2</v>
      </c>
      <c r="Q201" s="1897">
        <v>3.2574850299401194E-2</v>
      </c>
      <c r="R201" s="1897">
        <v>3.161676646706587E-2</v>
      </c>
      <c r="S201" s="1898">
        <f t="shared" si="6"/>
        <v>0.1517065868263473</v>
      </c>
    </row>
    <row r="202" spans="1:19">
      <c r="A202" s="1894">
        <f t="shared" ref="A202:A265" si="7">+A201+1</f>
        <v>195</v>
      </c>
      <c r="B202" s="1895" t="s">
        <v>3095</v>
      </c>
      <c r="C202" s="1894" t="s">
        <v>524</v>
      </c>
      <c r="D202" s="1895" t="s">
        <v>636</v>
      </c>
      <c r="E202" s="1894" t="s">
        <v>259</v>
      </c>
      <c r="F202" s="1896">
        <v>167</v>
      </c>
      <c r="G202" s="1897">
        <v>0.20359281437125748</v>
      </c>
      <c r="H202" s="1897">
        <v>0.20550898203592816</v>
      </c>
      <c r="I202" s="1897">
        <v>0.21844311377245512</v>
      </c>
      <c r="J202" s="1897">
        <v>0.19305389221556887</v>
      </c>
      <c r="K202" s="1897">
        <v>0.18107784431137725</v>
      </c>
      <c r="L202" s="1897">
        <v>0.20407185628742514</v>
      </c>
      <c r="M202" s="1897">
        <v>0.18538922155688622</v>
      </c>
      <c r="N202" s="1897">
        <v>0.23353293413173654</v>
      </c>
      <c r="O202" s="1897">
        <v>0.16814371257485031</v>
      </c>
      <c r="P202" s="1897">
        <v>0.17461077844311376</v>
      </c>
      <c r="Q202" s="1897">
        <v>0.16311377245508984</v>
      </c>
      <c r="R202" s="1897">
        <v>0.15808383233532933</v>
      </c>
      <c r="S202" s="1898">
        <f t="shared" si="6"/>
        <v>0.19071856287425151</v>
      </c>
    </row>
    <row r="203" spans="1:19">
      <c r="A203" s="1894">
        <f t="shared" si="7"/>
        <v>196</v>
      </c>
      <c r="B203" s="1895" t="s">
        <v>3096</v>
      </c>
      <c r="C203" s="1894" t="s">
        <v>524</v>
      </c>
      <c r="D203" s="1895" t="s">
        <v>541</v>
      </c>
      <c r="E203" s="1894" t="s">
        <v>259</v>
      </c>
      <c r="F203" s="1896">
        <v>167</v>
      </c>
      <c r="G203" s="1897">
        <v>0.22419161676646704</v>
      </c>
      <c r="H203" s="1897">
        <v>0.22706586826347305</v>
      </c>
      <c r="I203" s="1897">
        <v>0.25940119760479041</v>
      </c>
      <c r="J203" s="1897">
        <v>0.26514970059880238</v>
      </c>
      <c r="K203" s="1897">
        <v>0.23568862275449107</v>
      </c>
      <c r="L203" s="1897">
        <v>0.25221556886227542</v>
      </c>
      <c r="M203" s="1897">
        <v>0.21988023952095809</v>
      </c>
      <c r="N203" s="1897">
        <v>0.23065868263473052</v>
      </c>
      <c r="O203" s="1897">
        <v>0.33988023952095814</v>
      </c>
      <c r="P203" s="1897">
        <v>0.21197604790419161</v>
      </c>
      <c r="Q203" s="1897">
        <v>0.22491017964071858</v>
      </c>
      <c r="R203" s="1897">
        <v>0.24</v>
      </c>
      <c r="S203" s="1898">
        <f t="shared" si="6"/>
        <v>0.24425149700598806</v>
      </c>
    </row>
    <row r="204" spans="1:19">
      <c r="A204" s="1894">
        <f t="shared" si="7"/>
        <v>197</v>
      </c>
      <c r="B204" s="1895" t="s">
        <v>3097</v>
      </c>
      <c r="C204" s="1894" t="s">
        <v>524</v>
      </c>
      <c r="D204" s="1895" t="s">
        <v>636</v>
      </c>
      <c r="E204" s="1894" t="s">
        <v>259</v>
      </c>
      <c r="F204" s="1896">
        <v>167</v>
      </c>
      <c r="G204" s="1897">
        <v>0.54179640718562871</v>
      </c>
      <c r="H204" s="1897">
        <v>0.54251497005988025</v>
      </c>
      <c r="I204" s="1897">
        <v>0.60359281437125756</v>
      </c>
      <c r="J204" s="1897">
        <v>0.55329341317365277</v>
      </c>
      <c r="K204" s="1897">
        <v>0.39377245508982039</v>
      </c>
      <c r="L204" s="1897">
        <v>0.43976047904191617</v>
      </c>
      <c r="M204" s="1897">
        <v>0.44622754491017963</v>
      </c>
      <c r="N204" s="1897">
        <v>0.27017964071856287</v>
      </c>
      <c r="O204" s="1897">
        <v>0.42826347305389217</v>
      </c>
      <c r="P204" s="1897">
        <v>0.3413173652694611</v>
      </c>
      <c r="Q204" s="1897">
        <v>0.54754491017964069</v>
      </c>
      <c r="R204" s="1897">
        <v>0.44910179640718562</v>
      </c>
      <c r="S204" s="1898">
        <f t="shared" si="6"/>
        <v>0.46311377245508972</v>
      </c>
    </row>
    <row r="205" spans="1:19">
      <c r="A205" s="1894">
        <f t="shared" si="7"/>
        <v>198</v>
      </c>
      <c r="B205" s="1895" t="s">
        <v>3098</v>
      </c>
      <c r="C205" s="1894" t="s">
        <v>524</v>
      </c>
      <c r="D205" s="1895" t="s">
        <v>541</v>
      </c>
      <c r="E205" s="1894" t="s">
        <v>259</v>
      </c>
      <c r="F205" s="1896">
        <v>167</v>
      </c>
      <c r="G205" s="1897">
        <v>0.75449101796407181</v>
      </c>
      <c r="H205" s="1897">
        <v>0.83688622754491016</v>
      </c>
      <c r="I205" s="1897">
        <v>0.75832335329341316</v>
      </c>
      <c r="J205" s="1897">
        <v>0.73005988023952095</v>
      </c>
      <c r="K205" s="1897">
        <v>1.1176047904191617</v>
      </c>
      <c r="L205" s="1897">
        <v>1.0414371257485031</v>
      </c>
      <c r="M205" s="1897">
        <v>1.0510179640718564</v>
      </c>
      <c r="N205" s="1897">
        <v>1.0174850299401199</v>
      </c>
      <c r="O205" s="1897">
        <v>1.1391616766467065</v>
      </c>
      <c r="P205" s="1897">
        <v>1.2210778443113774</v>
      </c>
      <c r="Q205" s="1897">
        <v>1.1156886227544909</v>
      </c>
      <c r="R205" s="1897">
        <v>1.0261077844311377</v>
      </c>
      <c r="S205" s="1898">
        <f t="shared" si="6"/>
        <v>0.98411177644710579</v>
      </c>
    </row>
    <row r="206" spans="1:19">
      <c r="A206" s="1894">
        <f t="shared" si="7"/>
        <v>199</v>
      </c>
      <c r="B206" s="1895" t="s">
        <v>3099</v>
      </c>
      <c r="C206" s="1894" t="s">
        <v>524</v>
      </c>
      <c r="D206" s="1895" t="s">
        <v>2966</v>
      </c>
      <c r="E206" s="1894" t="s">
        <v>259</v>
      </c>
      <c r="F206" s="1896">
        <v>167</v>
      </c>
      <c r="G206" s="1897">
        <v>1.0047904191616766</v>
      </c>
      <c r="H206" s="1897">
        <v>1.0766467065868264</v>
      </c>
      <c r="I206" s="1897">
        <v>1.17125748502994</v>
      </c>
      <c r="J206" s="1897">
        <v>1.2191616766467066</v>
      </c>
      <c r="K206" s="1897">
        <v>1.1808383233532933</v>
      </c>
      <c r="L206" s="1897">
        <v>0.30658682634730539</v>
      </c>
      <c r="M206" s="1897">
        <v>0.3293413173652695</v>
      </c>
      <c r="N206" s="1897">
        <v>7.5209580838323339E-2</v>
      </c>
      <c r="O206" s="1897">
        <v>9.6766467065868264E-2</v>
      </c>
      <c r="P206" s="1897">
        <v>5.748502994011976E-2</v>
      </c>
      <c r="Q206" s="1897">
        <v>0.50299401197604787</v>
      </c>
      <c r="R206" s="1897">
        <v>0.94323353293413159</v>
      </c>
      <c r="S206" s="1898">
        <f t="shared" si="6"/>
        <v>0.66369261477045904</v>
      </c>
    </row>
    <row r="207" spans="1:19">
      <c r="A207" s="1894">
        <f t="shared" si="7"/>
        <v>200</v>
      </c>
      <c r="B207" s="1895" t="s">
        <v>3100</v>
      </c>
      <c r="C207" s="1894" t="s">
        <v>524</v>
      </c>
      <c r="D207" s="1895" t="s">
        <v>541</v>
      </c>
      <c r="E207" s="1894" t="s">
        <v>259</v>
      </c>
      <c r="F207" s="1896">
        <v>167</v>
      </c>
      <c r="G207" s="1897">
        <v>0.74443113772455094</v>
      </c>
      <c r="H207" s="1897">
        <v>1.0649101796407185</v>
      </c>
      <c r="I207" s="1897">
        <v>1.0663473053892214</v>
      </c>
      <c r="J207" s="1897">
        <v>1.0950898203592814</v>
      </c>
      <c r="K207" s="1897">
        <v>1.0524550898203593</v>
      </c>
      <c r="L207" s="1897">
        <v>1.0055089820359282</v>
      </c>
      <c r="M207" s="1897">
        <v>0.35784431137724554</v>
      </c>
      <c r="N207" s="1897">
        <v>8.5748502994011974E-2</v>
      </c>
      <c r="O207" s="1897">
        <v>8.862275449101796E-2</v>
      </c>
      <c r="P207" s="1897">
        <v>0.73197604790419157</v>
      </c>
      <c r="Q207" s="1897">
        <v>0.8560479041916168</v>
      </c>
      <c r="R207" s="1897">
        <v>1.0917365269461077</v>
      </c>
      <c r="S207" s="1898">
        <f t="shared" si="6"/>
        <v>0.77005988023952099</v>
      </c>
    </row>
    <row r="208" spans="1:19">
      <c r="A208" s="1894">
        <f t="shared" si="7"/>
        <v>201</v>
      </c>
      <c r="B208" s="1895" t="s">
        <v>3101</v>
      </c>
      <c r="C208" s="1894" t="s">
        <v>524</v>
      </c>
      <c r="D208" s="1895" t="s">
        <v>541</v>
      </c>
      <c r="E208" s="1894" t="s">
        <v>259</v>
      </c>
      <c r="F208" s="1896">
        <v>167</v>
      </c>
      <c r="G208" s="1897">
        <v>0.6347305389221557</v>
      </c>
      <c r="H208" s="1897">
        <v>0.62514970059880248</v>
      </c>
      <c r="I208" s="1897">
        <v>0.57604790419161678</v>
      </c>
      <c r="J208" s="1897">
        <v>0.58083832335329344</v>
      </c>
      <c r="K208" s="1897">
        <v>0.55688622754491013</v>
      </c>
      <c r="L208" s="1897">
        <v>0.10874251497005988</v>
      </c>
      <c r="M208" s="1897">
        <v>0.11209580838323352</v>
      </c>
      <c r="N208" s="1897">
        <v>0.16407185628742516</v>
      </c>
      <c r="O208" s="1897">
        <v>0.16287425149700602</v>
      </c>
      <c r="P208" s="1897">
        <v>0.73197604790419157</v>
      </c>
      <c r="Q208" s="1897">
        <v>0.73772455089820366</v>
      </c>
      <c r="R208" s="1897">
        <v>0.69652694610778443</v>
      </c>
      <c r="S208" s="1898">
        <f t="shared" si="6"/>
        <v>0.4739720558882235</v>
      </c>
    </row>
    <row r="209" spans="1:19">
      <c r="A209" s="1894">
        <f t="shared" si="7"/>
        <v>202</v>
      </c>
      <c r="B209" s="1895" t="s">
        <v>3102</v>
      </c>
      <c r="C209" s="1894" t="s">
        <v>524</v>
      </c>
      <c r="D209" s="1895" t="s">
        <v>541</v>
      </c>
      <c r="E209" s="1894" t="s">
        <v>259</v>
      </c>
      <c r="F209" s="1896">
        <v>167</v>
      </c>
      <c r="G209" s="1897">
        <v>0.61796407185628732</v>
      </c>
      <c r="H209" s="1897">
        <v>0.67185628742514969</v>
      </c>
      <c r="I209" s="1897">
        <v>0.63952095808383236</v>
      </c>
      <c r="J209" s="1897">
        <v>0.71137724550898207</v>
      </c>
      <c r="K209" s="1897">
        <v>0.71568862275449097</v>
      </c>
      <c r="L209" s="1897">
        <v>6.3952095808383236E-2</v>
      </c>
      <c r="M209" s="1897">
        <v>0.13077844311377246</v>
      </c>
      <c r="N209" s="1897">
        <v>0.13293413173652693</v>
      </c>
      <c r="O209" s="1897">
        <v>0.26155688622754492</v>
      </c>
      <c r="P209" s="1897">
        <v>0.27449101796407183</v>
      </c>
      <c r="Q209" s="1897">
        <v>1.571497005988024</v>
      </c>
      <c r="R209" s="1897">
        <v>1.5973652694610778</v>
      </c>
      <c r="S209" s="1898">
        <f t="shared" si="6"/>
        <v>0.61574850299401207</v>
      </c>
    </row>
    <row r="210" spans="1:19">
      <c r="A210" s="1894">
        <f t="shared" si="7"/>
        <v>203</v>
      </c>
      <c r="B210" s="1895" t="s">
        <v>3103</v>
      </c>
      <c r="C210" s="1894" t="s">
        <v>524</v>
      </c>
      <c r="D210" s="1895" t="s">
        <v>730</v>
      </c>
      <c r="E210" s="1894" t="s">
        <v>259</v>
      </c>
      <c r="F210" s="1896">
        <v>167</v>
      </c>
      <c r="G210" s="1897">
        <v>0.79329341317365265</v>
      </c>
      <c r="H210" s="1897">
        <v>0.81676646706586831</v>
      </c>
      <c r="I210" s="1897">
        <v>0.80095808383233524</v>
      </c>
      <c r="J210" s="1897">
        <v>0.80670658682634733</v>
      </c>
      <c r="K210" s="1897">
        <v>0.81197604790419176</v>
      </c>
      <c r="L210" s="1897">
        <v>0.80479041916167671</v>
      </c>
      <c r="M210" s="1897">
        <v>0.81389221556886215</v>
      </c>
      <c r="N210" s="1897">
        <v>0.81005988023952091</v>
      </c>
      <c r="O210" s="1897">
        <v>0.81293413173652684</v>
      </c>
      <c r="P210" s="1897">
        <v>0.81437125748502992</v>
      </c>
      <c r="Q210" s="1897">
        <v>0.80574850299401202</v>
      </c>
      <c r="R210" s="1897">
        <v>0.80814371257485018</v>
      </c>
      <c r="S210" s="1898">
        <f t="shared" si="6"/>
        <v>0.80830339321357281</v>
      </c>
    </row>
    <row r="211" spans="1:19">
      <c r="A211" s="1894">
        <f t="shared" si="7"/>
        <v>204</v>
      </c>
      <c r="B211" s="1895" t="s">
        <v>3104</v>
      </c>
      <c r="C211" s="1894" t="s">
        <v>524</v>
      </c>
      <c r="D211" s="1895" t="s">
        <v>541</v>
      </c>
      <c r="E211" s="1894" t="s">
        <v>259</v>
      </c>
      <c r="F211" s="1896">
        <v>167</v>
      </c>
      <c r="G211" s="1897">
        <v>1.2105389221556886</v>
      </c>
      <c r="H211" s="1897">
        <v>1.1664670658682634</v>
      </c>
      <c r="I211" s="1897">
        <v>1.2287425149700599</v>
      </c>
      <c r="J211" s="1897">
        <v>0.26634730538922152</v>
      </c>
      <c r="K211" s="1897">
        <v>0.82347305389221559</v>
      </c>
      <c r="L211" s="1897">
        <v>1.1161676646706586</v>
      </c>
      <c r="M211" s="1897">
        <v>1.0399999999999998</v>
      </c>
      <c r="N211" s="1897">
        <v>0.90107784431137716</v>
      </c>
      <c r="O211" s="1897">
        <v>0.20598802395209581</v>
      </c>
      <c r="P211" s="1897">
        <v>0.70371257485029937</v>
      </c>
      <c r="Q211" s="1897">
        <v>1.262754491017964</v>
      </c>
      <c r="R211" s="1897">
        <v>1.317365269461078</v>
      </c>
      <c r="S211" s="1898">
        <f t="shared" si="6"/>
        <v>0.93688622754491024</v>
      </c>
    </row>
    <row r="212" spans="1:19">
      <c r="A212" s="1894">
        <f t="shared" si="7"/>
        <v>205</v>
      </c>
      <c r="B212" s="1895" t="s">
        <v>3105</v>
      </c>
      <c r="C212" s="1894" t="s">
        <v>524</v>
      </c>
      <c r="D212" s="1895" t="s">
        <v>629</v>
      </c>
      <c r="E212" s="1894" t="s">
        <v>259</v>
      </c>
      <c r="F212" s="1896">
        <v>167</v>
      </c>
      <c r="G212" s="1897">
        <v>0.61413173652694608</v>
      </c>
      <c r="H212" s="1897">
        <v>0.61461077844311374</v>
      </c>
      <c r="I212" s="1897">
        <v>0.62994011976047903</v>
      </c>
      <c r="J212" s="1897">
        <v>0.6107784431137725</v>
      </c>
      <c r="K212" s="1897">
        <v>0.39137724550898201</v>
      </c>
      <c r="L212" s="1897">
        <v>0.63089820359281445</v>
      </c>
      <c r="M212" s="1897">
        <v>0.57580838323353289</v>
      </c>
      <c r="N212" s="1897">
        <v>0.59065868263473054</v>
      </c>
      <c r="O212" s="1897">
        <v>0</v>
      </c>
      <c r="P212" s="1897">
        <v>0.62371257485029952</v>
      </c>
      <c r="Q212" s="1897">
        <v>0.60167664670658672</v>
      </c>
      <c r="R212" s="1897">
        <v>0.5834730538922156</v>
      </c>
      <c r="S212" s="1898">
        <f t="shared" si="6"/>
        <v>0.53892215568862267</v>
      </c>
    </row>
    <row r="213" spans="1:19">
      <c r="A213" s="1894">
        <f t="shared" si="7"/>
        <v>206</v>
      </c>
      <c r="B213" s="1895" t="s">
        <v>3106</v>
      </c>
      <c r="C213" s="1894" t="s">
        <v>524</v>
      </c>
      <c r="D213" s="1895" t="s">
        <v>730</v>
      </c>
      <c r="E213" s="1894" t="s">
        <v>259</v>
      </c>
      <c r="F213" s="1896">
        <v>167.55</v>
      </c>
      <c r="G213" s="1897">
        <v>0.51351835273052815</v>
      </c>
      <c r="H213" s="1897">
        <v>0.52569382273948084</v>
      </c>
      <c r="I213" s="1897">
        <v>0.54503133393017011</v>
      </c>
      <c r="J213" s="1897">
        <v>0.55434198746642782</v>
      </c>
      <c r="K213" s="1897">
        <v>0.59659803043867499</v>
      </c>
      <c r="L213" s="1897">
        <v>0.55720680393912259</v>
      </c>
      <c r="M213" s="1897">
        <v>0.55577439570277531</v>
      </c>
      <c r="N213" s="1897">
        <v>0.66678603401969561</v>
      </c>
      <c r="O213" s="1897">
        <v>0.79999999999999993</v>
      </c>
      <c r="P213" s="1897">
        <v>0.76132497761862128</v>
      </c>
      <c r="Q213" s="1897">
        <v>0.71906893464637422</v>
      </c>
      <c r="R213" s="1897">
        <v>0.70259623992837961</v>
      </c>
      <c r="S213" s="1898">
        <f t="shared" si="6"/>
        <v>0.62482840943002094</v>
      </c>
    </row>
    <row r="214" spans="1:19">
      <c r="A214" s="1894">
        <f t="shared" si="7"/>
        <v>207</v>
      </c>
      <c r="B214" s="1895" t="s">
        <v>3107</v>
      </c>
      <c r="C214" s="1894" t="s">
        <v>524</v>
      </c>
      <c r="D214" s="1895" t="s">
        <v>541</v>
      </c>
      <c r="E214" s="1894" t="s">
        <v>259</v>
      </c>
      <c r="F214" s="1896">
        <v>170</v>
      </c>
      <c r="G214" s="1897">
        <v>0.44117647058823528</v>
      </c>
      <c r="H214" s="1897">
        <v>1.0023529411764704</v>
      </c>
      <c r="I214" s="1897">
        <v>0.99882352941176455</v>
      </c>
      <c r="J214" s="1897">
        <v>1.0023529411764704</v>
      </c>
      <c r="K214" s="1897">
        <v>2.1176470588235293E-2</v>
      </c>
      <c r="L214" s="1897">
        <v>0.98117647058823532</v>
      </c>
      <c r="M214" s="1897">
        <v>0.99529411764705877</v>
      </c>
      <c r="N214" s="1897">
        <v>0</v>
      </c>
      <c r="O214" s="1897">
        <v>0.79341176470588237</v>
      </c>
      <c r="P214" s="1897">
        <v>0.98752941176470588</v>
      </c>
      <c r="Q214" s="1897">
        <v>0.86752941176470577</v>
      </c>
      <c r="R214" s="1897">
        <v>0.83294117647058818</v>
      </c>
      <c r="S214" s="1898">
        <f t="shared" si="6"/>
        <v>0.74364705882352933</v>
      </c>
    </row>
    <row r="215" spans="1:19">
      <c r="A215" s="1894">
        <f t="shared" si="7"/>
        <v>208</v>
      </c>
      <c r="B215" s="1895" t="s">
        <v>3108</v>
      </c>
      <c r="C215" s="1894" t="s">
        <v>524</v>
      </c>
      <c r="D215" s="1895" t="s">
        <v>629</v>
      </c>
      <c r="E215" s="1894" t="s">
        <v>259</v>
      </c>
      <c r="F215" s="1896">
        <v>170</v>
      </c>
      <c r="G215" s="1897">
        <v>0.13670588235294118</v>
      </c>
      <c r="H215" s="1897">
        <v>0.1588235294117647</v>
      </c>
      <c r="I215" s="1897">
        <v>0.16611764705882351</v>
      </c>
      <c r="J215" s="1897">
        <v>0.16847058823529412</v>
      </c>
      <c r="K215" s="1897">
        <v>0.20141176470588232</v>
      </c>
      <c r="L215" s="1897">
        <v>0.16752941176470587</v>
      </c>
      <c r="M215" s="1897">
        <v>0.39788235294117646</v>
      </c>
      <c r="N215" s="1897">
        <v>0.12352941176470589</v>
      </c>
      <c r="O215" s="1897">
        <v>0.10800000000000001</v>
      </c>
      <c r="P215" s="1897">
        <v>0.12635294117647058</v>
      </c>
      <c r="Q215" s="1897">
        <v>0.12470588235294117</v>
      </c>
      <c r="R215" s="1897">
        <v>0.12705882352941178</v>
      </c>
      <c r="S215" s="1898">
        <f t="shared" si="6"/>
        <v>0.16721568627450981</v>
      </c>
    </row>
    <row r="216" spans="1:19">
      <c r="A216" s="1894">
        <f t="shared" si="7"/>
        <v>209</v>
      </c>
      <c r="B216" s="1895" t="s">
        <v>3109</v>
      </c>
      <c r="C216" s="1894" t="s">
        <v>524</v>
      </c>
      <c r="D216" s="1895" t="s">
        <v>737</v>
      </c>
      <c r="E216" s="1894" t="s">
        <v>259</v>
      </c>
      <c r="F216" s="1896">
        <v>171</v>
      </c>
      <c r="G216" s="1897">
        <v>0</v>
      </c>
      <c r="H216" s="1897">
        <v>0</v>
      </c>
      <c r="I216" s="1897">
        <v>0</v>
      </c>
      <c r="J216" s="1897">
        <v>0</v>
      </c>
      <c r="K216" s="1897">
        <v>0</v>
      </c>
      <c r="L216" s="1897">
        <v>0</v>
      </c>
      <c r="M216" s="1897">
        <v>0</v>
      </c>
      <c r="N216" s="1897">
        <v>0</v>
      </c>
      <c r="O216" s="1897">
        <v>3.6842105263157898E-2</v>
      </c>
      <c r="P216" s="1897">
        <v>5.4035087719298248E-2</v>
      </c>
      <c r="Q216" s="1897">
        <v>3.7894736842105266E-2</v>
      </c>
      <c r="R216" s="1897">
        <v>3.1578947368421047E-2</v>
      </c>
      <c r="S216" s="1898">
        <f t="shared" si="6"/>
        <v>1.3362573099415203E-2</v>
      </c>
    </row>
    <row r="217" spans="1:19">
      <c r="A217" s="1894">
        <f t="shared" si="7"/>
        <v>210</v>
      </c>
      <c r="B217" s="1895" t="s">
        <v>3110</v>
      </c>
      <c r="C217" s="1894" t="s">
        <v>524</v>
      </c>
      <c r="D217" s="1895" t="s">
        <v>541</v>
      </c>
      <c r="E217" s="1894" t="s">
        <v>259</v>
      </c>
      <c r="F217" s="1896">
        <v>172</v>
      </c>
      <c r="G217" s="1897">
        <v>0.76883720930232569</v>
      </c>
      <c r="H217" s="1897">
        <v>0.87069767441860457</v>
      </c>
      <c r="I217" s="1897">
        <v>0.91116279069767436</v>
      </c>
      <c r="J217" s="1897">
        <v>0.95348837209302328</v>
      </c>
      <c r="K217" s="1897">
        <v>0.93441860465116278</v>
      </c>
      <c r="L217" s="1897">
        <v>0.92139534883720919</v>
      </c>
      <c r="M217" s="1897">
        <v>0.84651162790697676</v>
      </c>
      <c r="N217" s="1897">
        <v>0.8153488372093024</v>
      </c>
      <c r="O217" s="1897">
        <v>0.78372093023255818</v>
      </c>
      <c r="P217" s="1897">
        <v>0.78651162790697671</v>
      </c>
      <c r="Q217" s="1897">
        <v>0.7897674418604651</v>
      </c>
      <c r="R217" s="1897">
        <v>0.92372093023255808</v>
      </c>
      <c r="S217" s="1898">
        <f t="shared" si="6"/>
        <v>0.85879844961240315</v>
      </c>
    </row>
    <row r="218" spans="1:19">
      <c r="A218" s="1894">
        <f t="shared" si="7"/>
        <v>211</v>
      </c>
      <c r="B218" s="1895" t="s">
        <v>3111</v>
      </c>
      <c r="C218" s="1894" t="s">
        <v>524</v>
      </c>
      <c r="D218" s="1895" t="s">
        <v>541</v>
      </c>
      <c r="E218" s="1894" t="s">
        <v>259</v>
      </c>
      <c r="F218" s="1896">
        <v>174</v>
      </c>
      <c r="G218" s="1897">
        <v>0.91908045977011488</v>
      </c>
      <c r="H218" s="1897">
        <v>1.4721839080459769</v>
      </c>
      <c r="I218" s="1897">
        <v>1.5351724137931035</v>
      </c>
      <c r="J218" s="1897">
        <v>1.3885057471264368</v>
      </c>
      <c r="K218" s="1897">
        <v>1.4091954022988504</v>
      </c>
      <c r="L218" s="1897">
        <v>1.0542528735632184</v>
      </c>
      <c r="M218" s="1897">
        <v>0.97425287356321844</v>
      </c>
      <c r="N218" s="1897">
        <v>0.9439080459770115</v>
      </c>
      <c r="O218" s="1897">
        <v>0.91632183908045972</v>
      </c>
      <c r="P218" s="1897">
        <v>0.47816091954022988</v>
      </c>
      <c r="Q218" s="1897">
        <v>0.52</v>
      </c>
      <c r="R218" s="1897">
        <v>0.51816091954022991</v>
      </c>
      <c r="S218" s="1898">
        <f t="shared" si="6"/>
        <v>1.0107662835249043</v>
      </c>
    </row>
    <row r="219" spans="1:19">
      <c r="A219" s="1894">
        <f t="shared" si="7"/>
        <v>212</v>
      </c>
      <c r="B219" s="1895" t="s">
        <v>3112</v>
      </c>
      <c r="C219" s="1894" t="s">
        <v>524</v>
      </c>
      <c r="D219" s="1895" t="s">
        <v>541</v>
      </c>
      <c r="E219" s="1894" t="s">
        <v>259</v>
      </c>
      <c r="F219" s="1896">
        <v>174</v>
      </c>
      <c r="G219" s="1897">
        <v>0.96459770114942511</v>
      </c>
      <c r="H219" s="1897">
        <v>1.1071264367816092</v>
      </c>
      <c r="I219" s="1897">
        <v>1.2128735632183907</v>
      </c>
      <c r="J219" s="1897">
        <v>1.1006896551724139</v>
      </c>
      <c r="K219" s="1897">
        <v>1.056551724137931</v>
      </c>
      <c r="L219" s="1897">
        <v>1.0473563218390805</v>
      </c>
      <c r="M219" s="1897">
        <v>1.0041379310344827</v>
      </c>
      <c r="N219" s="1897">
        <v>0.96459770114942511</v>
      </c>
      <c r="O219" s="1897">
        <v>0.91494252873563231</v>
      </c>
      <c r="P219" s="1897">
        <v>0.74390804597701143</v>
      </c>
      <c r="Q219" s="1897">
        <v>0.8781609195402299</v>
      </c>
      <c r="R219" s="1897">
        <v>0.78804597701149426</v>
      </c>
      <c r="S219" s="1898">
        <f t="shared" si="6"/>
        <v>0.98191570881226065</v>
      </c>
    </row>
    <row r="220" spans="1:19">
      <c r="A220" s="1894">
        <f t="shared" si="7"/>
        <v>213</v>
      </c>
      <c r="B220" s="1895" t="s">
        <v>3113</v>
      </c>
      <c r="C220" s="1894" t="s">
        <v>524</v>
      </c>
      <c r="D220" s="1895" t="s">
        <v>2966</v>
      </c>
      <c r="E220" s="1894" t="s">
        <v>259</v>
      </c>
      <c r="F220" s="1896">
        <v>174</v>
      </c>
      <c r="G220" s="1897">
        <v>1.1347126436781609</v>
      </c>
      <c r="H220" s="1897">
        <v>0.9903448275862069</v>
      </c>
      <c r="I220" s="1897">
        <v>0.82482758620689656</v>
      </c>
      <c r="J220" s="1897">
        <v>0.72505747126436793</v>
      </c>
      <c r="K220" s="1897">
        <v>0.80137931034482757</v>
      </c>
      <c r="L220" s="1897">
        <v>0.95218390804597708</v>
      </c>
      <c r="M220" s="1897">
        <v>0.92919540229885056</v>
      </c>
      <c r="N220" s="1897">
        <v>0.85839080459770123</v>
      </c>
      <c r="O220" s="1897">
        <v>8.6436781609195407E-2</v>
      </c>
      <c r="P220" s="1897">
        <v>3.2643678160919544E-2</v>
      </c>
      <c r="Q220" s="1897">
        <v>2.6206896551724142E-2</v>
      </c>
      <c r="R220" s="1897">
        <v>4.1379310344827587E-3</v>
      </c>
      <c r="S220" s="1898">
        <f t="shared" si="6"/>
        <v>0.61379310344827576</v>
      </c>
    </row>
    <row r="221" spans="1:19">
      <c r="A221" s="1894">
        <f t="shared" si="7"/>
        <v>214</v>
      </c>
      <c r="B221" s="1895" t="s">
        <v>3114</v>
      </c>
      <c r="C221" s="1894" t="s">
        <v>524</v>
      </c>
      <c r="D221" s="1895" t="s">
        <v>541</v>
      </c>
      <c r="E221" s="1894" t="s">
        <v>259</v>
      </c>
      <c r="F221" s="1896">
        <v>175</v>
      </c>
      <c r="G221" s="1897">
        <v>0.79771428571428571</v>
      </c>
      <c r="H221" s="1897">
        <v>0.8342857142857143</v>
      </c>
      <c r="I221" s="1897">
        <v>0.71497142857142859</v>
      </c>
      <c r="J221" s="1897">
        <v>0.70171428571428573</v>
      </c>
      <c r="K221" s="1897">
        <v>0.76297142857142852</v>
      </c>
      <c r="L221" s="1897">
        <v>0.67520000000000002</v>
      </c>
      <c r="M221" s="1897">
        <v>0.12114285714285714</v>
      </c>
      <c r="N221" s="1897">
        <v>0.13120000000000001</v>
      </c>
      <c r="O221" s="1897">
        <v>0.48685714285714288</v>
      </c>
      <c r="P221" s="1897">
        <v>0.72777142857142862</v>
      </c>
      <c r="Q221" s="1897">
        <v>0.6747428571428572</v>
      </c>
      <c r="R221" s="1897">
        <v>0.71040000000000003</v>
      </c>
      <c r="S221" s="1898">
        <f t="shared" si="6"/>
        <v>0.61158095238095245</v>
      </c>
    </row>
    <row r="222" spans="1:19">
      <c r="A222" s="1894">
        <f t="shared" si="7"/>
        <v>215</v>
      </c>
      <c r="B222" s="1895" t="s">
        <v>3115</v>
      </c>
      <c r="C222" s="1894" t="s">
        <v>524</v>
      </c>
      <c r="D222" s="1895" t="s">
        <v>541</v>
      </c>
      <c r="E222" s="1894" t="s">
        <v>259</v>
      </c>
      <c r="F222" s="1896">
        <v>175</v>
      </c>
      <c r="G222" s="1897">
        <v>1.1296774193548389</v>
      </c>
      <c r="H222" s="1897">
        <v>1.532258064516129</v>
      </c>
      <c r="I222" s="1897">
        <v>2.1632258064516128</v>
      </c>
      <c r="J222" s="1897">
        <v>2.2025806451612904</v>
      </c>
      <c r="K222" s="1897">
        <v>1.5743999999999998</v>
      </c>
      <c r="L222" s="1897">
        <v>1.5890285714285717</v>
      </c>
      <c r="M222" s="1897">
        <v>1.5085714285714287</v>
      </c>
      <c r="N222" s="1897">
        <v>1.1126857142857143</v>
      </c>
      <c r="O222" s="1897">
        <v>0.78445714285714285</v>
      </c>
      <c r="P222" s="1897">
        <v>0.72411428571428582</v>
      </c>
      <c r="Q222" s="1897">
        <v>0.73508571428571423</v>
      </c>
      <c r="R222" s="1897">
        <v>0.75611428571428563</v>
      </c>
      <c r="S222" s="1898">
        <f t="shared" si="6"/>
        <v>1.317683256528418</v>
      </c>
    </row>
    <row r="223" spans="1:19">
      <c r="A223" s="1894">
        <f t="shared" si="7"/>
        <v>216</v>
      </c>
      <c r="B223" s="1895" t="s">
        <v>3116</v>
      </c>
      <c r="C223" s="1894" t="s">
        <v>524</v>
      </c>
      <c r="D223" s="1895" t="s">
        <v>541</v>
      </c>
      <c r="E223" s="1894" t="s">
        <v>259</v>
      </c>
      <c r="F223" s="1896">
        <v>175</v>
      </c>
      <c r="G223" s="1897">
        <v>1.0011428571428571</v>
      </c>
      <c r="H223" s="1897">
        <v>1.0034285714285713</v>
      </c>
      <c r="I223" s="1897">
        <v>1.0633142857142859</v>
      </c>
      <c r="J223" s="1897">
        <v>1.0084571428571427</v>
      </c>
      <c r="K223" s="1897">
        <v>1.0345142857142857</v>
      </c>
      <c r="L223" s="1897">
        <v>1.0317714285714286</v>
      </c>
      <c r="M223" s="1897">
        <v>0.38948571428571427</v>
      </c>
      <c r="N223" s="1897">
        <v>8.9599999999999999E-2</v>
      </c>
      <c r="O223" s="1897">
        <v>9.3257142857142858E-2</v>
      </c>
      <c r="P223" s="1897">
        <v>0.96137142857142843</v>
      </c>
      <c r="Q223" s="1897">
        <v>0.97554285714285716</v>
      </c>
      <c r="R223" s="1897">
        <v>0.94948571428571427</v>
      </c>
      <c r="S223" s="1898">
        <f t="shared" si="6"/>
        <v>0.80011428571428578</v>
      </c>
    </row>
    <row r="224" spans="1:19">
      <c r="A224" s="1894">
        <f t="shared" si="7"/>
        <v>217</v>
      </c>
      <c r="B224" s="1895" t="s">
        <v>3117</v>
      </c>
      <c r="C224" s="1894" t="s">
        <v>524</v>
      </c>
      <c r="D224" s="1895" t="s">
        <v>636</v>
      </c>
      <c r="E224" s="1894" t="s">
        <v>259</v>
      </c>
      <c r="F224" s="1896">
        <v>177</v>
      </c>
      <c r="G224" s="1897">
        <v>0.64406779661016944</v>
      </c>
      <c r="H224" s="1897">
        <v>0.68135593220338975</v>
      </c>
      <c r="I224" s="1897">
        <v>0.60519774011299432</v>
      </c>
      <c r="J224" s="1897">
        <v>0.53694915254237296</v>
      </c>
      <c r="K224" s="1897">
        <v>0.56903954802259893</v>
      </c>
      <c r="L224" s="1897">
        <v>0.64587570621468926</v>
      </c>
      <c r="M224" s="1897">
        <v>0.64768361581920908</v>
      </c>
      <c r="N224" s="1897">
        <v>0.57310734463276836</v>
      </c>
      <c r="O224" s="1897">
        <v>0.51887005649717521</v>
      </c>
      <c r="P224" s="1897">
        <v>0.39367231638418076</v>
      </c>
      <c r="Q224" s="1897">
        <v>0.64090395480225992</v>
      </c>
      <c r="R224" s="1897">
        <v>0.59163841807909601</v>
      </c>
      <c r="S224" s="1898">
        <f t="shared" si="6"/>
        <v>0.58736346516007532</v>
      </c>
    </row>
    <row r="225" spans="1:19">
      <c r="A225" s="1894">
        <f t="shared" si="7"/>
        <v>218</v>
      </c>
      <c r="B225" s="1895" t="s">
        <v>3118</v>
      </c>
      <c r="C225" s="1894" t="s">
        <v>524</v>
      </c>
      <c r="D225" s="1895" t="s">
        <v>636</v>
      </c>
      <c r="E225" s="1894" t="s">
        <v>259</v>
      </c>
      <c r="F225" s="1896">
        <v>177.77</v>
      </c>
      <c r="G225" s="1897">
        <v>0</v>
      </c>
      <c r="H225" s="1897">
        <v>0</v>
      </c>
      <c r="I225" s="1897">
        <v>0</v>
      </c>
      <c r="J225" s="1897">
        <v>0</v>
      </c>
      <c r="K225" s="1897">
        <v>0</v>
      </c>
      <c r="L225" s="1897">
        <v>0</v>
      </c>
      <c r="M225" s="1897">
        <v>0</v>
      </c>
      <c r="N225" s="1897">
        <v>0</v>
      </c>
      <c r="O225" s="1897">
        <v>0</v>
      </c>
      <c r="P225" s="1897">
        <v>0.39871744388817004</v>
      </c>
      <c r="Q225" s="1897">
        <v>0.48962142093716593</v>
      </c>
      <c r="R225" s="1897">
        <v>0.546323901670698</v>
      </c>
      <c r="S225" s="1898">
        <f t="shared" si="6"/>
        <v>0.11955523054133617</v>
      </c>
    </row>
    <row r="226" spans="1:19">
      <c r="A226" s="1894">
        <f t="shared" si="7"/>
        <v>219</v>
      </c>
      <c r="B226" s="1895" t="s">
        <v>3119</v>
      </c>
      <c r="C226" s="1894" t="s">
        <v>524</v>
      </c>
      <c r="D226" s="1895" t="s">
        <v>541</v>
      </c>
      <c r="E226" s="1894" t="s">
        <v>259</v>
      </c>
      <c r="F226" s="1896">
        <v>178</v>
      </c>
      <c r="G226" s="1897">
        <v>0.43865168539325844</v>
      </c>
      <c r="H226" s="1897">
        <v>0.4323595505617977</v>
      </c>
      <c r="I226" s="1897">
        <v>0.45033707865168537</v>
      </c>
      <c r="J226" s="1897">
        <v>0.50247191011235959</v>
      </c>
      <c r="K226" s="1897">
        <v>0.43415730337078651</v>
      </c>
      <c r="L226" s="1897">
        <v>0.52853932584269658</v>
      </c>
      <c r="M226" s="1897">
        <v>0.4907865168539326</v>
      </c>
      <c r="N226" s="1897">
        <v>0.48808988764044942</v>
      </c>
      <c r="O226" s="1897">
        <v>0.48898876404494379</v>
      </c>
      <c r="P226" s="1897">
        <v>0.36584269662921348</v>
      </c>
      <c r="Q226" s="1897">
        <v>0.25887640449438204</v>
      </c>
      <c r="R226" s="1897">
        <v>0.36224719101123598</v>
      </c>
      <c r="S226" s="1898">
        <f t="shared" si="6"/>
        <v>0.43677902621722847</v>
      </c>
    </row>
    <row r="227" spans="1:19">
      <c r="A227" s="1894">
        <f t="shared" si="7"/>
        <v>220</v>
      </c>
      <c r="B227" s="1895" t="s">
        <v>3120</v>
      </c>
      <c r="C227" s="1894" t="s">
        <v>524</v>
      </c>
      <c r="D227" s="1895" t="s">
        <v>2966</v>
      </c>
      <c r="E227" s="1894" t="s">
        <v>259</v>
      </c>
      <c r="F227" s="1896">
        <v>178</v>
      </c>
      <c r="G227" s="1897">
        <v>0.49887640449438203</v>
      </c>
      <c r="H227" s="1897">
        <v>0.53842696629213482</v>
      </c>
      <c r="I227" s="1897">
        <v>0.08</v>
      </c>
      <c r="J227" s="1897">
        <v>0.45573033707865174</v>
      </c>
      <c r="K227" s="1897">
        <v>0.48808988764044942</v>
      </c>
      <c r="L227" s="1897">
        <v>0.53483146067415721</v>
      </c>
      <c r="M227" s="1897">
        <v>1.3483146067415731E-2</v>
      </c>
      <c r="N227" s="1897">
        <v>1.3483146067415731E-2</v>
      </c>
      <c r="O227" s="1897">
        <v>1.2584269662921347E-2</v>
      </c>
      <c r="P227" s="1897">
        <v>0.41348314606741571</v>
      </c>
      <c r="Q227" s="1897">
        <v>0.6220224719101124</v>
      </c>
      <c r="R227" s="1897">
        <v>0.57707865168539318</v>
      </c>
      <c r="S227" s="1898">
        <f t="shared" si="6"/>
        <v>0.35400749063670411</v>
      </c>
    </row>
    <row r="228" spans="1:19">
      <c r="A228" s="1894">
        <f t="shared" si="7"/>
        <v>221</v>
      </c>
      <c r="B228" s="1895" t="s">
        <v>3121</v>
      </c>
      <c r="C228" s="1894" t="s">
        <v>524</v>
      </c>
      <c r="D228" s="1895" t="s">
        <v>2966</v>
      </c>
      <c r="E228" s="1894" t="s">
        <v>259</v>
      </c>
      <c r="F228" s="1896">
        <v>178</v>
      </c>
      <c r="G228" s="1897">
        <v>0.36134831460674155</v>
      </c>
      <c r="H228" s="1897">
        <v>0.51235955056179772</v>
      </c>
      <c r="I228" s="1897">
        <v>0.59775280898876404</v>
      </c>
      <c r="J228" s="1897">
        <v>0.53303370786516846</v>
      </c>
      <c r="K228" s="1897">
        <v>0.36629213483146067</v>
      </c>
      <c r="L228" s="1897">
        <v>0.4</v>
      </c>
      <c r="M228" s="1897">
        <v>0.32179775280898876</v>
      </c>
      <c r="N228" s="1897">
        <v>0.13573033707865167</v>
      </c>
      <c r="O228" s="1897">
        <v>0.15011235955056179</v>
      </c>
      <c r="P228" s="1897">
        <v>0.13752808988764045</v>
      </c>
      <c r="Q228" s="1897">
        <v>0.27505617977528091</v>
      </c>
      <c r="R228" s="1897">
        <v>0.28674157303370784</v>
      </c>
      <c r="S228" s="1898">
        <f t="shared" si="6"/>
        <v>0.33981273408239704</v>
      </c>
    </row>
    <row r="229" spans="1:19">
      <c r="A229" s="1894">
        <f t="shared" si="7"/>
        <v>222</v>
      </c>
      <c r="B229" s="1895" t="s">
        <v>3122</v>
      </c>
      <c r="C229" s="1894" t="s">
        <v>524</v>
      </c>
      <c r="D229" s="1895" t="s">
        <v>2966</v>
      </c>
      <c r="E229" s="1894" t="s">
        <v>259</v>
      </c>
      <c r="F229" s="1896">
        <v>178</v>
      </c>
      <c r="G229" s="1897">
        <v>0.6741573033707865</v>
      </c>
      <c r="H229" s="1897">
        <v>0.72134831460674165</v>
      </c>
      <c r="I229" s="1897">
        <v>0.79887640449438191</v>
      </c>
      <c r="J229" s="1897">
        <v>0.90337078651685399</v>
      </c>
      <c r="K229" s="1897">
        <v>0.68426966292134839</v>
      </c>
      <c r="L229" s="1897">
        <v>0.13887640449438202</v>
      </c>
      <c r="M229" s="1897">
        <v>1.3483146067415731E-2</v>
      </c>
      <c r="N229" s="1897">
        <v>3.7078651685393253E-2</v>
      </c>
      <c r="O229" s="1897">
        <v>0.15910112359550563</v>
      </c>
      <c r="P229" s="1897">
        <v>4.3146067415730342E-2</v>
      </c>
      <c r="Q229" s="1897">
        <v>0.16584269662921347</v>
      </c>
      <c r="R229" s="1897">
        <v>0.75775280898876407</v>
      </c>
      <c r="S229" s="1898">
        <f t="shared" si="6"/>
        <v>0.42477528089887645</v>
      </c>
    </row>
    <row r="230" spans="1:19">
      <c r="A230" s="1894">
        <f t="shared" si="7"/>
        <v>223</v>
      </c>
      <c r="B230" s="1895" t="s">
        <v>3123</v>
      </c>
      <c r="C230" s="1894" t="s">
        <v>524</v>
      </c>
      <c r="D230" s="1895" t="s">
        <v>636</v>
      </c>
      <c r="E230" s="1894" t="s">
        <v>259</v>
      </c>
      <c r="F230" s="1896">
        <v>178</v>
      </c>
      <c r="G230" s="1897">
        <v>0.56764044943820224</v>
      </c>
      <c r="H230" s="1897">
        <v>0.62157303370786521</v>
      </c>
      <c r="I230" s="1897">
        <v>0.61348314606741572</v>
      </c>
      <c r="J230" s="1897">
        <v>0.46921348314606737</v>
      </c>
      <c r="K230" s="1897">
        <v>1.0112359550561799E-2</v>
      </c>
      <c r="L230" s="1897">
        <v>0.52314606741573033</v>
      </c>
      <c r="M230" s="1897">
        <v>0.61213483146067416</v>
      </c>
      <c r="N230" s="1897">
        <v>0.48674157303370785</v>
      </c>
      <c r="O230" s="1897">
        <v>0.21977528089887638</v>
      </c>
      <c r="P230" s="1897">
        <v>0.40651685393258424</v>
      </c>
      <c r="Q230" s="1897">
        <v>0.47865168539325836</v>
      </c>
      <c r="R230" s="1897">
        <v>0.48606741573033707</v>
      </c>
      <c r="S230" s="1898">
        <f t="shared" si="6"/>
        <v>0.45792134831460674</v>
      </c>
    </row>
    <row r="231" spans="1:19">
      <c r="A231" s="1894">
        <f t="shared" si="7"/>
        <v>224</v>
      </c>
      <c r="B231" s="1895" t="s">
        <v>3124</v>
      </c>
      <c r="C231" s="1894" t="s">
        <v>524</v>
      </c>
      <c r="D231" s="1895" t="s">
        <v>2966</v>
      </c>
      <c r="E231" s="1894" t="s">
        <v>259</v>
      </c>
      <c r="F231" s="1896">
        <v>178</v>
      </c>
      <c r="G231" s="1897">
        <v>1.4175280898876406</v>
      </c>
      <c r="H231" s="1897">
        <v>1.4831460674157304</v>
      </c>
      <c r="I231" s="1897">
        <v>1.2440449438202248</v>
      </c>
      <c r="J231" s="1897">
        <v>1.1865168539325843</v>
      </c>
      <c r="K231" s="1897">
        <v>1.1685393258426966</v>
      </c>
      <c r="L231" s="1897">
        <v>0.60494382022471904</v>
      </c>
      <c r="M231" s="1897">
        <v>0.25258426966292136</v>
      </c>
      <c r="N231" s="1897">
        <v>0.17078651685393256</v>
      </c>
      <c r="O231" s="1897">
        <v>0.65078651685393263</v>
      </c>
      <c r="P231" s="1897">
        <v>0.94292134831460661</v>
      </c>
      <c r="Q231" s="1897">
        <v>1.3213483146067415</v>
      </c>
      <c r="R231" s="1897">
        <v>1.342921348314607</v>
      </c>
      <c r="S231" s="1898">
        <f t="shared" si="6"/>
        <v>0.9821722846441947</v>
      </c>
    </row>
    <row r="232" spans="1:19">
      <c r="A232" s="1894">
        <f t="shared" si="7"/>
        <v>225</v>
      </c>
      <c r="B232" s="1895" t="s">
        <v>3125</v>
      </c>
      <c r="C232" s="1894" t="s">
        <v>524</v>
      </c>
      <c r="D232" s="1895" t="s">
        <v>2966</v>
      </c>
      <c r="E232" s="1894" t="s">
        <v>259</v>
      </c>
      <c r="F232" s="1896">
        <v>178</v>
      </c>
      <c r="G232" s="1897">
        <v>0.65707865168539326</v>
      </c>
      <c r="H232" s="1897">
        <v>0.83775280898876403</v>
      </c>
      <c r="I232" s="1897">
        <v>0.94921348314606746</v>
      </c>
      <c r="J232" s="1897">
        <v>0.33258426966292132</v>
      </c>
      <c r="K232" s="1897">
        <v>0.69573033707865162</v>
      </c>
      <c r="L232" s="1897">
        <v>0.68494382022471911</v>
      </c>
      <c r="M232" s="1897">
        <v>0.70471910112359548</v>
      </c>
      <c r="N232" s="1897">
        <v>9.9775280898876412E-2</v>
      </c>
      <c r="O232" s="1897">
        <v>8.5393258426966281E-2</v>
      </c>
      <c r="P232" s="1897">
        <v>4.1348314606741571E-2</v>
      </c>
      <c r="Q232" s="1897">
        <v>0.32269662921348319</v>
      </c>
      <c r="R232" s="1897">
        <v>0.67685393258426974</v>
      </c>
      <c r="S232" s="1898">
        <f t="shared" si="6"/>
        <v>0.50734082397003744</v>
      </c>
    </row>
    <row r="233" spans="1:19">
      <c r="A233" s="1894">
        <f t="shared" si="7"/>
        <v>226</v>
      </c>
      <c r="B233" s="1895" t="s">
        <v>3126</v>
      </c>
      <c r="C233" s="1894" t="s">
        <v>524</v>
      </c>
      <c r="D233" s="1895" t="s">
        <v>2966</v>
      </c>
      <c r="E233" s="1894" t="s">
        <v>259</v>
      </c>
      <c r="F233" s="1896">
        <v>178</v>
      </c>
      <c r="G233" s="1897">
        <v>1.5806741573033709</v>
      </c>
      <c r="H233" s="1897">
        <v>1.4373033707865168</v>
      </c>
      <c r="I233" s="1897">
        <v>1.1883146067415731</v>
      </c>
      <c r="J233" s="1897">
        <v>1.5020224719101125</v>
      </c>
      <c r="K233" s="1897">
        <v>1.4377528089887641</v>
      </c>
      <c r="L233" s="1897">
        <v>0.63775280898876407</v>
      </c>
      <c r="M233" s="1897">
        <v>0.71370786516853923</v>
      </c>
      <c r="N233" s="1897">
        <v>0.59011235955056185</v>
      </c>
      <c r="O233" s="1897">
        <v>0.15011235955056179</v>
      </c>
      <c r="P233" s="1897">
        <v>0.61887640449438197</v>
      </c>
      <c r="Q233" s="1897">
        <v>0.87415730337078645</v>
      </c>
      <c r="R233" s="1897">
        <v>1.0341573033707865</v>
      </c>
      <c r="S233" s="1898">
        <f t="shared" si="6"/>
        <v>0.98041198501872662</v>
      </c>
    </row>
    <row r="234" spans="1:19">
      <c r="A234" s="1894">
        <f t="shared" si="7"/>
        <v>227</v>
      </c>
      <c r="B234" s="1895" t="s">
        <v>3127</v>
      </c>
      <c r="C234" s="1894" t="s">
        <v>524</v>
      </c>
      <c r="D234" s="1895" t="s">
        <v>2966</v>
      </c>
      <c r="E234" s="1894" t="s">
        <v>259</v>
      </c>
      <c r="F234" s="1896">
        <v>178</v>
      </c>
      <c r="G234" s="1897">
        <v>0.55460674157303369</v>
      </c>
      <c r="H234" s="1897">
        <v>0.6404494382022472</v>
      </c>
      <c r="I234" s="1897">
        <v>0.7078651685393258</v>
      </c>
      <c r="J234" s="1897">
        <v>0.68314606741573025</v>
      </c>
      <c r="K234" s="1897">
        <v>0.61213483146067416</v>
      </c>
      <c r="L234" s="1897">
        <v>0.52134831460674158</v>
      </c>
      <c r="M234" s="1897">
        <v>0.66921348314606743</v>
      </c>
      <c r="N234" s="1897">
        <v>0.66157303370786524</v>
      </c>
      <c r="O234" s="1897">
        <v>0.16584269662921347</v>
      </c>
      <c r="P234" s="1897">
        <v>6.2022471910112356E-2</v>
      </c>
      <c r="Q234" s="1897">
        <v>9.6179775280898883E-2</v>
      </c>
      <c r="R234" s="1897">
        <v>0.24314606741573033</v>
      </c>
      <c r="S234" s="1898">
        <f t="shared" si="6"/>
        <v>0.46812734082397012</v>
      </c>
    </row>
    <row r="235" spans="1:19">
      <c r="A235" s="1894">
        <f t="shared" si="7"/>
        <v>228</v>
      </c>
      <c r="B235" s="1895" t="s">
        <v>3128</v>
      </c>
      <c r="C235" s="1894" t="s">
        <v>524</v>
      </c>
      <c r="D235" s="1895" t="s">
        <v>636</v>
      </c>
      <c r="E235" s="1894" t="s">
        <v>259</v>
      </c>
      <c r="F235" s="1896">
        <v>178</v>
      </c>
      <c r="G235" s="1897">
        <v>0.72314606741573029</v>
      </c>
      <c r="H235" s="1897">
        <v>0.79370786516853931</v>
      </c>
      <c r="I235" s="1897">
        <v>0.77752808988764033</v>
      </c>
      <c r="J235" s="1897">
        <v>0.61932584269662927</v>
      </c>
      <c r="K235" s="1897">
        <v>0.63955056179775283</v>
      </c>
      <c r="L235" s="1897">
        <v>0.77617977528089888</v>
      </c>
      <c r="M235" s="1897">
        <v>0.79235955056179785</v>
      </c>
      <c r="N235" s="1897">
        <v>0.40404494382022471</v>
      </c>
      <c r="O235" s="1897">
        <v>4.8988764044943824E-2</v>
      </c>
      <c r="P235" s="1897">
        <v>0.10876404494382022</v>
      </c>
      <c r="Q235" s="1897">
        <v>0.31235955056179782</v>
      </c>
      <c r="R235" s="1897">
        <v>0.6925842696629213</v>
      </c>
      <c r="S235" s="1898">
        <f t="shared" si="6"/>
        <v>0.55737827715355814</v>
      </c>
    </row>
    <row r="236" spans="1:19">
      <c r="A236" s="1894">
        <f t="shared" si="7"/>
        <v>229</v>
      </c>
      <c r="B236" s="1895" t="s">
        <v>3129</v>
      </c>
      <c r="C236" s="1894" t="s">
        <v>524</v>
      </c>
      <c r="D236" s="1895" t="s">
        <v>2966</v>
      </c>
      <c r="E236" s="1894" t="s">
        <v>259</v>
      </c>
      <c r="F236" s="1896">
        <v>178</v>
      </c>
      <c r="G236" s="1897">
        <v>1.1707865168539326</v>
      </c>
      <c r="H236" s="1897">
        <v>0.90561797752809003</v>
      </c>
      <c r="I236" s="1897">
        <v>0.82696629213483142</v>
      </c>
      <c r="J236" s="1897">
        <v>0.81887640449438193</v>
      </c>
      <c r="K236" s="1897">
        <v>0.56269662921348318</v>
      </c>
      <c r="L236" s="1897">
        <v>0.76629213483146075</v>
      </c>
      <c r="M236" s="1897">
        <v>0.67146067415730348</v>
      </c>
      <c r="N236" s="1897">
        <v>0.20494382022471913</v>
      </c>
      <c r="O236" s="1897">
        <v>4.8089887640449434E-2</v>
      </c>
      <c r="P236" s="1897">
        <v>0.47865168539325842</v>
      </c>
      <c r="Q236" s="1897">
        <v>0.89438202247191023</v>
      </c>
      <c r="R236" s="1897">
        <v>0.90516853932584274</v>
      </c>
      <c r="S236" s="1898">
        <f t="shared" si="6"/>
        <v>0.68782771535580534</v>
      </c>
    </row>
    <row r="237" spans="1:19">
      <c r="A237" s="1894">
        <f t="shared" si="7"/>
        <v>230</v>
      </c>
      <c r="B237" s="1895" t="s">
        <v>3130</v>
      </c>
      <c r="C237" s="1894" t="s">
        <v>524</v>
      </c>
      <c r="D237" s="1895" t="s">
        <v>541</v>
      </c>
      <c r="E237" s="1894" t="s">
        <v>259</v>
      </c>
      <c r="F237" s="1896">
        <v>178</v>
      </c>
      <c r="G237" s="1897">
        <v>0.97786516853932581</v>
      </c>
      <c r="H237" s="1897">
        <v>0.98213483146067415</v>
      </c>
      <c r="I237" s="1897">
        <v>0.93606741573033714</v>
      </c>
      <c r="J237" s="1897">
        <v>0.82932584269662923</v>
      </c>
      <c r="K237" s="1897">
        <v>0.76865168539325857</v>
      </c>
      <c r="L237" s="1897">
        <v>0.79393258426966284</v>
      </c>
      <c r="M237" s="1897">
        <v>0.12078651685393259</v>
      </c>
      <c r="N237" s="1897">
        <v>0.13269662921348316</v>
      </c>
      <c r="O237" s="1897">
        <v>0.33921348314606742</v>
      </c>
      <c r="P237" s="1897">
        <v>1.0323595505617977</v>
      </c>
      <c r="Q237" s="1897">
        <v>0.9634831460674157</v>
      </c>
      <c r="R237" s="1897">
        <v>0.95887640449438205</v>
      </c>
      <c r="S237" s="1898">
        <f t="shared" si="6"/>
        <v>0.73628277153558053</v>
      </c>
    </row>
    <row r="238" spans="1:19">
      <c r="A238" s="1894">
        <f t="shared" si="7"/>
        <v>231</v>
      </c>
      <c r="B238" s="1895" t="s">
        <v>3131</v>
      </c>
      <c r="C238" s="1894" t="s">
        <v>524</v>
      </c>
      <c r="D238" s="1895" t="s">
        <v>2966</v>
      </c>
      <c r="E238" s="1894" t="s">
        <v>259</v>
      </c>
      <c r="F238" s="1896">
        <v>178</v>
      </c>
      <c r="G238" s="1897">
        <v>0.7415730337078652</v>
      </c>
      <c r="H238" s="1897">
        <v>0.80224719101123598</v>
      </c>
      <c r="I238" s="1897">
        <v>0.74831460674157302</v>
      </c>
      <c r="J238" s="1897">
        <v>0.65730337078651691</v>
      </c>
      <c r="K238" s="1897">
        <v>0.72741573033707863</v>
      </c>
      <c r="L238" s="1897">
        <v>0.7226966292134831</v>
      </c>
      <c r="M238" s="1897">
        <v>8.9662921348314606E-2</v>
      </c>
      <c r="N238" s="1897">
        <v>0.20561797752808988</v>
      </c>
      <c r="O238" s="1897">
        <v>5.5280898876404493E-2</v>
      </c>
      <c r="P238" s="1897">
        <v>0.13348314606741574</v>
      </c>
      <c r="Q238" s="1897">
        <v>5.3932584269662919E-3</v>
      </c>
      <c r="R238" s="1897">
        <v>0.51910112359550564</v>
      </c>
      <c r="S238" s="1898">
        <f t="shared" si="6"/>
        <v>0.45067415730337079</v>
      </c>
    </row>
    <row r="239" spans="1:19">
      <c r="A239" s="1894">
        <f t="shared" si="7"/>
        <v>232</v>
      </c>
      <c r="B239" s="1895" t="s">
        <v>3132</v>
      </c>
      <c r="C239" s="1894" t="s">
        <v>524</v>
      </c>
      <c r="D239" s="1895" t="s">
        <v>2966</v>
      </c>
      <c r="E239" s="1894" t="s">
        <v>259</v>
      </c>
      <c r="F239" s="1896">
        <v>178</v>
      </c>
      <c r="G239" s="1897">
        <v>1.1842696629213483</v>
      </c>
      <c r="H239" s="1897">
        <v>1.1853932584269662</v>
      </c>
      <c r="I239" s="1897">
        <v>0.93033707865168536</v>
      </c>
      <c r="J239" s="1897">
        <v>1.1977528089887641</v>
      </c>
      <c r="K239" s="1897">
        <v>1.1982022471910112</v>
      </c>
      <c r="L239" s="1897">
        <v>0.22022471910112362</v>
      </c>
      <c r="M239" s="1897">
        <v>0.24314606741573033</v>
      </c>
      <c r="N239" s="1897">
        <v>0.21977528089887638</v>
      </c>
      <c r="O239" s="1897">
        <v>9.0337078651685387E-2</v>
      </c>
      <c r="P239" s="1897">
        <v>6.5617977528089885E-2</v>
      </c>
      <c r="Q239" s="1897">
        <v>0.45348314606741574</v>
      </c>
      <c r="R239" s="1897">
        <v>0.64584269662921345</v>
      </c>
      <c r="S239" s="1898">
        <f t="shared" si="6"/>
        <v>0.63619850187265914</v>
      </c>
    </row>
    <row r="240" spans="1:19">
      <c r="A240" s="1894">
        <f t="shared" si="7"/>
        <v>233</v>
      </c>
      <c r="B240" s="1895" t="s">
        <v>3133</v>
      </c>
      <c r="C240" s="1894" t="s">
        <v>524</v>
      </c>
      <c r="D240" s="1895" t="s">
        <v>2966</v>
      </c>
      <c r="E240" s="1894" t="s">
        <v>259</v>
      </c>
      <c r="F240" s="1896">
        <v>178</v>
      </c>
      <c r="G240" s="1897">
        <v>0.42337078651685395</v>
      </c>
      <c r="H240" s="1897">
        <v>0.47191011235955066</v>
      </c>
      <c r="I240" s="1897">
        <v>0.4435955056179775</v>
      </c>
      <c r="J240" s="1897">
        <v>0.35797752808988764</v>
      </c>
      <c r="K240" s="1897">
        <v>0.34044943820224721</v>
      </c>
      <c r="L240" s="1897">
        <v>0.29056179775280899</v>
      </c>
      <c r="M240" s="1897">
        <v>0.29932584269662921</v>
      </c>
      <c r="N240" s="1897">
        <v>0.32561797752808991</v>
      </c>
      <c r="O240" s="1897">
        <v>0.36606741573033708</v>
      </c>
      <c r="P240" s="1897">
        <v>0.37617977528089891</v>
      </c>
      <c r="Q240" s="1897">
        <v>0.33910112359550559</v>
      </c>
      <c r="R240" s="1897">
        <v>0.35191011235955055</v>
      </c>
      <c r="S240" s="1898">
        <f t="shared" si="6"/>
        <v>0.36550561797752806</v>
      </c>
    </row>
    <row r="241" spans="1:19">
      <c r="A241" s="1894">
        <f t="shared" si="7"/>
        <v>234</v>
      </c>
      <c r="B241" s="1895" t="s">
        <v>3134</v>
      </c>
      <c r="C241" s="1894" t="s">
        <v>524</v>
      </c>
      <c r="D241" s="1895" t="s">
        <v>636</v>
      </c>
      <c r="E241" s="1894" t="s">
        <v>259</v>
      </c>
      <c r="F241" s="1896">
        <v>178</v>
      </c>
      <c r="G241" s="1897">
        <v>0.57977528089887631</v>
      </c>
      <c r="H241" s="1897">
        <v>0.56629213483146079</v>
      </c>
      <c r="I241" s="1897">
        <v>0.56224719101123599</v>
      </c>
      <c r="J241" s="1897">
        <v>0.49146067415730338</v>
      </c>
      <c r="K241" s="1897">
        <v>0.47325842696629211</v>
      </c>
      <c r="L241" s="1897">
        <v>0.47797752808988769</v>
      </c>
      <c r="M241" s="1897">
        <v>0.48</v>
      </c>
      <c r="N241" s="1897">
        <v>0.4550561797752809</v>
      </c>
      <c r="O241" s="1897">
        <v>0.33707865168539325</v>
      </c>
      <c r="P241" s="1897">
        <v>0.45640449438202246</v>
      </c>
      <c r="Q241" s="1897">
        <v>0.45370786516853934</v>
      </c>
      <c r="R241" s="1897">
        <v>0.56988764044943818</v>
      </c>
      <c r="S241" s="1898">
        <f t="shared" si="6"/>
        <v>0.49192883895131084</v>
      </c>
    </row>
    <row r="242" spans="1:19">
      <c r="A242" s="1894">
        <f t="shared" si="7"/>
        <v>235</v>
      </c>
      <c r="B242" s="1895" t="s">
        <v>3135</v>
      </c>
      <c r="C242" s="1894" t="s">
        <v>2930</v>
      </c>
      <c r="D242" s="1895" t="s">
        <v>541</v>
      </c>
      <c r="E242" s="1894" t="s">
        <v>259</v>
      </c>
      <c r="F242" s="1896">
        <v>178</v>
      </c>
      <c r="G242" s="1897">
        <v>0</v>
      </c>
      <c r="H242" s="1897">
        <v>0</v>
      </c>
      <c r="I242" s="1897">
        <v>0</v>
      </c>
      <c r="J242" s="1897">
        <v>0</v>
      </c>
      <c r="K242" s="1897">
        <v>0</v>
      </c>
      <c r="L242" s="1897">
        <v>0</v>
      </c>
      <c r="M242" s="1897">
        <v>0</v>
      </c>
      <c r="N242" s="1897">
        <v>0</v>
      </c>
      <c r="O242" s="1897">
        <v>0</v>
      </c>
      <c r="P242" s="1897">
        <v>0</v>
      </c>
      <c r="Q242" s="1897">
        <v>0</v>
      </c>
      <c r="R242" s="1897">
        <v>0</v>
      </c>
      <c r="S242" s="1898">
        <f t="shared" si="6"/>
        <v>0</v>
      </c>
    </row>
    <row r="243" spans="1:19">
      <c r="A243" s="1894">
        <f t="shared" si="7"/>
        <v>236</v>
      </c>
      <c r="B243" s="1895" t="s">
        <v>3136</v>
      </c>
      <c r="C243" s="1894" t="s">
        <v>524</v>
      </c>
      <c r="D243" s="1895" t="s">
        <v>541</v>
      </c>
      <c r="E243" s="1894" t="s">
        <v>259</v>
      </c>
      <c r="F243" s="1896">
        <v>179</v>
      </c>
      <c r="G243" s="1897">
        <v>0.80111731843575418</v>
      </c>
      <c r="H243" s="1897">
        <v>0.99217877094972062</v>
      </c>
      <c r="I243" s="1897">
        <v>0.87418994413407813</v>
      </c>
      <c r="J243" s="1897">
        <v>0.83463687150837995</v>
      </c>
      <c r="K243" s="1897">
        <v>0.79575418994413405</v>
      </c>
      <c r="L243" s="1897">
        <v>0.87687150837988836</v>
      </c>
      <c r="M243" s="1897">
        <v>0.18636871508379887</v>
      </c>
      <c r="N243" s="1897">
        <v>5.7653631284916206E-2</v>
      </c>
      <c r="O243" s="1897">
        <v>6.3687150837988829E-2</v>
      </c>
      <c r="P243" s="1897">
        <v>0.79977653631284917</v>
      </c>
      <c r="Q243" s="1897">
        <v>0.81385474860335194</v>
      </c>
      <c r="R243" s="1897">
        <v>0.8849162011173185</v>
      </c>
      <c r="S243" s="1898">
        <f t="shared" si="6"/>
        <v>0.66508379888268154</v>
      </c>
    </row>
    <row r="244" spans="1:19">
      <c r="A244" s="1894">
        <f t="shared" si="7"/>
        <v>237</v>
      </c>
      <c r="B244" s="1895" t="s">
        <v>3137</v>
      </c>
      <c r="C244" s="1894" t="s">
        <v>524</v>
      </c>
      <c r="D244" s="1895" t="s">
        <v>636</v>
      </c>
      <c r="E244" s="1894" t="s">
        <v>259</v>
      </c>
      <c r="F244" s="1896">
        <v>180</v>
      </c>
      <c r="G244" s="1897">
        <v>9.1555555555555557E-2</v>
      </c>
      <c r="H244" s="1897">
        <v>0.1991111111111111</v>
      </c>
      <c r="I244" s="1897">
        <v>0.24000000000000002</v>
      </c>
      <c r="J244" s="1897">
        <v>0.21866666666666668</v>
      </c>
      <c r="K244" s="1897">
        <v>0.25511111111111112</v>
      </c>
      <c r="L244" s="1897">
        <v>0.24622222222222223</v>
      </c>
      <c r="M244" s="1897">
        <v>0.21244444444444446</v>
      </c>
      <c r="N244" s="1897">
        <v>0.23555555555555555</v>
      </c>
      <c r="O244" s="1897">
        <v>0.22311111111111112</v>
      </c>
      <c r="P244" s="1897">
        <v>0.24888888888888891</v>
      </c>
      <c r="Q244" s="1897">
        <v>0.22666666666666666</v>
      </c>
      <c r="R244" s="1897">
        <v>0.21333333333333332</v>
      </c>
      <c r="S244" s="1898">
        <f t="shared" si="6"/>
        <v>0.21755555555555553</v>
      </c>
    </row>
    <row r="245" spans="1:19">
      <c r="A245" s="1894">
        <f t="shared" si="7"/>
        <v>238</v>
      </c>
      <c r="B245" s="1895" t="s">
        <v>3138</v>
      </c>
      <c r="C245" s="1894" t="s">
        <v>524</v>
      </c>
      <c r="D245" s="1895" t="s">
        <v>541</v>
      </c>
      <c r="E245" s="1894" t="s">
        <v>259</v>
      </c>
      <c r="F245" s="1896">
        <v>180</v>
      </c>
      <c r="G245" s="1897">
        <v>0.82488888888888878</v>
      </c>
      <c r="H245" s="1897">
        <v>0.8017777777777777</v>
      </c>
      <c r="I245" s="1897">
        <v>0.81155555555555559</v>
      </c>
      <c r="J245" s="1897">
        <v>0.74222222222222223</v>
      </c>
      <c r="K245" s="1897">
        <v>0.7075555555555556</v>
      </c>
      <c r="L245" s="1897">
        <v>0.82399999999999995</v>
      </c>
      <c r="M245" s="1897">
        <v>0.69777777777777772</v>
      </c>
      <c r="N245" s="1897">
        <v>0.70133333333333325</v>
      </c>
      <c r="O245" s="1897">
        <v>0.87822222222222213</v>
      </c>
      <c r="P245" s="1897">
        <v>0.90933333333333333</v>
      </c>
      <c r="Q245" s="1897">
        <v>0.94577777777777772</v>
      </c>
      <c r="R245" s="1897">
        <v>0.97333333333333327</v>
      </c>
      <c r="S245" s="1898">
        <f t="shared" si="6"/>
        <v>0.81814814814814796</v>
      </c>
    </row>
    <row r="246" spans="1:19">
      <c r="A246" s="1894">
        <f t="shared" si="7"/>
        <v>239</v>
      </c>
      <c r="B246" s="1895" t="s">
        <v>3139</v>
      </c>
      <c r="C246" s="1894" t="s">
        <v>524</v>
      </c>
      <c r="D246" s="1895" t="s">
        <v>541</v>
      </c>
      <c r="E246" s="1894" t="s">
        <v>259</v>
      </c>
      <c r="F246" s="1896">
        <v>180</v>
      </c>
      <c r="G246" s="1897">
        <v>1.1000000000000001</v>
      </c>
      <c r="H246" s="1897">
        <v>1.0780000000000001</v>
      </c>
      <c r="I246" s="1897">
        <v>1.032</v>
      </c>
      <c r="J246" s="1897">
        <v>1.242</v>
      </c>
      <c r="K246" s="1897">
        <v>3.0000000000000002E-2</v>
      </c>
      <c r="L246" s="1897">
        <v>1.2320000000000002</v>
      </c>
      <c r="M246" s="1897">
        <v>1.1119999999999999</v>
      </c>
      <c r="N246" s="1897">
        <v>1.3659999999999999</v>
      </c>
      <c r="O246" s="1897">
        <v>1.51</v>
      </c>
      <c r="P246" s="1897">
        <v>1.4060000000000001</v>
      </c>
      <c r="Q246" s="1897">
        <v>1.5140000000000002</v>
      </c>
      <c r="R246" s="1897">
        <v>1.4259999999999999</v>
      </c>
      <c r="S246" s="1898">
        <f t="shared" si="6"/>
        <v>1.1706666666666667</v>
      </c>
    </row>
    <row r="247" spans="1:19">
      <c r="A247" s="1894">
        <f t="shared" si="7"/>
        <v>240</v>
      </c>
      <c r="B247" s="1895" t="s">
        <v>3140</v>
      </c>
      <c r="C247" s="1894" t="s">
        <v>524</v>
      </c>
      <c r="D247" s="1895" t="s">
        <v>541</v>
      </c>
      <c r="E247" s="1894" t="s">
        <v>259</v>
      </c>
      <c r="F247" s="1896">
        <v>180</v>
      </c>
      <c r="G247" s="1897">
        <v>0.47199999999999998</v>
      </c>
      <c r="H247" s="1897">
        <v>0.46133333333333337</v>
      </c>
      <c r="I247" s="1897">
        <v>0.49333333333333329</v>
      </c>
      <c r="J247" s="1897">
        <v>0.49066666666666664</v>
      </c>
      <c r="K247" s="1897">
        <v>0.50666666666666671</v>
      </c>
      <c r="L247" s="1897">
        <v>0.48266666666666663</v>
      </c>
      <c r="M247" s="1897">
        <v>0.52</v>
      </c>
      <c r="N247" s="1897">
        <v>0.48800000000000004</v>
      </c>
      <c r="O247" s="1897">
        <v>1.6613333333333336</v>
      </c>
      <c r="P247" s="1897">
        <v>0.46155555555555555</v>
      </c>
      <c r="Q247" s="1897">
        <v>0.48000000000000004</v>
      </c>
      <c r="R247" s="1897">
        <v>0.47466666666666668</v>
      </c>
      <c r="S247" s="1898">
        <f t="shared" si="6"/>
        <v>0.58268518518518531</v>
      </c>
    </row>
    <row r="248" spans="1:19">
      <c r="A248" s="1894">
        <f t="shared" si="7"/>
        <v>241</v>
      </c>
      <c r="B248" s="1895" t="s">
        <v>3141</v>
      </c>
      <c r="C248" s="1894" t="s">
        <v>524</v>
      </c>
      <c r="D248" s="1895" t="s">
        <v>629</v>
      </c>
      <c r="E248" s="1894" t="s">
        <v>259</v>
      </c>
      <c r="F248" s="1896">
        <v>182.22</v>
      </c>
      <c r="G248" s="1897">
        <v>0.535177258259247</v>
      </c>
      <c r="H248" s="1897">
        <v>0.53166502030512564</v>
      </c>
      <c r="I248" s="1897">
        <v>0.54220173416748985</v>
      </c>
      <c r="J248" s="1897">
        <v>0.55581165623971018</v>
      </c>
      <c r="K248" s="1897">
        <v>0.58259247063988595</v>
      </c>
      <c r="L248" s="1897">
        <v>0.59444627373504555</v>
      </c>
      <c r="M248" s="1897">
        <v>0.57073866754472613</v>
      </c>
      <c r="N248" s="1897">
        <v>0.69147184721764898</v>
      </c>
      <c r="O248" s="1897">
        <v>0.75908242783448576</v>
      </c>
      <c r="P248" s="1897">
        <v>0.8064976402151246</v>
      </c>
      <c r="Q248" s="1897">
        <v>0.70069147184721758</v>
      </c>
      <c r="R248" s="1897">
        <v>0.60322686862034902</v>
      </c>
      <c r="S248" s="1898">
        <f t="shared" si="6"/>
        <v>0.62280027805217142</v>
      </c>
    </row>
    <row r="249" spans="1:19">
      <c r="A249" s="1894">
        <f t="shared" si="7"/>
        <v>242</v>
      </c>
      <c r="B249" s="1895" t="s">
        <v>3142</v>
      </c>
      <c r="C249" s="1894" t="s">
        <v>524</v>
      </c>
      <c r="D249" s="1895" t="s">
        <v>541</v>
      </c>
      <c r="E249" s="1894" t="s">
        <v>259</v>
      </c>
      <c r="F249" s="1896">
        <v>183</v>
      </c>
      <c r="G249" s="1897">
        <v>0.68065573770491805</v>
      </c>
      <c r="H249" s="1897">
        <v>0.68415300546448088</v>
      </c>
      <c r="I249" s="1897">
        <v>0.60677595628415304</v>
      </c>
      <c r="J249" s="1897">
        <v>0.60021857923497268</v>
      </c>
      <c r="K249" s="1897">
        <v>0.59628415300546445</v>
      </c>
      <c r="L249" s="1897">
        <v>0.58010928961748642</v>
      </c>
      <c r="M249" s="1897">
        <v>0.21071038251366123</v>
      </c>
      <c r="N249" s="1897">
        <v>0.1219672131147541</v>
      </c>
      <c r="O249" s="1897">
        <v>0.10010928961748634</v>
      </c>
      <c r="P249" s="1897">
        <v>0.90142076502732249</v>
      </c>
      <c r="Q249" s="1897">
        <v>0.88612021857923495</v>
      </c>
      <c r="R249" s="1897">
        <v>0.8306010928961749</v>
      </c>
      <c r="S249" s="1898">
        <f t="shared" si="6"/>
        <v>0.56659380692167571</v>
      </c>
    </row>
    <row r="250" spans="1:19">
      <c r="A250" s="1894">
        <f t="shared" si="7"/>
        <v>243</v>
      </c>
      <c r="B250" s="1895" t="s">
        <v>3143</v>
      </c>
      <c r="C250" s="1894" t="s">
        <v>524</v>
      </c>
      <c r="D250" s="1895" t="s">
        <v>541</v>
      </c>
      <c r="E250" s="1894" t="s">
        <v>259</v>
      </c>
      <c r="F250" s="1896">
        <v>183</v>
      </c>
      <c r="G250" s="1897">
        <v>0.5429508196721311</v>
      </c>
      <c r="H250" s="1897">
        <v>0.5534426229508197</v>
      </c>
      <c r="I250" s="1897">
        <v>0.54491803278688522</v>
      </c>
      <c r="J250" s="1897">
        <v>0.5547540983606557</v>
      </c>
      <c r="K250" s="1897">
        <v>3.1475409836065574E-2</v>
      </c>
      <c r="L250" s="1897">
        <v>0.15147540983606556</v>
      </c>
      <c r="M250" s="1897">
        <v>9.9672131147540977E-2</v>
      </c>
      <c r="N250" s="1897">
        <v>0.66032786885245909</v>
      </c>
      <c r="O250" s="1897">
        <v>0.67147540983606557</v>
      </c>
      <c r="P250" s="1897">
        <v>0.68786885245901641</v>
      </c>
      <c r="Q250" s="1897">
        <v>0.66426229508196721</v>
      </c>
      <c r="R250" s="1897">
        <v>0.84590163934426232</v>
      </c>
      <c r="S250" s="1898">
        <f t="shared" si="6"/>
        <v>0.50071038251366107</v>
      </c>
    </row>
    <row r="251" spans="1:19">
      <c r="A251" s="1894">
        <f t="shared" si="7"/>
        <v>244</v>
      </c>
      <c r="B251" s="1895" t="s">
        <v>3144</v>
      </c>
      <c r="C251" s="1894" t="s">
        <v>524</v>
      </c>
      <c r="D251" s="1895" t="s">
        <v>541</v>
      </c>
      <c r="E251" s="1894" t="s">
        <v>259</v>
      </c>
      <c r="F251" s="1896">
        <v>184</v>
      </c>
      <c r="G251" s="1897">
        <v>0.72913043478260864</v>
      </c>
      <c r="H251" s="1897">
        <v>0.57065217391304346</v>
      </c>
      <c r="I251" s="1897">
        <v>0.55173913043478262</v>
      </c>
      <c r="J251" s="1897">
        <v>0.47086956521739132</v>
      </c>
      <c r="K251" s="1897">
        <v>0.6554347826086957</v>
      </c>
      <c r="L251" s="1897">
        <v>0.73369565217391308</v>
      </c>
      <c r="M251" s="1897">
        <v>0.59739130434782606</v>
      </c>
      <c r="N251" s="1897">
        <v>0.72978260869565215</v>
      </c>
      <c r="O251" s="1897">
        <v>0.97499999999999998</v>
      </c>
      <c r="P251" s="1897">
        <v>0.68021739130434788</v>
      </c>
      <c r="Q251" s="1897">
        <v>0.74413043478260865</v>
      </c>
      <c r="R251" s="1897">
        <v>0.6156521739130435</v>
      </c>
      <c r="S251" s="1898">
        <f t="shared" si="6"/>
        <v>0.67114130434782604</v>
      </c>
    </row>
    <row r="252" spans="1:19">
      <c r="A252" s="1894">
        <f t="shared" si="7"/>
        <v>245</v>
      </c>
      <c r="B252" s="1895" t="s">
        <v>3145</v>
      </c>
      <c r="C252" s="1894" t="s">
        <v>524</v>
      </c>
      <c r="D252" s="1895" t="s">
        <v>629</v>
      </c>
      <c r="E252" s="1894" t="s">
        <v>259</v>
      </c>
      <c r="F252" s="1896">
        <v>185.56</v>
      </c>
      <c r="G252" s="1897">
        <v>0.26837680534597974</v>
      </c>
      <c r="H252" s="1897">
        <v>0.27646044406122011</v>
      </c>
      <c r="I252" s="1897">
        <v>0.28939426600560464</v>
      </c>
      <c r="J252" s="1897">
        <v>0.32851907738736796</v>
      </c>
      <c r="K252" s="1897">
        <v>0.2269885751239491</v>
      </c>
      <c r="L252" s="1897">
        <v>0.24638930804052597</v>
      </c>
      <c r="M252" s="1897">
        <v>0.26837680534597974</v>
      </c>
      <c r="N252" s="1897">
        <v>0.23474886829057987</v>
      </c>
      <c r="O252" s="1897">
        <v>0.21534813537400302</v>
      </c>
      <c r="P252" s="1897">
        <v>0.23345548609614142</v>
      </c>
      <c r="Q252" s="1897">
        <v>0.24574261694330676</v>
      </c>
      <c r="R252" s="1897">
        <v>0.28519077387367969</v>
      </c>
      <c r="S252" s="1898">
        <f t="shared" si="6"/>
        <v>0.25991593015736153</v>
      </c>
    </row>
    <row r="253" spans="1:19">
      <c r="A253" s="1894">
        <f t="shared" si="7"/>
        <v>246</v>
      </c>
      <c r="B253" s="1895" t="s">
        <v>3146</v>
      </c>
      <c r="C253" s="1894" t="s">
        <v>524</v>
      </c>
      <c r="D253" s="1895" t="s">
        <v>737</v>
      </c>
      <c r="E253" s="1894" t="s">
        <v>259</v>
      </c>
      <c r="F253" s="1896">
        <v>186</v>
      </c>
      <c r="G253" s="1897">
        <v>6.7956989247311833E-2</v>
      </c>
      <c r="H253" s="1897">
        <v>7.2258064516129025E-2</v>
      </c>
      <c r="I253" s="1897">
        <v>7.7419354838709667E-2</v>
      </c>
      <c r="J253" s="1897">
        <v>0.20344086021505378</v>
      </c>
      <c r="K253" s="1897">
        <v>8.9032258064516118E-2</v>
      </c>
      <c r="L253" s="1897">
        <v>8.3010752688172054E-2</v>
      </c>
      <c r="M253" s="1897">
        <v>8.7311827956989232E-2</v>
      </c>
      <c r="N253" s="1897">
        <v>7.139784946236559E-2</v>
      </c>
      <c r="O253" s="1897">
        <v>6.3225806451612895E-2</v>
      </c>
      <c r="P253" s="1897">
        <v>6.4086021505376345E-2</v>
      </c>
      <c r="Q253" s="1897">
        <v>8.0430107526881719E-2</v>
      </c>
      <c r="R253" s="1897">
        <v>8.6021505376344093E-2</v>
      </c>
      <c r="S253" s="1898">
        <f t="shared" si="6"/>
        <v>8.7132616487455183E-2</v>
      </c>
    </row>
    <row r="254" spans="1:19">
      <c r="A254" s="1894">
        <f t="shared" si="7"/>
        <v>247</v>
      </c>
      <c r="B254" s="1895" t="s">
        <v>3147</v>
      </c>
      <c r="C254" s="1894" t="s">
        <v>524</v>
      </c>
      <c r="D254" s="1895" t="s">
        <v>2966</v>
      </c>
      <c r="E254" s="1894" t="s">
        <v>259</v>
      </c>
      <c r="F254" s="1896">
        <v>187</v>
      </c>
      <c r="G254" s="1897">
        <v>0.16941176470588235</v>
      </c>
      <c r="H254" s="1897">
        <v>0.2772192513368984</v>
      </c>
      <c r="I254" s="1897">
        <v>1.0690909090909091</v>
      </c>
      <c r="J254" s="1897">
        <v>0.93561497326203213</v>
      </c>
      <c r="K254" s="1897">
        <v>0.92342245989304816</v>
      </c>
      <c r="L254" s="1897">
        <v>0.74117647058823521</v>
      </c>
      <c r="M254" s="1897">
        <v>0.69240641711229944</v>
      </c>
      <c r="N254" s="1897">
        <v>0.60256684491978607</v>
      </c>
      <c r="O254" s="1897">
        <v>2.631016042780749E-2</v>
      </c>
      <c r="P254" s="1897">
        <v>1.9251336898395723E-2</v>
      </c>
      <c r="Q254" s="1897">
        <v>6.0320855614973266E-2</v>
      </c>
      <c r="R254" s="1897">
        <v>0.16941176470588235</v>
      </c>
      <c r="S254" s="1898">
        <f t="shared" si="6"/>
        <v>0.47385026737967911</v>
      </c>
    </row>
    <row r="255" spans="1:19">
      <c r="A255" s="1894">
        <f t="shared" si="7"/>
        <v>248</v>
      </c>
      <c r="B255" s="1895" t="s">
        <v>3148</v>
      </c>
      <c r="C255" s="1894" t="s">
        <v>524</v>
      </c>
      <c r="D255" s="1895" t="s">
        <v>541</v>
      </c>
      <c r="E255" s="1894" t="s">
        <v>259</v>
      </c>
      <c r="F255" s="1896">
        <v>187</v>
      </c>
      <c r="G255" s="1897">
        <v>1.0053475935828877</v>
      </c>
      <c r="H255" s="1897">
        <v>1.0566844919786096</v>
      </c>
      <c r="I255" s="1897">
        <v>0.90909090909090906</v>
      </c>
      <c r="J255" s="1897">
        <v>0.9347593582887701</v>
      </c>
      <c r="K255" s="1897">
        <v>0.92406417112299466</v>
      </c>
      <c r="L255" s="1897">
        <v>0.94545454545454555</v>
      </c>
      <c r="M255" s="1897">
        <v>3.850267379679144E-2</v>
      </c>
      <c r="N255" s="1897">
        <v>0.22032085561497325</v>
      </c>
      <c r="O255" s="1897">
        <v>0.94802139037433153</v>
      </c>
      <c r="P255" s="1897">
        <v>0.9856684491978609</v>
      </c>
      <c r="Q255" s="1897">
        <v>0.96684491978609632</v>
      </c>
      <c r="R255" s="1897">
        <v>0.94973262032085559</v>
      </c>
      <c r="S255" s="1898">
        <f t="shared" si="6"/>
        <v>0.82370766488413549</v>
      </c>
    </row>
    <row r="256" spans="1:19">
      <c r="A256" s="1894">
        <f t="shared" si="7"/>
        <v>249</v>
      </c>
      <c r="B256" s="1895" t="s">
        <v>3149</v>
      </c>
      <c r="C256" s="1894" t="s">
        <v>524</v>
      </c>
      <c r="D256" s="1895" t="s">
        <v>636</v>
      </c>
      <c r="E256" s="1894" t="s">
        <v>259</v>
      </c>
      <c r="F256" s="1896">
        <v>187</v>
      </c>
      <c r="G256" s="1897">
        <v>0.55700534759358289</v>
      </c>
      <c r="H256" s="1897">
        <v>0.54288770053475932</v>
      </c>
      <c r="I256" s="1897">
        <v>0.54673796791443852</v>
      </c>
      <c r="J256" s="1897">
        <v>0.48385026737967907</v>
      </c>
      <c r="K256" s="1897">
        <v>0.54032085561497323</v>
      </c>
      <c r="L256" s="1897">
        <v>0.52620320855614977</v>
      </c>
      <c r="M256" s="1897">
        <v>0.45818181818181825</v>
      </c>
      <c r="N256" s="1897">
        <v>0.39016042780748661</v>
      </c>
      <c r="O256" s="1897">
        <v>0.31572192513368985</v>
      </c>
      <c r="P256" s="1897">
        <v>0.36962566844919786</v>
      </c>
      <c r="Q256" s="1897">
        <v>0.41711229946524064</v>
      </c>
      <c r="R256" s="1897">
        <v>0.5133689839572193</v>
      </c>
      <c r="S256" s="1898">
        <f t="shared" si="6"/>
        <v>0.47176470588235292</v>
      </c>
    </row>
    <row r="257" spans="1:19">
      <c r="A257" s="1894">
        <f t="shared" si="7"/>
        <v>250</v>
      </c>
      <c r="B257" s="1895" t="s">
        <v>3150</v>
      </c>
      <c r="C257" s="1894" t="s">
        <v>524</v>
      </c>
      <c r="D257" s="1895" t="s">
        <v>2966</v>
      </c>
      <c r="E257" s="1894" t="s">
        <v>259</v>
      </c>
      <c r="F257" s="1896">
        <v>189</v>
      </c>
      <c r="G257" s="1897">
        <v>1.5051851851851852</v>
      </c>
      <c r="H257" s="1897">
        <v>1.3223280423280424</v>
      </c>
      <c r="I257" s="1897">
        <v>1.4366137566137565</v>
      </c>
      <c r="J257" s="1897">
        <v>0.6891005291005291</v>
      </c>
      <c r="K257" s="1897">
        <v>0.75767195767195761</v>
      </c>
      <c r="L257" s="1897">
        <v>1.1064550264550266</v>
      </c>
      <c r="M257" s="1897">
        <v>0.98539682539682549</v>
      </c>
      <c r="N257" s="1897">
        <v>0.26582010582010579</v>
      </c>
      <c r="O257" s="1897">
        <v>0.11174603174603175</v>
      </c>
      <c r="P257" s="1897">
        <v>0.30899470899470899</v>
      </c>
      <c r="Q257" s="1897">
        <v>0.40719576719576717</v>
      </c>
      <c r="R257" s="1897">
        <v>0.73396825396825394</v>
      </c>
      <c r="S257" s="1898">
        <f t="shared" si="6"/>
        <v>0.80253968253968244</v>
      </c>
    </row>
    <row r="258" spans="1:19">
      <c r="A258" s="1894">
        <f t="shared" si="7"/>
        <v>251</v>
      </c>
      <c r="B258" s="1895" t="s">
        <v>3151</v>
      </c>
      <c r="C258" s="1894" t="s">
        <v>524</v>
      </c>
      <c r="D258" s="1895" t="s">
        <v>541</v>
      </c>
      <c r="E258" s="1894" t="s">
        <v>259</v>
      </c>
      <c r="F258" s="1896">
        <v>189</v>
      </c>
      <c r="G258" s="1897">
        <v>0.94285714285714284</v>
      </c>
      <c r="H258" s="1897">
        <v>0.97777777777777786</v>
      </c>
      <c r="I258" s="1897">
        <v>0.9244444444444444</v>
      </c>
      <c r="J258" s="1897">
        <v>1.0787301587301588</v>
      </c>
      <c r="K258" s="1897">
        <v>0.74476190476190474</v>
      </c>
      <c r="L258" s="1897">
        <v>0.933968253968254</v>
      </c>
      <c r="M258" s="1897">
        <v>0.66539682539682543</v>
      </c>
      <c r="N258" s="1897">
        <v>0.17777777777777778</v>
      </c>
      <c r="O258" s="1897">
        <v>0.32</v>
      </c>
      <c r="P258" s="1897">
        <v>0.99936507936507946</v>
      </c>
      <c r="Q258" s="1897">
        <v>0.89206349206349222</v>
      </c>
      <c r="R258" s="1897">
        <v>1.0685714285714285</v>
      </c>
      <c r="S258" s="1898">
        <f t="shared" si="6"/>
        <v>0.81047619047619046</v>
      </c>
    </row>
    <row r="259" spans="1:19">
      <c r="A259" s="1894">
        <f t="shared" si="7"/>
        <v>252</v>
      </c>
      <c r="B259" s="1895" t="s">
        <v>3152</v>
      </c>
      <c r="C259" s="1894" t="s">
        <v>524</v>
      </c>
      <c r="D259" s="1895" t="s">
        <v>541</v>
      </c>
      <c r="E259" s="1894" t="s">
        <v>259</v>
      </c>
      <c r="F259" s="1896">
        <v>189</v>
      </c>
      <c r="G259" s="1897">
        <v>0.61058201058201056</v>
      </c>
      <c r="H259" s="1897">
        <v>1.3492063492063493</v>
      </c>
      <c r="I259" s="1897">
        <v>1.3883597883597885</v>
      </c>
      <c r="J259" s="1897">
        <v>1.3470899470899471</v>
      </c>
      <c r="K259" s="1897">
        <v>0.74497354497354507</v>
      </c>
      <c r="L259" s="1897">
        <v>0.73968253968253972</v>
      </c>
      <c r="M259" s="1897">
        <v>0.70582010582010568</v>
      </c>
      <c r="N259" s="1897">
        <v>0.56719576719576725</v>
      </c>
      <c r="O259" s="1897">
        <v>0.45185185185185189</v>
      </c>
      <c r="P259" s="1897">
        <v>0.46560846560846558</v>
      </c>
      <c r="Q259" s="1897">
        <v>0.48888888888888882</v>
      </c>
      <c r="R259" s="1897">
        <v>0.51640211640211642</v>
      </c>
      <c r="S259" s="1898">
        <f t="shared" si="6"/>
        <v>0.78130511463844787</v>
      </c>
    </row>
    <row r="260" spans="1:19">
      <c r="A260" s="1894">
        <f t="shared" si="7"/>
        <v>253</v>
      </c>
      <c r="B260" s="1895" t="s">
        <v>3153</v>
      </c>
      <c r="C260" s="1894" t="s">
        <v>524</v>
      </c>
      <c r="D260" s="1895" t="s">
        <v>623</v>
      </c>
      <c r="E260" s="1894" t="s">
        <v>259</v>
      </c>
      <c r="F260" s="1896">
        <v>189</v>
      </c>
      <c r="G260" s="1897">
        <v>0.68783068783068779</v>
      </c>
      <c r="H260" s="1897">
        <v>0.48412698412698413</v>
      </c>
      <c r="I260" s="1897">
        <v>0.48148148148148145</v>
      </c>
      <c r="J260" s="1897">
        <v>0.38095238095238093</v>
      </c>
      <c r="K260" s="1897">
        <v>0.35449735449735448</v>
      </c>
      <c r="L260" s="1897">
        <v>0.3439153439153439</v>
      </c>
      <c r="M260" s="1897">
        <v>0.35238095238095241</v>
      </c>
      <c r="N260" s="1897">
        <v>0.32486772486772492</v>
      </c>
      <c r="O260" s="1897">
        <v>0.29841269841269841</v>
      </c>
      <c r="P260" s="1897">
        <v>0.28994708994708995</v>
      </c>
      <c r="Q260" s="1897">
        <v>0.20634920634920634</v>
      </c>
      <c r="R260" s="1897">
        <v>0.34920634920634919</v>
      </c>
      <c r="S260" s="1898">
        <f t="shared" si="6"/>
        <v>0.37949735449735439</v>
      </c>
    </row>
    <row r="261" spans="1:19">
      <c r="A261" s="1894">
        <f t="shared" si="7"/>
        <v>254</v>
      </c>
      <c r="B261" s="1895" t="s">
        <v>3154</v>
      </c>
      <c r="C261" s="1894" t="s">
        <v>524</v>
      </c>
      <c r="D261" s="1895" t="s">
        <v>541</v>
      </c>
      <c r="E261" s="1894" t="s">
        <v>259</v>
      </c>
      <c r="F261" s="1896">
        <v>189</v>
      </c>
      <c r="G261" s="1897">
        <v>0.42857142857142855</v>
      </c>
      <c r="H261" s="1897">
        <v>0.45460317460317462</v>
      </c>
      <c r="I261" s="1897">
        <v>0.42698412698412702</v>
      </c>
      <c r="J261" s="1897">
        <v>0.46031746031746029</v>
      </c>
      <c r="K261" s="1897">
        <v>0.44761904761904758</v>
      </c>
      <c r="L261" s="1897">
        <v>0.50285714285714289</v>
      </c>
      <c r="M261" s="1897">
        <v>0.54412698412698413</v>
      </c>
      <c r="N261" s="1897">
        <v>0.6387301587301587</v>
      </c>
      <c r="O261" s="1897">
        <v>0.7155555555555555</v>
      </c>
      <c r="P261" s="1897">
        <v>0.73904761904761906</v>
      </c>
      <c r="Q261" s="1897">
        <v>0.70158730158730154</v>
      </c>
      <c r="R261" s="1897">
        <v>0.51111111111111118</v>
      </c>
      <c r="S261" s="1898">
        <f t="shared" si="6"/>
        <v>0.54759259259259263</v>
      </c>
    </row>
    <row r="262" spans="1:19">
      <c r="A262" s="1894">
        <f t="shared" si="7"/>
        <v>255</v>
      </c>
      <c r="B262" s="1895" t="s">
        <v>3155</v>
      </c>
      <c r="C262" s="1894" t="s">
        <v>524</v>
      </c>
      <c r="D262" s="1895" t="s">
        <v>541</v>
      </c>
      <c r="E262" s="1894" t="s">
        <v>259</v>
      </c>
      <c r="F262" s="1896">
        <v>189</v>
      </c>
      <c r="G262" s="1897">
        <v>0.61798941798941798</v>
      </c>
      <c r="H262" s="1897">
        <v>0.63492063492063489</v>
      </c>
      <c r="I262" s="1897">
        <v>0.65989417989417998</v>
      </c>
      <c r="J262" s="1897">
        <v>0.80973544973544964</v>
      </c>
      <c r="K262" s="1897">
        <v>0.28910052910052908</v>
      </c>
      <c r="L262" s="1897">
        <v>0.55788359788359787</v>
      </c>
      <c r="M262" s="1897">
        <v>0.69714285714285729</v>
      </c>
      <c r="N262" s="1897">
        <v>0.67343915343915339</v>
      </c>
      <c r="O262" s="1897">
        <v>0.67005291005291001</v>
      </c>
      <c r="P262" s="1897">
        <v>0.8198941798941799</v>
      </c>
      <c r="Q262" s="1897">
        <v>0.90201058201058215</v>
      </c>
      <c r="R262" s="1897">
        <v>0.83005291005291004</v>
      </c>
      <c r="S262" s="1898">
        <f t="shared" si="6"/>
        <v>0.68017636684303351</v>
      </c>
    </row>
    <row r="263" spans="1:19">
      <c r="A263" s="1894">
        <f t="shared" si="7"/>
        <v>256</v>
      </c>
      <c r="B263" s="1895" t="s">
        <v>3156</v>
      </c>
      <c r="C263" s="1894" t="s">
        <v>524</v>
      </c>
      <c r="D263" s="1895" t="s">
        <v>636</v>
      </c>
      <c r="E263" s="1894" t="s">
        <v>259</v>
      </c>
      <c r="F263" s="1896">
        <v>189</v>
      </c>
      <c r="G263" s="1897">
        <v>0.23280423280423279</v>
      </c>
      <c r="H263" s="1897">
        <v>0.21164021164021163</v>
      </c>
      <c r="I263" s="1897">
        <v>0.1693121693121693</v>
      </c>
      <c r="J263" s="1897">
        <v>0.19047619047619047</v>
      </c>
      <c r="K263" s="1897">
        <v>0.19894179894179895</v>
      </c>
      <c r="L263" s="1897">
        <v>0.15079365079365079</v>
      </c>
      <c r="M263" s="1897">
        <v>0.14793650793650795</v>
      </c>
      <c r="N263" s="1897">
        <v>8.8888888888888892E-2</v>
      </c>
      <c r="O263" s="1897">
        <v>4.6349206349206348E-2</v>
      </c>
      <c r="P263" s="1897">
        <v>4.0634920634920635E-2</v>
      </c>
      <c r="Q263" s="1897">
        <v>0.1219047619047619</v>
      </c>
      <c r="R263" s="1897">
        <v>0.17015873015873018</v>
      </c>
      <c r="S263" s="1898">
        <f t="shared" si="6"/>
        <v>0.14748677248677247</v>
      </c>
    </row>
    <row r="264" spans="1:19">
      <c r="A264" s="1894">
        <f t="shared" si="7"/>
        <v>257</v>
      </c>
      <c r="B264" s="1895" t="s">
        <v>3157</v>
      </c>
      <c r="C264" s="1894" t="s">
        <v>524</v>
      </c>
      <c r="D264" s="1895" t="s">
        <v>636</v>
      </c>
      <c r="E264" s="1894" t="s">
        <v>259</v>
      </c>
      <c r="F264" s="1896">
        <v>189</v>
      </c>
      <c r="G264" s="1897">
        <v>9.9470899470899474E-2</v>
      </c>
      <c r="H264" s="1897">
        <v>9.1005291005291006E-2</v>
      </c>
      <c r="I264" s="1897">
        <v>2.7513227513227514E-2</v>
      </c>
      <c r="J264" s="1897">
        <v>2.5396825396825397E-2</v>
      </c>
      <c r="K264" s="1897">
        <v>3.5978835978835985E-2</v>
      </c>
      <c r="L264" s="1897">
        <v>3.9788359788359789E-2</v>
      </c>
      <c r="M264" s="1897">
        <v>0.29206349206349208</v>
      </c>
      <c r="N264" s="1897">
        <v>8.8888888888888892E-2</v>
      </c>
      <c r="O264" s="1897">
        <v>0.14179894179894181</v>
      </c>
      <c r="P264" s="1897">
        <v>0.14137566137566138</v>
      </c>
      <c r="Q264" s="1897">
        <v>3.1322751322751322E-2</v>
      </c>
      <c r="R264" s="1897">
        <v>2.0317460317460317E-2</v>
      </c>
      <c r="S264" s="1898">
        <f t="shared" ref="S264:S327" si="8">+SUM(G264:R264)/12</f>
        <v>8.6243386243386247E-2</v>
      </c>
    </row>
    <row r="265" spans="1:19">
      <c r="A265" s="1894">
        <f t="shared" si="7"/>
        <v>258</v>
      </c>
      <c r="B265" s="1895" t="s">
        <v>3158</v>
      </c>
      <c r="C265" s="1894" t="s">
        <v>524</v>
      </c>
      <c r="D265" s="1895" t="s">
        <v>636</v>
      </c>
      <c r="E265" s="1894" t="s">
        <v>259</v>
      </c>
      <c r="F265" s="1896">
        <v>189</v>
      </c>
      <c r="G265" s="1897">
        <v>0.13206349206349205</v>
      </c>
      <c r="H265" s="1897">
        <v>0.1108994708994709</v>
      </c>
      <c r="I265" s="1897">
        <v>0.11259259259259258</v>
      </c>
      <c r="J265" s="1897">
        <v>0.10455026455026455</v>
      </c>
      <c r="K265" s="1897">
        <v>0.11597883597883599</v>
      </c>
      <c r="L265" s="1897">
        <v>0.21502645502645504</v>
      </c>
      <c r="M265" s="1897">
        <v>0.20698412698412696</v>
      </c>
      <c r="N265" s="1897">
        <v>0.10624338624338625</v>
      </c>
      <c r="O265" s="1897">
        <v>0.10666666666666667</v>
      </c>
      <c r="P265" s="1897">
        <v>0.1307936507936508</v>
      </c>
      <c r="Q265" s="1897">
        <v>0.1235978835978836</v>
      </c>
      <c r="R265" s="1897">
        <v>0.1837037037037037</v>
      </c>
      <c r="S265" s="1898">
        <f t="shared" si="8"/>
        <v>0.13742504409171075</v>
      </c>
    </row>
    <row r="266" spans="1:19">
      <c r="A266" s="1894">
        <f t="shared" ref="A266:A329" si="9">+A265+1</f>
        <v>259</v>
      </c>
      <c r="B266" s="1895" t="s">
        <v>3159</v>
      </c>
      <c r="C266" s="1894" t="s">
        <v>524</v>
      </c>
      <c r="D266" s="1895" t="s">
        <v>636</v>
      </c>
      <c r="E266" s="1894" t="s">
        <v>259</v>
      </c>
      <c r="F266" s="1896">
        <v>190</v>
      </c>
      <c r="G266" s="1897">
        <v>0.34105263157894733</v>
      </c>
      <c r="H266" s="1897">
        <v>0.77368421052631575</v>
      </c>
      <c r="I266" s="1897">
        <v>0.74778947368421056</v>
      </c>
      <c r="J266" s="1897">
        <v>0.77305263157894732</v>
      </c>
      <c r="K266" s="1897">
        <v>2.5263157894736842E-2</v>
      </c>
      <c r="L266" s="1897">
        <v>0.62147368421052629</v>
      </c>
      <c r="M266" s="1897">
        <v>0.51284210526315788</v>
      </c>
      <c r="N266" s="1897">
        <v>0.5254736842105262</v>
      </c>
      <c r="O266" s="1897">
        <v>0.3991578947368421</v>
      </c>
      <c r="P266" s="1897">
        <v>0.10357894736842108</v>
      </c>
      <c r="Q266" s="1897">
        <v>0.38021052631578944</v>
      </c>
      <c r="R266" s="1897">
        <v>0.63915789473684215</v>
      </c>
      <c r="S266" s="1898">
        <f t="shared" si="8"/>
        <v>0.4868947368421051</v>
      </c>
    </row>
    <row r="267" spans="1:19">
      <c r="A267" s="1894">
        <f t="shared" si="9"/>
        <v>260</v>
      </c>
      <c r="B267" s="1895" t="s">
        <v>3160</v>
      </c>
      <c r="C267" s="1894" t="s">
        <v>524</v>
      </c>
      <c r="D267" s="1895" t="s">
        <v>636</v>
      </c>
      <c r="E267" s="1894" t="s">
        <v>259</v>
      </c>
      <c r="F267" s="1896">
        <v>193</v>
      </c>
      <c r="G267" s="1897">
        <v>0.3274611398963731</v>
      </c>
      <c r="H267" s="1897">
        <v>0.30922279792746116</v>
      </c>
      <c r="I267" s="1897">
        <v>0.35398963730569954</v>
      </c>
      <c r="J267" s="1897">
        <v>0.303419689119171</v>
      </c>
      <c r="K267" s="1897">
        <v>0.29347150259067356</v>
      </c>
      <c r="L267" s="1897">
        <v>0.26445595854922277</v>
      </c>
      <c r="M267" s="1897">
        <v>0.2337823834196891</v>
      </c>
      <c r="N267" s="1897">
        <v>0.20808290155440418</v>
      </c>
      <c r="O267" s="1897">
        <v>0.17243523316062176</v>
      </c>
      <c r="P267" s="1897">
        <v>0.14590673575129534</v>
      </c>
      <c r="Q267" s="1897">
        <v>0.15917098445595854</v>
      </c>
      <c r="R267" s="1897">
        <v>0.20642487046632121</v>
      </c>
      <c r="S267" s="1898">
        <f t="shared" si="8"/>
        <v>0.2481519861830743</v>
      </c>
    </row>
    <row r="268" spans="1:19">
      <c r="A268" s="1894">
        <f t="shared" si="9"/>
        <v>261</v>
      </c>
      <c r="B268" s="1895" t="s">
        <v>3161</v>
      </c>
      <c r="C268" s="1894" t="s">
        <v>524</v>
      </c>
      <c r="D268" s="1895" t="s">
        <v>636</v>
      </c>
      <c r="E268" s="1894" t="s">
        <v>259</v>
      </c>
      <c r="F268" s="1896">
        <v>193</v>
      </c>
      <c r="G268" s="1897">
        <v>0.46943005181347147</v>
      </c>
      <c r="H268" s="1897">
        <v>0.45886010362694302</v>
      </c>
      <c r="I268" s="1897">
        <v>0.48435233160621755</v>
      </c>
      <c r="J268" s="1897">
        <v>0.42341968911917099</v>
      </c>
      <c r="K268" s="1897">
        <v>0.45948186528497403</v>
      </c>
      <c r="L268" s="1897">
        <v>0.45699481865284969</v>
      </c>
      <c r="M268" s="1897">
        <v>0.41284974093264254</v>
      </c>
      <c r="N268" s="1897">
        <v>0.26176165803108808</v>
      </c>
      <c r="O268" s="1897">
        <v>0.22943005181347151</v>
      </c>
      <c r="P268" s="1897">
        <v>0.27108808290155439</v>
      </c>
      <c r="Q268" s="1897">
        <v>0.32518134715025904</v>
      </c>
      <c r="R268" s="1897">
        <v>0.3718134715025907</v>
      </c>
      <c r="S268" s="1898">
        <f t="shared" si="8"/>
        <v>0.38538860103626948</v>
      </c>
    </row>
    <row r="269" spans="1:19">
      <c r="A269" s="1894">
        <f t="shared" si="9"/>
        <v>262</v>
      </c>
      <c r="B269" s="1895" t="s">
        <v>3162</v>
      </c>
      <c r="C269" s="1894" t="s">
        <v>524</v>
      </c>
      <c r="D269" s="1895" t="s">
        <v>636</v>
      </c>
      <c r="E269" s="1894" t="s">
        <v>259</v>
      </c>
      <c r="F269" s="1896">
        <v>193</v>
      </c>
      <c r="G269" s="1897">
        <v>0.39170984455958546</v>
      </c>
      <c r="H269" s="1897">
        <v>0.35129533678756475</v>
      </c>
      <c r="I269" s="1897">
        <v>0.40974093264248701</v>
      </c>
      <c r="J269" s="1897">
        <v>0.31834196891191713</v>
      </c>
      <c r="K269" s="1897">
        <v>5.7823834196891181E-2</v>
      </c>
      <c r="L269" s="1897">
        <v>0.34383419689119171</v>
      </c>
      <c r="M269" s="1897">
        <v>0.27046632124352327</v>
      </c>
      <c r="N269" s="1897">
        <v>0.18031088082901556</v>
      </c>
      <c r="O269" s="1897">
        <v>0.11626943005181348</v>
      </c>
      <c r="P269" s="1897">
        <v>0.13305699481865285</v>
      </c>
      <c r="Q269" s="1897">
        <v>0.17409326424870467</v>
      </c>
      <c r="R269" s="1897">
        <v>0.20082901554404148</v>
      </c>
      <c r="S269" s="1898">
        <f t="shared" si="8"/>
        <v>0.24564766839378241</v>
      </c>
    </row>
    <row r="270" spans="1:19">
      <c r="A270" s="1894">
        <f t="shared" si="9"/>
        <v>263</v>
      </c>
      <c r="B270" s="1895" t="s">
        <v>3163</v>
      </c>
      <c r="C270" s="1894" t="s">
        <v>524</v>
      </c>
      <c r="D270" s="1895" t="s">
        <v>541</v>
      </c>
      <c r="E270" s="1894" t="s">
        <v>259</v>
      </c>
      <c r="F270" s="1896">
        <v>195</v>
      </c>
      <c r="G270" s="1897">
        <v>0.90051282051282044</v>
      </c>
      <c r="H270" s="1897">
        <v>0.80615384615384622</v>
      </c>
      <c r="I270" s="1897">
        <v>0.79794871794871791</v>
      </c>
      <c r="J270" s="1897">
        <v>0.88820512820512809</v>
      </c>
      <c r="K270" s="1897">
        <v>4.9230769230769231E-2</v>
      </c>
      <c r="L270" s="1897">
        <v>0.8069743589743591</v>
      </c>
      <c r="M270" s="1897">
        <v>0.83487179487179475</v>
      </c>
      <c r="N270" s="1897">
        <v>0.68348717948717952</v>
      </c>
      <c r="O270" s="1897">
        <v>0.74502564102564106</v>
      </c>
      <c r="P270" s="1897">
        <v>0.70276923076923092</v>
      </c>
      <c r="Q270" s="1897">
        <v>0.57723076923076921</v>
      </c>
      <c r="R270" s="1897">
        <v>0.61046153846153839</v>
      </c>
      <c r="S270" s="1898">
        <f t="shared" si="8"/>
        <v>0.70023931623931623</v>
      </c>
    </row>
    <row r="271" spans="1:19">
      <c r="A271" s="1894">
        <f t="shared" si="9"/>
        <v>264</v>
      </c>
      <c r="B271" s="1895" t="s">
        <v>3164</v>
      </c>
      <c r="C271" s="1894" t="s">
        <v>524</v>
      </c>
      <c r="D271" s="1895" t="s">
        <v>541</v>
      </c>
      <c r="E271" s="1894" t="s">
        <v>259</v>
      </c>
      <c r="F271" s="1896">
        <v>195</v>
      </c>
      <c r="G271" s="1897">
        <v>0.76389743589743597</v>
      </c>
      <c r="H271" s="1897">
        <v>0.82666666666666677</v>
      </c>
      <c r="I271" s="1897">
        <v>0.84841025641025636</v>
      </c>
      <c r="J271" s="1897">
        <v>0.89600000000000002</v>
      </c>
      <c r="K271" s="1897">
        <v>0.77825641025641035</v>
      </c>
      <c r="L271" s="1897">
        <v>0.82461538461538464</v>
      </c>
      <c r="M271" s="1897">
        <v>0.21620512820512819</v>
      </c>
      <c r="N271" s="1897">
        <v>0.08</v>
      </c>
      <c r="O271" s="1897">
        <v>0.65723076923076917</v>
      </c>
      <c r="P271" s="1897">
        <v>0.91446153846153844</v>
      </c>
      <c r="Q271" s="1897">
        <v>0.93538461538461537</v>
      </c>
      <c r="R271" s="1897">
        <v>0.90133333333333332</v>
      </c>
      <c r="S271" s="1898">
        <f t="shared" si="8"/>
        <v>0.72020512820512816</v>
      </c>
    </row>
    <row r="272" spans="1:19">
      <c r="A272" s="1894">
        <f t="shared" si="9"/>
        <v>265</v>
      </c>
      <c r="B272" s="1895" t="s">
        <v>3165</v>
      </c>
      <c r="C272" s="1894" t="s">
        <v>524</v>
      </c>
      <c r="D272" s="1895" t="s">
        <v>2966</v>
      </c>
      <c r="E272" s="1894" t="s">
        <v>259</v>
      </c>
      <c r="F272" s="1896">
        <v>200</v>
      </c>
      <c r="G272" s="1897">
        <v>0</v>
      </c>
      <c r="H272" s="1897">
        <v>0</v>
      </c>
      <c r="I272" s="1897">
        <v>0</v>
      </c>
      <c r="J272" s="1897">
        <v>0</v>
      </c>
      <c r="K272" s="1897">
        <v>0</v>
      </c>
      <c r="L272" s="1897">
        <v>0</v>
      </c>
      <c r="M272" s="1897">
        <v>0.23945</v>
      </c>
      <c r="N272" s="1897">
        <v>0.13285</v>
      </c>
      <c r="O272" s="1897">
        <v>0.17845</v>
      </c>
      <c r="P272" s="1897">
        <v>5.3650000000000003E-2</v>
      </c>
      <c r="Q272" s="1897">
        <v>0.45565</v>
      </c>
      <c r="R272" s="1897">
        <v>0.59184999999999999</v>
      </c>
      <c r="S272" s="1898">
        <f t="shared" si="8"/>
        <v>0.13765833333333333</v>
      </c>
    </row>
    <row r="273" spans="1:19">
      <c r="A273" s="1894">
        <f t="shared" si="9"/>
        <v>266</v>
      </c>
      <c r="B273" s="1895" t="s">
        <v>3166</v>
      </c>
      <c r="C273" s="1894" t="s">
        <v>524</v>
      </c>
      <c r="D273" s="1895" t="s">
        <v>541</v>
      </c>
      <c r="E273" s="1894" t="s">
        <v>259</v>
      </c>
      <c r="F273" s="1896">
        <v>200</v>
      </c>
      <c r="G273" s="1897">
        <v>0</v>
      </c>
      <c r="H273" s="1897">
        <v>0</v>
      </c>
      <c r="I273" s="1897">
        <v>0.34</v>
      </c>
      <c r="J273" s="1897">
        <v>0.31759999999999999</v>
      </c>
      <c r="K273" s="1897">
        <v>0.14799999999999999</v>
      </c>
      <c r="L273" s="1897">
        <v>0.376</v>
      </c>
      <c r="M273" s="1897">
        <v>0.39039999999999997</v>
      </c>
      <c r="N273" s="1897">
        <v>0.37119999999999997</v>
      </c>
      <c r="O273" s="1897">
        <v>0.41520000000000001</v>
      </c>
      <c r="P273" s="1897">
        <v>0.44719999999999999</v>
      </c>
      <c r="Q273" s="1897">
        <v>0.34320000000000001</v>
      </c>
      <c r="R273" s="1897">
        <v>0.35199999999999998</v>
      </c>
      <c r="S273" s="1898">
        <f t="shared" si="8"/>
        <v>0.29173333333333334</v>
      </c>
    </row>
    <row r="274" spans="1:19">
      <c r="A274" s="1894">
        <f t="shared" si="9"/>
        <v>267</v>
      </c>
      <c r="B274" s="1895" t="s">
        <v>3167</v>
      </c>
      <c r="C274" s="1894" t="s">
        <v>524</v>
      </c>
      <c r="D274" s="1895" t="s">
        <v>541</v>
      </c>
      <c r="E274" s="1894" t="s">
        <v>259</v>
      </c>
      <c r="F274" s="1896">
        <v>200</v>
      </c>
      <c r="G274" s="1897">
        <v>0</v>
      </c>
      <c r="H274" s="1897">
        <v>0</v>
      </c>
      <c r="I274" s="1897">
        <v>0</v>
      </c>
      <c r="J274" s="1897">
        <v>0</v>
      </c>
      <c r="K274" s="1897">
        <v>0</v>
      </c>
      <c r="L274" s="1897">
        <v>0</v>
      </c>
      <c r="M274" s="1897">
        <v>0</v>
      </c>
      <c r="N274" s="1897">
        <v>0</v>
      </c>
      <c r="O274" s="1897">
        <v>0</v>
      </c>
      <c r="P274" s="1897">
        <v>0.59400000000000008</v>
      </c>
      <c r="Q274" s="1897">
        <v>0.60059999999999991</v>
      </c>
      <c r="R274" s="1897">
        <v>0.63239999999999996</v>
      </c>
      <c r="S274" s="1898">
        <f t="shared" si="8"/>
        <v>0.15225</v>
      </c>
    </row>
    <row r="275" spans="1:19">
      <c r="A275" s="1894">
        <f t="shared" si="9"/>
        <v>268</v>
      </c>
      <c r="B275" s="1895" t="s">
        <v>3168</v>
      </c>
      <c r="C275" s="1894" t="s">
        <v>524</v>
      </c>
      <c r="D275" s="1895" t="s">
        <v>2966</v>
      </c>
      <c r="E275" s="1894" t="s">
        <v>259</v>
      </c>
      <c r="F275" s="1896">
        <v>200</v>
      </c>
      <c r="G275" s="1897">
        <v>0.27</v>
      </c>
      <c r="H275" s="1897">
        <v>0.27200000000000002</v>
      </c>
      <c r="I275" s="1897">
        <v>0.36959999999999998</v>
      </c>
      <c r="J275" s="1897">
        <v>0.30480000000000002</v>
      </c>
      <c r="K275" s="1897">
        <v>0.45039999999999997</v>
      </c>
      <c r="L275" s="1897">
        <v>0.31519999999999998</v>
      </c>
      <c r="M275" s="1897">
        <v>0.4592</v>
      </c>
      <c r="N275" s="1897">
        <v>0.48960000000000004</v>
      </c>
      <c r="O275" s="1897">
        <v>0.23599999999999999</v>
      </c>
      <c r="P275" s="1897">
        <v>0.23599999999999999</v>
      </c>
      <c r="Q275" s="1897">
        <v>0.28320000000000001</v>
      </c>
      <c r="R275" s="1897">
        <v>0.47839999999999994</v>
      </c>
      <c r="S275" s="1898">
        <f t="shared" si="8"/>
        <v>0.34703333333333325</v>
      </c>
    </row>
    <row r="276" spans="1:19">
      <c r="A276" s="1894">
        <f t="shared" si="9"/>
        <v>269</v>
      </c>
      <c r="B276" s="1895" t="s">
        <v>3169</v>
      </c>
      <c r="C276" s="1894" t="s">
        <v>524</v>
      </c>
      <c r="D276" s="1895" t="s">
        <v>737</v>
      </c>
      <c r="E276" s="1894" t="s">
        <v>259</v>
      </c>
      <c r="F276" s="1896">
        <v>200</v>
      </c>
      <c r="G276" s="1897">
        <v>0.17</v>
      </c>
      <c r="H276" s="1897">
        <v>0.2</v>
      </c>
      <c r="I276" s="1897">
        <v>0.21920000000000001</v>
      </c>
      <c r="J276" s="1897">
        <v>0.6048</v>
      </c>
      <c r="K276" s="1897">
        <v>0.67319999999999991</v>
      </c>
      <c r="L276" s="1897">
        <v>0.44040000000000007</v>
      </c>
      <c r="M276" s="1897">
        <v>0.66480000000000006</v>
      </c>
      <c r="N276" s="1897">
        <v>0.51300000000000001</v>
      </c>
      <c r="O276" s="1897">
        <v>0.69420000000000004</v>
      </c>
      <c r="P276" s="1897">
        <v>0.68519999999999992</v>
      </c>
      <c r="Q276" s="1897">
        <v>0.60300000000000009</v>
      </c>
      <c r="R276" s="1897">
        <v>0.76559999999999984</v>
      </c>
      <c r="S276" s="1898">
        <f t="shared" si="8"/>
        <v>0.51944999999999997</v>
      </c>
    </row>
    <row r="277" spans="1:19">
      <c r="A277" s="1894">
        <f t="shared" si="9"/>
        <v>270</v>
      </c>
      <c r="B277" s="1895" t="s">
        <v>690</v>
      </c>
      <c r="C277" s="1894" t="s">
        <v>524</v>
      </c>
      <c r="D277" s="1895" t="s">
        <v>636</v>
      </c>
      <c r="E277" s="1894" t="s">
        <v>259</v>
      </c>
      <c r="F277" s="1896">
        <v>200</v>
      </c>
      <c r="G277" s="1897">
        <v>0.98480000000000001</v>
      </c>
      <c r="H277" s="1897">
        <v>1.1055999999999999</v>
      </c>
      <c r="I277" s="1897">
        <v>1.2287999999999999</v>
      </c>
      <c r="J277" s="1897">
        <v>0.86159999999999992</v>
      </c>
      <c r="K277" s="1897">
        <v>0.9887999999999999</v>
      </c>
      <c r="L277" s="1897">
        <v>0.98080000000000001</v>
      </c>
      <c r="M277" s="1897">
        <v>0.60960000000000003</v>
      </c>
      <c r="N277" s="1897">
        <v>0.61280000000000001</v>
      </c>
      <c r="O277" s="1897">
        <v>0.68320000000000003</v>
      </c>
      <c r="P277" s="1897">
        <v>0.6</v>
      </c>
      <c r="Q277" s="1897">
        <v>0.56159999999999999</v>
      </c>
      <c r="R277" s="1897">
        <v>0.5968</v>
      </c>
      <c r="S277" s="1898">
        <f t="shared" si="8"/>
        <v>0.81786666666666663</v>
      </c>
    </row>
    <row r="278" spans="1:19">
      <c r="A278" s="1894">
        <f t="shared" si="9"/>
        <v>271</v>
      </c>
      <c r="B278" s="1895" t="s">
        <v>3170</v>
      </c>
      <c r="C278" s="1894" t="s">
        <v>524</v>
      </c>
      <c r="D278" s="1895" t="s">
        <v>541</v>
      </c>
      <c r="E278" s="1894" t="s">
        <v>259</v>
      </c>
      <c r="F278" s="1896">
        <v>200</v>
      </c>
      <c r="G278" s="1897">
        <v>0</v>
      </c>
      <c r="H278" s="1897">
        <v>0</v>
      </c>
      <c r="I278" s="1897">
        <v>0</v>
      </c>
      <c r="J278" s="1897">
        <v>0</v>
      </c>
      <c r="K278" s="1897">
        <v>0</v>
      </c>
      <c r="L278" s="1897">
        <v>0</v>
      </c>
      <c r="M278" s="1897">
        <v>0</v>
      </c>
      <c r="N278" s="1897">
        <v>0</v>
      </c>
      <c r="O278" s="1897">
        <v>0</v>
      </c>
      <c r="P278" s="1897">
        <v>7.2000000000000008E-2</v>
      </c>
      <c r="Q278" s="1897">
        <v>0.50580000000000003</v>
      </c>
      <c r="R278" s="1897">
        <v>0.55679999999999996</v>
      </c>
      <c r="S278" s="1898">
        <f t="shared" si="8"/>
        <v>9.4550000000000009E-2</v>
      </c>
    </row>
    <row r="279" spans="1:19">
      <c r="A279" s="1894">
        <f t="shared" si="9"/>
        <v>272</v>
      </c>
      <c r="B279" s="1895" t="s">
        <v>3171</v>
      </c>
      <c r="C279" s="1894" t="s">
        <v>524</v>
      </c>
      <c r="D279" s="1895" t="s">
        <v>2966</v>
      </c>
      <c r="E279" s="1894" t="s">
        <v>259</v>
      </c>
      <c r="F279" s="1896">
        <v>200</v>
      </c>
      <c r="G279" s="1897">
        <v>0.36719999999999997</v>
      </c>
      <c r="H279" s="1897">
        <v>0.50819999999999999</v>
      </c>
      <c r="I279" s="1897">
        <v>0.4536</v>
      </c>
      <c r="J279" s="1897">
        <v>0.46799999999999997</v>
      </c>
      <c r="K279" s="1897">
        <v>0.52680000000000005</v>
      </c>
      <c r="L279" s="1897">
        <v>0.48840000000000006</v>
      </c>
      <c r="M279" s="1897">
        <v>0.42780000000000001</v>
      </c>
      <c r="N279" s="1897">
        <v>1.8000000000000002E-2</v>
      </c>
      <c r="O279" s="1897">
        <v>1.8599999999999998E-2</v>
      </c>
      <c r="P279" s="1897">
        <v>0.46799999999999997</v>
      </c>
      <c r="Q279" s="1897">
        <v>0.62040000000000006</v>
      </c>
      <c r="R279" s="1897">
        <v>0.68519999999999992</v>
      </c>
      <c r="S279" s="1898">
        <f t="shared" si="8"/>
        <v>0.42085</v>
      </c>
    </row>
    <row r="280" spans="1:19">
      <c r="A280" s="1894">
        <f t="shared" si="9"/>
        <v>273</v>
      </c>
      <c r="B280" s="1895" t="s">
        <v>3172</v>
      </c>
      <c r="C280" s="1894" t="s">
        <v>524</v>
      </c>
      <c r="D280" s="1895" t="s">
        <v>737</v>
      </c>
      <c r="E280" s="1894" t="s">
        <v>259</v>
      </c>
      <c r="F280" s="1896">
        <v>200</v>
      </c>
      <c r="G280" s="1897">
        <v>9.7799999999999998E-2</v>
      </c>
      <c r="H280" s="1897">
        <v>0.30720000000000003</v>
      </c>
      <c r="I280" s="1897">
        <v>0.34439999999999998</v>
      </c>
      <c r="J280" s="1897">
        <v>0.36420000000000002</v>
      </c>
      <c r="K280" s="1897">
        <v>0.34499999999999997</v>
      </c>
      <c r="L280" s="1897">
        <v>0.2928</v>
      </c>
      <c r="M280" s="1897">
        <v>0.34379999999999994</v>
      </c>
      <c r="N280" s="1897">
        <v>0.25619999999999998</v>
      </c>
      <c r="O280" s="1897">
        <v>0.17219999999999999</v>
      </c>
      <c r="P280" s="1897">
        <v>0.3372</v>
      </c>
      <c r="Q280" s="1897">
        <v>0.33600000000000002</v>
      </c>
      <c r="R280" s="1897">
        <v>0.34560000000000002</v>
      </c>
      <c r="S280" s="1898">
        <f t="shared" si="8"/>
        <v>0.29520000000000002</v>
      </c>
    </row>
    <row r="281" spans="1:19">
      <c r="A281" s="1894">
        <f t="shared" si="9"/>
        <v>274</v>
      </c>
      <c r="B281" s="1895" t="s">
        <v>3173</v>
      </c>
      <c r="C281" s="1894" t="s">
        <v>524</v>
      </c>
      <c r="D281" s="1895" t="s">
        <v>2966</v>
      </c>
      <c r="E281" s="1894" t="s">
        <v>259</v>
      </c>
      <c r="F281" s="1896">
        <v>200</v>
      </c>
      <c r="G281" s="1897">
        <v>0.60240000000000005</v>
      </c>
      <c r="H281" s="1897">
        <v>0.79359999999999997</v>
      </c>
      <c r="I281" s="1897">
        <v>0.98799999999999999</v>
      </c>
      <c r="J281" s="1897">
        <v>0.128</v>
      </c>
      <c r="K281" s="1897">
        <v>0.71679999999999988</v>
      </c>
      <c r="L281" s="1897">
        <v>0.7</v>
      </c>
      <c r="M281" s="1897">
        <v>0.63280000000000003</v>
      </c>
      <c r="N281" s="1897">
        <v>5.6000000000000008E-2</v>
      </c>
      <c r="O281" s="1897">
        <v>4.0800000000000003E-2</v>
      </c>
      <c r="P281" s="1897">
        <v>7.1199999999999999E-2</v>
      </c>
      <c r="Q281" s="1897">
        <v>0.45280000000000004</v>
      </c>
      <c r="R281" s="1897">
        <v>0.67120000000000002</v>
      </c>
      <c r="S281" s="1898">
        <f t="shared" si="8"/>
        <v>0.48780000000000001</v>
      </c>
    </row>
    <row r="282" spans="1:19">
      <c r="A282" s="1894">
        <f t="shared" si="9"/>
        <v>275</v>
      </c>
      <c r="B282" s="1895" t="s">
        <v>3174</v>
      </c>
      <c r="C282" s="1894" t="s">
        <v>524</v>
      </c>
      <c r="D282" s="1895" t="s">
        <v>541</v>
      </c>
      <c r="E282" s="1894" t="s">
        <v>259</v>
      </c>
      <c r="F282" s="1896">
        <v>200</v>
      </c>
      <c r="G282" s="1897">
        <v>4.1999999999999997E-3</v>
      </c>
      <c r="H282" s="1897">
        <v>5.4000000000000003E-3</v>
      </c>
      <c r="I282" s="1897">
        <v>5.4000000000000003E-3</v>
      </c>
      <c r="J282" s="1897">
        <v>0.30720000000000003</v>
      </c>
      <c r="K282" s="1897">
        <v>4.8000000000000004E-3</v>
      </c>
      <c r="L282" s="1897">
        <v>0.26279999999999998</v>
      </c>
      <c r="M282" s="1897">
        <v>0.2994</v>
      </c>
      <c r="N282" s="1897">
        <v>0.38879999999999998</v>
      </c>
      <c r="O282" s="1897">
        <v>0.26099999999999995</v>
      </c>
      <c r="P282" s="1897">
        <v>4.8000000000000004E-3</v>
      </c>
      <c r="Q282" s="1897">
        <v>4.1999999999999997E-3</v>
      </c>
      <c r="R282" s="1897">
        <v>0.28560000000000002</v>
      </c>
      <c r="S282" s="1898">
        <f t="shared" si="8"/>
        <v>0.15279999999999999</v>
      </c>
    </row>
    <row r="283" spans="1:19">
      <c r="A283" s="1894">
        <f t="shared" si="9"/>
        <v>276</v>
      </c>
      <c r="B283" s="1895" t="s">
        <v>3175</v>
      </c>
      <c r="C283" s="1894" t="s">
        <v>524</v>
      </c>
      <c r="D283" s="1895" t="s">
        <v>629</v>
      </c>
      <c r="E283" s="1894" t="s">
        <v>259</v>
      </c>
      <c r="F283" s="1896">
        <v>200</v>
      </c>
      <c r="G283" s="1897">
        <v>0</v>
      </c>
      <c r="H283" s="1897">
        <v>0</v>
      </c>
      <c r="I283" s="1897">
        <v>0</v>
      </c>
      <c r="J283" s="1897">
        <v>0</v>
      </c>
      <c r="K283" s="1897">
        <v>0</v>
      </c>
      <c r="L283" s="1897">
        <v>0.28400000000000003</v>
      </c>
      <c r="M283" s="1897">
        <v>0.40800000000000003</v>
      </c>
      <c r="N283" s="1897">
        <v>0.46200000000000002</v>
      </c>
      <c r="O283" s="1897">
        <v>0.55080000000000007</v>
      </c>
      <c r="P283" s="1897">
        <v>0.5544</v>
      </c>
      <c r="Q283" s="1897">
        <v>0.51000000000000012</v>
      </c>
      <c r="R283" s="1897">
        <v>0.44280000000000003</v>
      </c>
      <c r="S283" s="1898">
        <f t="shared" si="8"/>
        <v>0.26766666666666666</v>
      </c>
    </row>
    <row r="284" spans="1:19">
      <c r="A284" s="1894">
        <f t="shared" si="9"/>
        <v>277</v>
      </c>
      <c r="B284" s="1895" t="s">
        <v>3176</v>
      </c>
      <c r="C284" s="1894" t="s">
        <v>524</v>
      </c>
      <c r="D284" s="1895" t="s">
        <v>2966</v>
      </c>
      <c r="E284" s="1894" t="s">
        <v>259</v>
      </c>
      <c r="F284" s="1896">
        <v>200</v>
      </c>
      <c r="G284" s="1897">
        <v>1.4224000000000001</v>
      </c>
      <c r="H284" s="1897">
        <v>1.3928</v>
      </c>
      <c r="I284" s="1897">
        <v>1.0007999999999999</v>
      </c>
      <c r="J284" s="1897">
        <v>0.36880000000000002</v>
      </c>
      <c r="K284" s="1897">
        <v>0.47360000000000002</v>
      </c>
      <c r="L284" s="1897">
        <v>0.52080000000000004</v>
      </c>
      <c r="M284" s="1897">
        <v>0.55520000000000003</v>
      </c>
      <c r="N284" s="1897">
        <v>0.23280000000000001</v>
      </c>
      <c r="O284" s="1897">
        <v>7.5999999999999998E-2</v>
      </c>
      <c r="P284" s="1897">
        <v>0.62639999999999996</v>
      </c>
      <c r="Q284" s="1897">
        <v>1.3031999999999999</v>
      </c>
      <c r="R284" s="1897">
        <v>1.5024000000000002</v>
      </c>
      <c r="S284" s="1898">
        <f t="shared" si="8"/>
        <v>0.78960000000000008</v>
      </c>
    </row>
    <row r="285" spans="1:19">
      <c r="A285" s="1894">
        <f t="shared" si="9"/>
        <v>278</v>
      </c>
      <c r="B285" s="1895" t="s">
        <v>3177</v>
      </c>
      <c r="C285" s="1894" t="s">
        <v>524</v>
      </c>
      <c r="D285" s="1895" t="s">
        <v>541</v>
      </c>
      <c r="E285" s="1894" t="s">
        <v>259</v>
      </c>
      <c r="F285" s="1896">
        <v>200</v>
      </c>
      <c r="G285" s="1897">
        <v>1.1439999999999999</v>
      </c>
      <c r="H285" s="1897">
        <v>1.3</v>
      </c>
      <c r="I285" s="1897">
        <v>1.5471999999999999</v>
      </c>
      <c r="J285" s="1897">
        <v>1.5287999999999999</v>
      </c>
      <c r="K285" s="1897">
        <v>0.88400000000000001</v>
      </c>
      <c r="L285" s="1897">
        <v>1.6472</v>
      </c>
      <c r="M285" s="1897">
        <v>1.3855999999999999</v>
      </c>
      <c r="N285" s="1897">
        <v>1.1448</v>
      </c>
      <c r="O285" s="1897">
        <v>0.78720000000000001</v>
      </c>
      <c r="P285" s="1897">
        <v>0.54720000000000002</v>
      </c>
      <c r="Q285" s="1897">
        <v>0.56799999999999995</v>
      </c>
      <c r="R285" s="1897">
        <v>0.64080000000000004</v>
      </c>
      <c r="S285" s="1898">
        <f t="shared" si="8"/>
        <v>1.0937333333333334</v>
      </c>
    </row>
    <row r="286" spans="1:19">
      <c r="A286" s="1894">
        <f t="shared" si="9"/>
        <v>279</v>
      </c>
      <c r="B286" s="1895" t="s">
        <v>3178</v>
      </c>
      <c r="C286" s="1894" t="s">
        <v>524</v>
      </c>
      <c r="D286" s="1895" t="s">
        <v>541</v>
      </c>
      <c r="E286" s="1894" t="s">
        <v>259</v>
      </c>
      <c r="F286" s="1896">
        <v>200</v>
      </c>
      <c r="G286" s="1897">
        <v>0.44</v>
      </c>
      <c r="H286" s="1897">
        <v>0.41199999999999998</v>
      </c>
      <c r="I286" s="1897">
        <v>0.39200000000000002</v>
      </c>
      <c r="J286" s="1897">
        <v>0.42</v>
      </c>
      <c r="K286" s="1897">
        <v>0.42</v>
      </c>
      <c r="L286" s="1897">
        <v>0.40799999999999997</v>
      </c>
      <c r="M286" s="1897">
        <v>0.35199999999999998</v>
      </c>
      <c r="N286" s="1897">
        <v>0.38800000000000007</v>
      </c>
      <c r="O286" s="1897">
        <v>0.39600000000000002</v>
      </c>
      <c r="P286" s="1897">
        <v>0.34799999999999998</v>
      </c>
      <c r="Q286" s="1897">
        <v>0.504</v>
      </c>
      <c r="R286" s="1897">
        <v>0.504</v>
      </c>
      <c r="S286" s="1898">
        <f t="shared" si="8"/>
        <v>0.41533333333333333</v>
      </c>
    </row>
    <row r="287" spans="1:19">
      <c r="A287" s="1894">
        <f t="shared" si="9"/>
        <v>280</v>
      </c>
      <c r="B287" s="1895" t="s">
        <v>3179</v>
      </c>
      <c r="C287" s="1894" t="s">
        <v>524</v>
      </c>
      <c r="D287" s="1895" t="s">
        <v>541</v>
      </c>
      <c r="E287" s="1894" t="s">
        <v>259</v>
      </c>
      <c r="F287" s="1896">
        <v>200</v>
      </c>
      <c r="G287" s="1897">
        <v>0.60399999999999998</v>
      </c>
      <c r="H287" s="1897">
        <v>0.57999999999999996</v>
      </c>
      <c r="I287" s="1897">
        <v>0.53400000000000003</v>
      </c>
      <c r="J287" s="1897">
        <v>0.51519999999999999</v>
      </c>
      <c r="K287" s="1897">
        <v>4.7600000000000003E-2</v>
      </c>
      <c r="L287" s="1897">
        <v>0.42559999999999998</v>
      </c>
      <c r="M287" s="1897">
        <v>0.32319999999999999</v>
      </c>
      <c r="N287" s="1897">
        <v>0.32079999999999997</v>
      </c>
      <c r="O287" s="1897">
        <v>0.28399999999999997</v>
      </c>
      <c r="P287" s="1897">
        <v>0.27160000000000001</v>
      </c>
      <c r="Q287" s="1897">
        <v>0.30640000000000001</v>
      </c>
      <c r="R287" s="1897">
        <v>0.2928</v>
      </c>
      <c r="S287" s="1898">
        <f t="shared" si="8"/>
        <v>0.37543333333333334</v>
      </c>
    </row>
    <row r="288" spans="1:19">
      <c r="A288" s="1894">
        <f t="shared" si="9"/>
        <v>281</v>
      </c>
      <c r="B288" s="1895" t="s">
        <v>3180</v>
      </c>
      <c r="C288" s="1894" t="s">
        <v>2930</v>
      </c>
      <c r="D288" s="1895" t="s">
        <v>541</v>
      </c>
      <c r="E288" s="1894" t="s">
        <v>259</v>
      </c>
      <c r="F288" s="1896">
        <v>200</v>
      </c>
      <c r="G288" s="1897">
        <v>0.43519999999999998</v>
      </c>
      <c r="H288" s="1897">
        <v>0.45280000000000004</v>
      </c>
      <c r="I288" s="1897">
        <v>0.43519999999999998</v>
      </c>
      <c r="J288" s="1897">
        <v>0.46</v>
      </c>
      <c r="K288" s="1897">
        <v>0.38</v>
      </c>
      <c r="L288" s="1897">
        <v>0</v>
      </c>
      <c r="M288" s="1897">
        <v>0</v>
      </c>
      <c r="N288" s="1897">
        <v>0</v>
      </c>
      <c r="O288" s="1897">
        <v>0</v>
      </c>
      <c r="P288" s="1897">
        <v>0</v>
      </c>
      <c r="Q288" s="1897">
        <v>0</v>
      </c>
      <c r="R288" s="1897">
        <v>0</v>
      </c>
      <c r="S288" s="1898">
        <f t="shared" si="8"/>
        <v>0.18026666666666666</v>
      </c>
    </row>
    <row r="289" spans="1:19">
      <c r="A289" s="1894">
        <f t="shared" si="9"/>
        <v>282</v>
      </c>
      <c r="B289" s="1895" t="s">
        <v>3181</v>
      </c>
      <c r="C289" s="1894" t="s">
        <v>524</v>
      </c>
      <c r="D289" s="1895" t="s">
        <v>2966</v>
      </c>
      <c r="E289" s="1894" t="s">
        <v>259</v>
      </c>
      <c r="F289" s="1896">
        <v>200</v>
      </c>
      <c r="G289" s="1897">
        <v>0.1336</v>
      </c>
      <c r="H289" s="1897">
        <v>0.1784</v>
      </c>
      <c r="I289" s="1897">
        <v>0.20080000000000001</v>
      </c>
      <c r="J289" s="1897">
        <v>0.16800000000000001</v>
      </c>
      <c r="K289" s="1897">
        <v>0.1208</v>
      </c>
      <c r="L289" s="1897">
        <v>0.1928</v>
      </c>
      <c r="M289" s="1897">
        <v>0.2752</v>
      </c>
      <c r="N289" s="1897">
        <v>0.36480000000000001</v>
      </c>
      <c r="O289" s="1897">
        <v>0.26640000000000003</v>
      </c>
      <c r="P289" s="1897">
        <v>5.4399999999999997E-2</v>
      </c>
      <c r="Q289" s="1897">
        <v>0.1</v>
      </c>
      <c r="R289" s="1897">
        <v>9.8400000000000001E-2</v>
      </c>
      <c r="S289" s="1898">
        <f t="shared" si="8"/>
        <v>0.17946666666666666</v>
      </c>
    </row>
    <row r="290" spans="1:19">
      <c r="A290" s="1894">
        <f t="shared" si="9"/>
        <v>283</v>
      </c>
      <c r="B290" s="1895" t="s">
        <v>3182</v>
      </c>
      <c r="C290" s="1894" t="s">
        <v>524</v>
      </c>
      <c r="D290" s="1895" t="s">
        <v>737</v>
      </c>
      <c r="E290" s="1894" t="s">
        <v>259</v>
      </c>
      <c r="F290" s="1896">
        <v>200</v>
      </c>
      <c r="G290" s="1897">
        <v>0.22400000000000003</v>
      </c>
      <c r="H290" s="1897">
        <v>0.21359999999999998</v>
      </c>
      <c r="I290" s="1897">
        <v>0.21600000000000003</v>
      </c>
      <c r="J290" s="1897">
        <v>0.25519999999999998</v>
      </c>
      <c r="K290" s="1897">
        <v>0.20319999999999999</v>
      </c>
      <c r="L290" s="1897">
        <v>0.25040000000000001</v>
      </c>
      <c r="M290" s="1897">
        <v>0.24</v>
      </c>
      <c r="N290" s="1897">
        <v>0.20080000000000001</v>
      </c>
      <c r="O290" s="1897">
        <v>0.21199999999999999</v>
      </c>
      <c r="P290" s="1897">
        <v>0.19839999999999999</v>
      </c>
      <c r="Q290" s="1897">
        <v>0.22720000000000001</v>
      </c>
      <c r="R290" s="1897">
        <v>0.2104</v>
      </c>
      <c r="S290" s="1898">
        <f t="shared" si="8"/>
        <v>0.22093333333333331</v>
      </c>
    </row>
    <row r="291" spans="1:19">
      <c r="A291" s="1894">
        <f t="shared" si="9"/>
        <v>284</v>
      </c>
      <c r="B291" s="1895" t="s">
        <v>3183</v>
      </c>
      <c r="C291" s="1894" t="s">
        <v>524</v>
      </c>
      <c r="D291" s="1895" t="s">
        <v>737</v>
      </c>
      <c r="E291" s="1894" t="s">
        <v>259</v>
      </c>
      <c r="F291" s="1896">
        <v>200</v>
      </c>
      <c r="G291" s="1897">
        <v>0.11</v>
      </c>
      <c r="H291" s="1897">
        <v>9.1999999999999998E-2</v>
      </c>
      <c r="I291" s="1897">
        <v>0.11600000000000002</v>
      </c>
      <c r="J291" s="1897">
        <v>0.38159999999999994</v>
      </c>
      <c r="K291" s="1897">
        <v>6.4000000000000001E-2</v>
      </c>
      <c r="L291" s="1897">
        <v>0.11699999999999999</v>
      </c>
      <c r="M291" s="1897">
        <v>0.1686</v>
      </c>
      <c r="N291" s="1897">
        <v>0.20879999999999999</v>
      </c>
      <c r="O291" s="1897">
        <v>0.14940000000000001</v>
      </c>
      <c r="P291" s="1897">
        <v>0.17280000000000001</v>
      </c>
      <c r="Q291" s="1897">
        <v>0.2</v>
      </c>
      <c r="R291" s="1897">
        <v>0.13120000000000001</v>
      </c>
      <c r="S291" s="1898">
        <f t="shared" si="8"/>
        <v>0.15928333333333333</v>
      </c>
    </row>
    <row r="292" spans="1:19">
      <c r="A292" s="1894">
        <f t="shared" si="9"/>
        <v>285</v>
      </c>
      <c r="B292" s="1895" t="s">
        <v>3184</v>
      </c>
      <c r="C292" s="1894" t="s">
        <v>524</v>
      </c>
      <c r="D292" s="1895" t="s">
        <v>541</v>
      </c>
      <c r="E292" s="1894" t="s">
        <v>259</v>
      </c>
      <c r="F292" s="1896">
        <v>200</v>
      </c>
      <c r="G292" s="1897">
        <v>1.2256</v>
      </c>
      <c r="H292" s="1897">
        <v>1.4423999999999999</v>
      </c>
      <c r="I292" s="1897">
        <v>1.1956</v>
      </c>
      <c r="J292" s="1897">
        <v>1.3564000000000001</v>
      </c>
      <c r="K292" s="1897">
        <v>1.3475999999999999</v>
      </c>
      <c r="L292" s="1897">
        <v>1.3695999999999997</v>
      </c>
      <c r="M292" s="1897">
        <v>0.71279999999999999</v>
      </c>
      <c r="N292" s="1897">
        <v>7.2400000000000006E-2</v>
      </c>
      <c r="O292" s="1897">
        <v>1.0751999999999999</v>
      </c>
      <c r="P292" s="1897">
        <v>1.3216000000000003</v>
      </c>
      <c r="Q292" s="1897">
        <v>1.41</v>
      </c>
      <c r="R292" s="1897">
        <v>1.5184</v>
      </c>
      <c r="S292" s="1898">
        <f t="shared" si="8"/>
        <v>1.1706333333333332</v>
      </c>
    </row>
    <row r="293" spans="1:19">
      <c r="A293" s="1894">
        <f t="shared" si="9"/>
        <v>286</v>
      </c>
      <c r="B293" s="1895" t="s">
        <v>3008</v>
      </c>
      <c r="C293" s="1894" t="s">
        <v>524</v>
      </c>
      <c r="D293" s="1895" t="s">
        <v>541</v>
      </c>
      <c r="E293" s="1894" t="s">
        <v>259</v>
      </c>
      <c r="F293" s="1896">
        <v>200</v>
      </c>
      <c r="G293" s="1897">
        <v>3.6000000000000004E-2</v>
      </c>
      <c r="H293" s="1897">
        <v>6.1200000000000004E-2</v>
      </c>
      <c r="I293" s="1897">
        <v>3.3599999999999998E-2</v>
      </c>
      <c r="J293" s="1897">
        <v>2.76E-2</v>
      </c>
      <c r="K293" s="1897">
        <v>3.3599999999999998E-2</v>
      </c>
      <c r="L293" s="1897">
        <v>0.1008</v>
      </c>
      <c r="M293" s="1897">
        <v>0.17280000000000001</v>
      </c>
      <c r="N293" s="1897">
        <v>3.9599999999999996E-2</v>
      </c>
      <c r="O293" s="1897">
        <v>3.7199999999999997E-2</v>
      </c>
      <c r="P293" s="1897">
        <v>7.8E-2</v>
      </c>
      <c r="Q293" s="1897">
        <v>3.9599999999999996E-2</v>
      </c>
      <c r="R293" s="1897">
        <v>3.2400000000000005E-2</v>
      </c>
      <c r="S293" s="1898">
        <f t="shared" si="8"/>
        <v>5.7699999999999994E-2</v>
      </c>
    </row>
    <row r="294" spans="1:19">
      <c r="A294" s="1894">
        <f t="shared" si="9"/>
        <v>287</v>
      </c>
      <c r="B294" s="1895" t="s">
        <v>3185</v>
      </c>
      <c r="C294" s="1894" t="s">
        <v>524</v>
      </c>
      <c r="D294" s="1895" t="s">
        <v>636</v>
      </c>
      <c r="E294" s="1894" t="s">
        <v>259</v>
      </c>
      <c r="F294" s="1896">
        <v>200</v>
      </c>
      <c r="G294" s="1897">
        <v>0.51680000000000004</v>
      </c>
      <c r="H294" s="1897">
        <v>0.49680000000000002</v>
      </c>
      <c r="I294" s="1897">
        <v>0.53680000000000005</v>
      </c>
      <c r="J294" s="1897">
        <v>0.44640000000000002</v>
      </c>
      <c r="K294" s="1897">
        <v>0.49519999999999997</v>
      </c>
      <c r="L294" s="1897">
        <v>0.49359999999999998</v>
      </c>
      <c r="M294" s="1897">
        <v>0.48880000000000001</v>
      </c>
      <c r="N294" s="1897">
        <v>0.35359999999999997</v>
      </c>
      <c r="O294" s="1897">
        <v>0.33759999999999996</v>
      </c>
      <c r="P294" s="1897">
        <v>0.37280000000000002</v>
      </c>
      <c r="Q294" s="1897">
        <v>0.33839999999999998</v>
      </c>
      <c r="R294" s="1897">
        <v>0.39600000000000002</v>
      </c>
      <c r="S294" s="1898">
        <f t="shared" si="8"/>
        <v>0.43940000000000001</v>
      </c>
    </row>
    <row r="295" spans="1:19">
      <c r="A295" s="1894">
        <f t="shared" si="9"/>
        <v>288</v>
      </c>
      <c r="B295" s="1895" t="s">
        <v>3186</v>
      </c>
      <c r="C295" s="1894" t="s">
        <v>524</v>
      </c>
      <c r="D295" s="1895" t="s">
        <v>541</v>
      </c>
      <c r="E295" s="1894" t="s">
        <v>259</v>
      </c>
      <c r="F295" s="1896">
        <v>200</v>
      </c>
      <c r="G295" s="1897">
        <v>0.57599999999999996</v>
      </c>
      <c r="H295" s="1897">
        <v>0.54959999999999998</v>
      </c>
      <c r="I295" s="1897">
        <v>0.56159999999999999</v>
      </c>
      <c r="J295" s="1897">
        <v>0.58720000000000006</v>
      </c>
      <c r="K295" s="1897">
        <v>0.61680000000000001</v>
      </c>
      <c r="L295" s="1897">
        <v>0.59519999999999995</v>
      </c>
      <c r="M295" s="1897">
        <v>0.66720000000000002</v>
      </c>
      <c r="N295" s="1897">
        <v>0.70640000000000003</v>
      </c>
      <c r="O295" s="1897">
        <v>0.76400000000000001</v>
      </c>
      <c r="P295" s="1897">
        <v>0.72960000000000003</v>
      </c>
      <c r="Q295" s="1897">
        <v>0.7208</v>
      </c>
      <c r="R295" s="1897">
        <v>0.58879999999999999</v>
      </c>
      <c r="S295" s="1898">
        <f t="shared" si="8"/>
        <v>0.63859999999999995</v>
      </c>
    </row>
    <row r="296" spans="1:19">
      <c r="A296" s="1894">
        <f t="shared" si="9"/>
        <v>289</v>
      </c>
      <c r="B296" s="1895" t="s">
        <v>3187</v>
      </c>
      <c r="C296" s="1894" t="s">
        <v>524</v>
      </c>
      <c r="D296" s="1895" t="s">
        <v>737</v>
      </c>
      <c r="E296" s="1894" t="s">
        <v>259</v>
      </c>
      <c r="F296" s="1896">
        <v>200</v>
      </c>
      <c r="G296" s="1897">
        <v>6.9749999999999993E-2</v>
      </c>
      <c r="H296" s="1897">
        <v>6.6250000000000003E-2</v>
      </c>
      <c r="I296" s="1897">
        <v>7.0250000000000007E-2</v>
      </c>
      <c r="J296" s="1897">
        <v>5.1749999999999997E-2</v>
      </c>
      <c r="K296" s="1897">
        <v>4.9249999999999995E-2</v>
      </c>
      <c r="L296" s="1897">
        <v>5.525E-2</v>
      </c>
      <c r="M296" s="1897">
        <v>4.9749999999999996E-2</v>
      </c>
      <c r="N296" s="1897">
        <v>9.375E-2</v>
      </c>
      <c r="O296" s="1897">
        <v>5.6250000000000001E-2</v>
      </c>
      <c r="P296" s="1897">
        <v>5.7750000000000003E-2</v>
      </c>
      <c r="Q296" s="1897">
        <v>0.13200000000000001</v>
      </c>
      <c r="R296" s="1897">
        <v>0.10344999999999999</v>
      </c>
      <c r="S296" s="1898">
        <f t="shared" si="8"/>
        <v>7.1287500000000004E-2</v>
      </c>
    </row>
    <row r="297" spans="1:19">
      <c r="A297" s="1894">
        <f t="shared" si="9"/>
        <v>290</v>
      </c>
      <c r="B297" s="1895" t="s">
        <v>3188</v>
      </c>
      <c r="C297" s="1894" t="s">
        <v>524</v>
      </c>
      <c r="D297" s="1895" t="s">
        <v>541</v>
      </c>
      <c r="E297" s="1894" t="s">
        <v>259</v>
      </c>
      <c r="F297" s="1896">
        <v>200</v>
      </c>
      <c r="G297" s="1897">
        <v>0.93600000000000005</v>
      </c>
      <c r="H297" s="1897">
        <v>0.88080000000000003</v>
      </c>
      <c r="I297" s="1897">
        <v>0.85640000000000005</v>
      </c>
      <c r="J297" s="1897">
        <v>0.90159999999999996</v>
      </c>
      <c r="K297" s="1897">
        <v>0.88200000000000001</v>
      </c>
      <c r="L297" s="1897">
        <v>0.86839999999999984</v>
      </c>
      <c r="M297" s="1897">
        <v>0.93079999999999996</v>
      </c>
      <c r="N297" s="1897">
        <v>0.96560000000000001</v>
      </c>
      <c r="O297" s="1897">
        <v>0.93200000000000005</v>
      </c>
      <c r="P297" s="1897">
        <v>0.95799999999999996</v>
      </c>
      <c r="Q297" s="1897">
        <v>0.83</v>
      </c>
      <c r="R297" s="1897">
        <v>0.81120000000000003</v>
      </c>
      <c r="S297" s="1898">
        <f t="shared" si="8"/>
        <v>0.89606666666666668</v>
      </c>
    </row>
    <row r="298" spans="1:19">
      <c r="A298" s="1894">
        <f t="shared" si="9"/>
        <v>291</v>
      </c>
      <c r="B298" s="1895" t="s">
        <v>3189</v>
      </c>
      <c r="C298" s="1894" t="s">
        <v>524</v>
      </c>
      <c r="D298" s="1895" t="s">
        <v>541</v>
      </c>
      <c r="E298" s="1894" t="s">
        <v>259</v>
      </c>
      <c r="F298" s="1896">
        <v>200</v>
      </c>
      <c r="G298" s="1897">
        <v>0.44600000000000001</v>
      </c>
      <c r="H298" s="1897">
        <v>0.69599999999999995</v>
      </c>
      <c r="I298" s="1897">
        <v>0.08</v>
      </c>
      <c r="J298" s="1897">
        <v>0.62</v>
      </c>
      <c r="K298" s="1897">
        <v>0.68799999999999994</v>
      </c>
      <c r="L298" s="1897">
        <v>0.65600000000000014</v>
      </c>
      <c r="M298" s="1897">
        <v>0.78600000000000003</v>
      </c>
      <c r="N298" s="1897">
        <v>0.77200000000000002</v>
      </c>
      <c r="O298" s="1897">
        <v>0.78400000000000003</v>
      </c>
      <c r="P298" s="1897">
        <v>0.77800000000000002</v>
      </c>
      <c r="Q298" s="1897">
        <v>0.69199999999999984</v>
      </c>
      <c r="R298" s="1897">
        <v>0.7340000000000001</v>
      </c>
      <c r="S298" s="1898">
        <f t="shared" si="8"/>
        <v>0.64433333333333342</v>
      </c>
    </row>
    <row r="299" spans="1:19">
      <c r="A299" s="1894">
        <f t="shared" si="9"/>
        <v>292</v>
      </c>
      <c r="B299" s="1895" t="s">
        <v>3190</v>
      </c>
      <c r="C299" s="1894" t="s">
        <v>524</v>
      </c>
      <c r="D299" s="1895" t="s">
        <v>636</v>
      </c>
      <c r="E299" s="1894" t="s">
        <v>259</v>
      </c>
      <c r="F299" s="1896">
        <v>200</v>
      </c>
      <c r="G299" s="1897">
        <v>0.66239999999999999</v>
      </c>
      <c r="H299" s="1897">
        <v>0.626</v>
      </c>
      <c r="I299" s="1897">
        <v>0.6724</v>
      </c>
      <c r="J299" s="1897">
        <v>0.56120000000000003</v>
      </c>
      <c r="K299" s="1897">
        <v>0.56840000000000002</v>
      </c>
      <c r="L299" s="1897">
        <v>0.53759999999999997</v>
      </c>
      <c r="M299" s="1897">
        <v>0.43240000000000001</v>
      </c>
      <c r="N299" s="1897">
        <v>0.24440000000000001</v>
      </c>
      <c r="O299" s="1897">
        <v>0.21079999999999999</v>
      </c>
      <c r="P299" s="1897">
        <v>0.2316</v>
      </c>
      <c r="Q299" s="1897">
        <v>0.248</v>
      </c>
      <c r="R299" s="1897">
        <v>0.37</v>
      </c>
      <c r="S299" s="1898">
        <f t="shared" si="8"/>
        <v>0.4471</v>
      </c>
    </row>
    <row r="300" spans="1:19">
      <c r="A300" s="1894">
        <f t="shared" si="9"/>
        <v>293</v>
      </c>
      <c r="B300" s="1895" t="s">
        <v>3191</v>
      </c>
      <c r="C300" s="1894" t="s">
        <v>524</v>
      </c>
      <c r="D300" s="1895" t="s">
        <v>541</v>
      </c>
      <c r="E300" s="1894" t="s">
        <v>259</v>
      </c>
      <c r="F300" s="1896">
        <v>201</v>
      </c>
      <c r="G300" s="1897">
        <v>0</v>
      </c>
      <c r="H300" s="1897">
        <v>0</v>
      </c>
      <c r="I300" s="1897">
        <v>0</v>
      </c>
      <c r="J300" s="1897">
        <v>0.44776119402985076</v>
      </c>
      <c r="K300" s="1897">
        <v>0.33850746268656717</v>
      </c>
      <c r="L300" s="1897">
        <v>0.59044776119402986</v>
      </c>
      <c r="M300" s="1897">
        <v>0.27522388059701491</v>
      </c>
      <c r="N300" s="1897">
        <v>0.53492537313432831</v>
      </c>
      <c r="O300" s="1897">
        <v>0.56179104477611941</v>
      </c>
      <c r="P300" s="1897">
        <v>0.55820895522388059</v>
      </c>
      <c r="Q300" s="1897">
        <v>0.63402985074626861</v>
      </c>
      <c r="R300" s="1897">
        <v>0.63701492537313431</v>
      </c>
      <c r="S300" s="1898">
        <f t="shared" si="8"/>
        <v>0.3814925373134328</v>
      </c>
    </row>
    <row r="301" spans="1:19">
      <c r="A301" s="1894">
        <f t="shared" si="9"/>
        <v>294</v>
      </c>
      <c r="B301" s="1895" t="s">
        <v>3192</v>
      </c>
      <c r="C301" s="1894" t="s">
        <v>524</v>
      </c>
      <c r="D301" s="1895" t="s">
        <v>541</v>
      </c>
      <c r="E301" s="1894" t="s">
        <v>259</v>
      </c>
      <c r="F301" s="1896">
        <v>201</v>
      </c>
      <c r="G301" s="1897">
        <v>0.84716417910447761</v>
      </c>
      <c r="H301" s="1897">
        <v>0.85373134328358202</v>
      </c>
      <c r="I301" s="1897">
        <v>0.98567164179104483</v>
      </c>
      <c r="J301" s="1897">
        <v>0.93014925373134316</v>
      </c>
      <c r="K301" s="1897">
        <v>6.3283582089552246E-2</v>
      </c>
      <c r="L301" s="1897">
        <v>6.3880597014925378E-2</v>
      </c>
      <c r="M301" s="1897">
        <v>5.4328358208955221E-2</v>
      </c>
      <c r="N301" s="1897">
        <v>4.6567164179104475E-2</v>
      </c>
      <c r="O301" s="1897">
        <v>0.4429850746268657</v>
      </c>
      <c r="P301" s="1897">
        <v>0.83522388059701491</v>
      </c>
      <c r="Q301" s="1897">
        <v>0.83522388059701491</v>
      </c>
      <c r="R301" s="1897">
        <v>0.75104477611940301</v>
      </c>
      <c r="S301" s="1898">
        <f t="shared" si="8"/>
        <v>0.55910447761194026</v>
      </c>
    </row>
    <row r="302" spans="1:19">
      <c r="A302" s="1894">
        <f t="shared" si="9"/>
        <v>295</v>
      </c>
      <c r="B302" s="1895" t="s">
        <v>3193</v>
      </c>
      <c r="C302" s="1894" t="s">
        <v>524</v>
      </c>
      <c r="D302" s="1895" t="s">
        <v>541</v>
      </c>
      <c r="E302" s="1894" t="s">
        <v>259</v>
      </c>
      <c r="F302" s="1896">
        <v>202</v>
      </c>
      <c r="G302" s="1897">
        <v>1.1001980198019803</v>
      </c>
      <c r="H302" s="1897">
        <v>1.1702970297029702</v>
      </c>
      <c r="I302" s="1897">
        <v>1.15009900990099</v>
      </c>
      <c r="J302" s="1897">
        <v>5.2277227722772282E-2</v>
      </c>
      <c r="K302" s="1897">
        <v>1.0146534653465347</v>
      </c>
      <c r="L302" s="1897">
        <v>1.2522772277227723</v>
      </c>
      <c r="M302" s="1897">
        <v>1.0716831683168317</v>
      </c>
      <c r="N302" s="1897">
        <v>1.2154455445544554</v>
      </c>
      <c r="O302" s="1897">
        <v>1.2142574257425742</v>
      </c>
      <c r="P302" s="1897">
        <v>1.2071287128712871</v>
      </c>
      <c r="Q302" s="1897">
        <v>1.415049504950495</v>
      </c>
      <c r="R302" s="1897">
        <v>1.2902970297029703</v>
      </c>
      <c r="S302" s="1898">
        <f t="shared" si="8"/>
        <v>1.096138613861386</v>
      </c>
    </row>
    <row r="303" spans="1:19">
      <c r="A303" s="1894">
        <f t="shared" si="9"/>
        <v>296</v>
      </c>
      <c r="B303" s="1895" t="s">
        <v>3194</v>
      </c>
      <c r="C303" s="1894" t="s">
        <v>524</v>
      </c>
      <c r="D303" s="1895" t="s">
        <v>737</v>
      </c>
      <c r="E303" s="1894" t="s">
        <v>259</v>
      </c>
      <c r="F303" s="1896">
        <v>202</v>
      </c>
      <c r="G303" s="1897">
        <v>0</v>
      </c>
      <c r="H303" s="1897">
        <v>1.9801980198019802E-3</v>
      </c>
      <c r="I303" s="1897">
        <v>0.1104950495049505</v>
      </c>
      <c r="J303" s="1897">
        <v>0.15722772277227723</v>
      </c>
      <c r="K303" s="1897">
        <v>6.3762376237623763E-2</v>
      </c>
      <c r="L303" s="1897">
        <v>0.1306930693069307</v>
      </c>
      <c r="M303" s="1897">
        <v>3.8415841584158415E-2</v>
      </c>
      <c r="N303" s="1897">
        <v>0.16712871287128711</v>
      </c>
      <c r="O303" s="1897">
        <v>2.3762376237623763E-2</v>
      </c>
      <c r="P303" s="1897">
        <v>2.6534653465346537E-2</v>
      </c>
      <c r="Q303" s="1897">
        <v>0.11881188118811881</v>
      </c>
      <c r="R303" s="1897">
        <v>0.11683168316831682</v>
      </c>
      <c r="S303" s="1898">
        <f t="shared" si="8"/>
        <v>7.9636963696369634E-2</v>
      </c>
    </row>
    <row r="304" spans="1:19">
      <c r="A304" s="1894">
        <f t="shared" si="9"/>
        <v>297</v>
      </c>
      <c r="B304" s="1895" t="s">
        <v>3195</v>
      </c>
      <c r="C304" s="1894" t="s">
        <v>524</v>
      </c>
      <c r="D304" s="1895" t="s">
        <v>541</v>
      </c>
      <c r="E304" s="1894" t="s">
        <v>259</v>
      </c>
      <c r="F304" s="1896">
        <v>202</v>
      </c>
      <c r="G304" s="1897">
        <v>0</v>
      </c>
      <c r="H304" s="1897">
        <v>0</v>
      </c>
      <c r="I304" s="1897">
        <v>0</v>
      </c>
      <c r="J304" s="1897">
        <v>0</v>
      </c>
      <c r="K304" s="1897">
        <v>0</v>
      </c>
      <c r="L304" s="1897">
        <v>0</v>
      </c>
      <c r="M304" s="1897">
        <v>0</v>
      </c>
      <c r="N304" s="1897">
        <v>0</v>
      </c>
      <c r="O304" s="1897">
        <v>0</v>
      </c>
      <c r="P304" s="1897">
        <v>0</v>
      </c>
      <c r="Q304" s="1897">
        <v>3.3267326732673269E-2</v>
      </c>
      <c r="R304" s="1897">
        <v>0.89287128712871278</v>
      </c>
      <c r="S304" s="1898">
        <f t="shared" si="8"/>
        <v>7.7178217821782177E-2</v>
      </c>
    </row>
    <row r="305" spans="1:19">
      <c r="A305" s="1894">
        <f t="shared" si="9"/>
        <v>298</v>
      </c>
      <c r="B305" s="1895" t="s">
        <v>3196</v>
      </c>
      <c r="C305" s="1894" t="s">
        <v>524</v>
      </c>
      <c r="D305" s="1895" t="s">
        <v>737</v>
      </c>
      <c r="E305" s="1894" t="s">
        <v>259</v>
      </c>
      <c r="F305" s="1896">
        <v>204</v>
      </c>
      <c r="G305" s="1897">
        <v>0.36617647058823533</v>
      </c>
      <c r="H305" s="1897">
        <v>0.26470588235294118</v>
      </c>
      <c r="I305" s="1897">
        <v>0.26470588235294118</v>
      </c>
      <c r="J305" s="1897">
        <v>0.25294117647058822</v>
      </c>
      <c r="K305" s="1897">
        <v>0.27058823529411763</v>
      </c>
      <c r="L305" s="1897">
        <v>0.21352941176470588</v>
      </c>
      <c r="M305" s="1897">
        <v>0.2191176470588235</v>
      </c>
      <c r="N305" s="1897">
        <v>0.2411764705882353</v>
      </c>
      <c r="O305" s="1897">
        <v>0.12647058823529411</v>
      </c>
      <c r="P305" s="1897">
        <v>0.16823529411764707</v>
      </c>
      <c r="Q305" s="1897">
        <v>0.18176470588235294</v>
      </c>
      <c r="R305" s="1897">
        <v>0.17058823529411768</v>
      </c>
      <c r="S305" s="1898">
        <f t="shared" si="8"/>
        <v>0.2283333333333333</v>
      </c>
    </row>
    <row r="306" spans="1:19">
      <c r="A306" s="1894">
        <f t="shared" si="9"/>
        <v>299</v>
      </c>
      <c r="B306" s="1895" t="s">
        <v>3197</v>
      </c>
      <c r="C306" s="1894" t="s">
        <v>524</v>
      </c>
      <c r="D306" s="1895" t="s">
        <v>2966</v>
      </c>
      <c r="E306" s="1894" t="s">
        <v>259</v>
      </c>
      <c r="F306" s="1896">
        <v>205</v>
      </c>
      <c r="G306" s="1897">
        <v>1.2439024390243905</v>
      </c>
      <c r="H306" s="1897">
        <v>1.2439024390243905</v>
      </c>
      <c r="I306" s="1897">
        <v>1.3053658536585366</v>
      </c>
      <c r="J306" s="1897">
        <v>1.2</v>
      </c>
      <c r="K306" s="1897">
        <v>1.1063414634146342</v>
      </c>
      <c r="L306" s="1897">
        <v>1.1326829268292682</v>
      </c>
      <c r="M306" s="1897">
        <v>1.0624390243902437</v>
      </c>
      <c r="N306" s="1897">
        <v>0.90146341463414636</v>
      </c>
      <c r="O306" s="1897">
        <v>0.89560975609756099</v>
      </c>
      <c r="P306" s="1897">
        <v>0.97756097560975608</v>
      </c>
      <c r="Q306" s="1897">
        <v>1.0390243902439023</v>
      </c>
      <c r="R306" s="1897">
        <v>1.1326829268292682</v>
      </c>
      <c r="S306" s="1898">
        <f t="shared" si="8"/>
        <v>1.1034146341463416</v>
      </c>
    </row>
    <row r="307" spans="1:19">
      <c r="A307" s="1894">
        <f t="shared" si="9"/>
        <v>300</v>
      </c>
      <c r="B307" s="1895" t="s">
        <v>3198</v>
      </c>
      <c r="C307" s="1894" t="s">
        <v>524</v>
      </c>
      <c r="D307" s="1895" t="s">
        <v>541</v>
      </c>
      <c r="E307" s="1894" t="s">
        <v>259</v>
      </c>
      <c r="F307" s="1896">
        <v>205</v>
      </c>
      <c r="G307" s="1897">
        <v>0</v>
      </c>
      <c r="H307" s="1897">
        <v>1.1707317073170732E-2</v>
      </c>
      <c r="I307" s="1897">
        <v>1.4048780487804878E-2</v>
      </c>
      <c r="J307" s="1897">
        <v>1.7951219512195121E-2</v>
      </c>
      <c r="K307" s="1897">
        <v>0.26614634146341459</v>
      </c>
      <c r="L307" s="1897">
        <v>1.873170731707317E-2</v>
      </c>
      <c r="M307" s="1897">
        <v>8.6634146341463422E-2</v>
      </c>
      <c r="N307" s="1897">
        <v>0.46126829268292685</v>
      </c>
      <c r="O307" s="1897">
        <v>0.45034146341463416</v>
      </c>
      <c r="P307" s="1897">
        <v>0.42614634146341462</v>
      </c>
      <c r="Q307" s="1897">
        <v>0.38712195121951221</v>
      </c>
      <c r="R307" s="1897">
        <v>0.42536585365853657</v>
      </c>
      <c r="S307" s="1898">
        <f t="shared" si="8"/>
        <v>0.21378861788617887</v>
      </c>
    </row>
    <row r="308" spans="1:19">
      <c r="A308" s="1894">
        <f t="shared" si="9"/>
        <v>301</v>
      </c>
      <c r="B308" s="1895" t="s">
        <v>3199</v>
      </c>
      <c r="C308" s="1894" t="s">
        <v>524</v>
      </c>
      <c r="D308" s="1895" t="s">
        <v>541</v>
      </c>
      <c r="E308" s="1894" t="s">
        <v>259</v>
      </c>
      <c r="F308" s="1896">
        <v>206</v>
      </c>
      <c r="G308" s="1897">
        <v>0.37310679611650482</v>
      </c>
      <c r="H308" s="1897">
        <v>0.50883495145631064</v>
      </c>
      <c r="I308" s="1897">
        <v>0.82689320388349519</v>
      </c>
      <c r="J308" s="1897">
        <v>0.85834951456310693</v>
      </c>
      <c r="K308" s="1897">
        <v>0.73834951456310682</v>
      </c>
      <c r="L308" s="1897">
        <v>0.39844660194174758</v>
      </c>
      <c r="M308" s="1897">
        <v>0.38213592233009713</v>
      </c>
      <c r="N308" s="1897">
        <v>0.37281553398058254</v>
      </c>
      <c r="O308" s="1897">
        <v>0.33961165048543684</v>
      </c>
      <c r="P308" s="1897">
        <v>0.30058252427184468</v>
      </c>
      <c r="Q308" s="1897">
        <v>0.31631067961165049</v>
      </c>
      <c r="R308" s="1897">
        <v>0.3704854368932039</v>
      </c>
      <c r="S308" s="1898">
        <f t="shared" si="8"/>
        <v>0.48216019417475725</v>
      </c>
    </row>
    <row r="309" spans="1:19">
      <c r="A309" s="1894">
        <f t="shared" si="9"/>
        <v>302</v>
      </c>
      <c r="B309" s="1895" t="s">
        <v>3200</v>
      </c>
      <c r="C309" s="1894" t="s">
        <v>524</v>
      </c>
      <c r="D309" s="1895" t="s">
        <v>636</v>
      </c>
      <c r="E309" s="1894" t="s">
        <v>259</v>
      </c>
      <c r="F309" s="1896">
        <v>206</v>
      </c>
      <c r="G309" s="1897">
        <v>1.1382524271844661</v>
      </c>
      <c r="H309" s="1897">
        <v>1.1906796116504854</v>
      </c>
      <c r="I309" s="1897">
        <v>1.0869902912621359</v>
      </c>
      <c r="J309" s="1897">
        <v>1.0357281553398059</v>
      </c>
      <c r="K309" s="1897">
        <v>0.98679611650485433</v>
      </c>
      <c r="L309" s="1897">
        <v>1.0625242718446601</v>
      </c>
      <c r="M309" s="1897">
        <v>0.96815533980582524</v>
      </c>
      <c r="N309" s="1897">
        <v>0.91922330097087368</v>
      </c>
      <c r="O309" s="1897">
        <v>0.83533980582524281</v>
      </c>
      <c r="P309" s="1897">
        <v>0.78640776699029125</v>
      </c>
      <c r="Q309" s="1897">
        <v>1.0578640776699031</v>
      </c>
      <c r="R309" s="1897">
        <v>0.86097087378640769</v>
      </c>
      <c r="S309" s="1898">
        <f t="shared" si="8"/>
        <v>0.99407766990291258</v>
      </c>
    </row>
    <row r="310" spans="1:19">
      <c r="A310" s="1894">
        <f t="shared" si="9"/>
        <v>303</v>
      </c>
      <c r="B310" s="1895" t="s">
        <v>3201</v>
      </c>
      <c r="C310" s="1894" t="s">
        <v>524</v>
      </c>
      <c r="D310" s="1895" t="s">
        <v>730</v>
      </c>
      <c r="E310" s="1894" t="s">
        <v>259</v>
      </c>
      <c r="F310" s="1896">
        <v>207</v>
      </c>
      <c r="G310" s="1897">
        <v>0.78685990338164247</v>
      </c>
      <c r="H310" s="1897">
        <v>0.86570048309178749</v>
      </c>
      <c r="I310" s="1897">
        <v>0.7714009661835749</v>
      </c>
      <c r="J310" s="1897">
        <v>0.86570048309178749</v>
      </c>
      <c r="K310" s="1897">
        <v>0.9371980676328503</v>
      </c>
      <c r="L310" s="1897">
        <v>0.8332367149758455</v>
      </c>
      <c r="M310" s="1897">
        <v>0.82782608695652182</v>
      </c>
      <c r="N310" s="1897">
        <v>0.8753623188405798</v>
      </c>
      <c r="O310" s="1897">
        <v>0.82705314009661834</v>
      </c>
      <c r="P310" s="1897">
        <v>0.90434782608695663</v>
      </c>
      <c r="Q310" s="1897">
        <v>0.81391304347826099</v>
      </c>
      <c r="R310" s="1897">
        <v>0.84096618357487918</v>
      </c>
      <c r="S310" s="1898">
        <f t="shared" si="8"/>
        <v>0.84579710144927533</v>
      </c>
    </row>
    <row r="311" spans="1:19">
      <c r="A311" s="1894">
        <f t="shared" si="9"/>
        <v>304</v>
      </c>
      <c r="B311" s="1895" t="s">
        <v>3202</v>
      </c>
      <c r="C311" s="1894" t="s">
        <v>524</v>
      </c>
      <c r="D311" s="1895" t="s">
        <v>541</v>
      </c>
      <c r="E311" s="1894" t="s">
        <v>259</v>
      </c>
      <c r="F311" s="1896">
        <v>207</v>
      </c>
      <c r="G311" s="1897">
        <v>0.92057971014492757</v>
      </c>
      <c r="H311" s="1897">
        <v>1.1741062801932367</v>
      </c>
      <c r="I311" s="1897">
        <v>1.1509178743961352</v>
      </c>
      <c r="J311" s="1897">
        <v>1.083671497584541</v>
      </c>
      <c r="K311" s="1897">
        <v>1.0805797101449275</v>
      </c>
      <c r="L311" s="1897">
        <v>1.1880193236714978</v>
      </c>
      <c r="M311" s="1897">
        <v>0.57004830917874394</v>
      </c>
      <c r="N311" s="1897">
        <v>1.2146859903381644</v>
      </c>
      <c r="O311" s="1897">
        <v>1.2452173913043478</v>
      </c>
      <c r="P311" s="1897">
        <v>1.266086956521739</v>
      </c>
      <c r="Q311" s="1897">
        <v>1.2417391304347825</v>
      </c>
      <c r="R311" s="1897">
        <v>1.1663768115942028</v>
      </c>
      <c r="S311" s="1898">
        <f t="shared" si="8"/>
        <v>1.1085024154589371</v>
      </c>
    </row>
    <row r="312" spans="1:19">
      <c r="A312" s="1894">
        <f t="shared" si="9"/>
        <v>305</v>
      </c>
      <c r="B312" s="1895" t="s">
        <v>3203</v>
      </c>
      <c r="C312" s="1894" t="s">
        <v>524</v>
      </c>
      <c r="D312" s="1895" t="s">
        <v>541</v>
      </c>
      <c r="E312" s="1894" t="s">
        <v>259</v>
      </c>
      <c r="F312" s="1896">
        <v>210</v>
      </c>
      <c r="G312" s="1897">
        <v>0.30171428571428577</v>
      </c>
      <c r="H312" s="1897">
        <v>1.283809523809524</v>
      </c>
      <c r="I312" s="1897">
        <v>1.2342857142857142</v>
      </c>
      <c r="J312" s="1897">
        <v>1.1893333333333334</v>
      </c>
      <c r="K312" s="1897">
        <v>4.0380952380952385E-2</v>
      </c>
      <c r="L312" s="1897">
        <v>4.1904761904761903E-2</v>
      </c>
      <c r="M312" s="1897">
        <v>5.7142857142857141E-2</v>
      </c>
      <c r="N312" s="1897">
        <v>0.17371428571428574</v>
      </c>
      <c r="O312" s="1897">
        <v>0.29333333333333333</v>
      </c>
      <c r="P312" s="1897">
        <v>1.6693333333333333</v>
      </c>
      <c r="Q312" s="1897">
        <v>2.220190476190476</v>
      </c>
      <c r="R312" s="1897">
        <v>2.4609523809523814</v>
      </c>
      <c r="S312" s="1898">
        <f t="shared" si="8"/>
        <v>0.9138412698412699</v>
      </c>
    </row>
    <row r="313" spans="1:19">
      <c r="A313" s="1894">
        <f t="shared" si="9"/>
        <v>306</v>
      </c>
      <c r="B313" s="1895" t="s">
        <v>3204</v>
      </c>
      <c r="C313" s="1894" t="s">
        <v>524</v>
      </c>
      <c r="D313" s="1895" t="s">
        <v>541</v>
      </c>
      <c r="E313" s="1894" t="s">
        <v>259</v>
      </c>
      <c r="F313" s="1896">
        <v>210</v>
      </c>
      <c r="G313" s="1897">
        <v>1.0582857142857143</v>
      </c>
      <c r="H313" s="1897">
        <v>1.0171428571428571</v>
      </c>
      <c r="I313" s="1897">
        <v>1.0171428571428571</v>
      </c>
      <c r="J313" s="1897">
        <v>0.99771428571428578</v>
      </c>
      <c r="K313" s="1897">
        <v>1.0091428571428571</v>
      </c>
      <c r="L313" s="1897">
        <v>1.0102857142857145</v>
      </c>
      <c r="M313" s="1897">
        <v>1.0571428571428572</v>
      </c>
      <c r="N313" s="1897">
        <v>1.0297142857142858</v>
      </c>
      <c r="O313" s="1897">
        <v>1.2240000000000002</v>
      </c>
      <c r="P313" s="1897">
        <v>1.1245714285714286</v>
      </c>
      <c r="Q313" s="1897">
        <v>1.1679999999999999</v>
      </c>
      <c r="R313" s="1897">
        <v>0.84571428571428564</v>
      </c>
      <c r="S313" s="1898">
        <f t="shared" si="8"/>
        <v>1.0465714285714285</v>
      </c>
    </row>
    <row r="314" spans="1:19">
      <c r="A314" s="1894">
        <f t="shared" si="9"/>
        <v>307</v>
      </c>
      <c r="B314" s="1895" t="s">
        <v>3205</v>
      </c>
      <c r="C314" s="1894" t="s">
        <v>524</v>
      </c>
      <c r="D314" s="1895" t="s">
        <v>541</v>
      </c>
      <c r="E314" s="1894" t="s">
        <v>259</v>
      </c>
      <c r="F314" s="1896">
        <v>210</v>
      </c>
      <c r="G314" s="1897">
        <v>0.83428571428571419</v>
      </c>
      <c r="H314" s="1897">
        <v>0.83714285714285708</v>
      </c>
      <c r="I314" s="1897">
        <v>0.93600000000000005</v>
      </c>
      <c r="J314" s="1897">
        <v>0.82514285714285718</v>
      </c>
      <c r="K314" s="1897">
        <v>0.86171428571428565</v>
      </c>
      <c r="L314" s="1897">
        <v>0.76228571428571423</v>
      </c>
      <c r="M314" s="1897">
        <v>6.9714285714285715E-2</v>
      </c>
      <c r="N314" s="1897">
        <v>0.67885714285714283</v>
      </c>
      <c r="O314" s="1897">
        <v>0.8571428571428571</v>
      </c>
      <c r="P314" s="1897">
        <v>0.90057142857142847</v>
      </c>
      <c r="Q314" s="1897">
        <v>0.91314285714285715</v>
      </c>
      <c r="R314" s="1897">
        <v>1.0057142857142856</v>
      </c>
      <c r="S314" s="1898">
        <f t="shared" si="8"/>
        <v>0.79014285714285704</v>
      </c>
    </row>
    <row r="315" spans="1:19">
      <c r="A315" s="1894">
        <f t="shared" si="9"/>
        <v>308</v>
      </c>
      <c r="B315" s="1895" t="s">
        <v>3175</v>
      </c>
      <c r="C315" s="1894" t="s">
        <v>524</v>
      </c>
      <c r="D315" s="1895" t="s">
        <v>636</v>
      </c>
      <c r="E315" s="1894" t="s">
        <v>259</v>
      </c>
      <c r="F315" s="1896">
        <v>211</v>
      </c>
      <c r="G315" s="1897">
        <v>0.48720379146919429</v>
      </c>
      <c r="H315" s="1897">
        <v>0.55355450236966819</v>
      </c>
      <c r="I315" s="1897">
        <v>0.58957345971563979</v>
      </c>
      <c r="J315" s="1897">
        <v>0.36018957345971564</v>
      </c>
      <c r="K315" s="1897">
        <v>0.34123222748815168</v>
      </c>
      <c r="L315" s="1897">
        <v>0.34502369668246446</v>
      </c>
      <c r="M315" s="1897">
        <v>0.21611374407582939</v>
      </c>
      <c r="N315" s="1897">
        <v>0.15734597156398106</v>
      </c>
      <c r="O315" s="1897">
        <v>0.12511848341232229</v>
      </c>
      <c r="P315" s="1897">
        <v>0.11526066350710901</v>
      </c>
      <c r="Q315" s="1897">
        <v>0.35412322274881514</v>
      </c>
      <c r="R315" s="1897">
        <v>0.26161137440758298</v>
      </c>
      <c r="S315" s="1898">
        <f t="shared" si="8"/>
        <v>0.3255292259083728</v>
      </c>
    </row>
    <row r="316" spans="1:19">
      <c r="A316" s="1894">
        <f t="shared" si="9"/>
        <v>309</v>
      </c>
      <c r="B316" s="1895" t="s">
        <v>3206</v>
      </c>
      <c r="C316" s="1894" t="s">
        <v>524</v>
      </c>
      <c r="D316" s="1895" t="s">
        <v>541</v>
      </c>
      <c r="E316" s="1894" t="s">
        <v>259</v>
      </c>
      <c r="F316" s="1896">
        <v>211</v>
      </c>
      <c r="G316" s="1897">
        <v>0.57857819905213281</v>
      </c>
      <c r="H316" s="1897">
        <v>1.0464454976303319</v>
      </c>
      <c r="I316" s="1897">
        <v>1.3800947867298579</v>
      </c>
      <c r="J316" s="1897">
        <v>1.3664454976303317</v>
      </c>
      <c r="K316" s="1897">
        <v>1.3308056872037912</v>
      </c>
      <c r="L316" s="1897">
        <v>1.2307109004739336</v>
      </c>
      <c r="M316" s="1897">
        <v>1.252701421800948</v>
      </c>
      <c r="N316" s="1897">
        <v>1.1450236966824645</v>
      </c>
      <c r="O316" s="1897">
        <v>0.79241706161137437</v>
      </c>
      <c r="P316" s="1897">
        <v>0.82654028436018956</v>
      </c>
      <c r="Q316" s="1897">
        <v>0.83715639810426534</v>
      </c>
      <c r="R316" s="1897">
        <v>0.92208530805687206</v>
      </c>
      <c r="S316" s="1898">
        <f t="shared" si="8"/>
        <v>1.059083728278041</v>
      </c>
    </row>
    <row r="317" spans="1:19">
      <c r="A317" s="1894">
        <f t="shared" si="9"/>
        <v>310</v>
      </c>
      <c r="B317" s="1895" t="s">
        <v>3207</v>
      </c>
      <c r="C317" s="1894" t="s">
        <v>524</v>
      </c>
      <c r="D317" s="1895" t="s">
        <v>541</v>
      </c>
      <c r="E317" s="1894" t="s">
        <v>259</v>
      </c>
      <c r="F317" s="1896">
        <v>211</v>
      </c>
      <c r="G317" s="1897">
        <v>0.77800947867298575</v>
      </c>
      <c r="H317" s="1897">
        <v>0.95260663507109</v>
      </c>
      <c r="I317" s="1897">
        <v>0.75582938388625587</v>
      </c>
      <c r="J317" s="1897">
        <v>0.72</v>
      </c>
      <c r="K317" s="1897">
        <v>0.54938388625592416</v>
      </c>
      <c r="L317" s="1897">
        <v>0.76492890995260665</v>
      </c>
      <c r="M317" s="1897">
        <v>0.97023696682464455</v>
      </c>
      <c r="N317" s="1897">
        <v>0.85819905213270153</v>
      </c>
      <c r="O317" s="1897">
        <v>0.90426540284360191</v>
      </c>
      <c r="P317" s="1897">
        <v>0.89232227488151661</v>
      </c>
      <c r="Q317" s="1897">
        <v>0.84682464454976303</v>
      </c>
      <c r="R317" s="1897">
        <v>0.75582938388625587</v>
      </c>
      <c r="S317" s="1898">
        <f t="shared" si="8"/>
        <v>0.81236966824644552</v>
      </c>
    </row>
    <row r="318" spans="1:19">
      <c r="A318" s="1894">
        <f t="shared" si="9"/>
        <v>311</v>
      </c>
      <c r="B318" s="1895" t="s">
        <v>3208</v>
      </c>
      <c r="C318" s="1894" t="s">
        <v>524</v>
      </c>
      <c r="D318" s="1895" t="s">
        <v>2966</v>
      </c>
      <c r="E318" s="1894" t="s">
        <v>259</v>
      </c>
      <c r="F318" s="1896">
        <v>212</v>
      </c>
      <c r="G318" s="1897">
        <v>0.1350943396226415</v>
      </c>
      <c r="H318" s="1897">
        <v>6.2641509433962267E-2</v>
      </c>
      <c r="I318" s="1897">
        <v>6.1132075471698112E-2</v>
      </c>
      <c r="J318" s="1897">
        <v>8.226415094339623E-2</v>
      </c>
      <c r="K318" s="1897">
        <v>0.10716981132075473</v>
      </c>
      <c r="L318" s="1897">
        <v>0.21207547169811322</v>
      </c>
      <c r="M318" s="1897">
        <v>0.11245283018867924</v>
      </c>
      <c r="N318" s="1897">
        <v>3.6226415094339624E-2</v>
      </c>
      <c r="O318" s="1897">
        <v>3.6981132075471698E-2</v>
      </c>
      <c r="P318" s="1897">
        <v>2.6415094339622643E-2</v>
      </c>
      <c r="Q318" s="1897">
        <v>7.9245283018867935E-2</v>
      </c>
      <c r="R318" s="1897">
        <v>2.0377358490566037E-2</v>
      </c>
      <c r="S318" s="1898">
        <f t="shared" si="8"/>
        <v>8.1006289308176105E-2</v>
      </c>
    </row>
    <row r="319" spans="1:19">
      <c r="A319" s="1894">
        <f t="shared" si="9"/>
        <v>312</v>
      </c>
      <c r="B319" s="1895" t="s">
        <v>2932</v>
      </c>
      <c r="C319" s="1894" t="s">
        <v>524</v>
      </c>
      <c r="D319" s="1895" t="s">
        <v>636</v>
      </c>
      <c r="E319" s="1894" t="s">
        <v>259</v>
      </c>
      <c r="F319" s="1896">
        <v>213</v>
      </c>
      <c r="G319" s="1897">
        <v>0.26291079812206575</v>
      </c>
      <c r="H319" s="1897">
        <v>0.26760563380281688</v>
      </c>
      <c r="I319" s="1897">
        <v>0.25821596244131456</v>
      </c>
      <c r="J319" s="1897">
        <v>0.18779342723004694</v>
      </c>
      <c r="K319" s="1897">
        <v>0.215962441314554</v>
      </c>
      <c r="L319" s="1897">
        <v>0.20657276995305165</v>
      </c>
      <c r="M319" s="1897">
        <v>0.17370892018779344</v>
      </c>
      <c r="N319" s="1897">
        <v>0.17370892018779344</v>
      </c>
      <c r="O319" s="1897">
        <v>0.15023474178403756</v>
      </c>
      <c r="P319" s="1897">
        <v>0.29758873239436617</v>
      </c>
      <c r="Q319" s="1897">
        <v>0.32415915492957748</v>
      </c>
      <c r="R319" s="1897">
        <v>0.36312910798122067</v>
      </c>
      <c r="S319" s="1898">
        <f t="shared" si="8"/>
        <v>0.24013255086071991</v>
      </c>
    </row>
    <row r="320" spans="1:19">
      <c r="A320" s="1894">
        <f t="shared" si="9"/>
        <v>313</v>
      </c>
      <c r="B320" s="1895" t="s">
        <v>3209</v>
      </c>
      <c r="C320" s="1894" t="s">
        <v>524</v>
      </c>
      <c r="D320" s="1895" t="s">
        <v>2966</v>
      </c>
      <c r="E320" s="1894" t="s">
        <v>259</v>
      </c>
      <c r="F320" s="1896">
        <v>217</v>
      </c>
      <c r="G320" s="1897">
        <v>1.1325345622119816</v>
      </c>
      <c r="H320" s="1897">
        <v>1.3529953917050692</v>
      </c>
      <c r="I320" s="1897">
        <v>1.0764976958525345</v>
      </c>
      <c r="J320" s="1897">
        <v>0.48737327188940094</v>
      </c>
      <c r="K320" s="1897">
        <v>0.71078341013824886</v>
      </c>
      <c r="L320" s="1897">
        <v>0.76534562211981572</v>
      </c>
      <c r="M320" s="1897">
        <v>0.20276497695852536</v>
      </c>
      <c r="N320" s="1897">
        <v>5.67741935483871E-2</v>
      </c>
      <c r="O320" s="1897">
        <v>7.3732718894009217E-4</v>
      </c>
      <c r="P320" s="1897">
        <v>0.50949308755760359</v>
      </c>
      <c r="Q320" s="1897">
        <v>0.73290322580645162</v>
      </c>
      <c r="R320" s="1897">
        <v>0.83539170506912441</v>
      </c>
      <c r="S320" s="1898">
        <f t="shared" si="8"/>
        <v>0.65529953917050687</v>
      </c>
    </row>
    <row r="321" spans="1:19">
      <c r="A321" s="1894">
        <f t="shared" si="9"/>
        <v>314</v>
      </c>
      <c r="B321" s="1895" t="s">
        <v>3210</v>
      </c>
      <c r="C321" s="1894" t="s">
        <v>524</v>
      </c>
      <c r="D321" s="1895" t="s">
        <v>737</v>
      </c>
      <c r="E321" s="1894" t="s">
        <v>259</v>
      </c>
      <c r="F321" s="1896">
        <v>217</v>
      </c>
      <c r="G321" s="1897">
        <v>0.29493087557603687</v>
      </c>
      <c r="H321" s="1897">
        <v>0.27649769585253459</v>
      </c>
      <c r="I321" s="1897">
        <v>0.31926267281105991</v>
      </c>
      <c r="J321" s="1897">
        <v>0.31410138248847924</v>
      </c>
      <c r="K321" s="1897">
        <v>0.27797235023041472</v>
      </c>
      <c r="L321" s="1897">
        <v>0.24626728110599078</v>
      </c>
      <c r="M321" s="1897">
        <v>0.25216589861751154</v>
      </c>
      <c r="N321" s="1897">
        <v>0.23078341013824888</v>
      </c>
      <c r="O321" s="1897">
        <v>0.24331797235023042</v>
      </c>
      <c r="P321" s="1897">
        <v>0.16663594470046081</v>
      </c>
      <c r="Q321" s="1897">
        <v>0.16221198156682026</v>
      </c>
      <c r="R321" s="1897">
        <v>0.20423963133640552</v>
      </c>
      <c r="S321" s="1898">
        <f t="shared" si="8"/>
        <v>0.24903225806451615</v>
      </c>
    </row>
    <row r="322" spans="1:19">
      <c r="A322" s="1894">
        <f t="shared" si="9"/>
        <v>315</v>
      </c>
      <c r="B322" s="1895" t="s">
        <v>3211</v>
      </c>
      <c r="C322" s="1894" t="s">
        <v>524</v>
      </c>
      <c r="D322" s="1895" t="s">
        <v>541</v>
      </c>
      <c r="E322" s="1894" t="s">
        <v>259</v>
      </c>
      <c r="F322" s="1896">
        <v>218</v>
      </c>
      <c r="G322" s="1897">
        <v>0.57495412844036697</v>
      </c>
      <c r="H322" s="1897">
        <v>0.56422018348623848</v>
      </c>
      <c r="I322" s="1897">
        <v>0.57577981651376142</v>
      </c>
      <c r="J322" s="1897">
        <v>0.52788990825688076</v>
      </c>
      <c r="K322" s="1897">
        <v>0.56972477064220173</v>
      </c>
      <c r="L322" s="1897">
        <v>0.4921100917431192</v>
      </c>
      <c r="M322" s="1897">
        <v>0.56201834862385325</v>
      </c>
      <c r="N322" s="1897">
        <v>0.56091743119266058</v>
      </c>
      <c r="O322" s="1897">
        <v>0.63137614678899079</v>
      </c>
      <c r="P322" s="1897">
        <v>0.64513761467889907</v>
      </c>
      <c r="Q322" s="1897">
        <v>0.66330275229357794</v>
      </c>
      <c r="R322" s="1897">
        <v>0.6500917431192661</v>
      </c>
      <c r="S322" s="1898">
        <f t="shared" si="8"/>
        <v>0.58479357798165144</v>
      </c>
    </row>
    <row r="323" spans="1:19">
      <c r="A323" s="1894">
        <f t="shared" si="9"/>
        <v>316</v>
      </c>
      <c r="B323" s="1895" t="s">
        <v>3212</v>
      </c>
      <c r="C323" s="1894" t="s">
        <v>524</v>
      </c>
      <c r="D323" s="1895" t="s">
        <v>2966</v>
      </c>
      <c r="E323" s="1894" t="s">
        <v>259</v>
      </c>
      <c r="F323" s="1896">
        <v>220</v>
      </c>
      <c r="G323" s="1897">
        <v>0.24218181818181822</v>
      </c>
      <c r="H323" s="1897">
        <v>0.34181818181818185</v>
      </c>
      <c r="I323" s="1897">
        <v>0.34109090909090906</v>
      </c>
      <c r="J323" s="1897">
        <v>0.3083636363636364</v>
      </c>
      <c r="K323" s="1897">
        <v>0.27490909090909094</v>
      </c>
      <c r="L323" s="1897">
        <v>0.30909090909090908</v>
      </c>
      <c r="M323" s="1897">
        <v>0.54545454545454541</v>
      </c>
      <c r="N323" s="1897">
        <v>8.5090909090909092E-2</v>
      </c>
      <c r="O323" s="1897">
        <v>4.9454545454545452E-2</v>
      </c>
      <c r="P323" s="1897">
        <v>0.12000000000000001</v>
      </c>
      <c r="Q323" s="1897">
        <v>0.3076363636363636</v>
      </c>
      <c r="R323" s="1897">
        <v>0.39563636363636362</v>
      </c>
      <c r="S323" s="1898">
        <f t="shared" si="8"/>
        <v>0.27672727272727277</v>
      </c>
    </row>
    <row r="324" spans="1:19">
      <c r="A324" s="1894">
        <f t="shared" si="9"/>
        <v>317</v>
      </c>
      <c r="B324" s="1895" t="s">
        <v>3213</v>
      </c>
      <c r="C324" s="1894" t="s">
        <v>524</v>
      </c>
      <c r="D324" s="1895" t="s">
        <v>541</v>
      </c>
      <c r="E324" s="1894" t="s">
        <v>259</v>
      </c>
      <c r="F324" s="1896">
        <v>220</v>
      </c>
      <c r="G324" s="1897">
        <v>0.72</v>
      </c>
      <c r="H324" s="1897">
        <v>0.72727272727272729</v>
      </c>
      <c r="I324" s="1897">
        <v>0.88</v>
      </c>
      <c r="J324" s="1897">
        <v>1.008</v>
      </c>
      <c r="K324" s="1897">
        <v>1.0909090909090908E-2</v>
      </c>
      <c r="L324" s="1897">
        <v>0.50618181818181807</v>
      </c>
      <c r="M324" s="1897">
        <v>0.59927272727272729</v>
      </c>
      <c r="N324" s="1897">
        <v>0.37890909090909092</v>
      </c>
      <c r="O324" s="1897">
        <v>0.54109090909090907</v>
      </c>
      <c r="P324" s="1897">
        <v>0.6065454545454545</v>
      </c>
      <c r="Q324" s="1897">
        <v>0.7010909090909091</v>
      </c>
      <c r="R324" s="1897">
        <v>0.73963636363636365</v>
      </c>
      <c r="S324" s="1898">
        <f t="shared" si="8"/>
        <v>0.61824242424242415</v>
      </c>
    </row>
    <row r="325" spans="1:19">
      <c r="A325" s="1894">
        <f t="shared" si="9"/>
        <v>318</v>
      </c>
      <c r="B325" s="1895" t="s">
        <v>3214</v>
      </c>
      <c r="C325" s="1894" t="s">
        <v>524</v>
      </c>
      <c r="D325" s="1895" t="s">
        <v>541</v>
      </c>
      <c r="E325" s="1894" t="s">
        <v>259</v>
      </c>
      <c r="F325" s="1896">
        <v>220</v>
      </c>
      <c r="G325" s="1897">
        <v>0.90763636363636369</v>
      </c>
      <c r="H325" s="1897">
        <v>0.66763636363636358</v>
      </c>
      <c r="I325" s="1897">
        <v>0.6494545454545454</v>
      </c>
      <c r="J325" s="1897">
        <v>0.69527272727272726</v>
      </c>
      <c r="K325" s="1897">
        <v>0.59927272727272729</v>
      </c>
      <c r="L325" s="1897">
        <v>0.59418181818181814</v>
      </c>
      <c r="M325" s="1897">
        <v>0.63781818181818184</v>
      </c>
      <c r="N325" s="1897">
        <v>0.74690909090909086</v>
      </c>
      <c r="O325" s="1897">
        <v>0.76290909090909087</v>
      </c>
      <c r="P325" s="1897">
        <v>0.4269090909090909</v>
      </c>
      <c r="Q325" s="1897">
        <v>0.7687272727272727</v>
      </c>
      <c r="R325" s="1897">
        <v>0.70545454545454545</v>
      </c>
      <c r="S325" s="1898">
        <f t="shared" si="8"/>
        <v>0.68018181818181811</v>
      </c>
    </row>
    <row r="326" spans="1:19">
      <c r="A326" s="1894">
        <f t="shared" si="9"/>
        <v>319</v>
      </c>
      <c r="B326" s="1895" t="s">
        <v>3215</v>
      </c>
      <c r="C326" s="1894" t="s">
        <v>524</v>
      </c>
      <c r="D326" s="1895" t="s">
        <v>641</v>
      </c>
      <c r="E326" s="1894" t="s">
        <v>259</v>
      </c>
      <c r="F326" s="1896">
        <v>222</v>
      </c>
      <c r="G326" s="1897">
        <v>0.69117117117117111</v>
      </c>
      <c r="H326" s="1897">
        <v>0.64144144144144144</v>
      </c>
      <c r="I326" s="1897">
        <v>0.73945945945945946</v>
      </c>
      <c r="J326" s="1897">
        <v>0.71567567567567569</v>
      </c>
      <c r="K326" s="1897">
        <v>0.75891891891891905</v>
      </c>
      <c r="L326" s="1897">
        <v>0.88288288288288286</v>
      </c>
      <c r="M326" s="1897">
        <v>0.8749549549549549</v>
      </c>
      <c r="N326" s="1897">
        <v>0.80432432432432432</v>
      </c>
      <c r="O326" s="1897">
        <v>0.93333333333333346</v>
      </c>
      <c r="P326" s="1897">
        <v>0.77333333333333332</v>
      </c>
      <c r="Q326" s="1897">
        <v>0.91675675675675683</v>
      </c>
      <c r="R326" s="1897">
        <v>0.84684684684684686</v>
      </c>
      <c r="S326" s="1898">
        <f t="shared" si="8"/>
        <v>0.79825825825825814</v>
      </c>
    </row>
    <row r="327" spans="1:19">
      <c r="A327" s="1894">
        <f t="shared" si="9"/>
        <v>320</v>
      </c>
      <c r="B327" s="1895" t="s">
        <v>3216</v>
      </c>
      <c r="C327" s="1894" t="s">
        <v>524</v>
      </c>
      <c r="D327" s="1895" t="s">
        <v>2966</v>
      </c>
      <c r="E327" s="1894" t="s">
        <v>259</v>
      </c>
      <c r="F327" s="1896">
        <v>222</v>
      </c>
      <c r="G327" s="1897">
        <v>0.69189189189189204</v>
      </c>
      <c r="H327" s="1897">
        <v>1.0491891891891891</v>
      </c>
      <c r="I327" s="1897">
        <v>0.96756756756756745</v>
      </c>
      <c r="J327" s="1897">
        <v>0.2810810810810811</v>
      </c>
      <c r="K327" s="1897">
        <v>0.55729729729729727</v>
      </c>
      <c r="L327" s="1897">
        <v>0.72054054054054062</v>
      </c>
      <c r="M327" s="1897">
        <v>0.54378378378378378</v>
      </c>
      <c r="N327" s="1897">
        <v>0.23621621621621625</v>
      </c>
      <c r="O327" s="1897">
        <v>0.26702702702702702</v>
      </c>
      <c r="P327" s="1897">
        <v>0.21945945945945947</v>
      </c>
      <c r="Q327" s="1897">
        <v>0.49675675675675673</v>
      </c>
      <c r="R327" s="1897">
        <v>0.50054054054054054</v>
      </c>
      <c r="S327" s="1898">
        <f t="shared" si="8"/>
        <v>0.54427927927927933</v>
      </c>
    </row>
    <row r="328" spans="1:19">
      <c r="A328" s="1894">
        <f t="shared" si="9"/>
        <v>321</v>
      </c>
      <c r="B328" s="1895" t="s">
        <v>3217</v>
      </c>
      <c r="C328" s="1894" t="s">
        <v>2930</v>
      </c>
      <c r="D328" s="1895" t="s">
        <v>541</v>
      </c>
      <c r="E328" s="1894" t="s">
        <v>259</v>
      </c>
      <c r="F328" s="1896">
        <v>222</v>
      </c>
      <c r="G328" s="1897">
        <v>0.42882882882882878</v>
      </c>
      <c r="H328" s="1897">
        <v>0.64216216216216215</v>
      </c>
      <c r="I328" s="1897">
        <v>0.69477477477477478</v>
      </c>
      <c r="J328" s="1897">
        <v>0.68828828828828836</v>
      </c>
      <c r="K328" s="1897">
        <v>0.67819819819819815</v>
      </c>
      <c r="L328" s="1897">
        <v>0.61189189189189186</v>
      </c>
      <c r="M328" s="1897">
        <v>0.59387387387387391</v>
      </c>
      <c r="N328" s="1897">
        <v>0.54558558558558556</v>
      </c>
      <c r="O328" s="1897">
        <v>0.16432432432432434</v>
      </c>
      <c r="P328" s="1897">
        <v>0</v>
      </c>
      <c r="Q328" s="1897">
        <v>0</v>
      </c>
      <c r="R328" s="1897">
        <v>0</v>
      </c>
      <c r="S328" s="1898">
        <f t="shared" ref="S328:S391" si="10">+SUM(G328:R328)/12</f>
        <v>0.42066066066066066</v>
      </c>
    </row>
    <row r="329" spans="1:19">
      <c r="A329" s="1894">
        <f t="shared" si="9"/>
        <v>322</v>
      </c>
      <c r="B329" s="1895" t="s">
        <v>3218</v>
      </c>
      <c r="C329" s="1894" t="s">
        <v>524</v>
      </c>
      <c r="D329" s="1895" t="s">
        <v>2966</v>
      </c>
      <c r="E329" s="1894" t="s">
        <v>259</v>
      </c>
      <c r="F329" s="1896">
        <v>222</v>
      </c>
      <c r="G329" s="1897">
        <v>0.68396396396396397</v>
      </c>
      <c r="H329" s="1897">
        <v>0.60324324324324319</v>
      </c>
      <c r="I329" s="1897">
        <v>0.47135135135135137</v>
      </c>
      <c r="J329" s="1897">
        <v>0.71279279279279284</v>
      </c>
      <c r="K329" s="1897">
        <v>0.78126126126126128</v>
      </c>
      <c r="L329" s="1897">
        <v>0.83387387387387391</v>
      </c>
      <c r="M329" s="1897">
        <v>0.38774774774774773</v>
      </c>
      <c r="N329" s="1897">
        <v>0.25369369369369371</v>
      </c>
      <c r="O329" s="1897">
        <v>0.11675675675675674</v>
      </c>
      <c r="P329" s="1897">
        <v>0.13261261261261259</v>
      </c>
      <c r="Q329" s="1897">
        <v>0.43315315315315311</v>
      </c>
      <c r="R329" s="1897">
        <v>0.45621621621621616</v>
      </c>
      <c r="S329" s="1898">
        <f t="shared" si="10"/>
        <v>0.48888888888888876</v>
      </c>
    </row>
    <row r="330" spans="1:19">
      <c r="A330" s="1894">
        <f t="shared" ref="A330:A393" si="11">+A329+1</f>
        <v>323</v>
      </c>
      <c r="B330" s="1895" t="s">
        <v>3219</v>
      </c>
      <c r="C330" s="1894" t="s">
        <v>524</v>
      </c>
      <c r="D330" s="1895" t="s">
        <v>541</v>
      </c>
      <c r="E330" s="1894" t="s">
        <v>259</v>
      </c>
      <c r="F330" s="1896">
        <v>222</v>
      </c>
      <c r="G330" s="1897">
        <v>0.92216216216216218</v>
      </c>
      <c r="H330" s="1897">
        <v>0.94864864864864862</v>
      </c>
      <c r="I330" s="1897">
        <v>0.94324324324324316</v>
      </c>
      <c r="J330" s="1897">
        <v>0.96648648648648638</v>
      </c>
      <c r="K330" s="1897">
        <v>0.97999999999999987</v>
      </c>
      <c r="L330" s="1897">
        <v>1.0032432432432432</v>
      </c>
      <c r="M330" s="1897">
        <v>1.0432432432432432</v>
      </c>
      <c r="N330" s="1897">
        <v>1.1383783783783783</v>
      </c>
      <c r="O330" s="1897">
        <v>1.1854054054054053</v>
      </c>
      <c r="P330" s="1897">
        <v>1.1600000000000001</v>
      </c>
      <c r="Q330" s="1897">
        <v>1.1075675675675676</v>
      </c>
      <c r="R330" s="1897">
        <v>1.0675675675675675</v>
      </c>
      <c r="S330" s="1898">
        <f t="shared" si="10"/>
        <v>1.0388288288288285</v>
      </c>
    </row>
    <row r="331" spans="1:19">
      <c r="A331" s="1894">
        <f t="shared" si="11"/>
        <v>324</v>
      </c>
      <c r="B331" s="1895" t="s">
        <v>3220</v>
      </c>
      <c r="C331" s="1894" t="s">
        <v>524</v>
      </c>
      <c r="D331" s="1895" t="s">
        <v>629</v>
      </c>
      <c r="E331" s="1894" t="s">
        <v>259</v>
      </c>
      <c r="F331" s="1896">
        <v>222</v>
      </c>
      <c r="G331" s="1897">
        <v>0.18378378378378379</v>
      </c>
      <c r="H331" s="1897">
        <v>0.18162162162162163</v>
      </c>
      <c r="I331" s="1897">
        <v>0.18</v>
      </c>
      <c r="J331" s="1897">
        <v>0.26864864864864862</v>
      </c>
      <c r="K331" s="1897">
        <v>0.14702702702702702</v>
      </c>
      <c r="L331" s="1897">
        <v>0.16216216216216217</v>
      </c>
      <c r="M331" s="1897">
        <v>0.14378378378378379</v>
      </c>
      <c r="N331" s="1897">
        <v>0.14702702702702702</v>
      </c>
      <c r="O331" s="1897">
        <v>0.14054054054054055</v>
      </c>
      <c r="P331" s="1897">
        <v>0.12594594594594594</v>
      </c>
      <c r="Q331" s="1897">
        <v>0.16324324324324324</v>
      </c>
      <c r="R331" s="1897">
        <v>0.14162162162162162</v>
      </c>
      <c r="S331" s="1898">
        <f t="shared" si="10"/>
        <v>0.16545045045045045</v>
      </c>
    </row>
    <row r="332" spans="1:19">
      <c r="A332" s="1894">
        <f t="shared" si="11"/>
        <v>325</v>
      </c>
      <c r="B332" s="1895" t="s">
        <v>3221</v>
      </c>
      <c r="C332" s="1894" t="s">
        <v>524</v>
      </c>
      <c r="D332" s="1895" t="s">
        <v>636</v>
      </c>
      <c r="E332" s="1894" t="s">
        <v>259</v>
      </c>
      <c r="F332" s="1896">
        <v>222</v>
      </c>
      <c r="G332" s="1897">
        <v>0.81441441441441442</v>
      </c>
      <c r="H332" s="1897">
        <v>0.85189189189189196</v>
      </c>
      <c r="I332" s="1897">
        <v>0.91963963963963957</v>
      </c>
      <c r="J332" s="1897">
        <v>0.78990990990990995</v>
      </c>
      <c r="K332" s="1897">
        <v>0.81009009009009014</v>
      </c>
      <c r="L332" s="1897">
        <v>0.83531531531531533</v>
      </c>
      <c r="M332" s="1897">
        <v>0.75531531531531537</v>
      </c>
      <c r="N332" s="1897">
        <v>0.81657657657657656</v>
      </c>
      <c r="O332" s="1897">
        <v>0.85837837837837838</v>
      </c>
      <c r="P332" s="1897">
        <v>1.0075675675675675</v>
      </c>
      <c r="Q332" s="1897">
        <v>0.82306306306306309</v>
      </c>
      <c r="R332" s="1897">
        <v>0.76900900900900904</v>
      </c>
      <c r="S332" s="1898">
        <f t="shared" si="10"/>
        <v>0.83759759759759767</v>
      </c>
    </row>
    <row r="333" spans="1:19">
      <c r="A333" s="1894">
        <f t="shared" si="11"/>
        <v>326</v>
      </c>
      <c r="B333" s="1895" t="s">
        <v>3222</v>
      </c>
      <c r="C333" s="1894" t="s">
        <v>524</v>
      </c>
      <c r="D333" s="1895" t="s">
        <v>636</v>
      </c>
      <c r="E333" s="1894" t="s">
        <v>259</v>
      </c>
      <c r="F333" s="1896">
        <v>223</v>
      </c>
      <c r="G333" s="1897">
        <v>0.6242152466367713</v>
      </c>
      <c r="H333" s="1897">
        <v>0.59730941704035878</v>
      </c>
      <c r="I333" s="1897">
        <v>0.5373991031390134</v>
      </c>
      <c r="J333" s="1897">
        <v>0.56538116591928256</v>
      </c>
      <c r="K333" s="1897">
        <v>2.0807174887892375E-2</v>
      </c>
      <c r="L333" s="1897">
        <v>0.59623318385650215</v>
      </c>
      <c r="M333" s="1897">
        <v>0.62636771300448435</v>
      </c>
      <c r="N333" s="1897">
        <v>0.47139013452914796</v>
      </c>
      <c r="O333" s="1897">
        <v>0.33721973094170404</v>
      </c>
      <c r="P333" s="1897">
        <v>0.46995515695067269</v>
      </c>
      <c r="Q333" s="1897">
        <v>0.41040358744394617</v>
      </c>
      <c r="R333" s="1897">
        <v>0.42475336322869955</v>
      </c>
      <c r="S333" s="1898">
        <f t="shared" si="10"/>
        <v>0.47345291479820628</v>
      </c>
    </row>
    <row r="334" spans="1:19">
      <c r="A334" s="1894">
        <f t="shared" si="11"/>
        <v>327</v>
      </c>
      <c r="B334" s="1895" t="s">
        <v>3223</v>
      </c>
      <c r="C334" s="1894" t="s">
        <v>524</v>
      </c>
      <c r="D334" s="1895" t="s">
        <v>737</v>
      </c>
      <c r="E334" s="1894" t="s">
        <v>259</v>
      </c>
      <c r="F334" s="1896">
        <v>223</v>
      </c>
      <c r="G334" s="1897">
        <v>5.0224215246636769E-2</v>
      </c>
      <c r="H334" s="1897">
        <v>4.663677130044843E-2</v>
      </c>
      <c r="I334" s="1897">
        <v>6.0986547085201792E-2</v>
      </c>
      <c r="J334" s="1897">
        <v>4.663677130044843E-2</v>
      </c>
      <c r="K334" s="1897">
        <v>4.663677130044843E-2</v>
      </c>
      <c r="L334" s="1897">
        <v>5.0224215246636769E-2</v>
      </c>
      <c r="M334" s="1897">
        <v>0.29775784753363232</v>
      </c>
      <c r="N334" s="1897">
        <v>3.5874439461883408E-2</v>
      </c>
      <c r="O334" s="1897">
        <v>4.663677130044843E-2</v>
      </c>
      <c r="P334" s="1897">
        <v>4.663677130044843E-2</v>
      </c>
      <c r="Q334" s="1897">
        <v>5.7399103139013453E-2</v>
      </c>
      <c r="R334" s="1897">
        <v>6.0986547085201792E-2</v>
      </c>
      <c r="S334" s="1898">
        <f t="shared" si="10"/>
        <v>7.0553064275037367E-2</v>
      </c>
    </row>
    <row r="335" spans="1:19">
      <c r="A335" s="1894">
        <f t="shared" si="11"/>
        <v>328</v>
      </c>
      <c r="B335" s="1895" t="s">
        <v>3224</v>
      </c>
      <c r="C335" s="1894" t="s">
        <v>524</v>
      </c>
      <c r="D335" s="1895" t="s">
        <v>2966</v>
      </c>
      <c r="E335" s="1894" t="s">
        <v>259</v>
      </c>
      <c r="F335" s="1896">
        <v>223</v>
      </c>
      <c r="G335" s="1897">
        <v>0.75766816143497762</v>
      </c>
      <c r="H335" s="1897">
        <v>0.94278026905829593</v>
      </c>
      <c r="I335" s="1897">
        <v>0.68125560538116592</v>
      </c>
      <c r="J335" s="1897">
        <v>0.51982062780269056</v>
      </c>
      <c r="K335" s="1897">
        <v>0.5370403587443946</v>
      </c>
      <c r="L335" s="1897">
        <v>0.58008968609865474</v>
      </c>
      <c r="M335" s="1897">
        <v>0.69739910313901332</v>
      </c>
      <c r="N335" s="1897">
        <v>0.72430493273542607</v>
      </c>
      <c r="O335" s="1897">
        <v>0.61022421524663684</v>
      </c>
      <c r="P335" s="1897">
        <v>0.4272645739910314</v>
      </c>
      <c r="Q335" s="1897">
        <v>0.55103139013452918</v>
      </c>
      <c r="R335" s="1897">
        <v>0.35192825112107623</v>
      </c>
      <c r="S335" s="1898">
        <f t="shared" si="10"/>
        <v>0.61506726457399108</v>
      </c>
    </row>
    <row r="336" spans="1:19">
      <c r="A336" s="1894">
        <f t="shared" si="11"/>
        <v>329</v>
      </c>
      <c r="B336" s="1895" t="s">
        <v>3225</v>
      </c>
      <c r="C336" s="1894" t="s">
        <v>2930</v>
      </c>
      <c r="D336" s="1895" t="s">
        <v>541</v>
      </c>
      <c r="E336" s="1894" t="s">
        <v>259</v>
      </c>
      <c r="F336" s="1896">
        <v>223</v>
      </c>
      <c r="G336" s="1897">
        <v>0.58062780269058289</v>
      </c>
      <c r="H336" s="1897">
        <v>0.55748878923766809</v>
      </c>
      <c r="I336" s="1897">
        <v>0.40466367713004486</v>
      </c>
      <c r="J336" s="1897">
        <v>0.2609865470852018</v>
      </c>
      <c r="K336" s="1897">
        <v>6.2421524663677119E-2</v>
      </c>
      <c r="L336" s="1897">
        <v>6.4573991031390129E-3</v>
      </c>
      <c r="M336" s="1897">
        <v>2.9058295964125562E-2</v>
      </c>
      <c r="N336" s="1897">
        <v>0.14260089686098654</v>
      </c>
      <c r="O336" s="1897">
        <v>0.11031390134529148</v>
      </c>
      <c r="P336" s="1897">
        <v>4.9506726457399099E-2</v>
      </c>
      <c r="Q336" s="1897">
        <v>2.6905829596412557E-2</v>
      </c>
      <c r="R336" s="1897">
        <v>0.10331838565022421</v>
      </c>
      <c r="S336" s="1898">
        <f t="shared" si="10"/>
        <v>0.19452914798206275</v>
      </c>
    </row>
    <row r="337" spans="1:19">
      <c r="A337" s="1894">
        <f t="shared" si="11"/>
        <v>330</v>
      </c>
      <c r="B337" s="1895" t="s">
        <v>3226</v>
      </c>
      <c r="C337" s="1894" t="s">
        <v>524</v>
      </c>
      <c r="D337" s="1895" t="s">
        <v>541</v>
      </c>
      <c r="E337" s="1894" t="s">
        <v>259</v>
      </c>
      <c r="F337" s="1896">
        <v>224</v>
      </c>
      <c r="G337" s="1897">
        <v>0</v>
      </c>
      <c r="H337" s="1897">
        <v>0</v>
      </c>
      <c r="I337" s="1897">
        <v>0</v>
      </c>
      <c r="J337" s="1897">
        <v>0.86964285714285705</v>
      </c>
      <c r="K337" s="1897">
        <v>0.6607142857142857</v>
      </c>
      <c r="L337" s="1897">
        <v>0.64035714285714285</v>
      </c>
      <c r="M337" s="1897">
        <v>6.6071428571428573E-2</v>
      </c>
      <c r="N337" s="1897">
        <v>1.3571428571428571E-2</v>
      </c>
      <c r="O337" s="1897">
        <v>1.2500000000000001E-2</v>
      </c>
      <c r="P337" s="1897">
        <v>1.2857142857142857E-2</v>
      </c>
      <c r="Q337" s="1897">
        <v>0.78107142857142864</v>
      </c>
      <c r="R337" s="1897">
        <v>0.98071428571428576</v>
      </c>
      <c r="S337" s="1898">
        <f t="shared" si="10"/>
        <v>0.33645833333333336</v>
      </c>
    </row>
    <row r="338" spans="1:19">
      <c r="A338" s="1894">
        <f t="shared" si="11"/>
        <v>331</v>
      </c>
      <c r="B338" s="1895" t="s">
        <v>3227</v>
      </c>
      <c r="C338" s="1894" t="s">
        <v>524</v>
      </c>
      <c r="D338" s="1895" t="s">
        <v>541</v>
      </c>
      <c r="E338" s="1894" t="s">
        <v>259</v>
      </c>
      <c r="F338" s="1896">
        <v>225</v>
      </c>
      <c r="G338" s="1897">
        <v>0</v>
      </c>
      <c r="H338" s="1897">
        <v>0</v>
      </c>
      <c r="I338" s="1897">
        <v>0.32497777777777775</v>
      </c>
      <c r="J338" s="1897">
        <v>2.9155555555555556E-2</v>
      </c>
      <c r="K338" s="1897">
        <v>0</v>
      </c>
      <c r="L338" s="1897">
        <v>0</v>
      </c>
      <c r="M338" s="1897">
        <v>0</v>
      </c>
      <c r="N338" s="1897">
        <v>0</v>
      </c>
      <c r="O338" s="1897">
        <v>0</v>
      </c>
      <c r="P338" s="1897">
        <v>0</v>
      </c>
      <c r="Q338" s="1897">
        <v>0</v>
      </c>
      <c r="R338" s="1897">
        <v>0</v>
      </c>
      <c r="S338" s="1898">
        <f t="shared" si="10"/>
        <v>2.9511111111111109E-2</v>
      </c>
    </row>
    <row r="339" spans="1:19">
      <c r="A339" s="1894">
        <f t="shared" si="11"/>
        <v>332</v>
      </c>
      <c r="B339" s="1895" t="s">
        <v>3228</v>
      </c>
      <c r="C339" s="1894" t="s">
        <v>524</v>
      </c>
      <c r="D339" s="1895" t="s">
        <v>541</v>
      </c>
      <c r="E339" s="1894" t="s">
        <v>259</v>
      </c>
      <c r="F339" s="1896">
        <v>225</v>
      </c>
      <c r="G339" s="1897">
        <v>1.7066666666666667E-2</v>
      </c>
      <c r="H339" s="1897">
        <v>1.2799999999999999E-2</v>
      </c>
      <c r="I339" s="1897">
        <v>2.0266666666666665E-2</v>
      </c>
      <c r="J339" s="1897">
        <v>1.2799999999999999E-2</v>
      </c>
      <c r="K339" s="1897">
        <v>1.8133333333333335E-2</v>
      </c>
      <c r="L339" s="1897">
        <v>1.2799999999999999E-2</v>
      </c>
      <c r="M339" s="1897">
        <v>1.4933333333333333E-2</v>
      </c>
      <c r="N339" s="1897">
        <v>2.0266666666666665E-2</v>
      </c>
      <c r="O339" s="1897">
        <v>1.6E-2</v>
      </c>
      <c r="P339" s="1897">
        <v>1.3866666666666666E-2</v>
      </c>
      <c r="Q339" s="1897">
        <v>1.6E-2</v>
      </c>
      <c r="R339" s="1897">
        <v>1.7066666666666667E-2</v>
      </c>
      <c r="S339" s="1898">
        <f t="shared" si="10"/>
        <v>1.6E-2</v>
      </c>
    </row>
    <row r="340" spans="1:19">
      <c r="A340" s="1894">
        <f t="shared" si="11"/>
        <v>333</v>
      </c>
      <c r="B340" s="1895" t="s">
        <v>3229</v>
      </c>
      <c r="C340" s="1894" t="s">
        <v>524</v>
      </c>
      <c r="D340" s="1895" t="s">
        <v>541</v>
      </c>
      <c r="E340" s="1894" t="s">
        <v>259</v>
      </c>
      <c r="F340" s="1896">
        <v>225</v>
      </c>
      <c r="G340" s="1897">
        <v>0.86328888888888877</v>
      </c>
      <c r="H340" s="1897">
        <v>0.95786666666666653</v>
      </c>
      <c r="I340" s="1897">
        <v>1.0574222222222223</v>
      </c>
      <c r="J340" s="1897">
        <v>0.89457777777777781</v>
      </c>
      <c r="K340" s="1897">
        <v>1.2252444444444446</v>
      </c>
      <c r="L340" s="1897">
        <v>0.97635555555555553</v>
      </c>
      <c r="M340" s="1897">
        <v>0.91591111111111101</v>
      </c>
      <c r="N340" s="1897">
        <v>1.1683555555555556</v>
      </c>
      <c r="O340" s="1897">
        <v>1.1655111111111112</v>
      </c>
      <c r="P340" s="1897">
        <v>1.3283555555555555</v>
      </c>
      <c r="Q340" s="1897">
        <v>1.2728888888888887</v>
      </c>
      <c r="R340" s="1897">
        <v>1.1285333333333334</v>
      </c>
      <c r="S340" s="1898">
        <f t="shared" si="10"/>
        <v>1.0795259259259258</v>
      </c>
    </row>
    <row r="341" spans="1:19">
      <c r="A341" s="1894">
        <f t="shared" si="11"/>
        <v>334</v>
      </c>
      <c r="B341" s="1895" t="s">
        <v>3230</v>
      </c>
      <c r="C341" s="1894" t="s">
        <v>524</v>
      </c>
      <c r="D341" s="1895" t="s">
        <v>541</v>
      </c>
      <c r="E341" s="1894" t="s">
        <v>259</v>
      </c>
      <c r="F341" s="1896">
        <v>225</v>
      </c>
      <c r="G341" s="1897">
        <v>1.4222222222222223E-2</v>
      </c>
      <c r="H341" s="1897">
        <v>1.2088888888888889E-2</v>
      </c>
      <c r="I341" s="1897">
        <v>9.9555555555555543E-3</v>
      </c>
      <c r="J341" s="1897">
        <v>2.0622222222222222E-2</v>
      </c>
      <c r="K341" s="1897">
        <v>0.2481777777777778</v>
      </c>
      <c r="L341" s="1897">
        <v>2.2044444444444443E-2</v>
      </c>
      <c r="M341" s="1897">
        <v>2.4177777777777777E-2</v>
      </c>
      <c r="N341" s="1897">
        <v>2.7022222222222222E-2</v>
      </c>
      <c r="O341" s="1897">
        <v>3.6266666666666669E-2</v>
      </c>
      <c r="P341" s="1897">
        <v>0.39395555555555556</v>
      </c>
      <c r="Q341" s="1897">
        <v>1.4933333333333333E-2</v>
      </c>
      <c r="R341" s="1897">
        <v>1.4222222222222223E-2</v>
      </c>
      <c r="S341" s="1898">
        <f t="shared" si="10"/>
        <v>6.9807407407407415E-2</v>
      </c>
    </row>
    <row r="342" spans="1:19">
      <c r="A342" s="1894">
        <f t="shared" si="11"/>
        <v>335</v>
      </c>
      <c r="B342" s="1895" t="s">
        <v>3231</v>
      </c>
      <c r="C342" s="1894" t="s">
        <v>524</v>
      </c>
      <c r="D342" s="1895" t="s">
        <v>541</v>
      </c>
      <c r="E342" s="1894" t="s">
        <v>259</v>
      </c>
      <c r="F342" s="1896">
        <v>228</v>
      </c>
      <c r="G342" s="1897">
        <v>1.3157894736842105E-2</v>
      </c>
      <c r="H342" s="1897">
        <v>0.43684210526315792</v>
      </c>
      <c r="I342" s="1897">
        <v>0.47105263157894733</v>
      </c>
      <c r="J342" s="1897">
        <v>0.50526315789473675</v>
      </c>
      <c r="K342" s="1897">
        <v>0.49736842105263152</v>
      </c>
      <c r="L342" s="1897">
        <v>0.51578947368421058</v>
      </c>
      <c r="M342" s="1897">
        <v>0.47894736842105257</v>
      </c>
      <c r="N342" s="1897">
        <v>0.46949999999999997</v>
      </c>
      <c r="O342" s="1897">
        <v>0.35052631578947369</v>
      </c>
      <c r="P342" s="1897">
        <v>0.30473684210526319</v>
      </c>
      <c r="Q342" s="1897">
        <v>0.45789473684210524</v>
      </c>
      <c r="R342" s="1897">
        <v>0.45631578947368417</v>
      </c>
      <c r="S342" s="1898">
        <f t="shared" si="10"/>
        <v>0.4131162280701754</v>
      </c>
    </row>
    <row r="343" spans="1:19">
      <c r="A343" s="1894">
        <f t="shared" si="11"/>
        <v>336</v>
      </c>
      <c r="B343" s="1895" t="s">
        <v>3232</v>
      </c>
      <c r="C343" s="1894" t="s">
        <v>524</v>
      </c>
      <c r="D343" s="1895" t="s">
        <v>541</v>
      </c>
      <c r="E343" s="1894" t="s">
        <v>259</v>
      </c>
      <c r="F343" s="1896">
        <v>228</v>
      </c>
      <c r="G343" s="1897">
        <v>0.49368421052631573</v>
      </c>
      <c r="H343" s="1897">
        <v>0.49789473684210533</v>
      </c>
      <c r="I343" s="1897">
        <v>0.49842105263157899</v>
      </c>
      <c r="J343" s="1897">
        <v>0.48789473684210533</v>
      </c>
      <c r="K343" s="1897">
        <v>0.4</v>
      </c>
      <c r="L343" s="1897">
        <v>0.3794736842105263</v>
      </c>
      <c r="M343" s="1897">
        <v>0.36947368421052629</v>
      </c>
      <c r="N343" s="1897">
        <v>0.34894736842105262</v>
      </c>
      <c r="O343" s="1897">
        <v>0.3242105263157895</v>
      </c>
      <c r="P343" s="1897">
        <v>1.4210526315789474E-2</v>
      </c>
      <c r="Q343" s="1897">
        <v>3.9999999999999994E-2</v>
      </c>
      <c r="R343" s="1897">
        <v>0.36052631578947369</v>
      </c>
      <c r="S343" s="1898">
        <f t="shared" si="10"/>
        <v>0.35122807017543861</v>
      </c>
    </row>
    <row r="344" spans="1:19">
      <c r="A344" s="1894">
        <f t="shared" si="11"/>
        <v>337</v>
      </c>
      <c r="B344" s="1895" t="s">
        <v>3233</v>
      </c>
      <c r="C344" s="1894" t="s">
        <v>524</v>
      </c>
      <c r="D344" s="1895" t="s">
        <v>541</v>
      </c>
      <c r="E344" s="1894" t="s">
        <v>259</v>
      </c>
      <c r="F344" s="1896">
        <v>230</v>
      </c>
      <c r="G344" s="1897">
        <v>0.57391304347826089</v>
      </c>
      <c r="H344" s="1897">
        <v>0.84347826086956523</v>
      </c>
      <c r="I344" s="1897">
        <v>0.97565217391304337</v>
      </c>
      <c r="J344" s="1897">
        <v>0.89391304347826084</v>
      </c>
      <c r="K344" s="1897">
        <v>0.98434782608695637</v>
      </c>
      <c r="L344" s="1897">
        <v>0.96869565217391307</v>
      </c>
      <c r="M344" s="1897">
        <v>0.86086956521739133</v>
      </c>
      <c r="N344" s="1897">
        <v>0.84869565217391307</v>
      </c>
      <c r="O344" s="1897">
        <v>0.56347826086956521</v>
      </c>
      <c r="P344" s="1897">
        <v>0.25565217391304346</v>
      </c>
      <c r="Q344" s="1897">
        <v>6.4347826086956522E-2</v>
      </c>
      <c r="R344" s="1897">
        <v>0.11652173913043479</v>
      </c>
      <c r="S344" s="1898">
        <f t="shared" si="10"/>
        <v>0.6624637681159421</v>
      </c>
    </row>
    <row r="345" spans="1:19">
      <c r="A345" s="1894">
        <f t="shared" si="11"/>
        <v>338</v>
      </c>
      <c r="B345" s="1895" t="s">
        <v>3234</v>
      </c>
      <c r="C345" s="1894" t="s">
        <v>524</v>
      </c>
      <c r="D345" s="1895" t="s">
        <v>541</v>
      </c>
      <c r="E345" s="1894" t="s">
        <v>259</v>
      </c>
      <c r="F345" s="1896">
        <v>230</v>
      </c>
      <c r="G345" s="1897">
        <v>0.98399999999999999</v>
      </c>
      <c r="H345" s="1897">
        <v>0.99443478260869567</v>
      </c>
      <c r="I345" s="1897">
        <v>0.94643478260869573</v>
      </c>
      <c r="J345" s="1897">
        <v>0.90156521739130435</v>
      </c>
      <c r="K345" s="1897">
        <v>0.9923478260869566</v>
      </c>
      <c r="L345" s="1897">
        <v>0.96</v>
      </c>
      <c r="M345" s="1897">
        <v>0.95269565217391305</v>
      </c>
      <c r="N345" s="1897">
        <v>0.85669565217391308</v>
      </c>
      <c r="O345" s="1897">
        <v>0.92660869565217396</v>
      </c>
      <c r="P345" s="1897">
        <v>0.96834782608695635</v>
      </c>
      <c r="Q345" s="1897">
        <v>0.79200000000000004</v>
      </c>
      <c r="R345" s="1897">
        <v>0.95060869565217399</v>
      </c>
      <c r="S345" s="1898">
        <f t="shared" si="10"/>
        <v>0.9354782608695652</v>
      </c>
    </row>
    <row r="346" spans="1:19">
      <c r="A346" s="1894">
        <f t="shared" si="11"/>
        <v>339</v>
      </c>
      <c r="B346" s="1895" t="s">
        <v>3235</v>
      </c>
      <c r="C346" s="1894" t="s">
        <v>524</v>
      </c>
      <c r="D346" s="1895" t="s">
        <v>2966</v>
      </c>
      <c r="E346" s="1894" t="s">
        <v>259</v>
      </c>
      <c r="F346" s="1896">
        <v>232</v>
      </c>
      <c r="G346" s="1897">
        <v>0.57362068965517232</v>
      </c>
      <c r="H346" s="1897">
        <v>0.51310344827586207</v>
      </c>
      <c r="I346" s="1897">
        <v>0.49137931034482757</v>
      </c>
      <c r="J346" s="1897">
        <v>0.38948275862068971</v>
      </c>
      <c r="K346" s="1897">
        <v>0.36413793103448278</v>
      </c>
      <c r="L346" s="1897">
        <v>0.28396551724137931</v>
      </c>
      <c r="M346" s="1897">
        <v>0.29120689655172416</v>
      </c>
      <c r="N346" s="1897">
        <v>8.2241379310344837E-2</v>
      </c>
      <c r="O346" s="1897">
        <v>5.7413793103448275E-2</v>
      </c>
      <c r="P346" s="1897">
        <v>0.10862068965517242</v>
      </c>
      <c r="Q346" s="1897">
        <v>0.45413793103448274</v>
      </c>
      <c r="R346" s="1897">
        <v>0.4955172413793103</v>
      </c>
      <c r="S346" s="1898">
        <f t="shared" si="10"/>
        <v>0.34206896551724136</v>
      </c>
    </row>
    <row r="347" spans="1:19">
      <c r="A347" s="1894">
        <f t="shared" si="11"/>
        <v>340</v>
      </c>
      <c r="B347" s="1895" t="s">
        <v>3236</v>
      </c>
      <c r="C347" s="1894" t="s">
        <v>524</v>
      </c>
      <c r="D347" s="1895" t="s">
        <v>629</v>
      </c>
      <c r="E347" s="1894" t="s">
        <v>259</v>
      </c>
      <c r="F347" s="1896">
        <v>233.33</v>
      </c>
      <c r="G347" s="1897">
        <v>0.69686709810140146</v>
      </c>
      <c r="H347" s="1897">
        <v>0.62486606951527868</v>
      </c>
      <c r="I347" s="1897">
        <v>0.57343676338233407</v>
      </c>
      <c r="J347" s="1897">
        <v>0.59143702052886471</v>
      </c>
      <c r="K347" s="1897">
        <v>0.83058329404705777</v>
      </c>
      <c r="L347" s="1897">
        <v>0.65418077401105734</v>
      </c>
      <c r="M347" s="1897">
        <v>0.64389491278446831</v>
      </c>
      <c r="N347" s="1897">
        <v>0.68915270218145974</v>
      </c>
      <c r="O347" s="1897">
        <v>0.67938113401620015</v>
      </c>
      <c r="P347" s="1897">
        <v>0.66858097972828179</v>
      </c>
      <c r="Q347" s="1897">
        <v>0.68040972013885903</v>
      </c>
      <c r="R347" s="1897">
        <v>0.64029486135516223</v>
      </c>
      <c r="S347" s="1898">
        <f t="shared" si="10"/>
        <v>0.66442377748253534</v>
      </c>
    </row>
    <row r="348" spans="1:19">
      <c r="A348" s="1894">
        <f t="shared" si="11"/>
        <v>341</v>
      </c>
      <c r="B348" s="1895" t="s">
        <v>3237</v>
      </c>
      <c r="C348" s="1894" t="s">
        <v>524</v>
      </c>
      <c r="D348" s="1895" t="s">
        <v>541</v>
      </c>
      <c r="E348" s="1894" t="s">
        <v>259</v>
      </c>
      <c r="F348" s="1896">
        <v>234</v>
      </c>
      <c r="G348" s="1897">
        <v>0.34735042735042737</v>
      </c>
      <c r="H348" s="1897">
        <v>0.33162393162393167</v>
      </c>
      <c r="I348" s="1897">
        <v>0.16</v>
      </c>
      <c r="J348" s="1897">
        <v>0.19076923076923077</v>
      </c>
      <c r="K348" s="1897">
        <v>5.5384615384615379E-2</v>
      </c>
      <c r="L348" s="1897">
        <v>0.31247863247863245</v>
      </c>
      <c r="M348" s="1897">
        <v>0.24341880341880343</v>
      </c>
      <c r="N348" s="1897">
        <v>4.8547008547008552E-2</v>
      </c>
      <c r="O348" s="1897">
        <v>5.4017094017094022E-2</v>
      </c>
      <c r="P348" s="1897">
        <v>4.3076923076923075E-2</v>
      </c>
      <c r="Q348" s="1897">
        <v>0.37470085470085474</v>
      </c>
      <c r="R348" s="1897">
        <v>5.8119658119658128E-2</v>
      </c>
      <c r="S348" s="1898">
        <f t="shared" si="10"/>
        <v>0.18495726495726494</v>
      </c>
    </row>
    <row r="349" spans="1:19">
      <c r="A349" s="1894">
        <f t="shared" si="11"/>
        <v>342</v>
      </c>
      <c r="B349" s="1895" t="s">
        <v>3238</v>
      </c>
      <c r="C349" s="1894" t="s">
        <v>524</v>
      </c>
      <c r="D349" s="1895" t="s">
        <v>541</v>
      </c>
      <c r="E349" s="1894" t="s">
        <v>259</v>
      </c>
      <c r="F349" s="1896">
        <v>234</v>
      </c>
      <c r="G349" s="1897">
        <v>0.54974358974358972</v>
      </c>
      <c r="H349" s="1897">
        <v>0.57435897435897443</v>
      </c>
      <c r="I349" s="1897">
        <v>0.56478632478632484</v>
      </c>
      <c r="J349" s="1897">
        <v>0.51418803418803427</v>
      </c>
      <c r="K349" s="1897">
        <v>0.43145299145299149</v>
      </c>
      <c r="L349" s="1897">
        <v>0.42461538461538462</v>
      </c>
      <c r="M349" s="1897">
        <v>0.52034188034188034</v>
      </c>
      <c r="N349" s="1897">
        <v>0.48136752136752137</v>
      </c>
      <c r="O349" s="1897">
        <v>0.54700854700854706</v>
      </c>
      <c r="P349" s="1897">
        <v>0.49094017094017101</v>
      </c>
      <c r="Q349" s="1897">
        <v>0.50051282051282053</v>
      </c>
      <c r="R349" s="1897">
        <v>0.44102564102564101</v>
      </c>
      <c r="S349" s="1898">
        <f t="shared" si="10"/>
        <v>0.50336182336182345</v>
      </c>
    </row>
    <row r="350" spans="1:19">
      <c r="A350" s="1894">
        <f t="shared" si="11"/>
        <v>343</v>
      </c>
      <c r="B350" s="1895" t="s">
        <v>3239</v>
      </c>
      <c r="C350" s="1894" t="s">
        <v>524</v>
      </c>
      <c r="D350" s="1895" t="s">
        <v>541</v>
      </c>
      <c r="E350" s="1894" t="s">
        <v>259</v>
      </c>
      <c r="F350" s="1896">
        <v>234</v>
      </c>
      <c r="G350" s="1897">
        <v>1.0618803418803417</v>
      </c>
      <c r="H350" s="1897">
        <v>1.1193162393162395</v>
      </c>
      <c r="I350" s="1897">
        <v>1.048888888888889</v>
      </c>
      <c r="J350" s="1897">
        <v>0.89846153846153842</v>
      </c>
      <c r="K350" s="1897">
        <v>0.89299145299145288</v>
      </c>
      <c r="L350" s="1897">
        <v>0.93470085470085462</v>
      </c>
      <c r="M350" s="1897">
        <v>1.0078632478632479</v>
      </c>
      <c r="N350" s="1897">
        <v>0.86700854700854701</v>
      </c>
      <c r="O350" s="1897">
        <v>0.86153846153846148</v>
      </c>
      <c r="P350" s="1897">
        <v>0.80341880341880345</v>
      </c>
      <c r="Q350" s="1897">
        <v>0.86153846153846148</v>
      </c>
      <c r="R350" s="1897">
        <v>0.85059829059829062</v>
      </c>
      <c r="S350" s="1898">
        <f t="shared" si="10"/>
        <v>0.93401709401709399</v>
      </c>
    </row>
    <row r="351" spans="1:19">
      <c r="A351" s="1894">
        <f t="shared" si="11"/>
        <v>344</v>
      </c>
      <c r="B351" s="1895" t="s">
        <v>3240</v>
      </c>
      <c r="C351" s="1894" t="s">
        <v>524</v>
      </c>
      <c r="D351" s="1895" t="s">
        <v>2966</v>
      </c>
      <c r="E351" s="1894" t="s">
        <v>259</v>
      </c>
      <c r="F351" s="1896">
        <v>237</v>
      </c>
      <c r="G351" s="1897">
        <v>0.70835443037974677</v>
      </c>
      <c r="H351" s="1897">
        <v>0.74430379746835429</v>
      </c>
      <c r="I351" s="1897">
        <v>0.75898734177215188</v>
      </c>
      <c r="J351" s="1897">
        <v>0.50177215189873414</v>
      </c>
      <c r="K351" s="1897">
        <v>0.370126582278481</v>
      </c>
      <c r="L351" s="1897">
        <v>0.56506329113924059</v>
      </c>
      <c r="M351" s="1897">
        <v>0.7478481012658228</v>
      </c>
      <c r="N351" s="1897">
        <v>0.35797468354430378</v>
      </c>
      <c r="O351" s="1897">
        <v>3.949367088607595E-2</v>
      </c>
      <c r="P351" s="1897">
        <v>9.5696202531645569E-2</v>
      </c>
      <c r="Q351" s="1897">
        <v>0.26430379746835442</v>
      </c>
      <c r="R351" s="1897">
        <v>0.37518987341772153</v>
      </c>
      <c r="S351" s="1898">
        <f t="shared" si="10"/>
        <v>0.46075949367088609</v>
      </c>
    </row>
    <row r="352" spans="1:19">
      <c r="A352" s="1894">
        <f t="shared" si="11"/>
        <v>345</v>
      </c>
      <c r="B352" s="1895" t="s">
        <v>3241</v>
      </c>
      <c r="C352" s="1894" t="s">
        <v>524</v>
      </c>
      <c r="D352" s="1895" t="s">
        <v>541</v>
      </c>
      <c r="E352" s="1894" t="s">
        <v>259</v>
      </c>
      <c r="F352" s="1896">
        <v>239</v>
      </c>
      <c r="G352" s="1897">
        <v>0</v>
      </c>
      <c r="H352" s="1897">
        <v>0</v>
      </c>
      <c r="I352" s="1897">
        <v>0</v>
      </c>
      <c r="J352" s="1897">
        <v>0</v>
      </c>
      <c r="K352" s="1897">
        <v>0</v>
      </c>
      <c r="L352" s="1897">
        <v>0</v>
      </c>
      <c r="M352" s="1897">
        <v>0</v>
      </c>
      <c r="N352" s="1897">
        <v>0.61958158995815893</v>
      </c>
      <c r="O352" s="1897">
        <v>0.71397489539748948</v>
      </c>
      <c r="P352" s="1897">
        <v>0.63263598326359827</v>
      </c>
      <c r="Q352" s="1897">
        <v>0.69188284518828458</v>
      </c>
      <c r="R352" s="1897">
        <v>0.64468619246861913</v>
      </c>
      <c r="S352" s="1898">
        <f t="shared" si="10"/>
        <v>0.27523012552301251</v>
      </c>
    </row>
    <row r="353" spans="1:19">
      <c r="A353" s="1894">
        <f t="shared" si="11"/>
        <v>346</v>
      </c>
      <c r="B353" s="1895" t="s">
        <v>3242</v>
      </c>
      <c r="C353" s="1894" t="s">
        <v>524</v>
      </c>
      <c r="D353" s="1895" t="s">
        <v>541</v>
      </c>
      <c r="E353" s="1894" t="s">
        <v>259</v>
      </c>
      <c r="F353" s="1896">
        <v>242</v>
      </c>
      <c r="G353" s="1897">
        <v>0.79074380165289249</v>
      </c>
      <c r="H353" s="1897">
        <v>0.88198347107438013</v>
      </c>
      <c r="I353" s="1897">
        <v>0.8985123966942149</v>
      </c>
      <c r="J353" s="1897">
        <v>0.92297520661157029</v>
      </c>
      <c r="K353" s="1897">
        <v>0.93752066115702493</v>
      </c>
      <c r="L353" s="1897">
        <v>0.87471074380165292</v>
      </c>
      <c r="M353" s="1897">
        <v>1.1120661157024794</v>
      </c>
      <c r="N353" s="1897">
        <v>0.86214876033057841</v>
      </c>
      <c r="O353" s="1897">
        <v>0.80462809917355371</v>
      </c>
      <c r="P353" s="1897">
        <v>0.79867768595041322</v>
      </c>
      <c r="Q353" s="1897">
        <v>0.83173553719008264</v>
      </c>
      <c r="R353" s="1897">
        <v>0.84628099173553728</v>
      </c>
      <c r="S353" s="1898">
        <f t="shared" si="10"/>
        <v>0.88016528925619808</v>
      </c>
    </row>
    <row r="354" spans="1:19">
      <c r="A354" s="1894">
        <f t="shared" si="11"/>
        <v>347</v>
      </c>
      <c r="B354" s="1895" t="s">
        <v>3243</v>
      </c>
      <c r="C354" s="1894" t="s">
        <v>524</v>
      </c>
      <c r="D354" s="1895" t="s">
        <v>541</v>
      </c>
      <c r="E354" s="1894" t="s">
        <v>259</v>
      </c>
      <c r="F354" s="1896">
        <v>242</v>
      </c>
      <c r="G354" s="1897">
        <v>0.46280991735537197</v>
      </c>
      <c r="H354" s="1897">
        <v>0.41322314049586778</v>
      </c>
      <c r="I354" s="1897">
        <v>2.3140495867768597E-2</v>
      </c>
      <c r="J354" s="1897">
        <v>8.5950413223140495E-2</v>
      </c>
      <c r="K354" s="1897">
        <v>0.24132231404958676</v>
      </c>
      <c r="L354" s="1897">
        <v>1.4545454545454545E-2</v>
      </c>
      <c r="M354" s="1897">
        <v>0.25454545454545457</v>
      </c>
      <c r="N354" s="1897">
        <v>1.256198347107438E-2</v>
      </c>
      <c r="O354" s="1897">
        <v>0.47801652892561985</v>
      </c>
      <c r="P354" s="1897">
        <v>0.43107438016528921</v>
      </c>
      <c r="Q354" s="1897">
        <v>0.44165289256198348</v>
      </c>
      <c r="R354" s="1897">
        <v>0.31801652892561982</v>
      </c>
      <c r="S354" s="1898">
        <f t="shared" si="10"/>
        <v>0.26473829201101928</v>
      </c>
    </row>
    <row r="355" spans="1:19">
      <c r="A355" s="1894">
        <f t="shared" si="11"/>
        <v>348</v>
      </c>
      <c r="B355" s="1895" t="s">
        <v>3244</v>
      </c>
      <c r="C355" s="1894" t="s">
        <v>524</v>
      </c>
      <c r="D355" s="1895" t="s">
        <v>541</v>
      </c>
      <c r="E355" s="1894" t="s">
        <v>259</v>
      </c>
      <c r="F355" s="1896">
        <v>244</v>
      </c>
      <c r="G355" s="1897">
        <v>1.0327868852459017</v>
      </c>
      <c r="H355" s="1897">
        <v>1.0245901639344261</v>
      </c>
      <c r="I355" s="1897">
        <v>1.0934426229508196</v>
      </c>
      <c r="J355" s="1897">
        <v>1.2967213114754099</v>
      </c>
      <c r="K355" s="1897">
        <v>1.1278688524590164</v>
      </c>
      <c r="L355" s="1897">
        <v>1.159344262295082</v>
      </c>
      <c r="M355" s="1897">
        <v>1.0524590163934426</v>
      </c>
      <c r="N355" s="1897">
        <v>1.080655737704918</v>
      </c>
      <c r="O355" s="1897">
        <v>1.0616393442622949</v>
      </c>
      <c r="P355" s="1897">
        <v>0.98622950819672139</v>
      </c>
      <c r="Q355" s="1897">
        <v>0.88786885245901637</v>
      </c>
      <c r="R355" s="1897">
        <v>0.9763934426229508</v>
      </c>
      <c r="S355" s="1898">
        <f t="shared" si="10"/>
        <v>1.0650000000000002</v>
      </c>
    </row>
    <row r="356" spans="1:19">
      <c r="A356" s="1894">
        <f t="shared" si="11"/>
        <v>349</v>
      </c>
      <c r="B356" s="1895" t="s">
        <v>3245</v>
      </c>
      <c r="C356" s="1894" t="s">
        <v>524</v>
      </c>
      <c r="D356" s="1895" t="s">
        <v>737</v>
      </c>
      <c r="E356" s="1894" t="s">
        <v>259</v>
      </c>
      <c r="F356" s="1896">
        <v>244.5</v>
      </c>
      <c r="G356" s="1897">
        <v>0.63607361963190179</v>
      </c>
      <c r="H356" s="1897">
        <v>0.62036809815950922</v>
      </c>
      <c r="I356" s="1897">
        <v>0.64883435582822091</v>
      </c>
      <c r="J356" s="1897">
        <v>0.60564417177914109</v>
      </c>
      <c r="K356" s="1897">
        <v>0.37104294478527605</v>
      </c>
      <c r="L356" s="1897">
        <v>0.55361963190184038</v>
      </c>
      <c r="M356" s="1897">
        <v>0.49325153374233133</v>
      </c>
      <c r="N356" s="1897">
        <v>0.44466257668711656</v>
      </c>
      <c r="O356" s="1897">
        <v>0.40638036809815953</v>
      </c>
      <c r="P356" s="1897">
        <v>0.40613496932515342</v>
      </c>
      <c r="Q356" s="1897">
        <v>0.44760736196319018</v>
      </c>
      <c r="R356" s="1897">
        <v>0.52024539877300613</v>
      </c>
      <c r="S356" s="1898">
        <f t="shared" si="10"/>
        <v>0.51282208588957057</v>
      </c>
    </row>
    <row r="357" spans="1:19">
      <c r="A357" s="1894">
        <f t="shared" si="11"/>
        <v>350</v>
      </c>
      <c r="B357" s="1895" t="s">
        <v>3246</v>
      </c>
      <c r="C357" s="1894" t="s">
        <v>524</v>
      </c>
      <c r="D357" s="1895" t="s">
        <v>541</v>
      </c>
      <c r="E357" s="1894" t="s">
        <v>259</v>
      </c>
      <c r="F357" s="1896">
        <v>245</v>
      </c>
      <c r="G357" s="1897">
        <v>0.8693877551020408</v>
      </c>
      <c r="H357" s="1897">
        <v>0.66938775510204085</v>
      </c>
      <c r="I357" s="1897">
        <v>0.74448979591836739</v>
      </c>
      <c r="J357" s="1897">
        <v>0.72734693877551015</v>
      </c>
      <c r="K357" s="1897">
        <v>0.71265306122448979</v>
      </c>
      <c r="L357" s="1897">
        <v>0.68734693877551023</v>
      </c>
      <c r="M357" s="1897">
        <v>0.30122448979591843</v>
      </c>
      <c r="N357" s="1897">
        <v>0.10612244897959183</v>
      </c>
      <c r="O357" s="1897">
        <v>0.1273469387755102</v>
      </c>
      <c r="P357" s="1897">
        <v>0.93142857142857138</v>
      </c>
      <c r="Q357" s="1897">
        <v>0.92734693877551022</v>
      </c>
      <c r="R357" s="1897">
        <v>0.85387755102040808</v>
      </c>
      <c r="S357" s="1898">
        <f t="shared" si="10"/>
        <v>0.63816326530612233</v>
      </c>
    </row>
    <row r="358" spans="1:19">
      <c r="A358" s="1894">
        <f t="shared" si="11"/>
        <v>351</v>
      </c>
      <c r="B358" s="1895" t="s">
        <v>3247</v>
      </c>
      <c r="C358" s="1894" t="s">
        <v>524</v>
      </c>
      <c r="D358" s="1895" t="s">
        <v>636</v>
      </c>
      <c r="E358" s="1894" t="s">
        <v>259</v>
      </c>
      <c r="F358" s="1896">
        <v>245</v>
      </c>
      <c r="G358" s="1897">
        <v>7.934693877551019E-2</v>
      </c>
      <c r="H358" s="1897">
        <v>0.67297959183673473</v>
      </c>
      <c r="I358" s="1897">
        <v>0.63183673469387758</v>
      </c>
      <c r="J358" s="1897">
        <v>0.65240816326530615</v>
      </c>
      <c r="K358" s="1897">
        <v>0.65044897959183678</v>
      </c>
      <c r="L358" s="1897">
        <v>0.66808163265306109</v>
      </c>
      <c r="M358" s="1897">
        <v>0.59363265306122448</v>
      </c>
      <c r="N358" s="1897">
        <v>0.58481632653061222</v>
      </c>
      <c r="O358" s="1897">
        <v>0.38595918367346932</v>
      </c>
      <c r="P358" s="1897">
        <v>4.3102040816326535E-2</v>
      </c>
      <c r="Q358" s="1897">
        <v>3.8204081632653056E-2</v>
      </c>
      <c r="R358" s="1897">
        <v>0.48979591836734693</v>
      </c>
      <c r="S358" s="1898">
        <f t="shared" si="10"/>
        <v>0.4575510204081632</v>
      </c>
    </row>
    <row r="359" spans="1:19">
      <c r="A359" s="1894">
        <f t="shared" si="11"/>
        <v>352</v>
      </c>
      <c r="B359" s="1895" t="s">
        <v>3248</v>
      </c>
      <c r="C359" s="1894" t="s">
        <v>524</v>
      </c>
      <c r="D359" s="1895" t="s">
        <v>541</v>
      </c>
      <c r="E359" s="1894" t="s">
        <v>259</v>
      </c>
      <c r="F359" s="1896">
        <v>245</v>
      </c>
      <c r="G359" s="1897">
        <v>0.4506122448979592</v>
      </c>
      <c r="H359" s="1897">
        <v>0.43755102040816329</v>
      </c>
      <c r="I359" s="1897">
        <v>0.67591836734693878</v>
      </c>
      <c r="J359" s="1897">
        <v>0.56816326530612238</v>
      </c>
      <c r="K359" s="1897">
        <v>0.55183673469387762</v>
      </c>
      <c r="L359" s="1897">
        <v>0.49502040816326537</v>
      </c>
      <c r="M359" s="1897">
        <v>0.47412244897959183</v>
      </c>
      <c r="N359" s="1897">
        <v>0.36832653061224485</v>
      </c>
      <c r="O359" s="1897">
        <v>0.84636734693877547</v>
      </c>
      <c r="P359" s="1897">
        <v>0.56326530612244896</v>
      </c>
      <c r="Q359" s="1897">
        <v>0.40457142857142858</v>
      </c>
      <c r="R359" s="1897">
        <v>0.3722448979591837</v>
      </c>
      <c r="S359" s="1898">
        <f t="shared" si="10"/>
        <v>0.51733333333333331</v>
      </c>
    </row>
    <row r="360" spans="1:19">
      <c r="A360" s="1894">
        <f t="shared" si="11"/>
        <v>353</v>
      </c>
      <c r="B360" s="1895" t="s">
        <v>3249</v>
      </c>
      <c r="C360" s="1894" t="s">
        <v>524</v>
      </c>
      <c r="D360" s="1895" t="s">
        <v>541</v>
      </c>
      <c r="E360" s="1894" t="s">
        <v>259</v>
      </c>
      <c r="F360" s="1896">
        <v>245</v>
      </c>
      <c r="G360" s="1897">
        <v>0.51510204081632649</v>
      </c>
      <c r="H360" s="1897">
        <v>0.53551020408163275</v>
      </c>
      <c r="I360" s="1897">
        <v>0.47428571428571431</v>
      </c>
      <c r="J360" s="1897">
        <v>0.47102040816326535</v>
      </c>
      <c r="K360" s="1897">
        <v>0.44326530612244902</v>
      </c>
      <c r="L360" s="1897">
        <v>0.41306122448979593</v>
      </c>
      <c r="M360" s="1897">
        <v>1.7142857142857144E-2</v>
      </c>
      <c r="N360" s="1897">
        <v>3.7551020408163265E-2</v>
      </c>
      <c r="O360" s="1897">
        <v>4.2448979591836737E-2</v>
      </c>
      <c r="P360" s="1897">
        <v>0.45877551020408164</v>
      </c>
      <c r="Q360" s="1897">
        <v>0.47673469387755102</v>
      </c>
      <c r="R360" s="1897">
        <v>0.49877551020408162</v>
      </c>
      <c r="S360" s="1898">
        <f t="shared" si="10"/>
        <v>0.3653061224489797</v>
      </c>
    </row>
    <row r="361" spans="1:19">
      <c r="A361" s="1894">
        <f t="shared" si="11"/>
        <v>354</v>
      </c>
      <c r="B361" s="1895" t="s">
        <v>3250</v>
      </c>
      <c r="C361" s="1894" t="s">
        <v>524</v>
      </c>
      <c r="D361" s="1895" t="s">
        <v>541</v>
      </c>
      <c r="E361" s="1894" t="s">
        <v>259</v>
      </c>
      <c r="F361" s="1896">
        <v>245</v>
      </c>
      <c r="G361" s="1897">
        <v>0.80816326530612248</v>
      </c>
      <c r="H361" s="1897">
        <v>1.094204081632653</v>
      </c>
      <c r="I361" s="1897">
        <v>0.98644897959183675</v>
      </c>
      <c r="J361" s="1897">
        <v>0.98791836734693872</v>
      </c>
      <c r="K361" s="1897">
        <v>0.70677551020408169</v>
      </c>
      <c r="L361" s="1897">
        <v>0.8507755102040816</v>
      </c>
      <c r="M361" s="1897">
        <v>0.10138775510204082</v>
      </c>
      <c r="N361" s="1897">
        <v>0.11020408163265306</v>
      </c>
      <c r="O361" s="1897">
        <v>0.13861224489795917</v>
      </c>
      <c r="P361" s="1897">
        <v>1.1534693877551019</v>
      </c>
      <c r="Q361" s="1897">
        <v>0.93453061224489797</v>
      </c>
      <c r="R361" s="1897">
        <v>0.89730612244897956</v>
      </c>
      <c r="S361" s="1898">
        <f t="shared" si="10"/>
        <v>0.73081632653061224</v>
      </c>
    </row>
    <row r="362" spans="1:19">
      <c r="A362" s="1894">
        <f t="shared" si="11"/>
        <v>355</v>
      </c>
      <c r="B362" s="1895" t="s">
        <v>3251</v>
      </c>
      <c r="C362" s="1894" t="s">
        <v>524</v>
      </c>
      <c r="D362" s="1895" t="s">
        <v>636</v>
      </c>
      <c r="E362" s="1894" t="s">
        <v>259</v>
      </c>
      <c r="F362" s="1896">
        <v>245</v>
      </c>
      <c r="G362" s="1897">
        <v>0.74253061224489791</v>
      </c>
      <c r="H362" s="1897">
        <v>0.73534693877551016</v>
      </c>
      <c r="I362" s="1897">
        <v>0.7621224489795918</v>
      </c>
      <c r="J362" s="1897">
        <v>0.66612244897959183</v>
      </c>
      <c r="K362" s="1897">
        <v>0.60277551020408171</v>
      </c>
      <c r="L362" s="1897">
        <v>0.3395918367346939</v>
      </c>
      <c r="M362" s="1897">
        <v>0.44081632653061226</v>
      </c>
      <c r="N362" s="1897">
        <v>0.43363265306122445</v>
      </c>
      <c r="O362" s="1897">
        <v>0.35853061224489796</v>
      </c>
      <c r="P362" s="1897">
        <v>0.3441632653061224</v>
      </c>
      <c r="Q362" s="1897">
        <v>0.39771428571428569</v>
      </c>
      <c r="R362" s="1897">
        <v>0.4577959183673469</v>
      </c>
      <c r="S362" s="1898">
        <f t="shared" si="10"/>
        <v>0.52342857142857147</v>
      </c>
    </row>
    <row r="363" spans="1:19">
      <c r="A363" s="1894">
        <f t="shared" si="11"/>
        <v>356</v>
      </c>
      <c r="B363" s="1895" t="s">
        <v>3252</v>
      </c>
      <c r="C363" s="1894" t="s">
        <v>524</v>
      </c>
      <c r="D363" s="1895" t="s">
        <v>737</v>
      </c>
      <c r="E363" s="1894" t="s">
        <v>259</v>
      </c>
      <c r="F363" s="1896">
        <v>247</v>
      </c>
      <c r="G363" s="1897">
        <v>0.16582995951417004</v>
      </c>
      <c r="H363" s="1897">
        <v>0.16064777327935223</v>
      </c>
      <c r="I363" s="1897">
        <v>0.15546558704453442</v>
      </c>
      <c r="J363" s="1897">
        <v>0.16647773279352229</v>
      </c>
      <c r="K363" s="1897">
        <v>7.6437246963562744E-2</v>
      </c>
      <c r="L363" s="1897">
        <v>0.21441295546558703</v>
      </c>
      <c r="M363" s="1897">
        <v>0.13732793522267206</v>
      </c>
      <c r="N363" s="1897">
        <v>0.12242914979757086</v>
      </c>
      <c r="O363" s="1897">
        <v>6.8016194331983804E-2</v>
      </c>
      <c r="P363" s="1897">
        <v>6.7368421052631577E-2</v>
      </c>
      <c r="Q363" s="1897">
        <v>0.10623481781376519</v>
      </c>
      <c r="R363" s="1897">
        <v>0.11076923076923077</v>
      </c>
      <c r="S363" s="1898">
        <f t="shared" si="10"/>
        <v>0.1292847503373819</v>
      </c>
    </row>
    <row r="364" spans="1:19">
      <c r="A364" s="1894">
        <f t="shared" si="11"/>
        <v>357</v>
      </c>
      <c r="B364" s="1895" t="s">
        <v>3253</v>
      </c>
      <c r="C364" s="1894" t="s">
        <v>524</v>
      </c>
      <c r="D364" s="1895" t="s">
        <v>636</v>
      </c>
      <c r="E364" s="1894" t="s">
        <v>259</v>
      </c>
      <c r="F364" s="1896">
        <v>250</v>
      </c>
      <c r="G364" s="1897">
        <v>0.76</v>
      </c>
      <c r="H364" s="1897">
        <v>0.85199999999999998</v>
      </c>
      <c r="I364" s="1897">
        <v>0.84</v>
      </c>
      <c r="J364" s="1897">
        <v>0.82</v>
      </c>
      <c r="K364" s="1897">
        <v>0.84</v>
      </c>
      <c r="L364" s="1897">
        <v>0.82399999999999995</v>
      </c>
      <c r="M364" s="1897">
        <v>0.91600000000000004</v>
      </c>
      <c r="N364" s="1897">
        <v>0.97599999999999998</v>
      </c>
      <c r="O364" s="1897">
        <v>0.99199999999999999</v>
      </c>
      <c r="P364" s="1897">
        <v>1.032</v>
      </c>
      <c r="Q364" s="1897">
        <v>0.92800000000000005</v>
      </c>
      <c r="R364" s="1897">
        <v>0.876</v>
      </c>
      <c r="S364" s="1898">
        <f t="shared" si="10"/>
        <v>0.88800000000000001</v>
      </c>
    </row>
    <row r="365" spans="1:19">
      <c r="A365" s="1894">
        <f t="shared" si="11"/>
        <v>358</v>
      </c>
      <c r="B365" s="1895" t="s">
        <v>3254</v>
      </c>
      <c r="C365" s="1894" t="s">
        <v>524</v>
      </c>
      <c r="D365" s="1895" t="s">
        <v>541</v>
      </c>
      <c r="E365" s="1894" t="s">
        <v>259</v>
      </c>
      <c r="F365" s="1896">
        <v>250</v>
      </c>
      <c r="G365" s="1897">
        <v>0.72160000000000002</v>
      </c>
      <c r="H365" s="1897">
        <v>0.72320000000000007</v>
      </c>
      <c r="I365" s="1897">
        <v>0.70720000000000005</v>
      </c>
      <c r="J365" s="1897">
        <v>0.30719999999999997</v>
      </c>
      <c r="K365" s="1897">
        <v>0.7168000000000001</v>
      </c>
      <c r="L365" s="1897">
        <v>0.72384000000000004</v>
      </c>
      <c r="M365" s="1897">
        <v>0.75839999999999996</v>
      </c>
      <c r="N365" s="1897">
        <v>0.72767999999999999</v>
      </c>
      <c r="O365" s="1897">
        <v>0.73151999999999995</v>
      </c>
      <c r="P365" s="1897">
        <v>0.73920000000000008</v>
      </c>
      <c r="Q365" s="1897">
        <v>0.86592000000000002</v>
      </c>
      <c r="R365" s="1897">
        <v>0.90112000000000003</v>
      </c>
      <c r="S365" s="1898">
        <f t="shared" si="10"/>
        <v>0.71864000000000006</v>
      </c>
    </row>
    <row r="366" spans="1:19">
      <c r="A366" s="1894">
        <f t="shared" si="11"/>
        <v>359</v>
      </c>
      <c r="B366" s="1895" t="s">
        <v>3255</v>
      </c>
      <c r="C366" s="1894" t="s">
        <v>524</v>
      </c>
      <c r="D366" s="1895" t="s">
        <v>541</v>
      </c>
      <c r="E366" s="1894" t="s">
        <v>259</v>
      </c>
      <c r="F366" s="1896">
        <v>250</v>
      </c>
      <c r="G366" s="1897">
        <v>0</v>
      </c>
      <c r="H366" s="1897">
        <v>0</v>
      </c>
      <c r="I366" s="1897">
        <v>0</v>
      </c>
      <c r="J366" s="1897">
        <v>0.35520000000000002</v>
      </c>
      <c r="K366" s="1897">
        <v>0.37823999999999997</v>
      </c>
      <c r="L366" s="1897">
        <v>0.38783999999999996</v>
      </c>
      <c r="M366" s="1897">
        <v>0.43391999999999997</v>
      </c>
      <c r="N366" s="1897">
        <v>0.71232000000000006</v>
      </c>
      <c r="O366" s="1897">
        <v>0.64895999999999987</v>
      </c>
      <c r="P366" s="1897">
        <v>0.67008000000000001</v>
      </c>
      <c r="Q366" s="1897">
        <v>0.56447999999999998</v>
      </c>
      <c r="R366" s="1897">
        <v>0.56447999999999998</v>
      </c>
      <c r="S366" s="1898">
        <f t="shared" si="10"/>
        <v>0.39295999999999998</v>
      </c>
    </row>
    <row r="367" spans="1:19">
      <c r="A367" s="1894">
        <f t="shared" si="11"/>
        <v>360</v>
      </c>
      <c r="B367" s="1895" t="s">
        <v>3256</v>
      </c>
      <c r="C367" s="1894" t="s">
        <v>524</v>
      </c>
      <c r="D367" s="1895" t="s">
        <v>541</v>
      </c>
      <c r="E367" s="1894" t="s">
        <v>259</v>
      </c>
      <c r="F367" s="1896">
        <v>250</v>
      </c>
      <c r="G367" s="1897">
        <v>0</v>
      </c>
      <c r="H367" s="1897">
        <v>0</v>
      </c>
      <c r="I367" s="1897">
        <v>0</v>
      </c>
      <c r="J367" s="1897">
        <v>3.0719999999999997E-2</v>
      </c>
      <c r="K367" s="1897">
        <v>8.9599999999999992E-3</v>
      </c>
      <c r="L367" s="1897">
        <v>1.6E-2</v>
      </c>
      <c r="M367" s="1897">
        <v>0.16319999999999998</v>
      </c>
      <c r="N367" s="1897">
        <v>1.5359999999999999E-2</v>
      </c>
      <c r="O367" s="1897">
        <v>2.3039999999999998E-2</v>
      </c>
      <c r="P367" s="1897">
        <v>2.6879999999999998E-2</v>
      </c>
      <c r="Q367" s="1897">
        <v>1.7919999999999998E-2</v>
      </c>
      <c r="R367" s="1897">
        <v>1.4080000000000001E-2</v>
      </c>
      <c r="S367" s="1898">
        <f t="shared" si="10"/>
        <v>2.6346666666666661E-2</v>
      </c>
    </row>
    <row r="368" spans="1:19">
      <c r="A368" s="1894">
        <f t="shared" si="11"/>
        <v>361</v>
      </c>
      <c r="B368" s="1895" t="s">
        <v>3257</v>
      </c>
      <c r="C368" s="1894" t="s">
        <v>524</v>
      </c>
      <c r="D368" s="1895" t="s">
        <v>2966</v>
      </c>
      <c r="E368" s="1894" t="s">
        <v>259</v>
      </c>
      <c r="F368" s="1896">
        <v>250</v>
      </c>
      <c r="G368" s="1897">
        <v>1.2800000000000001E-2</v>
      </c>
      <c r="H368" s="1897">
        <v>2.24E-2</v>
      </c>
      <c r="I368" s="1897">
        <v>2.4E-2</v>
      </c>
      <c r="J368" s="1897">
        <v>4.7999999999999996E-3</v>
      </c>
      <c r="K368" s="1897">
        <v>1.6800000000000002E-2</v>
      </c>
      <c r="L368" s="1897">
        <v>1.2800000000000001E-2</v>
      </c>
      <c r="M368" s="1897">
        <v>4.5600000000000002E-2</v>
      </c>
      <c r="N368" s="1897">
        <v>0.02</v>
      </c>
      <c r="O368" s="1897">
        <v>3.2800000000000003E-2</v>
      </c>
      <c r="P368" s="1897">
        <v>3.04E-2</v>
      </c>
      <c r="Q368" s="1897">
        <v>1.7600000000000001E-2</v>
      </c>
      <c r="R368" s="1897">
        <v>1.2800000000000001E-2</v>
      </c>
      <c r="S368" s="1898">
        <f t="shared" si="10"/>
        <v>2.1066666666666668E-2</v>
      </c>
    </row>
    <row r="369" spans="1:19">
      <c r="A369" s="1894">
        <f t="shared" si="11"/>
        <v>362</v>
      </c>
      <c r="B369" s="1895" t="s">
        <v>3258</v>
      </c>
      <c r="C369" s="1894" t="s">
        <v>524</v>
      </c>
      <c r="D369" s="1895" t="s">
        <v>541</v>
      </c>
      <c r="E369" s="1894" t="s">
        <v>259</v>
      </c>
      <c r="F369" s="1896">
        <v>250</v>
      </c>
      <c r="G369" s="1897">
        <v>0.39551999999999998</v>
      </c>
      <c r="H369" s="1897">
        <v>0.88896000000000008</v>
      </c>
      <c r="I369" s="1897">
        <v>0.88128000000000006</v>
      </c>
      <c r="J369" s="1897">
        <v>0.85536000000000001</v>
      </c>
      <c r="K369" s="1897">
        <v>0.85248000000000002</v>
      </c>
      <c r="L369" s="1897">
        <v>0.85823999999999989</v>
      </c>
      <c r="M369" s="1897">
        <v>0.78912000000000004</v>
      </c>
      <c r="N369" s="1897">
        <v>0.69216</v>
      </c>
      <c r="O369" s="1897">
        <v>0.63840000000000008</v>
      </c>
      <c r="P369" s="1897">
        <v>0.70848</v>
      </c>
      <c r="Q369" s="1897">
        <v>0.69408000000000003</v>
      </c>
      <c r="R369" s="1897">
        <v>0.66048000000000007</v>
      </c>
      <c r="S369" s="1898">
        <f t="shared" si="10"/>
        <v>0.74287999999999998</v>
      </c>
    </row>
    <row r="370" spans="1:19">
      <c r="A370" s="1894">
        <f t="shared" si="11"/>
        <v>363</v>
      </c>
      <c r="B370" s="1895" t="s">
        <v>3259</v>
      </c>
      <c r="C370" s="1894" t="s">
        <v>524</v>
      </c>
      <c r="D370" s="1895" t="s">
        <v>2966</v>
      </c>
      <c r="E370" s="1894" t="s">
        <v>259</v>
      </c>
      <c r="F370" s="1896">
        <v>250</v>
      </c>
      <c r="G370" s="1897">
        <v>0.67232000000000003</v>
      </c>
      <c r="H370" s="1897">
        <v>0.57184000000000001</v>
      </c>
      <c r="I370" s="1897">
        <v>0.16575999999999999</v>
      </c>
      <c r="J370" s="1897">
        <v>0.53791999999999995</v>
      </c>
      <c r="K370" s="1897">
        <v>0.96704000000000012</v>
      </c>
      <c r="L370" s="1897">
        <v>1.0220800000000001</v>
      </c>
      <c r="M370" s="1897">
        <v>0.43456</v>
      </c>
      <c r="N370" s="1897">
        <v>8.7039999999999992E-2</v>
      </c>
      <c r="O370" s="1897">
        <v>0.11712</v>
      </c>
      <c r="P370" s="1897">
        <v>0.32191999999999998</v>
      </c>
      <c r="Q370" s="1897">
        <v>0.45279999999999998</v>
      </c>
      <c r="R370" s="1897">
        <v>0.63263999999999998</v>
      </c>
      <c r="S370" s="1898">
        <f t="shared" si="10"/>
        <v>0.49858666666666673</v>
      </c>
    </row>
    <row r="371" spans="1:19">
      <c r="A371" s="1894">
        <f t="shared" si="11"/>
        <v>364</v>
      </c>
      <c r="B371" s="1895" t="s">
        <v>3260</v>
      </c>
      <c r="C371" s="1894" t="s">
        <v>524</v>
      </c>
      <c r="D371" s="1895" t="s">
        <v>636</v>
      </c>
      <c r="E371" s="1894" t="s">
        <v>259</v>
      </c>
      <c r="F371" s="1896">
        <v>250</v>
      </c>
      <c r="G371" s="1897">
        <v>0.65600000000000003</v>
      </c>
      <c r="H371" s="1897">
        <v>0.6352000000000001</v>
      </c>
      <c r="I371" s="1897">
        <v>0.72831999999999997</v>
      </c>
      <c r="J371" s="1897">
        <v>0.66879999999999995</v>
      </c>
      <c r="K371" s="1897">
        <v>0.58368000000000009</v>
      </c>
      <c r="L371" s="1897">
        <v>0.63551999999999997</v>
      </c>
      <c r="M371" s="1897">
        <v>0.67712000000000006</v>
      </c>
      <c r="N371" s="1897">
        <v>0.51584000000000008</v>
      </c>
      <c r="O371" s="1897">
        <v>0.49471999999999999</v>
      </c>
      <c r="P371" s="1897">
        <v>0.44800000000000006</v>
      </c>
      <c r="Q371" s="1897">
        <v>0.60544000000000009</v>
      </c>
      <c r="R371" s="1897">
        <v>0.61120000000000008</v>
      </c>
      <c r="S371" s="1898">
        <f t="shared" si="10"/>
        <v>0.60498666666666667</v>
      </c>
    </row>
    <row r="372" spans="1:19">
      <c r="A372" s="1894">
        <f t="shared" si="11"/>
        <v>365</v>
      </c>
      <c r="B372" s="1895" t="s">
        <v>3261</v>
      </c>
      <c r="C372" s="1894" t="s">
        <v>524</v>
      </c>
      <c r="D372" s="1895" t="s">
        <v>636</v>
      </c>
      <c r="E372" s="1894" t="s">
        <v>259</v>
      </c>
      <c r="F372" s="1896">
        <v>250</v>
      </c>
      <c r="G372" s="1897">
        <v>0.13920000000000002</v>
      </c>
      <c r="H372" s="1897">
        <v>0.156</v>
      </c>
      <c r="I372" s="1897">
        <v>0.40800000000000003</v>
      </c>
      <c r="J372" s="1897">
        <v>0.44880000000000003</v>
      </c>
      <c r="K372" s="1897">
        <v>0.1152</v>
      </c>
      <c r="L372" s="1897">
        <v>0.12864</v>
      </c>
      <c r="M372" s="1897">
        <v>0.49679999999999996</v>
      </c>
      <c r="N372" s="1897">
        <v>0.4224</v>
      </c>
      <c r="O372" s="1897">
        <v>0.12096000000000001</v>
      </c>
      <c r="P372" s="1897">
        <v>0.13056000000000001</v>
      </c>
      <c r="Q372" s="1897">
        <v>0.12767999999999999</v>
      </c>
      <c r="R372" s="1897">
        <v>9.2159999999999992E-2</v>
      </c>
      <c r="S372" s="1898">
        <f t="shared" si="10"/>
        <v>0.23219999999999999</v>
      </c>
    </row>
    <row r="373" spans="1:19">
      <c r="A373" s="1894">
        <f t="shared" si="11"/>
        <v>366</v>
      </c>
      <c r="B373" s="1895" t="s">
        <v>3262</v>
      </c>
      <c r="C373" s="1894" t="s">
        <v>524</v>
      </c>
      <c r="D373" s="1895" t="s">
        <v>541</v>
      </c>
      <c r="E373" s="1894" t="s">
        <v>259</v>
      </c>
      <c r="F373" s="1896">
        <v>250</v>
      </c>
      <c r="G373" s="1897">
        <v>0.85680000000000001</v>
      </c>
      <c r="H373" s="1897">
        <v>0.87280000000000002</v>
      </c>
      <c r="I373" s="1897">
        <v>0.8872000000000001</v>
      </c>
      <c r="J373" s="1897">
        <v>0.89759999999999995</v>
      </c>
      <c r="K373" s="1897">
        <v>0.85040000000000004</v>
      </c>
      <c r="L373" s="1897">
        <v>0.87119999999999997</v>
      </c>
      <c r="M373" s="1897">
        <v>0.89759999999999995</v>
      </c>
      <c r="N373" s="1897">
        <v>0.87839999999999996</v>
      </c>
      <c r="O373" s="1897">
        <v>0.94</v>
      </c>
      <c r="P373" s="1897">
        <v>0.8992</v>
      </c>
      <c r="Q373" s="1897">
        <v>0.86160000000000003</v>
      </c>
      <c r="R373" s="1897">
        <v>0.81599999999999995</v>
      </c>
      <c r="S373" s="1898">
        <f t="shared" si="10"/>
        <v>0.87740000000000007</v>
      </c>
    </row>
    <row r="374" spans="1:19">
      <c r="A374" s="1894">
        <f t="shared" si="11"/>
        <v>367</v>
      </c>
      <c r="B374" s="1895" t="s">
        <v>3263</v>
      </c>
      <c r="C374" s="1894" t="s">
        <v>524</v>
      </c>
      <c r="D374" s="1895" t="s">
        <v>541</v>
      </c>
      <c r="E374" s="1894" t="s">
        <v>259</v>
      </c>
      <c r="F374" s="1896">
        <v>250</v>
      </c>
      <c r="G374" s="1897">
        <v>0.72575999999999996</v>
      </c>
      <c r="H374" s="1897">
        <v>0.74975999999999998</v>
      </c>
      <c r="I374" s="1897">
        <v>0.77616000000000007</v>
      </c>
      <c r="J374" s="1897">
        <v>0.78336000000000006</v>
      </c>
      <c r="K374" s="1897">
        <v>0.82128000000000001</v>
      </c>
      <c r="L374" s="1897">
        <v>0.84815999999999991</v>
      </c>
      <c r="M374" s="1897">
        <v>0.80112000000000005</v>
      </c>
      <c r="N374" s="1897">
        <v>7.0559999999999998E-2</v>
      </c>
      <c r="O374" s="1897">
        <v>0.46223999999999998</v>
      </c>
      <c r="P374" s="1897">
        <v>0.70416000000000001</v>
      </c>
      <c r="Q374" s="1897">
        <v>0.80591999999999997</v>
      </c>
      <c r="R374" s="1897">
        <v>0.89376</v>
      </c>
      <c r="S374" s="1898">
        <f t="shared" si="10"/>
        <v>0.70352000000000015</v>
      </c>
    </row>
    <row r="375" spans="1:19">
      <c r="A375" s="1894">
        <f t="shared" si="11"/>
        <v>368</v>
      </c>
      <c r="B375" s="1895" t="s">
        <v>3264</v>
      </c>
      <c r="C375" s="1894" t="s">
        <v>524</v>
      </c>
      <c r="D375" s="1895" t="s">
        <v>636</v>
      </c>
      <c r="E375" s="1894" t="s">
        <v>259</v>
      </c>
      <c r="F375" s="1896">
        <v>250</v>
      </c>
      <c r="G375" s="1897">
        <v>0.86399999999999999</v>
      </c>
      <c r="H375" s="1897">
        <v>0.99168000000000012</v>
      </c>
      <c r="I375" s="1897">
        <v>0.99168000000000012</v>
      </c>
      <c r="J375" s="1897">
        <v>0.79680000000000006</v>
      </c>
      <c r="K375" s="1897">
        <v>0.79200000000000004</v>
      </c>
      <c r="L375" s="1897">
        <v>0.80640000000000012</v>
      </c>
      <c r="M375" s="1897">
        <v>0.81311999999999995</v>
      </c>
      <c r="N375" s="1897">
        <v>0.72</v>
      </c>
      <c r="O375" s="1897">
        <v>0.61824000000000001</v>
      </c>
      <c r="P375" s="1897">
        <v>0.65471999999999997</v>
      </c>
      <c r="Q375" s="1897">
        <v>0.74879999999999991</v>
      </c>
      <c r="R375" s="1897">
        <v>0.69696000000000002</v>
      </c>
      <c r="S375" s="1898">
        <f t="shared" si="10"/>
        <v>0.7911999999999999</v>
      </c>
    </row>
    <row r="376" spans="1:19">
      <c r="A376" s="1894">
        <f t="shared" si="11"/>
        <v>369</v>
      </c>
      <c r="B376" s="1895" t="s">
        <v>3265</v>
      </c>
      <c r="C376" s="1894" t="s">
        <v>524</v>
      </c>
      <c r="D376" s="1895" t="s">
        <v>541</v>
      </c>
      <c r="E376" s="1894" t="s">
        <v>259</v>
      </c>
      <c r="F376" s="1896">
        <v>250</v>
      </c>
      <c r="G376" s="1897">
        <v>0.30719999999999997</v>
      </c>
      <c r="H376" s="1897">
        <v>0.7367999999999999</v>
      </c>
      <c r="I376" s="1897">
        <v>0.45200000000000001</v>
      </c>
      <c r="J376" s="1897">
        <v>0.3352</v>
      </c>
      <c r="K376" s="1897">
        <v>0.33279999999999998</v>
      </c>
      <c r="L376" s="1897">
        <v>0.34560000000000002</v>
      </c>
      <c r="M376" s="1897">
        <v>0.38160000000000005</v>
      </c>
      <c r="N376" s="1897">
        <v>0.32079999999999997</v>
      </c>
      <c r="O376" s="1897">
        <v>0.32079999999999997</v>
      </c>
      <c r="P376" s="1897">
        <v>0.64480000000000004</v>
      </c>
      <c r="Q376" s="1897">
        <v>0.61599999999999999</v>
      </c>
      <c r="R376" s="1897">
        <v>0.60319999999999996</v>
      </c>
      <c r="S376" s="1898">
        <f t="shared" si="10"/>
        <v>0.44973333333333332</v>
      </c>
    </row>
    <row r="377" spans="1:19">
      <c r="A377" s="1894">
        <f t="shared" si="11"/>
        <v>370</v>
      </c>
      <c r="B377" s="1895" t="s">
        <v>3266</v>
      </c>
      <c r="C377" s="1894" t="s">
        <v>524</v>
      </c>
      <c r="D377" s="1895" t="s">
        <v>636</v>
      </c>
      <c r="E377" s="1894" t="s">
        <v>259</v>
      </c>
      <c r="F377" s="1896">
        <v>250</v>
      </c>
      <c r="G377" s="1897">
        <v>0.31728000000000001</v>
      </c>
      <c r="H377" s="1897">
        <v>0.29952000000000001</v>
      </c>
      <c r="I377" s="1897">
        <v>0.28992000000000001</v>
      </c>
      <c r="J377" s="1897">
        <v>0.21023999999999998</v>
      </c>
      <c r="K377" s="1897">
        <v>0.48959999999999998</v>
      </c>
      <c r="L377" s="1897">
        <v>0.23327999999999999</v>
      </c>
      <c r="M377" s="1897">
        <v>0.20832000000000001</v>
      </c>
      <c r="N377" s="1897">
        <v>0.11328000000000001</v>
      </c>
      <c r="O377" s="1897">
        <v>0.15168000000000001</v>
      </c>
      <c r="P377" s="1897">
        <v>0.12959999999999999</v>
      </c>
      <c r="Q377" s="1897">
        <v>0.16031999999999999</v>
      </c>
      <c r="R377" s="1897">
        <v>0.23135999999999998</v>
      </c>
      <c r="S377" s="1898">
        <f t="shared" si="10"/>
        <v>0.23619999999999997</v>
      </c>
    </row>
    <row r="378" spans="1:19">
      <c r="A378" s="1894">
        <f t="shared" si="11"/>
        <v>371</v>
      </c>
      <c r="B378" s="1895" t="s">
        <v>3267</v>
      </c>
      <c r="C378" s="1894" t="s">
        <v>524</v>
      </c>
      <c r="D378" s="1895" t="s">
        <v>641</v>
      </c>
      <c r="E378" s="1894" t="s">
        <v>259</v>
      </c>
      <c r="F378" s="1896">
        <v>250</v>
      </c>
      <c r="G378" s="1897">
        <v>0.31392000000000003</v>
      </c>
      <c r="H378" s="1897">
        <v>0.34848000000000001</v>
      </c>
      <c r="I378" s="1897">
        <v>0.28992000000000001</v>
      </c>
      <c r="J378" s="1897">
        <v>0.32927999999999996</v>
      </c>
      <c r="K378" s="1897">
        <v>0.34079999999999994</v>
      </c>
      <c r="L378" s="1897">
        <v>0.28416000000000002</v>
      </c>
      <c r="M378" s="1897">
        <v>0.28032000000000001</v>
      </c>
      <c r="N378" s="1897">
        <v>0.36863999999999997</v>
      </c>
      <c r="O378" s="1897">
        <v>0.38976</v>
      </c>
      <c r="P378" s="1897">
        <v>0.40415999999999996</v>
      </c>
      <c r="Q378" s="1897">
        <v>0.45216000000000001</v>
      </c>
      <c r="R378" s="1897">
        <v>0.36575999999999997</v>
      </c>
      <c r="S378" s="1898">
        <f t="shared" si="10"/>
        <v>0.34728000000000003</v>
      </c>
    </row>
    <row r="379" spans="1:19">
      <c r="A379" s="1894">
        <f t="shared" si="11"/>
        <v>372</v>
      </c>
      <c r="B379" s="1895" t="s">
        <v>3268</v>
      </c>
      <c r="C379" s="1894" t="s">
        <v>524</v>
      </c>
      <c r="D379" s="1895" t="s">
        <v>730</v>
      </c>
      <c r="E379" s="1894" t="s">
        <v>259</v>
      </c>
      <c r="F379" s="1896">
        <v>250.44</v>
      </c>
      <c r="G379" s="1897">
        <v>0.24756428685513496</v>
      </c>
      <c r="H379" s="1897">
        <v>0.25746685832934035</v>
      </c>
      <c r="I379" s="1897">
        <v>0.25203641590800191</v>
      </c>
      <c r="J379" s="1897">
        <v>0.24756428685513496</v>
      </c>
      <c r="K379" s="1897">
        <v>0.24436990896022998</v>
      </c>
      <c r="L379" s="1897">
        <v>0.25459191822392585</v>
      </c>
      <c r="M379" s="1897">
        <v>0.24820316243411597</v>
      </c>
      <c r="N379" s="1897">
        <v>0.26130011180322632</v>
      </c>
      <c r="O379" s="1897">
        <v>0.26641111643507426</v>
      </c>
      <c r="P379" s="1897">
        <v>0.26193898738220733</v>
      </c>
      <c r="Q379" s="1897">
        <v>0.25491135601341636</v>
      </c>
      <c r="R379" s="1897">
        <v>0.25778629611883086</v>
      </c>
      <c r="S379" s="1898">
        <f t="shared" si="10"/>
        <v>0.25451205877655325</v>
      </c>
    </row>
    <row r="380" spans="1:19">
      <c r="A380" s="1894">
        <f t="shared" si="11"/>
        <v>373</v>
      </c>
      <c r="B380" s="1895" t="s">
        <v>3269</v>
      </c>
      <c r="C380" s="1894" t="s">
        <v>524</v>
      </c>
      <c r="D380" s="1895" t="s">
        <v>541</v>
      </c>
      <c r="E380" s="1894" t="s">
        <v>259</v>
      </c>
      <c r="F380" s="1896">
        <v>255</v>
      </c>
      <c r="G380" s="1897">
        <v>1.0817254901960784</v>
      </c>
      <c r="H380" s="1897">
        <v>0.78807843137254896</v>
      </c>
      <c r="I380" s="1897">
        <v>0.84141176470588241</v>
      </c>
      <c r="J380" s="1897">
        <v>1.0949019607843138</v>
      </c>
      <c r="K380" s="1897">
        <v>0.78494117647058814</v>
      </c>
      <c r="L380" s="1897">
        <v>0.19827450980392158</v>
      </c>
      <c r="M380" s="1897">
        <v>0.26227450980392153</v>
      </c>
      <c r="N380" s="1897">
        <v>0.16062745098039216</v>
      </c>
      <c r="O380" s="1897">
        <v>0.11419607843137256</v>
      </c>
      <c r="P380" s="1897">
        <v>1.0202352941176469</v>
      </c>
      <c r="Q380" s="1897">
        <v>1.0823529411764705</v>
      </c>
      <c r="R380" s="1897">
        <v>1.0371764705882354</v>
      </c>
      <c r="S380" s="1898">
        <f t="shared" si="10"/>
        <v>0.70551633986928097</v>
      </c>
    </row>
    <row r="381" spans="1:19">
      <c r="A381" s="1894">
        <f t="shared" si="11"/>
        <v>374</v>
      </c>
      <c r="B381" s="1895" t="s">
        <v>3270</v>
      </c>
      <c r="C381" s="1894" t="s">
        <v>524</v>
      </c>
      <c r="D381" s="1895" t="s">
        <v>737</v>
      </c>
      <c r="E381" s="1894" t="s">
        <v>259</v>
      </c>
      <c r="F381" s="1896">
        <v>255</v>
      </c>
      <c r="G381" s="1897">
        <v>0.52282352941176469</v>
      </c>
      <c r="H381" s="1897">
        <v>0.16800000000000001</v>
      </c>
      <c r="I381" s="1897">
        <v>0.17411764705882352</v>
      </c>
      <c r="J381" s="1897">
        <v>0.14352941176470588</v>
      </c>
      <c r="K381" s="1897">
        <v>0.50235294117647056</v>
      </c>
      <c r="L381" s="1897">
        <v>0.5430588235294117</v>
      </c>
      <c r="M381" s="1897">
        <v>0.12705882352941175</v>
      </c>
      <c r="N381" s="1897">
        <v>0.11764705882352941</v>
      </c>
      <c r="O381" s="1897">
        <v>0.42588235294117643</v>
      </c>
      <c r="P381" s="1897">
        <v>0.4475294117647059</v>
      </c>
      <c r="Q381" s="1897">
        <v>0.37929411764705884</v>
      </c>
      <c r="R381" s="1897">
        <v>0.46823529411764708</v>
      </c>
      <c r="S381" s="1898">
        <f t="shared" si="10"/>
        <v>0.33496078431372545</v>
      </c>
    </row>
    <row r="382" spans="1:19">
      <c r="A382" s="1894">
        <f t="shared" si="11"/>
        <v>375</v>
      </c>
      <c r="B382" s="1895" t="s">
        <v>3271</v>
      </c>
      <c r="C382" s="1894" t="s">
        <v>524</v>
      </c>
      <c r="D382" s="1895" t="s">
        <v>636</v>
      </c>
      <c r="E382" s="1894" t="s">
        <v>259</v>
      </c>
      <c r="F382" s="1896">
        <v>256</v>
      </c>
      <c r="G382" s="1897">
        <v>0.40781249999999997</v>
      </c>
      <c r="H382" s="1897">
        <v>0.34312500000000001</v>
      </c>
      <c r="I382" s="1897">
        <v>0.35531250000000003</v>
      </c>
      <c r="J382" s="1897">
        <v>0.35250000000000004</v>
      </c>
      <c r="K382" s="1897">
        <v>0.37406249999999996</v>
      </c>
      <c r="L382" s="1897">
        <v>0.35343749999999996</v>
      </c>
      <c r="M382" s="1897">
        <v>0.34031250000000002</v>
      </c>
      <c r="N382" s="1897">
        <v>0.30750000000000005</v>
      </c>
      <c r="O382" s="1897">
        <v>0.2146875</v>
      </c>
      <c r="P382" s="1897">
        <v>0.27468749999999997</v>
      </c>
      <c r="Q382" s="1897">
        <v>0.3253125</v>
      </c>
      <c r="R382" s="1897">
        <v>0.32624999999999998</v>
      </c>
      <c r="S382" s="1898">
        <f t="shared" si="10"/>
        <v>0.33125000000000004</v>
      </c>
    </row>
    <row r="383" spans="1:19">
      <c r="A383" s="1894">
        <f t="shared" si="11"/>
        <v>376</v>
      </c>
      <c r="B383" s="1895" t="s">
        <v>3272</v>
      </c>
      <c r="C383" s="1894" t="s">
        <v>524</v>
      </c>
      <c r="D383" s="1895" t="s">
        <v>541</v>
      </c>
      <c r="E383" s="1894" t="s">
        <v>259</v>
      </c>
      <c r="F383" s="1896">
        <v>256</v>
      </c>
      <c r="G383" s="1897">
        <v>0.43375000000000002</v>
      </c>
      <c r="H383" s="1897">
        <v>0.95937499999999998</v>
      </c>
      <c r="I383" s="1897">
        <v>0.93187500000000001</v>
      </c>
      <c r="J383" s="1897">
        <v>0.45437500000000003</v>
      </c>
      <c r="K383" s="1897">
        <v>0.05</v>
      </c>
      <c r="L383" s="1897">
        <v>0.3125</v>
      </c>
      <c r="M383" s="1897">
        <v>0.46750000000000003</v>
      </c>
      <c r="N383" s="1897">
        <v>0.37624999999999997</v>
      </c>
      <c r="O383" s="1897">
        <v>0.34875</v>
      </c>
      <c r="P383" s="1897">
        <v>3.1875000000000001E-2</v>
      </c>
      <c r="Q383" s="1897">
        <v>3.2500000000000001E-2</v>
      </c>
      <c r="R383" s="1897">
        <v>7.9375000000000001E-2</v>
      </c>
      <c r="S383" s="1898">
        <f t="shared" si="10"/>
        <v>0.37317708333333327</v>
      </c>
    </row>
    <row r="384" spans="1:19">
      <c r="A384" s="1894">
        <f t="shared" si="11"/>
        <v>377</v>
      </c>
      <c r="B384" s="1895" t="s">
        <v>3273</v>
      </c>
      <c r="C384" s="1894" t="s">
        <v>524</v>
      </c>
      <c r="D384" s="1895" t="s">
        <v>737</v>
      </c>
      <c r="E384" s="1894" t="s">
        <v>259</v>
      </c>
      <c r="F384" s="1896">
        <v>256</v>
      </c>
      <c r="G384" s="1897">
        <v>0.28281250000000002</v>
      </c>
      <c r="H384" s="1897">
        <v>0.26953125</v>
      </c>
      <c r="I384" s="1897">
        <v>0.16640625000000001</v>
      </c>
      <c r="J384" s="1897">
        <v>0.24062500000000001</v>
      </c>
      <c r="K384" s="1897">
        <v>0.2578125</v>
      </c>
      <c r="L384" s="1897">
        <v>0.26953125</v>
      </c>
      <c r="M384" s="1897">
        <v>0.23671875000000001</v>
      </c>
      <c r="N384" s="1897">
        <v>0.26718750000000002</v>
      </c>
      <c r="O384" s="1897">
        <v>0.25390625</v>
      </c>
      <c r="P384" s="1897">
        <v>0.23359374999999999</v>
      </c>
      <c r="Q384" s="1897">
        <v>0.25390625</v>
      </c>
      <c r="R384" s="1897">
        <v>0.25</v>
      </c>
      <c r="S384" s="1898">
        <f t="shared" si="10"/>
        <v>0.24850260416666667</v>
      </c>
    </row>
    <row r="385" spans="1:19">
      <c r="A385" s="1894">
        <f t="shared" si="11"/>
        <v>378</v>
      </c>
      <c r="B385" s="1895" t="s">
        <v>3274</v>
      </c>
      <c r="C385" s="1894" t="s">
        <v>524</v>
      </c>
      <c r="D385" s="1895" t="s">
        <v>636</v>
      </c>
      <c r="E385" s="1894" t="s">
        <v>259</v>
      </c>
      <c r="F385" s="1896">
        <v>256</v>
      </c>
      <c r="G385" s="1897">
        <v>0.43359375</v>
      </c>
      <c r="H385" s="1897">
        <v>0.39093749999999999</v>
      </c>
      <c r="I385" s="1897">
        <v>0.39279999999999998</v>
      </c>
      <c r="J385" s="1897">
        <v>0.37874999999999998</v>
      </c>
      <c r="K385" s="1897">
        <v>0.35343749999999996</v>
      </c>
      <c r="L385" s="1897">
        <v>0.45281250000000001</v>
      </c>
      <c r="M385" s="1897">
        <v>0.36843750000000003</v>
      </c>
      <c r="N385" s="1897">
        <v>0.28593750000000001</v>
      </c>
      <c r="O385" s="1897">
        <v>0.33468750000000003</v>
      </c>
      <c r="P385" s="1897">
        <v>0.29812500000000003</v>
      </c>
      <c r="Q385" s="1897">
        <v>0.208125</v>
      </c>
      <c r="R385" s="1897">
        <v>0.35531250000000003</v>
      </c>
      <c r="S385" s="1898">
        <f t="shared" si="10"/>
        <v>0.35441302083333331</v>
      </c>
    </row>
    <row r="386" spans="1:19">
      <c r="A386" s="1894">
        <f t="shared" si="11"/>
        <v>379</v>
      </c>
      <c r="B386" s="1895" t="s">
        <v>3275</v>
      </c>
      <c r="C386" s="1894" t="s">
        <v>524</v>
      </c>
      <c r="D386" s="1895" t="s">
        <v>541</v>
      </c>
      <c r="E386" s="1894" t="s">
        <v>259</v>
      </c>
      <c r="F386" s="1896">
        <v>260</v>
      </c>
      <c r="G386" s="1897">
        <v>1.3372307692307692</v>
      </c>
      <c r="H386" s="1897">
        <v>1.2381538461538459</v>
      </c>
      <c r="I386" s="1897">
        <v>1.0430769230769232</v>
      </c>
      <c r="J386" s="1897">
        <v>1.0867692307692307</v>
      </c>
      <c r="K386" s="1897">
        <v>1.0203076923076924</v>
      </c>
      <c r="L386" s="1897">
        <v>1.1476923076923076</v>
      </c>
      <c r="M386" s="1897">
        <v>1.0184615384615385</v>
      </c>
      <c r="N386" s="1897">
        <v>4.6769230769230771E-2</v>
      </c>
      <c r="O386" s="1897">
        <v>0.11815384615384615</v>
      </c>
      <c r="P386" s="1897">
        <v>0.86892307692307691</v>
      </c>
      <c r="Q386" s="1897">
        <v>0.92061538461538461</v>
      </c>
      <c r="R386" s="1897">
        <v>0.84676923076923072</v>
      </c>
      <c r="S386" s="1898">
        <f t="shared" si="10"/>
        <v>0.89107692307692299</v>
      </c>
    </row>
    <row r="387" spans="1:19">
      <c r="A387" s="1894">
        <f t="shared" si="11"/>
        <v>380</v>
      </c>
      <c r="B387" s="1895" t="s">
        <v>3276</v>
      </c>
      <c r="C387" s="1894" t="s">
        <v>524</v>
      </c>
      <c r="D387" s="1895" t="s">
        <v>541</v>
      </c>
      <c r="E387" s="1894" t="s">
        <v>259</v>
      </c>
      <c r="F387" s="1896">
        <v>260</v>
      </c>
      <c r="G387" s="1897">
        <v>0.66992307692307695</v>
      </c>
      <c r="H387" s="1897">
        <v>0.61846153846153851</v>
      </c>
      <c r="I387" s="1897">
        <v>0.79476923076923067</v>
      </c>
      <c r="J387" s="1897">
        <v>0.58061538461538464</v>
      </c>
      <c r="K387" s="1897">
        <v>0.70246153846153847</v>
      </c>
      <c r="L387" s="1897">
        <v>0.5501538461538461</v>
      </c>
      <c r="M387" s="1897">
        <v>0.66738461538461546</v>
      </c>
      <c r="N387" s="1897">
        <v>0.5778461538461539</v>
      </c>
      <c r="O387" s="1897">
        <v>0.75507692307692309</v>
      </c>
      <c r="P387" s="1897">
        <v>0.82799999999999996</v>
      </c>
      <c r="Q387" s="1897">
        <v>0.86123076923076913</v>
      </c>
      <c r="R387" s="1897">
        <v>0.96092307692307699</v>
      </c>
      <c r="S387" s="1898">
        <f t="shared" si="10"/>
        <v>0.71390384615384617</v>
      </c>
    </row>
    <row r="388" spans="1:19">
      <c r="A388" s="1894">
        <f t="shared" si="11"/>
        <v>381</v>
      </c>
      <c r="B388" s="1895" t="s">
        <v>3277</v>
      </c>
      <c r="C388" s="1894" t="s">
        <v>524</v>
      </c>
      <c r="D388" s="1895" t="s">
        <v>2966</v>
      </c>
      <c r="E388" s="1894" t="s">
        <v>259</v>
      </c>
      <c r="F388" s="1896">
        <v>267</v>
      </c>
      <c r="G388" s="1897">
        <v>0</v>
      </c>
      <c r="H388" s="1897">
        <v>0</v>
      </c>
      <c r="I388" s="1897">
        <v>7.1910112359550554E-2</v>
      </c>
      <c r="J388" s="1897">
        <v>1.9176029962546817E-2</v>
      </c>
      <c r="K388" s="1897">
        <v>3.2359550561797755E-2</v>
      </c>
      <c r="L388" s="1897">
        <v>2.4569288389513111E-2</v>
      </c>
      <c r="M388" s="1897">
        <v>4.1947565543071164E-2</v>
      </c>
      <c r="N388" s="1897">
        <v>3.895131086142322E-2</v>
      </c>
      <c r="O388" s="1897">
        <v>4.1348314606741571E-2</v>
      </c>
      <c r="P388" s="1897">
        <v>3.4756554307116105E-2</v>
      </c>
      <c r="Q388" s="1897">
        <v>2.3970037453183522E-2</v>
      </c>
      <c r="R388" s="1897">
        <v>4.3146067415730335E-2</v>
      </c>
      <c r="S388" s="1898">
        <f t="shared" si="10"/>
        <v>3.1011235955056185E-2</v>
      </c>
    </row>
    <row r="389" spans="1:19">
      <c r="A389" s="1894">
        <f t="shared" si="11"/>
        <v>382</v>
      </c>
      <c r="B389" s="1895" t="s">
        <v>3278</v>
      </c>
      <c r="C389" s="1894" t="s">
        <v>524</v>
      </c>
      <c r="D389" s="1895" t="s">
        <v>541</v>
      </c>
      <c r="E389" s="1894" t="s">
        <v>259</v>
      </c>
      <c r="F389" s="1896">
        <v>268</v>
      </c>
      <c r="G389" s="1897">
        <v>0.62194029850746269</v>
      </c>
      <c r="H389" s="1897">
        <v>0.861044776119403</v>
      </c>
      <c r="I389" s="1897">
        <v>1.1176119402985074</v>
      </c>
      <c r="J389" s="1897">
        <v>1.1144776119402986</v>
      </c>
      <c r="K389" s="1897">
        <v>0.86686567164179107</v>
      </c>
      <c r="L389" s="1897">
        <v>1.0719402985074629</v>
      </c>
      <c r="M389" s="1897">
        <v>0.82208955223880609</v>
      </c>
      <c r="N389" s="1897">
        <v>0.59731343283582083</v>
      </c>
      <c r="O389" s="1897">
        <v>0.5811940298507462</v>
      </c>
      <c r="P389" s="1897">
        <v>0.40880597014925374</v>
      </c>
      <c r="Q389" s="1897">
        <v>0.42537313432835822</v>
      </c>
      <c r="R389" s="1897">
        <v>0.42492537313432832</v>
      </c>
      <c r="S389" s="1898">
        <f t="shared" si="10"/>
        <v>0.74279850746268661</v>
      </c>
    </row>
    <row r="390" spans="1:19">
      <c r="A390" s="1894">
        <f t="shared" si="11"/>
        <v>383</v>
      </c>
      <c r="B390" s="1895" t="s">
        <v>3279</v>
      </c>
      <c r="C390" s="1894" t="s">
        <v>524</v>
      </c>
      <c r="D390" s="1895" t="s">
        <v>636</v>
      </c>
      <c r="E390" s="1894" t="s">
        <v>259</v>
      </c>
      <c r="F390" s="1896">
        <v>268</v>
      </c>
      <c r="G390" s="1897">
        <v>0.61134328358208956</v>
      </c>
      <c r="H390" s="1897">
        <v>0.59402985074626868</v>
      </c>
      <c r="I390" s="1897">
        <v>0.6065671641791045</v>
      </c>
      <c r="J390" s="1897">
        <v>0.4519402985074627</v>
      </c>
      <c r="K390" s="1897">
        <v>0.30686567164179107</v>
      </c>
      <c r="L390" s="1897">
        <v>0.51820895522388055</v>
      </c>
      <c r="M390" s="1897">
        <v>0.44059701492537318</v>
      </c>
      <c r="N390" s="1897">
        <v>0.36298507462686569</v>
      </c>
      <c r="O390" s="1897">
        <v>0.23223880597014923</v>
      </c>
      <c r="P390" s="1897">
        <v>0.24238805970149252</v>
      </c>
      <c r="Q390" s="1897">
        <v>0.31701492537313436</v>
      </c>
      <c r="R390" s="1897">
        <v>0.42746268656716419</v>
      </c>
      <c r="S390" s="1898">
        <f t="shared" si="10"/>
        <v>0.42597014925373133</v>
      </c>
    </row>
    <row r="391" spans="1:19">
      <c r="A391" s="1894">
        <f t="shared" si="11"/>
        <v>384</v>
      </c>
      <c r="B391" s="1895" t="s">
        <v>3280</v>
      </c>
      <c r="C391" s="1894" t="s">
        <v>524</v>
      </c>
      <c r="D391" s="1895" t="s">
        <v>2966</v>
      </c>
      <c r="E391" s="1894" t="s">
        <v>259</v>
      </c>
      <c r="F391" s="1896">
        <v>270</v>
      </c>
      <c r="G391" s="1897">
        <v>0.21466666666666667</v>
      </c>
      <c r="H391" s="1897">
        <v>0.24800000000000003</v>
      </c>
      <c r="I391" s="1897">
        <v>0.12444444444444445</v>
      </c>
      <c r="J391" s="1897">
        <v>0.17866666666666667</v>
      </c>
      <c r="K391" s="1897">
        <v>0.16622222222222224</v>
      </c>
      <c r="L391" s="1897">
        <v>0.19377777777777777</v>
      </c>
      <c r="M391" s="1897">
        <v>0.20844444444444443</v>
      </c>
      <c r="N391" s="1897">
        <v>0.22755555555555557</v>
      </c>
      <c r="O391" s="1897">
        <v>0.27866666666666667</v>
      </c>
      <c r="P391" s="1897">
        <v>0.25022222222222223</v>
      </c>
      <c r="Q391" s="1897">
        <v>7.7333333333333323E-2</v>
      </c>
      <c r="R391" s="1897">
        <v>9.3777777777777779E-2</v>
      </c>
      <c r="S391" s="1898">
        <f t="shared" si="10"/>
        <v>0.18848148148148147</v>
      </c>
    </row>
    <row r="392" spans="1:19">
      <c r="A392" s="1894">
        <f t="shared" si="11"/>
        <v>385</v>
      </c>
      <c r="B392" s="1895" t="s">
        <v>3281</v>
      </c>
      <c r="C392" s="1894" t="s">
        <v>524</v>
      </c>
      <c r="D392" s="1895" t="s">
        <v>541</v>
      </c>
      <c r="E392" s="1894" t="s">
        <v>259</v>
      </c>
      <c r="F392" s="1896">
        <v>270</v>
      </c>
      <c r="G392" s="1897">
        <v>1.0536296296296297</v>
      </c>
      <c r="H392" s="1897">
        <v>0.9754074074074075</v>
      </c>
      <c r="I392" s="1897">
        <v>0.97125925925925927</v>
      </c>
      <c r="J392" s="1897">
        <v>0.9357037037037037</v>
      </c>
      <c r="K392" s="1897">
        <v>0.90251851851851839</v>
      </c>
      <c r="L392" s="1897">
        <v>0.81896296296296289</v>
      </c>
      <c r="M392" s="1897">
        <v>0.41007407407407409</v>
      </c>
      <c r="N392" s="1897">
        <v>0.48533333333333328</v>
      </c>
      <c r="O392" s="1897">
        <v>0.81422222222222218</v>
      </c>
      <c r="P392" s="1897">
        <v>0.83199999999999996</v>
      </c>
      <c r="Q392" s="1897">
        <v>0.87111111111111106</v>
      </c>
      <c r="R392" s="1897">
        <v>0.87288888888888883</v>
      </c>
      <c r="S392" s="1898">
        <f t="shared" ref="S392:S455" si="12">+SUM(G392:R392)/12</f>
        <v>0.82859259259259244</v>
      </c>
    </row>
    <row r="393" spans="1:19">
      <c r="A393" s="1894">
        <f t="shared" si="11"/>
        <v>386</v>
      </c>
      <c r="B393" s="1895" t="s">
        <v>3282</v>
      </c>
      <c r="C393" s="1894" t="s">
        <v>2930</v>
      </c>
      <c r="D393" s="1895" t="s">
        <v>541</v>
      </c>
      <c r="E393" s="1894" t="s">
        <v>259</v>
      </c>
      <c r="F393" s="1896">
        <v>270</v>
      </c>
      <c r="G393" s="1897">
        <v>0</v>
      </c>
      <c r="H393" s="1897">
        <v>0</v>
      </c>
      <c r="I393" s="1897">
        <v>0</v>
      </c>
      <c r="J393" s="1897">
        <v>0</v>
      </c>
      <c r="K393" s="1897">
        <v>0</v>
      </c>
      <c r="L393" s="1897">
        <v>0</v>
      </c>
      <c r="M393" s="1897">
        <v>0</v>
      </c>
      <c r="N393" s="1897">
        <v>0</v>
      </c>
      <c r="O393" s="1897">
        <v>0</v>
      </c>
      <c r="P393" s="1897">
        <v>0</v>
      </c>
      <c r="Q393" s="1897">
        <v>0</v>
      </c>
      <c r="R393" s="1897">
        <v>0</v>
      </c>
      <c r="S393" s="1898">
        <f t="shared" si="12"/>
        <v>0</v>
      </c>
    </row>
    <row r="394" spans="1:19">
      <c r="A394" s="1894">
        <f t="shared" ref="A394:A457" si="13">+A393+1</f>
        <v>387</v>
      </c>
      <c r="B394" s="1895" t="s">
        <v>3283</v>
      </c>
      <c r="C394" s="1894" t="s">
        <v>524</v>
      </c>
      <c r="D394" s="1895" t="s">
        <v>730</v>
      </c>
      <c r="E394" s="1894" t="s">
        <v>259</v>
      </c>
      <c r="F394" s="1896">
        <v>271</v>
      </c>
      <c r="G394" s="1897">
        <v>0.34833948339483389</v>
      </c>
      <c r="H394" s="1897">
        <v>0.36191881918819185</v>
      </c>
      <c r="I394" s="1897">
        <v>0.32590405904059039</v>
      </c>
      <c r="J394" s="1897">
        <v>0.35601476014760147</v>
      </c>
      <c r="K394" s="1897">
        <v>0.37254612546125465</v>
      </c>
      <c r="L394" s="1897">
        <v>0.36428044280442806</v>
      </c>
      <c r="M394" s="1897">
        <v>0.37431734317343174</v>
      </c>
      <c r="N394" s="1897">
        <v>0.35424354243542433</v>
      </c>
      <c r="O394" s="1897">
        <v>0.35896678966789669</v>
      </c>
      <c r="P394" s="1897">
        <v>0.34538745387453879</v>
      </c>
      <c r="Q394" s="1897">
        <v>0.32708487084870846</v>
      </c>
      <c r="R394" s="1897">
        <v>0.35660516605166054</v>
      </c>
      <c r="S394" s="1898">
        <f t="shared" si="12"/>
        <v>0.35380073800738016</v>
      </c>
    </row>
    <row r="395" spans="1:19">
      <c r="A395" s="1894">
        <f t="shared" si="13"/>
        <v>388</v>
      </c>
      <c r="B395" s="1895" t="s">
        <v>3284</v>
      </c>
      <c r="C395" s="1894" t="s">
        <v>524</v>
      </c>
      <c r="D395" s="1895" t="s">
        <v>541</v>
      </c>
      <c r="E395" s="1894" t="s">
        <v>259</v>
      </c>
      <c r="F395" s="1896">
        <v>274</v>
      </c>
      <c r="G395" s="1897">
        <v>0.84525547445255478</v>
      </c>
      <c r="H395" s="1897">
        <v>0.88248175182481758</v>
      </c>
      <c r="I395" s="1897">
        <v>0.85357664233576636</v>
      </c>
      <c r="J395" s="1897">
        <v>0.994160583941606</v>
      </c>
      <c r="K395" s="1897">
        <v>0.72306569343065696</v>
      </c>
      <c r="L395" s="1897">
        <v>0.91795620437956205</v>
      </c>
      <c r="M395" s="1897">
        <v>0.98540145985401462</v>
      </c>
      <c r="N395" s="1897">
        <v>1.0607299270072992</v>
      </c>
      <c r="O395" s="1897">
        <v>0.88773722627737217</v>
      </c>
      <c r="P395" s="1897">
        <v>1.0235036496350365</v>
      </c>
      <c r="Q395" s="1897">
        <v>1.0462773722627738</v>
      </c>
      <c r="R395" s="1897">
        <v>1.1925547445255473</v>
      </c>
      <c r="S395" s="1898">
        <f t="shared" si="12"/>
        <v>0.95105839416058391</v>
      </c>
    </row>
    <row r="396" spans="1:19">
      <c r="A396" s="1894">
        <f t="shared" si="13"/>
        <v>389</v>
      </c>
      <c r="B396" s="1895" t="s">
        <v>3285</v>
      </c>
      <c r="C396" s="1894" t="s">
        <v>524</v>
      </c>
      <c r="D396" s="1895" t="s">
        <v>730</v>
      </c>
      <c r="E396" s="1894" t="s">
        <v>259</v>
      </c>
      <c r="F396" s="1896">
        <v>275</v>
      </c>
      <c r="G396" s="1897">
        <v>0.36538181818181814</v>
      </c>
      <c r="H396" s="1897">
        <v>0.36654545454545451</v>
      </c>
      <c r="I396" s="1897">
        <v>0.36072727272727273</v>
      </c>
      <c r="J396" s="1897">
        <v>0.36480000000000001</v>
      </c>
      <c r="K396" s="1897">
        <v>0.35781818181818181</v>
      </c>
      <c r="L396" s="1897">
        <v>0.36538181818181814</v>
      </c>
      <c r="M396" s="1897">
        <v>0.36247272727272728</v>
      </c>
      <c r="N396" s="1897">
        <v>0.36712727272727275</v>
      </c>
      <c r="O396" s="1897">
        <v>0.3549090909090909</v>
      </c>
      <c r="P396" s="1897">
        <v>0.36247272727272728</v>
      </c>
      <c r="Q396" s="1897">
        <v>0.3514181818181818</v>
      </c>
      <c r="R396" s="1897">
        <v>0.35199999999999998</v>
      </c>
      <c r="S396" s="1898">
        <f t="shared" si="12"/>
        <v>0.36092121212121214</v>
      </c>
    </row>
    <row r="397" spans="1:19">
      <c r="A397" s="1894">
        <f t="shared" si="13"/>
        <v>390</v>
      </c>
      <c r="B397" s="1895" t="s">
        <v>3286</v>
      </c>
      <c r="C397" s="1894" t="s">
        <v>524</v>
      </c>
      <c r="D397" s="1895" t="s">
        <v>541</v>
      </c>
      <c r="E397" s="1894" t="s">
        <v>259</v>
      </c>
      <c r="F397" s="1896">
        <v>275</v>
      </c>
      <c r="G397" s="1897">
        <v>0.80581818181818177</v>
      </c>
      <c r="H397" s="1897">
        <v>0.77890909090909088</v>
      </c>
      <c r="I397" s="1897">
        <v>0.81527272727272737</v>
      </c>
      <c r="J397" s="1897">
        <v>0.82036363636363629</v>
      </c>
      <c r="K397" s="1897">
        <v>0.72799999999999998</v>
      </c>
      <c r="L397" s="1897">
        <v>0.90763636363636357</v>
      </c>
      <c r="M397" s="1897">
        <v>0.76290909090909087</v>
      </c>
      <c r="N397" s="1897">
        <v>0.87636363636363634</v>
      </c>
      <c r="O397" s="1897">
        <v>0.837090909090909</v>
      </c>
      <c r="P397" s="1897">
        <v>0.83054545454545459</v>
      </c>
      <c r="Q397" s="1897">
        <v>0.84945454545454546</v>
      </c>
      <c r="R397" s="1897">
        <v>0.83200000000000007</v>
      </c>
      <c r="S397" s="1898">
        <f t="shared" si="12"/>
        <v>0.82036363636363641</v>
      </c>
    </row>
    <row r="398" spans="1:19">
      <c r="A398" s="1894">
        <f t="shared" si="13"/>
        <v>391</v>
      </c>
      <c r="B398" s="1895" t="s">
        <v>3287</v>
      </c>
      <c r="C398" s="1894" t="s">
        <v>524</v>
      </c>
      <c r="D398" s="1895" t="s">
        <v>541</v>
      </c>
      <c r="E398" s="1894" t="s">
        <v>259</v>
      </c>
      <c r="F398" s="1896">
        <v>278</v>
      </c>
      <c r="G398" s="1897">
        <v>0</v>
      </c>
      <c r="H398" s="1897">
        <v>0</v>
      </c>
      <c r="I398" s="1897">
        <v>0</v>
      </c>
      <c r="J398" s="1897">
        <v>0</v>
      </c>
      <c r="K398" s="1897">
        <v>0</v>
      </c>
      <c r="L398" s="1897">
        <v>0</v>
      </c>
      <c r="M398" s="1897">
        <v>0</v>
      </c>
      <c r="N398" s="1897">
        <v>2.5000000000000001E-2</v>
      </c>
      <c r="O398" s="1897">
        <v>0.55597122302158275</v>
      </c>
      <c r="P398" s="1897">
        <v>0.6336690647482015</v>
      </c>
      <c r="Q398" s="1897">
        <v>0.6811510791366906</v>
      </c>
      <c r="R398" s="1897">
        <v>0.73640287769784174</v>
      </c>
      <c r="S398" s="1898">
        <f t="shared" si="12"/>
        <v>0.21934952038369304</v>
      </c>
    </row>
    <row r="399" spans="1:19">
      <c r="A399" s="1894">
        <f t="shared" si="13"/>
        <v>392</v>
      </c>
      <c r="B399" s="1895" t="s">
        <v>3288</v>
      </c>
      <c r="C399" s="1894" t="s">
        <v>524</v>
      </c>
      <c r="D399" s="1895" t="s">
        <v>541</v>
      </c>
      <c r="E399" s="1894" t="s">
        <v>259</v>
      </c>
      <c r="F399" s="1896">
        <v>278</v>
      </c>
      <c r="G399" s="1897">
        <v>1.3237410071942445E-2</v>
      </c>
      <c r="H399" s="1897">
        <v>1.3812949640287769E-2</v>
      </c>
      <c r="I399" s="1897">
        <v>1.8992805755395685E-2</v>
      </c>
      <c r="J399" s="1897">
        <v>3.6834532374100719E-2</v>
      </c>
      <c r="K399" s="1897">
        <v>0.17496402877697842</v>
      </c>
      <c r="L399" s="1897">
        <v>1.0359712230215827E-2</v>
      </c>
      <c r="M399" s="1897">
        <v>6.3309352517985598E-2</v>
      </c>
      <c r="N399" s="1897">
        <v>7.4820143884892091E-3</v>
      </c>
      <c r="O399" s="1897">
        <v>7.4820143884892091E-3</v>
      </c>
      <c r="P399" s="1897">
        <v>6.9064748201438843E-3</v>
      </c>
      <c r="Q399" s="1897">
        <v>2.647482014388489E-2</v>
      </c>
      <c r="R399" s="1897">
        <v>1.0935251798561151E-2</v>
      </c>
      <c r="S399" s="1898">
        <f t="shared" si="12"/>
        <v>3.2565947242206232E-2</v>
      </c>
    </row>
    <row r="400" spans="1:19">
      <c r="A400" s="1894">
        <f t="shared" si="13"/>
        <v>393</v>
      </c>
      <c r="B400" s="1895" t="s">
        <v>3289</v>
      </c>
      <c r="C400" s="1894" t="s">
        <v>524</v>
      </c>
      <c r="D400" s="1895" t="s">
        <v>541</v>
      </c>
      <c r="E400" s="1894" t="s">
        <v>259</v>
      </c>
      <c r="F400" s="1896">
        <v>278</v>
      </c>
      <c r="G400" s="1897">
        <v>0.56057553956834538</v>
      </c>
      <c r="H400" s="1897">
        <v>0.58705035971223019</v>
      </c>
      <c r="I400" s="1897">
        <v>3.3956834532374101E-2</v>
      </c>
      <c r="J400" s="1897">
        <v>1.3812949640287769E-2</v>
      </c>
      <c r="K400" s="1897">
        <v>0.24863309352517987</v>
      </c>
      <c r="L400" s="1897">
        <v>1.4388489208633094E-2</v>
      </c>
      <c r="M400" s="1897">
        <v>8.6330935251798559E-3</v>
      </c>
      <c r="N400" s="1897">
        <v>0</v>
      </c>
      <c r="O400" s="1897">
        <v>0</v>
      </c>
      <c r="P400" s="1897">
        <v>0</v>
      </c>
      <c r="Q400" s="1897">
        <v>3.1079136690647484E-2</v>
      </c>
      <c r="R400" s="1897">
        <v>5.8129496402877699E-2</v>
      </c>
      <c r="S400" s="1898">
        <f t="shared" si="12"/>
        <v>0.12968824940047963</v>
      </c>
    </row>
    <row r="401" spans="1:19">
      <c r="A401" s="1894">
        <f t="shared" si="13"/>
        <v>394</v>
      </c>
      <c r="B401" s="1895" t="s">
        <v>3290</v>
      </c>
      <c r="C401" s="1894" t="s">
        <v>524</v>
      </c>
      <c r="D401" s="1895" t="s">
        <v>623</v>
      </c>
      <c r="E401" s="1894" t="s">
        <v>259</v>
      </c>
      <c r="F401" s="1896">
        <v>278</v>
      </c>
      <c r="G401" s="1897">
        <v>0.91079136690647478</v>
      </c>
      <c r="H401" s="1897">
        <v>1.7412949640287769</v>
      </c>
      <c r="I401" s="1897">
        <v>1.8211510791366905</v>
      </c>
      <c r="J401" s="1897">
        <v>1.62</v>
      </c>
      <c r="K401" s="1897">
        <v>0.80158273381294964</v>
      </c>
      <c r="L401" s="1897">
        <v>1.4676258992805757</v>
      </c>
      <c r="M401" s="1897">
        <v>1.4430215827338129</v>
      </c>
      <c r="N401" s="1897">
        <v>1.3100719424460432</v>
      </c>
      <c r="O401" s="1897">
        <v>1.0152517985611511</v>
      </c>
      <c r="P401" s="1897">
        <v>0.97424460431654691</v>
      </c>
      <c r="Q401" s="1897">
        <v>1.0044604316546764</v>
      </c>
      <c r="R401" s="1897">
        <v>0.95136690647482025</v>
      </c>
      <c r="S401" s="1898">
        <f t="shared" si="12"/>
        <v>1.2550719424460433</v>
      </c>
    </row>
    <row r="402" spans="1:19">
      <c r="A402" s="1894">
        <f t="shared" si="13"/>
        <v>395</v>
      </c>
      <c r="B402" s="1895" t="s">
        <v>3291</v>
      </c>
      <c r="C402" s="1894" t="s">
        <v>524</v>
      </c>
      <c r="D402" s="1895" t="s">
        <v>2966</v>
      </c>
      <c r="E402" s="1894" t="s">
        <v>259</v>
      </c>
      <c r="F402" s="1896">
        <v>278</v>
      </c>
      <c r="G402" s="1897">
        <v>0.39669064748201438</v>
      </c>
      <c r="H402" s="1897">
        <v>0.4243165467625899</v>
      </c>
      <c r="I402" s="1897">
        <v>0.54302158273381296</v>
      </c>
      <c r="J402" s="1897">
        <v>0.19553956834532374</v>
      </c>
      <c r="K402" s="1897">
        <v>0.25294964028776978</v>
      </c>
      <c r="L402" s="1897">
        <v>0.39366906474820146</v>
      </c>
      <c r="M402" s="1897">
        <v>0.30517985611510795</v>
      </c>
      <c r="N402" s="1897">
        <v>0.26762589928057556</v>
      </c>
      <c r="O402" s="1897">
        <v>1.8129496402877698E-2</v>
      </c>
      <c r="P402" s="1897">
        <v>2.1582733812949641E-2</v>
      </c>
      <c r="Q402" s="1897">
        <v>1.7697841726618709E-2</v>
      </c>
      <c r="R402" s="1897">
        <v>0.3099280575539568</v>
      </c>
      <c r="S402" s="1898">
        <f t="shared" si="12"/>
        <v>0.26219424460431656</v>
      </c>
    </row>
    <row r="403" spans="1:19">
      <c r="A403" s="1894">
        <f t="shared" si="13"/>
        <v>396</v>
      </c>
      <c r="B403" s="1895" t="s">
        <v>3292</v>
      </c>
      <c r="C403" s="1894" t="s">
        <v>524</v>
      </c>
      <c r="D403" s="1895" t="s">
        <v>2966</v>
      </c>
      <c r="E403" s="1894" t="s">
        <v>259</v>
      </c>
      <c r="F403" s="1896">
        <v>278</v>
      </c>
      <c r="G403" s="1897">
        <v>0.57784172661870514</v>
      </c>
      <c r="H403" s="1897">
        <v>0.63712230215827337</v>
      </c>
      <c r="I403" s="1897">
        <v>0.19510791366906474</v>
      </c>
      <c r="J403" s="1897">
        <v>0.16115107913669066</v>
      </c>
      <c r="K403" s="1897">
        <v>0.10014388489208632</v>
      </c>
      <c r="L403" s="1897">
        <v>0.13812949640287769</v>
      </c>
      <c r="M403" s="1897">
        <v>9.6115107913669062E-2</v>
      </c>
      <c r="N403" s="1897">
        <v>0.17035971223021582</v>
      </c>
      <c r="O403" s="1897">
        <v>0.13294964028776979</v>
      </c>
      <c r="P403" s="1897">
        <v>0.11280575539568345</v>
      </c>
      <c r="Q403" s="1897">
        <v>0.12086330935251799</v>
      </c>
      <c r="R403" s="1897">
        <v>0.11107913669064749</v>
      </c>
      <c r="S403" s="1898">
        <f t="shared" si="12"/>
        <v>0.21280575539568347</v>
      </c>
    </row>
    <row r="404" spans="1:19">
      <c r="A404" s="1894">
        <f t="shared" si="13"/>
        <v>397</v>
      </c>
      <c r="B404" s="1895" t="s">
        <v>3233</v>
      </c>
      <c r="C404" s="1894" t="s">
        <v>524</v>
      </c>
      <c r="D404" s="1895" t="s">
        <v>2966</v>
      </c>
      <c r="E404" s="1894" t="s">
        <v>259</v>
      </c>
      <c r="F404" s="1896">
        <v>278</v>
      </c>
      <c r="G404" s="1897">
        <v>0.38561151079136691</v>
      </c>
      <c r="H404" s="1897">
        <v>0.50935251798561154</v>
      </c>
      <c r="I404" s="1897">
        <v>0.51798561151079137</v>
      </c>
      <c r="J404" s="1897">
        <v>0.39712230215827338</v>
      </c>
      <c r="K404" s="1897">
        <v>0.5611510791366906</v>
      </c>
      <c r="L404" s="1897">
        <v>0.53812949640287766</v>
      </c>
      <c r="M404" s="1897">
        <v>0.45697841726618704</v>
      </c>
      <c r="N404" s="1897">
        <v>0.12546762589928059</v>
      </c>
      <c r="O404" s="1897">
        <v>3.3956834532374101E-2</v>
      </c>
      <c r="P404" s="1897">
        <v>3.0503597122302158E-2</v>
      </c>
      <c r="Q404" s="1897">
        <v>0.13985611510791365</v>
      </c>
      <c r="R404" s="1897">
        <v>0.41899280575539571</v>
      </c>
      <c r="S404" s="1898">
        <f t="shared" si="12"/>
        <v>0.3429256594724221</v>
      </c>
    </row>
    <row r="405" spans="1:19">
      <c r="A405" s="1894">
        <f t="shared" si="13"/>
        <v>398</v>
      </c>
      <c r="B405" s="1895" t="s">
        <v>3293</v>
      </c>
      <c r="C405" s="1894" t="s">
        <v>524</v>
      </c>
      <c r="D405" s="1895" t="s">
        <v>636</v>
      </c>
      <c r="E405" s="1894" t="s">
        <v>259</v>
      </c>
      <c r="F405" s="1896">
        <v>278</v>
      </c>
      <c r="G405" s="1897">
        <v>1.0077697841726621</v>
      </c>
      <c r="H405" s="1897">
        <v>0.96920863309352512</v>
      </c>
      <c r="I405" s="1897">
        <v>0.92201438848920858</v>
      </c>
      <c r="J405" s="1897">
        <v>0.92316546762589924</v>
      </c>
      <c r="K405" s="1897">
        <v>0.88057553956834522</v>
      </c>
      <c r="L405" s="1897">
        <v>0.81611510791366915</v>
      </c>
      <c r="M405" s="1897">
        <v>0.98877697841726619</v>
      </c>
      <c r="N405" s="1897">
        <v>0.45755395683453237</v>
      </c>
      <c r="O405" s="1897">
        <v>0.54388489208633084</v>
      </c>
      <c r="P405" s="1897">
        <v>0.46446043165467626</v>
      </c>
      <c r="Q405" s="1897">
        <v>0.75395683453237416</v>
      </c>
      <c r="R405" s="1897">
        <v>0.88</v>
      </c>
      <c r="S405" s="1898">
        <f t="shared" si="12"/>
        <v>0.8006235011990408</v>
      </c>
    </row>
    <row r="406" spans="1:19">
      <c r="A406" s="1894">
        <f t="shared" si="13"/>
        <v>399</v>
      </c>
      <c r="B406" s="1895" t="s">
        <v>3294</v>
      </c>
      <c r="C406" s="1894" t="s">
        <v>524</v>
      </c>
      <c r="D406" s="1895" t="s">
        <v>541</v>
      </c>
      <c r="E406" s="1894" t="s">
        <v>259</v>
      </c>
      <c r="F406" s="1896">
        <v>278</v>
      </c>
      <c r="G406" s="1897">
        <v>0.35107913669064744</v>
      </c>
      <c r="H406" s="1897">
        <v>0.3683453237410072</v>
      </c>
      <c r="I406" s="1897">
        <v>0.27913669064748203</v>
      </c>
      <c r="J406" s="1897">
        <v>0.30215827338129497</v>
      </c>
      <c r="K406" s="1897">
        <v>7.4820143884892091E-3</v>
      </c>
      <c r="L406" s="1897">
        <v>0.51453237410071939</v>
      </c>
      <c r="M406" s="1897">
        <v>0.32633093525179857</v>
      </c>
      <c r="N406" s="1897">
        <v>0.34877697841726624</v>
      </c>
      <c r="O406" s="1897">
        <v>0.49611510791366903</v>
      </c>
      <c r="P406" s="1897">
        <v>0.55309352517985622</v>
      </c>
      <c r="Q406" s="1897">
        <v>0.53410071942446036</v>
      </c>
      <c r="R406" s="1897">
        <v>0.56287769784172659</v>
      </c>
      <c r="S406" s="1898">
        <f t="shared" si="12"/>
        <v>0.38700239808153486</v>
      </c>
    </row>
    <row r="407" spans="1:19">
      <c r="A407" s="1894">
        <f t="shared" si="13"/>
        <v>400</v>
      </c>
      <c r="B407" s="1895" t="s">
        <v>3295</v>
      </c>
      <c r="C407" s="1894" t="s">
        <v>524</v>
      </c>
      <c r="D407" s="1895" t="s">
        <v>2966</v>
      </c>
      <c r="E407" s="1894" t="s">
        <v>259</v>
      </c>
      <c r="F407" s="1896">
        <v>278</v>
      </c>
      <c r="G407" s="1897">
        <v>0.28834532374100719</v>
      </c>
      <c r="H407" s="1897">
        <v>0.43381294964028783</v>
      </c>
      <c r="I407" s="1897">
        <v>0.42949640287769786</v>
      </c>
      <c r="J407" s="1897">
        <v>0.55165467625899278</v>
      </c>
      <c r="K407" s="1897">
        <v>0.37251798561151078</v>
      </c>
      <c r="L407" s="1897">
        <v>0.38071942446043167</v>
      </c>
      <c r="M407" s="1897">
        <v>0.34402877697841722</v>
      </c>
      <c r="N407" s="1897">
        <v>0.26978417266187049</v>
      </c>
      <c r="O407" s="1897">
        <v>0.15280575539568347</v>
      </c>
      <c r="P407" s="1897">
        <v>0.1493525179856115</v>
      </c>
      <c r="Q407" s="1897">
        <v>0.23482014388489209</v>
      </c>
      <c r="R407" s="1897">
        <v>0.23007194244604318</v>
      </c>
      <c r="S407" s="1898">
        <f t="shared" si="12"/>
        <v>0.31978417266187059</v>
      </c>
    </row>
    <row r="408" spans="1:19">
      <c r="A408" s="1894">
        <f t="shared" si="13"/>
        <v>401</v>
      </c>
      <c r="B408" s="1895" t="s">
        <v>3296</v>
      </c>
      <c r="C408" s="1894" t="s">
        <v>524</v>
      </c>
      <c r="D408" s="1895" t="s">
        <v>2966</v>
      </c>
      <c r="E408" s="1894" t="s">
        <v>259</v>
      </c>
      <c r="F408" s="1896">
        <v>278</v>
      </c>
      <c r="G408" s="1897">
        <v>0.53784172661870511</v>
      </c>
      <c r="H408" s="1897">
        <v>0.55251798561151078</v>
      </c>
      <c r="I408" s="1897">
        <v>0.63625899280575537</v>
      </c>
      <c r="J408" s="1897">
        <v>0.62546762589928051</v>
      </c>
      <c r="K408" s="1897">
        <v>0.54820143884892092</v>
      </c>
      <c r="L408" s="1897">
        <v>0.9202877697841727</v>
      </c>
      <c r="M408" s="1897">
        <v>0.64187050359712228</v>
      </c>
      <c r="N408" s="1897">
        <v>0.66517985611510788</v>
      </c>
      <c r="O408" s="1897">
        <v>0.6151079136690647</v>
      </c>
      <c r="P408" s="1897">
        <v>8.3309352517985616E-2</v>
      </c>
      <c r="Q408" s="1897">
        <v>0.30000000000000004</v>
      </c>
      <c r="R408" s="1897">
        <v>0.58834532374100723</v>
      </c>
      <c r="S408" s="1898">
        <f t="shared" si="12"/>
        <v>0.55953237410071932</v>
      </c>
    </row>
    <row r="409" spans="1:19">
      <c r="A409" s="1894">
        <f t="shared" si="13"/>
        <v>402</v>
      </c>
      <c r="B409" s="1895" t="s">
        <v>3296</v>
      </c>
      <c r="C409" s="1894" t="s">
        <v>524</v>
      </c>
      <c r="D409" s="1895" t="s">
        <v>2966</v>
      </c>
      <c r="E409" s="1894" t="s">
        <v>259</v>
      </c>
      <c r="F409" s="1896">
        <v>278</v>
      </c>
      <c r="G409" s="1897">
        <v>0.40489208633093521</v>
      </c>
      <c r="H409" s="1897">
        <v>0.46359712230215827</v>
      </c>
      <c r="I409" s="1897">
        <v>0.60345323741007206</v>
      </c>
      <c r="J409" s="1897">
        <v>0.69669064748201426</v>
      </c>
      <c r="K409" s="1897">
        <v>0.78647482014388492</v>
      </c>
      <c r="L409" s="1897">
        <v>0.68719424460431666</v>
      </c>
      <c r="M409" s="1897">
        <v>0.7769784172661871</v>
      </c>
      <c r="N409" s="1897">
        <v>0.7277697841726618</v>
      </c>
      <c r="O409" s="1897">
        <v>0.64230215827338122</v>
      </c>
      <c r="P409" s="1897">
        <v>4.6618705035971229E-2</v>
      </c>
      <c r="Q409" s="1897">
        <v>9.3237410071942459E-2</v>
      </c>
      <c r="R409" s="1897">
        <v>0.34964028776978417</v>
      </c>
      <c r="S409" s="1898">
        <f t="shared" si="12"/>
        <v>0.52323741007194247</v>
      </c>
    </row>
    <row r="410" spans="1:19">
      <c r="A410" s="1894">
        <f t="shared" si="13"/>
        <v>403</v>
      </c>
      <c r="B410" s="1895" t="s">
        <v>3297</v>
      </c>
      <c r="C410" s="1894" t="s">
        <v>524</v>
      </c>
      <c r="D410" s="1895" t="s">
        <v>2966</v>
      </c>
      <c r="E410" s="1894" t="s">
        <v>259</v>
      </c>
      <c r="F410" s="1896">
        <v>278</v>
      </c>
      <c r="G410" s="1897">
        <v>1.4388489208633093</v>
      </c>
      <c r="H410" s="1897">
        <v>1.3093525179856116</v>
      </c>
      <c r="I410" s="1897">
        <v>1.3358273381294965</v>
      </c>
      <c r="J410" s="1897">
        <v>1.2057553956834532</v>
      </c>
      <c r="K410" s="1897">
        <v>1.2920863309352517</v>
      </c>
      <c r="L410" s="1897">
        <v>1.31568345323741</v>
      </c>
      <c r="M410" s="1897">
        <v>1.1669064748201441</v>
      </c>
      <c r="N410" s="1897">
        <v>1.0043165467625899</v>
      </c>
      <c r="O410" s="1897">
        <v>0.85122302158273389</v>
      </c>
      <c r="P410" s="1897">
        <v>0.87884892086330935</v>
      </c>
      <c r="Q410" s="1897">
        <v>1.1654676258992807</v>
      </c>
      <c r="R410" s="1897">
        <v>1.1499280575539568</v>
      </c>
      <c r="S410" s="1898">
        <f t="shared" si="12"/>
        <v>1.1761870503597123</v>
      </c>
    </row>
    <row r="411" spans="1:19">
      <c r="A411" s="1894">
        <f t="shared" si="13"/>
        <v>404</v>
      </c>
      <c r="B411" s="1895" t="s">
        <v>3298</v>
      </c>
      <c r="C411" s="1894" t="s">
        <v>524</v>
      </c>
      <c r="D411" s="1895" t="s">
        <v>541</v>
      </c>
      <c r="E411" s="1894" t="s">
        <v>259</v>
      </c>
      <c r="F411" s="1896">
        <v>278</v>
      </c>
      <c r="G411" s="1897">
        <v>0.90359712230215827</v>
      </c>
      <c r="H411" s="1897">
        <v>0.91510791366906474</v>
      </c>
      <c r="I411" s="1897">
        <v>0.8920863309352518</v>
      </c>
      <c r="J411" s="1897">
        <v>0.92661870503597132</v>
      </c>
      <c r="K411" s="1897">
        <v>0.6658992805755396</v>
      </c>
      <c r="L411" s="1897">
        <v>0.68316546762589925</v>
      </c>
      <c r="M411" s="1897">
        <v>0.6682014388489208</v>
      </c>
      <c r="N411" s="1897">
        <v>0.61410071942446043</v>
      </c>
      <c r="O411" s="1897">
        <v>0.61122302158273389</v>
      </c>
      <c r="P411" s="1897">
        <v>0.61525179856115109</v>
      </c>
      <c r="Q411" s="1897">
        <v>0.62273381294964025</v>
      </c>
      <c r="R411" s="1897">
        <v>0.60834532374100725</v>
      </c>
      <c r="S411" s="1898">
        <f t="shared" si="12"/>
        <v>0.72719424460431636</v>
      </c>
    </row>
    <row r="412" spans="1:19">
      <c r="A412" s="1894">
        <f t="shared" si="13"/>
        <v>405</v>
      </c>
      <c r="B412" s="1895" t="s">
        <v>3299</v>
      </c>
      <c r="C412" s="1894" t="s">
        <v>524</v>
      </c>
      <c r="D412" s="1895" t="s">
        <v>636</v>
      </c>
      <c r="E412" s="1894" t="s">
        <v>259</v>
      </c>
      <c r="F412" s="1896">
        <v>278</v>
      </c>
      <c r="G412" s="1897">
        <v>0.3517985611510791</v>
      </c>
      <c r="H412" s="1897">
        <v>0</v>
      </c>
      <c r="I412" s="1897">
        <v>0.21151079136690648</v>
      </c>
      <c r="J412" s="1897">
        <v>0.37381294964028777</v>
      </c>
      <c r="K412" s="1897">
        <v>0.71050359712230204</v>
      </c>
      <c r="L412" s="1897">
        <v>0.71050359712230204</v>
      </c>
      <c r="M412" s="1897">
        <v>0.50589928057553957</v>
      </c>
      <c r="N412" s="1897">
        <v>0.39625899280575544</v>
      </c>
      <c r="O412" s="1897">
        <v>0.14676258992805757</v>
      </c>
      <c r="P412" s="1897">
        <v>5.6115107913669061E-2</v>
      </c>
      <c r="Q412" s="1897">
        <v>0.42733812949640293</v>
      </c>
      <c r="R412" s="1897">
        <v>0.55942446043165461</v>
      </c>
      <c r="S412" s="1898">
        <f t="shared" si="12"/>
        <v>0.37082733812949636</v>
      </c>
    </row>
    <row r="413" spans="1:19">
      <c r="A413" s="1894">
        <f t="shared" si="13"/>
        <v>406</v>
      </c>
      <c r="B413" s="1895" t="s">
        <v>3300</v>
      </c>
      <c r="C413" s="1894" t="s">
        <v>524</v>
      </c>
      <c r="D413" s="1895" t="s">
        <v>541</v>
      </c>
      <c r="E413" s="1894" t="s">
        <v>259</v>
      </c>
      <c r="F413" s="1896">
        <v>278</v>
      </c>
      <c r="G413" s="1897">
        <v>0.90532374100719426</v>
      </c>
      <c r="H413" s="1897">
        <v>0.6497841726618705</v>
      </c>
      <c r="I413" s="1897">
        <v>0.96460431654676271</v>
      </c>
      <c r="J413" s="1897">
        <v>0.92949640287769797</v>
      </c>
      <c r="K413" s="1897">
        <v>0.62848920863309354</v>
      </c>
      <c r="L413" s="1897">
        <v>0.90992805755395678</v>
      </c>
      <c r="M413" s="1897">
        <v>0.10532374100719424</v>
      </c>
      <c r="N413" s="1897">
        <v>0.1214388489208633</v>
      </c>
      <c r="O413" s="1897">
        <v>0.89726618705035976</v>
      </c>
      <c r="P413" s="1897">
        <v>0.59223021582733815</v>
      </c>
      <c r="Q413" s="1897">
        <v>0.59625899280575534</v>
      </c>
      <c r="R413" s="1897">
        <v>0.87539568345323748</v>
      </c>
      <c r="S413" s="1898">
        <f t="shared" si="12"/>
        <v>0.68129496402877709</v>
      </c>
    </row>
    <row r="414" spans="1:19">
      <c r="A414" s="1894">
        <f t="shared" si="13"/>
        <v>407</v>
      </c>
      <c r="B414" s="1895" t="s">
        <v>3301</v>
      </c>
      <c r="C414" s="1894" t="s">
        <v>524</v>
      </c>
      <c r="D414" s="1895" t="s">
        <v>623</v>
      </c>
      <c r="E414" s="1894" t="s">
        <v>259</v>
      </c>
      <c r="F414" s="1896">
        <v>278</v>
      </c>
      <c r="G414" s="1897">
        <v>0</v>
      </c>
      <c r="H414" s="1897">
        <v>0</v>
      </c>
      <c r="I414" s="1897">
        <v>0</v>
      </c>
      <c r="J414" s="1897">
        <v>0</v>
      </c>
      <c r="K414" s="1897">
        <v>0</v>
      </c>
      <c r="L414" s="1897">
        <v>0</v>
      </c>
      <c r="M414" s="1897">
        <v>0</v>
      </c>
      <c r="N414" s="1897">
        <v>0.27453237410071946</v>
      </c>
      <c r="O414" s="1897">
        <v>0.14762589928057554</v>
      </c>
      <c r="P414" s="1897">
        <v>1.7266187050359712E-2</v>
      </c>
      <c r="Q414" s="1897">
        <v>0.20633093525179855</v>
      </c>
      <c r="R414" s="1897">
        <v>0.36690647482014394</v>
      </c>
      <c r="S414" s="1898">
        <f t="shared" si="12"/>
        <v>8.4388489208633108E-2</v>
      </c>
    </row>
    <row r="415" spans="1:19">
      <c r="A415" s="1894">
        <f t="shared" si="13"/>
        <v>408</v>
      </c>
      <c r="B415" s="1895" t="s">
        <v>3302</v>
      </c>
      <c r="C415" s="1894" t="s">
        <v>524</v>
      </c>
      <c r="D415" s="1895" t="s">
        <v>541</v>
      </c>
      <c r="E415" s="1894" t="s">
        <v>259</v>
      </c>
      <c r="F415" s="1896">
        <v>280</v>
      </c>
      <c r="G415" s="1897">
        <v>0.96539999999999992</v>
      </c>
      <c r="H415" s="1897">
        <v>0.88500000000000001</v>
      </c>
      <c r="I415" s="1897">
        <v>0.67319999999999991</v>
      </c>
      <c r="J415" s="1897">
        <v>0.82380000000000009</v>
      </c>
      <c r="K415" s="1897">
        <v>0.98939999999999995</v>
      </c>
      <c r="L415" s="1897">
        <v>0.95820000000000005</v>
      </c>
      <c r="M415" s="1897">
        <v>6.6600000000000006E-2</v>
      </c>
      <c r="N415" s="1897">
        <v>8.5200000000000012E-2</v>
      </c>
      <c r="O415" s="1897">
        <v>8.4000000000000005E-2</v>
      </c>
      <c r="P415" s="1897">
        <v>0.69420000000000004</v>
      </c>
      <c r="Q415" s="1897">
        <v>0.60728571428571421</v>
      </c>
      <c r="R415" s="1897">
        <v>0.59485714285714286</v>
      </c>
      <c r="S415" s="1898">
        <f t="shared" si="12"/>
        <v>0.61892857142857149</v>
      </c>
    </row>
    <row r="416" spans="1:19">
      <c r="A416" s="1894">
        <f t="shared" si="13"/>
        <v>409</v>
      </c>
      <c r="B416" s="1895" t="s">
        <v>3303</v>
      </c>
      <c r="C416" s="1894" t="s">
        <v>524</v>
      </c>
      <c r="D416" s="1895" t="s">
        <v>541</v>
      </c>
      <c r="E416" s="1894" t="s">
        <v>259</v>
      </c>
      <c r="F416" s="1896">
        <v>280</v>
      </c>
      <c r="G416" s="1897">
        <v>0.7262857142857142</v>
      </c>
      <c r="H416" s="1897">
        <v>0.74285714285714288</v>
      </c>
      <c r="I416" s="1897">
        <v>0.74685714285714289</v>
      </c>
      <c r="J416" s="1897">
        <v>0.76171428571428568</v>
      </c>
      <c r="K416" s="1897">
        <v>0.72857142857142854</v>
      </c>
      <c r="L416" s="1897">
        <v>0.10514285714285714</v>
      </c>
      <c r="M416" s="1897">
        <v>0.23657142857142854</v>
      </c>
      <c r="N416" s="1897">
        <v>3.3714285714285711E-2</v>
      </c>
      <c r="O416" s="1897">
        <v>0.70514285714285718</v>
      </c>
      <c r="P416" s="1897">
        <v>0.79314285714285715</v>
      </c>
      <c r="Q416" s="1897">
        <v>0.80171428571428582</v>
      </c>
      <c r="R416" s="1897">
        <v>0.83142857142857141</v>
      </c>
      <c r="S416" s="1898">
        <f t="shared" si="12"/>
        <v>0.60109523809523813</v>
      </c>
    </row>
    <row r="417" spans="1:19">
      <c r="A417" s="1894">
        <f t="shared" si="13"/>
        <v>410</v>
      </c>
      <c r="B417" s="1895" t="s">
        <v>3304</v>
      </c>
      <c r="C417" s="1894" t="s">
        <v>524</v>
      </c>
      <c r="D417" s="1895" t="s">
        <v>629</v>
      </c>
      <c r="E417" s="1894" t="s">
        <v>259</v>
      </c>
      <c r="F417" s="1896">
        <v>284.44</v>
      </c>
      <c r="G417" s="1897">
        <v>0.37969343270988609</v>
      </c>
      <c r="H417" s="1897">
        <v>0.37969343270988609</v>
      </c>
      <c r="I417" s="1897">
        <v>0.44156939952186752</v>
      </c>
      <c r="J417" s="1897">
        <v>0.40781887216987761</v>
      </c>
      <c r="K417" s="1897">
        <v>0.41625650400787512</v>
      </c>
      <c r="L417" s="1897">
        <v>0.43313176768387007</v>
      </c>
      <c r="M417" s="1897">
        <v>0.3403178174658979</v>
      </c>
      <c r="N417" s="1897">
        <v>0.27844185065391647</v>
      </c>
      <c r="O417" s="1897">
        <v>0.2773168330755168</v>
      </c>
      <c r="P417" s="1897">
        <v>0.26437913092392068</v>
      </c>
      <c r="Q417" s="1897">
        <v>0.25931655182112223</v>
      </c>
      <c r="R417" s="1897">
        <v>0.2722542539727183</v>
      </c>
      <c r="S417" s="1898">
        <f t="shared" si="12"/>
        <v>0.34584915389302956</v>
      </c>
    </row>
    <row r="418" spans="1:19">
      <c r="A418" s="1894">
        <f t="shared" si="13"/>
        <v>411</v>
      </c>
      <c r="B418" s="1895" t="s">
        <v>3305</v>
      </c>
      <c r="C418" s="1894" t="s">
        <v>524</v>
      </c>
      <c r="D418" s="1895" t="s">
        <v>636</v>
      </c>
      <c r="E418" s="1894" t="s">
        <v>259</v>
      </c>
      <c r="F418" s="1896">
        <v>290</v>
      </c>
      <c r="G418" s="1897">
        <v>0.43531034482758624</v>
      </c>
      <c r="H418" s="1897">
        <v>0.43862068965517242</v>
      </c>
      <c r="I418" s="1897">
        <v>0.41048275862068961</v>
      </c>
      <c r="J418" s="1897">
        <v>0.39641379310344826</v>
      </c>
      <c r="K418" s="1897">
        <v>0.44027586206896552</v>
      </c>
      <c r="L418" s="1897">
        <v>0.45682758620689651</v>
      </c>
      <c r="M418" s="1897">
        <v>0.42124137931034483</v>
      </c>
      <c r="N418" s="1897">
        <v>0.27393103448275863</v>
      </c>
      <c r="O418" s="1897">
        <v>0.13655172413793104</v>
      </c>
      <c r="P418" s="1897">
        <v>0.16220689655172413</v>
      </c>
      <c r="Q418" s="1897">
        <v>0.30455172413793102</v>
      </c>
      <c r="R418" s="1897">
        <v>0.33351724137931033</v>
      </c>
      <c r="S418" s="1898">
        <f t="shared" si="12"/>
        <v>0.35082758620689658</v>
      </c>
    </row>
    <row r="419" spans="1:19">
      <c r="A419" s="1894">
        <f t="shared" si="13"/>
        <v>412</v>
      </c>
      <c r="B419" s="1895" t="s">
        <v>2947</v>
      </c>
      <c r="C419" s="1894" t="s">
        <v>524</v>
      </c>
      <c r="D419" s="1895" t="s">
        <v>730</v>
      </c>
      <c r="E419" s="1894" t="s">
        <v>259</v>
      </c>
      <c r="F419" s="1896">
        <v>290</v>
      </c>
      <c r="G419" s="1897">
        <v>0.51393103448275856</v>
      </c>
      <c r="H419" s="1897">
        <v>0.50731034482758619</v>
      </c>
      <c r="I419" s="1897">
        <v>0.51227586206896547</v>
      </c>
      <c r="J419" s="1897">
        <v>0.50813793103448279</v>
      </c>
      <c r="K419" s="1897">
        <v>0.53958620689655168</v>
      </c>
      <c r="L419" s="1897">
        <v>0.55531034482758623</v>
      </c>
      <c r="M419" s="1897">
        <v>0.53462068965517251</v>
      </c>
      <c r="N419" s="1897">
        <v>0.50979310344827589</v>
      </c>
      <c r="O419" s="1897">
        <v>0.53379310344827591</v>
      </c>
      <c r="P419" s="1897">
        <v>0.54372413793103436</v>
      </c>
      <c r="Q419" s="1897">
        <v>0.53958620689655168</v>
      </c>
      <c r="R419" s="1897">
        <v>0.55117241379310344</v>
      </c>
      <c r="S419" s="1898">
        <f t="shared" si="12"/>
        <v>0.52910344827586198</v>
      </c>
    </row>
    <row r="420" spans="1:19">
      <c r="A420" s="1894">
        <f t="shared" si="13"/>
        <v>413</v>
      </c>
      <c r="B420" s="1895" t="s">
        <v>3306</v>
      </c>
      <c r="C420" s="1894" t="s">
        <v>524</v>
      </c>
      <c r="D420" s="1895" t="s">
        <v>636</v>
      </c>
      <c r="E420" s="1894" t="s">
        <v>259</v>
      </c>
      <c r="F420" s="1896">
        <v>295</v>
      </c>
      <c r="G420" s="1897">
        <v>0.2570847457627119</v>
      </c>
      <c r="H420" s="1897">
        <v>0.30020338983050848</v>
      </c>
      <c r="I420" s="1897">
        <v>0.39294915254237289</v>
      </c>
      <c r="J420" s="1897">
        <v>0.34332203389830507</v>
      </c>
      <c r="K420" s="1897">
        <v>0.28718644067796611</v>
      </c>
      <c r="L420" s="1897">
        <v>0.32867796610169492</v>
      </c>
      <c r="M420" s="1897">
        <v>0.29044067796610173</v>
      </c>
      <c r="N420" s="1897">
        <v>0.20745762711864404</v>
      </c>
      <c r="O420" s="1897">
        <v>0.15457627118644068</v>
      </c>
      <c r="P420" s="1897">
        <v>0.16352542372881357</v>
      </c>
      <c r="Q420" s="1897">
        <v>0.16840677966101694</v>
      </c>
      <c r="R420" s="1897">
        <v>0.19037288135593222</v>
      </c>
      <c r="S420" s="1898">
        <f t="shared" si="12"/>
        <v>0.25701694915254242</v>
      </c>
    </row>
    <row r="421" spans="1:19">
      <c r="A421" s="1894">
        <f t="shared" si="13"/>
        <v>414</v>
      </c>
      <c r="B421" s="1895" t="s">
        <v>3307</v>
      </c>
      <c r="C421" s="1894" t="s">
        <v>524</v>
      </c>
      <c r="D421" s="1895" t="s">
        <v>541</v>
      </c>
      <c r="E421" s="1894" t="s">
        <v>259</v>
      </c>
      <c r="F421" s="1896">
        <v>300</v>
      </c>
      <c r="G421" s="1897">
        <v>0.82</v>
      </c>
      <c r="H421" s="1897">
        <v>0.90880000000000016</v>
      </c>
      <c r="I421" s="1897">
        <v>0.95440000000000003</v>
      </c>
      <c r="J421" s="1897">
        <v>0.91759999999999986</v>
      </c>
      <c r="K421" s="1897">
        <v>0.75119999999999998</v>
      </c>
      <c r="L421" s="1897">
        <v>0.73199999999999998</v>
      </c>
      <c r="M421" s="1897">
        <v>0.6512</v>
      </c>
      <c r="N421" s="1897">
        <v>0.77680000000000005</v>
      </c>
      <c r="O421" s="1897">
        <v>0.78639999999999999</v>
      </c>
      <c r="P421" s="1897">
        <v>0.69840000000000002</v>
      </c>
      <c r="Q421" s="1897">
        <v>0.75039999999999996</v>
      </c>
      <c r="R421" s="1897">
        <v>0.75760000000000005</v>
      </c>
      <c r="S421" s="1898">
        <f t="shared" si="12"/>
        <v>0.79206666666666681</v>
      </c>
    </row>
    <row r="422" spans="1:19">
      <c r="A422" s="1894">
        <f t="shared" si="13"/>
        <v>415</v>
      </c>
      <c r="B422" s="1895" t="s">
        <v>3308</v>
      </c>
      <c r="C422" s="1894" t="s">
        <v>524</v>
      </c>
      <c r="D422" s="1895" t="s">
        <v>636</v>
      </c>
      <c r="E422" s="1894" t="s">
        <v>259</v>
      </c>
      <c r="F422" s="1896">
        <v>300</v>
      </c>
      <c r="G422" s="1897">
        <v>0</v>
      </c>
      <c r="H422" s="1897">
        <v>0</v>
      </c>
      <c r="I422" s="1897">
        <v>0</v>
      </c>
      <c r="J422" s="1897">
        <v>0</v>
      </c>
      <c r="K422" s="1897">
        <v>0</v>
      </c>
      <c r="L422" s="1897">
        <v>2.1333333333333336E-2</v>
      </c>
      <c r="M422" s="1897">
        <v>8.9599999999999999E-2</v>
      </c>
      <c r="N422" s="1897">
        <v>8.1600000000000006E-2</v>
      </c>
      <c r="O422" s="1897">
        <v>2.2933333333333333E-2</v>
      </c>
      <c r="P422" s="1897">
        <v>2.6400000000000003E-2</v>
      </c>
      <c r="Q422" s="1897">
        <v>4.0266666666666666E-2</v>
      </c>
      <c r="R422" s="1897">
        <v>4.8533333333333338E-2</v>
      </c>
      <c r="S422" s="1898">
        <f t="shared" si="12"/>
        <v>2.7555555555555555E-2</v>
      </c>
    </row>
    <row r="423" spans="1:19">
      <c r="A423" s="1894">
        <f t="shared" si="13"/>
        <v>416</v>
      </c>
      <c r="B423" s="1895" t="s">
        <v>3309</v>
      </c>
      <c r="C423" s="1894" t="s">
        <v>524</v>
      </c>
      <c r="D423" s="1895" t="s">
        <v>541</v>
      </c>
      <c r="E423" s="1894" t="s">
        <v>259</v>
      </c>
      <c r="F423" s="1896">
        <v>300</v>
      </c>
      <c r="G423" s="1897">
        <v>0</v>
      </c>
      <c r="H423" s="1897">
        <v>0.40799999999999997</v>
      </c>
      <c r="I423" s="1897">
        <v>8.0000000000000004E-4</v>
      </c>
      <c r="J423" s="1897">
        <v>4.7199999999999999E-2</v>
      </c>
      <c r="K423" s="1897">
        <v>0.44240000000000002</v>
      </c>
      <c r="L423" s="1897">
        <v>0.71919999999999995</v>
      </c>
      <c r="M423" s="1897">
        <v>0.33679999999999999</v>
      </c>
      <c r="N423" s="1897">
        <v>0.68959999999999999</v>
      </c>
      <c r="O423" s="1897">
        <v>0.1424</v>
      </c>
      <c r="P423" s="1897">
        <v>0.77600000000000002</v>
      </c>
      <c r="Q423" s="1897">
        <v>0.68720000000000003</v>
      </c>
      <c r="R423" s="1897">
        <v>0.1168</v>
      </c>
      <c r="S423" s="1898">
        <f t="shared" si="12"/>
        <v>0.36386666666666662</v>
      </c>
    </row>
    <row r="424" spans="1:19">
      <c r="A424" s="1894">
        <f t="shared" si="13"/>
        <v>417</v>
      </c>
      <c r="B424" s="1895" t="s">
        <v>3310</v>
      </c>
      <c r="C424" s="1894" t="s">
        <v>524</v>
      </c>
      <c r="D424" s="1895" t="s">
        <v>636</v>
      </c>
      <c r="E424" s="1894" t="s">
        <v>259</v>
      </c>
      <c r="F424" s="1896">
        <v>300</v>
      </c>
      <c r="G424" s="1897">
        <v>1.0760000000000001</v>
      </c>
      <c r="H424" s="1897">
        <v>0.88239999999999985</v>
      </c>
      <c r="I424" s="1897">
        <v>0.90640000000000009</v>
      </c>
      <c r="J424" s="1897">
        <v>0.78720000000000001</v>
      </c>
      <c r="K424" s="1897">
        <v>0.81759999999999999</v>
      </c>
      <c r="L424" s="1897">
        <v>0.90159999999999985</v>
      </c>
      <c r="M424" s="1897">
        <v>0.86399999999999999</v>
      </c>
      <c r="N424" s="1897">
        <v>0.70240000000000002</v>
      </c>
      <c r="O424" s="1897">
        <v>0.71279999999999999</v>
      </c>
      <c r="P424" s="1897">
        <v>0.55200000000000005</v>
      </c>
      <c r="Q424" s="1897">
        <v>0.66479999999999995</v>
      </c>
      <c r="R424" s="1897">
        <v>0.70479999999999998</v>
      </c>
      <c r="S424" s="1898">
        <f t="shared" si="12"/>
        <v>0.79766666666666663</v>
      </c>
    </row>
    <row r="425" spans="1:19">
      <c r="A425" s="1894">
        <f t="shared" si="13"/>
        <v>418</v>
      </c>
      <c r="B425" s="1895" t="s">
        <v>3311</v>
      </c>
      <c r="C425" s="1894" t="s">
        <v>524</v>
      </c>
      <c r="D425" s="1895" t="s">
        <v>541</v>
      </c>
      <c r="E425" s="1894" t="s">
        <v>259</v>
      </c>
      <c r="F425" s="1896">
        <v>300</v>
      </c>
      <c r="G425" s="1897">
        <v>0.83599999999999997</v>
      </c>
      <c r="H425" s="1897">
        <v>0.85040000000000004</v>
      </c>
      <c r="I425" s="1897">
        <v>0.85359999999999991</v>
      </c>
      <c r="J425" s="1897">
        <v>0.97680000000000011</v>
      </c>
      <c r="K425" s="1897">
        <v>0.64639999999999997</v>
      </c>
      <c r="L425" s="1897">
        <v>0.80400000000000005</v>
      </c>
      <c r="M425" s="1897">
        <v>3.5999999999999997E-2</v>
      </c>
      <c r="N425" s="1897">
        <v>0.38</v>
      </c>
      <c r="O425" s="1897">
        <v>8.3199999999999996E-2</v>
      </c>
      <c r="P425" s="1897">
        <v>0.76</v>
      </c>
      <c r="Q425" s="1897">
        <v>0.75839999999999996</v>
      </c>
      <c r="R425" s="1897">
        <v>0.80559999999999998</v>
      </c>
      <c r="S425" s="1898">
        <f t="shared" si="12"/>
        <v>0.64919999999999989</v>
      </c>
    </row>
    <row r="426" spans="1:19">
      <c r="A426" s="1894">
        <f t="shared" si="13"/>
        <v>419</v>
      </c>
      <c r="B426" s="1895" t="s">
        <v>3312</v>
      </c>
      <c r="C426" s="1894" t="s">
        <v>524</v>
      </c>
      <c r="D426" s="1895" t="s">
        <v>541</v>
      </c>
      <c r="E426" s="1894" t="s">
        <v>259</v>
      </c>
      <c r="F426" s="1896">
        <v>300</v>
      </c>
      <c r="G426" s="1897">
        <v>0.91666666666666663</v>
      </c>
      <c r="H426" s="1897">
        <v>0.92333333333333334</v>
      </c>
      <c r="I426" s="1897">
        <v>0.90799999999999992</v>
      </c>
      <c r="J426" s="1897">
        <v>0.91333333333333333</v>
      </c>
      <c r="K426" s="1897">
        <v>0.91733333333333333</v>
      </c>
      <c r="L426" s="1897">
        <v>0.90533333333333343</v>
      </c>
      <c r="M426" s="1897">
        <v>0.91933333333333334</v>
      </c>
      <c r="N426" s="1897">
        <v>0.92</v>
      </c>
      <c r="O426" s="1897">
        <v>0.90733333333333333</v>
      </c>
      <c r="P426" s="1897">
        <v>0.87800000000000011</v>
      </c>
      <c r="Q426" s="1897">
        <v>0.92066666666666663</v>
      </c>
      <c r="R426" s="1897">
        <v>0.94799999999999995</v>
      </c>
      <c r="S426" s="1898">
        <f t="shared" si="12"/>
        <v>0.9147777777777778</v>
      </c>
    </row>
    <row r="427" spans="1:19">
      <c r="A427" s="1894">
        <f t="shared" si="13"/>
        <v>420</v>
      </c>
      <c r="B427" s="1895" t="s">
        <v>3313</v>
      </c>
      <c r="C427" s="1894" t="s">
        <v>524</v>
      </c>
      <c r="D427" s="1895" t="s">
        <v>541</v>
      </c>
      <c r="E427" s="1894" t="s">
        <v>259</v>
      </c>
      <c r="F427" s="1896">
        <v>300</v>
      </c>
      <c r="G427" s="1897">
        <v>0.63666666666666671</v>
      </c>
      <c r="H427" s="1897">
        <v>0.5</v>
      </c>
      <c r="I427" s="1897">
        <v>0.54</v>
      </c>
      <c r="J427" s="1897">
        <v>0.6166666666666667</v>
      </c>
      <c r="K427" s="1897">
        <v>0.6166666666666667</v>
      </c>
      <c r="L427" s="1897">
        <v>0.78333333333333333</v>
      </c>
      <c r="M427" s="1897">
        <v>0.80479999999999996</v>
      </c>
      <c r="N427" s="1897">
        <v>0.69600000000000006</v>
      </c>
      <c r="O427" s="1897">
        <v>0.65546666666666664</v>
      </c>
      <c r="P427" s="1897">
        <v>0.68</v>
      </c>
      <c r="Q427" s="1897">
        <v>0.73653333333333337</v>
      </c>
      <c r="R427" s="1897">
        <v>0.80426666666666657</v>
      </c>
      <c r="S427" s="1898">
        <f t="shared" si="12"/>
        <v>0.67253333333333332</v>
      </c>
    </row>
    <row r="428" spans="1:19">
      <c r="A428" s="1894">
        <f t="shared" si="13"/>
        <v>421</v>
      </c>
      <c r="B428" s="1895" t="s">
        <v>3314</v>
      </c>
      <c r="C428" s="1894" t="s">
        <v>524</v>
      </c>
      <c r="D428" s="1895" t="s">
        <v>623</v>
      </c>
      <c r="E428" s="1894" t="s">
        <v>259</v>
      </c>
      <c r="F428" s="1896">
        <v>300</v>
      </c>
      <c r="G428" s="1897">
        <v>0.23839999999999997</v>
      </c>
      <c r="H428" s="1897">
        <v>0.61706666666666665</v>
      </c>
      <c r="I428" s="1897">
        <v>0.71520000000000006</v>
      </c>
      <c r="J428" s="1897">
        <v>0.62613333333333332</v>
      </c>
      <c r="K428" s="1897">
        <v>0.61973333333333325</v>
      </c>
      <c r="L428" s="1897">
        <v>0.60159999999999991</v>
      </c>
      <c r="M428" s="1897">
        <v>0.58986666666666665</v>
      </c>
      <c r="N428" s="1897">
        <v>0.24480000000000005</v>
      </c>
      <c r="O428" s="1897">
        <v>0.23573333333333332</v>
      </c>
      <c r="P428" s="1897">
        <v>0.22453333333333333</v>
      </c>
      <c r="Q428" s="1897">
        <v>0.20586666666666667</v>
      </c>
      <c r="R428" s="1897">
        <v>0.22293333333333332</v>
      </c>
      <c r="S428" s="1898">
        <f t="shared" si="12"/>
        <v>0.42848888888888892</v>
      </c>
    </row>
    <row r="429" spans="1:19">
      <c r="A429" s="1894">
        <f t="shared" si="13"/>
        <v>422</v>
      </c>
      <c r="B429" s="1895" t="s">
        <v>3315</v>
      </c>
      <c r="C429" s="1894" t="s">
        <v>524</v>
      </c>
      <c r="D429" s="1895" t="s">
        <v>2966</v>
      </c>
      <c r="E429" s="1894" t="s">
        <v>259</v>
      </c>
      <c r="F429" s="1896">
        <v>300</v>
      </c>
      <c r="G429" s="1897">
        <v>0.44399999999999995</v>
      </c>
      <c r="H429" s="1897">
        <v>0.42</v>
      </c>
      <c r="I429" s="1897">
        <v>0.4032</v>
      </c>
      <c r="J429" s="1897">
        <v>0.27600000000000002</v>
      </c>
      <c r="K429" s="1897">
        <v>6.9599999999999995E-2</v>
      </c>
      <c r="L429" s="1897">
        <v>0.1032</v>
      </c>
      <c r="M429" s="1897">
        <v>9.1200000000000003E-2</v>
      </c>
      <c r="N429" s="1897">
        <v>3.5999999999999997E-2</v>
      </c>
      <c r="O429" s="1897">
        <v>3.5200000000000002E-2</v>
      </c>
      <c r="P429" s="1897">
        <v>0.24079999999999999</v>
      </c>
      <c r="Q429" s="1897">
        <v>0.44159999999999999</v>
      </c>
      <c r="R429" s="1897">
        <v>0.42399999999999999</v>
      </c>
      <c r="S429" s="1898">
        <f t="shared" si="12"/>
        <v>0.24873333333333328</v>
      </c>
    </row>
    <row r="430" spans="1:19">
      <c r="A430" s="1894">
        <f t="shared" si="13"/>
        <v>423</v>
      </c>
      <c r="B430" s="1895" t="s">
        <v>3316</v>
      </c>
      <c r="C430" s="1894" t="s">
        <v>524</v>
      </c>
      <c r="D430" s="1895" t="s">
        <v>2966</v>
      </c>
      <c r="E430" s="1894" t="s">
        <v>259</v>
      </c>
      <c r="F430" s="1896">
        <v>300</v>
      </c>
      <c r="G430" s="1897">
        <v>0.49653333333333338</v>
      </c>
      <c r="H430" s="1897">
        <v>0.62666666666666671</v>
      </c>
      <c r="I430" s="1897">
        <v>0.48373333333333335</v>
      </c>
      <c r="J430" s="1897">
        <v>0.45813333333333334</v>
      </c>
      <c r="K430" s="1897">
        <v>0.48426666666666668</v>
      </c>
      <c r="L430" s="1897">
        <v>0.74026666666666674</v>
      </c>
      <c r="M430" s="1897">
        <v>0.67093333333333338</v>
      </c>
      <c r="N430" s="1897">
        <v>0.49600000000000005</v>
      </c>
      <c r="O430" s="1897">
        <v>0.2656</v>
      </c>
      <c r="P430" s="1897">
        <v>4.2133333333333335E-2</v>
      </c>
      <c r="Q430" s="1897">
        <v>0.33013333333333333</v>
      </c>
      <c r="R430" s="1897">
        <v>0.40213333333333329</v>
      </c>
      <c r="S430" s="1898">
        <f t="shared" si="12"/>
        <v>0.45804444444444453</v>
      </c>
    </row>
    <row r="431" spans="1:19">
      <c r="A431" s="1894">
        <f t="shared" si="13"/>
        <v>424</v>
      </c>
      <c r="B431" s="1895" t="s">
        <v>3317</v>
      </c>
      <c r="C431" s="1894" t="s">
        <v>524</v>
      </c>
      <c r="D431" s="1895" t="s">
        <v>541</v>
      </c>
      <c r="E431" s="1894" t="s">
        <v>259</v>
      </c>
      <c r="F431" s="1896">
        <v>300</v>
      </c>
      <c r="G431" s="1897">
        <v>0.93600000000000005</v>
      </c>
      <c r="H431" s="1897">
        <v>0.97333333333333338</v>
      </c>
      <c r="I431" s="1897">
        <v>1.1200000000000001</v>
      </c>
      <c r="J431" s="1897">
        <v>1.0013333333333332</v>
      </c>
      <c r="K431" s="1897">
        <v>0.92533333333333345</v>
      </c>
      <c r="L431" s="1897">
        <v>0.87599999999999989</v>
      </c>
      <c r="M431" s="1897">
        <v>1.3266666666666667</v>
      </c>
      <c r="N431" s="1897">
        <v>0.93733333333333324</v>
      </c>
      <c r="O431" s="1897">
        <v>0.95866666666666678</v>
      </c>
      <c r="P431" s="1897">
        <v>0.89066666666666661</v>
      </c>
      <c r="Q431" s="1897">
        <v>0.96266666666666667</v>
      </c>
      <c r="R431" s="1897">
        <v>0.87466666666666681</v>
      </c>
      <c r="S431" s="1898">
        <f t="shared" si="12"/>
        <v>0.98188888888888881</v>
      </c>
    </row>
    <row r="432" spans="1:19">
      <c r="A432" s="1894">
        <f t="shared" si="13"/>
        <v>425</v>
      </c>
      <c r="B432" s="1895" t="s">
        <v>3318</v>
      </c>
      <c r="C432" s="1894" t="s">
        <v>524</v>
      </c>
      <c r="D432" s="1895" t="s">
        <v>2966</v>
      </c>
      <c r="E432" s="1894" t="s">
        <v>259</v>
      </c>
      <c r="F432" s="1896">
        <v>300</v>
      </c>
      <c r="G432" s="1897">
        <v>1.1961676646706587</v>
      </c>
      <c r="H432" s="1897">
        <v>1.1655089820359281</v>
      </c>
      <c r="I432" s="1897">
        <v>1.2704191616766467</v>
      </c>
      <c r="J432" s="1897">
        <v>1.1310179640718563</v>
      </c>
      <c r="K432" s="1897">
        <v>1.1477844311377245</v>
      </c>
      <c r="L432" s="1897">
        <v>1.1291017964071857</v>
      </c>
      <c r="M432" s="1897">
        <v>0.97341317365269464</v>
      </c>
      <c r="N432" s="1897">
        <v>0.88</v>
      </c>
      <c r="O432" s="1897">
        <v>0.48426666666666668</v>
      </c>
      <c r="P432" s="1897">
        <v>0.47520000000000001</v>
      </c>
      <c r="Q432" s="1897">
        <v>0.66346666666666665</v>
      </c>
      <c r="R432" s="1897">
        <v>0.54080000000000006</v>
      </c>
      <c r="S432" s="1898">
        <f t="shared" si="12"/>
        <v>0.92142887558216902</v>
      </c>
    </row>
    <row r="433" spans="1:19">
      <c r="A433" s="1894">
        <f t="shared" si="13"/>
        <v>426</v>
      </c>
      <c r="B433" s="1895" t="s">
        <v>3319</v>
      </c>
      <c r="C433" s="1894" t="s">
        <v>524</v>
      </c>
      <c r="D433" s="1895" t="s">
        <v>541</v>
      </c>
      <c r="E433" s="1894" t="s">
        <v>259</v>
      </c>
      <c r="F433" s="1896">
        <v>300</v>
      </c>
      <c r="G433" s="1897">
        <v>0.88586666666666669</v>
      </c>
      <c r="H433" s="1897">
        <v>0.98133333333333328</v>
      </c>
      <c r="I433" s="1897">
        <v>0.87359999999999993</v>
      </c>
      <c r="J433" s="1897">
        <v>0.90773333333333328</v>
      </c>
      <c r="K433" s="1897">
        <v>0.91733333333333333</v>
      </c>
      <c r="L433" s="1897">
        <v>0.96640000000000004</v>
      </c>
      <c r="M433" s="1897">
        <v>0.86773333333333336</v>
      </c>
      <c r="N433" s="1897">
        <v>0.86399999999999999</v>
      </c>
      <c r="O433" s="1897">
        <v>0.8773333333333333</v>
      </c>
      <c r="P433" s="1897">
        <v>1.0250666666666668</v>
      </c>
      <c r="Q433" s="1897">
        <v>1.0928</v>
      </c>
      <c r="R433" s="1897">
        <v>1.1397333333333335</v>
      </c>
      <c r="S433" s="1898">
        <f t="shared" si="12"/>
        <v>0.94991111111111126</v>
      </c>
    </row>
    <row r="434" spans="1:19">
      <c r="A434" s="1894">
        <f t="shared" si="13"/>
        <v>427</v>
      </c>
      <c r="B434" s="1895" t="s">
        <v>3320</v>
      </c>
      <c r="C434" s="1894" t="s">
        <v>524</v>
      </c>
      <c r="D434" s="1895" t="s">
        <v>541</v>
      </c>
      <c r="E434" s="1894" t="s">
        <v>259</v>
      </c>
      <c r="F434" s="1896">
        <v>300</v>
      </c>
      <c r="G434" s="1897">
        <v>0.65200000000000002</v>
      </c>
      <c r="H434" s="1897">
        <v>0.68720000000000003</v>
      </c>
      <c r="I434" s="1897">
        <v>1.0224</v>
      </c>
      <c r="J434" s="1897">
        <v>0.90159999999999985</v>
      </c>
      <c r="K434" s="1897">
        <v>0.63439999999999996</v>
      </c>
      <c r="L434" s="1897">
        <v>0.624</v>
      </c>
      <c r="M434" s="1897">
        <v>0.63759999999999994</v>
      </c>
      <c r="N434" s="1897">
        <v>0.60960000000000003</v>
      </c>
      <c r="O434" s="1897">
        <v>0.65280000000000005</v>
      </c>
      <c r="P434" s="1897">
        <v>0.60719999999999996</v>
      </c>
      <c r="Q434" s="1897">
        <v>0.61760000000000004</v>
      </c>
      <c r="R434" s="1897">
        <v>0.66800000000000004</v>
      </c>
      <c r="S434" s="1898">
        <f t="shared" si="12"/>
        <v>0.69286666666666663</v>
      </c>
    </row>
    <row r="435" spans="1:19">
      <c r="A435" s="1894">
        <f t="shared" si="13"/>
        <v>428</v>
      </c>
      <c r="B435" s="1895" t="s">
        <v>3321</v>
      </c>
      <c r="C435" s="1894" t="s">
        <v>524</v>
      </c>
      <c r="D435" s="1895" t="s">
        <v>541</v>
      </c>
      <c r="E435" s="1894" t="s">
        <v>259</v>
      </c>
      <c r="F435" s="1896">
        <v>300</v>
      </c>
      <c r="G435" s="1897">
        <v>0.39199999999999996</v>
      </c>
      <c r="H435" s="1897">
        <v>0.37599999999999995</v>
      </c>
      <c r="I435" s="1897">
        <v>0.38399999999999995</v>
      </c>
      <c r="J435" s="1897">
        <v>0.33493333333333331</v>
      </c>
      <c r="K435" s="1897">
        <v>0.4032</v>
      </c>
      <c r="L435" s="1897">
        <v>0.38080000000000003</v>
      </c>
      <c r="M435" s="1897">
        <v>0.36799999999999999</v>
      </c>
      <c r="N435" s="1897">
        <v>0.38080000000000003</v>
      </c>
      <c r="O435" s="1897">
        <v>0.37706666666666666</v>
      </c>
      <c r="P435" s="1897">
        <v>0.3664</v>
      </c>
      <c r="Q435" s="1897">
        <v>0.33333333333333331</v>
      </c>
      <c r="R435" s="1897">
        <v>0.37333333333333341</v>
      </c>
      <c r="S435" s="1898">
        <f t="shared" si="12"/>
        <v>0.37248888888888887</v>
      </c>
    </row>
    <row r="436" spans="1:19">
      <c r="A436" s="1894">
        <f t="shared" si="13"/>
        <v>429</v>
      </c>
      <c r="B436" s="1895" t="s">
        <v>3322</v>
      </c>
      <c r="C436" s="1894" t="s">
        <v>524</v>
      </c>
      <c r="D436" s="1895" t="s">
        <v>636</v>
      </c>
      <c r="E436" s="1894" t="s">
        <v>259</v>
      </c>
      <c r="F436" s="1896">
        <v>300</v>
      </c>
      <c r="G436" s="1897">
        <v>0.2984</v>
      </c>
      <c r="H436" s="1897">
        <v>0.108</v>
      </c>
      <c r="I436" s="1897">
        <v>0.18559999999999999</v>
      </c>
      <c r="J436" s="1897">
        <v>0.1928</v>
      </c>
      <c r="K436" s="1897">
        <v>3.8399999999999997E-2</v>
      </c>
      <c r="L436" s="1897">
        <v>0.1208</v>
      </c>
      <c r="M436" s="1897">
        <v>0.10639999999999999</v>
      </c>
      <c r="N436" s="1897">
        <v>0.2424</v>
      </c>
      <c r="O436" s="1897">
        <v>0.37119999999999997</v>
      </c>
      <c r="P436" s="1897">
        <v>6.5600000000000006E-2</v>
      </c>
      <c r="Q436" s="1897">
        <v>6.5600000000000006E-2</v>
      </c>
      <c r="R436" s="1897">
        <v>0.216</v>
      </c>
      <c r="S436" s="1898">
        <f t="shared" si="12"/>
        <v>0.1676</v>
      </c>
    </row>
    <row r="437" spans="1:19">
      <c r="A437" s="1894">
        <f t="shared" si="13"/>
        <v>430</v>
      </c>
      <c r="B437" s="1895" t="s">
        <v>3323</v>
      </c>
      <c r="C437" s="1894" t="s">
        <v>524</v>
      </c>
      <c r="D437" s="1895" t="s">
        <v>541</v>
      </c>
      <c r="E437" s="1894" t="s">
        <v>259</v>
      </c>
      <c r="F437" s="1896">
        <v>300</v>
      </c>
      <c r="G437" s="1897">
        <v>0.59279999999999999</v>
      </c>
      <c r="H437" s="1897">
        <v>0.65239999999999998</v>
      </c>
      <c r="I437" s="1897">
        <v>0.67759999999999998</v>
      </c>
      <c r="J437" s="1897">
        <v>0.64839999999999998</v>
      </c>
      <c r="K437" s="1897">
        <v>0.34560000000000002</v>
      </c>
      <c r="L437" s="1897">
        <v>0.61519999999999997</v>
      </c>
      <c r="M437" s="1897">
        <v>0.55640000000000001</v>
      </c>
      <c r="N437" s="1897">
        <v>0.68279999999999996</v>
      </c>
      <c r="O437" s="1897">
        <v>0.66759999999999997</v>
      </c>
      <c r="P437" s="1897">
        <v>0.68359999999999999</v>
      </c>
      <c r="Q437" s="1897">
        <v>0.71719999999999995</v>
      </c>
      <c r="R437" s="1897">
        <v>0.68320000000000003</v>
      </c>
      <c r="S437" s="1898">
        <f t="shared" si="12"/>
        <v>0.62690000000000012</v>
      </c>
    </row>
    <row r="438" spans="1:19">
      <c r="A438" s="1894">
        <f t="shared" si="13"/>
        <v>431</v>
      </c>
      <c r="B438" s="1895" t="s">
        <v>3324</v>
      </c>
      <c r="C438" s="1894" t="s">
        <v>524</v>
      </c>
      <c r="D438" s="1895" t="s">
        <v>541</v>
      </c>
      <c r="E438" s="1894" t="s">
        <v>259</v>
      </c>
      <c r="F438" s="1896">
        <v>300</v>
      </c>
      <c r="G438" s="1897">
        <v>0.56000000000000005</v>
      </c>
      <c r="H438" s="1897">
        <v>0.60799999999999998</v>
      </c>
      <c r="I438" s="1897">
        <v>0.65653333333333341</v>
      </c>
      <c r="J438" s="1897">
        <v>0.63519999999999999</v>
      </c>
      <c r="K438" s="1897">
        <v>0.53173333333333328</v>
      </c>
      <c r="L438" s="1897">
        <v>0.59040000000000004</v>
      </c>
      <c r="M438" s="1897">
        <v>0.27040000000000003</v>
      </c>
      <c r="N438" s="1897">
        <v>1.7674666666666667</v>
      </c>
      <c r="O438" s="1897">
        <v>0.58879999999999999</v>
      </c>
      <c r="P438" s="1897">
        <v>0.64533333333333331</v>
      </c>
      <c r="Q438" s="1897">
        <v>0.83573333333333333</v>
      </c>
      <c r="R438" s="1897">
        <v>0.62453333333333327</v>
      </c>
      <c r="S438" s="1898">
        <f t="shared" si="12"/>
        <v>0.69284444444444448</v>
      </c>
    </row>
    <row r="439" spans="1:19">
      <c r="A439" s="1894">
        <f t="shared" si="13"/>
        <v>432</v>
      </c>
      <c r="B439" s="1895" t="s">
        <v>3325</v>
      </c>
      <c r="C439" s="1894" t="s">
        <v>2930</v>
      </c>
      <c r="D439" s="1895" t="s">
        <v>541</v>
      </c>
      <c r="E439" s="1894" t="s">
        <v>259</v>
      </c>
      <c r="F439" s="1896">
        <v>300</v>
      </c>
      <c r="G439" s="1897">
        <v>0</v>
      </c>
      <c r="H439" s="1897">
        <v>0</v>
      </c>
      <c r="I439" s="1897">
        <v>0</v>
      </c>
      <c r="J439" s="1897">
        <v>0</v>
      </c>
      <c r="K439" s="1897">
        <v>0</v>
      </c>
      <c r="L439" s="1897">
        <v>0</v>
      </c>
      <c r="M439" s="1897">
        <v>0</v>
      </c>
      <c r="N439" s="1897">
        <v>0</v>
      </c>
      <c r="O439" s="1897">
        <v>0</v>
      </c>
      <c r="P439" s="1897">
        <v>0</v>
      </c>
      <c r="Q439" s="1897">
        <v>0</v>
      </c>
      <c r="R439" s="1897">
        <v>0</v>
      </c>
      <c r="S439" s="1898">
        <f t="shared" si="12"/>
        <v>0</v>
      </c>
    </row>
    <row r="440" spans="1:19">
      <c r="A440" s="1894">
        <f t="shared" si="13"/>
        <v>433</v>
      </c>
      <c r="B440" s="1895" t="s">
        <v>3326</v>
      </c>
      <c r="C440" s="1894" t="s">
        <v>2930</v>
      </c>
      <c r="D440" s="1895" t="s">
        <v>541</v>
      </c>
      <c r="E440" s="1894" t="s">
        <v>259</v>
      </c>
      <c r="F440" s="1896">
        <v>300</v>
      </c>
      <c r="G440" s="1897">
        <v>0</v>
      </c>
      <c r="H440" s="1897">
        <v>0</v>
      </c>
      <c r="I440" s="1897">
        <v>0</v>
      </c>
      <c r="J440" s="1897">
        <v>0</v>
      </c>
      <c r="K440" s="1897">
        <v>0</v>
      </c>
      <c r="L440" s="1897">
        <v>0</v>
      </c>
      <c r="M440" s="1897">
        <v>0</v>
      </c>
      <c r="N440" s="1897">
        <v>0</v>
      </c>
      <c r="O440" s="1897">
        <v>0</v>
      </c>
      <c r="P440" s="1897">
        <v>0</v>
      </c>
      <c r="Q440" s="1897">
        <v>0</v>
      </c>
      <c r="R440" s="1897">
        <v>0</v>
      </c>
      <c r="S440" s="1898">
        <f t="shared" si="12"/>
        <v>0</v>
      </c>
    </row>
    <row r="441" spans="1:19">
      <c r="A441" s="1894">
        <f t="shared" si="13"/>
        <v>434</v>
      </c>
      <c r="B441" s="1895" t="s">
        <v>3327</v>
      </c>
      <c r="C441" s="1894" t="s">
        <v>524</v>
      </c>
      <c r="D441" s="1895" t="s">
        <v>541</v>
      </c>
      <c r="E441" s="1894" t="s">
        <v>259</v>
      </c>
      <c r="F441" s="1896">
        <v>301</v>
      </c>
      <c r="G441" s="1897">
        <v>0.91853820598006652</v>
      </c>
      <c r="H441" s="1897">
        <v>0.84677740863787376</v>
      </c>
      <c r="I441" s="1897">
        <v>0.80930232558139548</v>
      </c>
      <c r="J441" s="1897">
        <v>0.82126245847176071</v>
      </c>
      <c r="K441" s="1897">
        <v>0.83880398671096357</v>
      </c>
      <c r="L441" s="1897">
        <v>0.86750830564784054</v>
      </c>
      <c r="M441" s="1897">
        <v>0.87946843853820589</v>
      </c>
      <c r="N441" s="1897">
        <v>9.1694352159468431E-2</v>
      </c>
      <c r="O441" s="1897">
        <v>0.90259136212624591</v>
      </c>
      <c r="P441" s="1897">
        <v>0.83960132890365446</v>
      </c>
      <c r="Q441" s="1897">
        <v>0.83242524916943528</v>
      </c>
      <c r="R441" s="1897">
        <v>0.87468438538205995</v>
      </c>
      <c r="S441" s="1898">
        <f t="shared" si="12"/>
        <v>0.7935548172757475</v>
      </c>
    </row>
    <row r="442" spans="1:19">
      <c r="A442" s="1894">
        <f t="shared" si="13"/>
        <v>435</v>
      </c>
      <c r="B442" s="1895" t="s">
        <v>3328</v>
      </c>
      <c r="C442" s="1894" t="s">
        <v>524</v>
      </c>
      <c r="D442" s="1895" t="s">
        <v>737</v>
      </c>
      <c r="E442" s="1894" t="s">
        <v>259</v>
      </c>
      <c r="F442" s="1896">
        <v>303</v>
      </c>
      <c r="G442" s="1897">
        <v>4.7524752475247518E-2</v>
      </c>
      <c r="H442" s="1897">
        <v>6.4686468646864698E-2</v>
      </c>
      <c r="I442" s="1897">
        <v>0.21597359735973595</v>
      </c>
      <c r="J442" s="1897">
        <v>5.5973597359735977E-2</v>
      </c>
      <c r="K442" s="1897">
        <v>4.7524752475247518E-2</v>
      </c>
      <c r="L442" s="1897">
        <v>4.9108910891089104E-2</v>
      </c>
      <c r="M442" s="1897">
        <v>4.7524752475247518E-2</v>
      </c>
      <c r="N442" s="1897">
        <v>4.2244224422442245E-2</v>
      </c>
      <c r="O442" s="1897">
        <v>5.0165016501650166E-2</v>
      </c>
      <c r="P442" s="1897">
        <v>4.6468646864686471E-2</v>
      </c>
      <c r="Q442" s="1897">
        <v>4.3828382838283823E-2</v>
      </c>
      <c r="R442" s="1897">
        <v>4.6996699669966994E-2</v>
      </c>
      <c r="S442" s="1898">
        <f t="shared" si="12"/>
        <v>6.3168316831683169E-2</v>
      </c>
    </row>
    <row r="443" spans="1:19">
      <c r="A443" s="1894">
        <f t="shared" si="13"/>
        <v>436</v>
      </c>
      <c r="B443" s="1895" t="s">
        <v>3329</v>
      </c>
      <c r="C443" s="1894" t="s">
        <v>524</v>
      </c>
      <c r="D443" s="1895" t="s">
        <v>623</v>
      </c>
      <c r="E443" s="1894" t="s">
        <v>259</v>
      </c>
      <c r="F443" s="1896">
        <v>304</v>
      </c>
      <c r="G443" s="1897">
        <v>0.55184210526315791</v>
      </c>
      <c r="H443" s="1897">
        <v>0.51947368421052631</v>
      </c>
      <c r="I443" s="1897">
        <v>0.508421052631579</v>
      </c>
      <c r="J443" s="1897">
        <v>0.50052631578947371</v>
      </c>
      <c r="K443" s="1897">
        <v>0.51552631578947372</v>
      </c>
      <c r="L443" s="1897">
        <v>0.49657894736842106</v>
      </c>
      <c r="M443" s="1897">
        <v>0.50684210526315787</v>
      </c>
      <c r="N443" s="1897">
        <v>0.3978947368421053</v>
      </c>
      <c r="O443" s="1897">
        <v>0.40105263157894738</v>
      </c>
      <c r="P443" s="1897">
        <v>0.39236842105263159</v>
      </c>
      <c r="Q443" s="1897">
        <v>0.37263157894736842</v>
      </c>
      <c r="R443" s="1897">
        <v>0.38368421052631579</v>
      </c>
      <c r="S443" s="1898">
        <f t="shared" si="12"/>
        <v>0.46223684210526317</v>
      </c>
    </row>
    <row r="444" spans="1:19">
      <c r="A444" s="1894">
        <f t="shared" si="13"/>
        <v>437</v>
      </c>
      <c r="B444" s="1895" t="s">
        <v>3330</v>
      </c>
      <c r="C444" s="1894" t="s">
        <v>524</v>
      </c>
      <c r="D444" s="1895" t="s">
        <v>623</v>
      </c>
      <c r="E444" s="1894" t="s">
        <v>259</v>
      </c>
      <c r="F444" s="1896">
        <v>306</v>
      </c>
      <c r="G444" s="1897">
        <v>1.1411764705882352</v>
      </c>
      <c r="H444" s="1897">
        <v>0.86666666666666659</v>
      </c>
      <c r="I444" s="1897">
        <v>0.88627450980392153</v>
      </c>
      <c r="J444" s="1897">
        <v>0.82091503267973853</v>
      </c>
      <c r="K444" s="1897">
        <v>0.94117647058823528</v>
      </c>
      <c r="L444" s="1897">
        <v>0.8549019607843138</v>
      </c>
      <c r="M444" s="1897">
        <v>0.79215686274509811</v>
      </c>
      <c r="N444" s="1897">
        <v>0.81045751633986929</v>
      </c>
      <c r="O444" s="1897">
        <v>0.73202614379084963</v>
      </c>
      <c r="P444" s="1897">
        <v>0.7803921568627451</v>
      </c>
      <c r="Q444" s="1897">
        <v>0.75163398692810457</v>
      </c>
      <c r="R444" s="1897">
        <v>1.0013071895424837</v>
      </c>
      <c r="S444" s="1898">
        <f t="shared" si="12"/>
        <v>0.8649237472766883</v>
      </c>
    </row>
    <row r="445" spans="1:19">
      <c r="A445" s="1894">
        <f t="shared" si="13"/>
        <v>438</v>
      </c>
      <c r="B445" s="1895" t="s">
        <v>3331</v>
      </c>
      <c r="C445" s="1894" t="s">
        <v>524</v>
      </c>
      <c r="D445" s="1895" t="s">
        <v>541</v>
      </c>
      <c r="E445" s="1894" t="s">
        <v>259</v>
      </c>
      <c r="F445" s="1896">
        <v>314</v>
      </c>
      <c r="G445" s="1897">
        <v>0.61146496815286622</v>
      </c>
      <c r="H445" s="1897">
        <v>0.57324840764331209</v>
      </c>
      <c r="I445" s="1897">
        <v>0.55414012738853502</v>
      </c>
      <c r="J445" s="1897">
        <v>0.53503184713375795</v>
      </c>
      <c r="K445" s="1897">
        <v>0.53503184713375795</v>
      </c>
      <c r="L445" s="1897">
        <v>0.57324840764331209</v>
      </c>
      <c r="M445" s="1897">
        <v>0.57554140127388531</v>
      </c>
      <c r="N445" s="1897">
        <v>0.62980891719745224</v>
      </c>
      <c r="O445" s="1897">
        <v>0.64127388535031848</v>
      </c>
      <c r="P445" s="1897">
        <v>0.69477707006369427</v>
      </c>
      <c r="Q445" s="1897">
        <v>0.81477707006369426</v>
      </c>
      <c r="R445" s="1897">
        <v>0.9355414012738853</v>
      </c>
      <c r="S445" s="1898">
        <f t="shared" si="12"/>
        <v>0.63949044585987258</v>
      </c>
    </row>
    <row r="446" spans="1:19">
      <c r="A446" s="1894">
        <f t="shared" si="13"/>
        <v>439</v>
      </c>
      <c r="B446" s="1895" t="s">
        <v>3332</v>
      </c>
      <c r="C446" s="1894" t="s">
        <v>524</v>
      </c>
      <c r="D446" s="1895" t="s">
        <v>636</v>
      </c>
      <c r="E446" s="1894" t="s">
        <v>259</v>
      </c>
      <c r="F446" s="1896">
        <v>317</v>
      </c>
      <c r="G446" s="1897">
        <v>0.37854889589905361</v>
      </c>
      <c r="H446" s="1897">
        <v>0.38914826498422711</v>
      </c>
      <c r="I446" s="1897">
        <v>0.3679495268138801</v>
      </c>
      <c r="J446" s="1897">
        <v>0.38309148264984227</v>
      </c>
      <c r="K446" s="1897">
        <v>0.40050473186119878</v>
      </c>
      <c r="L446" s="1897">
        <v>0.39293375394321767</v>
      </c>
      <c r="M446" s="1897">
        <v>0.32100946372239747</v>
      </c>
      <c r="N446" s="1897">
        <v>0.19381703470031547</v>
      </c>
      <c r="O446" s="1897">
        <v>0.10599369085173502</v>
      </c>
      <c r="P446" s="1897">
        <v>0.10750788643533125</v>
      </c>
      <c r="Q446" s="1897">
        <v>0.19154574132492114</v>
      </c>
      <c r="R446" s="1897">
        <v>0.27709779179810728</v>
      </c>
      <c r="S446" s="1898">
        <f t="shared" si="12"/>
        <v>0.29242902208201899</v>
      </c>
    </row>
    <row r="447" spans="1:19">
      <c r="A447" s="1894">
        <f t="shared" si="13"/>
        <v>440</v>
      </c>
      <c r="B447" s="1895" t="s">
        <v>3333</v>
      </c>
      <c r="C447" s="1894" t="s">
        <v>524</v>
      </c>
      <c r="D447" s="1895" t="s">
        <v>541</v>
      </c>
      <c r="E447" s="1894" t="s">
        <v>259</v>
      </c>
      <c r="F447" s="1896">
        <v>317</v>
      </c>
      <c r="G447" s="1897">
        <v>0.78435331230283911</v>
      </c>
      <c r="H447" s="1897">
        <v>0.74271293375394332</v>
      </c>
      <c r="I447" s="1897">
        <v>0.68517350157728707</v>
      </c>
      <c r="J447" s="1897">
        <v>0.52088328075709778</v>
      </c>
      <c r="K447" s="1897">
        <v>8.7823343848580426E-2</v>
      </c>
      <c r="L447" s="1897">
        <v>8.9337539432176663E-2</v>
      </c>
      <c r="M447" s="1897">
        <v>0.64126182965299683</v>
      </c>
      <c r="N447" s="1897">
        <v>0.86157728706624603</v>
      </c>
      <c r="O447" s="1897">
        <v>0.84264984227129336</v>
      </c>
      <c r="P447" s="1897">
        <v>0.69955835962145108</v>
      </c>
      <c r="Q447" s="1897">
        <v>0.77981072555205044</v>
      </c>
      <c r="R447" s="1897">
        <v>0.76996845425867499</v>
      </c>
      <c r="S447" s="1898">
        <f t="shared" si="12"/>
        <v>0.62542586750788642</v>
      </c>
    </row>
    <row r="448" spans="1:19">
      <c r="A448" s="1894">
        <f t="shared" si="13"/>
        <v>441</v>
      </c>
      <c r="B448" s="1895" t="s">
        <v>3334</v>
      </c>
      <c r="C448" s="1894" t="s">
        <v>524</v>
      </c>
      <c r="D448" s="1895" t="s">
        <v>737</v>
      </c>
      <c r="E448" s="1894" t="s">
        <v>259</v>
      </c>
      <c r="F448" s="1896">
        <v>322</v>
      </c>
      <c r="G448" s="1897">
        <v>0.33540372670807456</v>
      </c>
      <c r="H448" s="1897">
        <v>0.27950310559006208</v>
      </c>
      <c r="I448" s="1897">
        <v>0.36521739130434783</v>
      </c>
      <c r="J448" s="1897">
        <v>0.48968944099378875</v>
      </c>
      <c r="K448" s="1897">
        <v>0.32422360248447202</v>
      </c>
      <c r="L448" s="1897">
        <v>0.31975155279503109</v>
      </c>
      <c r="M448" s="1897">
        <v>6.1863354037267088E-2</v>
      </c>
      <c r="N448" s="1897">
        <v>0.3484472049689441</v>
      </c>
      <c r="O448" s="1897">
        <v>0.35105590062111802</v>
      </c>
      <c r="P448" s="1897">
        <v>0.34434782608695652</v>
      </c>
      <c r="Q448" s="1897">
        <v>0.34062111801242234</v>
      </c>
      <c r="R448" s="1897">
        <v>0.3547826086956522</v>
      </c>
      <c r="S448" s="1898">
        <f t="shared" si="12"/>
        <v>0.3262422360248447</v>
      </c>
    </row>
    <row r="449" spans="1:19">
      <c r="A449" s="1894">
        <f t="shared" si="13"/>
        <v>442</v>
      </c>
      <c r="B449" s="1895" t="s">
        <v>3335</v>
      </c>
      <c r="C449" s="1894" t="s">
        <v>524</v>
      </c>
      <c r="D449" s="1895" t="s">
        <v>541</v>
      </c>
      <c r="E449" s="1894" t="s">
        <v>259</v>
      </c>
      <c r="F449" s="1896">
        <v>328</v>
      </c>
      <c r="G449" s="1897">
        <v>0</v>
      </c>
      <c r="H449" s="1897">
        <v>0</v>
      </c>
      <c r="I449" s="1897">
        <v>0</v>
      </c>
      <c r="J449" s="1897">
        <v>0</v>
      </c>
      <c r="K449" s="1897">
        <v>0</v>
      </c>
      <c r="L449" s="1897">
        <v>0</v>
      </c>
      <c r="M449" s="1897">
        <v>0</v>
      </c>
      <c r="N449" s="1897">
        <v>0</v>
      </c>
      <c r="O449" s="1897">
        <v>0</v>
      </c>
      <c r="P449" s="1897">
        <v>0.60000000000000009</v>
      </c>
      <c r="Q449" s="1897">
        <v>0.63707317073170722</v>
      </c>
      <c r="R449" s="1897">
        <v>0.62390243902439024</v>
      </c>
      <c r="S449" s="1898">
        <f t="shared" si="12"/>
        <v>0.15508130081300811</v>
      </c>
    </row>
    <row r="450" spans="1:19">
      <c r="A450" s="1894">
        <f t="shared" si="13"/>
        <v>443</v>
      </c>
      <c r="B450" s="1895" t="s">
        <v>3336</v>
      </c>
      <c r="C450" s="1894" t="s">
        <v>524</v>
      </c>
      <c r="D450" s="1895" t="s">
        <v>541</v>
      </c>
      <c r="E450" s="1894" t="s">
        <v>259</v>
      </c>
      <c r="F450" s="1896">
        <v>328</v>
      </c>
      <c r="G450" s="1897">
        <v>0</v>
      </c>
      <c r="H450" s="1897">
        <v>0.53756097560975613</v>
      </c>
      <c r="I450" s="1897">
        <v>1.0034146341463415</v>
      </c>
      <c r="J450" s="1897">
        <v>1.0570731707317074</v>
      </c>
      <c r="K450" s="1897">
        <v>0.53463414634146345</v>
      </c>
      <c r="L450" s="1897">
        <v>0.53414634146341455</v>
      </c>
      <c r="M450" s="1897">
        <v>0.49707317073170737</v>
      </c>
      <c r="N450" s="1897">
        <v>0.48780487804878048</v>
      </c>
      <c r="O450" s="1897">
        <v>0.45219512195121947</v>
      </c>
      <c r="P450" s="1897">
        <v>3.4146341463414637E-2</v>
      </c>
      <c r="Q450" s="1897">
        <v>3.6585365853658534E-2</v>
      </c>
      <c r="R450" s="1897">
        <v>0.51073170731707318</v>
      </c>
      <c r="S450" s="1898">
        <f t="shared" si="12"/>
        <v>0.47378048780487808</v>
      </c>
    </row>
    <row r="451" spans="1:19">
      <c r="A451" s="1894">
        <f t="shared" si="13"/>
        <v>444</v>
      </c>
      <c r="B451" s="1895" t="s">
        <v>3337</v>
      </c>
      <c r="C451" s="1894" t="s">
        <v>524</v>
      </c>
      <c r="D451" s="1895" t="s">
        <v>2966</v>
      </c>
      <c r="E451" s="1894" t="s">
        <v>259</v>
      </c>
      <c r="F451" s="1896">
        <v>329</v>
      </c>
      <c r="G451" s="1897">
        <v>0.82942249240121579</v>
      </c>
      <c r="H451" s="1897">
        <v>0.88851063829787236</v>
      </c>
      <c r="I451" s="1897">
        <v>1.1306990881458967</v>
      </c>
      <c r="J451" s="1897">
        <v>1.0164133738601824</v>
      </c>
      <c r="K451" s="1897">
        <v>0.76206686930091183</v>
      </c>
      <c r="L451" s="1897">
        <v>0.61860182370820671</v>
      </c>
      <c r="M451" s="1897">
        <v>0.79221884498480244</v>
      </c>
      <c r="N451" s="1897">
        <v>0.91185410334346506</v>
      </c>
      <c r="O451" s="1897">
        <v>0.22030395136778116</v>
      </c>
      <c r="P451" s="1897">
        <v>6.9057750759878425E-2</v>
      </c>
      <c r="Q451" s="1897">
        <v>4.2796352583586626E-2</v>
      </c>
      <c r="R451" s="1897">
        <v>0.33653495440729481</v>
      </c>
      <c r="S451" s="1898">
        <f t="shared" si="12"/>
        <v>0.63487335359675778</v>
      </c>
    </row>
    <row r="452" spans="1:19">
      <c r="A452" s="1894">
        <f t="shared" si="13"/>
        <v>445</v>
      </c>
      <c r="B452" s="1895" t="s">
        <v>3338</v>
      </c>
      <c r="C452" s="1894" t="s">
        <v>524</v>
      </c>
      <c r="D452" s="1895" t="s">
        <v>641</v>
      </c>
      <c r="E452" s="1894" t="s">
        <v>259</v>
      </c>
      <c r="F452" s="1896">
        <v>330</v>
      </c>
      <c r="G452" s="1897">
        <v>0.34206060606060606</v>
      </c>
      <c r="H452" s="1897">
        <v>0.3112727272727272</v>
      </c>
      <c r="I452" s="1897">
        <v>0.15709090909090909</v>
      </c>
      <c r="J452" s="1897">
        <v>0.25309090909090914</v>
      </c>
      <c r="K452" s="1897">
        <v>0.10909090909090909</v>
      </c>
      <c r="L452" s="1897">
        <v>0.13866666666666666</v>
      </c>
      <c r="M452" s="1897">
        <v>0.15248484848484847</v>
      </c>
      <c r="N452" s="1897">
        <v>0.14521212121212121</v>
      </c>
      <c r="O452" s="1897">
        <v>0.12630303030303031</v>
      </c>
      <c r="P452" s="1897">
        <v>0.12484848484848483</v>
      </c>
      <c r="Q452" s="1897">
        <v>0.14424242424242423</v>
      </c>
      <c r="R452" s="1897">
        <v>0.128</v>
      </c>
      <c r="S452" s="1898">
        <f t="shared" si="12"/>
        <v>0.17769696969696969</v>
      </c>
    </row>
    <row r="453" spans="1:19">
      <c r="A453" s="1894">
        <f t="shared" si="13"/>
        <v>446</v>
      </c>
      <c r="B453" s="1895" t="s">
        <v>3339</v>
      </c>
      <c r="C453" s="1894" t="s">
        <v>524</v>
      </c>
      <c r="D453" s="1895" t="s">
        <v>541</v>
      </c>
      <c r="E453" s="1894" t="s">
        <v>259</v>
      </c>
      <c r="F453" s="1896">
        <v>332</v>
      </c>
      <c r="G453" s="1897">
        <v>0</v>
      </c>
      <c r="H453" s="1897">
        <v>0</v>
      </c>
      <c r="I453" s="1897">
        <v>0</v>
      </c>
      <c r="J453" s="1897">
        <v>0</v>
      </c>
      <c r="K453" s="1897">
        <v>0</v>
      </c>
      <c r="L453" s="1897">
        <v>0</v>
      </c>
      <c r="M453" s="1897">
        <v>0</v>
      </c>
      <c r="N453" s="1897">
        <v>0</v>
      </c>
      <c r="O453" s="1897">
        <v>0</v>
      </c>
      <c r="P453" s="1897">
        <v>0.76481927710843378</v>
      </c>
      <c r="Q453" s="1897">
        <v>1.5421686746987953E-2</v>
      </c>
      <c r="R453" s="1897">
        <v>0.62313253012048186</v>
      </c>
      <c r="S453" s="1898">
        <f t="shared" si="12"/>
        <v>0.11694779116465863</v>
      </c>
    </row>
    <row r="454" spans="1:19">
      <c r="A454" s="1894">
        <f t="shared" si="13"/>
        <v>447</v>
      </c>
      <c r="B454" s="1895" t="s">
        <v>3340</v>
      </c>
      <c r="C454" s="1894" t="s">
        <v>524</v>
      </c>
      <c r="D454" s="1895" t="s">
        <v>636</v>
      </c>
      <c r="E454" s="1894" t="s">
        <v>259</v>
      </c>
      <c r="F454" s="1896">
        <v>333</v>
      </c>
      <c r="G454" s="1897">
        <v>0</v>
      </c>
      <c r="H454" s="1897">
        <v>0.42186186186186192</v>
      </c>
      <c r="I454" s="1897">
        <v>0.24168168168168164</v>
      </c>
      <c r="J454" s="1897">
        <v>0.23831831831831832</v>
      </c>
      <c r="K454" s="1897">
        <v>0.26954954954954952</v>
      </c>
      <c r="L454" s="1897">
        <v>0.33753753753753757</v>
      </c>
      <c r="M454" s="1897">
        <v>0.31039039039039046</v>
      </c>
      <c r="N454" s="1897">
        <v>0.27483483483483484</v>
      </c>
      <c r="O454" s="1897">
        <v>0.22390390390390391</v>
      </c>
      <c r="P454" s="1897">
        <v>0.23399399399399401</v>
      </c>
      <c r="Q454" s="1897">
        <v>0.25417417417417415</v>
      </c>
      <c r="R454" s="1897">
        <v>0.27387387387387391</v>
      </c>
      <c r="S454" s="1898">
        <f t="shared" si="12"/>
        <v>0.25667667667667665</v>
      </c>
    </row>
    <row r="455" spans="1:19">
      <c r="A455" s="1894">
        <f t="shared" si="13"/>
        <v>448</v>
      </c>
      <c r="B455" s="1895" t="s">
        <v>3341</v>
      </c>
      <c r="C455" s="1894" t="s">
        <v>524</v>
      </c>
      <c r="D455" s="1895" t="s">
        <v>541</v>
      </c>
      <c r="E455" s="1894" t="s">
        <v>259</v>
      </c>
      <c r="F455" s="1896">
        <v>333</v>
      </c>
      <c r="G455" s="1897">
        <v>1.0066066066066066</v>
      </c>
      <c r="H455" s="1897">
        <v>0.92492492492492495</v>
      </c>
      <c r="I455" s="1897">
        <v>0.98354354354354345</v>
      </c>
      <c r="J455" s="1897">
        <v>0.95519519519519513</v>
      </c>
      <c r="K455" s="1897">
        <v>0.95903903903903909</v>
      </c>
      <c r="L455" s="1897">
        <v>0.91675675675675672</v>
      </c>
      <c r="M455" s="1897">
        <v>1.00996996996997</v>
      </c>
      <c r="N455" s="1897">
        <v>1.0988588588588588</v>
      </c>
      <c r="O455" s="1897">
        <v>1.0762762762762763</v>
      </c>
      <c r="P455" s="1897">
        <v>1.0930930930930931</v>
      </c>
      <c r="Q455" s="1897">
        <v>1.0810810810810811</v>
      </c>
      <c r="R455" s="1897">
        <v>1.0296696696696697</v>
      </c>
      <c r="S455" s="1898">
        <f t="shared" si="12"/>
        <v>1.0112512512512513</v>
      </c>
    </row>
    <row r="456" spans="1:19">
      <c r="A456" s="1894">
        <f t="shared" si="13"/>
        <v>449</v>
      </c>
      <c r="B456" s="1895" t="s">
        <v>3342</v>
      </c>
      <c r="C456" s="1894" t="s">
        <v>524</v>
      </c>
      <c r="D456" s="1895" t="s">
        <v>636</v>
      </c>
      <c r="E456" s="1894" t="s">
        <v>259</v>
      </c>
      <c r="F456" s="1896">
        <v>333</v>
      </c>
      <c r="G456" s="1897">
        <v>0.58378378378378382</v>
      </c>
      <c r="H456" s="1897">
        <v>0.60876876876876873</v>
      </c>
      <c r="I456" s="1897">
        <v>0.63327327327327321</v>
      </c>
      <c r="J456" s="1897">
        <v>0.55351351351351352</v>
      </c>
      <c r="K456" s="1897">
        <v>0.49585585585585584</v>
      </c>
      <c r="L456" s="1897">
        <v>0.47087087087087093</v>
      </c>
      <c r="M456" s="1897">
        <v>0.46894894894894895</v>
      </c>
      <c r="N456" s="1897">
        <v>0.41177177177177177</v>
      </c>
      <c r="O456" s="1897">
        <v>0.39159159159159163</v>
      </c>
      <c r="P456" s="1897">
        <v>0.32672672672672676</v>
      </c>
      <c r="Q456" s="1897">
        <v>0.3829429429429429</v>
      </c>
      <c r="R456" s="1897">
        <v>0.38534534534534531</v>
      </c>
      <c r="S456" s="1898">
        <f t="shared" ref="S456:S519" si="14">+SUM(G456:R456)/12</f>
        <v>0.47611611611611621</v>
      </c>
    </row>
    <row r="457" spans="1:19">
      <c r="A457" s="1894">
        <f t="shared" si="13"/>
        <v>450</v>
      </c>
      <c r="B457" s="1895" t="s">
        <v>3343</v>
      </c>
      <c r="C457" s="1894" t="s">
        <v>524</v>
      </c>
      <c r="D457" s="1895" t="s">
        <v>541</v>
      </c>
      <c r="E457" s="1894" t="s">
        <v>259</v>
      </c>
      <c r="F457" s="1896">
        <v>333</v>
      </c>
      <c r="G457" s="1897">
        <v>0.82162162162162167</v>
      </c>
      <c r="H457" s="1897">
        <v>0.77477477477477474</v>
      </c>
      <c r="I457" s="1897">
        <v>0.83963963963963972</v>
      </c>
      <c r="J457" s="1897">
        <v>0.99939939939939948</v>
      </c>
      <c r="K457" s="1897">
        <v>1.0282282282282282</v>
      </c>
      <c r="L457" s="1897">
        <v>0.2822822822822823</v>
      </c>
      <c r="M457" s="1897">
        <v>2.1621621621621623E-2</v>
      </c>
      <c r="N457" s="1897">
        <v>5.2852852852852857E-2</v>
      </c>
      <c r="O457" s="1897">
        <v>0.83603603603603593</v>
      </c>
      <c r="P457" s="1897">
        <v>0.89009009009008999</v>
      </c>
      <c r="Q457" s="1897">
        <v>0.91051051051051068</v>
      </c>
      <c r="R457" s="1897">
        <v>0.90810810810810805</v>
      </c>
      <c r="S457" s="1898">
        <f t="shared" si="14"/>
        <v>0.697097097097097</v>
      </c>
    </row>
    <row r="458" spans="1:19">
      <c r="A458" s="1894">
        <f t="shared" ref="A458:A521" si="15">+A457+1</f>
        <v>451</v>
      </c>
      <c r="B458" s="1895" t="s">
        <v>3344</v>
      </c>
      <c r="C458" s="1894" t="s">
        <v>524</v>
      </c>
      <c r="D458" s="1895" t="s">
        <v>541</v>
      </c>
      <c r="E458" s="1894" t="s">
        <v>259</v>
      </c>
      <c r="F458" s="1896">
        <v>333</v>
      </c>
      <c r="G458" s="1897">
        <v>0.77117117117117107</v>
      </c>
      <c r="H458" s="1897">
        <v>0.76756756756756761</v>
      </c>
      <c r="I458" s="1897">
        <v>0</v>
      </c>
      <c r="J458" s="1897">
        <v>0.8288288288288288</v>
      </c>
      <c r="K458" s="1897">
        <v>0.15135135135135136</v>
      </c>
      <c r="L458" s="1897">
        <v>9.7297297297297289E-2</v>
      </c>
      <c r="M458" s="1897">
        <v>3.027027027027027E-2</v>
      </c>
      <c r="N458" s="1897">
        <v>0.10450450450450452</v>
      </c>
      <c r="O458" s="1897">
        <v>0.92756756756756753</v>
      </c>
      <c r="P458" s="1897">
        <v>0.84756756756756757</v>
      </c>
      <c r="Q458" s="1897">
        <v>0.6702702702702702</v>
      </c>
      <c r="R458" s="1897">
        <v>0.80504504504504504</v>
      </c>
      <c r="S458" s="1898">
        <f t="shared" si="14"/>
        <v>0.50012012012012008</v>
      </c>
    </row>
    <row r="459" spans="1:19">
      <c r="A459" s="1894">
        <f t="shared" si="15"/>
        <v>452</v>
      </c>
      <c r="B459" s="1895" t="s">
        <v>3345</v>
      </c>
      <c r="C459" s="1894" t="s">
        <v>524</v>
      </c>
      <c r="D459" s="1895" t="s">
        <v>636</v>
      </c>
      <c r="E459" s="1894" t="s">
        <v>259</v>
      </c>
      <c r="F459" s="1896">
        <v>333</v>
      </c>
      <c r="G459" s="1897">
        <v>0.3272072072072072</v>
      </c>
      <c r="H459" s="1897">
        <v>0.32912912912912917</v>
      </c>
      <c r="I459" s="1897">
        <v>0.32384384384384385</v>
      </c>
      <c r="J459" s="1897">
        <v>0.28540540540540543</v>
      </c>
      <c r="K459" s="1897">
        <v>0.31279279279279282</v>
      </c>
      <c r="L459" s="1897">
        <v>0.27531531531531528</v>
      </c>
      <c r="M459" s="1897">
        <v>0.26138138138138134</v>
      </c>
      <c r="N459" s="1897">
        <v>0.21813813813813815</v>
      </c>
      <c r="O459" s="1897">
        <v>0.19075075075075074</v>
      </c>
      <c r="P459" s="1897">
        <v>0.20132132132132133</v>
      </c>
      <c r="Q459" s="1897">
        <v>0.32432432432432434</v>
      </c>
      <c r="R459" s="1897">
        <v>0.26234234234234233</v>
      </c>
      <c r="S459" s="1898">
        <f t="shared" si="14"/>
        <v>0.27599599599599595</v>
      </c>
    </row>
    <row r="460" spans="1:19">
      <c r="A460" s="1894">
        <f t="shared" si="15"/>
        <v>453</v>
      </c>
      <c r="B460" s="1895" t="s">
        <v>3346</v>
      </c>
      <c r="C460" s="1894" t="s">
        <v>524</v>
      </c>
      <c r="D460" s="1895" t="s">
        <v>541</v>
      </c>
      <c r="E460" s="1894" t="s">
        <v>259</v>
      </c>
      <c r="F460" s="1896">
        <v>333</v>
      </c>
      <c r="G460" s="1897">
        <v>0.76576576576576572</v>
      </c>
      <c r="H460" s="1897">
        <v>0.84684684684684686</v>
      </c>
      <c r="I460" s="1897">
        <v>0.73873873873873874</v>
      </c>
      <c r="J460" s="1897">
        <v>0.71711711711711712</v>
      </c>
      <c r="K460" s="1897">
        <v>0.62342342342342338</v>
      </c>
      <c r="L460" s="1897">
        <v>0.73513513513513506</v>
      </c>
      <c r="M460" s="1897">
        <v>0.760960960960961</v>
      </c>
      <c r="N460" s="1897">
        <v>0.80240240240240235</v>
      </c>
      <c r="O460" s="1897">
        <v>0.82822822822822828</v>
      </c>
      <c r="P460" s="1897">
        <v>0.89129129129129137</v>
      </c>
      <c r="Q460" s="1897">
        <v>0.96036036036036021</v>
      </c>
      <c r="R460" s="1897">
        <v>0.7885885885885886</v>
      </c>
      <c r="S460" s="1898">
        <f t="shared" si="14"/>
        <v>0.78823823823823824</v>
      </c>
    </row>
    <row r="461" spans="1:19">
      <c r="A461" s="1894">
        <f t="shared" si="15"/>
        <v>454</v>
      </c>
      <c r="B461" s="1895" t="s">
        <v>3347</v>
      </c>
      <c r="C461" s="1894" t="s">
        <v>524</v>
      </c>
      <c r="D461" s="1895" t="s">
        <v>541</v>
      </c>
      <c r="E461" s="1894" t="s">
        <v>259</v>
      </c>
      <c r="F461" s="1896">
        <v>333</v>
      </c>
      <c r="G461" s="1897">
        <v>0.64564564564564564</v>
      </c>
      <c r="H461" s="1897">
        <v>0.66066066066066065</v>
      </c>
      <c r="I461" s="1897">
        <v>0.79759759759759763</v>
      </c>
      <c r="J461" s="1897">
        <v>7.3273273273273279E-2</v>
      </c>
      <c r="K461" s="1897">
        <v>7.0270270270270274E-2</v>
      </c>
      <c r="L461" s="1897">
        <v>7.7477477477477477E-2</v>
      </c>
      <c r="M461" s="1897">
        <v>6.1861861861861864E-2</v>
      </c>
      <c r="N461" s="1897">
        <v>0.84204204204204203</v>
      </c>
      <c r="O461" s="1897">
        <v>1.291891891891892</v>
      </c>
      <c r="P461" s="1897">
        <v>0.9321321321321322</v>
      </c>
      <c r="Q461" s="1897">
        <v>0.87087087087087089</v>
      </c>
      <c r="R461" s="1897">
        <v>0.86006006006005997</v>
      </c>
      <c r="S461" s="1898">
        <f t="shared" si="14"/>
        <v>0.59864864864864864</v>
      </c>
    </row>
    <row r="462" spans="1:19">
      <c r="A462" s="1894">
        <f t="shared" si="15"/>
        <v>455</v>
      </c>
      <c r="B462" s="1895" t="s">
        <v>3348</v>
      </c>
      <c r="C462" s="1894" t="s">
        <v>524</v>
      </c>
      <c r="D462" s="1895" t="s">
        <v>541</v>
      </c>
      <c r="E462" s="1894" t="s">
        <v>259</v>
      </c>
      <c r="F462" s="1896">
        <v>333</v>
      </c>
      <c r="G462" s="1897">
        <v>1.2000000000000002</v>
      </c>
      <c r="H462" s="1897">
        <v>1.1819819819819821</v>
      </c>
      <c r="I462" s="1897">
        <v>1.0918918918918921</v>
      </c>
      <c r="J462" s="1897">
        <v>1.0864864864864865</v>
      </c>
      <c r="K462" s="1897">
        <v>1.0468468468468468</v>
      </c>
      <c r="L462" s="1897">
        <v>1.0504504504504504</v>
      </c>
      <c r="M462" s="1897">
        <v>1.0360360360360361</v>
      </c>
      <c r="N462" s="1897">
        <v>0.58738738738738738</v>
      </c>
      <c r="O462" s="1897">
        <v>0.99819819819819811</v>
      </c>
      <c r="P462" s="1897">
        <v>1.0360360360360361</v>
      </c>
      <c r="Q462" s="1897">
        <v>1.1153153153153152</v>
      </c>
      <c r="R462" s="1897">
        <v>1.0522522522522522</v>
      </c>
      <c r="S462" s="1898">
        <f t="shared" si="14"/>
        <v>1.0402402402402402</v>
      </c>
    </row>
    <row r="463" spans="1:19">
      <c r="A463" s="1894">
        <f t="shared" si="15"/>
        <v>456</v>
      </c>
      <c r="B463" s="1895" t="s">
        <v>3349</v>
      </c>
      <c r="C463" s="1894" t="s">
        <v>524</v>
      </c>
      <c r="D463" s="1895" t="s">
        <v>541</v>
      </c>
      <c r="E463" s="1894" t="s">
        <v>259</v>
      </c>
      <c r="F463" s="1896">
        <v>333</v>
      </c>
      <c r="G463" s="1897">
        <v>3.4834834834834835E-2</v>
      </c>
      <c r="H463" s="1897">
        <v>1.9219219219219222E-2</v>
      </c>
      <c r="I463" s="1897">
        <v>1.6816816816816817E-2</v>
      </c>
      <c r="J463" s="1897">
        <v>0.33393393393393389</v>
      </c>
      <c r="K463" s="1897">
        <v>1.0810810810810811E-2</v>
      </c>
      <c r="L463" s="1897">
        <v>0.11411411411411411</v>
      </c>
      <c r="M463" s="1897">
        <v>8.8888888888888892E-2</v>
      </c>
      <c r="N463" s="1897">
        <v>0.13573573573573572</v>
      </c>
      <c r="O463" s="1897">
        <v>0.36156156156156155</v>
      </c>
      <c r="P463" s="1897">
        <v>0.37717717717717714</v>
      </c>
      <c r="Q463" s="1897">
        <v>0.36756756756756753</v>
      </c>
      <c r="R463" s="1897">
        <v>0.38558558558558553</v>
      </c>
      <c r="S463" s="1898">
        <f t="shared" si="14"/>
        <v>0.18718718718718716</v>
      </c>
    </row>
    <row r="464" spans="1:19">
      <c r="A464" s="1894">
        <f t="shared" si="15"/>
        <v>457</v>
      </c>
      <c r="B464" s="1895" t="s">
        <v>3350</v>
      </c>
      <c r="C464" s="1894" t="s">
        <v>524</v>
      </c>
      <c r="D464" s="1895" t="s">
        <v>541</v>
      </c>
      <c r="E464" s="1894" t="s">
        <v>259</v>
      </c>
      <c r="F464" s="1896">
        <v>333</v>
      </c>
      <c r="G464" s="1897">
        <v>0.26906906906906908</v>
      </c>
      <c r="H464" s="1897">
        <v>0.2810810810810811</v>
      </c>
      <c r="I464" s="1897">
        <v>0.55975975975975978</v>
      </c>
      <c r="J464" s="1897">
        <v>0.69009009009009015</v>
      </c>
      <c r="K464" s="1897">
        <v>0.68588588588588595</v>
      </c>
      <c r="L464" s="1897">
        <v>0.68228228228228238</v>
      </c>
      <c r="M464" s="1897">
        <v>0.67567567567567566</v>
      </c>
      <c r="N464" s="1897">
        <v>0.73933933933933926</v>
      </c>
      <c r="O464" s="1897">
        <v>0.68828828828828825</v>
      </c>
      <c r="P464" s="1897">
        <v>0.69069069069069067</v>
      </c>
      <c r="Q464" s="1897">
        <v>0.71471471471471471</v>
      </c>
      <c r="R464" s="1897">
        <v>0.62402402402402402</v>
      </c>
      <c r="S464" s="1898">
        <f t="shared" si="14"/>
        <v>0.60840840840840837</v>
      </c>
    </row>
    <row r="465" spans="1:19">
      <c r="A465" s="1894">
        <f t="shared" si="15"/>
        <v>458</v>
      </c>
      <c r="B465" s="1895" t="s">
        <v>3351</v>
      </c>
      <c r="C465" s="1894" t="s">
        <v>524</v>
      </c>
      <c r="D465" s="1895" t="s">
        <v>541</v>
      </c>
      <c r="E465" s="1894" t="s">
        <v>259</v>
      </c>
      <c r="F465" s="1896">
        <v>333</v>
      </c>
      <c r="G465" s="1897">
        <v>0.80540540540540539</v>
      </c>
      <c r="H465" s="1897">
        <v>0.77477477477477474</v>
      </c>
      <c r="I465" s="1897">
        <v>0.88072072072072083</v>
      </c>
      <c r="J465" s="1897">
        <v>1.0324324324324323</v>
      </c>
      <c r="K465" s="1897">
        <v>0.92396396396396396</v>
      </c>
      <c r="L465" s="1897">
        <v>2.9549549549549553E-2</v>
      </c>
      <c r="M465" s="1897">
        <v>4.1441441441441441E-2</v>
      </c>
      <c r="N465" s="1897">
        <v>4.6846846846846847E-2</v>
      </c>
      <c r="O465" s="1897">
        <v>0.75315315315315312</v>
      </c>
      <c r="P465" s="1897">
        <v>0.79927927927927922</v>
      </c>
      <c r="Q465" s="1897">
        <v>0.84468468468468461</v>
      </c>
      <c r="R465" s="1897">
        <v>0.8742342342342343</v>
      </c>
      <c r="S465" s="1898">
        <f t="shared" si="14"/>
        <v>0.65054054054054056</v>
      </c>
    </row>
    <row r="466" spans="1:19">
      <c r="A466" s="1894">
        <f t="shared" si="15"/>
        <v>459</v>
      </c>
      <c r="B466" s="1895" t="s">
        <v>3352</v>
      </c>
      <c r="C466" s="1894" t="s">
        <v>524</v>
      </c>
      <c r="D466" s="1895" t="s">
        <v>2966</v>
      </c>
      <c r="E466" s="1894" t="s">
        <v>259</v>
      </c>
      <c r="F466" s="1896">
        <v>334</v>
      </c>
      <c r="G466" s="1897">
        <v>0.33592814371257484</v>
      </c>
      <c r="H466" s="1897">
        <v>0.65604790419161674</v>
      </c>
      <c r="I466" s="1897">
        <v>0.69700598802395208</v>
      </c>
      <c r="J466" s="1897">
        <v>0.26802395209580837</v>
      </c>
      <c r="K466" s="1897">
        <v>0.31257485029940119</v>
      </c>
      <c r="L466" s="1897">
        <v>0.25508982035928141</v>
      </c>
      <c r="M466" s="1897">
        <v>0.41101796407185631</v>
      </c>
      <c r="N466" s="1897">
        <v>0.41892215568862273</v>
      </c>
      <c r="O466" s="1897">
        <v>0.3075449101796407</v>
      </c>
      <c r="P466" s="1897">
        <v>0.1458682634730539</v>
      </c>
      <c r="Q466" s="1897">
        <v>0.38730538922155694</v>
      </c>
      <c r="R466" s="1897">
        <v>0.52598802395209587</v>
      </c>
      <c r="S466" s="1898">
        <f t="shared" si="14"/>
        <v>0.39344311377245506</v>
      </c>
    </row>
    <row r="467" spans="1:19">
      <c r="A467" s="1894">
        <f t="shared" si="15"/>
        <v>460</v>
      </c>
      <c r="B467" s="1895" t="s">
        <v>3353</v>
      </c>
      <c r="C467" s="1894" t="s">
        <v>524</v>
      </c>
      <c r="D467" s="1895" t="s">
        <v>636</v>
      </c>
      <c r="E467" s="1894" t="s">
        <v>259</v>
      </c>
      <c r="F467" s="1896">
        <v>334</v>
      </c>
      <c r="G467" s="1897">
        <v>0.37964071856287424</v>
      </c>
      <c r="H467" s="1897">
        <v>0.35808383233532931</v>
      </c>
      <c r="I467" s="1897">
        <v>0.38035928143712572</v>
      </c>
      <c r="J467" s="1897">
        <v>0.35592814371257486</v>
      </c>
      <c r="K467" s="1897">
        <v>5.2215568862275456E-2</v>
      </c>
      <c r="L467" s="1897">
        <v>0.31952095808383235</v>
      </c>
      <c r="M467" s="1897">
        <v>0.327185628742515</v>
      </c>
      <c r="N467" s="1897">
        <v>0.30562874251497008</v>
      </c>
      <c r="O467" s="1897">
        <v>0.20646706586826347</v>
      </c>
      <c r="P467" s="1897">
        <v>0.22035928143712574</v>
      </c>
      <c r="Q467" s="1897">
        <v>0.29748502994011977</v>
      </c>
      <c r="R467" s="1897">
        <v>0.27784431137724552</v>
      </c>
      <c r="S467" s="1898">
        <f t="shared" si="14"/>
        <v>0.29005988023952095</v>
      </c>
    </row>
    <row r="468" spans="1:19">
      <c r="A468" s="1894">
        <f t="shared" si="15"/>
        <v>461</v>
      </c>
      <c r="B468" s="1895" t="s">
        <v>3354</v>
      </c>
      <c r="C468" s="1894" t="s">
        <v>524</v>
      </c>
      <c r="D468" s="1895" t="s">
        <v>737</v>
      </c>
      <c r="E468" s="1894" t="s">
        <v>259</v>
      </c>
      <c r="F468" s="1896">
        <v>334</v>
      </c>
      <c r="G468" s="1897">
        <v>0.40419161676646709</v>
      </c>
      <c r="H468" s="1897">
        <v>0.40419161676646709</v>
      </c>
      <c r="I468" s="1897">
        <v>0.40023952095808385</v>
      </c>
      <c r="J468" s="1897">
        <v>0.39413173652694616</v>
      </c>
      <c r="K468" s="1897">
        <v>0.39197604790419166</v>
      </c>
      <c r="L468" s="1897">
        <v>0.38479041916167667</v>
      </c>
      <c r="M468" s="1897">
        <v>0.40095808383233539</v>
      </c>
      <c r="N468" s="1897">
        <v>0.36502994011976048</v>
      </c>
      <c r="O468" s="1897">
        <v>0.36251497005988026</v>
      </c>
      <c r="P468" s="1897">
        <v>0.33664670658682638</v>
      </c>
      <c r="Q468" s="1897">
        <v>0.36071856287425152</v>
      </c>
      <c r="R468" s="1897">
        <v>0.40095808383233539</v>
      </c>
      <c r="S468" s="1898">
        <f t="shared" si="14"/>
        <v>0.38386227544910184</v>
      </c>
    </row>
    <row r="469" spans="1:19">
      <c r="A469" s="1894">
        <f t="shared" si="15"/>
        <v>462</v>
      </c>
      <c r="B469" s="1895" t="s">
        <v>3355</v>
      </c>
      <c r="C469" s="1894" t="s">
        <v>524</v>
      </c>
      <c r="D469" s="1895" t="s">
        <v>541</v>
      </c>
      <c r="E469" s="1894" t="s">
        <v>259</v>
      </c>
      <c r="F469" s="1896">
        <v>335</v>
      </c>
      <c r="G469" s="1897">
        <v>1.3922388059701492</v>
      </c>
      <c r="H469" s="1897">
        <v>1.5952238805970149</v>
      </c>
      <c r="I469" s="1897">
        <v>1.4333134328358208</v>
      </c>
      <c r="J469" s="1897">
        <v>1.5722985074626867</v>
      </c>
      <c r="K469" s="1897">
        <v>1.4409552238805972</v>
      </c>
      <c r="L469" s="1897">
        <v>1.4223283582089552</v>
      </c>
      <c r="M469" s="1897">
        <v>1.4404776119402984</v>
      </c>
      <c r="N469" s="1897">
        <v>1.5211940298507463</v>
      </c>
      <c r="O469" s="1897">
        <v>1.4251940298507462</v>
      </c>
      <c r="P469" s="1897">
        <v>1.283820895522388</v>
      </c>
      <c r="Q469" s="1897">
        <v>1.4634029850746268</v>
      </c>
      <c r="R469" s="1897">
        <v>1.4228059701492537</v>
      </c>
      <c r="S469" s="1898">
        <f t="shared" si="14"/>
        <v>1.4511044776119404</v>
      </c>
    </row>
    <row r="470" spans="1:19">
      <c r="A470" s="1894">
        <f t="shared" si="15"/>
        <v>463</v>
      </c>
      <c r="B470" s="1895" t="s">
        <v>3356</v>
      </c>
      <c r="C470" s="1894" t="s">
        <v>524</v>
      </c>
      <c r="D470" s="1895" t="s">
        <v>730</v>
      </c>
      <c r="E470" s="1894" t="s">
        <v>259</v>
      </c>
      <c r="F470" s="1896">
        <v>341</v>
      </c>
      <c r="G470" s="1897">
        <v>0.33137829912023459</v>
      </c>
      <c r="H470" s="1897">
        <v>0.30791788856304986</v>
      </c>
      <c r="I470" s="1897">
        <v>0.29032258064516131</v>
      </c>
      <c r="J470" s="1897">
        <v>0.30205278592375367</v>
      </c>
      <c r="K470" s="1897">
        <v>0.29618768328445749</v>
      </c>
      <c r="L470" s="1897">
        <v>0.34017595307917886</v>
      </c>
      <c r="M470" s="1897">
        <v>0.33841642228739005</v>
      </c>
      <c r="N470" s="1897">
        <v>0.33548387096774196</v>
      </c>
      <c r="O470" s="1897">
        <v>0.33607038123167154</v>
      </c>
      <c r="P470" s="1897">
        <v>0.33372434017595309</v>
      </c>
      <c r="Q470" s="1897">
        <v>0.35718475073313788</v>
      </c>
      <c r="R470" s="1897">
        <v>0.33665689149560118</v>
      </c>
      <c r="S470" s="1898">
        <f t="shared" si="14"/>
        <v>0.32546432062561098</v>
      </c>
    </row>
    <row r="471" spans="1:19">
      <c r="A471" s="1894">
        <f t="shared" si="15"/>
        <v>464</v>
      </c>
      <c r="B471" s="1895" t="s">
        <v>3357</v>
      </c>
      <c r="C471" s="1894" t="s">
        <v>524</v>
      </c>
      <c r="D471" s="1895" t="s">
        <v>541</v>
      </c>
      <c r="E471" s="1894" t="s">
        <v>259</v>
      </c>
      <c r="F471" s="1896">
        <v>345</v>
      </c>
      <c r="G471" s="1897">
        <v>1.9015384615384614</v>
      </c>
      <c r="H471" s="1897">
        <v>2.0958974358974358</v>
      </c>
      <c r="I471" s="1897">
        <v>2.2199999999999998</v>
      </c>
      <c r="J471" s="1897">
        <v>1.6071794871794871</v>
      </c>
      <c r="K471" s="1897">
        <v>1.4425641025641025</v>
      </c>
      <c r="L471" s="1897">
        <v>1.2682051282051283</v>
      </c>
      <c r="M471" s="1897">
        <v>2</v>
      </c>
      <c r="N471" s="1897">
        <v>0.8973913043478261</v>
      </c>
      <c r="O471" s="1897">
        <v>0.81530434782608685</v>
      </c>
      <c r="P471" s="1897">
        <v>1.0330434782608695</v>
      </c>
      <c r="Q471" s="1897">
        <v>1.1262608695652172</v>
      </c>
      <c r="R471" s="1897">
        <v>1.1241739130434782</v>
      </c>
      <c r="S471" s="1898">
        <f t="shared" si="14"/>
        <v>1.4609632107023411</v>
      </c>
    </row>
    <row r="472" spans="1:19">
      <c r="A472" s="1894">
        <f t="shared" si="15"/>
        <v>465</v>
      </c>
      <c r="B472" s="1895" t="s">
        <v>3358</v>
      </c>
      <c r="C472" s="1894" t="s">
        <v>524</v>
      </c>
      <c r="D472" s="1895" t="s">
        <v>541</v>
      </c>
      <c r="E472" s="1894" t="s">
        <v>259</v>
      </c>
      <c r="F472" s="1896">
        <v>349</v>
      </c>
      <c r="G472" s="1897">
        <v>0.70487106017191981</v>
      </c>
      <c r="H472" s="1897">
        <v>0.83094555873925502</v>
      </c>
      <c r="I472" s="1897">
        <v>0.80343839541547268</v>
      </c>
      <c r="J472" s="1897">
        <v>0.81031518624641841</v>
      </c>
      <c r="K472" s="1897">
        <v>0.81604584527220636</v>
      </c>
      <c r="L472" s="1897">
        <v>0.67507163323782238</v>
      </c>
      <c r="M472" s="1897">
        <v>0.62693409742120343</v>
      </c>
      <c r="N472" s="1897">
        <v>0.49742120343839541</v>
      </c>
      <c r="O472" s="1897">
        <v>0.81833810888252156</v>
      </c>
      <c r="P472" s="1897">
        <v>0.84240687679083093</v>
      </c>
      <c r="Q472" s="1897">
        <v>0.81604584527220636</v>
      </c>
      <c r="R472" s="1897">
        <v>0.81031518624641841</v>
      </c>
      <c r="S472" s="1898">
        <f t="shared" si="14"/>
        <v>0.75434574976122237</v>
      </c>
    </row>
    <row r="473" spans="1:19">
      <c r="A473" s="1894">
        <f t="shared" si="15"/>
        <v>466</v>
      </c>
      <c r="B473" s="1895" t="s">
        <v>3359</v>
      </c>
      <c r="C473" s="1894" t="s">
        <v>524</v>
      </c>
      <c r="D473" s="1895" t="s">
        <v>737</v>
      </c>
      <c r="E473" s="1894" t="s">
        <v>259</v>
      </c>
      <c r="F473" s="1896">
        <v>350</v>
      </c>
      <c r="G473" s="1897">
        <v>0.45531428571428573</v>
      </c>
      <c r="H473" s="1897">
        <v>0.46491428571428572</v>
      </c>
      <c r="I473" s="1897">
        <v>0.6048</v>
      </c>
      <c r="J473" s="1897">
        <v>0.68502857142857143</v>
      </c>
      <c r="K473" s="1897">
        <v>0.66514285714285715</v>
      </c>
      <c r="L473" s="1897">
        <v>0.58422857142857143</v>
      </c>
      <c r="M473" s="1897">
        <v>0.53485714285714281</v>
      </c>
      <c r="N473" s="1897">
        <v>0.42377142857142858</v>
      </c>
      <c r="O473" s="1897">
        <v>0.47451428571428567</v>
      </c>
      <c r="P473" s="1897">
        <v>0.43337142857142857</v>
      </c>
      <c r="Q473" s="1897">
        <v>0.38811428571428574</v>
      </c>
      <c r="R473" s="1897">
        <v>0.45257142857142857</v>
      </c>
      <c r="S473" s="1898">
        <f t="shared" si="14"/>
        <v>0.51388571428571439</v>
      </c>
    </row>
    <row r="474" spans="1:19">
      <c r="A474" s="1894">
        <f t="shared" si="15"/>
        <v>467</v>
      </c>
      <c r="B474" s="1895" t="s">
        <v>3360</v>
      </c>
      <c r="C474" s="1894" t="s">
        <v>524</v>
      </c>
      <c r="D474" s="1895" t="s">
        <v>636</v>
      </c>
      <c r="E474" s="1894" t="s">
        <v>259</v>
      </c>
      <c r="F474" s="1896">
        <v>350</v>
      </c>
      <c r="G474" s="1897">
        <v>0.90239999999999998</v>
      </c>
      <c r="H474" s="1897">
        <v>0.62262857142857142</v>
      </c>
      <c r="I474" s="1897">
        <v>0.89142857142857146</v>
      </c>
      <c r="J474" s="1897">
        <v>0.65280000000000005</v>
      </c>
      <c r="K474" s="1897">
        <v>0.71862857142857151</v>
      </c>
      <c r="L474" s="1897">
        <v>0.6048</v>
      </c>
      <c r="M474" s="1897">
        <v>0.5417142857142857</v>
      </c>
      <c r="N474" s="1897">
        <v>0.66102857142857141</v>
      </c>
      <c r="O474" s="1897">
        <v>0.91748571428571435</v>
      </c>
      <c r="P474" s="1897">
        <v>1.0834285714285714</v>
      </c>
      <c r="Q474" s="1897">
        <v>0.89417142857142851</v>
      </c>
      <c r="R474" s="1897">
        <v>0.85165714285714278</v>
      </c>
      <c r="S474" s="1898">
        <f t="shared" si="14"/>
        <v>0.7785142857142856</v>
      </c>
    </row>
    <row r="475" spans="1:19">
      <c r="A475" s="1894">
        <f t="shared" si="15"/>
        <v>468</v>
      </c>
      <c r="B475" s="1895" t="s">
        <v>3361</v>
      </c>
      <c r="C475" s="1894" t="s">
        <v>524</v>
      </c>
      <c r="D475" s="1895" t="s">
        <v>541</v>
      </c>
      <c r="E475" s="1894" t="s">
        <v>259</v>
      </c>
      <c r="F475" s="1896">
        <v>350</v>
      </c>
      <c r="G475" s="1897">
        <v>1.5497142857142856</v>
      </c>
      <c r="H475" s="1897">
        <v>1.4137142857142857</v>
      </c>
      <c r="I475" s="1897">
        <v>1.2891428571428569</v>
      </c>
      <c r="J475" s="1897">
        <v>1.2937142857142858</v>
      </c>
      <c r="K475" s="1897">
        <v>1.4251428571428573</v>
      </c>
      <c r="L475" s="1897">
        <v>0.86537142857142857</v>
      </c>
      <c r="M475" s="1897">
        <v>0.80091428571428569</v>
      </c>
      <c r="N475" s="1897">
        <v>0.67748571428571425</v>
      </c>
      <c r="O475" s="1897">
        <v>0.7947428571428572</v>
      </c>
      <c r="P475" s="1897">
        <v>0.81771428571428573</v>
      </c>
      <c r="Q475" s="1897">
        <v>0.78857142857142859</v>
      </c>
      <c r="R475" s="1897">
        <v>0.81668571428571424</v>
      </c>
      <c r="S475" s="1898">
        <f t="shared" si="14"/>
        <v>1.0444095238095239</v>
      </c>
    </row>
    <row r="476" spans="1:19">
      <c r="A476" s="1894">
        <f t="shared" si="15"/>
        <v>469</v>
      </c>
      <c r="B476" s="1895" t="s">
        <v>3362</v>
      </c>
      <c r="C476" s="1894" t="s">
        <v>524</v>
      </c>
      <c r="D476" s="1895" t="s">
        <v>2966</v>
      </c>
      <c r="E476" s="1894" t="s">
        <v>259</v>
      </c>
      <c r="F476" s="1896">
        <v>350</v>
      </c>
      <c r="G476" s="1897">
        <v>0.4548571428571429</v>
      </c>
      <c r="H476" s="1897">
        <v>0.65942857142857148</v>
      </c>
      <c r="I476" s="1897">
        <v>0.38857142857142857</v>
      </c>
      <c r="J476" s="1897">
        <v>0.51371428571428568</v>
      </c>
      <c r="K476" s="1897">
        <v>0.52857142857142858</v>
      </c>
      <c r="L476" s="1897">
        <v>0.33257142857142857</v>
      </c>
      <c r="M476" s="1897">
        <v>0.45314285714285713</v>
      </c>
      <c r="N476" s="1897">
        <v>0.44342857142857145</v>
      </c>
      <c r="O476" s="1897">
        <v>0.11599999999999998</v>
      </c>
      <c r="P476" s="1897">
        <v>8.6857142857142855E-2</v>
      </c>
      <c r="Q476" s="1897">
        <v>0.17199999999999999</v>
      </c>
      <c r="R476" s="1897">
        <v>0.3274285714285714</v>
      </c>
      <c r="S476" s="1898">
        <f t="shared" si="14"/>
        <v>0.37304761904761907</v>
      </c>
    </row>
    <row r="477" spans="1:19">
      <c r="A477" s="1894">
        <f t="shared" si="15"/>
        <v>470</v>
      </c>
      <c r="B477" s="1895" t="s">
        <v>3363</v>
      </c>
      <c r="C477" s="1894" t="s">
        <v>524</v>
      </c>
      <c r="D477" s="1895" t="s">
        <v>636</v>
      </c>
      <c r="E477" s="1894" t="s">
        <v>259</v>
      </c>
      <c r="F477" s="1896">
        <v>350</v>
      </c>
      <c r="G477" s="1897">
        <v>0.51257142857142857</v>
      </c>
      <c r="H477" s="1897">
        <v>0.46557142857142864</v>
      </c>
      <c r="I477" s="1897">
        <v>0.48300000000000004</v>
      </c>
      <c r="J477" s="1897">
        <v>0.34285714285714286</v>
      </c>
      <c r="K477" s="1897">
        <v>0.33442857142857141</v>
      </c>
      <c r="L477" s="1897">
        <v>0.38614285714285718</v>
      </c>
      <c r="M477" s="1897">
        <v>0.31428571428571428</v>
      </c>
      <c r="N477" s="1897">
        <v>0.29657142857142854</v>
      </c>
      <c r="O477" s="1897">
        <v>0.30228571428571432</v>
      </c>
      <c r="P477" s="1897">
        <v>0.38914285714285712</v>
      </c>
      <c r="Q477" s="1897">
        <v>0.29942857142857149</v>
      </c>
      <c r="R477" s="1897">
        <v>0.27714285714285714</v>
      </c>
      <c r="S477" s="1898">
        <f t="shared" si="14"/>
        <v>0.36695238095238097</v>
      </c>
    </row>
    <row r="478" spans="1:19">
      <c r="A478" s="1894">
        <f t="shared" si="15"/>
        <v>471</v>
      </c>
      <c r="B478" s="1895" t="s">
        <v>3364</v>
      </c>
      <c r="C478" s="1894" t="s">
        <v>524</v>
      </c>
      <c r="D478" s="1895" t="s">
        <v>730</v>
      </c>
      <c r="E478" s="1894" t="s">
        <v>259</v>
      </c>
      <c r="F478" s="1896">
        <v>351</v>
      </c>
      <c r="G478" s="1897">
        <v>0.54609686609686614</v>
      </c>
      <c r="H478" s="1897">
        <v>0.5465527065527066</v>
      </c>
      <c r="I478" s="1897">
        <v>0.52193732193732201</v>
      </c>
      <c r="J478" s="1897">
        <v>0.48592592592592593</v>
      </c>
      <c r="K478" s="1897">
        <v>0.52695156695156686</v>
      </c>
      <c r="L478" s="1897">
        <v>0.52193732193732201</v>
      </c>
      <c r="M478" s="1897">
        <v>0.54928774928774926</v>
      </c>
      <c r="N478" s="1897">
        <v>0.58849002849002852</v>
      </c>
      <c r="O478" s="1897">
        <v>0.54928774928774926</v>
      </c>
      <c r="P478" s="1897">
        <v>0.56250712250712254</v>
      </c>
      <c r="Q478" s="1897">
        <v>0.53515669515669517</v>
      </c>
      <c r="R478" s="1897">
        <v>0.53424501424501425</v>
      </c>
      <c r="S478" s="1898">
        <f t="shared" si="14"/>
        <v>0.53903133903133915</v>
      </c>
    </row>
    <row r="479" spans="1:19">
      <c r="A479" s="1894">
        <f t="shared" si="15"/>
        <v>472</v>
      </c>
      <c r="B479" s="1895" t="s">
        <v>3365</v>
      </c>
      <c r="C479" s="1894" t="s">
        <v>524</v>
      </c>
      <c r="D479" s="1895" t="s">
        <v>541</v>
      </c>
      <c r="E479" s="1894" t="s">
        <v>259</v>
      </c>
      <c r="F479" s="1896">
        <v>351</v>
      </c>
      <c r="G479" s="1897">
        <v>0.89914529914529917</v>
      </c>
      <c r="H479" s="1897">
        <v>0.98119658119658115</v>
      </c>
      <c r="I479" s="1897">
        <v>1.0276923076923077</v>
      </c>
      <c r="J479" s="1897">
        <v>0.9736752136752137</v>
      </c>
      <c r="K479" s="1897">
        <v>0.8553846153846153</v>
      </c>
      <c r="L479" s="1897">
        <v>0.93675213675213675</v>
      </c>
      <c r="M479" s="1897">
        <v>0.81777777777777783</v>
      </c>
      <c r="N479" s="1897">
        <v>4.9914529914529916E-2</v>
      </c>
      <c r="O479" s="1897">
        <v>8.6153846153846164E-2</v>
      </c>
      <c r="P479" s="1897">
        <v>0.89230769230769225</v>
      </c>
      <c r="Q479" s="1897">
        <v>1.0249572649572649</v>
      </c>
      <c r="R479" s="1897">
        <v>1.187008547008547</v>
      </c>
      <c r="S479" s="1898">
        <f t="shared" si="14"/>
        <v>0.81099715099715108</v>
      </c>
    </row>
    <row r="480" spans="1:19">
      <c r="A480" s="1894">
        <f t="shared" si="15"/>
        <v>473</v>
      </c>
      <c r="B480" s="1895" t="s">
        <v>3366</v>
      </c>
      <c r="C480" s="1894" t="s">
        <v>524</v>
      </c>
      <c r="D480" s="1895" t="s">
        <v>541</v>
      </c>
      <c r="E480" s="1894" t="s">
        <v>259</v>
      </c>
      <c r="F480" s="1896">
        <v>353</v>
      </c>
      <c r="G480" s="1897">
        <v>1.0198300283286119</v>
      </c>
      <c r="H480" s="1897">
        <v>1.0623229461756374</v>
      </c>
      <c r="I480" s="1897">
        <v>1.0827195467422095</v>
      </c>
      <c r="J480" s="1897">
        <v>1.1178470254957509</v>
      </c>
      <c r="K480" s="1897">
        <v>0.80226628895184138</v>
      </c>
      <c r="L480" s="1897">
        <v>1.1342776203966005</v>
      </c>
      <c r="M480" s="1897">
        <v>1.414730878186969</v>
      </c>
      <c r="N480" s="1897">
        <v>1.1371104815864022</v>
      </c>
      <c r="O480" s="1897">
        <v>1.1580736543909349</v>
      </c>
      <c r="P480" s="1897">
        <v>1.1427762039660057</v>
      </c>
      <c r="Q480" s="1897">
        <v>1.1660056657223796</v>
      </c>
      <c r="R480" s="1897">
        <v>1.2351274787535411</v>
      </c>
      <c r="S480" s="1898">
        <f t="shared" si="14"/>
        <v>1.1227573182247401</v>
      </c>
    </row>
    <row r="481" spans="1:19">
      <c r="A481" s="1894">
        <f t="shared" si="15"/>
        <v>474</v>
      </c>
      <c r="B481" s="1895" t="s">
        <v>3367</v>
      </c>
      <c r="C481" s="1894" t="s">
        <v>524</v>
      </c>
      <c r="D481" s="1895" t="s">
        <v>541</v>
      </c>
      <c r="E481" s="1894" t="s">
        <v>259</v>
      </c>
      <c r="F481" s="1896">
        <v>356</v>
      </c>
      <c r="G481" s="1897">
        <v>0.41292134831460675</v>
      </c>
      <c r="H481" s="1897">
        <v>0.4157303370786517</v>
      </c>
      <c r="I481" s="1897">
        <v>0.53876404494382024</v>
      </c>
      <c r="J481" s="1897">
        <v>0.37022471910112364</v>
      </c>
      <c r="K481" s="1897">
        <v>2.9213483146067417E-2</v>
      </c>
      <c r="L481" s="1897">
        <v>0.15955056179775282</v>
      </c>
      <c r="M481" s="1897">
        <v>6.5168539325842698E-2</v>
      </c>
      <c r="N481" s="1897">
        <v>0.43370786516853932</v>
      </c>
      <c r="O481" s="1897">
        <v>0.52921348314606742</v>
      </c>
      <c r="P481" s="1897">
        <v>0.3792134831460674</v>
      </c>
      <c r="Q481" s="1897">
        <v>0.41460674157303379</v>
      </c>
      <c r="R481" s="1897">
        <v>0.40617977528089888</v>
      </c>
      <c r="S481" s="1898">
        <f t="shared" si="14"/>
        <v>0.34620786516853935</v>
      </c>
    </row>
    <row r="482" spans="1:19">
      <c r="A482" s="1894">
        <f t="shared" si="15"/>
        <v>475</v>
      </c>
      <c r="B482" s="1895" t="s">
        <v>3368</v>
      </c>
      <c r="C482" s="1894" t="s">
        <v>524</v>
      </c>
      <c r="D482" s="1895" t="s">
        <v>737</v>
      </c>
      <c r="E482" s="1894" t="s">
        <v>259</v>
      </c>
      <c r="F482" s="1896">
        <v>356</v>
      </c>
      <c r="G482" s="1897">
        <v>0.37617977528089885</v>
      </c>
      <c r="H482" s="1897">
        <v>0.39415730337078647</v>
      </c>
      <c r="I482" s="1897">
        <v>0.34786516853932581</v>
      </c>
      <c r="J482" s="1897">
        <v>0.31460674157303375</v>
      </c>
      <c r="K482" s="1897">
        <v>0.31910112359550558</v>
      </c>
      <c r="L482" s="1897">
        <v>0.29932584269662926</v>
      </c>
      <c r="M482" s="1897">
        <v>0.29662921348314608</v>
      </c>
      <c r="N482" s="1897">
        <v>0.2548314606741573</v>
      </c>
      <c r="O482" s="1897">
        <v>0.28853932584269659</v>
      </c>
      <c r="P482" s="1897">
        <v>0.23820224719101124</v>
      </c>
      <c r="Q482" s="1897">
        <v>0.26876404494382022</v>
      </c>
      <c r="R482" s="1897">
        <v>0.25123595505617979</v>
      </c>
      <c r="S482" s="1898">
        <f t="shared" si="14"/>
        <v>0.30411985018726589</v>
      </c>
    </row>
    <row r="483" spans="1:19">
      <c r="A483" s="1894">
        <f t="shared" si="15"/>
        <v>476</v>
      </c>
      <c r="B483" s="1895" t="s">
        <v>3369</v>
      </c>
      <c r="C483" s="1894" t="s">
        <v>524</v>
      </c>
      <c r="D483" s="1895" t="s">
        <v>2966</v>
      </c>
      <c r="E483" s="1894" t="s">
        <v>259</v>
      </c>
      <c r="F483" s="1896">
        <v>358</v>
      </c>
      <c r="G483" s="1897">
        <v>6.2905027932960891E-2</v>
      </c>
      <c r="H483" s="1897">
        <v>9.1173184357541903E-2</v>
      </c>
      <c r="I483" s="1897">
        <v>7.9553072625698329E-2</v>
      </c>
      <c r="J483" s="1897">
        <v>6.1229050279329615E-2</v>
      </c>
      <c r="K483" s="1897">
        <v>5.6759776536312853E-2</v>
      </c>
      <c r="L483" s="1897">
        <v>0.15553072625698322</v>
      </c>
      <c r="M483" s="1897">
        <v>6.3016759776536313E-2</v>
      </c>
      <c r="N483" s="1897">
        <v>8.2681564245810052E-2</v>
      </c>
      <c r="O483" s="1897">
        <v>0.10502793296089385</v>
      </c>
      <c r="P483" s="1897">
        <v>8.6703910614525134E-2</v>
      </c>
      <c r="Q483" s="1897">
        <v>0.10547486033519553</v>
      </c>
      <c r="R483" s="1897">
        <v>8.5810055865921789E-2</v>
      </c>
      <c r="S483" s="1898">
        <f t="shared" si="14"/>
        <v>8.6322160148975771E-2</v>
      </c>
    </row>
    <row r="484" spans="1:19">
      <c r="A484" s="1894">
        <f t="shared" si="15"/>
        <v>477</v>
      </c>
      <c r="B484" s="1895" t="s">
        <v>3370</v>
      </c>
      <c r="C484" s="1894" t="s">
        <v>524</v>
      </c>
      <c r="D484" s="1895" t="s">
        <v>541</v>
      </c>
      <c r="E484" s="1894" t="s">
        <v>259</v>
      </c>
      <c r="F484" s="1896">
        <v>361</v>
      </c>
      <c r="G484" s="1897">
        <v>0.85939058171745153</v>
      </c>
      <c r="H484" s="1897">
        <v>0.84033240997229919</v>
      </c>
      <c r="I484" s="1897">
        <v>0.86470914127423815</v>
      </c>
      <c r="J484" s="1897">
        <v>0.91700831024930751</v>
      </c>
      <c r="K484" s="1897">
        <v>0.95911357340720227</v>
      </c>
      <c r="L484" s="1897">
        <v>0.99279778393351814</v>
      </c>
      <c r="M484" s="1897">
        <v>0.99767313019390569</v>
      </c>
      <c r="N484" s="1897">
        <v>1.0473130193905817</v>
      </c>
      <c r="O484" s="1897">
        <v>0.91656509695290855</v>
      </c>
      <c r="P484" s="1897">
        <v>0.92188365650969528</v>
      </c>
      <c r="Q484" s="1897">
        <v>0.87445983379501391</v>
      </c>
      <c r="R484" s="1897">
        <v>0.99988919667590026</v>
      </c>
      <c r="S484" s="1898">
        <f t="shared" si="14"/>
        <v>0.93259464450600182</v>
      </c>
    </row>
    <row r="485" spans="1:19">
      <c r="A485" s="1894">
        <f t="shared" si="15"/>
        <v>478</v>
      </c>
      <c r="B485" s="1895" t="s">
        <v>3371</v>
      </c>
      <c r="C485" s="1894" t="s">
        <v>524</v>
      </c>
      <c r="D485" s="1895" t="s">
        <v>636</v>
      </c>
      <c r="E485" s="1894" t="s">
        <v>259</v>
      </c>
      <c r="F485" s="1896">
        <v>361</v>
      </c>
      <c r="G485" s="1897">
        <v>0.36166204986149586</v>
      </c>
      <c r="H485" s="1897">
        <v>0.37229916897506926</v>
      </c>
      <c r="I485" s="1897">
        <v>0.36299168975069257</v>
      </c>
      <c r="J485" s="1897">
        <v>0.31711911357340722</v>
      </c>
      <c r="K485" s="1897">
        <v>0.39689750692520775</v>
      </c>
      <c r="L485" s="1897">
        <v>0.40221606648199443</v>
      </c>
      <c r="M485" s="1897">
        <v>0.35634349030470919</v>
      </c>
      <c r="N485" s="1897">
        <v>0.30648199445983382</v>
      </c>
      <c r="O485" s="1897">
        <v>0.26459833795013854</v>
      </c>
      <c r="P485" s="1897">
        <v>0.24930747922437674</v>
      </c>
      <c r="Q485" s="1897">
        <v>0.30648199445983382</v>
      </c>
      <c r="R485" s="1897">
        <v>0.3191135734072022</v>
      </c>
      <c r="S485" s="1898">
        <f t="shared" si="14"/>
        <v>0.33462603878116343</v>
      </c>
    </row>
    <row r="486" spans="1:19">
      <c r="A486" s="1894">
        <f t="shared" si="15"/>
        <v>479</v>
      </c>
      <c r="B486" s="1895" t="s">
        <v>3372</v>
      </c>
      <c r="C486" s="1894" t="s">
        <v>524</v>
      </c>
      <c r="D486" s="1895" t="s">
        <v>541</v>
      </c>
      <c r="E486" s="1894" t="s">
        <v>259</v>
      </c>
      <c r="F486" s="1896">
        <v>361</v>
      </c>
      <c r="G486" s="1897">
        <v>0.52121883656509693</v>
      </c>
      <c r="H486" s="1897">
        <v>0.40554016620498617</v>
      </c>
      <c r="I486" s="1897">
        <v>2.1274238227146816E-2</v>
      </c>
      <c r="J486" s="1897">
        <v>1.4626038781163435E-2</v>
      </c>
      <c r="K486" s="1897">
        <v>1.9944598337950136E-3</v>
      </c>
      <c r="L486" s="1897">
        <v>1.5955678670360109E-2</v>
      </c>
      <c r="M486" s="1897">
        <v>1.9279778393351796E-2</v>
      </c>
      <c r="N486" s="1897">
        <v>3.2576177285318558E-2</v>
      </c>
      <c r="O486" s="1897">
        <v>8.1108033240997232E-2</v>
      </c>
      <c r="P486" s="1897">
        <v>6.6481994459833799E-2</v>
      </c>
      <c r="Q486" s="1897">
        <v>4.3878116343490307E-2</v>
      </c>
      <c r="R486" s="1897">
        <v>4.8531855955678667E-2</v>
      </c>
      <c r="S486" s="1898">
        <f t="shared" si="14"/>
        <v>0.1060387811634349</v>
      </c>
    </row>
    <row r="487" spans="1:19">
      <c r="A487" s="1894">
        <f t="shared" si="15"/>
        <v>480</v>
      </c>
      <c r="B487" s="1895" t="s">
        <v>3373</v>
      </c>
      <c r="C487" s="1894" t="s">
        <v>524</v>
      </c>
      <c r="D487" s="1895" t="s">
        <v>737</v>
      </c>
      <c r="E487" s="1894" t="s">
        <v>259</v>
      </c>
      <c r="F487" s="1896">
        <v>370</v>
      </c>
      <c r="G487" s="1897">
        <v>0.33945945945945943</v>
      </c>
      <c r="H487" s="1897">
        <v>0.32432432432432434</v>
      </c>
      <c r="I487" s="1897">
        <v>0.32324324324324322</v>
      </c>
      <c r="J487" s="1897">
        <v>0.36000000000000004</v>
      </c>
      <c r="K487" s="1897">
        <v>0.33729729729729729</v>
      </c>
      <c r="L487" s="1897">
        <v>0.30745945945945946</v>
      </c>
      <c r="M487" s="1897">
        <v>0.24216216216216219</v>
      </c>
      <c r="N487" s="1897">
        <v>0.1891891891891892</v>
      </c>
      <c r="O487" s="1897">
        <v>0.13708108108108108</v>
      </c>
      <c r="P487" s="1897">
        <v>0.14962162162162163</v>
      </c>
      <c r="Q487" s="1897">
        <v>0.22616216216216214</v>
      </c>
      <c r="R487" s="1897">
        <v>0.38400000000000001</v>
      </c>
      <c r="S487" s="1898">
        <f t="shared" si="14"/>
        <v>0.27666666666666667</v>
      </c>
    </row>
    <row r="488" spans="1:19">
      <c r="A488" s="1894">
        <f t="shared" si="15"/>
        <v>481</v>
      </c>
      <c r="B488" s="1895" t="s">
        <v>3374</v>
      </c>
      <c r="C488" s="1894" t="s">
        <v>524</v>
      </c>
      <c r="D488" s="1895" t="s">
        <v>2966</v>
      </c>
      <c r="E488" s="1894" t="s">
        <v>259</v>
      </c>
      <c r="F488" s="1896">
        <v>372</v>
      </c>
      <c r="G488" s="1897">
        <v>0.29193548387096774</v>
      </c>
      <c r="H488" s="1897">
        <v>0.27311827956989243</v>
      </c>
      <c r="I488" s="1897">
        <v>0.16182795698924729</v>
      </c>
      <c r="J488" s="1897">
        <v>0.22688172043010754</v>
      </c>
      <c r="K488" s="1897">
        <v>0.29354838709677422</v>
      </c>
      <c r="L488" s="1897">
        <v>0.29731182795698929</v>
      </c>
      <c r="M488" s="1897">
        <v>0.19032258064516128</v>
      </c>
      <c r="N488" s="1897">
        <v>0.19462365591397851</v>
      </c>
      <c r="O488" s="1897">
        <v>2.2043010752688174E-2</v>
      </c>
      <c r="P488" s="1897">
        <v>2.2043010752688174E-2</v>
      </c>
      <c r="Q488" s="1897">
        <v>0.19838709677419358</v>
      </c>
      <c r="R488" s="1897">
        <v>0.25107526881720427</v>
      </c>
      <c r="S488" s="1898">
        <f t="shared" si="14"/>
        <v>0.20192652329749103</v>
      </c>
    </row>
    <row r="489" spans="1:19">
      <c r="A489" s="1894">
        <f t="shared" si="15"/>
        <v>482</v>
      </c>
      <c r="B489" s="1895" t="s">
        <v>3375</v>
      </c>
      <c r="C489" s="1894" t="s">
        <v>524</v>
      </c>
      <c r="D489" s="1895" t="s">
        <v>737</v>
      </c>
      <c r="E489" s="1894" t="s">
        <v>259</v>
      </c>
      <c r="F489" s="1896">
        <v>376</v>
      </c>
      <c r="G489" s="1897">
        <v>6.3829787234042548E-2</v>
      </c>
      <c r="H489" s="1897">
        <v>6.3829787234042548E-2</v>
      </c>
      <c r="I489" s="1897">
        <v>0.19723404255319149</v>
      </c>
      <c r="J489" s="1897">
        <v>0.82340425531914896</v>
      </c>
      <c r="K489" s="1897">
        <v>0.75446808510638297</v>
      </c>
      <c r="L489" s="1897">
        <v>0.79978723404255314</v>
      </c>
      <c r="M489" s="1897">
        <v>0.79085106382978732</v>
      </c>
      <c r="N489" s="1897">
        <v>0.75765957446808507</v>
      </c>
      <c r="O489" s="1897">
        <v>8.6808510638297878E-2</v>
      </c>
      <c r="P489" s="1897">
        <v>0.29297872340425535</v>
      </c>
      <c r="Q489" s="1897">
        <v>0.69191489361702119</v>
      </c>
      <c r="R489" s="1897">
        <v>0.77808510638297868</v>
      </c>
      <c r="S489" s="1898">
        <f t="shared" si="14"/>
        <v>0.5084042553191489</v>
      </c>
    </row>
    <row r="490" spans="1:19">
      <c r="A490" s="1894">
        <f t="shared" si="15"/>
        <v>483</v>
      </c>
      <c r="B490" s="1895" t="s">
        <v>3376</v>
      </c>
      <c r="C490" s="1894" t="s">
        <v>524</v>
      </c>
      <c r="D490" s="1895" t="s">
        <v>541</v>
      </c>
      <c r="E490" s="1894" t="s">
        <v>259</v>
      </c>
      <c r="F490" s="1896">
        <v>389</v>
      </c>
      <c r="G490" s="1897">
        <v>0</v>
      </c>
      <c r="H490" s="1897">
        <v>0</v>
      </c>
      <c r="I490" s="1897">
        <v>0</v>
      </c>
      <c r="J490" s="1897">
        <v>0</v>
      </c>
      <c r="K490" s="1897">
        <v>0</v>
      </c>
      <c r="L490" s="1897">
        <v>0</v>
      </c>
      <c r="M490" s="1897">
        <v>0</v>
      </c>
      <c r="N490" s="1897">
        <v>0</v>
      </c>
      <c r="O490" s="1897">
        <v>0.51084832904884314</v>
      </c>
      <c r="P490" s="1897">
        <v>0.92113110539845755</v>
      </c>
      <c r="Q490" s="1897">
        <v>0.90755784061696665</v>
      </c>
      <c r="R490" s="1897">
        <v>0.9340874035989718</v>
      </c>
      <c r="S490" s="1898">
        <f t="shared" si="14"/>
        <v>0.27280205655526996</v>
      </c>
    </row>
    <row r="491" spans="1:19">
      <c r="A491" s="1894">
        <f t="shared" si="15"/>
        <v>484</v>
      </c>
      <c r="B491" s="1895" t="s">
        <v>3377</v>
      </c>
      <c r="C491" s="1894" t="s">
        <v>524</v>
      </c>
      <c r="D491" s="1895" t="s">
        <v>541</v>
      </c>
      <c r="E491" s="1894" t="s">
        <v>259</v>
      </c>
      <c r="F491" s="1896">
        <v>389</v>
      </c>
      <c r="G491" s="1897">
        <v>0.31156812339331619</v>
      </c>
      <c r="H491" s="1897">
        <v>0.3331619537275064</v>
      </c>
      <c r="I491" s="1897">
        <v>2.282776349614396E-2</v>
      </c>
      <c r="J491" s="1897">
        <v>2.1593830334190232E-2</v>
      </c>
      <c r="K491" s="1897">
        <v>2.0976863753213369E-2</v>
      </c>
      <c r="L491" s="1897">
        <v>0.34118251928020565</v>
      </c>
      <c r="M491" s="1897">
        <v>0.36401028277634961</v>
      </c>
      <c r="N491" s="1897">
        <v>0.35660668380462723</v>
      </c>
      <c r="O491" s="1897">
        <v>0.35722365038560411</v>
      </c>
      <c r="P491" s="1897">
        <v>0.34858611825192798</v>
      </c>
      <c r="Q491" s="1897">
        <v>0.28627249357326479</v>
      </c>
      <c r="R491" s="1897">
        <v>0.1499228791773779</v>
      </c>
      <c r="S491" s="1898">
        <f t="shared" si="14"/>
        <v>0.24282776349614399</v>
      </c>
    </row>
    <row r="492" spans="1:19">
      <c r="A492" s="1894">
        <f t="shared" si="15"/>
        <v>485</v>
      </c>
      <c r="B492" s="1895" t="s">
        <v>3378</v>
      </c>
      <c r="C492" s="1894" t="s">
        <v>524</v>
      </c>
      <c r="D492" s="1895" t="s">
        <v>2966</v>
      </c>
      <c r="E492" s="1894" t="s">
        <v>259</v>
      </c>
      <c r="F492" s="1896">
        <v>389</v>
      </c>
      <c r="G492" s="1897">
        <v>0.38622107969151676</v>
      </c>
      <c r="H492" s="1897">
        <v>0.46766066838046277</v>
      </c>
      <c r="I492" s="1897">
        <v>0.7150642673521852</v>
      </c>
      <c r="J492" s="1897">
        <v>0.73850899742930598</v>
      </c>
      <c r="K492" s="1897">
        <v>0.51578406169665802</v>
      </c>
      <c r="L492" s="1897">
        <v>0.47012853470437016</v>
      </c>
      <c r="M492" s="1897">
        <v>0.43002570694087405</v>
      </c>
      <c r="N492" s="1897">
        <v>0.6225192802056555</v>
      </c>
      <c r="O492" s="1897">
        <v>0.22704370179948585</v>
      </c>
      <c r="P492" s="1897">
        <v>1.9742930591259641E-2</v>
      </c>
      <c r="Q492" s="1897">
        <v>5.0591259640102838E-2</v>
      </c>
      <c r="R492" s="1897">
        <v>0.23506426735218508</v>
      </c>
      <c r="S492" s="1898">
        <f t="shared" si="14"/>
        <v>0.40652956298200521</v>
      </c>
    </row>
    <row r="493" spans="1:19">
      <c r="A493" s="1894">
        <f t="shared" si="15"/>
        <v>486</v>
      </c>
      <c r="B493" s="1895" t="s">
        <v>3379</v>
      </c>
      <c r="C493" s="1894" t="s">
        <v>524</v>
      </c>
      <c r="D493" s="1895" t="s">
        <v>636</v>
      </c>
      <c r="E493" s="1894" t="s">
        <v>259</v>
      </c>
      <c r="F493" s="1896">
        <v>389</v>
      </c>
      <c r="G493" s="1897">
        <v>0.27948586118251928</v>
      </c>
      <c r="H493" s="1897">
        <v>0.30478149100257068</v>
      </c>
      <c r="I493" s="1897">
        <v>0.28750642673521853</v>
      </c>
      <c r="J493" s="1897">
        <v>0.28071979434447303</v>
      </c>
      <c r="K493" s="1897">
        <v>0.24802056555269925</v>
      </c>
      <c r="L493" s="1897">
        <v>0.32946015424164521</v>
      </c>
      <c r="M493" s="1897">
        <v>0.28627249357326473</v>
      </c>
      <c r="N493" s="1897">
        <v>0.22025706940874037</v>
      </c>
      <c r="O493" s="1897">
        <v>0.18015424164524421</v>
      </c>
      <c r="P493" s="1897">
        <v>0.17151670951156811</v>
      </c>
      <c r="Q493" s="1897">
        <v>0.21408740359897172</v>
      </c>
      <c r="R493" s="1897">
        <v>0.23444730077120823</v>
      </c>
      <c r="S493" s="1898">
        <f t="shared" si="14"/>
        <v>0.25305912596401031</v>
      </c>
    </row>
    <row r="494" spans="1:19">
      <c r="A494" s="1894">
        <f t="shared" si="15"/>
        <v>487</v>
      </c>
      <c r="B494" s="1895" t="s">
        <v>3019</v>
      </c>
      <c r="C494" s="1894" t="s">
        <v>524</v>
      </c>
      <c r="D494" s="1895" t="s">
        <v>541</v>
      </c>
      <c r="E494" s="1894" t="s">
        <v>259</v>
      </c>
      <c r="F494" s="1896">
        <v>389</v>
      </c>
      <c r="G494" s="1897">
        <v>0.24802056555269925</v>
      </c>
      <c r="H494" s="1897">
        <v>0</v>
      </c>
      <c r="I494" s="1897">
        <v>0</v>
      </c>
      <c r="J494" s="1897">
        <v>0</v>
      </c>
      <c r="K494" s="1897">
        <v>0</v>
      </c>
      <c r="L494" s="1897">
        <v>0</v>
      </c>
      <c r="M494" s="1897">
        <v>0</v>
      </c>
      <c r="N494" s="1897">
        <v>0</v>
      </c>
      <c r="O494" s="1897">
        <v>0</v>
      </c>
      <c r="P494" s="1897">
        <v>0</v>
      </c>
      <c r="Q494" s="1897">
        <v>0</v>
      </c>
      <c r="R494" s="1897">
        <v>0</v>
      </c>
      <c r="S494" s="1898">
        <f t="shared" si="14"/>
        <v>2.0668380462724938E-2</v>
      </c>
    </row>
    <row r="495" spans="1:19">
      <c r="A495" s="1894">
        <f t="shared" si="15"/>
        <v>488</v>
      </c>
      <c r="B495" s="1895" t="s">
        <v>3380</v>
      </c>
      <c r="C495" s="1894" t="s">
        <v>524</v>
      </c>
      <c r="D495" s="1895" t="s">
        <v>730</v>
      </c>
      <c r="E495" s="1894" t="s">
        <v>259</v>
      </c>
      <c r="F495" s="1896">
        <v>391</v>
      </c>
      <c r="G495" s="1897">
        <v>0.37135549872122758</v>
      </c>
      <c r="H495" s="1897">
        <v>0.3774936061381074</v>
      </c>
      <c r="I495" s="1897">
        <v>0.37442455242966755</v>
      </c>
      <c r="J495" s="1897">
        <v>0.42199488491048592</v>
      </c>
      <c r="K495" s="1897">
        <v>0.4051150895140665</v>
      </c>
      <c r="L495" s="1897">
        <v>0.40971867007672641</v>
      </c>
      <c r="M495" s="1897">
        <v>0.61166240409207162</v>
      </c>
      <c r="N495" s="1897">
        <v>0.61411764705882355</v>
      </c>
      <c r="O495" s="1897">
        <v>0.59723785166240406</v>
      </c>
      <c r="P495" s="1897">
        <v>0.38823529411764707</v>
      </c>
      <c r="Q495" s="1897">
        <v>0.58680306905370838</v>
      </c>
      <c r="R495" s="1897">
        <v>0.70833759590792833</v>
      </c>
      <c r="S495" s="1898">
        <f t="shared" si="14"/>
        <v>0.48887468030690545</v>
      </c>
    </row>
    <row r="496" spans="1:19">
      <c r="A496" s="1894">
        <f t="shared" si="15"/>
        <v>489</v>
      </c>
      <c r="B496" s="1895" t="s">
        <v>626</v>
      </c>
      <c r="C496" s="1894" t="s">
        <v>524</v>
      </c>
      <c r="D496" s="1895" t="s">
        <v>2966</v>
      </c>
      <c r="E496" s="1894" t="s">
        <v>259</v>
      </c>
      <c r="F496" s="1896">
        <v>395</v>
      </c>
      <c r="G496" s="1897">
        <v>0.60860759493670891</v>
      </c>
      <c r="H496" s="1897">
        <v>0.62987341772151895</v>
      </c>
      <c r="I496" s="1897">
        <v>0.63696202531645563</v>
      </c>
      <c r="J496" s="1897">
        <v>0.59848101265822784</v>
      </c>
      <c r="K496" s="1897">
        <v>0.39189873417721516</v>
      </c>
      <c r="L496" s="1897">
        <v>0.51240506329113922</v>
      </c>
      <c r="M496" s="1897">
        <v>0.52455696202531643</v>
      </c>
      <c r="N496" s="1897">
        <v>0.40303797468354435</v>
      </c>
      <c r="O496" s="1897">
        <v>0.1529113924050633</v>
      </c>
      <c r="P496" s="1897">
        <v>1.8227848101265823E-2</v>
      </c>
      <c r="Q496" s="1897">
        <v>0.17113924050632909</v>
      </c>
      <c r="R496" s="1897">
        <v>0.31088607594936712</v>
      </c>
      <c r="S496" s="1898">
        <f t="shared" si="14"/>
        <v>0.41324894514767929</v>
      </c>
    </row>
    <row r="497" spans="1:19">
      <c r="A497" s="1894">
        <f t="shared" si="15"/>
        <v>490</v>
      </c>
      <c r="B497" s="1895" t="s">
        <v>3381</v>
      </c>
      <c r="C497" s="1894" t="s">
        <v>524</v>
      </c>
      <c r="D497" s="1895" t="s">
        <v>636</v>
      </c>
      <c r="E497" s="1894" t="s">
        <v>259</v>
      </c>
      <c r="F497" s="1896">
        <v>400</v>
      </c>
      <c r="G497" s="1897">
        <v>0</v>
      </c>
      <c r="H497" s="1897">
        <v>0</v>
      </c>
      <c r="I497" s="1897">
        <v>0</v>
      </c>
      <c r="J497" s="1897">
        <v>0</v>
      </c>
      <c r="K497" s="1897">
        <v>0</v>
      </c>
      <c r="L497" s="1897">
        <v>0</v>
      </c>
      <c r="M497" s="1897">
        <v>0</v>
      </c>
      <c r="N497" s="1897">
        <v>0</v>
      </c>
      <c r="O497" s="1897">
        <v>0</v>
      </c>
      <c r="P497" s="1897">
        <v>0</v>
      </c>
      <c r="Q497" s="1897">
        <v>0.52100000000000002</v>
      </c>
      <c r="R497" s="1897">
        <v>0.70099999999999996</v>
      </c>
      <c r="S497" s="1898">
        <f t="shared" si="14"/>
        <v>0.10183333333333333</v>
      </c>
    </row>
    <row r="498" spans="1:19">
      <c r="A498" s="1894">
        <f t="shared" si="15"/>
        <v>491</v>
      </c>
      <c r="B498" s="1895" t="s">
        <v>3382</v>
      </c>
      <c r="C498" s="1894" t="s">
        <v>524</v>
      </c>
      <c r="D498" s="1895" t="s">
        <v>541</v>
      </c>
      <c r="E498" s="1894" t="s">
        <v>259</v>
      </c>
      <c r="F498" s="1896">
        <v>400</v>
      </c>
      <c r="G498" s="1897">
        <v>0.85319999999999996</v>
      </c>
      <c r="H498" s="1897">
        <v>0.77579999999999993</v>
      </c>
      <c r="I498" s="1897">
        <v>0.80279999999999996</v>
      </c>
      <c r="J498" s="1897">
        <v>0.82980000000000009</v>
      </c>
      <c r="K498" s="1897">
        <v>0.80879999999999996</v>
      </c>
      <c r="L498" s="1897">
        <v>0.85560000000000003</v>
      </c>
      <c r="M498" s="1897">
        <v>0.82079999999999997</v>
      </c>
      <c r="N498" s="1897">
        <v>0.81600000000000006</v>
      </c>
      <c r="O498" s="1897">
        <v>0.92099999999999993</v>
      </c>
      <c r="P498" s="1897">
        <v>0.90360000000000018</v>
      </c>
      <c r="Q498" s="1897">
        <v>0.90899999999999992</v>
      </c>
      <c r="R498" s="1897">
        <v>0.84060000000000001</v>
      </c>
      <c r="S498" s="1898">
        <f t="shared" si="14"/>
        <v>0.84475000000000022</v>
      </c>
    </row>
    <row r="499" spans="1:19">
      <c r="A499" s="1894">
        <f t="shared" si="15"/>
        <v>492</v>
      </c>
      <c r="B499" s="1895" t="s">
        <v>3383</v>
      </c>
      <c r="C499" s="1894" t="s">
        <v>524</v>
      </c>
      <c r="D499" s="1895" t="s">
        <v>541</v>
      </c>
      <c r="E499" s="1894" t="s">
        <v>259</v>
      </c>
      <c r="F499" s="1896">
        <v>400</v>
      </c>
      <c r="G499" s="1897">
        <v>0.93900000000000006</v>
      </c>
      <c r="H499" s="1897">
        <v>1.0859999999999999</v>
      </c>
      <c r="I499" s="1897">
        <v>1.0422</v>
      </c>
      <c r="J499" s="1897">
        <v>0.90179999999999993</v>
      </c>
      <c r="K499" s="1897">
        <v>0.70259999999999989</v>
      </c>
      <c r="L499" s="1897">
        <v>1.1394000000000002</v>
      </c>
      <c r="M499" s="1897">
        <v>0.88560000000000005</v>
      </c>
      <c r="N499" s="1897">
        <v>0.85919999999999996</v>
      </c>
      <c r="O499" s="1897">
        <v>0.86580000000000013</v>
      </c>
      <c r="P499" s="1897">
        <v>1.1640000000000001</v>
      </c>
      <c r="Q499" s="1897">
        <v>1.1028</v>
      </c>
      <c r="R499" s="1897">
        <v>1.0913999999999999</v>
      </c>
      <c r="S499" s="1898">
        <f t="shared" si="14"/>
        <v>0.98165000000000002</v>
      </c>
    </row>
    <row r="500" spans="1:19">
      <c r="A500" s="1894">
        <f t="shared" si="15"/>
        <v>493</v>
      </c>
      <c r="B500" s="1895" t="s">
        <v>3384</v>
      </c>
      <c r="C500" s="1894" t="s">
        <v>524</v>
      </c>
      <c r="D500" s="1895" t="s">
        <v>623</v>
      </c>
      <c r="E500" s="1894" t="s">
        <v>259</v>
      </c>
      <c r="F500" s="1896">
        <v>400</v>
      </c>
      <c r="G500" s="1897">
        <v>0.66885000000000006</v>
      </c>
      <c r="H500" s="1897">
        <v>0.65864999999999996</v>
      </c>
      <c r="I500" s="1897">
        <v>0.62714999999999999</v>
      </c>
      <c r="J500" s="1897">
        <v>0.61965000000000003</v>
      </c>
      <c r="K500" s="1897">
        <v>0.64544999999999997</v>
      </c>
      <c r="L500" s="1897">
        <v>0.61965000000000003</v>
      </c>
      <c r="M500" s="1897">
        <v>0.59430000000000005</v>
      </c>
      <c r="N500" s="1897">
        <v>0.53115000000000001</v>
      </c>
      <c r="O500" s="1897">
        <v>0.54569999999999996</v>
      </c>
      <c r="P500" s="1897">
        <v>0.52215</v>
      </c>
      <c r="Q500" s="1897">
        <v>0.55410000000000004</v>
      </c>
      <c r="R500" s="1897">
        <v>0.63989999999999991</v>
      </c>
      <c r="S500" s="1898">
        <f t="shared" si="14"/>
        <v>0.60222500000000001</v>
      </c>
    </row>
    <row r="501" spans="1:19">
      <c r="A501" s="1894">
        <f t="shared" si="15"/>
        <v>494</v>
      </c>
      <c r="B501" s="1895" t="s">
        <v>3385</v>
      </c>
      <c r="C501" s="1894" t="s">
        <v>524</v>
      </c>
      <c r="D501" s="1895" t="s">
        <v>541</v>
      </c>
      <c r="E501" s="1894" t="s">
        <v>259</v>
      </c>
      <c r="F501" s="1896">
        <v>400</v>
      </c>
      <c r="G501" s="1897">
        <v>9.7799999999999998E-2</v>
      </c>
      <c r="H501" s="1897">
        <v>0.78120000000000001</v>
      </c>
      <c r="I501" s="1897">
        <v>0.64859999999999995</v>
      </c>
      <c r="J501" s="1897">
        <v>0.71040000000000003</v>
      </c>
      <c r="K501" s="1897">
        <v>0.62639999999999996</v>
      </c>
      <c r="L501" s="1897">
        <v>0.64979999999999993</v>
      </c>
      <c r="M501" s="1897">
        <v>0.55379999999999996</v>
      </c>
      <c r="N501" s="1897">
        <v>0.41159999999999997</v>
      </c>
      <c r="O501" s="1897">
        <v>0.33179999999999998</v>
      </c>
      <c r="P501" s="1897">
        <v>0.25920000000000004</v>
      </c>
      <c r="Q501" s="1897">
        <v>0.27660000000000001</v>
      </c>
      <c r="R501" s="1897">
        <v>0.31740000000000002</v>
      </c>
      <c r="S501" s="1898">
        <f t="shared" si="14"/>
        <v>0.47205000000000003</v>
      </c>
    </row>
    <row r="502" spans="1:19">
      <c r="A502" s="1894">
        <f t="shared" si="15"/>
        <v>495</v>
      </c>
      <c r="B502" s="1895" t="s">
        <v>3386</v>
      </c>
      <c r="C502" s="1894" t="s">
        <v>524</v>
      </c>
      <c r="D502" s="1895" t="s">
        <v>541</v>
      </c>
      <c r="E502" s="1894" t="s">
        <v>259</v>
      </c>
      <c r="F502" s="1896">
        <v>400</v>
      </c>
      <c r="G502" s="1897">
        <v>0.40619999999999995</v>
      </c>
      <c r="H502" s="1897">
        <v>0.59940000000000004</v>
      </c>
      <c r="I502" s="1897">
        <v>0.63719999999999999</v>
      </c>
      <c r="J502" s="1897">
        <v>0.61980000000000002</v>
      </c>
      <c r="K502" s="1897">
        <v>0.60599999999999998</v>
      </c>
      <c r="L502" s="1897">
        <v>0.61680000000000001</v>
      </c>
      <c r="M502" s="1897">
        <v>0.624</v>
      </c>
      <c r="N502" s="1897">
        <v>0.58260000000000001</v>
      </c>
      <c r="O502" s="1897">
        <v>0.42059999999999997</v>
      </c>
      <c r="P502" s="1897">
        <v>0.41100000000000003</v>
      </c>
      <c r="Q502" s="1897">
        <v>0.5676000000000001</v>
      </c>
      <c r="R502" s="1897">
        <v>0.40380000000000005</v>
      </c>
      <c r="S502" s="1898">
        <f t="shared" si="14"/>
        <v>0.54125000000000012</v>
      </c>
    </row>
    <row r="503" spans="1:19">
      <c r="A503" s="1894">
        <f t="shared" si="15"/>
        <v>496</v>
      </c>
      <c r="B503" s="1895" t="s">
        <v>3387</v>
      </c>
      <c r="C503" s="1894" t="s">
        <v>524</v>
      </c>
      <c r="D503" s="1895" t="s">
        <v>737</v>
      </c>
      <c r="E503" s="1894" t="s">
        <v>259</v>
      </c>
      <c r="F503" s="1896">
        <v>400</v>
      </c>
      <c r="G503" s="1897">
        <v>0.4335</v>
      </c>
      <c r="H503" s="1897">
        <v>0.46250000000000002</v>
      </c>
      <c r="I503" s="1897">
        <v>0.36</v>
      </c>
      <c r="J503" s="1897">
        <v>0.38400000000000001</v>
      </c>
      <c r="K503" s="1897">
        <v>0.14699999999999999</v>
      </c>
      <c r="L503" s="1897">
        <v>0.32200000000000001</v>
      </c>
      <c r="M503" s="1897">
        <v>0.30700000000000005</v>
      </c>
      <c r="N503" s="1897">
        <v>0.23499999999999999</v>
      </c>
      <c r="O503" s="1897">
        <v>0.21899999999999997</v>
      </c>
      <c r="P503" s="1897">
        <v>0.24299999999999997</v>
      </c>
      <c r="Q503" s="1897">
        <v>0.27900000000000003</v>
      </c>
      <c r="R503" s="1897">
        <v>0.29499999999999998</v>
      </c>
      <c r="S503" s="1898">
        <f t="shared" si="14"/>
        <v>0.30724999999999997</v>
      </c>
    </row>
    <row r="504" spans="1:19">
      <c r="A504" s="1894">
        <f t="shared" si="15"/>
        <v>497</v>
      </c>
      <c r="B504" s="1895" t="s">
        <v>3388</v>
      </c>
      <c r="C504" s="1894" t="s">
        <v>524</v>
      </c>
      <c r="D504" s="1895" t="s">
        <v>737</v>
      </c>
      <c r="E504" s="1894" t="s">
        <v>259</v>
      </c>
      <c r="F504" s="1896">
        <v>400</v>
      </c>
      <c r="G504" s="1897">
        <v>0.50549999999999995</v>
      </c>
      <c r="H504" s="1897">
        <v>0.46250000000000002</v>
      </c>
      <c r="I504" s="1897">
        <v>0.49320000000000003</v>
      </c>
      <c r="J504" s="1897">
        <v>0.47460000000000002</v>
      </c>
      <c r="K504" s="1897">
        <v>0.47039999999999998</v>
      </c>
      <c r="L504" s="1897">
        <v>0.44699999999999995</v>
      </c>
      <c r="M504" s="1897">
        <v>0.40800000000000003</v>
      </c>
      <c r="N504" s="1897">
        <v>0.41940000000000005</v>
      </c>
      <c r="O504" s="1897">
        <v>0.315</v>
      </c>
      <c r="P504" s="1897">
        <v>0.19500000000000001</v>
      </c>
      <c r="Q504" s="1897">
        <v>0.34439999999999998</v>
      </c>
      <c r="R504" s="1897">
        <v>0.44880000000000003</v>
      </c>
      <c r="S504" s="1898">
        <f t="shared" si="14"/>
        <v>0.41531666666666672</v>
      </c>
    </row>
    <row r="505" spans="1:19">
      <c r="A505" s="1894">
        <f t="shared" si="15"/>
        <v>498</v>
      </c>
      <c r="B505" s="1895" t="s">
        <v>3389</v>
      </c>
      <c r="C505" s="1894" t="s">
        <v>524</v>
      </c>
      <c r="D505" s="1895" t="s">
        <v>541</v>
      </c>
      <c r="E505" s="1894" t="s">
        <v>259</v>
      </c>
      <c r="F505" s="1896">
        <v>400</v>
      </c>
      <c r="G505" s="1897">
        <v>0.89879999999999993</v>
      </c>
      <c r="H505" s="1897">
        <v>0.94739999999999991</v>
      </c>
      <c r="I505" s="1897">
        <v>0.88919999999999999</v>
      </c>
      <c r="J505" s="1897">
        <v>0.92099999999999993</v>
      </c>
      <c r="K505" s="1897">
        <v>0.94680000000000009</v>
      </c>
      <c r="L505" s="1897">
        <v>0.96840000000000004</v>
      </c>
      <c r="M505" s="1897">
        <v>0.9131999999999999</v>
      </c>
      <c r="N505" s="1897">
        <v>0.91799999999999993</v>
      </c>
      <c r="O505" s="1897">
        <v>0.95640000000000003</v>
      </c>
      <c r="P505" s="1897">
        <v>0.88980000000000004</v>
      </c>
      <c r="Q505" s="1897">
        <v>0.91559999999999997</v>
      </c>
      <c r="R505" s="1897">
        <v>0.88260000000000005</v>
      </c>
      <c r="S505" s="1898">
        <f t="shared" si="14"/>
        <v>0.92059999999999986</v>
      </c>
    </row>
    <row r="506" spans="1:19">
      <c r="A506" s="1894">
        <f t="shared" si="15"/>
        <v>499</v>
      </c>
      <c r="B506" s="1895" t="s">
        <v>3390</v>
      </c>
      <c r="C506" s="1894" t="s">
        <v>524</v>
      </c>
      <c r="D506" s="1895" t="s">
        <v>2966</v>
      </c>
      <c r="E506" s="1894" t="s">
        <v>259</v>
      </c>
      <c r="F506" s="1896">
        <v>400</v>
      </c>
      <c r="G506" s="1897">
        <v>7.4999999999999997E-2</v>
      </c>
      <c r="H506" s="1897">
        <v>0.12</v>
      </c>
      <c r="I506" s="1897">
        <v>0.16080000000000003</v>
      </c>
      <c r="J506" s="1897">
        <v>0.16500000000000001</v>
      </c>
      <c r="K506" s="1897">
        <v>0.2064</v>
      </c>
      <c r="L506" s="1897">
        <v>0.1734</v>
      </c>
      <c r="M506" s="1897">
        <v>0.14940000000000001</v>
      </c>
      <c r="N506" s="1897">
        <v>0.42480000000000007</v>
      </c>
      <c r="O506" s="1897">
        <v>0.42719999999999997</v>
      </c>
      <c r="P506" s="1897">
        <v>0.36840000000000006</v>
      </c>
      <c r="Q506" s="1897">
        <v>0.3972</v>
      </c>
      <c r="R506" s="1897">
        <v>0.252</v>
      </c>
      <c r="S506" s="1898">
        <f t="shared" si="14"/>
        <v>0.24329999999999999</v>
      </c>
    </row>
    <row r="507" spans="1:19">
      <c r="A507" s="1894">
        <f t="shared" si="15"/>
        <v>500</v>
      </c>
      <c r="B507" s="1895" t="s">
        <v>3391</v>
      </c>
      <c r="C507" s="1894" t="s">
        <v>524</v>
      </c>
      <c r="D507" s="1895" t="s">
        <v>3392</v>
      </c>
      <c r="E507" s="1894" t="s">
        <v>259</v>
      </c>
      <c r="F507" s="1896">
        <v>400</v>
      </c>
      <c r="G507" s="1897">
        <v>0.33600000000000002</v>
      </c>
      <c r="H507" s="1897">
        <v>0.44040000000000007</v>
      </c>
      <c r="I507" s="1897">
        <v>0.50519999999999998</v>
      </c>
      <c r="J507" s="1897">
        <v>0.53400000000000003</v>
      </c>
      <c r="K507" s="1897">
        <v>0.28499999999999998</v>
      </c>
      <c r="L507" s="1897">
        <v>0.61260000000000003</v>
      </c>
      <c r="M507" s="1897">
        <v>0.55679999999999996</v>
      </c>
      <c r="N507" s="1897">
        <v>0.44639999999999991</v>
      </c>
      <c r="O507" s="1897">
        <v>0.41940000000000005</v>
      </c>
      <c r="P507" s="1897">
        <v>0.435</v>
      </c>
      <c r="Q507" s="1897">
        <v>0.2298</v>
      </c>
      <c r="R507" s="1897">
        <v>0.25140000000000001</v>
      </c>
      <c r="S507" s="1898">
        <f t="shared" si="14"/>
        <v>0.42100000000000004</v>
      </c>
    </row>
    <row r="508" spans="1:19">
      <c r="A508" s="1894">
        <f t="shared" si="15"/>
        <v>501</v>
      </c>
      <c r="B508" s="1895" t="s">
        <v>3393</v>
      </c>
      <c r="C508" s="1894" t="s">
        <v>524</v>
      </c>
      <c r="D508" s="1895" t="s">
        <v>541</v>
      </c>
      <c r="E508" s="1894" t="s">
        <v>259</v>
      </c>
      <c r="F508" s="1896">
        <v>400</v>
      </c>
      <c r="G508" s="1897">
        <v>1.2335329341317365</v>
      </c>
      <c r="H508" s="1897">
        <v>1.89</v>
      </c>
      <c r="I508" s="1897">
        <v>0.64560000000000006</v>
      </c>
      <c r="J508" s="1897">
        <v>0.60599999999999998</v>
      </c>
      <c r="K508" s="1897">
        <v>0.66720000000000002</v>
      </c>
      <c r="L508" s="1897">
        <v>0.70140000000000002</v>
      </c>
      <c r="M508" s="1897">
        <v>0.79980000000000007</v>
      </c>
      <c r="N508" s="1897">
        <v>1.0056</v>
      </c>
      <c r="O508" s="1897">
        <v>0.89579999999999993</v>
      </c>
      <c r="P508" s="1897">
        <v>0.96120000000000005</v>
      </c>
      <c r="Q508" s="1897">
        <v>0.81779999999999997</v>
      </c>
      <c r="R508" s="1897">
        <v>0.81959999999999988</v>
      </c>
      <c r="S508" s="1898">
        <f t="shared" si="14"/>
        <v>0.92029441117764466</v>
      </c>
    </row>
    <row r="509" spans="1:19">
      <c r="A509" s="1894">
        <f t="shared" si="15"/>
        <v>502</v>
      </c>
      <c r="B509" s="1895" t="s">
        <v>3394</v>
      </c>
      <c r="C509" s="1894" t="s">
        <v>524</v>
      </c>
      <c r="D509" s="1895" t="s">
        <v>737</v>
      </c>
      <c r="E509" s="1894" t="s">
        <v>259</v>
      </c>
      <c r="F509" s="1896">
        <v>406</v>
      </c>
      <c r="G509" s="1897">
        <v>0.69753694581280801</v>
      </c>
      <c r="H509" s="1897">
        <v>0.67389162561576366</v>
      </c>
      <c r="I509" s="1897">
        <v>0.41970443349753689</v>
      </c>
      <c r="J509" s="1897">
        <v>0.1359605911330049</v>
      </c>
      <c r="K509" s="1897">
        <v>0.14482758620689656</v>
      </c>
      <c r="L509" s="1897">
        <v>0.14187192118226599</v>
      </c>
      <c r="M509" s="1897">
        <v>9.458128078817736E-2</v>
      </c>
      <c r="N509" s="1897">
        <v>7.3891625615763554E-2</v>
      </c>
      <c r="O509" s="1897">
        <v>6.9800000000000001E-2</v>
      </c>
      <c r="P509" s="1897">
        <v>7.3300492610837431E-2</v>
      </c>
      <c r="Q509" s="1897">
        <v>7.862068965517241E-2</v>
      </c>
      <c r="R509" s="1897">
        <v>0.12177339901477832</v>
      </c>
      <c r="S509" s="1898">
        <f t="shared" si="14"/>
        <v>0.2271467159277504</v>
      </c>
    </row>
    <row r="510" spans="1:19">
      <c r="A510" s="1894">
        <f t="shared" si="15"/>
        <v>503</v>
      </c>
      <c r="B510" s="1895" t="s">
        <v>3395</v>
      </c>
      <c r="C510" s="1894" t="s">
        <v>524</v>
      </c>
      <c r="D510" s="1895" t="s">
        <v>541</v>
      </c>
      <c r="E510" s="1894" t="s">
        <v>259</v>
      </c>
      <c r="F510" s="1896">
        <v>420</v>
      </c>
      <c r="G510" s="1897">
        <v>0.87285714285714278</v>
      </c>
      <c r="H510" s="1897">
        <v>0.91571428571428581</v>
      </c>
      <c r="I510" s="1897">
        <v>0.95571428571428563</v>
      </c>
      <c r="J510" s="1897">
        <v>0.82857142857142863</v>
      </c>
      <c r="K510" s="1897">
        <v>0.81666666666666665</v>
      </c>
      <c r="L510" s="1897">
        <v>0.85571428571428565</v>
      </c>
      <c r="M510" s="1897">
        <v>0.77476190476190487</v>
      </c>
      <c r="N510" s="1897">
        <v>8.7142857142857147E-2</v>
      </c>
      <c r="O510" s="1897">
        <v>0.96904761904761905</v>
      </c>
      <c r="P510" s="1897">
        <v>0.98761904761904762</v>
      </c>
      <c r="Q510" s="1897">
        <v>1.0295238095238095</v>
      </c>
      <c r="R510" s="1897">
        <v>1.0609523809523811</v>
      </c>
      <c r="S510" s="1898">
        <f t="shared" si="14"/>
        <v>0.84619047619047627</v>
      </c>
    </row>
    <row r="511" spans="1:19">
      <c r="A511" s="1894">
        <f t="shared" si="15"/>
        <v>504</v>
      </c>
      <c r="B511" s="1895" t="s">
        <v>3396</v>
      </c>
      <c r="C511" s="1894" t="s">
        <v>524</v>
      </c>
      <c r="D511" s="1895" t="s">
        <v>541</v>
      </c>
      <c r="E511" s="1894" t="s">
        <v>259</v>
      </c>
      <c r="F511" s="1896">
        <v>420</v>
      </c>
      <c r="G511" s="1897">
        <v>0.8</v>
      </c>
      <c r="H511" s="1897">
        <v>0.8571428571428571</v>
      </c>
      <c r="I511" s="1897">
        <v>0.75047619047619041</v>
      </c>
      <c r="J511" s="1897">
        <v>0.71238095238095245</v>
      </c>
      <c r="K511" s="1897">
        <v>0.75047619047619041</v>
      </c>
      <c r="L511" s="1897">
        <v>0.78095238095238095</v>
      </c>
      <c r="M511" s="1897">
        <v>0.9447619047619048</v>
      </c>
      <c r="N511" s="1897">
        <v>0.83809523809523812</v>
      </c>
      <c r="O511" s="1897">
        <v>0.80761904761904757</v>
      </c>
      <c r="P511" s="1897">
        <v>0.84571428571428564</v>
      </c>
      <c r="Q511" s="1897">
        <v>0.84571428571428564</v>
      </c>
      <c r="R511" s="1897">
        <v>0.80761904761904757</v>
      </c>
      <c r="S511" s="1898">
        <f t="shared" si="14"/>
        <v>0.81174603174603155</v>
      </c>
    </row>
    <row r="512" spans="1:19">
      <c r="A512" s="1894">
        <f t="shared" si="15"/>
        <v>505</v>
      </c>
      <c r="B512" s="1895" t="s">
        <v>3397</v>
      </c>
      <c r="C512" s="1894" t="s">
        <v>524</v>
      </c>
      <c r="D512" s="1895" t="s">
        <v>636</v>
      </c>
      <c r="E512" s="1894" t="s">
        <v>259</v>
      </c>
      <c r="F512" s="1896">
        <v>422</v>
      </c>
      <c r="G512" s="1897">
        <v>0.17061611374407584</v>
      </c>
      <c r="H512" s="1897">
        <v>0.19952606635071091</v>
      </c>
      <c r="I512" s="1897">
        <v>0.20284360189573458</v>
      </c>
      <c r="J512" s="1897">
        <v>0.19004739336492887</v>
      </c>
      <c r="K512" s="1897">
        <v>0.19004739336492887</v>
      </c>
      <c r="L512" s="1897">
        <v>0.14123222748815167</v>
      </c>
      <c r="M512" s="1897">
        <v>0.1843601895734597</v>
      </c>
      <c r="N512" s="1897">
        <v>0.20900473933649288</v>
      </c>
      <c r="O512" s="1897">
        <v>0.27203791469194311</v>
      </c>
      <c r="P512" s="1897">
        <v>0.21800947867298578</v>
      </c>
      <c r="Q512" s="1897">
        <v>0.24218009478672986</v>
      </c>
      <c r="R512" s="1897">
        <v>0.22748815165876776</v>
      </c>
      <c r="S512" s="1898">
        <f t="shared" si="14"/>
        <v>0.20394944707740917</v>
      </c>
    </row>
    <row r="513" spans="1:19">
      <c r="A513" s="1894">
        <f t="shared" si="15"/>
        <v>506</v>
      </c>
      <c r="B513" s="1895" t="s">
        <v>3398</v>
      </c>
      <c r="C513" s="1894" t="s">
        <v>524</v>
      </c>
      <c r="D513" s="1895" t="s">
        <v>641</v>
      </c>
      <c r="E513" s="1894" t="s">
        <v>259</v>
      </c>
      <c r="F513" s="1896">
        <v>426</v>
      </c>
      <c r="G513" s="1897">
        <v>0.80676056338028168</v>
      </c>
      <c r="H513" s="1897">
        <v>0.79661971830985923</v>
      </c>
      <c r="I513" s="1897">
        <v>0.7847887323943662</v>
      </c>
      <c r="J513" s="1897">
        <v>0.77070422535211269</v>
      </c>
      <c r="K513" s="1897">
        <v>0.72901408450704208</v>
      </c>
      <c r="L513" s="1897">
        <v>0.59323943661971834</v>
      </c>
      <c r="M513" s="1897">
        <v>0.58704225352112682</v>
      </c>
      <c r="N513" s="1897">
        <v>0.57746478873239426</v>
      </c>
      <c r="O513" s="1897">
        <v>0.51267605633802815</v>
      </c>
      <c r="P513" s="1897">
        <v>0.54253521126760562</v>
      </c>
      <c r="Q513" s="1897">
        <v>0.54985915492957749</v>
      </c>
      <c r="R513" s="1897">
        <v>0.53971830985915492</v>
      </c>
      <c r="S513" s="1898">
        <f t="shared" si="14"/>
        <v>0.64920187793427242</v>
      </c>
    </row>
    <row r="514" spans="1:19">
      <c r="A514" s="1894">
        <f t="shared" si="15"/>
        <v>507</v>
      </c>
      <c r="B514" s="1895" t="s">
        <v>3399</v>
      </c>
      <c r="C514" s="1894" t="s">
        <v>524</v>
      </c>
      <c r="D514" s="1895" t="s">
        <v>541</v>
      </c>
      <c r="E514" s="1894" t="s">
        <v>259</v>
      </c>
      <c r="F514" s="1896">
        <v>434</v>
      </c>
      <c r="G514" s="1897">
        <v>0.55354838709677412</v>
      </c>
      <c r="H514" s="1897">
        <v>0.37216589861751154</v>
      </c>
      <c r="I514" s="1897">
        <v>0.49714285714285711</v>
      </c>
      <c r="J514" s="1897">
        <v>0.48276497695852538</v>
      </c>
      <c r="K514" s="1897">
        <v>0.3544700460829493</v>
      </c>
      <c r="L514" s="1897">
        <v>3.3179723502304151E-2</v>
      </c>
      <c r="M514" s="1897">
        <v>2.7096774193548386E-2</v>
      </c>
      <c r="N514" s="1897">
        <v>0.1432258064516129</v>
      </c>
      <c r="O514" s="1897">
        <v>0.30359447004608292</v>
      </c>
      <c r="P514" s="1897">
        <v>0.33179723502304148</v>
      </c>
      <c r="Q514" s="1897">
        <v>0.33179723502304148</v>
      </c>
      <c r="R514" s="1897">
        <v>0.34175115207373269</v>
      </c>
      <c r="S514" s="1898">
        <f t="shared" si="14"/>
        <v>0.31437788018433177</v>
      </c>
    </row>
    <row r="515" spans="1:19">
      <c r="A515" s="1894">
        <f t="shared" si="15"/>
        <v>508</v>
      </c>
      <c r="B515" s="1895" t="s">
        <v>3400</v>
      </c>
      <c r="C515" s="1894" t="s">
        <v>524</v>
      </c>
      <c r="D515" s="1895" t="s">
        <v>541</v>
      </c>
      <c r="E515" s="1894" t="s">
        <v>259</v>
      </c>
      <c r="F515" s="1896">
        <v>440</v>
      </c>
      <c r="G515" s="1897">
        <v>1.0767272727272728</v>
      </c>
      <c r="H515" s="1897">
        <v>1.0595454545454546</v>
      </c>
      <c r="I515" s="1897">
        <v>1.0701818181818181</v>
      </c>
      <c r="J515" s="1897">
        <v>1.2182727272727272</v>
      </c>
      <c r="K515" s="1897">
        <v>0.98427272727272741</v>
      </c>
      <c r="L515" s="1897">
        <v>0.9376363636363636</v>
      </c>
      <c r="M515" s="1897">
        <v>0.75436363636363635</v>
      </c>
      <c r="N515" s="1897">
        <v>0.93354545454545457</v>
      </c>
      <c r="O515" s="1897">
        <v>1.0112727272727273</v>
      </c>
      <c r="P515" s="1897">
        <v>1.1168181818181819</v>
      </c>
      <c r="Q515" s="1897">
        <v>1.17</v>
      </c>
      <c r="R515" s="1897">
        <v>1.1577272727272727</v>
      </c>
      <c r="S515" s="1898">
        <f t="shared" si="14"/>
        <v>1.0408636363636365</v>
      </c>
    </row>
    <row r="516" spans="1:19">
      <c r="A516" s="1894">
        <f t="shared" si="15"/>
        <v>509</v>
      </c>
      <c r="B516" s="1895" t="s">
        <v>3401</v>
      </c>
      <c r="C516" s="1894" t="s">
        <v>524</v>
      </c>
      <c r="D516" s="1895" t="s">
        <v>541</v>
      </c>
      <c r="E516" s="1894" t="s">
        <v>259</v>
      </c>
      <c r="F516" s="1896">
        <v>445</v>
      </c>
      <c r="G516" s="1897">
        <v>0.37348314606741578</v>
      </c>
      <c r="H516" s="1897">
        <v>0.47056179775280893</v>
      </c>
      <c r="I516" s="1897">
        <v>0.34921348314606743</v>
      </c>
      <c r="J516" s="1897">
        <v>0.31011235955056182</v>
      </c>
      <c r="K516" s="1897">
        <v>0.33168539325842694</v>
      </c>
      <c r="L516" s="1897">
        <v>0.29069662921348316</v>
      </c>
      <c r="M516" s="1897">
        <v>0.31955056179775276</v>
      </c>
      <c r="N516" s="1897">
        <v>0.36000000000000004</v>
      </c>
      <c r="O516" s="1897">
        <v>0.31874157303370787</v>
      </c>
      <c r="P516" s="1897">
        <v>0.35433707865168534</v>
      </c>
      <c r="Q516" s="1897">
        <v>0.46651685393258424</v>
      </c>
      <c r="R516" s="1897">
        <v>0.42606741573033707</v>
      </c>
      <c r="S516" s="1898">
        <f t="shared" si="14"/>
        <v>0.36424719101123593</v>
      </c>
    </row>
    <row r="517" spans="1:19">
      <c r="A517" s="1894">
        <f t="shared" si="15"/>
        <v>510</v>
      </c>
      <c r="B517" s="1895" t="s">
        <v>3402</v>
      </c>
      <c r="C517" s="1894" t="s">
        <v>524</v>
      </c>
      <c r="D517" s="1895" t="s">
        <v>541</v>
      </c>
      <c r="E517" s="1894" t="s">
        <v>259</v>
      </c>
      <c r="F517" s="1896">
        <v>445</v>
      </c>
      <c r="G517" s="1897">
        <v>0.44008988764044943</v>
      </c>
      <c r="H517" s="1897">
        <v>0.40826966292134831</v>
      </c>
      <c r="I517" s="1897">
        <v>0.402876404494382</v>
      </c>
      <c r="J517" s="1897">
        <v>0.39694382022471908</v>
      </c>
      <c r="K517" s="1897">
        <v>0.4767640449438203</v>
      </c>
      <c r="L517" s="1897">
        <v>0.41959550561797754</v>
      </c>
      <c r="M517" s="1897">
        <v>0.12889887640449438</v>
      </c>
      <c r="N517" s="1897">
        <v>7.0651685393258432E-2</v>
      </c>
      <c r="O517" s="1897">
        <v>0.37105617977528094</v>
      </c>
      <c r="P517" s="1897">
        <v>0.55820224719101119</v>
      </c>
      <c r="Q517" s="1897">
        <v>0.53501123595505617</v>
      </c>
      <c r="R517" s="1897">
        <v>0.54040449438202243</v>
      </c>
      <c r="S517" s="1898">
        <f t="shared" si="14"/>
        <v>0.39573033707865163</v>
      </c>
    </row>
    <row r="518" spans="1:19">
      <c r="A518" s="1894">
        <f t="shared" si="15"/>
        <v>511</v>
      </c>
      <c r="B518" s="1895" t="s">
        <v>3403</v>
      </c>
      <c r="C518" s="1894" t="s">
        <v>524</v>
      </c>
      <c r="D518" s="1895" t="s">
        <v>541</v>
      </c>
      <c r="E518" s="1894" t="s">
        <v>259</v>
      </c>
      <c r="F518" s="1896">
        <v>450</v>
      </c>
      <c r="G518" s="1897">
        <v>0.94666666666666655</v>
      </c>
      <c r="H518" s="1897">
        <v>0.96799999999999997</v>
      </c>
      <c r="I518" s="1897">
        <v>0.97333333333333338</v>
      </c>
      <c r="J518" s="1897">
        <v>0.94133333333333324</v>
      </c>
      <c r="K518" s="1897">
        <v>1.0293333333333334</v>
      </c>
      <c r="L518" s="1897">
        <v>1.2106666666666668</v>
      </c>
      <c r="M518" s="1897">
        <v>0.82133333333333336</v>
      </c>
      <c r="N518" s="1897">
        <v>0.45600000000000002</v>
      </c>
      <c r="O518" s="1897">
        <v>0.86933333333333329</v>
      </c>
      <c r="P518" s="1897">
        <v>0.93066666666666664</v>
      </c>
      <c r="Q518" s="1897">
        <v>0.92533333333333345</v>
      </c>
      <c r="R518" s="1897">
        <v>0.91733333333333333</v>
      </c>
      <c r="S518" s="1898">
        <f t="shared" si="14"/>
        <v>0.91577777777777769</v>
      </c>
    </row>
    <row r="519" spans="1:19">
      <c r="A519" s="1894">
        <f t="shared" si="15"/>
        <v>512</v>
      </c>
      <c r="B519" s="1895" t="s">
        <v>3404</v>
      </c>
      <c r="C519" s="1894" t="s">
        <v>524</v>
      </c>
      <c r="D519" s="1895" t="s">
        <v>541</v>
      </c>
      <c r="E519" s="1894" t="s">
        <v>259</v>
      </c>
      <c r="F519" s="1896">
        <v>450</v>
      </c>
      <c r="G519" s="1897">
        <v>0.98080000000000001</v>
      </c>
      <c r="H519" s="1897">
        <v>0.93813333333333337</v>
      </c>
      <c r="I519" s="1897">
        <v>0.92479999999999996</v>
      </c>
      <c r="J519" s="1897">
        <v>0.86186666666666656</v>
      </c>
      <c r="K519" s="1897">
        <v>0.9669333333333332</v>
      </c>
      <c r="L519" s="1897">
        <v>0.93333333333333335</v>
      </c>
      <c r="M519" s="1897">
        <v>0.90239999999999998</v>
      </c>
      <c r="N519" s="1897">
        <v>0.89653333333333329</v>
      </c>
      <c r="O519" s="1897">
        <v>0.90293333333333337</v>
      </c>
      <c r="P519" s="1897">
        <v>0.89973333333333327</v>
      </c>
      <c r="Q519" s="1897">
        <v>0.78666666666666663</v>
      </c>
      <c r="R519" s="1897">
        <v>0.80853333333333344</v>
      </c>
      <c r="S519" s="1898">
        <f t="shared" si="14"/>
        <v>0.90022222222222226</v>
      </c>
    </row>
    <row r="520" spans="1:19">
      <c r="A520" s="1894">
        <f t="shared" si="15"/>
        <v>513</v>
      </c>
      <c r="B520" s="1895" t="s">
        <v>3405</v>
      </c>
      <c r="C520" s="1894" t="s">
        <v>524</v>
      </c>
      <c r="D520" s="1895" t="s">
        <v>541</v>
      </c>
      <c r="E520" s="1894" t="s">
        <v>259</v>
      </c>
      <c r="F520" s="1896">
        <v>450</v>
      </c>
      <c r="G520" s="1897">
        <v>1.0133333333333334</v>
      </c>
      <c r="H520" s="1897">
        <v>1.0917333333333332</v>
      </c>
      <c r="I520" s="1897">
        <v>1.0997333333333332</v>
      </c>
      <c r="J520" s="1897">
        <v>1.0821333333333334</v>
      </c>
      <c r="K520" s="1897">
        <v>1.0837333333333334</v>
      </c>
      <c r="L520" s="1897">
        <v>1.1040000000000001</v>
      </c>
      <c r="M520" s="1897">
        <v>1.1135999999999999</v>
      </c>
      <c r="N520" s="1897">
        <v>1.1130666666666666</v>
      </c>
      <c r="O520" s="1897">
        <v>1.1690666666666667</v>
      </c>
      <c r="P520" s="1897">
        <v>1.1642666666666666</v>
      </c>
      <c r="Q520" s="1897">
        <v>1.1119999999999999</v>
      </c>
      <c r="R520" s="1897">
        <v>1.1338666666666666</v>
      </c>
      <c r="S520" s="1898">
        <f t="shared" ref="S520:S583" si="16">+SUM(G520:R520)/12</f>
        <v>1.106711111111111</v>
      </c>
    </row>
    <row r="521" spans="1:19">
      <c r="A521" s="1894">
        <f t="shared" si="15"/>
        <v>514</v>
      </c>
      <c r="B521" s="1895" t="s">
        <v>3406</v>
      </c>
      <c r="C521" s="1894" t="s">
        <v>524</v>
      </c>
      <c r="D521" s="1895" t="s">
        <v>629</v>
      </c>
      <c r="E521" s="1894" t="s">
        <v>259</v>
      </c>
      <c r="F521" s="1896">
        <v>452.22</v>
      </c>
      <c r="G521" s="1897">
        <v>0.22997656008137632</v>
      </c>
      <c r="H521" s="1897">
        <v>0.22643845915704747</v>
      </c>
      <c r="I521" s="1897">
        <v>0.22997656008137632</v>
      </c>
      <c r="J521" s="1897">
        <v>0.2087479545354031</v>
      </c>
      <c r="K521" s="1897">
        <v>0.21157843527486619</v>
      </c>
      <c r="L521" s="1897">
        <v>0.34142673919773558</v>
      </c>
      <c r="M521" s="1897">
        <v>0.21723939675379242</v>
      </c>
      <c r="N521" s="1897">
        <v>0.24660563442572198</v>
      </c>
      <c r="O521" s="1897">
        <v>0.2524435009508646</v>
      </c>
      <c r="P521" s="1897">
        <v>0.24607491928707265</v>
      </c>
      <c r="Q521" s="1897">
        <v>0.22856131971164478</v>
      </c>
      <c r="R521" s="1897">
        <v>0.2119322453672991</v>
      </c>
      <c r="S521" s="1898">
        <f t="shared" si="16"/>
        <v>0.23758347706868335</v>
      </c>
    </row>
    <row r="522" spans="1:19">
      <c r="A522" s="1894">
        <f t="shared" ref="A522:A585" si="17">+A521+1</f>
        <v>515</v>
      </c>
      <c r="B522" s="1895" t="s">
        <v>3407</v>
      </c>
      <c r="C522" s="1894" t="s">
        <v>524</v>
      </c>
      <c r="D522" s="1895" t="s">
        <v>737</v>
      </c>
      <c r="E522" s="1894" t="s">
        <v>259</v>
      </c>
      <c r="F522" s="1896">
        <v>458</v>
      </c>
      <c r="G522" s="1897">
        <v>0.47161572052401746</v>
      </c>
      <c r="H522" s="1897">
        <v>0.41921397379912662</v>
      </c>
      <c r="I522" s="1897">
        <v>0.56593886462882093</v>
      </c>
      <c r="J522" s="1897">
        <v>0.60576419213973798</v>
      </c>
      <c r="K522" s="1897">
        <v>0.49781659388646288</v>
      </c>
      <c r="L522" s="1897">
        <v>0.60681222707423588</v>
      </c>
      <c r="M522" s="1897">
        <v>0.43703056768558951</v>
      </c>
      <c r="N522" s="1897">
        <v>0.29082969432314409</v>
      </c>
      <c r="O522" s="1897">
        <v>0.3018340611353712</v>
      </c>
      <c r="P522" s="1897">
        <v>0.34899563318777294</v>
      </c>
      <c r="Q522" s="1897">
        <v>0.36314410480349346</v>
      </c>
      <c r="R522" s="1897">
        <v>0.53764192139737987</v>
      </c>
      <c r="S522" s="1898">
        <f t="shared" si="16"/>
        <v>0.453886462882096</v>
      </c>
    </row>
    <row r="523" spans="1:19">
      <c r="A523" s="1894">
        <f t="shared" si="17"/>
        <v>516</v>
      </c>
      <c r="B523" s="1895" t="s">
        <v>3408</v>
      </c>
      <c r="C523" s="1894" t="s">
        <v>524</v>
      </c>
      <c r="D523" s="1895" t="s">
        <v>737</v>
      </c>
      <c r="E523" s="1894" t="s">
        <v>259</v>
      </c>
      <c r="F523" s="1896">
        <v>465</v>
      </c>
      <c r="G523" s="1897">
        <v>0</v>
      </c>
      <c r="H523" s="1897">
        <v>0</v>
      </c>
      <c r="I523" s="1897">
        <v>0</v>
      </c>
      <c r="J523" s="1897">
        <v>0</v>
      </c>
      <c r="K523" s="1897">
        <v>0</v>
      </c>
      <c r="L523" s="1897">
        <v>0</v>
      </c>
      <c r="M523" s="1897">
        <v>0</v>
      </c>
      <c r="N523" s="1897">
        <v>0</v>
      </c>
      <c r="O523" s="1897">
        <v>5.7290322580645162E-2</v>
      </c>
      <c r="P523" s="1897">
        <v>0.19045161290322582</v>
      </c>
      <c r="Q523" s="1897">
        <v>9.9096774193548384E-2</v>
      </c>
      <c r="R523" s="1897">
        <v>0.52490322580645155</v>
      </c>
      <c r="S523" s="1898">
        <f t="shared" si="16"/>
        <v>7.2645161290322571E-2</v>
      </c>
    </row>
    <row r="524" spans="1:19">
      <c r="A524" s="1894">
        <f t="shared" si="17"/>
        <v>517</v>
      </c>
      <c r="B524" s="1895" t="s">
        <v>3409</v>
      </c>
      <c r="C524" s="1894" t="s">
        <v>524</v>
      </c>
      <c r="D524" s="1895" t="s">
        <v>541</v>
      </c>
      <c r="E524" s="1894" t="s">
        <v>259</v>
      </c>
      <c r="F524" s="1896">
        <v>465</v>
      </c>
      <c r="G524" s="1897">
        <v>0.53082352941176469</v>
      </c>
      <c r="H524" s="1897">
        <v>0.57091764705882353</v>
      </c>
      <c r="I524" s="1897">
        <v>1.3522580645161288</v>
      </c>
      <c r="J524" s="1897">
        <v>0.97754838709677416</v>
      </c>
      <c r="K524" s="1897">
        <v>1.5618064516129033</v>
      </c>
      <c r="L524" s="1897">
        <v>1.0198709677419355</v>
      </c>
      <c r="M524" s="1897">
        <v>0.2621935483870968</v>
      </c>
      <c r="N524" s="1897">
        <v>0.80516129032258055</v>
      </c>
      <c r="O524" s="1897">
        <v>0.92387096774193556</v>
      </c>
      <c r="P524" s="1897">
        <v>0.98890322580645151</v>
      </c>
      <c r="Q524" s="1897">
        <v>0.9785806451612904</v>
      </c>
      <c r="R524" s="1897">
        <v>0.95174193548387098</v>
      </c>
      <c r="S524" s="1898">
        <f t="shared" si="16"/>
        <v>0.91030638836179634</v>
      </c>
    </row>
    <row r="525" spans="1:19">
      <c r="A525" s="1894">
        <f t="shared" si="17"/>
        <v>518</v>
      </c>
      <c r="B525" s="1895" t="s">
        <v>3410</v>
      </c>
      <c r="C525" s="1894" t="s">
        <v>524</v>
      </c>
      <c r="D525" s="1895" t="s">
        <v>737</v>
      </c>
      <c r="E525" s="1894" t="s">
        <v>259</v>
      </c>
      <c r="F525" s="1896">
        <v>467</v>
      </c>
      <c r="G525" s="1897">
        <v>0.16445396145610278</v>
      </c>
      <c r="H525" s="1897">
        <v>0.15674518201284798</v>
      </c>
      <c r="I525" s="1897">
        <v>0.14749464668094217</v>
      </c>
      <c r="J525" s="1897">
        <v>0.16291220556745181</v>
      </c>
      <c r="K525" s="1897">
        <v>0.15109207708779443</v>
      </c>
      <c r="L525" s="1897">
        <v>0.17164882226980727</v>
      </c>
      <c r="M525" s="1897">
        <v>0.15931477516059958</v>
      </c>
      <c r="N525" s="1897">
        <v>0.10843683083511778</v>
      </c>
      <c r="O525" s="1897">
        <v>9.7644539614561029E-2</v>
      </c>
      <c r="P525" s="1897">
        <v>9.7130620985010699E-2</v>
      </c>
      <c r="Q525" s="1897">
        <v>9.7130620985010699E-2</v>
      </c>
      <c r="R525" s="1897">
        <v>0.1140899357601713</v>
      </c>
      <c r="S525" s="1898">
        <f t="shared" si="16"/>
        <v>0.13567451820128479</v>
      </c>
    </row>
    <row r="526" spans="1:19">
      <c r="A526" s="1894">
        <f t="shared" si="17"/>
        <v>519</v>
      </c>
      <c r="B526" s="1895" t="s">
        <v>3411</v>
      </c>
      <c r="C526" s="1894" t="s">
        <v>524</v>
      </c>
      <c r="D526" s="1895" t="s">
        <v>2966</v>
      </c>
      <c r="E526" s="1894" t="s">
        <v>259</v>
      </c>
      <c r="F526" s="1896">
        <v>470</v>
      </c>
      <c r="G526" s="1897">
        <v>0.44936170212765952</v>
      </c>
      <c r="H526" s="1897">
        <v>0.76340425531914891</v>
      </c>
      <c r="I526" s="1897">
        <v>1.4078297872340424</v>
      </c>
      <c r="J526" s="1897">
        <v>1.2878297872340425</v>
      </c>
      <c r="K526" s="1897">
        <v>1.1167659574468085</v>
      </c>
      <c r="L526" s="1897">
        <v>1.054468085106383</v>
      </c>
      <c r="M526" s="1897">
        <v>0.84970212765957442</v>
      </c>
      <c r="N526" s="1897">
        <v>0.65514893617021275</v>
      </c>
      <c r="O526" s="1897">
        <v>0.12</v>
      </c>
      <c r="P526" s="1897">
        <v>3.2170212765957447E-2</v>
      </c>
      <c r="Q526" s="1897">
        <v>0.39114893617021279</v>
      </c>
      <c r="R526" s="1897">
        <v>0.60459574468085109</v>
      </c>
      <c r="S526" s="1898">
        <f t="shared" si="16"/>
        <v>0.72770212765957465</v>
      </c>
    </row>
    <row r="527" spans="1:19">
      <c r="A527" s="1894">
        <f t="shared" si="17"/>
        <v>520</v>
      </c>
      <c r="B527" s="1895" t="s">
        <v>3412</v>
      </c>
      <c r="C527" s="1894" t="s">
        <v>524</v>
      </c>
      <c r="D527" s="1895" t="s">
        <v>541</v>
      </c>
      <c r="E527" s="1894" t="s">
        <v>259</v>
      </c>
      <c r="F527" s="1896">
        <v>475</v>
      </c>
      <c r="G527" s="1897">
        <v>0.96</v>
      </c>
      <c r="H527" s="1897">
        <v>0.71747368421052626</v>
      </c>
      <c r="I527" s="1897">
        <v>0.84631578947368424</v>
      </c>
      <c r="J527" s="1897">
        <v>0.75536842105263158</v>
      </c>
      <c r="K527" s="1897">
        <v>0.5204210526315789</v>
      </c>
      <c r="L527" s="1897">
        <v>0.69473684210526321</v>
      </c>
      <c r="M527" s="1897">
        <v>0.85642105263157897</v>
      </c>
      <c r="N527" s="1897">
        <v>0.70989473684210536</v>
      </c>
      <c r="O527" s="1897">
        <v>0.89936842105263159</v>
      </c>
      <c r="P527" s="1897">
        <v>0.92210526315789476</v>
      </c>
      <c r="Q527" s="1897">
        <v>0.91199999999999992</v>
      </c>
      <c r="R527" s="1897">
        <v>0.94484210526315793</v>
      </c>
      <c r="S527" s="1898">
        <f t="shared" si="16"/>
        <v>0.81157894736842107</v>
      </c>
    </row>
    <row r="528" spans="1:19">
      <c r="A528" s="1894">
        <f t="shared" si="17"/>
        <v>521</v>
      </c>
      <c r="B528" s="1895" t="s">
        <v>3413</v>
      </c>
      <c r="C528" s="1894" t="s">
        <v>524</v>
      </c>
      <c r="D528" s="1895" t="s">
        <v>541</v>
      </c>
      <c r="E528" s="1894" t="s">
        <v>259</v>
      </c>
      <c r="F528" s="1896">
        <v>475</v>
      </c>
      <c r="G528" s="1897">
        <v>0.89835789473684213</v>
      </c>
      <c r="H528" s="1897">
        <v>0.85793684210526322</v>
      </c>
      <c r="I528" s="1897">
        <v>0.83065263157894742</v>
      </c>
      <c r="J528" s="1897">
        <v>0.82458947368421054</v>
      </c>
      <c r="K528" s="1897">
        <v>0.71545263157894745</v>
      </c>
      <c r="L528" s="1897">
        <v>0.81650526315789473</v>
      </c>
      <c r="M528" s="1897">
        <v>0.84783157894736849</v>
      </c>
      <c r="N528" s="1897">
        <v>0.86096842105263149</v>
      </c>
      <c r="O528" s="1897">
        <v>0.83772631578947376</v>
      </c>
      <c r="P528" s="1897">
        <v>0.82054736842105258</v>
      </c>
      <c r="Q528" s="1897">
        <v>0.84783157894736849</v>
      </c>
      <c r="R528" s="1897">
        <v>0.85591578947368419</v>
      </c>
      <c r="S528" s="1898">
        <f t="shared" si="16"/>
        <v>0.83452631578947367</v>
      </c>
    </row>
    <row r="529" spans="1:19">
      <c r="A529" s="1894">
        <f t="shared" si="17"/>
        <v>522</v>
      </c>
      <c r="B529" s="1895" t="s">
        <v>3414</v>
      </c>
      <c r="C529" s="1894" t="s">
        <v>524</v>
      </c>
      <c r="D529" s="1895" t="s">
        <v>730</v>
      </c>
      <c r="E529" s="1894" t="s">
        <v>259</v>
      </c>
      <c r="F529" s="1896">
        <v>478</v>
      </c>
      <c r="G529" s="1897">
        <v>0.8405020920502092</v>
      </c>
      <c r="H529" s="1897">
        <v>0.86912133891213383</v>
      </c>
      <c r="I529" s="1897">
        <v>0.85255230125523018</v>
      </c>
      <c r="J529" s="1897">
        <v>0.87514644351464443</v>
      </c>
      <c r="K529" s="1897">
        <v>0.84100418410041844</v>
      </c>
      <c r="L529" s="1897">
        <v>0.83196652719665265</v>
      </c>
      <c r="M529" s="1897">
        <v>0.80736401673640168</v>
      </c>
      <c r="N529" s="1897">
        <v>0.86861924686192471</v>
      </c>
      <c r="O529" s="1897">
        <v>0.84401673640167363</v>
      </c>
      <c r="P529" s="1897">
        <v>0.84251046025104603</v>
      </c>
      <c r="Q529" s="1897">
        <v>0.86460251046025094</v>
      </c>
      <c r="R529" s="1897">
        <v>0.91732217573221764</v>
      </c>
      <c r="S529" s="1898">
        <f t="shared" si="16"/>
        <v>0.85456066945606712</v>
      </c>
    </row>
    <row r="530" spans="1:19">
      <c r="A530" s="1894">
        <f t="shared" si="17"/>
        <v>523</v>
      </c>
      <c r="B530" s="1895" t="s">
        <v>3415</v>
      </c>
      <c r="C530" s="1894" t="s">
        <v>524</v>
      </c>
      <c r="D530" s="1895" t="s">
        <v>541</v>
      </c>
      <c r="E530" s="1894" t="s">
        <v>259</v>
      </c>
      <c r="F530" s="1896">
        <v>489</v>
      </c>
      <c r="G530" s="1897">
        <v>0.50993865030674845</v>
      </c>
      <c r="H530" s="1897">
        <v>0.5069938650306749</v>
      </c>
      <c r="I530" s="1897">
        <v>0.50453987730061345</v>
      </c>
      <c r="J530" s="1897">
        <v>0.505521472392638</v>
      </c>
      <c r="K530" s="1897">
        <v>0.48785276073619632</v>
      </c>
      <c r="L530" s="1897">
        <v>0.15165644171779141</v>
      </c>
      <c r="M530" s="1897">
        <v>1.8159509202453988E-2</v>
      </c>
      <c r="N530" s="1897">
        <v>1.5705521472392639E-2</v>
      </c>
      <c r="O530" s="1897">
        <v>0.129079754601227</v>
      </c>
      <c r="P530" s="1897">
        <v>0.46380368098159513</v>
      </c>
      <c r="Q530" s="1897">
        <v>0.48049079754601226</v>
      </c>
      <c r="R530" s="1897">
        <v>0.52417177914110424</v>
      </c>
      <c r="S530" s="1898">
        <f t="shared" si="16"/>
        <v>0.35815950920245393</v>
      </c>
    </row>
    <row r="531" spans="1:19">
      <c r="A531" s="1894">
        <f t="shared" si="17"/>
        <v>524</v>
      </c>
      <c r="B531" s="1895" t="s">
        <v>3416</v>
      </c>
      <c r="C531" s="1894" t="s">
        <v>524</v>
      </c>
      <c r="D531" s="1895" t="s">
        <v>541</v>
      </c>
      <c r="E531" s="1894" t="s">
        <v>259</v>
      </c>
      <c r="F531" s="1896">
        <v>490</v>
      </c>
      <c r="G531" s="1897">
        <v>0.16946938775510204</v>
      </c>
      <c r="H531" s="1897">
        <v>0.43004081632653063</v>
      </c>
      <c r="I531" s="1897">
        <v>0.91738775510204074</v>
      </c>
      <c r="J531" s="1897">
        <v>0.96538775510204089</v>
      </c>
      <c r="K531" s="1897">
        <v>1.0148571428571429</v>
      </c>
      <c r="L531" s="1897">
        <v>1.1289795918367347</v>
      </c>
      <c r="M531" s="1897">
        <v>1.0413061224489797</v>
      </c>
      <c r="N531" s="1897">
        <v>0.92228571428571426</v>
      </c>
      <c r="O531" s="1897">
        <v>0.82089795918367348</v>
      </c>
      <c r="P531" s="1897">
        <v>0.86840816326530623</v>
      </c>
      <c r="Q531" s="1897">
        <v>0.83559183673469384</v>
      </c>
      <c r="R531" s="1897">
        <v>0.67787755102040814</v>
      </c>
      <c r="S531" s="1898">
        <f t="shared" si="16"/>
        <v>0.81604081632653058</v>
      </c>
    </row>
    <row r="532" spans="1:19">
      <c r="A532" s="1894">
        <f t="shared" si="17"/>
        <v>525</v>
      </c>
      <c r="B532" s="1895" t="s">
        <v>3417</v>
      </c>
      <c r="C532" s="1894" t="s">
        <v>524</v>
      </c>
      <c r="D532" s="1895" t="s">
        <v>541</v>
      </c>
      <c r="E532" s="1894" t="s">
        <v>259</v>
      </c>
      <c r="F532" s="1896">
        <v>490</v>
      </c>
      <c r="G532" s="1897">
        <v>0.47346938775510206</v>
      </c>
      <c r="H532" s="1897">
        <v>0.50204081632653064</v>
      </c>
      <c r="I532" s="1897">
        <v>6.9387755102040816E-2</v>
      </c>
      <c r="J532" s="1897">
        <v>0.19183673469387755</v>
      </c>
      <c r="K532" s="1897">
        <v>0.41387755102040819</v>
      </c>
      <c r="L532" s="1897">
        <v>0.50938775510204082</v>
      </c>
      <c r="M532" s="1897">
        <v>0.56326530612244896</v>
      </c>
      <c r="N532" s="1897">
        <v>0.47959183673469385</v>
      </c>
      <c r="O532" s="1897">
        <v>0.47755102040816327</v>
      </c>
      <c r="P532" s="1897">
        <v>0.45306122448979591</v>
      </c>
      <c r="Q532" s="1897">
        <v>0.52326530612244904</v>
      </c>
      <c r="R532" s="1897">
        <v>0.44653061224489793</v>
      </c>
      <c r="S532" s="1898">
        <f t="shared" si="16"/>
        <v>0.42527210884353739</v>
      </c>
    </row>
    <row r="533" spans="1:19">
      <c r="A533" s="1894">
        <f t="shared" si="17"/>
        <v>526</v>
      </c>
      <c r="B533" s="1895" t="s">
        <v>3418</v>
      </c>
      <c r="C533" s="1894" t="s">
        <v>524</v>
      </c>
      <c r="D533" s="1895" t="s">
        <v>541</v>
      </c>
      <c r="E533" s="1894" t="s">
        <v>259</v>
      </c>
      <c r="F533" s="1896">
        <v>495</v>
      </c>
      <c r="G533" s="1897">
        <v>0.7626666666666666</v>
      </c>
      <c r="H533" s="1897">
        <v>0.75103030303030316</v>
      </c>
      <c r="I533" s="1897">
        <v>0.79515151515151516</v>
      </c>
      <c r="J533" s="1897">
        <v>0.78496969696969687</v>
      </c>
      <c r="K533" s="1897">
        <v>0.7573333333333333</v>
      </c>
      <c r="L533" s="1897">
        <v>0.72193939393939399</v>
      </c>
      <c r="M533" s="1897">
        <v>0.72</v>
      </c>
      <c r="N533" s="1897">
        <v>0.73163636363636364</v>
      </c>
      <c r="O533" s="1897">
        <v>0.72048484848484862</v>
      </c>
      <c r="P533" s="1897">
        <v>0.76169696969696965</v>
      </c>
      <c r="Q533" s="1897">
        <v>0.7466666666666667</v>
      </c>
      <c r="R533" s="1897">
        <v>0.75878787878787879</v>
      </c>
      <c r="S533" s="1898">
        <f t="shared" si="16"/>
        <v>0.75103030303030316</v>
      </c>
    </row>
    <row r="534" spans="1:19">
      <c r="A534" s="1894">
        <f t="shared" si="17"/>
        <v>527</v>
      </c>
      <c r="B534" s="1895" t="s">
        <v>3419</v>
      </c>
      <c r="C534" s="1894" t="s">
        <v>524</v>
      </c>
      <c r="D534" s="1895" t="s">
        <v>541</v>
      </c>
      <c r="E534" s="1894" t="s">
        <v>259</v>
      </c>
      <c r="F534" s="1896">
        <v>500</v>
      </c>
      <c r="G534" s="1897">
        <v>1.3233599999999999</v>
      </c>
      <c r="H534" s="1897">
        <v>1.3747199999999999</v>
      </c>
      <c r="I534" s="1897">
        <v>1.4491200000000002</v>
      </c>
      <c r="J534" s="1897">
        <v>1.4870400000000001</v>
      </c>
      <c r="K534" s="1897">
        <v>1.4687999999999999</v>
      </c>
      <c r="L534" s="1897">
        <v>1.4923199999999999</v>
      </c>
      <c r="M534" s="1897">
        <v>1.6248000000000002</v>
      </c>
      <c r="N534" s="1897">
        <v>1.488</v>
      </c>
      <c r="O534" s="1897">
        <v>1.524</v>
      </c>
      <c r="P534" s="1897">
        <v>1.4683199999999998</v>
      </c>
      <c r="Q534" s="1897">
        <v>1.4990400000000002</v>
      </c>
      <c r="R534" s="1897">
        <v>1.6372800000000001</v>
      </c>
      <c r="S534" s="1898">
        <f t="shared" si="16"/>
        <v>1.4863999999999999</v>
      </c>
    </row>
    <row r="535" spans="1:19">
      <c r="A535" s="1894">
        <f t="shared" si="17"/>
        <v>528</v>
      </c>
      <c r="B535" s="1895" t="s">
        <v>3420</v>
      </c>
      <c r="C535" s="1894" t="s">
        <v>524</v>
      </c>
      <c r="D535" s="1895" t="s">
        <v>636</v>
      </c>
      <c r="E535" s="1894" t="s">
        <v>259</v>
      </c>
      <c r="F535" s="1896">
        <v>500</v>
      </c>
      <c r="G535" s="1897">
        <v>0.41424</v>
      </c>
      <c r="H535" s="1897">
        <v>0.50112000000000001</v>
      </c>
      <c r="I535" s="1897">
        <v>0.61392000000000002</v>
      </c>
      <c r="J535" s="1897">
        <v>0.35279999999999995</v>
      </c>
      <c r="K535" s="1897">
        <v>0.37919999999999998</v>
      </c>
      <c r="L535" s="1897">
        <v>0.40608</v>
      </c>
      <c r="M535" s="1897">
        <v>0.55103999999999997</v>
      </c>
      <c r="N535" s="1897">
        <v>0.43871999999999994</v>
      </c>
      <c r="O535" s="1897">
        <v>0.33407999999999999</v>
      </c>
      <c r="P535" s="1897">
        <v>0.29855999999999999</v>
      </c>
      <c r="Q535" s="1897">
        <v>0.30719999999999997</v>
      </c>
      <c r="R535" s="1897">
        <v>0.31055999999999995</v>
      </c>
      <c r="S535" s="1898">
        <f t="shared" si="16"/>
        <v>0.40895999999999999</v>
      </c>
    </row>
    <row r="536" spans="1:19">
      <c r="A536" s="1894">
        <f t="shared" si="17"/>
        <v>529</v>
      </c>
      <c r="B536" s="1895" t="s">
        <v>3421</v>
      </c>
      <c r="C536" s="1894" t="s">
        <v>524</v>
      </c>
      <c r="D536" s="1895" t="s">
        <v>541</v>
      </c>
      <c r="E536" s="1894" t="s">
        <v>259</v>
      </c>
      <c r="F536" s="1896">
        <v>500</v>
      </c>
      <c r="G536" s="1897">
        <v>0.504</v>
      </c>
      <c r="H536" s="1897">
        <v>0.48</v>
      </c>
      <c r="I536" s="1897">
        <v>0.48959999999999998</v>
      </c>
      <c r="J536" s="1897">
        <v>0.48863999999999996</v>
      </c>
      <c r="K536" s="1897">
        <v>7.1040000000000006E-2</v>
      </c>
      <c r="L536" s="1897">
        <v>0.52991999999999995</v>
      </c>
      <c r="M536" s="1897">
        <v>0.45696000000000003</v>
      </c>
      <c r="N536" s="1897">
        <v>0.46464</v>
      </c>
      <c r="O536" s="1897">
        <v>0.36960000000000004</v>
      </c>
      <c r="P536" s="1897">
        <v>0.36</v>
      </c>
      <c r="Q536" s="1897">
        <v>0.17088</v>
      </c>
      <c r="R536" s="1897">
        <v>0.15456</v>
      </c>
      <c r="S536" s="1898">
        <f t="shared" si="16"/>
        <v>0.37832000000000005</v>
      </c>
    </row>
    <row r="537" spans="1:19">
      <c r="A537" s="1894">
        <f t="shared" si="17"/>
        <v>530</v>
      </c>
      <c r="B537" s="1895" t="s">
        <v>3422</v>
      </c>
      <c r="C537" s="1894" t="s">
        <v>524</v>
      </c>
      <c r="D537" s="1895" t="s">
        <v>541</v>
      </c>
      <c r="E537" s="1894" t="s">
        <v>259</v>
      </c>
      <c r="F537" s="1896">
        <v>500</v>
      </c>
      <c r="G537" s="1897">
        <v>0.80400000000000005</v>
      </c>
      <c r="H537" s="1897">
        <v>0.93791999999999998</v>
      </c>
      <c r="I537" s="1897">
        <v>0.92400000000000004</v>
      </c>
      <c r="J537" s="1897">
        <v>0.90383999999999998</v>
      </c>
      <c r="K537" s="1897">
        <v>0.92255999999999994</v>
      </c>
      <c r="L537" s="1897">
        <v>1.0204800000000001</v>
      </c>
      <c r="M537" s="1897">
        <v>0.82608000000000004</v>
      </c>
      <c r="N537" s="1897">
        <v>0.8803200000000001</v>
      </c>
      <c r="O537" s="1897">
        <v>0.96479999999999999</v>
      </c>
      <c r="P537" s="1897">
        <v>0.9</v>
      </c>
      <c r="Q537" s="1897">
        <v>0.78</v>
      </c>
      <c r="R537" s="1897">
        <v>0.88607999999999998</v>
      </c>
      <c r="S537" s="1898">
        <f t="shared" si="16"/>
        <v>0.89583999999999986</v>
      </c>
    </row>
    <row r="538" spans="1:19">
      <c r="A538" s="1894">
        <f t="shared" si="17"/>
        <v>531</v>
      </c>
      <c r="B538" s="1895" t="s">
        <v>3423</v>
      </c>
      <c r="C538" s="1894" t="s">
        <v>524</v>
      </c>
      <c r="D538" s="1895" t="s">
        <v>629</v>
      </c>
      <c r="E538" s="1894" t="s">
        <v>259</v>
      </c>
      <c r="F538" s="1896">
        <v>500</v>
      </c>
      <c r="G538" s="1897">
        <v>0.42799999999999999</v>
      </c>
      <c r="H538" s="1897">
        <v>0.44159999999999999</v>
      </c>
      <c r="I538" s="1897">
        <v>0.45440000000000003</v>
      </c>
      <c r="J538" s="1897">
        <v>0.46079999999999999</v>
      </c>
      <c r="K538" s="1897">
        <v>0.44319999999999998</v>
      </c>
      <c r="L538" s="1897">
        <v>0.45200000000000001</v>
      </c>
      <c r="M538" s="1897">
        <v>0.4304</v>
      </c>
      <c r="N538" s="1897">
        <v>0.38479999999999998</v>
      </c>
      <c r="O538" s="1897">
        <v>0.4536</v>
      </c>
      <c r="P538" s="1897">
        <v>0.4128</v>
      </c>
      <c r="Q538" s="1897">
        <v>0.40720000000000001</v>
      </c>
      <c r="R538" s="1897">
        <v>0.432</v>
      </c>
      <c r="S538" s="1898">
        <f t="shared" si="16"/>
        <v>0.43339999999999995</v>
      </c>
    </row>
    <row r="539" spans="1:19">
      <c r="A539" s="1894">
        <f t="shared" si="17"/>
        <v>532</v>
      </c>
      <c r="B539" s="1895" t="s">
        <v>3424</v>
      </c>
      <c r="C539" s="1894" t="s">
        <v>524</v>
      </c>
      <c r="D539" s="1895" t="s">
        <v>541</v>
      </c>
      <c r="E539" s="1894" t="s">
        <v>259</v>
      </c>
      <c r="F539" s="1896">
        <v>500</v>
      </c>
      <c r="G539" s="1897">
        <v>0.15359999999999999</v>
      </c>
      <c r="H539" s="1897">
        <v>0.16973999999999997</v>
      </c>
      <c r="I539" s="1897">
        <v>0.15678</v>
      </c>
      <c r="J539" s="1897">
        <v>0.10992</v>
      </c>
      <c r="K539" s="1897">
        <v>0.1368</v>
      </c>
      <c r="L539" s="1897">
        <v>0.12432</v>
      </c>
      <c r="M539" s="1897">
        <v>0.12432</v>
      </c>
      <c r="N539" s="1897">
        <v>0.17712</v>
      </c>
      <c r="O539" s="1897">
        <v>0.16272</v>
      </c>
      <c r="P539" s="1897">
        <v>0.15624000000000002</v>
      </c>
      <c r="Q539" s="1897">
        <v>0.18359999999999999</v>
      </c>
      <c r="R539" s="1897">
        <v>0.18647999999999998</v>
      </c>
      <c r="S539" s="1898">
        <f t="shared" si="16"/>
        <v>0.15347</v>
      </c>
    </row>
    <row r="540" spans="1:19">
      <c r="A540" s="1894">
        <f t="shared" si="17"/>
        <v>533</v>
      </c>
      <c r="B540" s="1895" t="s">
        <v>3425</v>
      </c>
      <c r="C540" s="1894" t="s">
        <v>524</v>
      </c>
      <c r="D540" s="1895" t="s">
        <v>541</v>
      </c>
      <c r="E540" s="1894" t="s">
        <v>259</v>
      </c>
      <c r="F540" s="1896">
        <v>500</v>
      </c>
      <c r="G540" s="1897">
        <v>0.76272000000000006</v>
      </c>
      <c r="H540" s="1897">
        <v>1.1927999999999999</v>
      </c>
      <c r="I540" s="1897">
        <v>0.74879999999999991</v>
      </c>
      <c r="J540" s="1897">
        <v>0.80400000000000005</v>
      </c>
      <c r="K540" s="1897">
        <v>0.95184000000000002</v>
      </c>
      <c r="L540" s="1897">
        <v>1.0190399999999999</v>
      </c>
      <c r="M540" s="1897">
        <v>0.88847999999999994</v>
      </c>
      <c r="N540" s="1897">
        <v>1.0127999999999999</v>
      </c>
      <c r="O540" s="1897">
        <v>0.9456</v>
      </c>
      <c r="P540" s="1897">
        <v>1.1102400000000001</v>
      </c>
      <c r="Q540" s="1897">
        <v>1.11696</v>
      </c>
      <c r="R540" s="1897">
        <v>1.15056</v>
      </c>
      <c r="S540" s="1898">
        <f t="shared" si="16"/>
        <v>0.9753200000000003</v>
      </c>
    </row>
    <row r="541" spans="1:19">
      <c r="A541" s="1894">
        <f t="shared" si="17"/>
        <v>534</v>
      </c>
      <c r="B541" s="1895" t="s">
        <v>3426</v>
      </c>
      <c r="C541" s="1894" t="s">
        <v>524</v>
      </c>
      <c r="D541" s="1895" t="s">
        <v>636</v>
      </c>
      <c r="E541" s="1894" t="s">
        <v>259</v>
      </c>
      <c r="F541" s="1896">
        <v>500</v>
      </c>
      <c r="G541" s="1897">
        <v>0.36191999999999996</v>
      </c>
      <c r="H541" s="1897">
        <v>0.33695999999999998</v>
      </c>
      <c r="I541" s="1897">
        <v>0.35568</v>
      </c>
      <c r="J541" s="1897">
        <v>0.37968000000000002</v>
      </c>
      <c r="K541" s="1897">
        <v>0.26112000000000002</v>
      </c>
      <c r="L541" s="1897">
        <v>0.36528000000000005</v>
      </c>
      <c r="M541" s="1897">
        <v>0.38592000000000004</v>
      </c>
      <c r="N541" s="1897">
        <v>0.32256000000000001</v>
      </c>
      <c r="O541" s="1897">
        <v>0.35184000000000004</v>
      </c>
      <c r="P541" s="1897">
        <v>0.36144000000000004</v>
      </c>
      <c r="Q541" s="1897">
        <v>0.44880000000000003</v>
      </c>
      <c r="R541" s="1897">
        <v>0.58944000000000007</v>
      </c>
      <c r="S541" s="1898">
        <f t="shared" si="16"/>
        <v>0.37672</v>
      </c>
    </row>
    <row r="542" spans="1:19">
      <c r="A542" s="1894">
        <f t="shared" si="17"/>
        <v>535</v>
      </c>
      <c r="B542" s="1895" t="s">
        <v>587</v>
      </c>
      <c r="C542" s="1894" t="s">
        <v>524</v>
      </c>
      <c r="D542" s="1895" t="s">
        <v>629</v>
      </c>
      <c r="E542" s="1894" t="s">
        <v>259</v>
      </c>
      <c r="F542" s="1896">
        <v>500</v>
      </c>
      <c r="G542" s="1897">
        <v>0.50080000000000002</v>
      </c>
      <c r="H542" s="1897">
        <v>0.36480000000000001</v>
      </c>
      <c r="I542" s="1897">
        <v>0.4224</v>
      </c>
      <c r="J542" s="1897">
        <v>0.29920000000000002</v>
      </c>
      <c r="K542" s="1897">
        <v>0.38879999999999998</v>
      </c>
      <c r="L542" s="1897">
        <v>0.71360000000000001</v>
      </c>
      <c r="M542" s="1897">
        <v>0.31040000000000001</v>
      </c>
      <c r="N542" s="1897">
        <v>0.33119999999999999</v>
      </c>
      <c r="O542" s="1897">
        <v>0.37919999999999998</v>
      </c>
      <c r="P542" s="1897">
        <v>0.36480000000000001</v>
      </c>
      <c r="Q542" s="1897">
        <v>0.36320000000000002</v>
      </c>
      <c r="R542" s="1897">
        <v>0.3296</v>
      </c>
      <c r="S542" s="1898">
        <f t="shared" si="16"/>
        <v>0.39733333333333337</v>
      </c>
    </row>
    <row r="543" spans="1:19">
      <c r="A543" s="1894">
        <f t="shared" si="17"/>
        <v>536</v>
      </c>
      <c r="B543" s="1895" t="s">
        <v>3427</v>
      </c>
      <c r="C543" s="1894" t="s">
        <v>524</v>
      </c>
      <c r="D543" s="1895" t="s">
        <v>541</v>
      </c>
      <c r="E543" s="1894" t="s">
        <v>259</v>
      </c>
      <c r="F543" s="1896">
        <v>506</v>
      </c>
      <c r="G543" s="1897">
        <v>0.99083003952569171</v>
      </c>
      <c r="H543" s="1897">
        <v>0.87557312252964414</v>
      </c>
      <c r="I543" s="1897">
        <v>0.94434782608695644</v>
      </c>
      <c r="J543" s="1897">
        <v>0.89881422924901189</v>
      </c>
      <c r="K543" s="1897">
        <v>0.93581027667984185</v>
      </c>
      <c r="L543" s="1897">
        <v>1.0060079051383399</v>
      </c>
      <c r="M543" s="1897">
        <v>1.0235573122529644</v>
      </c>
      <c r="N543" s="1897">
        <v>0.98608695652173906</v>
      </c>
      <c r="O543" s="1897">
        <v>0.98703557312252965</v>
      </c>
      <c r="P543" s="1897">
        <v>0.98418972332015808</v>
      </c>
      <c r="Q543" s="1897">
        <v>1.0102766798418972</v>
      </c>
      <c r="R543" s="1897">
        <v>0.94577075098814234</v>
      </c>
      <c r="S543" s="1898">
        <f t="shared" si="16"/>
        <v>0.9656916996047431</v>
      </c>
    </row>
    <row r="544" spans="1:19">
      <c r="A544" s="1894">
        <f t="shared" si="17"/>
        <v>537</v>
      </c>
      <c r="B544" s="1895" t="s">
        <v>3428</v>
      </c>
      <c r="C544" s="1894" t="s">
        <v>524</v>
      </c>
      <c r="D544" s="1895" t="s">
        <v>541</v>
      </c>
      <c r="E544" s="1894" t="s">
        <v>259</v>
      </c>
      <c r="F544" s="1896">
        <v>536</v>
      </c>
      <c r="G544" s="1897">
        <v>0.11641791044776119</v>
      </c>
      <c r="H544" s="1897">
        <v>0.10522388059701493</v>
      </c>
      <c r="I544" s="1897">
        <v>0.10970149253731344</v>
      </c>
      <c r="J544" s="1897">
        <v>0.11417910447761193</v>
      </c>
      <c r="K544" s="1897">
        <v>0.10746268656716418</v>
      </c>
      <c r="L544" s="1897">
        <v>0.10746268656716418</v>
      </c>
      <c r="M544" s="1897">
        <v>0.12313432835820895</v>
      </c>
      <c r="N544" s="1897">
        <v>0.12313432835820895</v>
      </c>
      <c r="O544" s="1897">
        <v>0.11194029850746269</v>
      </c>
      <c r="P544" s="1897">
        <v>0.12537313432835823</v>
      </c>
      <c r="Q544" s="1897">
        <v>0.11417910447761193</v>
      </c>
      <c r="R544" s="1897">
        <v>0.12134328358208954</v>
      </c>
      <c r="S544" s="1898">
        <f t="shared" si="16"/>
        <v>0.11496268656716417</v>
      </c>
    </row>
    <row r="545" spans="1:19">
      <c r="A545" s="1894">
        <f t="shared" si="17"/>
        <v>538</v>
      </c>
      <c r="B545" s="1895" t="s">
        <v>3429</v>
      </c>
      <c r="C545" s="1894" t="s">
        <v>524</v>
      </c>
      <c r="D545" s="1895" t="s">
        <v>730</v>
      </c>
      <c r="E545" s="1894" t="s">
        <v>259</v>
      </c>
      <c r="F545" s="1896">
        <v>554</v>
      </c>
      <c r="G545" s="1897">
        <v>0.45198555956678699</v>
      </c>
      <c r="H545" s="1897">
        <v>0.39855595667870031</v>
      </c>
      <c r="I545" s="1897">
        <v>0.4259927797833935</v>
      </c>
      <c r="J545" s="1897">
        <v>0.47003610108303256</v>
      </c>
      <c r="K545" s="1897">
        <v>0.39927797833935019</v>
      </c>
      <c r="L545" s="1897">
        <v>0.3971119133574007</v>
      </c>
      <c r="M545" s="1897">
        <v>0.38628158844765342</v>
      </c>
      <c r="N545" s="1897">
        <v>0.42527075812274368</v>
      </c>
      <c r="O545" s="1897">
        <v>0.40577617328519855</v>
      </c>
      <c r="P545" s="1897">
        <v>0.38411552346570393</v>
      </c>
      <c r="Q545" s="1897">
        <v>0.39422382671480144</v>
      </c>
      <c r="R545" s="1897">
        <v>0.40216606498194946</v>
      </c>
      <c r="S545" s="1898">
        <f t="shared" si="16"/>
        <v>0.41173285198555959</v>
      </c>
    </row>
    <row r="546" spans="1:19">
      <c r="A546" s="1894">
        <f t="shared" si="17"/>
        <v>539</v>
      </c>
      <c r="B546" s="1895" t="s">
        <v>3430</v>
      </c>
      <c r="C546" s="1894" t="s">
        <v>524</v>
      </c>
      <c r="D546" s="1895" t="s">
        <v>541</v>
      </c>
      <c r="E546" s="1894" t="s">
        <v>259</v>
      </c>
      <c r="F546" s="1896">
        <v>555</v>
      </c>
      <c r="G546" s="1897">
        <v>0.47221621621621629</v>
      </c>
      <c r="H546" s="1897">
        <v>0.18421621621621623</v>
      </c>
      <c r="I546" s="1897">
        <v>0.3476756756756757</v>
      </c>
      <c r="J546" s="1897">
        <v>0.34508108108108104</v>
      </c>
      <c r="K546" s="1897">
        <v>0.39308108108108109</v>
      </c>
      <c r="L546" s="1897">
        <v>0.55524324324324315</v>
      </c>
      <c r="M546" s="1897">
        <v>0.39048648648648648</v>
      </c>
      <c r="N546" s="1897">
        <v>0.35805405405405405</v>
      </c>
      <c r="O546" s="1897">
        <v>0.56951351351351354</v>
      </c>
      <c r="P546" s="1897">
        <v>0.44367567567567567</v>
      </c>
      <c r="Q546" s="1897">
        <v>0.53967567567567565</v>
      </c>
      <c r="R546" s="1897">
        <v>0.6032432432432433</v>
      </c>
      <c r="S546" s="1898">
        <f t="shared" si="16"/>
        <v>0.43351351351351347</v>
      </c>
    </row>
    <row r="547" spans="1:19">
      <c r="A547" s="1894">
        <f t="shared" si="17"/>
        <v>540</v>
      </c>
      <c r="B547" s="1895" t="s">
        <v>3431</v>
      </c>
      <c r="C547" s="1894" t="s">
        <v>524</v>
      </c>
      <c r="D547" s="1895" t="s">
        <v>541</v>
      </c>
      <c r="E547" s="1894" t="s">
        <v>259</v>
      </c>
      <c r="F547" s="1896">
        <v>555</v>
      </c>
      <c r="G547" s="1897">
        <v>0.50940540540540546</v>
      </c>
      <c r="H547" s="1897">
        <v>0.58378378378378382</v>
      </c>
      <c r="I547" s="1897">
        <v>0.42637837837837833</v>
      </c>
      <c r="J547" s="1897">
        <v>0.45318918918918921</v>
      </c>
      <c r="K547" s="1897">
        <v>0.11416216216216216</v>
      </c>
      <c r="L547" s="1897">
        <v>0.13232432432432431</v>
      </c>
      <c r="M547" s="1897">
        <v>0.31048648648648647</v>
      </c>
      <c r="N547" s="1897">
        <v>0.10291891891891893</v>
      </c>
      <c r="O547" s="1897">
        <v>0.58810810810810821</v>
      </c>
      <c r="P547" s="1897">
        <v>0.48605405405405405</v>
      </c>
      <c r="Q547" s="1897">
        <v>0.5111351351351352</v>
      </c>
      <c r="R547" s="1897">
        <v>0.28194594594594591</v>
      </c>
      <c r="S547" s="1898">
        <f t="shared" si="16"/>
        <v>0.37499099099099098</v>
      </c>
    </row>
    <row r="548" spans="1:19">
      <c r="A548" s="1894">
        <f t="shared" si="17"/>
        <v>541</v>
      </c>
      <c r="B548" s="1895" t="s">
        <v>3432</v>
      </c>
      <c r="C548" s="1894" t="s">
        <v>524</v>
      </c>
      <c r="D548" s="1895" t="s">
        <v>541</v>
      </c>
      <c r="E548" s="1894" t="s">
        <v>259</v>
      </c>
      <c r="F548" s="1896">
        <v>555</v>
      </c>
      <c r="G548" s="1897">
        <v>0</v>
      </c>
      <c r="H548" s="1897">
        <v>0</v>
      </c>
      <c r="I548" s="1897">
        <v>0</v>
      </c>
      <c r="J548" s="1897">
        <v>0</v>
      </c>
      <c r="K548" s="1897">
        <v>0</v>
      </c>
      <c r="L548" s="1897">
        <v>0</v>
      </c>
      <c r="M548" s="1897">
        <v>0</v>
      </c>
      <c r="N548" s="1897">
        <v>3.4594594594594599E-3</v>
      </c>
      <c r="O548" s="1897">
        <v>0.44108108108108107</v>
      </c>
      <c r="P548" s="1897">
        <v>0.48908108108108106</v>
      </c>
      <c r="Q548" s="1897">
        <v>0.49599999999999994</v>
      </c>
      <c r="R548" s="1897">
        <v>0.63567567567567562</v>
      </c>
      <c r="S548" s="1898">
        <f t="shared" si="16"/>
        <v>0.17210810810810809</v>
      </c>
    </row>
    <row r="549" spans="1:19">
      <c r="A549" s="1894">
        <f t="shared" si="17"/>
        <v>542</v>
      </c>
      <c r="B549" s="1895" t="s">
        <v>3433</v>
      </c>
      <c r="C549" s="1894" t="s">
        <v>524</v>
      </c>
      <c r="D549" s="1895" t="s">
        <v>541</v>
      </c>
      <c r="E549" s="1894" t="s">
        <v>259</v>
      </c>
      <c r="F549" s="1896">
        <v>555</v>
      </c>
      <c r="G549" s="1897">
        <v>0</v>
      </c>
      <c r="H549" s="1897">
        <v>0</v>
      </c>
      <c r="I549" s="1897">
        <v>0.73383783783783774</v>
      </c>
      <c r="J549" s="1897">
        <v>0.72821621621621613</v>
      </c>
      <c r="K549" s="1897">
        <v>0.72345945945945944</v>
      </c>
      <c r="L549" s="1897">
        <v>6.918918918918919E-2</v>
      </c>
      <c r="M549" s="1897">
        <v>0.499027027027027</v>
      </c>
      <c r="N549" s="1897">
        <v>0.56648648648648658</v>
      </c>
      <c r="O549" s="1897">
        <v>0.56345945945945941</v>
      </c>
      <c r="P549" s="1897">
        <v>0.56518918918918926</v>
      </c>
      <c r="Q549" s="1897">
        <v>0.54400000000000004</v>
      </c>
      <c r="R549" s="1897">
        <v>0.51718918918918921</v>
      </c>
      <c r="S549" s="1898">
        <f t="shared" si="16"/>
        <v>0.45917117117117118</v>
      </c>
    </row>
    <row r="550" spans="1:19">
      <c r="A550" s="1894">
        <f t="shared" si="17"/>
        <v>543</v>
      </c>
      <c r="B550" s="1895" t="s">
        <v>3434</v>
      </c>
      <c r="C550" s="1894" t="s">
        <v>524</v>
      </c>
      <c r="D550" s="1895" t="s">
        <v>629</v>
      </c>
      <c r="E550" s="1894" t="s">
        <v>259</v>
      </c>
      <c r="F550" s="1896">
        <v>555</v>
      </c>
      <c r="G550" s="1897">
        <v>0.22745945945945947</v>
      </c>
      <c r="H550" s="1897">
        <v>0.19113513513513516</v>
      </c>
      <c r="I550" s="1897">
        <v>0.20237837837837838</v>
      </c>
      <c r="J550" s="1897">
        <v>0.18162162162162165</v>
      </c>
      <c r="K550" s="1897">
        <v>0.17989189189189186</v>
      </c>
      <c r="L550" s="1897">
        <v>0.1842162162162162</v>
      </c>
      <c r="M550" s="1897">
        <v>0.14097297297297295</v>
      </c>
      <c r="N550" s="1897">
        <v>0.34594594594594597</v>
      </c>
      <c r="O550" s="1897">
        <v>0.13751351351351351</v>
      </c>
      <c r="P550" s="1897">
        <v>0.15221621621621623</v>
      </c>
      <c r="Q550" s="1897">
        <v>0.13837837837837838</v>
      </c>
      <c r="R550" s="1897">
        <v>0.12108108108108108</v>
      </c>
      <c r="S550" s="1898">
        <f t="shared" si="16"/>
        <v>0.18356756756756756</v>
      </c>
    </row>
    <row r="551" spans="1:19">
      <c r="A551" s="1894">
        <f t="shared" si="17"/>
        <v>544</v>
      </c>
      <c r="B551" s="1895" t="s">
        <v>3435</v>
      </c>
      <c r="C551" s="1894" t="s">
        <v>524</v>
      </c>
      <c r="D551" s="1895" t="s">
        <v>541</v>
      </c>
      <c r="E551" s="1894" t="s">
        <v>259</v>
      </c>
      <c r="F551" s="1896">
        <v>555</v>
      </c>
      <c r="G551" s="1897">
        <v>0.53275675675675682</v>
      </c>
      <c r="H551" s="1897">
        <v>0.52151351351351349</v>
      </c>
      <c r="I551" s="1897">
        <v>0.55870270270270272</v>
      </c>
      <c r="J551" s="1897">
        <v>0.48345945945945945</v>
      </c>
      <c r="K551" s="1897">
        <v>0.5932972972972973</v>
      </c>
      <c r="L551" s="1897">
        <v>1.643243243243243E-2</v>
      </c>
      <c r="M551" s="1897">
        <v>0.51372972972972974</v>
      </c>
      <c r="N551" s="1897">
        <v>0.51200000000000001</v>
      </c>
      <c r="O551" s="1897">
        <v>0.56389189189189182</v>
      </c>
      <c r="P551" s="1897">
        <v>0.62010810810810812</v>
      </c>
      <c r="Q551" s="1897">
        <v>0.60799999999999998</v>
      </c>
      <c r="R551" s="1897">
        <v>0.55956756756756743</v>
      </c>
      <c r="S551" s="1898">
        <f t="shared" si="16"/>
        <v>0.50695495495495491</v>
      </c>
    </row>
    <row r="552" spans="1:19">
      <c r="A552" s="1894">
        <f t="shared" si="17"/>
        <v>545</v>
      </c>
      <c r="B552" s="1895" t="s">
        <v>3436</v>
      </c>
      <c r="C552" s="1894" t="s">
        <v>524</v>
      </c>
      <c r="D552" s="1895" t="s">
        <v>623</v>
      </c>
      <c r="E552" s="1894" t="s">
        <v>259</v>
      </c>
      <c r="F552" s="1896">
        <v>555</v>
      </c>
      <c r="G552" s="1897">
        <v>1.0758918918918918</v>
      </c>
      <c r="H552" s="1897">
        <v>1.0188108108108109</v>
      </c>
      <c r="I552" s="1897">
        <v>1.1087567567567569</v>
      </c>
      <c r="J552" s="1897">
        <v>1.1433513513513514</v>
      </c>
      <c r="K552" s="1897">
        <v>1.1009729729729729</v>
      </c>
      <c r="L552" s="1897">
        <v>1.536</v>
      </c>
      <c r="M552" s="1897">
        <v>1.5178378378378379</v>
      </c>
      <c r="N552" s="1897">
        <v>1.3301621621621622</v>
      </c>
      <c r="O552" s="1897">
        <v>0.73945945945945957</v>
      </c>
      <c r="P552" s="1897">
        <v>0.90983783783783789</v>
      </c>
      <c r="Q552" s="1897">
        <v>1.0594594594594595</v>
      </c>
      <c r="R552" s="1897">
        <v>1.1485405405405407</v>
      </c>
      <c r="S552" s="1898">
        <f t="shared" si="16"/>
        <v>1.1407567567567567</v>
      </c>
    </row>
    <row r="553" spans="1:19">
      <c r="A553" s="1894">
        <f t="shared" si="17"/>
        <v>546</v>
      </c>
      <c r="B553" s="1895" t="s">
        <v>3437</v>
      </c>
      <c r="C553" s="1894" t="s">
        <v>524</v>
      </c>
      <c r="D553" s="1895" t="s">
        <v>541</v>
      </c>
      <c r="E553" s="1894" t="s">
        <v>259</v>
      </c>
      <c r="F553" s="1896">
        <v>555</v>
      </c>
      <c r="G553" s="1897">
        <v>0.54313513513513512</v>
      </c>
      <c r="H553" s="1897">
        <v>0.54313513513513512</v>
      </c>
      <c r="I553" s="1897">
        <v>0.65383783783783778</v>
      </c>
      <c r="J553" s="1897">
        <v>0.65729729729729736</v>
      </c>
      <c r="K553" s="1897">
        <v>0.5526486486486486</v>
      </c>
      <c r="L553" s="1897">
        <v>0.51459459459459456</v>
      </c>
      <c r="M553" s="1897">
        <v>0.4964324324324324</v>
      </c>
      <c r="N553" s="1897">
        <v>0.59416216216216211</v>
      </c>
      <c r="O553" s="1897">
        <v>0.40475675675675676</v>
      </c>
      <c r="P553" s="1897">
        <v>0.435027027027027</v>
      </c>
      <c r="Q553" s="1897">
        <v>0.33816216216216216</v>
      </c>
      <c r="R553" s="1897">
        <v>0.40043243243243243</v>
      </c>
      <c r="S553" s="1898">
        <f t="shared" si="16"/>
        <v>0.51113513513513509</v>
      </c>
    </row>
    <row r="554" spans="1:19">
      <c r="A554" s="1894">
        <f t="shared" si="17"/>
        <v>547</v>
      </c>
      <c r="B554" s="1895" t="s">
        <v>3438</v>
      </c>
      <c r="C554" s="1894" t="s">
        <v>524</v>
      </c>
      <c r="D554" s="1895" t="s">
        <v>541</v>
      </c>
      <c r="E554" s="1894" t="s">
        <v>259</v>
      </c>
      <c r="F554" s="1896">
        <v>555</v>
      </c>
      <c r="G554" s="1897">
        <v>0.72432432432432436</v>
      </c>
      <c r="H554" s="1897">
        <v>0.79135135135135137</v>
      </c>
      <c r="I554" s="1897">
        <v>0.8</v>
      </c>
      <c r="J554" s="1897">
        <v>0.80432432432432432</v>
      </c>
      <c r="K554" s="1897">
        <v>0.771891891891892</v>
      </c>
      <c r="L554" s="1897">
        <v>0.8</v>
      </c>
      <c r="M554" s="1897">
        <v>0.59675675675675677</v>
      </c>
      <c r="N554" s="1897">
        <v>0.40648648648648655</v>
      </c>
      <c r="O554" s="1897">
        <v>0.68972972972972968</v>
      </c>
      <c r="P554" s="1897">
        <v>0.78702702702702709</v>
      </c>
      <c r="Q554" s="1897">
        <v>0.75675675675675691</v>
      </c>
      <c r="R554" s="1897">
        <v>0.76324324324324322</v>
      </c>
      <c r="S554" s="1898">
        <f t="shared" si="16"/>
        <v>0.72432432432432436</v>
      </c>
    </row>
    <row r="555" spans="1:19">
      <c r="A555" s="1894">
        <f t="shared" si="17"/>
        <v>548</v>
      </c>
      <c r="B555" s="1895" t="s">
        <v>3439</v>
      </c>
      <c r="C555" s="1894" t="s">
        <v>524</v>
      </c>
      <c r="D555" s="1895" t="s">
        <v>541</v>
      </c>
      <c r="E555" s="1894" t="s">
        <v>259</v>
      </c>
      <c r="F555" s="1896">
        <v>555</v>
      </c>
      <c r="G555" s="1897">
        <v>0.49729729729729732</v>
      </c>
      <c r="H555" s="1897">
        <v>0.49729729729729732</v>
      </c>
      <c r="I555" s="1897">
        <v>0.42032432432432432</v>
      </c>
      <c r="J555" s="1897">
        <v>0.41254054054054057</v>
      </c>
      <c r="K555" s="1897">
        <v>0.30875675675675679</v>
      </c>
      <c r="L555" s="1897">
        <v>0.37362162162162166</v>
      </c>
      <c r="M555" s="1897">
        <v>0.38140540540540541</v>
      </c>
      <c r="N555" s="1897">
        <v>0.44540540540540541</v>
      </c>
      <c r="O555" s="1897">
        <v>0.64605405405405403</v>
      </c>
      <c r="P555" s="1897">
        <v>0.64345945945945937</v>
      </c>
      <c r="Q555" s="1897">
        <v>0.68670270270270273</v>
      </c>
      <c r="R555" s="1897">
        <v>0.63221621621621615</v>
      </c>
      <c r="S555" s="1898">
        <f t="shared" si="16"/>
        <v>0.49542342342342338</v>
      </c>
    </row>
    <row r="556" spans="1:19">
      <c r="A556" s="1894">
        <f t="shared" si="17"/>
        <v>549</v>
      </c>
      <c r="B556" s="1895" t="s">
        <v>727</v>
      </c>
      <c r="C556" s="1894" t="s">
        <v>524</v>
      </c>
      <c r="D556" s="1895" t="s">
        <v>595</v>
      </c>
      <c r="E556" s="1894" t="s">
        <v>259</v>
      </c>
      <c r="F556" s="1896">
        <v>555</v>
      </c>
      <c r="G556" s="1897">
        <v>16.367567567567569</v>
      </c>
      <c r="H556" s="1897">
        <v>14.503783783783785</v>
      </c>
      <c r="I556" s="1897">
        <v>6.5729729729729733</v>
      </c>
      <c r="J556" s="1897">
        <v>7.0054054054054058</v>
      </c>
      <c r="K556" s="1897">
        <v>0.77837837837837842</v>
      </c>
      <c r="L556" s="1897">
        <v>0.8</v>
      </c>
      <c r="M556" s="1897">
        <v>0.8</v>
      </c>
      <c r="N556" s="1897">
        <v>0.4756756756756757</v>
      </c>
      <c r="O556" s="1897">
        <v>0.56216216216216219</v>
      </c>
      <c r="P556" s="1897">
        <v>0.54054054054054057</v>
      </c>
      <c r="Q556" s="1897">
        <v>0.51891891891891895</v>
      </c>
      <c r="R556" s="1897">
        <v>0.54054054054054057</v>
      </c>
      <c r="S556" s="1898">
        <f t="shared" si="16"/>
        <v>4.1221621621621614</v>
      </c>
    </row>
    <row r="557" spans="1:19">
      <c r="A557" s="1894">
        <f t="shared" si="17"/>
        <v>550</v>
      </c>
      <c r="B557" s="1895" t="s">
        <v>3440</v>
      </c>
      <c r="C557" s="1894" t="s">
        <v>524</v>
      </c>
      <c r="D557" s="1895" t="s">
        <v>629</v>
      </c>
      <c r="E557" s="1894" t="s">
        <v>259</v>
      </c>
      <c r="F557" s="1896">
        <v>555</v>
      </c>
      <c r="G557" s="1897">
        <v>4.4540540540540539E-2</v>
      </c>
      <c r="H557" s="1897">
        <v>0.17405405405405405</v>
      </c>
      <c r="I557" s="1897">
        <v>0.19027027027027027</v>
      </c>
      <c r="J557" s="1897">
        <v>0.14054054054054055</v>
      </c>
      <c r="K557" s="1897">
        <v>0.14054054054054055</v>
      </c>
      <c r="L557" s="1897">
        <v>0.15135135135135136</v>
      </c>
      <c r="M557" s="1897">
        <v>0.1254054054054054</v>
      </c>
      <c r="N557" s="1897">
        <v>0.31351351351351353</v>
      </c>
      <c r="O557" s="1897">
        <v>0.11027027027027028</v>
      </c>
      <c r="P557" s="1897">
        <v>9.7297297297297303E-2</v>
      </c>
      <c r="Q557" s="1897">
        <v>9.9459459459459471E-2</v>
      </c>
      <c r="R557" s="1897">
        <v>0.10810810810810811</v>
      </c>
      <c r="S557" s="1898">
        <f t="shared" si="16"/>
        <v>0.1412792792792793</v>
      </c>
    </row>
    <row r="558" spans="1:19">
      <c r="A558" s="1894">
        <f t="shared" si="17"/>
        <v>551</v>
      </c>
      <c r="B558" s="1895" t="s">
        <v>3441</v>
      </c>
      <c r="C558" s="1894" t="s">
        <v>524</v>
      </c>
      <c r="D558" s="1895" t="s">
        <v>636</v>
      </c>
      <c r="E558" s="1894" t="s">
        <v>259</v>
      </c>
      <c r="F558" s="1896">
        <v>555</v>
      </c>
      <c r="G558" s="1897">
        <v>0.49124324324324331</v>
      </c>
      <c r="H558" s="1897">
        <v>0.46097297297297296</v>
      </c>
      <c r="I558" s="1897">
        <v>0.44108108108108107</v>
      </c>
      <c r="J558" s="1897">
        <v>0.33902702702702703</v>
      </c>
      <c r="K558" s="1897">
        <v>0.37189189189189187</v>
      </c>
      <c r="L558" s="1897">
        <v>0.42205405405405405</v>
      </c>
      <c r="M558" s="1897">
        <v>0.49037837837837844</v>
      </c>
      <c r="N558" s="1897">
        <v>0.38572972972972974</v>
      </c>
      <c r="O558" s="1897">
        <v>0.43070270270270267</v>
      </c>
      <c r="P558" s="1897">
        <v>0.42205405405405405</v>
      </c>
      <c r="Q558" s="1897">
        <v>0.51200000000000001</v>
      </c>
      <c r="R558" s="1897">
        <v>0.44972972972972974</v>
      </c>
      <c r="S558" s="1898">
        <f t="shared" si="16"/>
        <v>0.43473873873873886</v>
      </c>
    </row>
    <row r="559" spans="1:19">
      <c r="A559" s="1894">
        <f t="shared" si="17"/>
        <v>552</v>
      </c>
      <c r="B559" s="1895" t="s">
        <v>3442</v>
      </c>
      <c r="C559" s="1894" t="s">
        <v>524</v>
      </c>
      <c r="D559" s="1895" t="s">
        <v>541</v>
      </c>
      <c r="E559" s="1894" t="s">
        <v>259</v>
      </c>
      <c r="F559" s="1896">
        <v>555</v>
      </c>
      <c r="G559" s="1897">
        <v>0.57081081081081086</v>
      </c>
      <c r="H559" s="1897">
        <v>0.51805405405405403</v>
      </c>
      <c r="I559" s="1897">
        <v>0.5677837837837838</v>
      </c>
      <c r="J559" s="1897">
        <v>0.52108108108108109</v>
      </c>
      <c r="K559" s="1897">
        <v>0.56864864864864872</v>
      </c>
      <c r="L559" s="1897">
        <v>0.43372972972972973</v>
      </c>
      <c r="M559" s="1897">
        <v>0.54875675675675684</v>
      </c>
      <c r="N559" s="1897">
        <v>0.55654054054054058</v>
      </c>
      <c r="O559" s="1897">
        <v>0.50291891891891893</v>
      </c>
      <c r="P559" s="1897">
        <v>0.48735135135135127</v>
      </c>
      <c r="Q559" s="1897">
        <v>0.49945945945945946</v>
      </c>
      <c r="R559" s="1897">
        <v>0.50162162162162172</v>
      </c>
      <c r="S559" s="1898">
        <f t="shared" si="16"/>
        <v>0.52306306306306305</v>
      </c>
    </row>
    <row r="560" spans="1:19">
      <c r="A560" s="1894">
        <f t="shared" si="17"/>
        <v>553</v>
      </c>
      <c r="B560" s="1895" t="s">
        <v>3443</v>
      </c>
      <c r="C560" s="1894" t="s">
        <v>524</v>
      </c>
      <c r="D560" s="1895" t="s">
        <v>541</v>
      </c>
      <c r="E560" s="1894" t="s">
        <v>259</v>
      </c>
      <c r="F560" s="1896">
        <v>555</v>
      </c>
      <c r="G560" s="1897">
        <v>0.34162162162162163</v>
      </c>
      <c r="H560" s="1897">
        <v>0.36064864864864865</v>
      </c>
      <c r="I560" s="1897">
        <v>0.37881081081081075</v>
      </c>
      <c r="J560" s="1897">
        <v>0.36151351351351346</v>
      </c>
      <c r="K560" s="1897">
        <v>0.40540540540540543</v>
      </c>
      <c r="L560" s="1897">
        <v>0.37491891891891888</v>
      </c>
      <c r="M560" s="1897">
        <v>0.4041081081081081</v>
      </c>
      <c r="N560" s="1897">
        <v>0.39178378378378376</v>
      </c>
      <c r="O560" s="1897">
        <v>0.35286486486486485</v>
      </c>
      <c r="P560" s="1897">
        <v>1.4918918918918918E-2</v>
      </c>
      <c r="Q560" s="1897">
        <v>0.18810810810810813</v>
      </c>
      <c r="R560" s="1897">
        <v>0.36194594594594592</v>
      </c>
      <c r="S560" s="1898">
        <f t="shared" si="16"/>
        <v>0.32805405405405408</v>
      </c>
    </row>
    <row r="561" spans="1:19">
      <c r="A561" s="1894">
        <f t="shared" si="17"/>
        <v>554</v>
      </c>
      <c r="B561" s="1895" t="s">
        <v>3444</v>
      </c>
      <c r="C561" s="1894" t="s">
        <v>524</v>
      </c>
      <c r="D561" s="1895" t="s">
        <v>541</v>
      </c>
      <c r="E561" s="1894" t="s">
        <v>259</v>
      </c>
      <c r="F561" s="1896">
        <v>555</v>
      </c>
      <c r="G561" s="1897">
        <v>0.31827027027027027</v>
      </c>
      <c r="H561" s="1897">
        <v>0.28713513513513517</v>
      </c>
      <c r="I561" s="1897">
        <v>0.37145945945945946</v>
      </c>
      <c r="J561" s="1897">
        <v>0.27805405405405403</v>
      </c>
      <c r="K561" s="1897">
        <v>0.22097297297297297</v>
      </c>
      <c r="L561" s="1897">
        <v>2.1621621621621623E-2</v>
      </c>
      <c r="M561" s="1897">
        <v>0.13318918918918921</v>
      </c>
      <c r="N561" s="1897">
        <v>2.2054054054054053E-2</v>
      </c>
      <c r="O561" s="1897">
        <v>0.35632432432432432</v>
      </c>
      <c r="P561" s="1897">
        <v>0.39870270270270269</v>
      </c>
      <c r="Q561" s="1897">
        <v>0.435027027027027</v>
      </c>
      <c r="R561" s="1897">
        <v>0.2175135135135135</v>
      </c>
      <c r="S561" s="1898">
        <f t="shared" si="16"/>
        <v>0.25502702702702701</v>
      </c>
    </row>
    <row r="562" spans="1:19">
      <c r="A562" s="1894">
        <f t="shared" si="17"/>
        <v>555</v>
      </c>
      <c r="B562" s="1895" t="s">
        <v>3445</v>
      </c>
      <c r="C562" s="1894" t="s">
        <v>524</v>
      </c>
      <c r="D562" s="1895" t="s">
        <v>629</v>
      </c>
      <c r="E562" s="1894" t="s">
        <v>259</v>
      </c>
      <c r="F562" s="1896">
        <v>555.55999999999995</v>
      </c>
      <c r="G562" s="1897">
        <v>0.58276333789329693</v>
      </c>
      <c r="H562" s="1897">
        <v>0.58621931024551799</v>
      </c>
      <c r="I562" s="1897">
        <v>0.60177118583051337</v>
      </c>
      <c r="J562" s="1897">
        <v>0.57844337245302035</v>
      </c>
      <c r="K562" s="1897">
        <v>0.63892288861689117</v>
      </c>
      <c r="L562" s="1897">
        <v>0.64799481604147169</v>
      </c>
      <c r="M562" s="1897">
        <v>0.58751529987760109</v>
      </c>
      <c r="N562" s="1897">
        <v>0.60306717546259636</v>
      </c>
      <c r="O562" s="1897">
        <v>0.67045863633090941</v>
      </c>
      <c r="P562" s="1897">
        <v>0.67348261213910299</v>
      </c>
      <c r="Q562" s="1897">
        <v>0.57153142774857801</v>
      </c>
      <c r="R562" s="1897">
        <v>0.5745554035567717</v>
      </c>
      <c r="S562" s="1898">
        <f t="shared" si="16"/>
        <v>0.60972712218302261</v>
      </c>
    </row>
    <row r="563" spans="1:19">
      <c r="A563" s="1894">
        <f t="shared" si="17"/>
        <v>556</v>
      </c>
      <c r="B563" s="1895" t="s">
        <v>3446</v>
      </c>
      <c r="C563" s="1894" t="s">
        <v>524</v>
      </c>
      <c r="D563" s="1895" t="s">
        <v>541</v>
      </c>
      <c r="E563" s="1894" t="s">
        <v>259</v>
      </c>
      <c r="F563" s="1896">
        <v>556</v>
      </c>
      <c r="G563" s="1897">
        <v>0</v>
      </c>
      <c r="H563" s="1897">
        <v>0</v>
      </c>
      <c r="I563" s="1897">
        <v>0</v>
      </c>
      <c r="J563" s="1897">
        <v>0</v>
      </c>
      <c r="K563" s="1897">
        <v>0</v>
      </c>
      <c r="L563" s="1897">
        <v>0</v>
      </c>
      <c r="M563" s="1897">
        <v>0.51798561151079137</v>
      </c>
      <c r="N563" s="1897">
        <v>0.84748201438848914</v>
      </c>
      <c r="O563" s="1897">
        <v>0.82877697841726616</v>
      </c>
      <c r="P563" s="1897">
        <v>0.84892086330935257</v>
      </c>
      <c r="Q563" s="1897">
        <v>0.84100719424460435</v>
      </c>
      <c r="R563" s="1897">
        <v>0.83669064748201438</v>
      </c>
      <c r="S563" s="1898">
        <f t="shared" si="16"/>
        <v>0.39340527577937651</v>
      </c>
    </row>
    <row r="564" spans="1:19">
      <c r="A564" s="1894">
        <f t="shared" si="17"/>
        <v>557</v>
      </c>
      <c r="B564" s="1895" t="s">
        <v>3447</v>
      </c>
      <c r="C564" s="1894" t="s">
        <v>524</v>
      </c>
      <c r="D564" s="1895" t="s">
        <v>2966</v>
      </c>
      <c r="E564" s="1894" t="s">
        <v>259</v>
      </c>
      <c r="F564" s="1896">
        <v>556</v>
      </c>
      <c r="G564" s="1897">
        <v>0.32546762589928052</v>
      </c>
      <c r="H564" s="1897">
        <v>0.30215827338129503</v>
      </c>
      <c r="I564" s="1897">
        <v>0.21928057553956834</v>
      </c>
      <c r="J564" s="1897">
        <v>0.12345323741007194</v>
      </c>
      <c r="K564" s="1897">
        <v>0.10014388489208632</v>
      </c>
      <c r="L564" s="1897">
        <v>0.19597122302158274</v>
      </c>
      <c r="M564" s="1897">
        <v>0.15971223021582734</v>
      </c>
      <c r="N564" s="1897">
        <v>0.1553956834532374</v>
      </c>
      <c r="O564" s="1897">
        <v>5.5251798561151082E-2</v>
      </c>
      <c r="P564" s="1897">
        <v>6.0431654676258995E-3</v>
      </c>
      <c r="Q564" s="1897">
        <v>8.4604316546762592E-2</v>
      </c>
      <c r="R564" s="1897">
        <v>0.19942446043165465</v>
      </c>
      <c r="S564" s="1898">
        <f t="shared" si="16"/>
        <v>0.16057553956834533</v>
      </c>
    </row>
    <row r="565" spans="1:19">
      <c r="A565" s="1894">
        <f t="shared" si="17"/>
        <v>558</v>
      </c>
      <c r="B565" s="1895" t="s">
        <v>3448</v>
      </c>
      <c r="C565" s="1894" t="s">
        <v>524</v>
      </c>
      <c r="D565" s="1895" t="s">
        <v>541</v>
      </c>
      <c r="E565" s="1894" t="s">
        <v>259</v>
      </c>
      <c r="F565" s="1896">
        <v>556</v>
      </c>
      <c r="G565" s="1897">
        <v>5.4388489208633095E-2</v>
      </c>
      <c r="H565" s="1897">
        <v>0.179568345323741</v>
      </c>
      <c r="I565" s="1897">
        <v>0.41007194244604317</v>
      </c>
      <c r="J565" s="1897">
        <v>0.41697841726618706</v>
      </c>
      <c r="K565" s="1897">
        <v>0.53784172661870511</v>
      </c>
      <c r="L565" s="1897">
        <v>0.41870503597122305</v>
      </c>
      <c r="M565" s="1897">
        <v>0.3755395683453237</v>
      </c>
      <c r="N565" s="1897">
        <v>0.44028776978417261</v>
      </c>
      <c r="O565" s="1897">
        <v>0.45064748201438848</v>
      </c>
      <c r="P565" s="1897">
        <v>0.43769784172661874</v>
      </c>
      <c r="Q565" s="1897">
        <v>0.42647482014388488</v>
      </c>
      <c r="R565" s="1897">
        <v>0.40920863309352512</v>
      </c>
      <c r="S565" s="1898">
        <f t="shared" si="16"/>
        <v>0.37978417266187042</v>
      </c>
    </row>
    <row r="566" spans="1:19">
      <c r="A566" s="1894">
        <f t="shared" si="17"/>
        <v>559</v>
      </c>
      <c r="B566" s="1895" t="s">
        <v>3449</v>
      </c>
      <c r="C566" s="1894" t="s">
        <v>524</v>
      </c>
      <c r="D566" s="1895" t="s">
        <v>541</v>
      </c>
      <c r="E566" s="1894" t="s">
        <v>259</v>
      </c>
      <c r="F566" s="1896">
        <v>556</v>
      </c>
      <c r="G566" s="1897">
        <v>0.6457553956834533</v>
      </c>
      <c r="H566" s="1897">
        <v>0.76834532374100717</v>
      </c>
      <c r="I566" s="1897">
        <v>0.5555395683453237</v>
      </c>
      <c r="J566" s="1897">
        <v>3.4532374100719423E-2</v>
      </c>
      <c r="K566" s="1897">
        <v>0.42733812949640293</v>
      </c>
      <c r="L566" s="1897">
        <v>5.4388489208633095E-2</v>
      </c>
      <c r="M566" s="1897">
        <v>0.21194244604316545</v>
      </c>
      <c r="N566" s="1897">
        <v>4.8345323741007196E-2</v>
      </c>
      <c r="O566" s="1897">
        <v>0.63021582733812942</v>
      </c>
      <c r="P566" s="1897">
        <v>0.64100719424460428</v>
      </c>
      <c r="Q566" s="1897">
        <v>0.61553956834532375</v>
      </c>
      <c r="R566" s="1897">
        <v>0.65697841726618711</v>
      </c>
      <c r="S566" s="1898">
        <f t="shared" si="16"/>
        <v>0.44082733812949643</v>
      </c>
    </row>
    <row r="567" spans="1:19">
      <c r="A567" s="1894">
        <f t="shared" si="17"/>
        <v>560</v>
      </c>
      <c r="B567" s="1895" t="s">
        <v>3450</v>
      </c>
      <c r="C567" s="1894" t="s">
        <v>524</v>
      </c>
      <c r="D567" s="1895" t="s">
        <v>541</v>
      </c>
      <c r="E567" s="1894" t="s">
        <v>259</v>
      </c>
      <c r="F567" s="1896">
        <v>556</v>
      </c>
      <c r="G567" s="1897">
        <v>0.84129496402877701</v>
      </c>
      <c r="H567" s="1897">
        <v>0.85640287769784162</v>
      </c>
      <c r="I567" s="1897">
        <v>0.82359712230215831</v>
      </c>
      <c r="J567" s="1897">
        <v>0.83913669064748198</v>
      </c>
      <c r="K567" s="1897">
        <v>0.8115107913669064</v>
      </c>
      <c r="L567" s="1897">
        <v>0.82877697841726616</v>
      </c>
      <c r="M567" s="1897">
        <v>0.68762589928057549</v>
      </c>
      <c r="N567" s="1897">
        <v>0.24992805755395686</v>
      </c>
      <c r="O567" s="1897">
        <v>0.2274820143884892</v>
      </c>
      <c r="P567" s="1897">
        <v>0.63064748201438858</v>
      </c>
      <c r="Q567" s="1897">
        <v>0.71784172661870504</v>
      </c>
      <c r="R567" s="1897">
        <v>0.76575539568345319</v>
      </c>
      <c r="S567" s="1898">
        <f t="shared" si="16"/>
        <v>0.69</v>
      </c>
    </row>
    <row r="568" spans="1:19">
      <c r="A568" s="1894">
        <f t="shared" si="17"/>
        <v>561</v>
      </c>
      <c r="B568" s="1895" t="s">
        <v>3451</v>
      </c>
      <c r="C568" s="1894" t="s">
        <v>524</v>
      </c>
      <c r="D568" s="1895" t="s">
        <v>636</v>
      </c>
      <c r="E568" s="1894" t="s">
        <v>259</v>
      </c>
      <c r="F568" s="1896">
        <v>556</v>
      </c>
      <c r="G568" s="1897">
        <v>0</v>
      </c>
      <c r="H568" s="1897">
        <v>0</v>
      </c>
      <c r="I568" s="1897">
        <v>0.19856115107913669</v>
      </c>
      <c r="J568" s="1897">
        <v>2.5899280575539568E-2</v>
      </c>
      <c r="K568" s="1897">
        <v>3.1942446043165471E-2</v>
      </c>
      <c r="L568" s="1897">
        <v>2.5467625899280574E-2</v>
      </c>
      <c r="M568" s="1897">
        <v>3.4964028776978413E-2</v>
      </c>
      <c r="N568" s="1897">
        <v>3.6258992805755397E-2</v>
      </c>
      <c r="O568" s="1897">
        <v>3.7553956834532373E-2</v>
      </c>
      <c r="P568" s="1897">
        <v>3.237410071942446E-2</v>
      </c>
      <c r="Q568" s="1897">
        <v>2.97841726618705E-2</v>
      </c>
      <c r="R568" s="1897">
        <v>3.0215827338129497E-2</v>
      </c>
      <c r="S568" s="1898">
        <f t="shared" si="16"/>
        <v>4.0251798561151082E-2</v>
      </c>
    </row>
    <row r="569" spans="1:19">
      <c r="A569" s="1894">
        <f t="shared" si="17"/>
        <v>562</v>
      </c>
      <c r="B569" s="1895" t="s">
        <v>3452</v>
      </c>
      <c r="C569" s="1894" t="s">
        <v>2930</v>
      </c>
      <c r="D569" s="1895" t="s">
        <v>541</v>
      </c>
      <c r="E569" s="1894" t="s">
        <v>259</v>
      </c>
      <c r="F569" s="1896">
        <v>556</v>
      </c>
      <c r="G569" s="1897">
        <v>0</v>
      </c>
      <c r="H569" s="1897">
        <v>0</v>
      </c>
      <c r="I569" s="1897">
        <v>0</v>
      </c>
      <c r="J569" s="1897">
        <v>0</v>
      </c>
      <c r="K569" s="1897">
        <v>0</v>
      </c>
      <c r="L569" s="1897">
        <v>0</v>
      </c>
      <c r="M569" s="1897">
        <v>0</v>
      </c>
      <c r="N569" s="1897">
        <v>0</v>
      </c>
      <c r="O569" s="1897">
        <v>0</v>
      </c>
      <c r="P569" s="1897">
        <v>0</v>
      </c>
      <c r="Q569" s="1897">
        <v>0</v>
      </c>
      <c r="R569" s="1897">
        <v>0</v>
      </c>
      <c r="S569" s="1898">
        <f t="shared" si="16"/>
        <v>0</v>
      </c>
    </row>
    <row r="570" spans="1:19">
      <c r="A570" s="1894">
        <f t="shared" si="17"/>
        <v>563</v>
      </c>
      <c r="B570" s="1895" t="s">
        <v>3453</v>
      </c>
      <c r="C570" s="1894" t="s">
        <v>524</v>
      </c>
      <c r="D570" s="1895" t="s">
        <v>636</v>
      </c>
      <c r="E570" s="1894" t="s">
        <v>259</v>
      </c>
      <c r="F570" s="1896">
        <v>560</v>
      </c>
      <c r="G570" s="1897">
        <v>0</v>
      </c>
      <c r="H570" s="1897">
        <v>0</v>
      </c>
      <c r="I570" s="1897">
        <v>0</v>
      </c>
      <c r="J570" s="1897">
        <v>0</v>
      </c>
      <c r="K570" s="1897">
        <v>0</v>
      </c>
      <c r="L570" s="1897">
        <v>0</v>
      </c>
      <c r="M570" s="1897">
        <v>0</v>
      </c>
      <c r="N570" s="1897">
        <v>0</v>
      </c>
      <c r="O570" s="1897">
        <v>0</v>
      </c>
      <c r="P570" s="1897">
        <v>6.8571428571428577E-3</v>
      </c>
      <c r="Q570" s="1897">
        <v>2.057142857142857E-2</v>
      </c>
      <c r="R570" s="1897">
        <v>1.8857142857142857E-2</v>
      </c>
      <c r="S570" s="1898">
        <f t="shared" si="16"/>
        <v>3.8571428571428572E-3</v>
      </c>
    </row>
    <row r="571" spans="1:19">
      <c r="A571" s="1894">
        <f t="shared" si="17"/>
        <v>564</v>
      </c>
      <c r="B571" s="1895" t="s">
        <v>3454</v>
      </c>
      <c r="C571" s="1894" t="s">
        <v>524</v>
      </c>
      <c r="D571" s="1895" t="s">
        <v>541</v>
      </c>
      <c r="E571" s="1894" t="s">
        <v>259</v>
      </c>
      <c r="F571" s="1896">
        <v>560</v>
      </c>
      <c r="G571" s="1897">
        <v>0.55114285714285716</v>
      </c>
      <c r="H571" s="1897">
        <v>0.68399999999999994</v>
      </c>
      <c r="I571" s="1897">
        <v>0.62871428571428567</v>
      </c>
      <c r="J571" s="1897">
        <v>0.52714285714285714</v>
      </c>
      <c r="K571" s="1897">
        <v>0.43714285714285711</v>
      </c>
      <c r="L571" s="1897">
        <v>0.51900000000000002</v>
      </c>
      <c r="M571" s="1897">
        <v>0.51085714285714279</v>
      </c>
      <c r="N571" s="1897">
        <v>0.13028571428571428</v>
      </c>
      <c r="O571" s="1897">
        <v>1.7142857142857144E-2</v>
      </c>
      <c r="P571" s="1897">
        <v>0.34500000000000003</v>
      </c>
      <c r="Q571" s="1897">
        <v>0.35014285714285709</v>
      </c>
      <c r="R571" s="1897">
        <v>0.35142857142857142</v>
      </c>
      <c r="S571" s="1898">
        <f t="shared" si="16"/>
        <v>0.42099999999999999</v>
      </c>
    </row>
    <row r="572" spans="1:19">
      <c r="A572" s="1894">
        <f t="shared" si="17"/>
        <v>565</v>
      </c>
      <c r="B572" s="1895" t="s">
        <v>3455</v>
      </c>
      <c r="C572" s="1894" t="s">
        <v>524</v>
      </c>
      <c r="D572" s="1895" t="s">
        <v>623</v>
      </c>
      <c r="E572" s="1894" t="s">
        <v>259</v>
      </c>
      <c r="F572" s="1896">
        <v>560</v>
      </c>
      <c r="G572" s="1897">
        <v>0.63642857142857145</v>
      </c>
      <c r="H572" s="1897">
        <v>0.48728571428571427</v>
      </c>
      <c r="I572" s="1897">
        <v>0.42814285714285716</v>
      </c>
      <c r="J572" s="1897">
        <v>0.38442857142857145</v>
      </c>
      <c r="K572" s="1897">
        <v>0.29314285714285715</v>
      </c>
      <c r="L572" s="1897">
        <v>0.43071428571428577</v>
      </c>
      <c r="M572" s="1897">
        <v>0.45900000000000002</v>
      </c>
      <c r="N572" s="1897">
        <v>0.52328571428571435</v>
      </c>
      <c r="O572" s="1897">
        <v>0.47957142857142859</v>
      </c>
      <c r="P572" s="1897">
        <v>0.42814285714285716</v>
      </c>
      <c r="Q572" s="1897">
        <v>0.48085714285714293</v>
      </c>
      <c r="R572" s="1897">
        <v>0.54385714285714282</v>
      </c>
      <c r="S572" s="1898">
        <f t="shared" si="16"/>
        <v>0.46457142857142869</v>
      </c>
    </row>
    <row r="573" spans="1:19">
      <c r="A573" s="1894">
        <f t="shared" si="17"/>
        <v>566</v>
      </c>
      <c r="B573" s="1895" t="s">
        <v>3456</v>
      </c>
      <c r="C573" s="1894" t="s">
        <v>524</v>
      </c>
      <c r="D573" s="1895" t="s">
        <v>636</v>
      </c>
      <c r="E573" s="1894" t="s">
        <v>259</v>
      </c>
      <c r="F573" s="1896">
        <v>560</v>
      </c>
      <c r="G573" s="1897">
        <v>0.81107142857142867</v>
      </c>
      <c r="H573" s="1897">
        <v>0.84107142857142858</v>
      </c>
      <c r="I573" s="1897">
        <v>0.80785714285714283</v>
      </c>
      <c r="J573" s="1897">
        <v>0.78214285714285714</v>
      </c>
      <c r="K573" s="1897">
        <v>3.7499999999999999E-2</v>
      </c>
      <c r="L573" s="1897">
        <v>0.67285714285714282</v>
      </c>
      <c r="M573" s="1897">
        <v>0.68571428571428572</v>
      </c>
      <c r="N573" s="1897">
        <v>0.69535714285714278</v>
      </c>
      <c r="O573" s="1897">
        <v>0.74785714285714289</v>
      </c>
      <c r="P573" s="1897">
        <v>0.81</v>
      </c>
      <c r="Q573" s="1897">
        <v>0.8303571428571429</v>
      </c>
      <c r="R573" s="1897">
        <v>0.83357142857142852</v>
      </c>
      <c r="S573" s="1898">
        <f t="shared" si="16"/>
        <v>0.71294642857142865</v>
      </c>
    </row>
    <row r="574" spans="1:19">
      <c r="A574" s="1894">
        <f t="shared" si="17"/>
        <v>567</v>
      </c>
      <c r="B574" s="1895" t="s">
        <v>3457</v>
      </c>
      <c r="C574" s="1894" t="s">
        <v>524</v>
      </c>
      <c r="D574" s="1895" t="s">
        <v>541</v>
      </c>
      <c r="E574" s="1894" t="s">
        <v>259</v>
      </c>
      <c r="F574" s="1896">
        <v>560</v>
      </c>
      <c r="G574" s="1897">
        <v>1.0568571428571429</v>
      </c>
      <c r="H574" s="1897">
        <v>0.67885714285714294</v>
      </c>
      <c r="I574" s="1897">
        <v>0.59828571428571431</v>
      </c>
      <c r="J574" s="1897">
        <v>0.57428571428571429</v>
      </c>
      <c r="K574" s="1897">
        <v>0.62571428571428567</v>
      </c>
      <c r="L574" s="1897">
        <v>0.97971428571428565</v>
      </c>
      <c r="M574" s="1897">
        <v>0.71485714285714286</v>
      </c>
      <c r="N574" s="1897">
        <v>0.87000000000000011</v>
      </c>
      <c r="O574" s="1897">
        <v>1.2188571428571429</v>
      </c>
      <c r="P574" s="1897">
        <v>0.6497142857142858</v>
      </c>
      <c r="Q574" s="1897">
        <v>0.66</v>
      </c>
      <c r="R574" s="1897">
        <v>0.91542857142857137</v>
      </c>
      <c r="S574" s="1898">
        <f t="shared" si="16"/>
        <v>0.79521428571428554</v>
      </c>
    </row>
    <row r="575" spans="1:19">
      <c r="A575" s="1894">
        <f t="shared" si="17"/>
        <v>568</v>
      </c>
      <c r="B575" s="1895" t="s">
        <v>3458</v>
      </c>
      <c r="C575" s="1894" t="s">
        <v>524</v>
      </c>
      <c r="D575" s="1895" t="s">
        <v>541</v>
      </c>
      <c r="E575" s="1894" t="s">
        <v>259</v>
      </c>
      <c r="F575" s="1896">
        <v>561</v>
      </c>
      <c r="G575" s="1897">
        <v>0.54331550802139039</v>
      </c>
      <c r="H575" s="1897">
        <v>0.5133689839572193</v>
      </c>
      <c r="I575" s="1897">
        <v>0.50652406417112306</v>
      </c>
      <c r="J575" s="1897">
        <v>0.50053475935828884</v>
      </c>
      <c r="K575" s="1897">
        <v>0.46288770053475936</v>
      </c>
      <c r="L575" s="1897">
        <v>0.44235294117647062</v>
      </c>
      <c r="M575" s="1897">
        <v>0.36791443850267375</v>
      </c>
      <c r="N575" s="1897">
        <v>3.9358288770053471E-2</v>
      </c>
      <c r="O575" s="1897">
        <v>0.38417112299465245</v>
      </c>
      <c r="P575" s="1897">
        <v>0.44919786096256686</v>
      </c>
      <c r="Q575" s="1897">
        <v>0.45347593582887702</v>
      </c>
      <c r="R575" s="1897">
        <v>0.50481283422459888</v>
      </c>
      <c r="S575" s="1898">
        <f t="shared" si="16"/>
        <v>0.43065953654188949</v>
      </c>
    </row>
    <row r="576" spans="1:19">
      <c r="A576" s="1894">
        <f t="shared" si="17"/>
        <v>569</v>
      </c>
      <c r="B576" s="1895" t="s">
        <v>3459</v>
      </c>
      <c r="C576" s="1894" t="s">
        <v>524</v>
      </c>
      <c r="D576" s="1895" t="s">
        <v>541</v>
      </c>
      <c r="E576" s="1894" t="s">
        <v>259</v>
      </c>
      <c r="F576" s="1896">
        <v>562</v>
      </c>
      <c r="G576" s="1897">
        <v>0.48768683274021352</v>
      </c>
      <c r="H576" s="1897">
        <v>0.63715302491103198</v>
      </c>
      <c r="I576" s="1897">
        <v>0.50476868327402136</v>
      </c>
      <c r="J576" s="1897">
        <v>0.57480427046263349</v>
      </c>
      <c r="K576" s="1897">
        <v>0.59786476868327409</v>
      </c>
      <c r="L576" s="1897">
        <v>0.61409252669039149</v>
      </c>
      <c r="M576" s="1897">
        <v>0.54661921708185046</v>
      </c>
      <c r="N576" s="1897">
        <v>0.57053380782918151</v>
      </c>
      <c r="O576" s="1897">
        <v>6.1494661921708188E-2</v>
      </c>
      <c r="P576" s="1897">
        <v>0.52355871886120997</v>
      </c>
      <c r="Q576" s="1897">
        <v>0.64569395017793596</v>
      </c>
      <c r="R576" s="1897">
        <v>0.59017793594306045</v>
      </c>
      <c r="S576" s="1898">
        <f t="shared" si="16"/>
        <v>0.52953736654804273</v>
      </c>
    </row>
    <row r="577" spans="1:19">
      <c r="A577" s="1894">
        <f t="shared" si="17"/>
        <v>570</v>
      </c>
      <c r="B577" s="1895" t="s">
        <v>3460</v>
      </c>
      <c r="C577" s="1894" t="s">
        <v>524</v>
      </c>
      <c r="D577" s="1895" t="s">
        <v>636</v>
      </c>
      <c r="E577" s="1894" t="s">
        <v>259</v>
      </c>
      <c r="F577" s="1896">
        <v>562</v>
      </c>
      <c r="G577" s="1897">
        <v>0</v>
      </c>
      <c r="H577" s="1897">
        <v>0</v>
      </c>
      <c r="I577" s="1897">
        <v>0</v>
      </c>
      <c r="J577" s="1897">
        <v>0</v>
      </c>
      <c r="K577" s="1897">
        <v>0</v>
      </c>
      <c r="L577" s="1897">
        <v>0</v>
      </c>
      <c r="M577" s="1897">
        <v>0</v>
      </c>
      <c r="N577" s="1897">
        <v>0</v>
      </c>
      <c r="O577" s="1897">
        <v>0</v>
      </c>
      <c r="P577" s="1897">
        <v>0</v>
      </c>
      <c r="Q577" s="1897">
        <v>0.2669039145907473</v>
      </c>
      <c r="R577" s="1897">
        <v>0.49964412811387904</v>
      </c>
      <c r="S577" s="1898">
        <f t="shared" si="16"/>
        <v>6.3879003558718853E-2</v>
      </c>
    </row>
    <row r="578" spans="1:19">
      <c r="A578" s="1894">
        <f t="shared" si="17"/>
        <v>571</v>
      </c>
      <c r="B578" s="1895" t="s">
        <v>3461</v>
      </c>
      <c r="C578" s="1894" t="s">
        <v>524</v>
      </c>
      <c r="D578" s="1895" t="s">
        <v>541</v>
      </c>
      <c r="E578" s="1894" t="s">
        <v>259</v>
      </c>
      <c r="F578" s="1896">
        <v>562</v>
      </c>
      <c r="G578" s="1897">
        <v>0.63800711743772243</v>
      </c>
      <c r="H578" s="1897">
        <v>0.68241992882562275</v>
      </c>
      <c r="I578" s="1897">
        <v>0.48683274021352319</v>
      </c>
      <c r="J578" s="1897">
        <v>0.6790035587188612</v>
      </c>
      <c r="K578" s="1897">
        <v>0.68241992882562275</v>
      </c>
      <c r="L578" s="1897">
        <v>0.7345195729537366</v>
      </c>
      <c r="M578" s="1897">
        <v>0.7413523131672598</v>
      </c>
      <c r="N578" s="1897">
        <v>0.70462633451957291</v>
      </c>
      <c r="O578" s="1897">
        <v>0.69779359430604981</v>
      </c>
      <c r="P578" s="1897">
        <v>0.71231316725978644</v>
      </c>
      <c r="Q578" s="1897">
        <v>0.7575800711743772</v>
      </c>
      <c r="R578" s="1897">
        <v>0.7157295373665481</v>
      </c>
      <c r="S578" s="1898">
        <f t="shared" si="16"/>
        <v>0.68604982206405696</v>
      </c>
    </row>
    <row r="579" spans="1:19">
      <c r="A579" s="1894">
        <f t="shared" si="17"/>
        <v>572</v>
      </c>
      <c r="B579" s="1895" t="s">
        <v>3462</v>
      </c>
      <c r="C579" s="1894" t="s">
        <v>524</v>
      </c>
      <c r="D579" s="1895" t="s">
        <v>2966</v>
      </c>
      <c r="E579" s="1894" t="s">
        <v>259</v>
      </c>
      <c r="F579" s="1896">
        <v>562</v>
      </c>
      <c r="G579" s="1897">
        <v>3.5231316725978651E-2</v>
      </c>
      <c r="H579" s="1897">
        <v>9.8220640569395015E-2</v>
      </c>
      <c r="I579" s="1897">
        <v>0.27117437722419929</v>
      </c>
      <c r="J579" s="1897">
        <v>0.42491103202846975</v>
      </c>
      <c r="K579" s="1897">
        <v>0.43686832740213527</v>
      </c>
      <c r="L579" s="1897">
        <v>0.41722419928825621</v>
      </c>
      <c r="M579" s="1897">
        <v>0.46163701067615659</v>
      </c>
      <c r="N579" s="1897">
        <v>0.56925266903914595</v>
      </c>
      <c r="O579" s="1897">
        <v>0.43387900355871889</v>
      </c>
      <c r="P579" s="1897">
        <v>6.7473309608540935E-2</v>
      </c>
      <c r="Q579" s="1897">
        <v>0.12384341637010678</v>
      </c>
      <c r="R579" s="1897">
        <v>0.15501779359430606</v>
      </c>
      <c r="S579" s="1898">
        <f t="shared" si="16"/>
        <v>0.29122775800711748</v>
      </c>
    </row>
    <row r="580" spans="1:19">
      <c r="A580" s="1894">
        <f t="shared" si="17"/>
        <v>573</v>
      </c>
      <c r="B580" s="1895" t="s">
        <v>3463</v>
      </c>
      <c r="C580" s="1894" t="s">
        <v>524</v>
      </c>
      <c r="D580" s="1895" t="s">
        <v>541</v>
      </c>
      <c r="E580" s="1894" t="s">
        <v>259</v>
      </c>
      <c r="F580" s="1896">
        <v>570</v>
      </c>
      <c r="G580" s="1897">
        <v>0.78905263157894745</v>
      </c>
      <c r="H580" s="1897">
        <v>0.76842105263157889</v>
      </c>
      <c r="I580" s="1897">
        <v>0.79873684210526319</v>
      </c>
      <c r="J580" s="1897">
        <v>0.89684210526315788</v>
      </c>
      <c r="K580" s="1897">
        <v>0.61599999999999999</v>
      </c>
      <c r="L580" s="1897">
        <v>0.70273684210526322</v>
      </c>
      <c r="M580" s="1897">
        <v>0.77010526315789485</v>
      </c>
      <c r="N580" s="1897">
        <v>0.85347368421052627</v>
      </c>
      <c r="O580" s="1897">
        <v>1.0227368421052632</v>
      </c>
      <c r="P580" s="1897">
        <v>0.98863157894736842</v>
      </c>
      <c r="Q580" s="1897">
        <v>0.91242105263157902</v>
      </c>
      <c r="R580" s="1897">
        <v>0.80757894736842106</v>
      </c>
      <c r="S580" s="1898">
        <f t="shared" si="16"/>
        <v>0.82722807017543865</v>
      </c>
    </row>
    <row r="581" spans="1:19">
      <c r="A581" s="1894">
        <f t="shared" si="17"/>
        <v>574</v>
      </c>
      <c r="B581" s="1895" t="s">
        <v>3464</v>
      </c>
      <c r="C581" s="1894" t="s">
        <v>524</v>
      </c>
      <c r="D581" s="1895" t="s">
        <v>2966</v>
      </c>
      <c r="E581" s="1894" t="s">
        <v>259</v>
      </c>
      <c r="F581" s="1896">
        <v>576</v>
      </c>
      <c r="G581" s="1897">
        <v>0.19166666666666665</v>
      </c>
      <c r="H581" s="1897">
        <v>0.16041666666666665</v>
      </c>
      <c r="I581" s="1897">
        <v>0.15069444444444444</v>
      </c>
      <c r="J581" s="1897">
        <v>0.13194444444444445</v>
      </c>
      <c r="K581" s="1897">
        <v>0.44652777777777775</v>
      </c>
      <c r="L581" s="1897">
        <v>0.11249999999999999</v>
      </c>
      <c r="M581" s="1897">
        <v>0.13124999999999998</v>
      </c>
      <c r="N581" s="1897">
        <v>0.19791666666666666</v>
      </c>
      <c r="O581" s="1897">
        <v>0.18541666666666667</v>
      </c>
      <c r="P581" s="1897">
        <v>0.14791666666666667</v>
      </c>
      <c r="Q581" s="1897">
        <v>7.9166666666666663E-2</v>
      </c>
      <c r="R581" s="1897">
        <v>7.2222222222222229E-2</v>
      </c>
      <c r="S581" s="1898">
        <f t="shared" si="16"/>
        <v>0.16730324074074074</v>
      </c>
    </row>
    <row r="582" spans="1:19">
      <c r="A582" s="1894">
        <f t="shared" si="17"/>
        <v>575</v>
      </c>
      <c r="B582" s="1895" t="s">
        <v>3465</v>
      </c>
      <c r="C582" s="1894" t="s">
        <v>524</v>
      </c>
      <c r="D582" s="1895" t="s">
        <v>636</v>
      </c>
      <c r="E582" s="1894" t="s">
        <v>259</v>
      </c>
      <c r="F582" s="1896">
        <v>585</v>
      </c>
      <c r="G582" s="1897">
        <v>0.5675213675213675</v>
      </c>
      <c r="H582" s="1897">
        <v>0.57709401709401709</v>
      </c>
      <c r="I582" s="1897">
        <v>0.57709401709401709</v>
      </c>
      <c r="J582" s="1897">
        <v>0.58735042735042742</v>
      </c>
      <c r="K582" s="1897">
        <v>0.61196581196581201</v>
      </c>
      <c r="L582" s="1897">
        <v>0.58666666666666667</v>
      </c>
      <c r="M582" s="1897">
        <v>0.6003418803418803</v>
      </c>
      <c r="N582" s="1897">
        <v>1.641025641025641E-2</v>
      </c>
      <c r="O582" s="1897">
        <v>0.59829059829059827</v>
      </c>
      <c r="P582" s="1897">
        <v>0.61264957264957265</v>
      </c>
      <c r="Q582" s="1897">
        <v>0.62085470085470096</v>
      </c>
      <c r="R582" s="1897">
        <v>0.78153846153846152</v>
      </c>
      <c r="S582" s="1898">
        <f t="shared" si="16"/>
        <v>0.56148148148148147</v>
      </c>
    </row>
    <row r="583" spans="1:19">
      <c r="A583" s="1894">
        <f t="shared" si="17"/>
        <v>576</v>
      </c>
      <c r="B583" s="1895" t="s">
        <v>3466</v>
      </c>
      <c r="C583" s="1894" t="s">
        <v>524</v>
      </c>
      <c r="D583" s="1895" t="s">
        <v>737</v>
      </c>
      <c r="E583" s="1894" t="s">
        <v>259</v>
      </c>
      <c r="F583" s="1896">
        <v>589</v>
      </c>
      <c r="G583" s="1897">
        <v>1.101799660441426</v>
      </c>
      <c r="H583" s="1897">
        <v>1.1343972835314091</v>
      </c>
      <c r="I583" s="1897">
        <v>1.1564006791171477</v>
      </c>
      <c r="J583" s="1897">
        <v>0.9705942275042444</v>
      </c>
      <c r="K583" s="1897">
        <v>1.0537181663837012</v>
      </c>
      <c r="L583" s="1897">
        <v>1.1596604414261462</v>
      </c>
      <c r="M583" s="1897">
        <v>0.99341256366723263</v>
      </c>
      <c r="N583" s="1897">
        <v>0.69758913412563661</v>
      </c>
      <c r="O583" s="1897">
        <v>0.57290322580645159</v>
      </c>
      <c r="P583" s="1897">
        <v>0.4962988115449915</v>
      </c>
      <c r="Q583" s="1897">
        <v>0.61935483870967745</v>
      </c>
      <c r="R583" s="1897">
        <v>0.79619694397283525</v>
      </c>
      <c r="S583" s="1898">
        <f t="shared" si="16"/>
        <v>0.89602716468590826</v>
      </c>
    </row>
    <row r="584" spans="1:19">
      <c r="A584" s="1894">
        <f t="shared" si="17"/>
        <v>577</v>
      </c>
      <c r="B584" s="1895" t="s">
        <v>3467</v>
      </c>
      <c r="C584" s="1894" t="s">
        <v>524</v>
      </c>
      <c r="D584" s="1895" t="s">
        <v>541</v>
      </c>
      <c r="E584" s="1894" t="s">
        <v>259</v>
      </c>
      <c r="F584" s="1896">
        <v>600</v>
      </c>
      <c r="G584" s="1897">
        <v>0.6333333333333333</v>
      </c>
      <c r="H584" s="1897">
        <v>0.56666666666666665</v>
      </c>
      <c r="I584" s="1897">
        <v>0.43333333333333335</v>
      </c>
      <c r="J584" s="1897">
        <v>0.70733333333333326</v>
      </c>
      <c r="K584" s="1897">
        <v>0.39866666666666667</v>
      </c>
      <c r="L584" s="1897">
        <v>0.71133333333333337</v>
      </c>
      <c r="M584" s="1897">
        <v>0.64866666666666661</v>
      </c>
      <c r="N584" s="1897">
        <v>0.71533333333333338</v>
      </c>
      <c r="O584" s="1897">
        <v>0.69533333333333336</v>
      </c>
      <c r="P584" s="1897">
        <v>0.74199999999999999</v>
      </c>
      <c r="Q584" s="1897">
        <v>0.76666666666666672</v>
      </c>
      <c r="R584" s="1897">
        <v>0.76533333333333331</v>
      </c>
      <c r="S584" s="1898">
        <f t="shared" ref="S584:S649" si="18">+SUM(G584:R584)/12</f>
        <v>0.64866666666666661</v>
      </c>
    </row>
    <row r="585" spans="1:19">
      <c r="A585" s="1894">
        <f t="shared" si="17"/>
        <v>578</v>
      </c>
      <c r="B585" s="1895" t="s">
        <v>3468</v>
      </c>
      <c r="C585" s="1894" t="s">
        <v>524</v>
      </c>
      <c r="D585" s="1895" t="s">
        <v>541</v>
      </c>
      <c r="E585" s="1894" t="s">
        <v>259</v>
      </c>
      <c r="F585" s="1896">
        <v>600</v>
      </c>
      <c r="G585" s="1897">
        <v>0.83599999999999997</v>
      </c>
      <c r="H585" s="1897">
        <v>0.87519999999999998</v>
      </c>
      <c r="I585" s="1897">
        <v>0.88480000000000003</v>
      </c>
      <c r="J585" s="1897">
        <v>0.97519999999999996</v>
      </c>
      <c r="K585" s="1897">
        <v>0.96079999999999999</v>
      </c>
      <c r="L585" s="1897">
        <v>0.95359999999999989</v>
      </c>
      <c r="M585" s="1897">
        <v>0.9383999999999999</v>
      </c>
      <c r="N585" s="1897">
        <v>0.88560000000000005</v>
      </c>
      <c r="O585" s="1897">
        <v>0.88239999999999985</v>
      </c>
      <c r="P585" s="1897">
        <v>0.84399999999999997</v>
      </c>
      <c r="Q585" s="1897">
        <v>0.86480000000000001</v>
      </c>
      <c r="R585" s="1897">
        <v>0.88480000000000003</v>
      </c>
      <c r="S585" s="1898">
        <f t="shared" si="18"/>
        <v>0.89880000000000004</v>
      </c>
    </row>
    <row r="586" spans="1:19">
      <c r="A586" s="1894">
        <f t="shared" ref="A586:A649" si="19">+A585+1</f>
        <v>579</v>
      </c>
      <c r="B586" s="1895" t="s">
        <v>3469</v>
      </c>
      <c r="C586" s="1894" t="s">
        <v>524</v>
      </c>
      <c r="D586" s="1895" t="s">
        <v>541</v>
      </c>
      <c r="E586" s="1894" t="s">
        <v>259</v>
      </c>
      <c r="F586" s="1896">
        <v>600</v>
      </c>
      <c r="G586" s="1897">
        <v>0.89</v>
      </c>
      <c r="H586" s="1897">
        <v>0.73799999999999999</v>
      </c>
      <c r="I586" s="1897">
        <v>0.82800000000000007</v>
      </c>
      <c r="J586" s="1897">
        <v>0.97799999999999987</v>
      </c>
      <c r="K586" s="1897">
        <v>0.96</v>
      </c>
      <c r="L586" s="1897">
        <v>0.82800000000000007</v>
      </c>
      <c r="M586" s="1897">
        <v>1</v>
      </c>
      <c r="N586" s="1897">
        <v>0.6419999999999999</v>
      </c>
      <c r="O586" s="1897">
        <v>0.77</v>
      </c>
      <c r="P586" s="1897">
        <v>0.95200000000000007</v>
      </c>
      <c r="Q586" s="1897">
        <v>0.81199999999999994</v>
      </c>
      <c r="R586" s="1897">
        <v>0.66200000000000003</v>
      </c>
      <c r="S586" s="1898">
        <f t="shared" si="18"/>
        <v>0.83833333333333337</v>
      </c>
    </row>
    <row r="587" spans="1:19">
      <c r="A587" s="1894">
        <f t="shared" si="19"/>
        <v>580</v>
      </c>
      <c r="B587" s="1895" t="s">
        <v>3470</v>
      </c>
      <c r="C587" s="1894" t="s">
        <v>524</v>
      </c>
      <c r="D587" s="1895" t="s">
        <v>629</v>
      </c>
      <c r="E587" s="1894" t="s">
        <v>259</v>
      </c>
      <c r="F587" s="1896">
        <v>600</v>
      </c>
      <c r="G587" s="1897">
        <v>0.27279999999999999</v>
      </c>
      <c r="H587" s="1897">
        <v>0.24560000000000001</v>
      </c>
      <c r="I587" s="1897">
        <v>0.24160000000000001</v>
      </c>
      <c r="J587" s="1897">
        <v>0.21440000000000003</v>
      </c>
      <c r="K587" s="1897">
        <v>0</v>
      </c>
      <c r="L587" s="1897">
        <v>0.21920000000000001</v>
      </c>
      <c r="M587" s="1897">
        <v>0.2152</v>
      </c>
      <c r="N587" s="1897">
        <v>0.22800000000000001</v>
      </c>
      <c r="O587" s="1897">
        <v>0.35199999999999998</v>
      </c>
      <c r="P587" s="1897">
        <v>0.216</v>
      </c>
      <c r="Q587" s="1897">
        <v>0.19919999999999999</v>
      </c>
      <c r="R587" s="1897">
        <v>0.2104</v>
      </c>
      <c r="S587" s="1898">
        <f t="shared" si="18"/>
        <v>0.21786666666666665</v>
      </c>
    </row>
    <row r="588" spans="1:19">
      <c r="A588" s="1894">
        <f t="shared" si="19"/>
        <v>581</v>
      </c>
      <c r="B588" s="1895" t="s">
        <v>3471</v>
      </c>
      <c r="C588" s="1894" t="s">
        <v>524</v>
      </c>
      <c r="D588" s="1895" t="s">
        <v>541</v>
      </c>
      <c r="E588" s="1894" t="s">
        <v>259</v>
      </c>
      <c r="F588" s="1896">
        <v>600</v>
      </c>
      <c r="G588" s="1897">
        <v>0.87439999999999996</v>
      </c>
      <c r="H588" s="1897">
        <v>0.81200000000000006</v>
      </c>
      <c r="I588" s="1897">
        <v>0.64480000000000004</v>
      </c>
      <c r="J588" s="1897">
        <v>0.89839999999999998</v>
      </c>
      <c r="K588" s="1897">
        <v>0.86319999999999997</v>
      </c>
      <c r="L588" s="1897">
        <v>0.88959999999999995</v>
      </c>
      <c r="M588" s="1897">
        <v>1.3088</v>
      </c>
      <c r="N588" s="1897">
        <v>1.3216000000000001</v>
      </c>
      <c r="O588" s="1897">
        <v>1.2183999999999999</v>
      </c>
      <c r="P588" s="1897">
        <v>1.2248000000000001</v>
      </c>
      <c r="Q588" s="1897">
        <v>1.2864</v>
      </c>
      <c r="R588" s="1897">
        <v>1.2216</v>
      </c>
      <c r="S588" s="1898">
        <f t="shared" si="18"/>
        <v>1.0469999999999999</v>
      </c>
    </row>
    <row r="589" spans="1:19">
      <c r="A589" s="1894">
        <f t="shared" si="19"/>
        <v>582</v>
      </c>
      <c r="B589" s="1895" t="s">
        <v>3472</v>
      </c>
      <c r="C589" s="1894" t="s">
        <v>524</v>
      </c>
      <c r="D589" s="1895" t="s">
        <v>636</v>
      </c>
      <c r="E589" s="1894" t="s">
        <v>259</v>
      </c>
      <c r="F589" s="1896">
        <v>600</v>
      </c>
      <c r="G589" s="1897">
        <v>0.60560000000000003</v>
      </c>
      <c r="H589" s="1897">
        <v>0.67600000000000005</v>
      </c>
      <c r="I589" s="1897">
        <v>0.62560000000000004</v>
      </c>
      <c r="J589" s="1897">
        <v>0.61839999999999995</v>
      </c>
      <c r="K589" s="1897">
        <v>0.74080000000000001</v>
      </c>
      <c r="L589" s="1897">
        <v>0.73199999999999998</v>
      </c>
      <c r="M589" s="1897">
        <v>0.74880000000000002</v>
      </c>
      <c r="N589" s="1897">
        <v>0.59519999999999995</v>
      </c>
      <c r="O589" s="1897">
        <v>0.56399999999999995</v>
      </c>
      <c r="P589" s="1897">
        <v>0.54159999999999997</v>
      </c>
      <c r="Q589" s="1897">
        <v>0.56799999999999995</v>
      </c>
      <c r="R589" s="1897">
        <v>0.70320000000000005</v>
      </c>
      <c r="S589" s="1898">
        <f t="shared" si="18"/>
        <v>0.64326666666666665</v>
      </c>
    </row>
    <row r="590" spans="1:19">
      <c r="A590" s="1894">
        <f t="shared" si="19"/>
        <v>583</v>
      </c>
      <c r="B590" s="1895" t="s">
        <v>3341</v>
      </c>
      <c r="C590" s="1894" t="s">
        <v>524</v>
      </c>
      <c r="D590" s="1895" t="s">
        <v>541</v>
      </c>
      <c r="E590" s="1894" t="s">
        <v>259</v>
      </c>
      <c r="F590" s="1896">
        <v>611</v>
      </c>
      <c r="G590" s="1897">
        <v>0.707037643207856</v>
      </c>
      <c r="H590" s="1897">
        <v>0.74631751227495913</v>
      </c>
      <c r="I590" s="1897">
        <v>0.68504091653027821</v>
      </c>
      <c r="J590" s="1897">
        <v>0.66775777414075288</v>
      </c>
      <c r="K590" s="1897">
        <v>0.72510638297872343</v>
      </c>
      <c r="L590" s="1897">
        <v>0.73531914893617012</v>
      </c>
      <c r="M590" s="1897">
        <v>0.74081833060556468</v>
      </c>
      <c r="N590" s="1897">
        <v>0.81780687397708673</v>
      </c>
      <c r="O590" s="1897">
        <v>0.75103109656301148</v>
      </c>
      <c r="P590" s="1897">
        <v>0.81937806873977082</v>
      </c>
      <c r="Q590" s="1897">
        <v>0.79816693944353523</v>
      </c>
      <c r="R590" s="1897">
        <v>0.76281505728314236</v>
      </c>
      <c r="S590" s="1898">
        <f t="shared" si="18"/>
        <v>0.7463829787234042</v>
      </c>
    </row>
    <row r="591" spans="1:19">
      <c r="A591" s="1894">
        <f t="shared" si="19"/>
        <v>584</v>
      </c>
      <c r="B591" s="1895" t="s">
        <v>3473</v>
      </c>
      <c r="C591" s="1894" t="s">
        <v>524</v>
      </c>
      <c r="D591" s="1895" t="s">
        <v>541</v>
      </c>
      <c r="E591" s="1894" t="s">
        <v>259</v>
      </c>
      <c r="F591" s="1896">
        <v>617</v>
      </c>
      <c r="G591" s="1897">
        <v>0.4971150729335494</v>
      </c>
      <c r="H591" s="1897">
        <v>0.62081037277147477</v>
      </c>
      <c r="I591" s="1897">
        <v>0.52356564019448948</v>
      </c>
      <c r="J591" s="1897">
        <v>0.61069692058346836</v>
      </c>
      <c r="K591" s="1897">
        <v>0.67448946515397079</v>
      </c>
      <c r="L591" s="1897">
        <v>0.48077795786061583</v>
      </c>
      <c r="M591" s="1897">
        <v>0.54068071312803889</v>
      </c>
      <c r="N591" s="1897">
        <v>0.57335494327390601</v>
      </c>
      <c r="O591" s="1897">
        <v>0.63325769854132907</v>
      </c>
      <c r="P591" s="1897">
        <v>0.60447325769854143</v>
      </c>
      <c r="Q591" s="1897">
        <v>0.49244732576985412</v>
      </c>
      <c r="R591" s="1897">
        <v>0.48777957860615889</v>
      </c>
      <c r="S591" s="1898">
        <f t="shared" si="18"/>
        <v>0.56162074554294972</v>
      </c>
    </row>
    <row r="592" spans="1:19">
      <c r="A592" s="1894">
        <f t="shared" si="19"/>
        <v>585</v>
      </c>
      <c r="B592" s="1895" t="s">
        <v>3474</v>
      </c>
      <c r="C592" s="1894" t="s">
        <v>524</v>
      </c>
      <c r="D592" s="1895" t="s">
        <v>737</v>
      </c>
      <c r="E592" s="1894" t="s">
        <v>259</v>
      </c>
      <c r="F592" s="1896">
        <v>622</v>
      </c>
      <c r="G592" s="1897">
        <v>0</v>
      </c>
      <c r="H592" s="1897">
        <v>0</v>
      </c>
      <c r="I592" s="1897">
        <v>0</v>
      </c>
      <c r="J592" s="1897">
        <v>0</v>
      </c>
      <c r="K592" s="1897">
        <v>0</v>
      </c>
      <c r="L592" s="1897">
        <v>8.1028938906752418E-3</v>
      </c>
      <c r="M592" s="1897">
        <v>1.0418006430868166E-2</v>
      </c>
      <c r="N592" s="1897">
        <v>1.0418006430868166E-2</v>
      </c>
      <c r="O592" s="1897">
        <v>9.0289389067524109E-2</v>
      </c>
      <c r="P592" s="1897">
        <v>9.2604501607717049E-3</v>
      </c>
      <c r="Q592" s="1897">
        <v>9.2604501607717049E-3</v>
      </c>
      <c r="R592" s="1897">
        <v>3.1254019292604504E-2</v>
      </c>
      <c r="S592" s="1898">
        <f t="shared" si="18"/>
        <v>1.4083601286173633E-2</v>
      </c>
    </row>
    <row r="593" spans="1:19">
      <c r="A593" s="1894">
        <f t="shared" si="19"/>
        <v>586</v>
      </c>
      <c r="B593" s="1895" t="s">
        <v>3475</v>
      </c>
      <c r="C593" s="1894" t="s">
        <v>524</v>
      </c>
      <c r="D593" s="1895" t="s">
        <v>541</v>
      </c>
      <c r="E593" s="1894" t="s">
        <v>259</v>
      </c>
      <c r="F593" s="1896">
        <v>623</v>
      </c>
      <c r="G593" s="1897">
        <v>0.88064205457463884</v>
      </c>
      <c r="H593" s="1897">
        <v>0.87910112359550552</v>
      </c>
      <c r="I593" s="1897">
        <v>0.87216693418940616</v>
      </c>
      <c r="J593" s="1897">
        <v>0.8752487961476727</v>
      </c>
      <c r="K593" s="1897">
        <v>1.7720706260032103E-2</v>
      </c>
      <c r="L593" s="1897">
        <v>0.87293739967897277</v>
      </c>
      <c r="M593" s="1897">
        <v>0.86985553772070623</v>
      </c>
      <c r="N593" s="1897">
        <v>0.8744783306581061</v>
      </c>
      <c r="O593" s="1897">
        <v>0.87370786516853938</v>
      </c>
      <c r="P593" s="1897">
        <v>0.87910112359550552</v>
      </c>
      <c r="Q593" s="1897">
        <v>0.88064205457463884</v>
      </c>
      <c r="R593" s="1897">
        <v>0.89836276083467081</v>
      </c>
      <c r="S593" s="1898">
        <f t="shared" si="18"/>
        <v>0.80616372391653279</v>
      </c>
    </row>
    <row r="594" spans="1:19">
      <c r="A594" s="1894">
        <f t="shared" si="19"/>
        <v>587</v>
      </c>
      <c r="B594" s="1895" t="s">
        <v>3476</v>
      </c>
      <c r="C594" s="1894" t="s">
        <v>524</v>
      </c>
      <c r="D594" s="1895" t="s">
        <v>541</v>
      </c>
      <c r="E594" s="1894" t="s">
        <v>259</v>
      </c>
      <c r="F594" s="1896">
        <v>630</v>
      </c>
      <c r="G594" s="1897">
        <v>0.19047619047619047</v>
      </c>
      <c r="H594" s="1897">
        <v>0.2857142857142857</v>
      </c>
      <c r="I594" s="1897">
        <v>0.15466666666666667</v>
      </c>
      <c r="J594" s="1897">
        <v>0.13790476190476192</v>
      </c>
      <c r="K594" s="1897">
        <v>0.11961904761904762</v>
      </c>
      <c r="L594" s="1897">
        <v>4.3428571428571427E-2</v>
      </c>
      <c r="M594" s="1897">
        <v>5.4857142857142861E-2</v>
      </c>
      <c r="N594" s="1897">
        <v>0.10666666666666667</v>
      </c>
      <c r="O594" s="1897">
        <v>0.15390476190476191</v>
      </c>
      <c r="P594" s="1897">
        <v>8.0761904761904771E-2</v>
      </c>
      <c r="Q594" s="1897">
        <v>0.12038095238095238</v>
      </c>
      <c r="R594" s="1897">
        <v>6.3238095238095246E-2</v>
      </c>
      <c r="S594" s="1898">
        <f t="shared" si="18"/>
        <v>0.12596825396825398</v>
      </c>
    </row>
    <row r="595" spans="1:19">
      <c r="A595" s="1894">
        <f t="shared" si="19"/>
        <v>588</v>
      </c>
      <c r="B595" s="1895" t="s">
        <v>3477</v>
      </c>
      <c r="C595" s="1894" t="s">
        <v>524</v>
      </c>
      <c r="D595" s="1895" t="s">
        <v>541</v>
      </c>
      <c r="E595" s="1894" t="s">
        <v>259</v>
      </c>
      <c r="F595" s="1896">
        <v>650</v>
      </c>
      <c r="G595" s="1897">
        <v>1.0817142857142859</v>
      </c>
      <c r="H595" s="1897">
        <v>1.5177142857142858</v>
      </c>
      <c r="I595" s="1897">
        <v>1.4742857142857142</v>
      </c>
      <c r="J595" s="1897">
        <v>1.3024</v>
      </c>
      <c r="K595" s="1897">
        <v>1.1807999999999998</v>
      </c>
      <c r="L595" s="1897">
        <v>1.2406857142857142</v>
      </c>
      <c r="M595" s="1897">
        <v>1.2342857142857142</v>
      </c>
      <c r="N595" s="1897">
        <v>1.2191999999999998</v>
      </c>
      <c r="O595" s="1897">
        <v>1.2676571428571428</v>
      </c>
      <c r="P595" s="1897">
        <v>0.52307692307692311</v>
      </c>
      <c r="Q595" s="1897">
        <v>0.6892307692307692</v>
      </c>
      <c r="R595" s="1897">
        <v>0.62215384615384617</v>
      </c>
      <c r="S595" s="1898">
        <f t="shared" si="18"/>
        <v>1.1127670329670332</v>
      </c>
    </row>
    <row r="596" spans="1:19">
      <c r="A596" s="1894">
        <f t="shared" si="19"/>
        <v>589</v>
      </c>
      <c r="B596" s="1895" t="s">
        <v>664</v>
      </c>
      <c r="C596" s="1894" t="s">
        <v>524</v>
      </c>
      <c r="D596" s="1895" t="s">
        <v>629</v>
      </c>
      <c r="E596" s="1894" t="s">
        <v>259</v>
      </c>
      <c r="F596" s="1896">
        <v>666.67</v>
      </c>
      <c r="G596" s="1897">
        <v>0.41831790841045796</v>
      </c>
      <c r="H596" s="1897">
        <v>0.37007814960925195</v>
      </c>
      <c r="I596" s="1897">
        <v>0.38447807760961195</v>
      </c>
      <c r="J596" s="1897">
        <v>0.31103844480777598</v>
      </c>
      <c r="K596" s="1897">
        <v>0.313918430407848</v>
      </c>
      <c r="L596" s="1897">
        <v>0.30311848440757794</v>
      </c>
      <c r="M596" s="1897">
        <v>0.24047879760601198</v>
      </c>
      <c r="N596" s="1897">
        <v>0.25415872920635396</v>
      </c>
      <c r="O596" s="1897">
        <v>0.15047924760376197</v>
      </c>
      <c r="P596" s="1897">
        <v>0.14759926200369</v>
      </c>
      <c r="Q596" s="1897">
        <v>0.15767921160394197</v>
      </c>
      <c r="R596" s="1897">
        <v>0.21671891640541796</v>
      </c>
      <c r="S596" s="1898">
        <f t="shared" si="18"/>
        <v>0.27233863830680838</v>
      </c>
    </row>
    <row r="597" spans="1:19">
      <c r="A597" s="1894">
        <f t="shared" si="19"/>
        <v>590</v>
      </c>
      <c r="B597" s="1895" t="s">
        <v>3478</v>
      </c>
      <c r="C597" s="1894" t="s">
        <v>524</v>
      </c>
      <c r="D597" s="1895" t="s">
        <v>541</v>
      </c>
      <c r="E597" s="1894" t="s">
        <v>259</v>
      </c>
      <c r="F597" s="1896">
        <v>667</v>
      </c>
      <c r="G597" s="1897">
        <v>1.7991004497751123E-2</v>
      </c>
      <c r="H597" s="1897">
        <v>0</v>
      </c>
      <c r="I597" s="1897">
        <v>0</v>
      </c>
      <c r="J597" s="1897">
        <v>0</v>
      </c>
      <c r="K597" s="1897">
        <v>0</v>
      </c>
      <c r="L597" s="1897">
        <v>0</v>
      </c>
      <c r="M597" s="1897">
        <v>0</v>
      </c>
      <c r="N597" s="1897">
        <v>0</v>
      </c>
      <c r="O597" s="1897">
        <v>0</v>
      </c>
      <c r="P597" s="1897">
        <v>0</v>
      </c>
      <c r="Q597" s="1897">
        <v>0</v>
      </c>
      <c r="R597" s="1897">
        <v>0</v>
      </c>
      <c r="S597" s="1898">
        <f t="shared" si="18"/>
        <v>1.4992503748125937E-3</v>
      </c>
    </row>
    <row r="598" spans="1:19">
      <c r="A598" s="1894">
        <f t="shared" si="19"/>
        <v>591</v>
      </c>
      <c r="B598" s="1895" t="s">
        <v>3479</v>
      </c>
      <c r="C598" s="1894" t="s">
        <v>524</v>
      </c>
      <c r="D598" s="1895" t="s">
        <v>730</v>
      </c>
      <c r="E598" s="1894" t="s">
        <v>259</v>
      </c>
      <c r="F598" s="1896">
        <v>667</v>
      </c>
      <c r="G598" s="1897">
        <v>0.38428785607196403</v>
      </c>
      <c r="H598" s="1897">
        <v>0.38356821589205398</v>
      </c>
      <c r="I598" s="1897">
        <v>0.41379310344827586</v>
      </c>
      <c r="J598" s="1897">
        <v>0.4123538230884557</v>
      </c>
      <c r="K598" s="1897">
        <v>0.4123538230884557</v>
      </c>
      <c r="L598" s="1897">
        <v>0.37925037481259366</v>
      </c>
      <c r="M598" s="1897">
        <v>0.41019490254872565</v>
      </c>
      <c r="N598" s="1897">
        <v>0.4087556221889056</v>
      </c>
      <c r="O598" s="1897">
        <v>0.39724137931034481</v>
      </c>
      <c r="P598" s="1897">
        <v>0.39004497751124434</v>
      </c>
      <c r="Q598" s="1897">
        <v>0.37997001499250377</v>
      </c>
      <c r="R598" s="1897">
        <v>0.36773613193403298</v>
      </c>
      <c r="S598" s="1898">
        <f t="shared" si="18"/>
        <v>0.39496251874062965</v>
      </c>
    </row>
    <row r="599" spans="1:19">
      <c r="A599" s="1894">
        <f t="shared" si="19"/>
        <v>592</v>
      </c>
      <c r="B599" s="1895" t="s">
        <v>3480</v>
      </c>
      <c r="C599" s="1894" t="s">
        <v>524</v>
      </c>
      <c r="D599" s="1895" t="s">
        <v>541</v>
      </c>
      <c r="E599" s="1894" t="s">
        <v>259</v>
      </c>
      <c r="F599" s="1896">
        <v>667</v>
      </c>
      <c r="G599" s="1897">
        <v>0.81031484257871067</v>
      </c>
      <c r="H599" s="1897">
        <v>0.88803598200899536</v>
      </c>
      <c r="I599" s="1897">
        <v>0.80743628185907035</v>
      </c>
      <c r="J599" s="1897">
        <v>0.8988305847076461</v>
      </c>
      <c r="K599" s="1897">
        <v>0.89451274362818589</v>
      </c>
      <c r="L599" s="1897">
        <v>0.49223388305847077</v>
      </c>
      <c r="M599" s="1897">
        <v>0.73835082458770607</v>
      </c>
      <c r="N599" s="1897">
        <v>0.783688155922039</v>
      </c>
      <c r="O599" s="1897">
        <v>0.6376011994002998</v>
      </c>
      <c r="P599" s="1897">
        <v>0.84413793103448276</v>
      </c>
      <c r="Q599" s="1897">
        <v>0.99958020989505247</v>
      </c>
      <c r="R599" s="1897">
        <v>0.95352323838080955</v>
      </c>
      <c r="S599" s="1898">
        <f t="shared" si="18"/>
        <v>0.81235382308845561</v>
      </c>
    </row>
    <row r="600" spans="1:19">
      <c r="A600" s="1894">
        <f t="shared" si="19"/>
        <v>593</v>
      </c>
      <c r="B600" s="1895" t="s">
        <v>3481</v>
      </c>
      <c r="C600" s="1894" t="s">
        <v>524</v>
      </c>
      <c r="D600" s="1895" t="s">
        <v>541</v>
      </c>
      <c r="E600" s="1894" t="s">
        <v>259</v>
      </c>
      <c r="F600" s="1896">
        <v>700</v>
      </c>
      <c r="G600" s="1897">
        <v>0.42228571428571426</v>
      </c>
      <c r="H600" s="1897">
        <v>0.38800000000000001</v>
      </c>
      <c r="I600" s="1897">
        <v>0.39714285714285713</v>
      </c>
      <c r="J600" s="1897">
        <v>0.43600000000000005</v>
      </c>
      <c r="K600" s="1897">
        <v>0.48171428571428571</v>
      </c>
      <c r="L600" s="1897">
        <v>0.41199999999999998</v>
      </c>
      <c r="M600" s="1897">
        <v>0.49428571428571427</v>
      </c>
      <c r="N600" s="1897">
        <v>0.65142857142857147</v>
      </c>
      <c r="O600" s="1897">
        <v>0.64114285714285713</v>
      </c>
      <c r="P600" s="1897">
        <v>0.64971428571428569</v>
      </c>
      <c r="Q600" s="1897">
        <v>0.64742857142857146</v>
      </c>
      <c r="R600" s="1897">
        <v>0.64171428571428568</v>
      </c>
      <c r="S600" s="1898">
        <f t="shared" si="18"/>
        <v>0.52190476190476187</v>
      </c>
    </row>
    <row r="601" spans="1:19">
      <c r="A601" s="1894">
        <f t="shared" si="19"/>
        <v>594</v>
      </c>
      <c r="B601" s="1895" t="s">
        <v>3175</v>
      </c>
      <c r="C601" s="1894" t="s">
        <v>524</v>
      </c>
      <c r="D601" s="1895" t="s">
        <v>641</v>
      </c>
      <c r="E601" s="1894" t="s">
        <v>259</v>
      </c>
      <c r="F601" s="1896">
        <v>700</v>
      </c>
      <c r="G601" s="1897">
        <v>0.72685714285714287</v>
      </c>
      <c r="H601" s="1897">
        <v>0.69371428571428562</v>
      </c>
      <c r="I601" s="1897">
        <v>0.72171428571428575</v>
      </c>
      <c r="J601" s="1897">
        <v>0.62114285714285711</v>
      </c>
      <c r="K601" s="1897">
        <v>0.23371428571428571</v>
      </c>
      <c r="L601" s="1897">
        <v>0.2382857142857143</v>
      </c>
      <c r="M601" s="1897">
        <v>0.37142857142857144</v>
      </c>
      <c r="N601" s="1897">
        <v>0.42628571428571427</v>
      </c>
      <c r="O601" s="1897">
        <v>0.40514285714285719</v>
      </c>
      <c r="P601" s="1897">
        <v>0.43542857142857144</v>
      </c>
      <c r="Q601" s="1897">
        <v>0.36914285714285722</v>
      </c>
      <c r="R601" s="1897">
        <v>0.47028571428571425</v>
      </c>
      <c r="S601" s="1898">
        <f t="shared" si="18"/>
        <v>0.47609523809523807</v>
      </c>
    </row>
    <row r="602" spans="1:19">
      <c r="A602" s="1894">
        <f t="shared" si="19"/>
        <v>595</v>
      </c>
      <c r="B602" s="1895" t="s">
        <v>3482</v>
      </c>
      <c r="C602" s="1894" t="s">
        <v>524</v>
      </c>
      <c r="D602" s="1895" t="s">
        <v>2966</v>
      </c>
      <c r="E602" s="1894" t="s">
        <v>259</v>
      </c>
      <c r="F602" s="1896">
        <v>700</v>
      </c>
      <c r="G602" s="1897">
        <v>0.46399999999999991</v>
      </c>
      <c r="H602" s="1897">
        <v>0.54914285714285715</v>
      </c>
      <c r="I602" s="1897">
        <v>0.58457142857142852</v>
      </c>
      <c r="J602" s="1897">
        <v>0.82514285714285718</v>
      </c>
      <c r="K602" s="1897">
        <v>0.77257142857142846</v>
      </c>
      <c r="L602" s="1897">
        <v>0.14057142857142857</v>
      </c>
      <c r="M602" s="1897">
        <v>0.19828571428571432</v>
      </c>
      <c r="N602" s="1897">
        <v>0.10571428571428572</v>
      </c>
      <c r="O602" s="1897">
        <v>0.53714285714285714</v>
      </c>
      <c r="P602" s="1897">
        <v>6.8000000000000005E-2</v>
      </c>
      <c r="Q602" s="1897">
        <v>0.15942857142857145</v>
      </c>
      <c r="R602" s="1897">
        <v>0.26114285714285712</v>
      </c>
      <c r="S602" s="1898">
        <f t="shared" si="18"/>
        <v>0.38880952380952377</v>
      </c>
    </row>
    <row r="603" spans="1:19">
      <c r="A603" s="1894">
        <f t="shared" si="19"/>
        <v>596</v>
      </c>
      <c r="B603" s="1895" t="s">
        <v>3483</v>
      </c>
      <c r="C603" s="1894" t="s">
        <v>524</v>
      </c>
      <c r="D603" s="1895" t="s">
        <v>541</v>
      </c>
      <c r="E603" s="1894" t="s">
        <v>259</v>
      </c>
      <c r="F603" s="1896">
        <v>722</v>
      </c>
      <c r="G603" s="1897">
        <v>0.87340720221606649</v>
      </c>
      <c r="H603" s="1897">
        <v>0.78448753462603871</v>
      </c>
      <c r="I603" s="1897">
        <v>0.83102493074792239</v>
      </c>
      <c r="J603" s="1897">
        <v>0.69085872576177287</v>
      </c>
      <c r="K603" s="1897">
        <v>0.72077562326869804</v>
      </c>
      <c r="L603" s="1897">
        <v>0.82105263157894726</v>
      </c>
      <c r="M603" s="1897">
        <v>0.79667590027700841</v>
      </c>
      <c r="N603" s="1897">
        <v>0.91745152354570636</v>
      </c>
      <c r="O603" s="1897">
        <v>0.91689750692520777</v>
      </c>
      <c r="P603" s="1897">
        <v>0.8819944598337951</v>
      </c>
      <c r="Q603" s="1897">
        <v>0.84487534626038785</v>
      </c>
      <c r="R603" s="1897">
        <v>0.86094182825484766</v>
      </c>
      <c r="S603" s="1898">
        <f t="shared" si="18"/>
        <v>0.82837026777469991</v>
      </c>
    </row>
    <row r="604" spans="1:19">
      <c r="A604" s="1894">
        <f t="shared" si="19"/>
        <v>597</v>
      </c>
      <c r="B604" s="1895" t="s">
        <v>3484</v>
      </c>
      <c r="C604" s="1894" t="s">
        <v>524</v>
      </c>
      <c r="D604" s="1895" t="s">
        <v>541</v>
      </c>
      <c r="E604" s="1894" t="s">
        <v>259</v>
      </c>
      <c r="F604" s="1896">
        <v>723</v>
      </c>
      <c r="G604" s="1897">
        <v>0.51566563467492266</v>
      </c>
      <c r="H604" s="1897">
        <v>0.44260027662517287</v>
      </c>
      <c r="I604" s="1897">
        <v>0.45089903181189489</v>
      </c>
      <c r="J604" s="1897">
        <v>0.45421853388658373</v>
      </c>
      <c r="K604" s="1897">
        <v>0.44979253112033196</v>
      </c>
      <c r="L604" s="1897">
        <v>0.44426002766251727</v>
      </c>
      <c r="M604" s="1897">
        <v>0.45587828492392812</v>
      </c>
      <c r="N604" s="1897">
        <v>0.41825726141078834</v>
      </c>
      <c r="O604" s="1897">
        <v>0.23291839557399724</v>
      </c>
      <c r="P604" s="1897">
        <v>0.24619640387275243</v>
      </c>
      <c r="Q604" s="1897">
        <v>0.24896265560165975</v>
      </c>
      <c r="R604" s="1897">
        <v>0.4359612724757953</v>
      </c>
      <c r="S604" s="1898">
        <f t="shared" si="18"/>
        <v>0.39963419247002868</v>
      </c>
    </row>
    <row r="605" spans="1:19">
      <c r="A605" s="1894">
        <f t="shared" si="19"/>
        <v>598</v>
      </c>
      <c r="B605" s="1895" t="s">
        <v>3485</v>
      </c>
      <c r="C605" s="1894" t="s">
        <v>524</v>
      </c>
      <c r="D605" s="1895" t="s">
        <v>636</v>
      </c>
      <c r="E605" s="1894" t="s">
        <v>259</v>
      </c>
      <c r="F605" s="1896">
        <v>723</v>
      </c>
      <c r="G605" s="1897">
        <v>0.52182572614107892</v>
      </c>
      <c r="H605" s="1897">
        <v>0.46107883817427386</v>
      </c>
      <c r="I605" s="1897">
        <v>0.50688796680497927</v>
      </c>
      <c r="J605" s="1897">
        <v>0.48896265560165975</v>
      </c>
      <c r="K605" s="1897">
        <v>0.46506224066390045</v>
      </c>
      <c r="L605" s="1897">
        <v>0.48099585062240663</v>
      </c>
      <c r="M605" s="1897">
        <v>0.42821576763485475</v>
      </c>
      <c r="N605" s="1897">
        <v>0.43618257261410792</v>
      </c>
      <c r="O605" s="1897">
        <v>0.45809128630705392</v>
      </c>
      <c r="P605" s="1897">
        <v>0.47302904564315351</v>
      </c>
      <c r="Q605" s="1897">
        <v>0.43917012448132775</v>
      </c>
      <c r="R605" s="1897">
        <v>0.4381742738589211</v>
      </c>
      <c r="S605" s="1898">
        <f t="shared" si="18"/>
        <v>0.46647302904564319</v>
      </c>
    </row>
    <row r="606" spans="1:19">
      <c r="A606" s="1894">
        <f t="shared" si="19"/>
        <v>599</v>
      </c>
      <c r="B606" s="1895" t="s">
        <v>3486</v>
      </c>
      <c r="C606" s="1894" t="s">
        <v>524</v>
      </c>
      <c r="D606" s="1895" t="s">
        <v>737</v>
      </c>
      <c r="E606" s="1894" t="s">
        <v>259</v>
      </c>
      <c r="F606" s="1896">
        <v>745</v>
      </c>
      <c r="G606" s="1897">
        <v>0.45616107382550342</v>
      </c>
      <c r="H606" s="1897">
        <v>0.46518120805369129</v>
      </c>
      <c r="I606" s="1897">
        <v>0.45551677852348993</v>
      </c>
      <c r="J606" s="1897">
        <v>0.40268456375838924</v>
      </c>
      <c r="K606" s="1897">
        <v>0.2134228187919463</v>
      </c>
      <c r="L606" s="1897">
        <v>0.50738255033557045</v>
      </c>
      <c r="M606" s="1897">
        <v>0.46711409395973152</v>
      </c>
      <c r="N606" s="1897">
        <v>0.3825503355704698</v>
      </c>
      <c r="O606" s="1897">
        <v>0.36241610738255031</v>
      </c>
      <c r="P606" s="1897">
        <v>0.33422818791946307</v>
      </c>
      <c r="Q606" s="1897">
        <v>0.27785234899328859</v>
      </c>
      <c r="R606" s="1897">
        <v>0.35033557046979868</v>
      </c>
      <c r="S606" s="1898">
        <f t="shared" si="18"/>
        <v>0.38957046979865773</v>
      </c>
    </row>
    <row r="607" spans="1:19">
      <c r="A607" s="1894">
        <f t="shared" si="19"/>
        <v>600</v>
      </c>
      <c r="B607" s="1895" t="s">
        <v>3487</v>
      </c>
      <c r="C607" s="1894" t="s">
        <v>524</v>
      </c>
      <c r="D607" s="1895" t="s">
        <v>541</v>
      </c>
      <c r="E607" s="1894" t="s">
        <v>259</v>
      </c>
      <c r="F607" s="1896">
        <v>750</v>
      </c>
      <c r="G607" s="1897">
        <v>0.91327999999999987</v>
      </c>
      <c r="H607" s="1897">
        <v>0.94399999999999995</v>
      </c>
      <c r="I607" s="1897">
        <v>0.88575999999999988</v>
      </c>
      <c r="J607" s="1897">
        <v>0.84095999999999993</v>
      </c>
      <c r="K607" s="1897">
        <v>2.1160000000000001</v>
      </c>
      <c r="L607" s="1897">
        <v>0.9343999999999999</v>
      </c>
      <c r="M607" s="1897">
        <v>0.91679999999999984</v>
      </c>
      <c r="N607" s="1897">
        <v>0.96</v>
      </c>
      <c r="O607" s="1897">
        <v>0.93119999999999992</v>
      </c>
      <c r="P607" s="1897">
        <v>0.89759999999999995</v>
      </c>
      <c r="Q607" s="1897">
        <v>0.95520000000000016</v>
      </c>
      <c r="R607" s="1897">
        <v>0.93280000000000007</v>
      </c>
      <c r="S607" s="1898">
        <f t="shared" si="18"/>
        <v>1.0189999999999999</v>
      </c>
    </row>
    <row r="608" spans="1:19">
      <c r="A608" s="1894">
        <f t="shared" si="19"/>
        <v>601</v>
      </c>
      <c r="B608" s="1895" t="s">
        <v>3488</v>
      </c>
      <c r="C608" s="1894" t="s">
        <v>524</v>
      </c>
      <c r="D608" s="1895" t="s">
        <v>541</v>
      </c>
      <c r="E608" s="1894" t="s">
        <v>259</v>
      </c>
      <c r="F608" s="1896">
        <v>750</v>
      </c>
      <c r="G608" s="1897">
        <v>2.641509433962264</v>
      </c>
      <c r="H608" s="1897">
        <v>0.78293333333333337</v>
      </c>
      <c r="I608" s="1897">
        <v>0.59839999999999993</v>
      </c>
      <c r="J608" s="1897">
        <v>0.53653333333333331</v>
      </c>
      <c r="K608" s="1897">
        <v>0.52800000000000002</v>
      </c>
      <c r="L608" s="1897">
        <v>0.55680000000000007</v>
      </c>
      <c r="M608" s="1897">
        <v>0.63680000000000003</v>
      </c>
      <c r="N608" s="1897">
        <v>0.65493333333333337</v>
      </c>
      <c r="O608" s="1897">
        <v>0.7221333333333334</v>
      </c>
      <c r="P608" s="1897">
        <v>0.66986666666666661</v>
      </c>
      <c r="Q608" s="1897">
        <v>0.69440000000000013</v>
      </c>
      <c r="R608" s="1897">
        <v>0.75839999999999996</v>
      </c>
      <c r="S608" s="1898">
        <f t="shared" si="18"/>
        <v>0.81505911949685539</v>
      </c>
    </row>
    <row r="609" spans="1:19">
      <c r="A609" s="1894">
        <f t="shared" si="19"/>
        <v>602</v>
      </c>
      <c r="B609" s="1895" t="s">
        <v>3489</v>
      </c>
      <c r="C609" s="1894" t="s">
        <v>524</v>
      </c>
      <c r="D609" s="1895" t="s">
        <v>541</v>
      </c>
      <c r="E609" s="1894" t="s">
        <v>259</v>
      </c>
      <c r="F609" s="1896">
        <v>750</v>
      </c>
      <c r="G609" s="1897">
        <v>0.90933333333333333</v>
      </c>
      <c r="H609" s="1897">
        <v>0.752</v>
      </c>
      <c r="I609" s="1897">
        <v>0.26133333333333331</v>
      </c>
      <c r="J609" s="1897">
        <v>0.73599999999999999</v>
      </c>
      <c r="K609" s="1897">
        <v>0.26400000000000001</v>
      </c>
      <c r="L609" s="1897">
        <v>0.75466666666666671</v>
      </c>
      <c r="M609" s="1897">
        <v>0.752</v>
      </c>
      <c r="N609" s="1897">
        <v>0.25600000000000001</v>
      </c>
      <c r="O609" s="1897">
        <v>0.248</v>
      </c>
      <c r="P609" s="1897">
        <v>0.50666666666666671</v>
      </c>
      <c r="Q609" s="1897">
        <v>0.23466666666666666</v>
      </c>
      <c r="R609" s="1897">
        <v>0.29066666666666668</v>
      </c>
      <c r="S609" s="1898">
        <f t="shared" si="18"/>
        <v>0.49711111111111123</v>
      </c>
    </row>
    <row r="610" spans="1:19">
      <c r="A610" s="1894">
        <f t="shared" si="19"/>
        <v>603</v>
      </c>
      <c r="B610" s="1895" t="s">
        <v>3490</v>
      </c>
      <c r="C610" s="1894" t="s">
        <v>524</v>
      </c>
      <c r="D610" s="1895" t="s">
        <v>541</v>
      </c>
      <c r="E610" s="1894" t="s">
        <v>259</v>
      </c>
      <c r="F610" s="1896">
        <v>800</v>
      </c>
      <c r="G610" s="1897">
        <v>1.0920000000000001</v>
      </c>
      <c r="H610" s="1897">
        <v>0.73150000000000004</v>
      </c>
      <c r="I610" s="1897">
        <v>0.66699999999999993</v>
      </c>
      <c r="J610" s="1897">
        <v>0.39250000000000002</v>
      </c>
      <c r="K610" s="1897">
        <v>0.44500000000000001</v>
      </c>
      <c r="L610" s="1897">
        <v>0.58850000000000002</v>
      </c>
      <c r="M610" s="1897">
        <v>0.61</v>
      </c>
      <c r="N610" s="1897">
        <v>0.65600000000000014</v>
      </c>
      <c r="O610" s="1897">
        <v>0.65199999999999991</v>
      </c>
      <c r="P610" s="1897">
        <v>0.65300000000000002</v>
      </c>
      <c r="Q610" s="1897">
        <v>0.68</v>
      </c>
      <c r="R610" s="1897">
        <v>0.65949999999999986</v>
      </c>
      <c r="S610" s="1898">
        <f t="shared" si="18"/>
        <v>0.65225</v>
      </c>
    </row>
    <row r="611" spans="1:19">
      <c r="A611" s="1894">
        <f t="shared" si="19"/>
        <v>604</v>
      </c>
      <c r="B611" s="1895" t="s">
        <v>3491</v>
      </c>
      <c r="C611" s="1894" t="s">
        <v>524</v>
      </c>
      <c r="D611" s="1895" t="s">
        <v>541</v>
      </c>
      <c r="E611" s="1894" t="s">
        <v>259</v>
      </c>
      <c r="F611" s="1896">
        <v>800</v>
      </c>
      <c r="G611" s="1897">
        <v>0</v>
      </c>
      <c r="H611" s="1897">
        <v>0</v>
      </c>
      <c r="I611" s="1897">
        <v>0</v>
      </c>
      <c r="J611" s="1897">
        <v>0.97846153846153849</v>
      </c>
      <c r="K611" s="1897">
        <v>1.043076923076923</v>
      </c>
      <c r="L611" s="1897">
        <v>1.0818461538461539</v>
      </c>
      <c r="M611" s="1897">
        <v>1.1076923076923078</v>
      </c>
      <c r="N611" s="1897">
        <v>1.1850000000000001</v>
      </c>
      <c r="O611" s="1897">
        <v>1.0110000000000001</v>
      </c>
      <c r="P611" s="1897">
        <v>1.002</v>
      </c>
      <c r="Q611" s="1897">
        <v>0.97049999999999992</v>
      </c>
      <c r="R611" s="1897">
        <v>1.0004999999999999</v>
      </c>
      <c r="S611" s="1898">
        <f t="shared" si="18"/>
        <v>0.78167307692307697</v>
      </c>
    </row>
    <row r="612" spans="1:19">
      <c r="A612" s="1894">
        <f t="shared" si="19"/>
        <v>605</v>
      </c>
      <c r="B612" s="1895" t="s">
        <v>3492</v>
      </c>
      <c r="C612" s="1894" t="s">
        <v>524</v>
      </c>
      <c r="D612" s="1895" t="s">
        <v>541</v>
      </c>
      <c r="E612" s="1894" t="s">
        <v>259</v>
      </c>
      <c r="F612" s="1896">
        <v>800</v>
      </c>
      <c r="G612" s="1897">
        <v>0.73724999999999996</v>
      </c>
      <c r="H612" s="1897">
        <v>0.70874999999999999</v>
      </c>
      <c r="I612" s="1897">
        <v>0.71400000000000008</v>
      </c>
      <c r="J612" s="1897">
        <v>0.73499999999999999</v>
      </c>
      <c r="K612" s="1897">
        <v>0.84974999999999989</v>
      </c>
      <c r="L612" s="1897">
        <v>0.7027500000000001</v>
      </c>
      <c r="M612" s="1897">
        <v>0.81825000000000003</v>
      </c>
      <c r="N612" s="1897">
        <v>0.86024999999999996</v>
      </c>
      <c r="O612" s="1897">
        <v>0.84899999999999987</v>
      </c>
      <c r="P612" s="1897">
        <v>0.9577500000000001</v>
      </c>
      <c r="Q612" s="1897">
        <v>0.83774999999999988</v>
      </c>
      <c r="R612" s="1897">
        <v>0.78825000000000001</v>
      </c>
      <c r="S612" s="1898">
        <f t="shared" si="18"/>
        <v>0.79656249999999995</v>
      </c>
    </row>
    <row r="613" spans="1:19">
      <c r="A613" s="1894">
        <f t="shared" si="19"/>
        <v>606</v>
      </c>
      <c r="B613" s="1895" t="s">
        <v>3493</v>
      </c>
      <c r="C613" s="1894" t="s">
        <v>524</v>
      </c>
      <c r="D613" s="1895" t="s">
        <v>541</v>
      </c>
      <c r="E613" s="1894" t="s">
        <v>259</v>
      </c>
      <c r="F613" s="1896">
        <v>800</v>
      </c>
      <c r="G613" s="1897">
        <v>0.97020000000000006</v>
      </c>
      <c r="H613" s="1897">
        <v>0.90269999999999995</v>
      </c>
      <c r="I613" s="1897">
        <v>1.0125</v>
      </c>
      <c r="J613" s="1897">
        <v>0.98099999999999998</v>
      </c>
      <c r="K613" s="1897">
        <v>0.95399999999999996</v>
      </c>
      <c r="L613" s="1897">
        <v>0.98730000000000007</v>
      </c>
      <c r="M613" s="1897">
        <v>0.9396000000000001</v>
      </c>
      <c r="N613" s="1897">
        <v>0.93330000000000002</v>
      </c>
      <c r="O613" s="1897">
        <v>0.94590000000000007</v>
      </c>
      <c r="P613" s="1897">
        <v>0.92699999999999994</v>
      </c>
      <c r="Q613" s="1897">
        <v>0.99540000000000006</v>
      </c>
      <c r="R613" s="1897">
        <v>0.87120000000000009</v>
      </c>
      <c r="S613" s="1898">
        <f t="shared" si="18"/>
        <v>0.95167499999999994</v>
      </c>
    </row>
    <row r="614" spans="1:19">
      <c r="A614" s="1894">
        <f t="shared" si="19"/>
        <v>607</v>
      </c>
      <c r="B614" s="1895" t="s">
        <v>3494</v>
      </c>
      <c r="C614" s="1894" t="s">
        <v>524</v>
      </c>
      <c r="D614" s="1895" t="s">
        <v>541</v>
      </c>
      <c r="E614" s="1894" t="s">
        <v>259</v>
      </c>
      <c r="F614" s="1896">
        <v>800</v>
      </c>
      <c r="G614" s="1897">
        <v>0.35</v>
      </c>
      <c r="H614" s="1897">
        <v>0.33</v>
      </c>
      <c r="I614" s="1897">
        <v>0.33</v>
      </c>
      <c r="J614" s="1897">
        <v>0.3</v>
      </c>
      <c r="K614" s="1897">
        <v>0.3</v>
      </c>
      <c r="L614" s="1897">
        <v>0.31</v>
      </c>
      <c r="M614" s="1897">
        <v>0.3</v>
      </c>
      <c r="N614" s="1897">
        <v>0.34</v>
      </c>
      <c r="O614" s="1897">
        <v>0.58799999999999997</v>
      </c>
      <c r="P614" s="1897">
        <v>0.42</v>
      </c>
      <c r="Q614" s="1897">
        <v>0.43</v>
      </c>
      <c r="R614" s="1897">
        <v>0.43799999999999994</v>
      </c>
      <c r="S614" s="1898">
        <f t="shared" si="18"/>
        <v>0.36966666666666664</v>
      </c>
    </row>
    <row r="615" spans="1:19">
      <c r="A615" s="1894">
        <f t="shared" si="19"/>
        <v>608</v>
      </c>
      <c r="B615" s="1895" t="s">
        <v>3495</v>
      </c>
      <c r="C615" s="1894" t="s">
        <v>524</v>
      </c>
      <c r="D615" s="1895" t="s">
        <v>629</v>
      </c>
      <c r="E615" s="1894" t="s">
        <v>259</v>
      </c>
      <c r="F615" s="1896">
        <v>810</v>
      </c>
      <c r="G615" s="1897">
        <v>0.42962962962962964</v>
      </c>
      <c r="H615" s="1897">
        <v>0.44197530864197532</v>
      </c>
      <c r="I615" s="1897">
        <v>0.44444444444444442</v>
      </c>
      <c r="J615" s="1897">
        <v>0.34814814814814815</v>
      </c>
      <c r="K615" s="1897">
        <v>0.40148148148148149</v>
      </c>
      <c r="L615" s="1897">
        <v>0.41185185185185186</v>
      </c>
      <c r="M615" s="1897">
        <v>0.30567901234567901</v>
      </c>
      <c r="N615" s="1897">
        <v>0.26666666666666666</v>
      </c>
      <c r="O615" s="1897">
        <v>0.29580246913580244</v>
      </c>
      <c r="P615" s="1897">
        <v>0.28098765432098766</v>
      </c>
      <c r="Q615" s="1897">
        <v>0.27259259259259255</v>
      </c>
      <c r="R615" s="1897">
        <v>0.24543209876543212</v>
      </c>
      <c r="S615" s="1898">
        <f t="shared" si="18"/>
        <v>0.34539094650205765</v>
      </c>
    </row>
    <row r="616" spans="1:19">
      <c r="A616" s="1894">
        <f t="shared" si="19"/>
        <v>609</v>
      </c>
      <c r="B616" s="1895" t="s">
        <v>3496</v>
      </c>
      <c r="C616" s="1894" t="s">
        <v>524</v>
      </c>
      <c r="D616" s="1895" t="s">
        <v>623</v>
      </c>
      <c r="E616" s="1894" t="s">
        <v>259</v>
      </c>
      <c r="F616" s="1896">
        <v>825</v>
      </c>
      <c r="G616" s="1897">
        <v>0.82763636363636361</v>
      </c>
      <c r="H616" s="1897">
        <v>0.84993939393939399</v>
      </c>
      <c r="I616" s="1897">
        <v>0.84412121212121205</v>
      </c>
      <c r="J616" s="1897">
        <v>0.82812121212121215</v>
      </c>
      <c r="K616" s="1897">
        <v>0.78933333333333344</v>
      </c>
      <c r="L616" s="1897">
        <v>0.76606060606060611</v>
      </c>
      <c r="M616" s="1897">
        <v>0.800969696969697</v>
      </c>
      <c r="N616" s="1897">
        <v>0.75684848484848477</v>
      </c>
      <c r="O616" s="1897">
        <v>0.7253333333333335</v>
      </c>
      <c r="P616" s="1897">
        <v>0.75878787878787879</v>
      </c>
      <c r="Q616" s="1897">
        <v>0.80436363636363639</v>
      </c>
      <c r="R616" s="1897">
        <v>0.75733333333333341</v>
      </c>
      <c r="S616" s="1898">
        <f t="shared" si="18"/>
        <v>0.79240404040404044</v>
      </c>
    </row>
    <row r="617" spans="1:19">
      <c r="A617" s="1894">
        <f t="shared" si="19"/>
        <v>610</v>
      </c>
      <c r="B617" s="1895" t="s">
        <v>3497</v>
      </c>
      <c r="C617" s="1894" t="s">
        <v>524</v>
      </c>
      <c r="D617" s="1895" t="s">
        <v>730</v>
      </c>
      <c r="E617" s="1894" t="s">
        <v>259</v>
      </c>
      <c r="F617" s="1896">
        <v>828</v>
      </c>
      <c r="G617" s="1897">
        <v>0</v>
      </c>
      <c r="H617" s="1897">
        <v>0</v>
      </c>
      <c r="I617" s="1897">
        <v>0</v>
      </c>
      <c r="J617" s="1897">
        <v>0</v>
      </c>
      <c r="K617" s="1897">
        <v>0</v>
      </c>
      <c r="L617" s="1897">
        <v>0</v>
      </c>
      <c r="M617" s="1897">
        <v>0</v>
      </c>
      <c r="N617" s="1897">
        <v>0</v>
      </c>
      <c r="O617" s="1897">
        <v>0</v>
      </c>
      <c r="P617" s="1897">
        <v>0.34782608695652173</v>
      </c>
      <c r="Q617" s="1897">
        <v>0.34685990338164252</v>
      </c>
      <c r="R617" s="1897">
        <v>0.45507246376811594</v>
      </c>
      <c r="S617" s="1898">
        <f t="shared" si="18"/>
        <v>9.5813204508856678E-2</v>
      </c>
    </row>
    <row r="618" spans="1:19">
      <c r="A618" s="1894">
        <f t="shared" si="19"/>
        <v>611</v>
      </c>
      <c r="B618" s="1895" t="s">
        <v>3498</v>
      </c>
      <c r="C618" s="1894" t="s">
        <v>524</v>
      </c>
      <c r="D618" s="1895" t="s">
        <v>2966</v>
      </c>
      <c r="E618" s="1894" t="s">
        <v>259</v>
      </c>
      <c r="F618" s="1896">
        <v>833</v>
      </c>
      <c r="G618" s="1897">
        <v>0.745</v>
      </c>
      <c r="H618" s="1897">
        <v>1.0529999999999999</v>
      </c>
      <c r="I618" s="1897">
        <v>1.9690000000000001</v>
      </c>
      <c r="J618" s="1897">
        <v>0.52300000000000002</v>
      </c>
      <c r="K618" s="1897">
        <v>0.72900000000000009</v>
      </c>
      <c r="L618" s="1897">
        <v>0.51764705882352935</v>
      </c>
      <c r="M618" s="1897">
        <v>0.53061224489795922</v>
      </c>
      <c r="N618" s="1897">
        <v>1.8247298919567827E-2</v>
      </c>
      <c r="O618" s="1897">
        <v>1.8247298919567827E-2</v>
      </c>
      <c r="P618" s="1897">
        <v>2.2088835534213685E-2</v>
      </c>
      <c r="Q618" s="1897">
        <v>0.10852340936374551</v>
      </c>
      <c r="R618" s="1897">
        <v>0.20696278511404562</v>
      </c>
      <c r="S618" s="1898">
        <f t="shared" si="18"/>
        <v>0.5367774109643858</v>
      </c>
    </row>
    <row r="619" spans="1:19">
      <c r="A619" s="1894">
        <f t="shared" si="19"/>
        <v>612</v>
      </c>
      <c r="B619" s="1895" t="s">
        <v>3499</v>
      </c>
      <c r="C619" s="1894" t="s">
        <v>524</v>
      </c>
      <c r="D619" s="1895" t="s">
        <v>629</v>
      </c>
      <c r="E619" s="1894" t="s">
        <v>259</v>
      </c>
      <c r="F619" s="1896">
        <v>833.33</v>
      </c>
      <c r="G619" s="1897">
        <v>5.068820275281101E-2</v>
      </c>
      <c r="H619" s="1897">
        <v>4.723218892875572E-2</v>
      </c>
      <c r="I619" s="1897">
        <v>4.7808191232764932E-2</v>
      </c>
      <c r="J619" s="1897">
        <v>4.723218892875572E-2</v>
      </c>
      <c r="K619" s="1897">
        <v>0.18259273037092147</v>
      </c>
      <c r="L619" s="1897">
        <v>4.608018432073728E-2</v>
      </c>
      <c r="M619" s="1897">
        <v>4.0896163584654345E-2</v>
      </c>
      <c r="N619" s="1897">
        <v>3.5136140544562176E-2</v>
      </c>
      <c r="O619" s="1897">
        <v>3.4560138240552964E-2</v>
      </c>
      <c r="P619" s="1897">
        <v>3.6288145152580609E-2</v>
      </c>
      <c r="Q619" s="1897">
        <v>3.7440149760599041E-2</v>
      </c>
      <c r="R619" s="1897">
        <v>3.4560138240552964E-2</v>
      </c>
      <c r="S619" s="1898">
        <f t="shared" si="18"/>
        <v>5.3376213504854018E-2</v>
      </c>
    </row>
    <row r="620" spans="1:19">
      <c r="A620" s="1894">
        <f t="shared" si="19"/>
        <v>613</v>
      </c>
      <c r="B620" s="1895" t="s">
        <v>3500</v>
      </c>
      <c r="C620" s="1894" t="s">
        <v>524</v>
      </c>
      <c r="D620" s="1895" t="s">
        <v>541</v>
      </c>
      <c r="E620" s="1894" t="s">
        <v>259</v>
      </c>
      <c r="F620" s="1896">
        <v>834</v>
      </c>
      <c r="G620" s="1897">
        <v>0</v>
      </c>
      <c r="H620" s="1897">
        <v>0</v>
      </c>
      <c r="I620" s="1897">
        <v>0.2497841726618705</v>
      </c>
      <c r="J620" s="1897">
        <v>0.39597122302158272</v>
      </c>
      <c r="K620" s="1897">
        <v>0.1306474820143885</v>
      </c>
      <c r="L620" s="1897">
        <v>0.45697841726618704</v>
      </c>
      <c r="M620" s="1897">
        <v>0.40517985611510793</v>
      </c>
      <c r="N620" s="1897">
        <v>0.41496402877697841</v>
      </c>
      <c r="O620" s="1897">
        <v>0.50820143884892088</v>
      </c>
      <c r="P620" s="1897">
        <v>0.27107913669064748</v>
      </c>
      <c r="Q620" s="1897">
        <v>0.40230215827338134</v>
      </c>
      <c r="R620" s="1897">
        <v>0.4005755395683453</v>
      </c>
      <c r="S620" s="1898">
        <f t="shared" si="18"/>
        <v>0.30297362110311749</v>
      </c>
    </row>
    <row r="621" spans="1:19">
      <c r="A621" s="1894">
        <f t="shared" si="19"/>
        <v>614</v>
      </c>
      <c r="B621" s="1895" t="s">
        <v>3501</v>
      </c>
      <c r="C621" s="1894" t="s">
        <v>524</v>
      </c>
      <c r="D621" s="1895" t="s">
        <v>541</v>
      </c>
      <c r="E621" s="1894" t="s">
        <v>259</v>
      </c>
      <c r="F621" s="1896">
        <v>834</v>
      </c>
      <c r="G621" s="1897">
        <v>0.60623501199040775</v>
      </c>
      <c r="H621" s="1897">
        <v>0.60479616306954431</v>
      </c>
      <c r="I621" s="1897">
        <v>0.60671462829736211</v>
      </c>
      <c r="J621" s="1897">
        <v>0.60383693045563547</v>
      </c>
      <c r="K621" s="1897">
        <v>0.60863309352517991</v>
      </c>
      <c r="L621" s="1897">
        <v>0.56786570743405274</v>
      </c>
      <c r="M621" s="1897">
        <v>0.61438848920863309</v>
      </c>
      <c r="N621" s="1897">
        <v>0.56690647482014389</v>
      </c>
      <c r="O621" s="1897">
        <v>0.48201438848920863</v>
      </c>
      <c r="P621" s="1897">
        <v>0.63405275779376502</v>
      </c>
      <c r="Q621" s="1897">
        <v>0.67865707434052758</v>
      </c>
      <c r="R621" s="1897">
        <v>0.7294964028776979</v>
      </c>
      <c r="S621" s="1898">
        <f t="shared" si="18"/>
        <v>0.6086330935251798</v>
      </c>
    </row>
    <row r="622" spans="1:19">
      <c r="A622" s="1894">
        <f t="shared" si="19"/>
        <v>615</v>
      </c>
      <c r="B622" s="1895" t="s">
        <v>3502</v>
      </c>
      <c r="C622" s="1894" t="s">
        <v>524</v>
      </c>
      <c r="D622" s="1895" t="s">
        <v>541</v>
      </c>
      <c r="E622" s="1894" t="s">
        <v>259</v>
      </c>
      <c r="F622" s="1896">
        <v>850</v>
      </c>
      <c r="G622" s="1897">
        <v>0.87388235294117644</v>
      </c>
      <c r="H622" s="1897">
        <v>0.86117647058823532</v>
      </c>
      <c r="I622" s="1897">
        <v>0.93952941176470595</v>
      </c>
      <c r="J622" s="1897">
        <v>0.85694117647058821</v>
      </c>
      <c r="K622" s="1897">
        <v>0.82658823529411762</v>
      </c>
      <c r="L622" s="1897">
        <v>0.8216470588235294</v>
      </c>
      <c r="M622" s="1897">
        <v>0.84070588235294119</v>
      </c>
      <c r="N622" s="1897">
        <v>0.84070588235294119</v>
      </c>
      <c r="O622" s="1897">
        <v>0.87247058823529411</v>
      </c>
      <c r="P622" s="1897">
        <v>0.94094117647058817</v>
      </c>
      <c r="Q622" s="1897">
        <v>0.88023529411764712</v>
      </c>
      <c r="R622" s="1897">
        <v>0.89576470588235302</v>
      </c>
      <c r="S622" s="1898">
        <f t="shared" si="18"/>
        <v>0.87088235294117655</v>
      </c>
    </row>
    <row r="623" spans="1:19">
      <c r="A623" s="1894">
        <f t="shared" si="19"/>
        <v>616</v>
      </c>
      <c r="B623" s="1895" t="s">
        <v>3503</v>
      </c>
      <c r="C623" s="1894" t="s">
        <v>524</v>
      </c>
      <c r="D623" s="1895" t="s">
        <v>541</v>
      </c>
      <c r="E623" s="1894" t="s">
        <v>259</v>
      </c>
      <c r="F623" s="1896">
        <v>860</v>
      </c>
      <c r="G623" s="1897">
        <v>0.90697674418604646</v>
      </c>
      <c r="H623" s="1897">
        <v>0.88837209302325582</v>
      </c>
      <c r="I623" s="1897">
        <v>0.9013953488372094</v>
      </c>
      <c r="J623" s="1897">
        <v>0.83534883720930242</v>
      </c>
      <c r="K623" s="1897">
        <v>0.60465116279069764</v>
      </c>
      <c r="L623" s="1897">
        <v>0.90697674418604646</v>
      </c>
      <c r="M623" s="1897">
        <v>0.95255813953488377</v>
      </c>
      <c r="N623" s="1897">
        <v>0.94232558139534883</v>
      </c>
      <c r="O623" s="1897">
        <v>0.92697674418604659</v>
      </c>
      <c r="P623" s="1897">
        <v>0.91302325581395349</v>
      </c>
      <c r="Q623" s="1897">
        <v>0.96325581395348836</v>
      </c>
      <c r="R623" s="1897">
        <v>0.93720930232558142</v>
      </c>
      <c r="S623" s="1898">
        <f t="shared" si="18"/>
        <v>0.889922480620155</v>
      </c>
    </row>
    <row r="624" spans="1:19">
      <c r="A624" s="1894">
        <f t="shared" si="19"/>
        <v>617</v>
      </c>
      <c r="B624" s="1895" t="s">
        <v>3504</v>
      </c>
      <c r="C624" s="1894" t="s">
        <v>524</v>
      </c>
      <c r="D624" s="1895" t="s">
        <v>737</v>
      </c>
      <c r="E624" s="1894" t="s">
        <v>259</v>
      </c>
      <c r="F624" s="1896">
        <v>860</v>
      </c>
      <c r="G624" s="1897">
        <v>0.3530232558139535</v>
      </c>
      <c r="H624" s="1897">
        <v>0.3906976744186047</v>
      </c>
      <c r="I624" s="1897">
        <v>0.40409302325581398</v>
      </c>
      <c r="J624" s="1897">
        <v>0.432</v>
      </c>
      <c r="K624" s="1897">
        <v>0.16074418604651164</v>
      </c>
      <c r="L624" s="1897">
        <v>0.43367441860465122</v>
      </c>
      <c r="M624" s="1897">
        <v>0.4325581395348837</v>
      </c>
      <c r="N624" s="1897">
        <v>0.2556279069767442</v>
      </c>
      <c r="O624" s="1897">
        <v>0.16074418604651164</v>
      </c>
      <c r="P624" s="1897">
        <v>0.16967441860465116</v>
      </c>
      <c r="Q624" s="1897">
        <v>0.29134883720930232</v>
      </c>
      <c r="R624" s="1897">
        <v>0.35944186046511628</v>
      </c>
      <c r="S624" s="1898">
        <f t="shared" si="18"/>
        <v>0.32030232558139538</v>
      </c>
    </row>
    <row r="625" spans="1:19">
      <c r="A625" s="1894">
        <f t="shared" si="19"/>
        <v>618</v>
      </c>
      <c r="B625" s="1895" t="s">
        <v>3505</v>
      </c>
      <c r="C625" s="1894" t="s">
        <v>524</v>
      </c>
      <c r="D625" s="1895" t="s">
        <v>541</v>
      </c>
      <c r="E625" s="1894" t="s">
        <v>259</v>
      </c>
      <c r="F625" s="1896">
        <v>889</v>
      </c>
      <c r="G625" s="1897">
        <v>0.31424071991001129</v>
      </c>
      <c r="H625" s="1897">
        <v>0.6570978627671541</v>
      </c>
      <c r="I625" s="1897">
        <v>0.88116985376827894</v>
      </c>
      <c r="J625" s="1897">
        <v>0.93354330708661415</v>
      </c>
      <c r="K625" s="1897">
        <v>0.92220472440944889</v>
      </c>
      <c r="L625" s="1897">
        <v>0.83581552305961748</v>
      </c>
      <c r="M625" s="1897">
        <v>0.7413273340832397</v>
      </c>
      <c r="N625" s="1897">
        <v>0.85471316085489313</v>
      </c>
      <c r="O625" s="1897">
        <v>0.89142857142857146</v>
      </c>
      <c r="P625" s="1897">
        <v>0.83419572553430821</v>
      </c>
      <c r="Q625" s="1897">
        <v>0.82825646794150731</v>
      </c>
      <c r="R625" s="1897">
        <v>0.76940382452193468</v>
      </c>
      <c r="S625" s="1898">
        <f t="shared" si="18"/>
        <v>0.78861642294713141</v>
      </c>
    </row>
    <row r="626" spans="1:19">
      <c r="A626" s="1894">
        <f t="shared" si="19"/>
        <v>619</v>
      </c>
      <c r="B626" s="1895" t="s">
        <v>3465</v>
      </c>
      <c r="C626" s="1894" t="s">
        <v>524</v>
      </c>
      <c r="D626" s="1895" t="s">
        <v>541</v>
      </c>
      <c r="E626" s="1894" t="s">
        <v>259</v>
      </c>
      <c r="F626" s="1896">
        <v>889</v>
      </c>
      <c r="G626" s="1897">
        <v>0.98605174353205849</v>
      </c>
      <c r="H626" s="1897">
        <v>0.95163104611923499</v>
      </c>
      <c r="I626" s="1897">
        <v>0.91788526434195739</v>
      </c>
      <c r="J626" s="1897">
        <v>0.99043869516310457</v>
      </c>
      <c r="K626" s="1897">
        <v>1.0191226096737909</v>
      </c>
      <c r="L626" s="1897">
        <v>1.0116985376827896</v>
      </c>
      <c r="M626" s="1897">
        <v>0.95500562429696279</v>
      </c>
      <c r="N626" s="1897">
        <v>1.0275590551181102</v>
      </c>
      <c r="O626" s="1897">
        <v>0.98335208098987614</v>
      </c>
      <c r="P626" s="1897">
        <v>0.96917885264341963</v>
      </c>
      <c r="Q626" s="1897">
        <v>1.0056242969628797</v>
      </c>
      <c r="R626" s="1897">
        <v>0.99010123734533173</v>
      </c>
      <c r="S626" s="1898">
        <f t="shared" si="18"/>
        <v>0.98397075365579301</v>
      </c>
    </row>
    <row r="627" spans="1:19">
      <c r="A627" s="1894">
        <f t="shared" si="19"/>
        <v>620</v>
      </c>
      <c r="B627" s="1895" t="s">
        <v>3506</v>
      </c>
      <c r="C627" s="1894" t="s">
        <v>524</v>
      </c>
      <c r="D627" s="1895" t="s">
        <v>709</v>
      </c>
      <c r="E627" s="1894" t="s">
        <v>259</v>
      </c>
      <c r="F627" s="1896">
        <v>900</v>
      </c>
      <c r="G627" s="1897">
        <v>0</v>
      </c>
      <c r="H627" s="1897">
        <v>0</v>
      </c>
      <c r="I627" s="1897">
        <v>0</v>
      </c>
      <c r="J627" s="1897">
        <v>0</v>
      </c>
      <c r="K627" s="1897">
        <v>0</v>
      </c>
      <c r="L627" s="1897">
        <v>0</v>
      </c>
      <c r="M627" s="1897">
        <v>0.69120000000000004</v>
      </c>
      <c r="N627" s="1897">
        <v>1.2E-2</v>
      </c>
      <c r="O627" s="1897">
        <v>7.1999999999999998E-3</v>
      </c>
      <c r="P627" s="1897">
        <v>7.1999999999999998E-3</v>
      </c>
      <c r="Q627" s="1897">
        <v>0.41839999999999999</v>
      </c>
      <c r="R627" s="1897">
        <v>0.47120000000000001</v>
      </c>
      <c r="S627" s="1898">
        <f t="shared" si="18"/>
        <v>0.13393333333333335</v>
      </c>
    </row>
    <row r="628" spans="1:19">
      <c r="A628" s="1894">
        <f t="shared" si="19"/>
        <v>621</v>
      </c>
      <c r="B628" s="1895" t="s">
        <v>3507</v>
      </c>
      <c r="C628" s="1894" t="s">
        <v>524</v>
      </c>
      <c r="D628" s="1895" t="s">
        <v>623</v>
      </c>
      <c r="E628" s="1894" t="s">
        <v>259</v>
      </c>
      <c r="F628" s="1896">
        <v>900</v>
      </c>
      <c r="G628" s="1897">
        <v>0.84444444444444444</v>
      </c>
      <c r="H628" s="1897">
        <v>0.96755555555555561</v>
      </c>
      <c r="I628" s="1897">
        <v>0.98844444444444435</v>
      </c>
      <c r="J628" s="1897">
        <v>0.93066666666666664</v>
      </c>
      <c r="K628" s="1897">
        <v>0.90311111111111109</v>
      </c>
      <c r="L628" s="1897">
        <v>0.820888888888889</v>
      </c>
      <c r="M628" s="1897">
        <v>0.82044444444444442</v>
      </c>
      <c r="N628" s="1897">
        <v>0.7195555555555555</v>
      </c>
      <c r="O628" s="1897">
        <v>0.67333333333333334</v>
      </c>
      <c r="P628" s="1897">
        <v>0.46577777777777785</v>
      </c>
      <c r="Q628" s="1897">
        <v>0.57599999999999996</v>
      </c>
      <c r="R628" s="1897">
        <v>0.95644444444444443</v>
      </c>
      <c r="S628" s="1898">
        <f t="shared" si="18"/>
        <v>0.80555555555555569</v>
      </c>
    </row>
    <row r="629" spans="1:19">
      <c r="A629" s="1894">
        <f t="shared" si="19"/>
        <v>622</v>
      </c>
      <c r="B629" s="1895" t="s">
        <v>3508</v>
      </c>
      <c r="C629" s="1894" t="s">
        <v>524</v>
      </c>
      <c r="D629" s="1895" t="s">
        <v>541</v>
      </c>
      <c r="E629" s="1894" t="s">
        <v>259</v>
      </c>
      <c r="F629" s="1896">
        <v>900</v>
      </c>
      <c r="G629" s="1897">
        <v>0.92333333333333345</v>
      </c>
      <c r="H629" s="1897">
        <v>0.90133333333333321</v>
      </c>
      <c r="I629" s="1897">
        <v>0.88133333333333341</v>
      </c>
      <c r="J629" s="1897">
        <v>0.89533333333333343</v>
      </c>
      <c r="K629" s="1897">
        <v>0.91400000000000003</v>
      </c>
      <c r="L629" s="1897">
        <v>0.90666666666666684</v>
      </c>
      <c r="M629" s="1897">
        <v>0.8826666666666666</v>
      </c>
      <c r="N629" s="1897">
        <v>0.8680000000000001</v>
      </c>
      <c r="O629" s="1897">
        <v>0.8580000000000001</v>
      </c>
      <c r="P629" s="1897">
        <v>0.87733333333333341</v>
      </c>
      <c r="Q629" s="1897">
        <v>0.86466666666666669</v>
      </c>
      <c r="R629" s="1897">
        <v>0.82800000000000007</v>
      </c>
      <c r="S629" s="1898">
        <f t="shared" si="18"/>
        <v>0.88338888888888878</v>
      </c>
    </row>
    <row r="630" spans="1:19">
      <c r="A630" s="1894">
        <f t="shared" si="19"/>
        <v>623</v>
      </c>
      <c r="B630" s="1895" t="s">
        <v>3509</v>
      </c>
      <c r="C630" s="1894" t="s">
        <v>524</v>
      </c>
      <c r="D630" s="1895" t="s">
        <v>541</v>
      </c>
      <c r="E630" s="1894" t="s">
        <v>259</v>
      </c>
      <c r="F630" s="1896">
        <v>900</v>
      </c>
      <c r="G630" s="1897">
        <v>0.70266666666666666</v>
      </c>
      <c r="H630" s="1897">
        <v>0.67333333333333334</v>
      </c>
      <c r="I630" s="1897">
        <v>0.65666666666666662</v>
      </c>
      <c r="J630" s="1897">
        <v>0.67666666666666664</v>
      </c>
      <c r="K630" s="1897">
        <v>0.65533333333333332</v>
      </c>
      <c r="L630" s="1897">
        <v>0.69400000000000006</v>
      </c>
      <c r="M630" s="1897">
        <v>0.6419999999999999</v>
      </c>
      <c r="N630" s="1897">
        <v>0.70200000000000007</v>
      </c>
      <c r="O630" s="1897">
        <v>0.67</v>
      </c>
      <c r="P630" s="1897">
        <v>0.71533333333333338</v>
      </c>
      <c r="Q630" s="1897">
        <v>0.69933333333333336</v>
      </c>
      <c r="R630" s="1897">
        <v>0.68666666666666665</v>
      </c>
      <c r="S630" s="1898">
        <f t="shared" si="18"/>
        <v>0.68116666666666681</v>
      </c>
    </row>
    <row r="631" spans="1:19">
      <c r="A631" s="1894">
        <f t="shared" si="19"/>
        <v>624</v>
      </c>
      <c r="B631" s="1895" t="s">
        <v>3510</v>
      </c>
      <c r="C631" s="1894" t="s">
        <v>524</v>
      </c>
      <c r="D631" s="1895" t="s">
        <v>636</v>
      </c>
      <c r="E631" s="1894" t="s">
        <v>259</v>
      </c>
      <c r="F631" s="1896">
        <v>950</v>
      </c>
      <c r="G631" s="1897">
        <v>0</v>
      </c>
      <c r="H631" s="1897">
        <v>0</v>
      </c>
      <c r="I631" s="1897">
        <v>0</v>
      </c>
      <c r="J631" s="1897">
        <v>0</v>
      </c>
      <c r="K631" s="1897">
        <v>0.16926315789473687</v>
      </c>
      <c r="L631" s="1897">
        <v>1.0092631578947369</v>
      </c>
      <c r="M631" s="1897">
        <v>0.80336842105263162</v>
      </c>
      <c r="N631" s="1897">
        <v>0.78442105263157902</v>
      </c>
      <c r="O631" s="1897">
        <v>0.73894736842105269</v>
      </c>
      <c r="P631" s="1897">
        <v>0.60126315789473694</v>
      </c>
      <c r="Q631" s="1897">
        <v>0.6</v>
      </c>
      <c r="R631" s="1897">
        <v>0.78315789473684205</v>
      </c>
      <c r="S631" s="1898">
        <f t="shared" si="18"/>
        <v>0.45747368421052631</v>
      </c>
    </row>
    <row r="632" spans="1:19">
      <c r="A632" s="1894">
        <f t="shared" si="19"/>
        <v>625</v>
      </c>
      <c r="B632" s="1895" t="s">
        <v>3019</v>
      </c>
      <c r="C632" s="1894" t="s">
        <v>2930</v>
      </c>
      <c r="D632" s="1895" t="s">
        <v>541</v>
      </c>
      <c r="E632" s="1894" t="s">
        <v>259</v>
      </c>
      <c r="F632" s="1896">
        <v>950</v>
      </c>
      <c r="G632" s="1897">
        <v>0.16294736842105262</v>
      </c>
      <c r="H632" s="1897">
        <v>0.12656842105263158</v>
      </c>
      <c r="I632" s="1897">
        <v>7.0484210526315788E-2</v>
      </c>
      <c r="J632" s="1897">
        <v>5.0778947368421055E-2</v>
      </c>
      <c r="K632" s="1897">
        <v>5.6842105263157895E-2</v>
      </c>
      <c r="L632" s="1897">
        <v>0</v>
      </c>
      <c r="M632" s="1897">
        <v>0</v>
      </c>
      <c r="N632" s="1897">
        <v>0</v>
      </c>
      <c r="O632" s="1897">
        <v>0</v>
      </c>
      <c r="P632" s="1897">
        <v>0</v>
      </c>
      <c r="Q632" s="1897">
        <v>0</v>
      </c>
      <c r="R632" s="1897">
        <v>0</v>
      </c>
      <c r="S632" s="1898">
        <f t="shared" si="18"/>
        <v>3.8968421052631576E-2</v>
      </c>
    </row>
    <row r="633" spans="1:19">
      <c r="A633" s="1894">
        <f t="shared" si="19"/>
        <v>626</v>
      </c>
      <c r="B633" s="1895" t="s">
        <v>3511</v>
      </c>
      <c r="C633" s="1894" t="s">
        <v>524</v>
      </c>
      <c r="D633" s="1895" t="s">
        <v>623</v>
      </c>
      <c r="E633" s="1894" t="s">
        <v>259</v>
      </c>
      <c r="F633" s="1896">
        <v>989</v>
      </c>
      <c r="G633" s="1897">
        <v>1.3079878665318503</v>
      </c>
      <c r="H633" s="1897">
        <v>1.4584428715874622</v>
      </c>
      <c r="I633" s="1897">
        <v>1.4754297269969667</v>
      </c>
      <c r="J633" s="1897">
        <v>1.5652173913043479</v>
      </c>
      <c r="K633" s="1897">
        <v>1.5652173913043479</v>
      </c>
      <c r="L633" s="1897">
        <v>1.5652173913043479</v>
      </c>
      <c r="M633" s="1897">
        <v>1.0249999999999999</v>
      </c>
      <c r="N633" s="1897">
        <v>1.2453791708796764</v>
      </c>
      <c r="O633" s="1897">
        <v>1.1279271991911022</v>
      </c>
      <c r="P633" s="1897">
        <v>1.0599797775530841</v>
      </c>
      <c r="Q633" s="1897">
        <v>1.0633771486349846</v>
      </c>
      <c r="R633" s="1897">
        <v>1.3133265925176947</v>
      </c>
      <c r="S633" s="1898">
        <f t="shared" si="18"/>
        <v>1.3143752106504887</v>
      </c>
    </row>
    <row r="634" spans="1:19">
      <c r="A634" s="1894">
        <f t="shared" si="19"/>
        <v>627</v>
      </c>
      <c r="B634" s="1895" t="s">
        <v>3512</v>
      </c>
      <c r="C634" s="1894" t="s">
        <v>524</v>
      </c>
      <c r="D634" s="1895" t="s">
        <v>541</v>
      </c>
      <c r="E634" s="1894" t="s">
        <v>259</v>
      </c>
      <c r="F634" s="1896">
        <v>1000</v>
      </c>
      <c r="G634" s="1897">
        <v>0</v>
      </c>
      <c r="H634" s="1897">
        <v>0</v>
      </c>
      <c r="I634" s="1897">
        <v>3.9600000000000003E-2</v>
      </c>
      <c r="J634" s="1897">
        <v>0.12</v>
      </c>
      <c r="K634" s="1897">
        <v>0.14280000000000001</v>
      </c>
      <c r="L634" s="1897">
        <v>0.114</v>
      </c>
      <c r="M634" s="1897">
        <v>0.1464</v>
      </c>
      <c r="N634" s="1897">
        <v>0.126</v>
      </c>
      <c r="O634" s="1897">
        <v>0.51719999999999999</v>
      </c>
      <c r="P634" s="1897">
        <v>0.20279999999999998</v>
      </c>
      <c r="Q634" s="1897">
        <v>0.21599999999999997</v>
      </c>
      <c r="R634" s="1897">
        <v>0.17519999999999999</v>
      </c>
      <c r="S634" s="1898">
        <f t="shared" si="18"/>
        <v>0.15</v>
      </c>
    </row>
    <row r="635" spans="1:19">
      <c r="A635" s="1894">
        <f t="shared" si="19"/>
        <v>628</v>
      </c>
      <c r="B635" s="1895" t="s">
        <v>3513</v>
      </c>
      <c r="C635" s="1894" t="s">
        <v>524</v>
      </c>
      <c r="D635" s="1895" t="s">
        <v>541</v>
      </c>
      <c r="E635" s="1894" t="s">
        <v>259</v>
      </c>
      <c r="F635" s="1896">
        <v>1000</v>
      </c>
      <c r="G635" s="1897">
        <v>0.71099999999999997</v>
      </c>
      <c r="H635" s="1897">
        <v>0.75359999999999994</v>
      </c>
      <c r="I635" s="1897">
        <v>0.71340000000000015</v>
      </c>
      <c r="J635" s="1897">
        <v>0.68759999999999988</v>
      </c>
      <c r="K635" s="1897">
        <v>0.69419999999999993</v>
      </c>
      <c r="L635" s="1897">
        <v>0.73980000000000001</v>
      </c>
      <c r="M635" s="1897">
        <v>0.76919999999999999</v>
      </c>
      <c r="N635" s="1897">
        <v>0.74579999999999991</v>
      </c>
      <c r="O635" s="1897">
        <v>0.9012</v>
      </c>
      <c r="P635" s="1897">
        <v>0.78779999999999994</v>
      </c>
      <c r="Q635" s="1897">
        <v>1.0128000000000001</v>
      </c>
      <c r="R635" s="1897">
        <v>0.77100000000000002</v>
      </c>
      <c r="S635" s="1898">
        <f t="shared" si="18"/>
        <v>0.77395000000000003</v>
      </c>
    </row>
    <row r="636" spans="1:19">
      <c r="A636" s="1894">
        <f t="shared" si="19"/>
        <v>629</v>
      </c>
      <c r="B636" s="1895" t="s">
        <v>3514</v>
      </c>
      <c r="C636" s="1894" t="s">
        <v>524</v>
      </c>
      <c r="D636" s="1895" t="s">
        <v>623</v>
      </c>
      <c r="E636" s="1894" t="s">
        <v>259</v>
      </c>
      <c r="F636" s="1896">
        <v>1000</v>
      </c>
      <c r="G636" s="1897">
        <v>0.74927999999999995</v>
      </c>
      <c r="H636" s="1897">
        <v>0.83231999999999995</v>
      </c>
      <c r="I636" s="1897">
        <v>1.3428</v>
      </c>
      <c r="J636" s="1897">
        <v>0.85608000000000006</v>
      </c>
      <c r="K636" s="1897">
        <v>0.89855999999999991</v>
      </c>
      <c r="L636" s="1897">
        <v>0.85175999999999996</v>
      </c>
      <c r="M636" s="1897">
        <v>0.78479999999999994</v>
      </c>
      <c r="N636" s="1897">
        <v>0.73799999999999999</v>
      </c>
      <c r="O636" s="1897">
        <v>0.73368000000000011</v>
      </c>
      <c r="P636" s="1897">
        <v>0.70128000000000001</v>
      </c>
      <c r="Q636" s="1897">
        <v>0.72360000000000002</v>
      </c>
      <c r="R636" s="1897">
        <v>0.71640000000000004</v>
      </c>
      <c r="S636" s="1898">
        <f t="shared" si="18"/>
        <v>0.82737999999999989</v>
      </c>
    </row>
    <row r="637" spans="1:19">
      <c r="A637" s="1894">
        <f t="shared" si="19"/>
        <v>630</v>
      </c>
      <c r="B637" s="1895" t="s">
        <v>3515</v>
      </c>
      <c r="C637" s="1894" t="s">
        <v>524</v>
      </c>
      <c r="D637" s="1895" t="s">
        <v>541</v>
      </c>
      <c r="E637" s="1894" t="s">
        <v>259</v>
      </c>
      <c r="F637" s="1896">
        <v>1000</v>
      </c>
      <c r="G637" s="1897">
        <v>0.89087999999999989</v>
      </c>
      <c r="H637" s="1897">
        <v>0.85968000000000011</v>
      </c>
      <c r="I637" s="1897">
        <v>0.81215999999999999</v>
      </c>
      <c r="J637" s="1897">
        <v>0.79488000000000003</v>
      </c>
      <c r="K637" s="1897">
        <v>0.78</v>
      </c>
      <c r="L637" s="1897">
        <v>0.74687999999999999</v>
      </c>
      <c r="M637" s="1897">
        <v>0.73968</v>
      </c>
      <c r="N637" s="1897">
        <v>0.28079999999999999</v>
      </c>
      <c r="O637" s="1897">
        <v>0.82704000000000011</v>
      </c>
      <c r="P637" s="1897">
        <v>0.8049599999999999</v>
      </c>
      <c r="Q637" s="1897">
        <v>0.96863999999999995</v>
      </c>
      <c r="R637" s="1897">
        <v>0.84192</v>
      </c>
      <c r="S637" s="1898">
        <f t="shared" si="18"/>
        <v>0.7789600000000001</v>
      </c>
    </row>
    <row r="638" spans="1:19">
      <c r="A638" s="1894">
        <f t="shared" si="19"/>
        <v>631</v>
      </c>
      <c r="B638" s="1895" t="s">
        <v>3424</v>
      </c>
      <c r="C638" s="1894" t="s">
        <v>524</v>
      </c>
      <c r="D638" s="1895" t="s">
        <v>541</v>
      </c>
      <c r="E638" s="1894" t="s">
        <v>259</v>
      </c>
      <c r="F638" s="1896">
        <v>1000</v>
      </c>
      <c r="G638" s="1897">
        <v>0.90144000000000002</v>
      </c>
      <c r="H638" s="1897">
        <v>0.82296000000000002</v>
      </c>
      <c r="I638" s="1897">
        <v>0.89207999999999987</v>
      </c>
      <c r="J638" s="1897">
        <v>0.6804</v>
      </c>
      <c r="K638" s="1897">
        <v>0.70199999999999996</v>
      </c>
      <c r="L638" s="1897">
        <v>0.89639999999999997</v>
      </c>
      <c r="M638" s="1897">
        <v>0.99480000000000002</v>
      </c>
      <c r="N638" s="1897">
        <v>1.0926000000000002</v>
      </c>
      <c r="O638" s="1897">
        <v>0.9798</v>
      </c>
      <c r="P638" s="1897">
        <v>1.0884</v>
      </c>
      <c r="Q638" s="1897">
        <v>0.96239999999999992</v>
      </c>
      <c r="R638" s="1897">
        <v>0.88080000000000003</v>
      </c>
      <c r="S638" s="1898">
        <f t="shared" si="18"/>
        <v>0.90784000000000009</v>
      </c>
    </row>
    <row r="639" spans="1:19" ht="15">
      <c r="A639" s="1899">
        <f>+A638</f>
        <v>631</v>
      </c>
      <c r="B639" s="1900" t="s">
        <v>3516</v>
      </c>
      <c r="C639" s="1899"/>
      <c r="D639" s="1901"/>
      <c r="E639" s="1899"/>
      <c r="F639" s="1901">
        <f>SUM(F8:F638)</f>
        <v>185685.7</v>
      </c>
      <c r="G639" s="1902">
        <f>AVERAGE(G8:G638)</f>
        <v>0.57434295671893187</v>
      </c>
      <c r="H639" s="1902">
        <f t="shared" ref="H639:S639" si="20">AVERAGE(H8:H638)</f>
        <v>0.6113216252122885</v>
      </c>
      <c r="I639" s="1902">
        <f t="shared" si="20"/>
        <v>0.59893301109131214</v>
      </c>
      <c r="J639" s="1902">
        <f t="shared" si="20"/>
        <v>0.57662590707149863</v>
      </c>
      <c r="K639" s="1902">
        <f t="shared" si="20"/>
        <v>0.51271641905789411</v>
      </c>
      <c r="L639" s="1902">
        <f t="shared" si="20"/>
        <v>0.52619792477388883</v>
      </c>
      <c r="M639" s="1902">
        <f t="shared" si="20"/>
        <v>0.49419085567859788</v>
      </c>
      <c r="N639" s="1902">
        <f t="shared" si="20"/>
        <v>0.44935510514628635</v>
      </c>
      <c r="O639" s="1902">
        <f t="shared" si="20"/>
        <v>0.4530464306191595</v>
      </c>
      <c r="P639" s="1902">
        <f t="shared" si="20"/>
        <v>0.49372604120597696</v>
      </c>
      <c r="Q639" s="1902">
        <f t="shared" si="20"/>
        <v>0.53575902539350972</v>
      </c>
      <c r="R639" s="1902">
        <f t="shared" si="20"/>
        <v>0.56867028688870314</v>
      </c>
      <c r="S639" s="1902">
        <f t="shared" si="20"/>
        <v>0.53290713240483745</v>
      </c>
    </row>
    <row r="640" spans="1:19" ht="15">
      <c r="A640" s="1894"/>
      <c r="B640" s="1891" t="s">
        <v>3517</v>
      </c>
      <c r="C640" s="1894"/>
      <c r="D640" s="1895"/>
      <c r="E640" s="1894"/>
      <c r="F640" s="1895"/>
      <c r="G640" s="1903"/>
      <c r="H640" s="1903"/>
      <c r="I640" s="1903"/>
      <c r="J640" s="1903"/>
      <c r="K640" s="1903"/>
      <c r="L640" s="1903"/>
      <c r="M640" s="1903"/>
      <c r="N640" s="1903"/>
      <c r="O640" s="1903"/>
      <c r="P640" s="1903"/>
      <c r="Q640" s="1903"/>
      <c r="R640" s="1903"/>
      <c r="S640" s="1904"/>
    </row>
    <row r="641" spans="1:19">
      <c r="A641" s="1894">
        <v>1</v>
      </c>
      <c r="B641" s="1895" t="s">
        <v>732</v>
      </c>
      <c r="C641" s="1894" t="s">
        <v>524</v>
      </c>
      <c r="D641" s="1895" t="s">
        <v>730</v>
      </c>
      <c r="E641" s="1894" t="s">
        <v>259</v>
      </c>
      <c r="F641" s="1896">
        <v>1150</v>
      </c>
      <c r="G641" s="1897">
        <v>0.34935652173913045</v>
      </c>
      <c r="H641" s="1897">
        <v>0.3449739130434783</v>
      </c>
      <c r="I641" s="1897">
        <v>0.35123478260869562</v>
      </c>
      <c r="J641" s="1897">
        <v>0.36062608695652171</v>
      </c>
      <c r="K641" s="1897">
        <v>0.36939130434782602</v>
      </c>
      <c r="L641" s="1897">
        <v>0.3424695652173913</v>
      </c>
      <c r="M641" s="1897">
        <v>0.34998260869565212</v>
      </c>
      <c r="N641" s="1897">
        <v>0.35561739130434789</v>
      </c>
      <c r="O641" s="1897">
        <v>0.34747826086956524</v>
      </c>
      <c r="P641" s="1897">
        <v>0.35561739130434789</v>
      </c>
      <c r="Q641" s="1897">
        <v>0.3618782608695652</v>
      </c>
      <c r="R641" s="1897">
        <v>0.35937391304347821</v>
      </c>
      <c r="S641" s="1898">
        <f t="shared" si="18"/>
        <v>0.35399999999999993</v>
      </c>
    </row>
    <row r="642" spans="1:19">
      <c r="A642" s="1894">
        <f t="shared" si="19"/>
        <v>2</v>
      </c>
      <c r="B642" s="1895" t="s">
        <v>690</v>
      </c>
      <c r="C642" s="1894" t="s">
        <v>524</v>
      </c>
      <c r="D642" s="1895" t="s">
        <v>541</v>
      </c>
      <c r="E642" s="1894" t="s">
        <v>259</v>
      </c>
      <c r="F642" s="1896">
        <v>1200</v>
      </c>
      <c r="G642" s="1897">
        <v>0.86486486486486491</v>
      </c>
      <c r="H642" s="1897">
        <v>0.85225225225225232</v>
      </c>
      <c r="I642" s="1897">
        <v>0.86666666666666659</v>
      </c>
      <c r="J642" s="1897">
        <v>0.55495495495495495</v>
      </c>
      <c r="K642" s="1897">
        <v>0.79639639639639648</v>
      </c>
      <c r="L642" s="1897">
        <v>0.27266666666666667</v>
      </c>
      <c r="M642" s="1897">
        <v>0.34866666666666662</v>
      </c>
      <c r="N642" s="1897">
        <v>0.50599999999999989</v>
      </c>
      <c r="O642" s="1897">
        <v>0.81</v>
      </c>
      <c r="P642" s="1897">
        <v>0.96733333333333327</v>
      </c>
      <c r="Q642" s="1897">
        <v>0.95466666666666655</v>
      </c>
      <c r="R642" s="1897">
        <v>0.94533333333333336</v>
      </c>
      <c r="S642" s="1898">
        <f t="shared" si="18"/>
        <v>0.72831681681681681</v>
      </c>
    </row>
    <row r="643" spans="1:19">
      <c r="A643" s="1894">
        <f t="shared" si="19"/>
        <v>3</v>
      </c>
      <c r="B643" s="1895" t="s">
        <v>654</v>
      </c>
      <c r="C643" s="1894" t="s">
        <v>524</v>
      </c>
      <c r="D643" s="1895" t="s">
        <v>541</v>
      </c>
      <c r="E643" s="1894" t="s">
        <v>259</v>
      </c>
      <c r="F643" s="1896">
        <v>1200</v>
      </c>
      <c r="G643" s="1897">
        <v>0.70979999999999999</v>
      </c>
      <c r="H643" s="1897">
        <v>0.66479999999999995</v>
      </c>
      <c r="I643" s="1897">
        <v>0.67379999999999995</v>
      </c>
      <c r="J643" s="1897">
        <v>0.63300000000000001</v>
      </c>
      <c r="K643" s="1897">
        <v>0.60119999999999996</v>
      </c>
      <c r="L643" s="1897">
        <v>0.55320000000000003</v>
      </c>
      <c r="M643" s="1897">
        <v>0.47639999999999993</v>
      </c>
      <c r="N643" s="1897">
        <v>0.62219999999999998</v>
      </c>
      <c r="O643" s="1897">
        <v>0.65039999999999998</v>
      </c>
      <c r="P643" s="1897">
        <v>0.67559999999999998</v>
      </c>
      <c r="Q643" s="1897">
        <v>0.71820000000000006</v>
      </c>
      <c r="R643" s="1897">
        <v>0.65039999999999998</v>
      </c>
      <c r="S643" s="1898">
        <f t="shared" si="18"/>
        <v>0.63575000000000015</v>
      </c>
    </row>
    <row r="644" spans="1:19">
      <c r="A644" s="1894">
        <f t="shared" si="19"/>
        <v>4</v>
      </c>
      <c r="B644" s="1895" t="s">
        <v>638</v>
      </c>
      <c r="C644" s="1894" t="s">
        <v>524</v>
      </c>
      <c r="D644" s="1895" t="s">
        <v>636</v>
      </c>
      <c r="E644" s="1894" t="s">
        <v>259</v>
      </c>
      <c r="F644" s="1896">
        <v>1200</v>
      </c>
      <c r="G644" s="1897">
        <v>1.0884</v>
      </c>
      <c r="H644" s="1897">
        <v>1.0872000000000002</v>
      </c>
      <c r="I644" s="1897">
        <v>1.0595999999999999</v>
      </c>
      <c r="J644" s="1897">
        <v>1.1028</v>
      </c>
      <c r="K644" s="1897">
        <v>1.119</v>
      </c>
      <c r="L644" s="1897">
        <v>1.1195999999999999</v>
      </c>
      <c r="M644" s="1897">
        <v>1.1496</v>
      </c>
      <c r="N644" s="1897">
        <v>1.1754</v>
      </c>
      <c r="O644" s="1897">
        <v>1.1394</v>
      </c>
      <c r="P644" s="1897">
        <v>1.1088</v>
      </c>
      <c r="Q644" s="1897">
        <v>1.1124000000000001</v>
      </c>
      <c r="R644" s="1897">
        <v>1.1202000000000001</v>
      </c>
      <c r="S644" s="1898">
        <f t="shared" si="18"/>
        <v>1.1152</v>
      </c>
    </row>
    <row r="645" spans="1:19">
      <c r="A645" s="1894">
        <f t="shared" si="19"/>
        <v>5</v>
      </c>
      <c r="B645" s="1895" t="s">
        <v>628</v>
      </c>
      <c r="C645" s="1894" t="s">
        <v>524</v>
      </c>
      <c r="D645" s="1895" t="s">
        <v>629</v>
      </c>
      <c r="E645" s="1894" t="s">
        <v>259</v>
      </c>
      <c r="F645" s="1896">
        <v>1236</v>
      </c>
      <c r="G645" s="1897">
        <v>0.76941747572815533</v>
      </c>
      <c r="H645" s="1897">
        <v>0.77427184466019405</v>
      </c>
      <c r="I645" s="1897">
        <v>0.82038834951456296</v>
      </c>
      <c r="J645" s="1897">
        <v>0.81796116504854366</v>
      </c>
      <c r="K645" s="1897">
        <v>0.82281553398058249</v>
      </c>
      <c r="L645" s="1897">
        <v>0.82038834951456296</v>
      </c>
      <c r="M645" s="1897">
        <v>0.86165048543689315</v>
      </c>
      <c r="N645" s="1897">
        <v>0.88834951456310685</v>
      </c>
      <c r="O645" s="1897">
        <v>1.0048543689320388</v>
      </c>
      <c r="P645" s="1897">
        <v>0.99029126213592233</v>
      </c>
      <c r="Q645" s="1897">
        <v>0.91504854368932043</v>
      </c>
      <c r="R645" s="1897">
        <v>0.80582524271844658</v>
      </c>
      <c r="S645" s="1898">
        <f t="shared" si="18"/>
        <v>0.85760517799352742</v>
      </c>
    </row>
    <row r="646" spans="1:19">
      <c r="A646" s="1894">
        <f t="shared" si="19"/>
        <v>6</v>
      </c>
      <c r="B646" s="1895" t="s">
        <v>694</v>
      </c>
      <c r="C646" s="1894" t="s">
        <v>524</v>
      </c>
      <c r="D646" s="1895" t="s">
        <v>541</v>
      </c>
      <c r="E646" s="1894" t="s">
        <v>259</v>
      </c>
      <c r="F646" s="1896">
        <v>1300</v>
      </c>
      <c r="G646" s="1897">
        <v>0.92</v>
      </c>
      <c r="H646" s="1897">
        <v>0.92184615384615376</v>
      </c>
      <c r="I646" s="1897">
        <v>0.90276923076923066</v>
      </c>
      <c r="J646" s="1897">
        <v>0.96861538461538466</v>
      </c>
      <c r="K646" s="1897">
        <v>1.0036923076923077</v>
      </c>
      <c r="L646" s="1897">
        <v>0.99323076923076914</v>
      </c>
      <c r="M646" s="1897">
        <v>1.0061538461538462</v>
      </c>
      <c r="N646" s="1897">
        <v>1.0116923076923074</v>
      </c>
      <c r="O646" s="1897">
        <v>0.81784615384615367</v>
      </c>
      <c r="P646" s="1897">
        <v>0.99753846153846149</v>
      </c>
      <c r="Q646" s="1897">
        <v>1.0123076923076924</v>
      </c>
      <c r="R646" s="1897">
        <v>0.95569230769230762</v>
      </c>
      <c r="S646" s="1898">
        <f t="shared" si="18"/>
        <v>0.95928205128205113</v>
      </c>
    </row>
    <row r="647" spans="1:19">
      <c r="A647" s="1894">
        <f t="shared" si="19"/>
        <v>7</v>
      </c>
      <c r="B647" s="1895" t="s">
        <v>650</v>
      </c>
      <c r="C647" s="1894" t="s">
        <v>524</v>
      </c>
      <c r="D647" s="1895" t="s">
        <v>541</v>
      </c>
      <c r="E647" s="1894" t="s">
        <v>259</v>
      </c>
      <c r="F647" s="1896">
        <v>1350</v>
      </c>
      <c r="G647" s="1897">
        <v>0.97973333333333346</v>
      </c>
      <c r="H647" s="1897">
        <v>0.94933333333333325</v>
      </c>
      <c r="I647" s="1897">
        <v>0.9509333333333333</v>
      </c>
      <c r="J647" s="1897">
        <v>0.99786666666666657</v>
      </c>
      <c r="K647" s="1897">
        <v>1</v>
      </c>
      <c r="L647" s="1897">
        <v>1.0005333333333333</v>
      </c>
      <c r="M647" s="1897">
        <v>1.0362666666666667</v>
      </c>
      <c r="N647" s="1897">
        <v>1.1216000000000002</v>
      </c>
      <c r="O647" s="1897">
        <v>1.0682666666666667</v>
      </c>
      <c r="P647" s="1897">
        <v>1.0896000000000001</v>
      </c>
      <c r="Q647" s="1897">
        <v>1.0101333333333333</v>
      </c>
      <c r="R647" s="1897">
        <v>1.1018666666666665</v>
      </c>
      <c r="S647" s="1898">
        <f t="shared" si="18"/>
        <v>1.025511111111111</v>
      </c>
    </row>
    <row r="648" spans="1:19">
      <c r="A648" s="1894">
        <f t="shared" si="19"/>
        <v>8</v>
      </c>
      <c r="B648" s="1895" t="s">
        <v>3518</v>
      </c>
      <c r="C648" s="1894" t="s">
        <v>524</v>
      </c>
      <c r="D648" s="1895" t="s">
        <v>541</v>
      </c>
      <c r="E648" s="1894" t="s">
        <v>259</v>
      </c>
      <c r="F648" s="1896">
        <v>1450</v>
      </c>
      <c r="G648" s="1897">
        <v>0.92159999999999997</v>
      </c>
      <c r="H648" s="1897">
        <v>0.90223448275862073</v>
      </c>
      <c r="I648" s="1897">
        <v>0.89031724137931023</v>
      </c>
      <c r="J648" s="1897">
        <v>0.94444137931034489</v>
      </c>
      <c r="K648" s="1897">
        <v>0.81682758620689666</v>
      </c>
      <c r="L648" s="1897">
        <v>0.94493793103448287</v>
      </c>
      <c r="M648" s="1897">
        <v>0.92755862068965522</v>
      </c>
      <c r="N648" s="1897">
        <v>1.0109793103448277</v>
      </c>
      <c r="O648" s="1897">
        <v>1.0278620689655171</v>
      </c>
      <c r="P648" s="1897">
        <v>1.0656000000000001</v>
      </c>
      <c r="Q648" s="1897">
        <v>0.97274482758620695</v>
      </c>
      <c r="R648" s="1897">
        <v>1.0909241379310346</v>
      </c>
      <c r="S648" s="1898">
        <f t="shared" si="18"/>
        <v>0.95966896551724146</v>
      </c>
    </row>
    <row r="649" spans="1:19">
      <c r="A649" s="1894">
        <f t="shared" si="19"/>
        <v>9</v>
      </c>
      <c r="B649" s="1895" t="s">
        <v>666</v>
      </c>
      <c r="C649" s="1894" t="s">
        <v>524</v>
      </c>
      <c r="D649" s="1895" t="s">
        <v>541</v>
      </c>
      <c r="E649" s="1894" t="s">
        <v>259</v>
      </c>
      <c r="F649" s="1896">
        <v>1450</v>
      </c>
      <c r="G649" s="1897">
        <v>0.90322758620689658</v>
      </c>
      <c r="H649" s="1897">
        <v>0.94742068965517245</v>
      </c>
      <c r="I649" s="1897">
        <v>0.92656551724137926</v>
      </c>
      <c r="J649" s="1897">
        <v>0.91365517241379313</v>
      </c>
      <c r="K649" s="1897">
        <v>0.92408275862068967</v>
      </c>
      <c r="L649" s="1897">
        <v>0.7609655172413794</v>
      </c>
      <c r="M649" s="1897">
        <v>0.57451034482758623</v>
      </c>
      <c r="N649" s="1897">
        <v>0.79597241379310346</v>
      </c>
      <c r="O649" s="1897">
        <v>0.90372413793103457</v>
      </c>
      <c r="P649" s="1897">
        <v>0.93500689655172409</v>
      </c>
      <c r="Q649" s="1897">
        <v>0.90173793103448274</v>
      </c>
      <c r="R649" s="1897">
        <v>0.90322758620689658</v>
      </c>
      <c r="S649" s="1898">
        <f t="shared" si="18"/>
        <v>0.86584137931034488</v>
      </c>
    </row>
    <row r="650" spans="1:19">
      <c r="A650" s="1894">
        <f t="shared" ref="A650:A713" si="21">+A649+1</f>
        <v>10</v>
      </c>
      <c r="B650" s="1895" t="s">
        <v>3519</v>
      </c>
      <c r="C650" s="1894" t="s">
        <v>524</v>
      </c>
      <c r="D650" s="1895" t="s">
        <v>525</v>
      </c>
      <c r="E650" s="1894" t="s">
        <v>259</v>
      </c>
      <c r="F650" s="1896">
        <v>1500</v>
      </c>
      <c r="G650" s="1897">
        <v>1.2799999999999999E-2</v>
      </c>
      <c r="H650" s="1897">
        <v>1.2799999999999999E-2</v>
      </c>
      <c r="I650" s="1897">
        <v>0.85119999999999996</v>
      </c>
      <c r="J650" s="1897">
        <v>6.3999999999999994E-3</v>
      </c>
      <c r="K650" s="1897">
        <v>0</v>
      </c>
      <c r="L650" s="1897">
        <v>6.3999999999999994E-3</v>
      </c>
      <c r="M650" s="1897">
        <v>6.3999999999999994E-3</v>
      </c>
      <c r="N650" s="1897">
        <v>1.2352000000000001</v>
      </c>
      <c r="O650" s="1897">
        <v>1.2927999999999999</v>
      </c>
      <c r="P650" s="1897">
        <v>6.3999999999999994E-3</v>
      </c>
      <c r="Q650" s="1897">
        <v>6.3999999999999994E-3</v>
      </c>
      <c r="R650" s="1897">
        <v>1.1903999999999999</v>
      </c>
      <c r="S650" s="1898">
        <f t="shared" ref="S650:S715" si="22">+SUM(G650:R650)/12</f>
        <v>0.3856</v>
      </c>
    </row>
    <row r="651" spans="1:19">
      <c r="A651" s="1894">
        <f t="shared" si="21"/>
        <v>11</v>
      </c>
      <c r="B651" s="1895" t="s">
        <v>696</v>
      </c>
      <c r="C651" s="1894" t="s">
        <v>524</v>
      </c>
      <c r="D651" s="1895" t="s">
        <v>541</v>
      </c>
      <c r="E651" s="1894" t="s">
        <v>259</v>
      </c>
      <c r="F651" s="1896">
        <v>1500</v>
      </c>
      <c r="G651" s="1897">
        <v>1.3333333333333334E-2</v>
      </c>
      <c r="H651" s="1897">
        <v>1.3333333333333334E-2</v>
      </c>
      <c r="I651" s="1897">
        <v>1.3333333333333334E-2</v>
      </c>
      <c r="J651" s="1897">
        <v>6.6666666666666666E-2</v>
      </c>
      <c r="K651" s="1897">
        <v>1.3333333333333334E-2</v>
      </c>
      <c r="L651" s="1897">
        <v>0.04</v>
      </c>
      <c r="M651" s="1897">
        <v>0.04</v>
      </c>
      <c r="N651" s="1897">
        <v>4.6933333333333334E-2</v>
      </c>
      <c r="O651" s="1897">
        <v>0.14026666666666668</v>
      </c>
      <c r="P651" s="1897">
        <v>4.5333333333333337E-2</v>
      </c>
      <c r="Q651" s="1897">
        <v>5.0133333333333335E-2</v>
      </c>
      <c r="R651" s="1897">
        <v>5.3333333333333337E-2</v>
      </c>
      <c r="S651" s="1898">
        <f t="shared" si="22"/>
        <v>4.4666666666666667E-2</v>
      </c>
    </row>
    <row r="652" spans="1:19">
      <c r="A652" s="1894">
        <f t="shared" si="21"/>
        <v>12</v>
      </c>
      <c r="B652" s="1895" t="s">
        <v>3520</v>
      </c>
      <c r="C652" s="1894" t="s">
        <v>524</v>
      </c>
      <c r="D652" s="1895" t="s">
        <v>525</v>
      </c>
      <c r="E652" s="1894" t="s">
        <v>259</v>
      </c>
      <c r="F652" s="1896">
        <v>1600</v>
      </c>
      <c r="G652" s="1897">
        <v>0.39524999999999999</v>
      </c>
      <c r="H652" s="1897">
        <v>1.3987499999999999</v>
      </c>
      <c r="I652" s="1897">
        <v>1.41</v>
      </c>
      <c r="J652" s="1897">
        <v>1.1092500000000001</v>
      </c>
      <c r="K652" s="1897">
        <v>0.93075000000000008</v>
      </c>
      <c r="L652" s="1897">
        <v>8.9999999999999993E-3</v>
      </c>
      <c r="M652" s="1897">
        <v>1.17075</v>
      </c>
      <c r="N652" s="1897">
        <v>1.2975000000000001</v>
      </c>
      <c r="O652" s="1897">
        <v>1.1220000000000001</v>
      </c>
      <c r="P652" s="1897">
        <v>1.8960000000000001</v>
      </c>
      <c r="Q652" s="1897">
        <v>0.36899999999999999</v>
      </c>
      <c r="R652" s="1897">
        <v>0.24600000000000002</v>
      </c>
      <c r="S652" s="1898">
        <f t="shared" si="22"/>
        <v>0.94618750000000018</v>
      </c>
    </row>
    <row r="653" spans="1:19">
      <c r="A653" s="1894">
        <f t="shared" si="21"/>
        <v>13</v>
      </c>
      <c r="B653" s="1895" t="s">
        <v>720</v>
      </c>
      <c r="C653" s="1894" t="s">
        <v>524</v>
      </c>
      <c r="D653" s="1895" t="s">
        <v>709</v>
      </c>
      <c r="E653" s="1894" t="s">
        <v>259</v>
      </c>
      <c r="F653" s="1896">
        <v>1689</v>
      </c>
      <c r="G653" s="1897">
        <v>7.104795737122558E-3</v>
      </c>
      <c r="H653" s="1897">
        <v>0</v>
      </c>
      <c r="I653" s="1897">
        <v>0</v>
      </c>
      <c r="J653" s="1897">
        <v>0.33250444049733574</v>
      </c>
      <c r="K653" s="1897">
        <v>0.71190053285968025</v>
      </c>
      <c r="L653" s="1897">
        <v>0.36731793960923631</v>
      </c>
      <c r="M653" s="1897">
        <v>0.18330373001776201</v>
      </c>
      <c r="N653" s="1897">
        <v>0.18330373001776201</v>
      </c>
      <c r="O653" s="1897">
        <v>0.18294849023090587</v>
      </c>
      <c r="P653" s="1897">
        <v>3.3392539964476026E-2</v>
      </c>
      <c r="Q653" s="1897">
        <v>7.104795737122558E-3</v>
      </c>
      <c r="R653" s="1897">
        <v>7.104795737122558E-3</v>
      </c>
      <c r="S653" s="1898">
        <f t="shared" si="22"/>
        <v>0.16799881586737711</v>
      </c>
    </row>
    <row r="654" spans="1:19">
      <c r="A654" s="1894">
        <f t="shared" si="21"/>
        <v>14</v>
      </c>
      <c r="B654" s="1895" t="s">
        <v>664</v>
      </c>
      <c r="C654" s="1894" t="s">
        <v>524</v>
      </c>
      <c r="D654" s="1895" t="s">
        <v>541</v>
      </c>
      <c r="E654" s="1894" t="s">
        <v>259</v>
      </c>
      <c r="F654" s="1896">
        <v>1750</v>
      </c>
      <c r="G654" s="1897">
        <v>0.72685714285714287</v>
      </c>
      <c r="H654" s="1897">
        <v>0.7378285714285715</v>
      </c>
      <c r="I654" s="1897">
        <v>0.72960000000000003</v>
      </c>
      <c r="J654" s="1897">
        <v>0.72</v>
      </c>
      <c r="K654" s="1897">
        <v>0.72</v>
      </c>
      <c r="L654" s="1897">
        <v>0.71725714285714293</v>
      </c>
      <c r="M654" s="1897">
        <v>0.72274285714285713</v>
      </c>
      <c r="N654" s="1897">
        <v>0.72137142857142866</v>
      </c>
      <c r="O654" s="1897">
        <v>0.72960000000000003</v>
      </c>
      <c r="P654" s="1897">
        <v>0.72822857142857145</v>
      </c>
      <c r="Q654" s="1897">
        <v>0.7254857142857144</v>
      </c>
      <c r="R654" s="1897">
        <v>0.72685714285714287</v>
      </c>
      <c r="S654" s="1898">
        <f t="shared" si="22"/>
        <v>0.7254857142857144</v>
      </c>
    </row>
    <row r="655" spans="1:19">
      <c r="A655" s="1894">
        <f t="shared" si="21"/>
        <v>15</v>
      </c>
      <c r="B655" s="1895" t="s">
        <v>3521</v>
      </c>
      <c r="C655" s="1894" t="s">
        <v>524</v>
      </c>
      <c r="D655" s="1895" t="s">
        <v>541</v>
      </c>
      <c r="E655" s="1894" t="s">
        <v>259</v>
      </c>
      <c r="F655" s="1896">
        <v>1800</v>
      </c>
      <c r="G655" s="1897">
        <v>0.60499999999999998</v>
      </c>
      <c r="H655" s="1897">
        <v>0.62</v>
      </c>
      <c r="I655" s="1897">
        <v>0.70999999999999985</v>
      </c>
      <c r="J655" s="1897">
        <v>1.33</v>
      </c>
      <c r="K655" s="1897">
        <v>1.31</v>
      </c>
      <c r="L655" s="1897">
        <v>1.3240000000000001</v>
      </c>
      <c r="M655" s="1897">
        <v>0.46666666666666673</v>
      </c>
      <c r="N655" s="1897">
        <v>0.55333333333333334</v>
      </c>
      <c r="O655" s="1897">
        <v>0.56533333333333335</v>
      </c>
      <c r="P655" s="1897">
        <v>0.84133333333333338</v>
      </c>
      <c r="Q655" s="1897">
        <v>0.84533333333333327</v>
      </c>
      <c r="R655" s="1897">
        <v>0.63466666666666671</v>
      </c>
      <c r="S655" s="1898">
        <f t="shared" si="22"/>
        <v>0.81713888888888875</v>
      </c>
    </row>
    <row r="656" spans="1:19">
      <c r="A656" s="1894">
        <f t="shared" si="21"/>
        <v>16</v>
      </c>
      <c r="B656" s="1895" t="s">
        <v>640</v>
      </c>
      <c r="C656" s="1894" t="s">
        <v>524</v>
      </c>
      <c r="D656" s="1895" t="s">
        <v>641</v>
      </c>
      <c r="E656" s="1894" t="s">
        <v>259</v>
      </c>
      <c r="F656" s="1896">
        <v>2000</v>
      </c>
      <c r="G656" s="1897">
        <v>5.8200000000000002E-2</v>
      </c>
      <c r="H656" s="1897">
        <v>5.3999999999999992E-2</v>
      </c>
      <c r="I656" s="1897">
        <v>0.11580000000000001</v>
      </c>
      <c r="J656" s="1897">
        <v>0.06</v>
      </c>
      <c r="K656" s="1897">
        <v>0.2046</v>
      </c>
      <c r="L656" s="1897">
        <v>5.4600000000000003E-2</v>
      </c>
      <c r="M656" s="1897">
        <v>5.5199999999999999E-2</v>
      </c>
      <c r="N656" s="1897">
        <v>5.2199999999999996E-2</v>
      </c>
      <c r="O656" s="1897">
        <v>5.2800000000000007E-2</v>
      </c>
      <c r="P656" s="1897">
        <v>0.10679999999999999</v>
      </c>
      <c r="Q656" s="1897">
        <v>0.25440000000000002</v>
      </c>
      <c r="R656" s="1897">
        <v>0.21599999999999997</v>
      </c>
      <c r="S656" s="1898">
        <f t="shared" si="22"/>
        <v>0.10704999999999999</v>
      </c>
    </row>
    <row r="657" spans="1:19">
      <c r="A657" s="1894">
        <f t="shared" si="21"/>
        <v>17</v>
      </c>
      <c r="B657" s="1895" t="s">
        <v>556</v>
      </c>
      <c r="C657" s="1894" t="s">
        <v>524</v>
      </c>
      <c r="D657" s="1895" t="s">
        <v>541</v>
      </c>
      <c r="E657" s="1894" t="s">
        <v>271</v>
      </c>
      <c r="F657" s="1896">
        <v>2000</v>
      </c>
      <c r="G657" s="1897">
        <v>0.14000000000000001</v>
      </c>
      <c r="H657" s="1897">
        <v>0.12</v>
      </c>
      <c r="I657" s="1897">
        <v>0.16</v>
      </c>
      <c r="J657" s="1897">
        <v>0.14000000000000001</v>
      </c>
      <c r="K657" s="1897">
        <v>0.14000000000000001</v>
      </c>
      <c r="L657" s="1897">
        <v>0.14000000000000001</v>
      </c>
      <c r="M657" s="1897">
        <v>0.14000000000000001</v>
      </c>
      <c r="N657" s="1897">
        <v>0.12</v>
      </c>
      <c r="O657" s="1897">
        <v>0.12</v>
      </c>
      <c r="P657" s="1897">
        <v>0.14000000000000001</v>
      </c>
      <c r="Q657" s="1897">
        <v>0.14000000000000001</v>
      </c>
      <c r="R657" s="1897">
        <v>0.14000000000000001</v>
      </c>
      <c r="S657" s="1898">
        <f t="shared" si="22"/>
        <v>0.13666666666666671</v>
      </c>
    </row>
    <row r="658" spans="1:19">
      <c r="A658" s="1894">
        <f t="shared" si="21"/>
        <v>18</v>
      </c>
      <c r="B658" s="1895" t="s">
        <v>660</v>
      </c>
      <c r="C658" s="1894" t="s">
        <v>524</v>
      </c>
      <c r="D658" s="1895" t="s">
        <v>541</v>
      </c>
      <c r="E658" s="1894" t="s">
        <v>259</v>
      </c>
      <c r="F658" s="1896">
        <v>2000</v>
      </c>
      <c r="G658" s="1897">
        <v>0.54600000000000004</v>
      </c>
      <c r="H658" s="1897">
        <v>0.50399999999999989</v>
      </c>
      <c r="I658" s="1897">
        <v>0.52049999999999996</v>
      </c>
      <c r="J658" s="1897">
        <v>0.52500000000000002</v>
      </c>
      <c r="K658" s="1897">
        <v>0.38250000000000001</v>
      </c>
      <c r="L658" s="1897">
        <v>0.54300000000000004</v>
      </c>
      <c r="M658" s="1897">
        <v>0.46500000000000002</v>
      </c>
      <c r="N658" s="1897">
        <v>0.46200000000000002</v>
      </c>
      <c r="O658" s="1897">
        <v>0.55500000000000005</v>
      </c>
      <c r="P658" s="1897">
        <v>0.46650000000000003</v>
      </c>
      <c r="Q658" s="1897">
        <v>0.28199999999999997</v>
      </c>
      <c r="R658" s="1897">
        <v>0.36899999999999999</v>
      </c>
      <c r="S658" s="1898">
        <f t="shared" si="22"/>
        <v>0.46837499999999999</v>
      </c>
    </row>
    <row r="659" spans="1:19">
      <c r="A659" s="1894">
        <f t="shared" si="21"/>
        <v>19</v>
      </c>
      <c r="B659" s="1895" t="s">
        <v>662</v>
      </c>
      <c r="C659" s="1894" t="s">
        <v>524</v>
      </c>
      <c r="D659" s="1895" t="s">
        <v>541</v>
      </c>
      <c r="E659" s="1894" t="s">
        <v>259</v>
      </c>
      <c r="F659" s="1896">
        <v>2000</v>
      </c>
      <c r="G659" s="1897">
        <v>0.63</v>
      </c>
      <c r="H659" s="1897">
        <v>0.69</v>
      </c>
      <c r="I659" s="1897">
        <v>0.48799999999999999</v>
      </c>
      <c r="J659" s="1897">
        <v>0.54400000000000004</v>
      </c>
      <c r="K659" s="1897">
        <v>0.70199999999999996</v>
      </c>
      <c r="L659" s="1897">
        <v>0.71399999999999997</v>
      </c>
      <c r="M659" s="1897">
        <v>0.72</v>
      </c>
      <c r="N659" s="1897">
        <v>0.64200000000000002</v>
      </c>
      <c r="O659" s="1897">
        <v>0.63400000000000001</v>
      </c>
      <c r="P659" s="1897">
        <v>0.61199999999999999</v>
      </c>
      <c r="Q659" s="1897">
        <v>0.63200000000000001</v>
      </c>
      <c r="R659" s="1897">
        <v>0.44400000000000001</v>
      </c>
      <c r="S659" s="1898">
        <f t="shared" si="22"/>
        <v>0.621</v>
      </c>
    </row>
    <row r="660" spans="1:19">
      <c r="A660" s="1894">
        <f t="shared" si="21"/>
        <v>20</v>
      </c>
      <c r="B660" s="1895" t="s">
        <v>682</v>
      </c>
      <c r="C660" s="1894" t="s">
        <v>524</v>
      </c>
      <c r="D660" s="1895" t="s">
        <v>541</v>
      </c>
      <c r="E660" s="1894" t="s">
        <v>259</v>
      </c>
      <c r="F660" s="1896">
        <v>2000</v>
      </c>
      <c r="G660" s="1897">
        <v>0.4743</v>
      </c>
      <c r="H660" s="1897">
        <v>0.42149999999999999</v>
      </c>
      <c r="I660" s="1897">
        <v>0.41670000000000007</v>
      </c>
      <c r="J660" s="1897">
        <v>0.42629999999999996</v>
      </c>
      <c r="K660" s="1897">
        <v>0.39750000000000002</v>
      </c>
      <c r="L660" s="1897">
        <v>0.38789999999999997</v>
      </c>
      <c r="M660" s="1897">
        <v>0.29669999999999996</v>
      </c>
      <c r="N660" s="1897">
        <v>0.28949999999999998</v>
      </c>
      <c r="O660" s="1897">
        <v>0.29189999999999999</v>
      </c>
      <c r="P660" s="1897">
        <v>0.30149999999999999</v>
      </c>
      <c r="Q660" s="1897">
        <v>0.26789999999999997</v>
      </c>
      <c r="R660" s="1897">
        <v>0.28710000000000002</v>
      </c>
      <c r="S660" s="1898">
        <f t="shared" si="22"/>
        <v>0.35489999999999999</v>
      </c>
    </row>
    <row r="661" spans="1:19">
      <c r="A661" s="1894">
        <f t="shared" si="21"/>
        <v>21</v>
      </c>
      <c r="B661" s="1895" t="s">
        <v>711</v>
      </c>
      <c r="C661" s="1894" t="s">
        <v>524</v>
      </c>
      <c r="D661" s="1895" t="s">
        <v>709</v>
      </c>
      <c r="E661" s="1894" t="s">
        <v>259</v>
      </c>
      <c r="F661" s="1896">
        <v>2033.49</v>
      </c>
      <c r="G661" s="1897">
        <v>6.7273505156160096E-2</v>
      </c>
      <c r="H661" s="1897">
        <v>0</v>
      </c>
      <c r="I661" s="1897">
        <v>4.2488529572311633E-3</v>
      </c>
      <c r="J661" s="1897">
        <v>0.14764764026378296</v>
      </c>
      <c r="K661" s="1897">
        <v>0.62776802443090463</v>
      </c>
      <c r="L661" s="1897">
        <v>3.1866397179233729E-3</v>
      </c>
      <c r="M661" s="1897">
        <v>0.2963574937668737</v>
      </c>
      <c r="N661" s="1897">
        <v>0.37283684699703468</v>
      </c>
      <c r="O661" s="1897">
        <v>5.3110661965389558E-3</v>
      </c>
      <c r="P661" s="1897">
        <v>5.6651372763082191E-3</v>
      </c>
      <c r="Q661" s="1897">
        <v>5.6651372763082191E-3</v>
      </c>
      <c r="R661" s="1897">
        <v>5.3110661965389558E-3</v>
      </c>
      <c r="S661" s="1898">
        <f t="shared" si="22"/>
        <v>0.12843928418630038</v>
      </c>
    </row>
    <row r="662" spans="1:19">
      <c r="A662" s="1894">
        <f t="shared" si="21"/>
        <v>22</v>
      </c>
      <c r="B662" s="1895" t="s">
        <v>3019</v>
      </c>
      <c r="C662" s="1894" t="s">
        <v>524</v>
      </c>
      <c r="D662" s="1895" t="s">
        <v>541</v>
      </c>
      <c r="E662" s="1894" t="s">
        <v>259</v>
      </c>
      <c r="F662" s="1896">
        <v>2039</v>
      </c>
      <c r="G662" s="1897">
        <v>0.17361451692005886</v>
      </c>
      <c r="H662" s="1897">
        <v>9.9460519862677774E-2</v>
      </c>
      <c r="I662" s="1897">
        <v>0.16655223148602255</v>
      </c>
      <c r="J662" s="1897">
        <v>4.4727807748896523E-2</v>
      </c>
      <c r="K662" s="1897">
        <v>0</v>
      </c>
      <c r="L662" s="1897">
        <v>0</v>
      </c>
      <c r="M662" s="1897">
        <v>0</v>
      </c>
      <c r="N662" s="1897">
        <v>0</v>
      </c>
      <c r="O662" s="1897">
        <v>0</v>
      </c>
      <c r="P662" s="1897">
        <v>0</v>
      </c>
      <c r="Q662" s="1897">
        <v>0</v>
      </c>
      <c r="R662" s="1897">
        <v>0</v>
      </c>
      <c r="S662" s="1898">
        <f t="shared" si="22"/>
        <v>4.0362923001471311E-2</v>
      </c>
    </row>
    <row r="663" spans="1:19">
      <c r="A663" s="1894">
        <f t="shared" si="21"/>
        <v>23</v>
      </c>
      <c r="B663" s="1895" t="s">
        <v>692</v>
      </c>
      <c r="C663" s="1894" t="s">
        <v>524</v>
      </c>
      <c r="D663" s="1895" t="s">
        <v>541</v>
      </c>
      <c r="E663" s="1894" t="s">
        <v>259</v>
      </c>
      <c r="F663" s="1896">
        <v>2200</v>
      </c>
      <c r="G663" s="1897">
        <v>0.45837837837837841</v>
      </c>
      <c r="H663" s="1897">
        <v>0.43416216216216219</v>
      </c>
      <c r="I663" s="1897">
        <v>0.5798181818181819</v>
      </c>
      <c r="J663" s="1897">
        <v>0.52581818181818185</v>
      </c>
      <c r="K663" s="1897">
        <v>0.53672727272727272</v>
      </c>
      <c r="L663" s="1897">
        <v>0.59563636363636363</v>
      </c>
      <c r="M663" s="1897">
        <v>0.55854545454545457</v>
      </c>
      <c r="N663" s="1897">
        <v>0.5770909090909091</v>
      </c>
      <c r="O663" s="1897">
        <v>0.61036363636363633</v>
      </c>
      <c r="P663" s="1897">
        <v>0.65672727272727272</v>
      </c>
      <c r="Q663" s="1897">
        <v>0.61690909090909096</v>
      </c>
      <c r="R663" s="1897">
        <v>0.63381818181818173</v>
      </c>
      <c r="S663" s="1898">
        <f t="shared" si="22"/>
        <v>0.56533292383292377</v>
      </c>
    </row>
    <row r="664" spans="1:19">
      <c r="A664" s="1894">
        <f t="shared" si="21"/>
        <v>24</v>
      </c>
      <c r="B664" s="1895" t="s">
        <v>684</v>
      </c>
      <c r="C664" s="1894" t="s">
        <v>524</v>
      </c>
      <c r="D664" s="1895" t="s">
        <v>541</v>
      </c>
      <c r="E664" s="1894" t="s">
        <v>259</v>
      </c>
      <c r="F664" s="1896">
        <v>2222</v>
      </c>
      <c r="G664" s="1897">
        <v>0.41152115211521156</v>
      </c>
      <c r="H664" s="1897">
        <v>0.41476147614761472</v>
      </c>
      <c r="I664" s="1897">
        <v>0.38127812781278125</v>
      </c>
      <c r="J664" s="1897">
        <v>0.37695769576957699</v>
      </c>
      <c r="K664" s="1897">
        <v>0.38667866786678667</v>
      </c>
      <c r="L664" s="1897">
        <v>0.40612061206120614</v>
      </c>
      <c r="M664" s="1897">
        <v>0.38667866786678667</v>
      </c>
      <c r="N664" s="1897">
        <v>0.36831683168316831</v>
      </c>
      <c r="O664" s="1897">
        <v>0.42880288028802876</v>
      </c>
      <c r="P664" s="1897">
        <v>0.34779477947794779</v>
      </c>
      <c r="Q664" s="1897">
        <v>0.33051305130513048</v>
      </c>
      <c r="R664" s="1897">
        <v>9.2889288928892894E-2</v>
      </c>
      <c r="S664" s="1898">
        <f t="shared" si="22"/>
        <v>0.36102610261026102</v>
      </c>
    </row>
    <row r="665" spans="1:19">
      <c r="A665" s="1894">
        <f t="shared" si="21"/>
        <v>25</v>
      </c>
      <c r="B665" s="1895" t="s">
        <v>668</v>
      </c>
      <c r="C665" s="1894" t="s">
        <v>524</v>
      </c>
      <c r="D665" s="1895" t="s">
        <v>541</v>
      </c>
      <c r="E665" s="1894" t="s">
        <v>259</v>
      </c>
      <c r="F665" s="1896">
        <v>2223</v>
      </c>
      <c r="G665" s="1897">
        <v>0.78056680161943326</v>
      </c>
      <c r="H665" s="1897">
        <v>0.73360323886639678</v>
      </c>
      <c r="I665" s="1897">
        <v>0.81025641025641026</v>
      </c>
      <c r="J665" s="1897">
        <v>0.82645074224021609</v>
      </c>
      <c r="K665" s="1897">
        <v>0.82968960863697705</v>
      </c>
      <c r="L665" s="1897">
        <v>0.78380566801619422</v>
      </c>
      <c r="M665" s="1897">
        <v>0.86855600539811062</v>
      </c>
      <c r="N665" s="1897">
        <v>0.88043184885290149</v>
      </c>
      <c r="O665" s="1897">
        <v>0.87179487179487181</v>
      </c>
      <c r="P665" s="1897">
        <v>0.8556005398110661</v>
      </c>
      <c r="Q665" s="1897">
        <v>0.88744939271255063</v>
      </c>
      <c r="R665" s="1897">
        <v>0.88690958164642375</v>
      </c>
      <c r="S665" s="1898">
        <f t="shared" si="22"/>
        <v>0.83459289248762936</v>
      </c>
    </row>
    <row r="666" spans="1:19">
      <c r="A666" s="1894">
        <f t="shared" si="21"/>
        <v>26</v>
      </c>
      <c r="B666" s="1895" t="s">
        <v>583</v>
      </c>
      <c r="C666" s="1894" t="s">
        <v>524</v>
      </c>
      <c r="D666" s="1895" t="s">
        <v>541</v>
      </c>
      <c r="E666" s="1894" t="s">
        <v>271</v>
      </c>
      <c r="F666" s="1896">
        <v>2500</v>
      </c>
      <c r="G666" s="1897">
        <v>3.8399999999999997E-2</v>
      </c>
      <c r="H666" s="1897">
        <v>3.5424000000000002</v>
      </c>
      <c r="I666" s="1897">
        <v>2.8799999999999999E-2</v>
      </c>
      <c r="J666" s="1897">
        <v>1.92</v>
      </c>
      <c r="K666" s="1897">
        <v>0.57599999999999996</v>
      </c>
      <c r="L666" s="1897">
        <v>1.9238399999999998</v>
      </c>
      <c r="M666" s="1897">
        <v>3.9359999999999999</v>
      </c>
      <c r="N666" s="1897">
        <v>3.9359999999999999</v>
      </c>
      <c r="O666" s="1897">
        <v>3.3408000000000002</v>
      </c>
      <c r="P666" s="1897">
        <v>2.8224</v>
      </c>
      <c r="Q666" s="1897">
        <v>2.0064000000000002</v>
      </c>
      <c r="R666" s="1897">
        <v>0.17280000000000001</v>
      </c>
      <c r="S666" s="1898">
        <f t="shared" si="22"/>
        <v>2.0203199999999994</v>
      </c>
    </row>
    <row r="667" spans="1:19">
      <c r="A667" s="1894">
        <f t="shared" si="21"/>
        <v>27</v>
      </c>
      <c r="B667" s="1895" t="s">
        <v>716</v>
      </c>
      <c r="C667" s="1894" t="s">
        <v>524</v>
      </c>
      <c r="D667" s="1895" t="s">
        <v>709</v>
      </c>
      <c r="E667" s="1894" t="s">
        <v>259</v>
      </c>
      <c r="F667" s="1896">
        <v>2913</v>
      </c>
      <c r="G667" s="1897">
        <v>0</v>
      </c>
      <c r="H667" s="1897">
        <v>0</v>
      </c>
      <c r="I667" s="1897">
        <v>0</v>
      </c>
      <c r="J667" s="1897">
        <v>0</v>
      </c>
      <c r="K667" s="1897">
        <v>0</v>
      </c>
      <c r="L667" s="1897">
        <v>0</v>
      </c>
      <c r="M667" s="1897">
        <v>0</v>
      </c>
      <c r="N667" s="1897">
        <v>0</v>
      </c>
      <c r="O667" s="1897">
        <v>0</v>
      </c>
      <c r="P667" s="1897">
        <v>0.28506694129763133</v>
      </c>
      <c r="Q667" s="1897">
        <v>0.23728115345005146</v>
      </c>
      <c r="R667" s="1897">
        <v>8.2389289392378988E-3</v>
      </c>
      <c r="S667" s="1898">
        <f t="shared" si="22"/>
        <v>4.4215585307243399E-2</v>
      </c>
    </row>
    <row r="668" spans="1:19">
      <c r="A668" s="1894">
        <f t="shared" si="21"/>
        <v>28</v>
      </c>
      <c r="B668" s="1895" t="s">
        <v>635</v>
      </c>
      <c r="C668" s="1894" t="s">
        <v>524</v>
      </c>
      <c r="D668" s="1895" t="s">
        <v>636</v>
      </c>
      <c r="E668" s="1894" t="s">
        <v>259</v>
      </c>
      <c r="F668" s="1896">
        <v>3000</v>
      </c>
      <c r="G668" s="1897">
        <v>1.0384</v>
      </c>
      <c r="H668" s="1897">
        <v>1.0591999999999999</v>
      </c>
      <c r="I668" s="1897">
        <v>1.1215999999999999</v>
      </c>
      <c r="J668" s="1897">
        <v>0.97199999999999998</v>
      </c>
      <c r="K668" s="1897">
        <v>1.0096000000000001</v>
      </c>
      <c r="L668" s="1897">
        <v>1.056</v>
      </c>
      <c r="M668" s="1897">
        <v>0.93919999999999992</v>
      </c>
      <c r="N668" s="1897">
        <v>0.63039999999999996</v>
      </c>
      <c r="O668" s="1897">
        <v>0.43120000000000003</v>
      </c>
      <c r="P668" s="1897">
        <v>0.38719999999999999</v>
      </c>
      <c r="Q668" s="1897">
        <v>0.65680000000000005</v>
      </c>
      <c r="R668" s="1897">
        <v>0.72319999999999995</v>
      </c>
      <c r="S668" s="1898">
        <f t="shared" si="22"/>
        <v>0.83540000000000003</v>
      </c>
    </row>
    <row r="669" spans="1:19">
      <c r="A669" s="1894">
        <f t="shared" si="21"/>
        <v>29</v>
      </c>
      <c r="B669" s="1895" t="s">
        <v>626</v>
      </c>
      <c r="C669" s="1894" t="s">
        <v>524</v>
      </c>
      <c r="D669" s="1895" t="s">
        <v>623</v>
      </c>
      <c r="E669" s="1894" t="s">
        <v>259</v>
      </c>
      <c r="F669" s="1896">
        <v>3000</v>
      </c>
      <c r="G669" s="1897">
        <v>0.81919999999999993</v>
      </c>
      <c r="H669" s="1897">
        <v>0.91600000000000004</v>
      </c>
      <c r="I669" s="1897">
        <v>0.92720000000000002</v>
      </c>
      <c r="J669" s="1897">
        <v>0.82640000000000013</v>
      </c>
      <c r="K669" s="1897">
        <v>0.77280000000000004</v>
      </c>
      <c r="L669" s="1897">
        <v>0.752</v>
      </c>
      <c r="M669" s="1897">
        <v>0.74960000000000004</v>
      </c>
      <c r="N669" s="1897">
        <v>0.68799999999999994</v>
      </c>
      <c r="O669" s="1897">
        <v>0.39040000000000002</v>
      </c>
      <c r="P669" s="1897">
        <v>0.54239999999999999</v>
      </c>
      <c r="Q669" s="1897">
        <v>0.60319999999999996</v>
      </c>
      <c r="R669" s="1897">
        <v>0.5504</v>
      </c>
      <c r="S669" s="1898">
        <f t="shared" si="22"/>
        <v>0.71146666666666658</v>
      </c>
    </row>
    <row r="670" spans="1:19">
      <c r="A670" s="1894">
        <f t="shared" si="21"/>
        <v>30</v>
      </c>
      <c r="B670" s="1895" t="s">
        <v>658</v>
      </c>
      <c r="C670" s="1894" t="s">
        <v>524</v>
      </c>
      <c r="D670" s="1895" t="s">
        <v>541</v>
      </c>
      <c r="E670" s="1894" t="s">
        <v>259</v>
      </c>
      <c r="F670" s="1896">
        <v>3500</v>
      </c>
      <c r="G670" s="1897">
        <v>0</v>
      </c>
      <c r="H670" s="1897">
        <v>0</v>
      </c>
      <c r="I670" s="1897">
        <v>0</v>
      </c>
      <c r="J670" s="1897">
        <v>0</v>
      </c>
      <c r="K670" s="1897">
        <v>0</v>
      </c>
      <c r="L670" s="1897">
        <v>0</v>
      </c>
      <c r="M670" s="1897">
        <v>0</v>
      </c>
      <c r="N670" s="1897">
        <v>0</v>
      </c>
      <c r="O670" s="1897">
        <v>0</v>
      </c>
      <c r="P670" s="1897">
        <v>0</v>
      </c>
      <c r="Q670" s="1897">
        <v>8.365714285714286E-2</v>
      </c>
      <c r="R670" s="1897">
        <v>0.22765714285714284</v>
      </c>
      <c r="S670" s="1898">
        <f t="shared" si="22"/>
        <v>2.5942857142857143E-2</v>
      </c>
    </row>
    <row r="671" spans="1:19">
      <c r="A671" s="1894">
        <f t="shared" si="21"/>
        <v>31</v>
      </c>
      <c r="B671" s="1895" t="s">
        <v>708</v>
      </c>
      <c r="C671" s="1894" t="s">
        <v>524</v>
      </c>
      <c r="D671" s="1895" t="s">
        <v>709</v>
      </c>
      <c r="E671" s="1894" t="s">
        <v>259</v>
      </c>
      <c r="F671" s="1896">
        <v>3629</v>
      </c>
      <c r="G671" s="1897">
        <v>0</v>
      </c>
      <c r="H671" s="1897">
        <v>5.2907136952328467E-2</v>
      </c>
      <c r="I671" s="1897">
        <v>6.6133921190410588E-2</v>
      </c>
      <c r="J671" s="1897">
        <v>6.2827225130890049E-2</v>
      </c>
      <c r="K671" s="1897">
        <v>0.19840176357123174</v>
      </c>
      <c r="L671" s="1897">
        <v>0.11738771011297879</v>
      </c>
      <c r="M671" s="1897">
        <v>0.11573436208321852</v>
      </c>
      <c r="N671" s="1897">
        <v>6.6133921190410588E-2</v>
      </c>
      <c r="O671" s="1897">
        <v>3.3066960595205292E-3</v>
      </c>
      <c r="P671" s="1897">
        <v>0.11573436208321852</v>
      </c>
      <c r="Q671" s="1897">
        <v>0.12069440617249931</v>
      </c>
      <c r="R671" s="1897">
        <v>0.11408101405345825</v>
      </c>
      <c r="S671" s="1898">
        <f t="shared" si="22"/>
        <v>8.6111876550013775E-2</v>
      </c>
    </row>
    <row r="672" spans="1:19">
      <c r="A672" s="1894">
        <f t="shared" si="21"/>
        <v>32</v>
      </c>
      <c r="B672" s="1895" t="s">
        <v>708</v>
      </c>
      <c r="C672" s="1894" t="s">
        <v>524</v>
      </c>
      <c r="D672" s="1895" t="s">
        <v>709</v>
      </c>
      <c r="E672" s="1894" t="s">
        <v>259</v>
      </c>
      <c r="F672" s="1896">
        <v>3928</v>
      </c>
      <c r="G672" s="1897">
        <v>0</v>
      </c>
      <c r="H672" s="1897">
        <v>0</v>
      </c>
      <c r="I672" s="1897">
        <v>0</v>
      </c>
      <c r="J672" s="1897">
        <v>0</v>
      </c>
      <c r="K672" s="1897">
        <v>0</v>
      </c>
      <c r="L672" s="1897">
        <v>0</v>
      </c>
      <c r="M672" s="1897">
        <v>0</v>
      </c>
      <c r="N672" s="1897">
        <v>0</v>
      </c>
      <c r="O672" s="1897">
        <v>0</v>
      </c>
      <c r="P672" s="1897">
        <v>7.9429735234215881E-3</v>
      </c>
      <c r="Q672" s="1897">
        <v>2.4439918533604886E-3</v>
      </c>
      <c r="R672" s="1897">
        <v>4.8879837067209771E-3</v>
      </c>
      <c r="S672" s="1898">
        <f t="shared" si="22"/>
        <v>1.2729124236252544E-3</v>
      </c>
    </row>
    <row r="673" spans="1:19">
      <c r="A673" s="1894">
        <f t="shared" si="21"/>
        <v>33</v>
      </c>
      <c r="B673" s="1895" t="s">
        <v>550</v>
      </c>
      <c r="C673" s="1894" t="s">
        <v>524</v>
      </c>
      <c r="D673" s="1895" t="s">
        <v>541</v>
      </c>
      <c r="E673" s="1894" t="s">
        <v>271</v>
      </c>
      <c r="F673" s="1896">
        <v>4000</v>
      </c>
      <c r="G673" s="1897">
        <v>0.89400000000000002</v>
      </c>
      <c r="H673" s="1897">
        <v>0.90600000000000003</v>
      </c>
      <c r="I673" s="1897">
        <v>0.97200000000000009</v>
      </c>
      <c r="J673" s="1897">
        <v>0.96600000000000008</v>
      </c>
      <c r="K673" s="1897">
        <v>0.94199999999999995</v>
      </c>
      <c r="L673" s="1897">
        <v>0.88500000000000001</v>
      </c>
      <c r="M673" s="1897">
        <v>1.08</v>
      </c>
      <c r="N673" s="1897">
        <v>0.97499999999999998</v>
      </c>
      <c r="O673" s="1897">
        <v>1.1100000000000001</v>
      </c>
      <c r="P673" s="1897">
        <v>0.9</v>
      </c>
      <c r="Q673" s="1897">
        <v>1.365</v>
      </c>
      <c r="R673" s="1897">
        <v>0.85799999999999998</v>
      </c>
      <c r="S673" s="1898">
        <f t="shared" si="22"/>
        <v>0.98775000000000013</v>
      </c>
    </row>
    <row r="674" spans="1:19">
      <c r="A674" s="1894">
        <f t="shared" si="21"/>
        <v>34</v>
      </c>
      <c r="B674" s="1895" t="s">
        <v>676</v>
      </c>
      <c r="C674" s="1894" t="s">
        <v>524</v>
      </c>
      <c r="D674" s="1895" t="s">
        <v>541</v>
      </c>
      <c r="E674" s="1894" t="s">
        <v>259</v>
      </c>
      <c r="F674" s="1896">
        <v>4000</v>
      </c>
      <c r="G674" s="1897">
        <v>0.67459459459459459</v>
      </c>
      <c r="H674" s="1897">
        <v>0.69189189189189193</v>
      </c>
      <c r="I674" s="1897">
        <v>0.1416</v>
      </c>
      <c r="J674" s="1897">
        <v>0.18960000000000002</v>
      </c>
      <c r="K674" s="1897">
        <v>0.19919999999999999</v>
      </c>
      <c r="L674" s="1897">
        <v>0.40079999999999999</v>
      </c>
      <c r="M674" s="1897">
        <v>0.47279999999999994</v>
      </c>
      <c r="N674" s="1897">
        <v>0.65039999999999998</v>
      </c>
      <c r="O674" s="1897">
        <v>0.68640000000000001</v>
      </c>
      <c r="P674" s="1897">
        <v>0.77759999999999996</v>
      </c>
      <c r="Q674" s="1897">
        <v>0.84719999999999995</v>
      </c>
      <c r="R674" s="1897">
        <v>0.80880000000000007</v>
      </c>
      <c r="S674" s="1898">
        <f t="shared" si="22"/>
        <v>0.54507387387387374</v>
      </c>
    </row>
    <row r="675" spans="1:19">
      <c r="A675" s="1894">
        <f t="shared" si="21"/>
        <v>35</v>
      </c>
      <c r="B675" s="1895" t="s">
        <v>672</v>
      </c>
      <c r="C675" s="1894" t="s">
        <v>524</v>
      </c>
      <c r="D675" s="1895" t="s">
        <v>541</v>
      </c>
      <c r="E675" s="1894" t="s">
        <v>259</v>
      </c>
      <c r="F675" s="1896">
        <v>4400</v>
      </c>
      <c r="G675" s="1897">
        <v>1.0510909090909091</v>
      </c>
      <c r="H675" s="1897">
        <v>0.9665454545454546</v>
      </c>
      <c r="I675" s="1897">
        <v>1.0336363636363637</v>
      </c>
      <c r="J675" s="1897">
        <v>1.0107272727272727</v>
      </c>
      <c r="K675" s="1897">
        <v>0.9578181818181819</v>
      </c>
      <c r="L675" s="1897">
        <v>0.96</v>
      </c>
      <c r="M675" s="1897">
        <v>1.0025454545454544</v>
      </c>
      <c r="N675" s="1897">
        <v>0.9490909090909091</v>
      </c>
      <c r="O675" s="1897">
        <v>0.97690909090909106</v>
      </c>
      <c r="P675" s="1897">
        <v>0.96545454545454545</v>
      </c>
      <c r="Q675" s="1897">
        <v>0.96436363636363653</v>
      </c>
      <c r="R675" s="1897">
        <v>0.96272727272727276</v>
      </c>
      <c r="S675" s="1898">
        <f t="shared" si="22"/>
        <v>0.9834090909090909</v>
      </c>
    </row>
    <row r="676" spans="1:19">
      <c r="A676" s="1894">
        <f t="shared" si="21"/>
        <v>36</v>
      </c>
      <c r="B676" s="1895" t="s">
        <v>587</v>
      </c>
      <c r="C676" s="1894" t="s">
        <v>524</v>
      </c>
      <c r="D676" s="1895" t="s">
        <v>541</v>
      </c>
      <c r="E676" s="1894" t="s">
        <v>271</v>
      </c>
      <c r="F676" s="1896">
        <v>4445</v>
      </c>
      <c r="G676" s="1897">
        <v>0.72890888638920137</v>
      </c>
      <c r="H676" s="1897">
        <v>0.72890888638920137</v>
      </c>
      <c r="I676" s="1897">
        <v>0.67491563554555678</v>
      </c>
      <c r="J676" s="1897">
        <v>0.75590551181102361</v>
      </c>
      <c r="K676" s="1897">
        <v>0.72890888638920137</v>
      </c>
      <c r="L676" s="1897">
        <v>0.34285714285714286</v>
      </c>
      <c r="M676" s="1897">
        <v>0.71271091113610796</v>
      </c>
      <c r="N676" s="1897">
        <v>0.77480314960629926</v>
      </c>
      <c r="O676" s="1897">
        <v>0.75590551181102361</v>
      </c>
      <c r="P676" s="1897">
        <v>0.66411698537682795</v>
      </c>
      <c r="Q676" s="1897">
        <v>0.30776152980877391</v>
      </c>
      <c r="R676" s="1897">
        <v>0.31316085489313839</v>
      </c>
      <c r="S676" s="1898">
        <f t="shared" si="22"/>
        <v>0.62407199100112487</v>
      </c>
    </row>
    <row r="677" spans="1:19">
      <c r="A677" s="1894">
        <f t="shared" si="21"/>
        <v>37</v>
      </c>
      <c r="B677" s="1895" t="s">
        <v>3522</v>
      </c>
      <c r="C677" s="1894" t="s">
        <v>524</v>
      </c>
      <c r="D677" s="1895" t="s">
        <v>541</v>
      </c>
      <c r="E677" s="1894" t="s">
        <v>259</v>
      </c>
      <c r="F677" s="1896">
        <v>4500</v>
      </c>
      <c r="G677" s="1897">
        <v>1.1359999999999999</v>
      </c>
      <c r="H677" s="1897">
        <v>1.1413333333333333</v>
      </c>
      <c r="I677" s="1897">
        <v>1.1552</v>
      </c>
      <c r="J677" s="1897">
        <v>1.1413333333333333</v>
      </c>
      <c r="K677" s="1897">
        <v>1.1061333333333334</v>
      </c>
      <c r="L677" s="1897">
        <v>1.1306666666666667</v>
      </c>
      <c r="M677" s="1897">
        <v>1.1381333333333334</v>
      </c>
      <c r="N677" s="1897">
        <v>1.1498666666666668</v>
      </c>
      <c r="O677" s="1897">
        <v>1.1562666666666666</v>
      </c>
      <c r="P677" s="1897">
        <v>1.1552</v>
      </c>
      <c r="Q677" s="1897">
        <v>1.0986666666666667</v>
      </c>
      <c r="R677" s="1897">
        <v>1.0677333333333334</v>
      </c>
      <c r="S677" s="1898">
        <f t="shared" si="22"/>
        <v>1.1313777777777776</v>
      </c>
    </row>
    <row r="678" spans="1:19">
      <c r="A678" s="1894">
        <f t="shared" si="21"/>
        <v>38</v>
      </c>
      <c r="B678" s="1895" t="s">
        <v>718</v>
      </c>
      <c r="C678" s="1894" t="s">
        <v>524</v>
      </c>
      <c r="D678" s="1895" t="s">
        <v>709</v>
      </c>
      <c r="E678" s="1894" t="s">
        <v>259</v>
      </c>
      <c r="F678" s="1896">
        <v>5092</v>
      </c>
      <c r="G678" s="1897">
        <v>0.10251374705420267</v>
      </c>
      <c r="H678" s="1897">
        <v>1.5318146111547526E-2</v>
      </c>
      <c r="I678" s="1897">
        <v>7.0699135899450118E-3</v>
      </c>
      <c r="J678" s="1897">
        <v>0.1849960722702278</v>
      </c>
      <c r="K678" s="1897">
        <v>0.19560094265514535</v>
      </c>
      <c r="L678" s="1897">
        <v>0.18853102906520031</v>
      </c>
      <c r="M678" s="1897">
        <v>0.11076197957580518</v>
      </c>
      <c r="N678" s="1897">
        <v>5.420267085624509E-2</v>
      </c>
      <c r="O678" s="1897">
        <v>1.1783189316575019E-2</v>
      </c>
      <c r="P678" s="1897">
        <v>9.4265514532600164E-3</v>
      </c>
      <c r="Q678" s="1897">
        <v>1.0604870384917517E-2</v>
      </c>
      <c r="R678" s="1897">
        <v>1.0604870384917517E-2</v>
      </c>
      <c r="S678" s="1898">
        <f t="shared" si="22"/>
        <v>7.511783189316576E-2</v>
      </c>
    </row>
    <row r="679" spans="1:19">
      <c r="A679" s="1894">
        <f t="shared" si="21"/>
        <v>39</v>
      </c>
      <c r="B679" s="1895" t="s">
        <v>578</v>
      </c>
      <c r="C679" s="1894" t="s">
        <v>524</v>
      </c>
      <c r="D679" s="1895" t="s">
        <v>541</v>
      </c>
      <c r="E679" s="1894" t="s">
        <v>271</v>
      </c>
      <c r="F679" s="1896">
        <v>5500</v>
      </c>
      <c r="G679" s="1897">
        <v>0.86399999999999999</v>
      </c>
      <c r="H679" s="1897">
        <v>0.95127272727272727</v>
      </c>
      <c r="I679" s="1897">
        <v>0.89018181818181819</v>
      </c>
      <c r="J679" s="1897">
        <v>0.8552727272727273</v>
      </c>
      <c r="K679" s="1897">
        <v>0.93381818181818177</v>
      </c>
      <c r="L679" s="1897">
        <v>0.91636363636363638</v>
      </c>
      <c r="M679" s="1897">
        <v>0.89890909090909088</v>
      </c>
      <c r="N679" s="1897">
        <v>0.8465454545454546</v>
      </c>
      <c r="O679" s="1897">
        <v>0.89890909090909088</v>
      </c>
      <c r="P679" s="1897">
        <v>0.96</v>
      </c>
      <c r="Q679" s="1897">
        <v>0.92509090909090907</v>
      </c>
      <c r="R679" s="1897">
        <v>0.88145454545454549</v>
      </c>
      <c r="S679" s="1898">
        <f t="shared" si="22"/>
        <v>0.90181818181818174</v>
      </c>
    </row>
    <row r="680" spans="1:19">
      <c r="A680" s="1894">
        <f t="shared" si="21"/>
        <v>40</v>
      </c>
      <c r="B680" s="1895" t="s">
        <v>674</v>
      </c>
      <c r="C680" s="1894" t="s">
        <v>524</v>
      </c>
      <c r="D680" s="1895" t="s">
        <v>541</v>
      </c>
      <c r="E680" s="1894" t="s">
        <v>259</v>
      </c>
      <c r="F680" s="1896">
        <v>5500</v>
      </c>
      <c r="G680" s="1897">
        <v>1.0188571428571429</v>
      </c>
      <c r="H680" s="1897">
        <v>1.0365714285714287</v>
      </c>
      <c r="I680" s="1897">
        <v>1.0325714285714287</v>
      </c>
      <c r="J680" s="1897">
        <v>1.0760000000000001</v>
      </c>
      <c r="K680" s="1897">
        <v>1.0508571428571429</v>
      </c>
      <c r="L680" s="1897">
        <v>0.96171428571428574</v>
      </c>
      <c r="M680" s="1897">
        <v>0.99942857142857155</v>
      </c>
      <c r="N680" s="1897">
        <v>0.98628571428571421</v>
      </c>
      <c r="O680" s="1897">
        <v>1.0274285714285714</v>
      </c>
      <c r="P680" s="1897">
        <v>1.02</v>
      </c>
      <c r="Q680" s="1897">
        <v>1.5054545454545454</v>
      </c>
      <c r="R680" s="1897">
        <v>0.74094545454545457</v>
      </c>
      <c r="S680" s="1898">
        <f t="shared" si="22"/>
        <v>1.0380095238095237</v>
      </c>
    </row>
    <row r="681" spans="1:19" ht="15">
      <c r="A681" s="1899">
        <f>+A680</f>
        <v>40</v>
      </c>
      <c r="B681" s="1900" t="s">
        <v>3523</v>
      </c>
      <c r="C681" s="1899"/>
      <c r="D681" s="1901"/>
      <c r="E681" s="1899"/>
      <c r="F681" s="1901">
        <f>SUM(F641:F680)</f>
        <v>101999.48999999999</v>
      </c>
      <c r="G681" s="1902">
        <f>AVERAGE(G641:G680)</f>
        <v>0.53431411719938182</v>
      </c>
      <c r="H681" s="1902">
        <f t="shared" ref="H681:S681" si="23">AVERAGE(H641:H680)</f>
        <v>0.64267202441044669</v>
      </c>
      <c r="I681" s="1902">
        <f t="shared" si="23"/>
        <v>0.5712617834973166</v>
      </c>
      <c r="J681" s="1902">
        <f t="shared" si="23"/>
        <v>0.61091765318790847</v>
      </c>
      <c r="K681" s="1902">
        <f t="shared" si="23"/>
        <v>0.60044979398855203</v>
      </c>
      <c r="L681" s="1902">
        <f t="shared" si="23"/>
        <v>0.56338442422291413</v>
      </c>
      <c r="M681" s="1902">
        <f t="shared" si="23"/>
        <v>0.6315878454388264</v>
      </c>
      <c r="N681" s="1902">
        <f t="shared" si="23"/>
        <v>0.67491394214548173</v>
      </c>
      <c r="O681" s="1902">
        <f t="shared" si="23"/>
        <v>0.65405153547963735</v>
      </c>
      <c r="P681" s="1902">
        <f t="shared" si="23"/>
        <v>0.64603013028512513</v>
      </c>
      <c r="Q681" s="1902">
        <f t="shared" si="23"/>
        <v>0.60285074891205892</v>
      </c>
      <c r="R681" s="1902">
        <f t="shared" si="23"/>
        <v>0.53277311614179212</v>
      </c>
      <c r="S681" s="1902">
        <f t="shared" si="23"/>
        <v>0.60543392624245362</v>
      </c>
    </row>
    <row r="682" spans="1:19" ht="15">
      <c r="A682" s="1894"/>
      <c r="B682" s="1891" t="s">
        <v>3524</v>
      </c>
      <c r="C682" s="1894"/>
      <c r="D682" s="1895"/>
      <c r="E682" s="1894"/>
      <c r="F682" s="1895"/>
      <c r="G682" s="1903"/>
      <c r="H682" s="1903"/>
      <c r="I682" s="1903"/>
      <c r="J682" s="1903"/>
      <c r="K682" s="1903"/>
      <c r="L682" s="1903"/>
      <c r="M682" s="1903"/>
      <c r="N682" s="1903"/>
      <c r="O682" s="1903"/>
      <c r="P682" s="1903"/>
      <c r="Q682" s="1903"/>
      <c r="R682" s="1903"/>
      <c r="S682" s="1904"/>
    </row>
    <row r="683" spans="1:19">
      <c r="A683" s="1894">
        <v>1</v>
      </c>
      <c r="B683" s="1895" t="s">
        <v>528</v>
      </c>
      <c r="C683" s="1894" t="s">
        <v>524</v>
      </c>
      <c r="D683" s="1895" t="s">
        <v>525</v>
      </c>
      <c r="E683" s="1894" t="s">
        <v>271</v>
      </c>
      <c r="F683" s="1896">
        <v>5555</v>
      </c>
      <c r="G683" s="1897">
        <v>0.63942394239423939</v>
      </c>
      <c r="H683" s="1897">
        <v>0.6999099909990999</v>
      </c>
      <c r="I683" s="1897">
        <v>0.55301530153015299</v>
      </c>
      <c r="J683" s="1897">
        <v>0.2765076507650765</v>
      </c>
      <c r="K683" s="1897">
        <v>0.76039603960396041</v>
      </c>
      <c r="L683" s="1897">
        <v>0.55301530153015299</v>
      </c>
      <c r="M683" s="1897">
        <v>0.57893789378937899</v>
      </c>
      <c r="N683" s="1897">
        <v>0.6135013501350135</v>
      </c>
      <c r="O683" s="1897">
        <v>0.30243024302430244</v>
      </c>
      <c r="P683" s="1897">
        <v>0.21602160216021601</v>
      </c>
      <c r="Q683" s="1897">
        <v>3.4563456345634562E-2</v>
      </c>
      <c r="R683" s="1897">
        <v>0.54437443744374436</v>
      </c>
      <c r="S683" s="1898">
        <f t="shared" si="22"/>
        <v>0.48100810081008111</v>
      </c>
    </row>
    <row r="684" spans="1:19">
      <c r="A684" s="1894">
        <f t="shared" si="21"/>
        <v>2</v>
      </c>
      <c r="B684" s="1895" t="s">
        <v>652</v>
      </c>
      <c r="C684" s="1894" t="s">
        <v>524</v>
      </c>
      <c r="D684" s="1895" t="s">
        <v>541</v>
      </c>
      <c r="E684" s="1894" t="s">
        <v>259</v>
      </c>
      <c r="F684" s="1896">
        <v>5911</v>
      </c>
      <c r="G684" s="1897">
        <v>0.60903400439857891</v>
      </c>
      <c r="H684" s="1897">
        <v>0.54813060395872104</v>
      </c>
      <c r="I684" s="1897">
        <v>1.0962612079174421</v>
      </c>
      <c r="J684" s="1897">
        <v>0.54813060395872104</v>
      </c>
      <c r="K684" s="1897">
        <v>0.52782947047876838</v>
      </c>
      <c r="L684" s="1897">
        <v>0.55828117069869732</v>
      </c>
      <c r="M684" s="1897">
        <v>0.60903400439857891</v>
      </c>
      <c r="N684" s="1897">
        <v>0.54813060395872104</v>
      </c>
      <c r="O684" s="1897">
        <v>0.8526476061580105</v>
      </c>
      <c r="P684" s="1897">
        <v>0.55422094400270683</v>
      </c>
      <c r="Q684" s="1897">
        <v>0.57249196413466419</v>
      </c>
      <c r="R684" s="1897">
        <v>0.5684317374386737</v>
      </c>
      <c r="S684" s="1898">
        <f t="shared" si="22"/>
        <v>0.63271866012519029</v>
      </c>
    </row>
    <row r="685" spans="1:19">
      <c r="A685" s="1894">
        <f t="shared" si="21"/>
        <v>3</v>
      </c>
      <c r="B685" s="1895" t="s">
        <v>589</v>
      </c>
      <c r="C685" s="1894" t="s">
        <v>524</v>
      </c>
      <c r="D685" s="1895" t="s">
        <v>541</v>
      </c>
      <c r="E685" s="1894" t="s">
        <v>271</v>
      </c>
      <c r="F685" s="1896">
        <v>6500</v>
      </c>
      <c r="G685" s="1897">
        <v>0.67200000000000004</v>
      </c>
      <c r="H685" s="1897">
        <v>0.43569230769230771</v>
      </c>
      <c r="I685" s="1897">
        <v>0.52430769230769225</v>
      </c>
      <c r="J685" s="1897">
        <v>0.46153846153846156</v>
      </c>
      <c r="K685" s="1897">
        <v>0.43938461538461537</v>
      </c>
      <c r="L685" s="1897">
        <v>0.48923076923076925</v>
      </c>
      <c r="M685" s="1897">
        <v>0.42018461538461543</v>
      </c>
      <c r="N685" s="1897">
        <v>0.49107692307692308</v>
      </c>
      <c r="O685" s="1897">
        <v>0.48738461538461536</v>
      </c>
      <c r="P685" s="1897">
        <v>0.46892307692307694</v>
      </c>
      <c r="Q685" s="1897">
        <v>0.45415384615384613</v>
      </c>
      <c r="R685" s="1897">
        <v>0.39323076923076922</v>
      </c>
      <c r="S685" s="1898">
        <f t="shared" si="22"/>
        <v>0.47809230769230776</v>
      </c>
    </row>
    <row r="686" spans="1:19">
      <c r="A686" s="1894">
        <f t="shared" si="21"/>
        <v>4</v>
      </c>
      <c r="B686" s="1895" t="s">
        <v>724</v>
      </c>
      <c r="C686" s="1894" t="s">
        <v>524</v>
      </c>
      <c r="D686" s="1895" t="s">
        <v>709</v>
      </c>
      <c r="E686" s="1894" t="s">
        <v>259</v>
      </c>
      <c r="F686" s="1896">
        <v>7021</v>
      </c>
      <c r="G686" s="1897">
        <v>0</v>
      </c>
      <c r="H686" s="1897">
        <v>0</v>
      </c>
      <c r="I686" s="1897">
        <v>0</v>
      </c>
      <c r="J686" s="1897">
        <v>0</v>
      </c>
      <c r="K686" s="1897">
        <v>0</v>
      </c>
      <c r="L686" s="1897">
        <v>0</v>
      </c>
      <c r="M686" s="1897">
        <v>0</v>
      </c>
      <c r="N686" s="1897">
        <v>0</v>
      </c>
      <c r="O686" s="1897">
        <v>0</v>
      </c>
      <c r="P686" s="1897">
        <v>0.18664007976071786</v>
      </c>
      <c r="Q686" s="1897">
        <v>9.4345534824099131E-2</v>
      </c>
      <c r="R686" s="1897">
        <v>0.17570146702748898</v>
      </c>
      <c r="S686" s="1898">
        <f t="shared" si="22"/>
        <v>3.8057256801025501E-2</v>
      </c>
    </row>
    <row r="687" spans="1:19">
      <c r="A687" s="1894">
        <f t="shared" si="21"/>
        <v>5</v>
      </c>
      <c r="B687" s="1895" t="s">
        <v>572</v>
      </c>
      <c r="C687" s="1894" t="s">
        <v>524</v>
      </c>
      <c r="D687" s="1895" t="s">
        <v>541</v>
      </c>
      <c r="E687" s="1894" t="s">
        <v>271</v>
      </c>
      <c r="F687" s="1896">
        <v>7500</v>
      </c>
      <c r="G687" s="1897">
        <v>0</v>
      </c>
      <c r="H687" s="1897">
        <v>0</v>
      </c>
      <c r="I687" s="1897">
        <v>1.0224</v>
      </c>
      <c r="J687" s="1897">
        <v>1.0944</v>
      </c>
      <c r="K687" s="1897">
        <v>0.95712000000000008</v>
      </c>
      <c r="L687" s="1897">
        <v>0.96863999999999995</v>
      </c>
      <c r="M687" s="1897">
        <v>1.0032000000000001</v>
      </c>
      <c r="N687" s="1897">
        <v>1.51776</v>
      </c>
      <c r="O687" s="1897">
        <v>1.01312</v>
      </c>
      <c r="P687" s="1897">
        <v>1.03104</v>
      </c>
      <c r="Q687" s="1897">
        <v>1.0495999999999999</v>
      </c>
      <c r="R687" s="1897">
        <v>1.04512</v>
      </c>
      <c r="S687" s="1898">
        <f t="shared" si="22"/>
        <v>0.89186666666666659</v>
      </c>
    </row>
    <row r="688" spans="1:19">
      <c r="A688" s="1894">
        <f t="shared" si="21"/>
        <v>6</v>
      </c>
      <c r="B688" s="1895" t="s">
        <v>574</v>
      </c>
      <c r="C688" s="1894" t="s">
        <v>524</v>
      </c>
      <c r="D688" s="1895" t="s">
        <v>541</v>
      </c>
      <c r="E688" s="1894" t="s">
        <v>271</v>
      </c>
      <c r="F688" s="1896">
        <v>7500</v>
      </c>
      <c r="G688" s="1897">
        <v>0.84266666666666667</v>
      </c>
      <c r="H688" s="1897">
        <v>0.85333333333333339</v>
      </c>
      <c r="I688" s="1897">
        <v>0.83733333333333337</v>
      </c>
      <c r="J688" s="1897">
        <v>0.85866666666666669</v>
      </c>
      <c r="K688" s="1897">
        <v>0.83733333333333337</v>
      </c>
      <c r="L688" s="1897">
        <v>0.88</v>
      </c>
      <c r="M688" s="1897">
        <v>0.89066666666666672</v>
      </c>
      <c r="N688" s="1897">
        <v>0.91200000000000003</v>
      </c>
      <c r="O688" s="1897">
        <v>0.90133333333333332</v>
      </c>
      <c r="P688" s="1897">
        <v>0.90666666666666662</v>
      </c>
      <c r="Q688" s="1897">
        <v>0.88533333333333331</v>
      </c>
      <c r="R688" s="1897">
        <v>0.92800000000000005</v>
      </c>
      <c r="S688" s="1898">
        <f t="shared" si="22"/>
        <v>0.87777777777777788</v>
      </c>
    </row>
    <row r="689" spans="1:19">
      <c r="A689" s="1894">
        <f t="shared" si="21"/>
        <v>7</v>
      </c>
      <c r="B689" s="1895" t="s">
        <v>523</v>
      </c>
      <c r="C689" s="1894" t="s">
        <v>524</v>
      </c>
      <c r="D689" s="1895" t="s">
        <v>525</v>
      </c>
      <c r="E689" s="1894" t="s">
        <v>271</v>
      </c>
      <c r="F689" s="1896">
        <v>7778</v>
      </c>
      <c r="G689" s="1897">
        <v>0.8794034456158395</v>
      </c>
      <c r="H689" s="1897">
        <v>1.542813062483929E-2</v>
      </c>
      <c r="I689" s="1897">
        <v>1.0799691437387504</v>
      </c>
      <c r="J689" s="1897">
        <v>0.20056569812291078</v>
      </c>
      <c r="K689" s="1897">
        <v>1.542813062483929E-2</v>
      </c>
      <c r="L689" s="1897">
        <v>7.7140653124196448E-2</v>
      </c>
      <c r="M689" s="1897">
        <v>3.0856261249678579E-2</v>
      </c>
      <c r="N689" s="1897">
        <v>0</v>
      </c>
      <c r="O689" s="1897">
        <v>1.1571097968629467</v>
      </c>
      <c r="P689" s="1897">
        <v>0.83311905374132167</v>
      </c>
      <c r="Q689" s="1897">
        <v>0</v>
      </c>
      <c r="R689" s="1897">
        <v>1.542813062483929E-2</v>
      </c>
      <c r="S689" s="1898">
        <f t="shared" si="22"/>
        <v>0.35870403702751347</v>
      </c>
    </row>
    <row r="690" spans="1:19">
      <c r="A690" s="1894">
        <f t="shared" si="21"/>
        <v>8</v>
      </c>
      <c r="B690" s="1895" t="s">
        <v>570</v>
      </c>
      <c r="C690" s="1894" t="s">
        <v>524</v>
      </c>
      <c r="D690" s="1895" t="s">
        <v>541</v>
      </c>
      <c r="E690" s="1894" t="s">
        <v>271</v>
      </c>
      <c r="F690" s="1896">
        <v>8000</v>
      </c>
      <c r="G690" s="1897">
        <v>0.75600000000000001</v>
      </c>
      <c r="H690" s="1897">
        <v>0.56040000000000001</v>
      </c>
      <c r="I690" s="1897">
        <v>0.51360000000000006</v>
      </c>
      <c r="J690" s="1897">
        <v>0.51960000000000006</v>
      </c>
      <c r="K690" s="1897">
        <v>0.53760000000000008</v>
      </c>
      <c r="L690" s="1897">
        <v>0.52439999999999998</v>
      </c>
      <c r="M690" s="1897">
        <v>0.52800000000000002</v>
      </c>
      <c r="N690" s="1897">
        <v>0.55500000000000005</v>
      </c>
      <c r="O690" s="1897">
        <v>0.57599999999999996</v>
      </c>
      <c r="P690" s="1897">
        <v>0.58799999999999997</v>
      </c>
      <c r="Q690" s="1897">
        <v>0.624</v>
      </c>
      <c r="R690" s="1897">
        <v>0.92549999999999999</v>
      </c>
      <c r="S690" s="1898">
        <f t="shared" si="22"/>
        <v>0.60067499999999996</v>
      </c>
    </row>
    <row r="691" spans="1:19">
      <c r="A691" s="1894">
        <f t="shared" si="21"/>
        <v>9</v>
      </c>
      <c r="B691" s="1895" t="s">
        <v>670</v>
      </c>
      <c r="C691" s="1894" t="s">
        <v>524</v>
      </c>
      <c r="D691" s="1895" t="s">
        <v>541</v>
      </c>
      <c r="E691" s="1894" t="s">
        <v>259</v>
      </c>
      <c r="F691" s="1896">
        <v>8000</v>
      </c>
      <c r="G691" s="1897">
        <v>0.50159999999999993</v>
      </c>
      <c r="H691" s="1897">
        <v>0.7427999999999999</v>
      </c>
      <c r="I691" s="1897">
        <v>0.78359999999999996</v>
      </c>
      <c r="J691" s="1897">
        <v>0.76919999999999999</v>
      </c>
      <c r="K691" s="1897">
        <v>0.76559999999999995</v>
      </c>
      <c r="L691" s="1897">
        <v>0.75479999999999992</v>
      </c>
      <c r="M691" s="1897">
        <v>0.75479999999999992</v>
      </c>
      <c r="N691" s="1897">
        <v>0.74820000000000009</v>
      </c>
      <c r="O691" s="1897">
        <v>0.76800000000000002</v>
      </c>
      <c r="P691" s="1897">
        <v>0.78720000000000001</v>
      </c>
      <c r="Q691" s="1897">
        <v>0.81840000000000002</v>
      </c>
      <c r="R691" s="1897">
        <v>0.81540000000000001</v>
      </c>
      <c r="S691" s="1898">
        <f t="shared" si="22"/>
        <v>0.75080000000000002</v>
      </c>
    </row>
    <row r="692" spans="1:19">
      <c r="A692" s="1894">
        <f t="shared" si="21"/>
        <v>10</v>
      </c>
      <c r="B692" s="1895" t="s">
        <v>714</v>
      </c>
      <c r="C692" s="1894" t="s">
        <v>524</v>
      </c>
      <c r="D692" s="1895" t="s">
        <v>709</v>
      </c>
      <c r="E692" s="1894" t="s">
        <v>259</v>
      </c>
      <c r="F692" s="1896">
        <v>8319</v>
      </c>
      <c r="G692" s="1897">
        <v>0</v>
      </c>
      <c r="H692" s="1897">
        <v>0</v>
      </c>
      <c r="I692" s="1897">
        <v>0</v>
      </c>
      <c r="J692" s="1897">
        <v>0</v>
      </c>
      <c r="K692" s="1897">
        <v>0</v>
      </c>
      <c r="L692" s="1897">
        <v>0</v>
      </c>
      <c r="M692" s="1897">
        <v>1.6227912008654886E-2</v>
      </c>
      <c r="N692" s="1897">
        <v>4.9765596826541643E-2</v>
      </c>
      <c r="O692" s="1897">
        <v>3.2455824017309774E-3</v>
      </c>
      <c r="P692" s="1897">
        <v>2.1637216011539851E-3</v>
      </c>
      <c r="Q692" s="1897">
        <v>2.1637216011539851E-3</v>
      </c>
      <c r="R692" s="1897">
        <v>2.1637216011539851E-3</v>
      </c>
      <c r="S692" s="1898">
        <f t="shared" si="22"/>
        <v>6.3108546700324543E-3</v>
      </c>
    </row>
    <row r="693" spans="1:19">
      <c r="A693" s="1894">
        <f t="shared" si="21"/>
        <v>11</v>
      </c>
      <c r="B693" s="1895" t="s">
        <v>3525</v>
      </c>
      <c r="C693" s="1894" t="s">
        <v>524</v>
      </c>
      <c r="D693" s="1895" t="s">
        <v>541</v>
      </c>
      <c r="E693" s="1894" t="s">
        <v>259</v>
      </c>
      <c r="F693" s="1896">
        <v>9500</v>
      </c>
      <c r="G693" s="1897">
        <v>1.0738285714285714</v>
      </c>
      <c r="H693" s="1897">
        <v>1.0854857142857142</v>
      </c>
      <c r="I693" s="1897">
        <v>1.0834285714285714</v>
      </c>
      <c r="J693" s="1897">
        <v>1.0848</v>
      </c>
      <c r="K693" s="1897">
        <v>1.1938285714285717</v>
      </c>
      <c r="L693" s="1897">
        <v>1.158857142857143</v>
      </c>
      <c r="M693" s="1897">
        <v>1.1561142857142856</v>
      </c>
      <c r="N693" s="1897">
        <v>1.3529142857142857</v>
      </c>
      <c r="O693" s="1897">
        <v>1.464</v>
      </c>
      <c r="P693" s="1897">
        <v>1.4633142857142858</v>
      </c>
      <c r="Q693" s="1897">
        <v>1.0938947368421053</v>
      </c>
      <c r="R693" s="1897">
        <v>1.0772210526315791</v>
      </c>
      <c r="S693" s="1898">
        <f t="shared" si="22"/>
        <v>1.1906406015037596</v>
      </c>
    </row>
    <row r="694" spans="1:19">
      <c r="A694" s="1894">
        <f t="shared" si="21"/>
        <v>12</v>
      </c>
      <c r="B694" s="1895" t="s">
        <v>558</v>
      </c>
      <c r="C694" s="1894" t="s">
        <v>524</v>
      </c>
      <c r="D694" s="1895" t="s">
        <v>541</v>
      </c>
      <c r="E694" s="1894" t="s">
        <v>271</v>
      </c>
      <c r="F694" s="1896">
        <v>10000</v>
      </c>
      <c r="G694" s="1897">
        <v>0.93959999999999999</v>
      </c>
      <c r="H694" s="1897">
        <v>1.1639999999999999</v>
      </c>
      <c r="I694" s="1897">
        <v>1.1531279999999999</v>
      </c>
      <c r="J694" s="1897">
        <v>0.89172000000000007</v>
      </c>
      <c r="K694" s="1897">
        <v>1.2195</v>
      </c>
      <c r="L694" s="1897">
        <v>0.99225599999999992</v>
      </c>
      <c r="M694" s="1897">
        <v>0.98475599999999996</v>
      </c>
      <c r="N694" s="1897">
        <v>0.99037559999999991</v>
      </c>
      <c r="O694" s="1897">
        <v>0.80887560000000003</v>
      </c>
      <c r="P694" s="1897">
        <v>0.84075</v>
      </c>
      <c r="Q694" s="1897">
        <v>0.91200000000000003</v>
      </c>
      <c r="R694" s="1897">
        <v>0.90600000000000003</v>
      </c>
      <c r="S694" s="1898">
        <f t="shared" si="22"/>
        <v>0.98358010000000018</v>
      </c>
    </row>
    <row r="695" spans="1:19">
      <c r="A695" s="1894">
        <f t="shared" si="21"/>
        <v>13</v>
      </c>
      <c r="B695" s="1895" t="s">
        <v>564</v>
      </c>
      <c r="C695" s="1894" t="s">
        <v>524</v>
      </c>
      <c r="D695" s="1895" t="s">
        <v>541</v>
      </c>
      <c r="E695" s="1894" t="s">
        <v>271</v>
      </c>
      <c r="F695" s="1896">
        <v>10000</v>
      </c>
      <c r="G695" s="1897">
        <v>0.97199999999999998</v>
      </c>
      <c r="H695" s="1897">
        <v>0.97599999999999998</v>
      </c>
      <c r="I695" s="1897">
        <v>0.97599999999999998</v>
      </c>
      <c r="J695" s="1897">
        <v>0.97199999999999998</v>
      </c>
      <c r="K695" s="1897">
        <v>0.97199999999999998</v>
      </c>
      <c r="L695" s="1897">
        <v>1.004</v>
      </c>
      <c r="M695" s="1897">
        <v>0.996</v>
      </c>
      <c r="N695" s="1897">
        <v>1.032</v>
      </c>
      <c r="O695" s="1897">
        <v>0.98399999999999999</v>
      </c>
      <c r="P695" s="1897">
        <v>0.996</v>
      </c>
      <c r="Q695" s="1897">
        <v>1.036</v>
      </c>
      <c r="R695" s="1897">
        <v>0.996</v>
      </c>
      <c r="S695" s="1898">
        <f t="shared" si="22"/>
        <v>0.9926666666666667</v>
      </c>
    </row>
    <row r="696" spans="1:19">
      <c r="A696" s="1894">
        <f t="shared" si="21"/>
        <v>14</v>
      </c>
      <c r="B696" s="1895" t="s">
        <v>599</v>
      </c>
      <c r="C696" s="1894" t="s">
        <v>524</v>
      </c>
      <c r="D696" s="1895" t="s">
        <v>595</v>
      </c>
      <c r="E696" s="1894" t="s">
        <v>271</v>
      </c>
      <c r="F696" s="1896">
        <v>10000</v>
      </c>
      <c r="G696" s="1897">
        <v>1.7807999999999999</v>
      </c>
      <c r="H696" s="1897">
        <v>1.7856000000000001</v>
      </c>
      <c r="I696" s="1897">
        <v>1.8096000000000001</v>
      </c>
      <c r="J696" s="1897">
        <v>1.8120000000000001</v>
      </c>
      <c r="K696" s="1897">
        <v>1.8335999999999999</v>
      </c>
      <c r="L696" s="1897">
        <v>1.8071999999999999</v>
      </c>
      <c r="M696" s="1897">
        <v>1.8395999999999999</v>
      </c>
      <c r="N696" s="1897">
        <v>1.8191999999999999</v>
      </c>
      <c r="O696" s="1897">
        <v>1.8912</v>
      </c>
      <c r="P696" s="1897">
        <v>1.8972</v>
      </c>
      <c r="Q696" s="1897">
        <v>4.3200000000000002E-2</v>
      </c>
      <c r="R696" s="1897">
        <v>1.3271999999999999</v>
      </c>
      <c r="S696" s="1898">
        <f t="shared" si="22"/>
        <v>1.6372</v>
      </c>
    </row>
    <row r="697" spans="1:19">
      <c r="A697" s="1894">
        <f t="shared" si="21"/>
        <v>15</v>
      </c>
      <c r="B697" s="1895" t="s">
        <v>554</v>
      </c>
      <c r="C697" s="1894" t="s">
        <v>524</v>
      </c>
      <c r="D697" s="1895" t="s">
        <v>541</v>
      </c>
      <c r="E697" s="1894" t="s">
        <v>271</v>
      </c>
      <c r="F697" s="1896">
        <v>10000</v>
      </c>
      <c r="G697" s="1897">
        <v>1.02</v>
      </c>
      <c r="H697" s="1897">
        <v>0.97199999999999998</v>
      </c>
      <c r="I697" s="1897">
        <v>1.08</v>
      </c>
      <c r="J697" s="1897">
        <v>1.02</v>
      </c>
      <c r="K697" s="1897">
        <v>0.94199999999999995</v>
      </c>
      <c r="L697" s="1897">
        <v>0.94199999999999995</v>
      </c>
      <c r="M697" s="1897">
        <v>0.95399999999999996</v>
      </c>
      <c r="N697" s="1897">
        <v>0.98399999999999999</v>
      </c>
      <c r="O697" s="1897">
        <v>0.96599999999999997</v>
      </c>
      <c r="P697" s="1897">
        <v>0.99</v>
      </c>
      <c r="Q697" s="1897">
        <v>0.93600000000000005</v>
      </c>
      <c r="R697" s="1897">
        <v>0.97199999999999998</v>
      </c>
      <c r="S697" s="1898">
        <f t="shared" si="22"/>
        <v>0.98150000000000004</v>
      </c>
    </row>
    <row r="698" spans="1:19">
      <c r="A698" s="1894">
        <f t="shared" si="21"/>
        <v>16</v>
      </c>
      <c r="B698" s="1895" t="s">
        <v>597</v>
      </c>
      <c r="C698" s="1894" t="s">
        <v>524</v>
      </c>
      <c r="D698" s="1895" t="s">
        <v>595</v>
      </c>
      <c r="E698" s="1894" t="s">
        <v>271</v>
      </c>
      <c r="F698" s="1896">
        <v>12000</v>
      </c>
      <c r="G698" s="1897">
        <v>1.91</v>
      </c>
      <c r="H698" s="1897">
        <v>1.9</v>
      </c>
      <c r="I698" s="1897">
        <v>1.8366666666666667</v>
      </c>
      <c r="J698" s="1897">
        <v>1.7933333333333332</v>
      </c>
      <c r="K698" s="1897">
        <v>1.88</v>
      </c>
      <c r="L698" s="1897">
        <v>1.8233333333333333</v>
      </c>
      <c r="M698" s="1897">
        <v>1.9266666666666667</v>
      </c>
      <c r="N698" s="1897">
        <v>1.8366666666666667</v>
      </c>
      <c r="O698" s="1897">
        <v>1.83</v>
      </c>
      <c r="P698" s="1897">
        <v>2.0466666666666669</v>
      </c>
      <c r="Q698" s="1897">
        <v>1.8266666666666667</v>
      </c>
      <c r="R698" s="1897">
        <v>1.79</v>
      </c>
      <c r="S698" s="1898">
        <f t="shared" si="22"/>
        <v>1.8666666666666665</v>
      </c>
    </row>
    <row r="699" spans="1:19">
      <c r="A699" s="1894">
        <f t="shared" si="21"/>
        <v>17</v>
      </c>
      <c r="B699" s="1895" t="s">
        <v>686</v>
      </c>
      <c r="C699" s="1894" t="s">
        <v>524</v>
      </c>
      <c r="D699" s="1895" t="s">
        <v>541</v>
      </c>
      <c r="E699" s="1894" t="s">
        <v>259</v>
      </c>
      <c r="F699" s="1896">
        <v>12000</v>
      </c>
      <c r="G699" s="1897">
        <v>0.71679999999999999</v>
      </c>
      <c r="H699" s="1897">
        <v>0.88</v>
      </c>
      <c r="I699" s="1897">
        <v>0.92639999999999989</v>
      </c>
      <c r="J699" s="1897">
        <v>0.81599999999999995</v>
      </c>
      <c r="K699" s="1897">
        <v>0.83440000000000014</v>
      </c>
      <c r="L699" s="1897">
        <v>0.83440000000000014</v>
      </c>
      <c r="M699" s="1897">
        <v>0.75839999999999996</v>
      </c>
      <c r="N699" s="1897">
        <v>0.76160000000000005</v>
      </c>
      <c r="O699" s="1897">
        <v>0.98399999999999999</v>
      </c>
      <c r="P699" s="1897">
        <v>0.98160000000000003</v>
      </c>
      <c r="Q699" s="1897">
        <v>0.93119999999999992</v>
      </c>
      <c r="R699" s="1897">
        <v>0.88160000000000005</v>
      </c>
      <c r="S699" s="1898">
        <f t="shared" si="22"/>
        <v>0.85886666666666678</v>
      </c>
    </row>
    <row r="700" spans="1:19">
      <c r="A700" s="1894">
        <f t="shared" si="21"/>
        <v>18</v>
      </c>
      <c r="B700" s="1895" t="s">
        <v>580</v>
      </c>
      <c r="C700" s="1894" t="s">
        <v>524</v>
      </c>
      <c r="D700" s="1895" t="s">
        <v>541</v>
      </c>
      <c r="E700" s="1894" t="s">
        <v>271</v>
      </c>
      <c r="F700" s="1896">
        <v>12500</v>
      </c>
      <c r="G700" s="1897">
        <v>0.80587200000000014</v>
      </c>
      <c r="H700" s="1897">
        <v>0.2142048</v>
      </c>
      <c r="I700" s="1897">
        <v>0.66149760000000013</v>
      </c>
      <c r="J700" s="1897">
        <v>0.75420480000000001</v>
      </c>
      <c r="K700" s="1897">
        <v>0.79200000000000004</v>
      </c>
      <c r="L700" s="1897">
        <v>0.78720000000000001</v>
      </c>
      <c r="M700" s="1897">
        <v>0.78144000000000002</v>
      </c>
      <c r="N700" s="1897">
        <v>0.83711999999999998</v>
      </c>
      <c r="O700" s="1897">
        <v>0.85631999999999997</v>
      </c>
      <c r="P700" s="1897">
        <v>0.83423999999999998</v>
      </c>
      <c r="Q700" s="1897">
        <v>0.83520000000000005</v>
      </c>
      <c r="R700" s="1897">
        <v>0.84863999999999995</v>
      </c>
      <c r="S700" s="1898">
        <f t="shared" si="22"/>
        <v>0.75066160000000004</v>
      </c>
    </row>
    <row r="701" spans="1:19">
      <c r="A701" s="1894">
        <f t="shared" si="21"/>
        <v>19</v>
      </c>
      <c r="B701" s="1895" t="s">
        <v>3526</v>
      </c>
      <c r="C701" s="1894" t="s">
        <v>524</v>
      </c>
      <c r="D701" s="1895" t="s">
        <v>538</v>
      </c>
      <c r="E701" s="1894" t="s">
        <v>271</v>
      </c>
      <c r="F701" s="1896">
        <v>13000</v>
      </c>
      <c r="G701" s="1897">
        <v>0.81115384615384611</v>
      </c>
      <c r="H701" s="1897">
        <v>1.0914461538461537</v>
      </c>
      <c r="I701" s="1897">
        <v>2.4952615384615382</v>
      </c>
      <c r="J701" s="1897">
        <v>9.9692307692307691E-2</v>
      </c>
      <c r="K701" s="1897">
        <v>2.5883076923076924</v>
      </c>
      <c r="L701" s="1897">
        <v>2.7190153846153846</v>
      </c>
      <c r="M701" s="1897">
        <v>2.7529846153846158</v>
      </c>
      <c r="N701" s="1897">
        <v>2.7156923076923078</v>
      </c>
      <c r="O701" s="1897">
        <v>1.9181538461538461</v>
      </c>
      <c r="P701" s="1897">
        <v>2.8268307692307695</v>
      </c>
      <c r="Q701" s="1897">
        <v>2.555076923076923</v>
      </c>
      <c r="R701" s="1897">
        <v>2.7876923076923079</v>
      </c>
      <c r="S701" s="1898">
        <f t="shared" si="22"/>
        <v>2.1134423076923077</v>
      </c>
    </row>
    <row r="702" spans="1:19">
      <c r="A702" s="1894">
        <f t="shared" si="21"/>
        <v>20</v>
      </c>
      <c r="B702" s="1895" t="s">
        <v>548</v>
      </c>
      <c r="C702" s="1894" t="s">
        <v>524</v>
      </c>
      <c r="D702" s="1895" t="s">
        <v>541</v>
      </c>
      <c r="E702" s="1894" t="s">
        <v>271</v>
      </c>
      <c r="F702" s="1896">
        <v>13000</v>
      </c>
      <c r="G702" s="1897">
        <v>0.9101538461538462</v>
      </c>
      <c r="H702" s="1897">
        <v>0.91200000000000014</v>
      </c>
      <c r="I702" s="1897">
        <v>0.91753846153846153</v>
      </c>
      <c r="J702" s="1897">
        <v>0.92123076923076919</v>
      </c>
      <c r="K702" s="1897">
        <v>0.88061538461538447</v>
      </c>
      <c r="L702" s="1897">
        <v>0.87138461538461542</v>
      </c>
      <c r="M702" s="1897">
        <v>0.9046153846153846</v>
      </c>
      <c r="N702" s="1897">
        <v>0.86769230769230765</v>
      </c>
      <c r="O702" s="1897">
        <v>0.89723076923076928</v>
      </c>
      <c r="P702" s="1897">
        <v>0.9101538461538462</v>
      </c>
      <c r="Q702" s="1897">
        <v>0.90092307692307694</v>
      </c>
      <c r="R702" s="1897">
        <v>0.87692307692307692</v>
      </c>
      <c r="S702" s="1898">
        <f t="shared" si="22"/>
        <v>0.89753846153846162</v>
      </c>
    </row>
    <row r="703" spans="1:19">
      <c r="A703" s="1894">
        <f t="shared" si="21"/>
        <v>21</v>
      </c>
      <c r="B703" s="1895" t="s">
        <v>568</v>
      </c>
      <c r="C703" s="1894" t="s">
        <v>524</v>
      </c>
      <c r="D703" s="1895" t="s">
        <v>541</v>
      </c>
      <c r="E703" s="1894" t="s">
        <v>271</v>
      </c>
      <c r="F703" s="1896">
        <v>13000</v>
      </c>
      <c r="G703" s="1897">
        <v>0.83815384615384614</v>
      </c>
      <c r="H703" s="1897">
        <v>0.8418461538461538</v>
      </c>
      <c r="I703" s="1897">
        <v>0.83815384615384614</v>
      </c>
      <c r="J703" s="1897">
        <v>0.83815384615384614</v>
      </c>
      <c r="K703" s="1897">
        <v>0.81230769230769229</v>
      </c>
      <c r="L703" s="1897">
        <v>0.80861538461538462</v>
      </c>
      <c r="M703" s="1897">
        <v>0.81673846153846152</v>
      </c>
      <c r="N703" s="1897">
        <v>0.83446153846153848</v>
      </c>
      <c r="O703" s="1897">
        <v>0.81784615384615389</v>
      </c>
      <c r="P703" s="1897">
        <v>0.80861538461538462</v>
      </c>
      <c r="Q703" s="1897">
        <v>0.81046153846153846</v>
      </c>
      <c r="R703" s="1897">
        <v>0.81599999999999995</v>
      </c>
      <c r="S703" s="1898">
        <f t="shared" si="22"/>
        <v>0.82344615384615405</v>
      </c>
    </row>
    <row r="704" spans="1:19">
      <c r="A704" s="1894">
        <f t="shared" si="21"/>
        <v>22</v>
      </c>
      <c r="B704" s="1895" t="s">
        <v>576</v>
      </c>
      <c r="C704" s="1894" t="s">
        <v>524</v>
      </c>
      <c r="D704" s="1895" t="s">
        <v>541</v>
      </c>
      <c r="E704" s="1894" t="s">
        <v>271</v>
      </c>
      <c r="F704" s="1896">
        <v>14000</v>
      </c>
      <c r="G704" s="1897">
        <v>1.488</v>
      </c>
      <c r="H704" s="1897">
        <v>0.90342857142857147</v>
      </c>
      <c r="I704" s="1897">
        <v>0.90171428571428569</v>
      </c>
      <c r="J704" s="1897">
        <v>1.0148571428571429</v>
      </c>
      <c r="K704" s="1897">
        <v>0.87428571428571433</v>
      </c>
      <c r="L704" s="1897">
        <v>0.94457142857142862</v>
      </c>
      <c r="M704" s="1897">
        <v>0.79885714285714282</v>
      </c>
      <c r="N704" s="1897">
        <v>0.93685714285714283</v>
      </c>
      <c r="O704" s="1897">
        <v>0.76800000000000002</v>
      </c>
      <c r="P704" s="1897">
        <v>0.58114285714285718</v>
      </c>
      <c r="Q704" s="1897">
        <v>0.57171428571428573</v>
      </c>
      <c r="R704" s="1897">
        <v>0.55628571428571438</v>
      </c>
      <c r="S704" s="1898">
        <f t="shared" si="22"/>
        <v>0.86164285714285727</v>
      </c>
    </row>
    <row r="705" spans="1:19">
      <c r="A705" s="1894">
        <f t="shared" si="21"/>
        <v>23</v>
      </c>
      <c r="B705" s="1895" t="s">
        <v>560</v>
      </c>
      <c r="C705" s="1894" t="s">
        <v>524</v>
      </c>
      <c r="D705" s="1895" t="s">
        <v>538</v>
      </c>
      <c r="E705" s="1894" t="s">
        <v>271</v>
      </c>
      <c r="F705" s="1896">
        <v>15000</v>
      </c>
      <c r="G705" s="1897">
        <v>0</v>
      </c>
      <c r="H705" s="1897">
        <v>0</v>
      </c>
      <c r="I705" s="1897">
        <v>0</v>
      </c>
      <c r="J705" s="1897">
        <v>0</v>
      </c>
      <c r="K705" s="1897">
        <v>0</v>
      </c>
      <c r="L705" s="1897">
        <v>0.2742857142857143</v>
      </c>
      <c r="M705" s="1897">
        <v>6.8571428571428575E-2</v>
      </c>
      <c r="N705" s="1897">
        <v>0.28799999999999998</v>
      </c>
      <c r="O705" s="1897">
        <v>0.92800000000000005</v>
      </c>
      <c r="P705" s="1897">
        <v>1.264</v>
      </c>
      <c r="Q705" s="1897">
        <v>1.5775999999999999</v>
      </c>
      <c r="R705" s="1897">
        <v>1.5878399999999999</v>
      </c>
      <c r="S705" s="1898">
        <f t="shared" si="22"/>
        <v>0.49902476190476186</v>
      </c>
    </row>
    <row r="706" spans="1:19">
      <c r="A706" s="1894">
        <f t="shared" si="21"/>
        <v>24</v>
      </c>
      <c r="B706" s="1895" t="s">
        <v>3527</v>
      </c>
      <c r="C706" s="1894" t="s">
        <v>524</v>
      </c>
      <c r="D706" s="1895" t="s">
        <v>602</v>
      </c>
      <c r="E706" s="1894" t="s">
        <v>271</v>
      </c>
      <c r="F706" s="1896">
        <v>15000</v>
      </c>
      <c r="G706" s="1897">
        <v>0.99199999999999999</v>
      </c>
      <c r="H706" s="1897">
        <v>0.96</v>
      </c>
      <c r="I706" s="1897">
        <v>0.99199999999999999</v>
      </c>
      <c r="J706" s="1897">
        <v>0.99199999999999999</v>
      </c>
      <c r="K706" s="1897">
        <v>1.024</v>
      </c>
      <c r="L706" s="1897">
        <v>1.024</v>
      </c>
      <c r="M706" s="1897">
        <v>0.86399999999999999</v>
      </c>
      <c r="N706" s="1897">
        <v>1.216</v>
      </c>
      <c r="O706" s="1897">
        <v>1.056</v>
      </c>
      <c r="P706" s="1897">
        <v>0.96</v>
      </c>
      <c r="Q706" s="1897">
        <v>1.3440000000000001</v>
      </c>
      <c r="R706" s="1897">
        <v>0.99199999999999999</v>
      </c>
      <c r="S706" s="1898">
        <f t="shared" si="22"/>
        <v>1.0346666666666666</v>
      </c>
    </row>
    <row r="707" spans="1:19">
      <c r="A707" s="1894">
        <f t="shared" si="21"/>
        <v>25</v>
      </c>
      <c r="B707" s="1895" t="s">
        <v>566</v>
      </c>
      <c r="C707" s="1894" t="s">
        <v>524</v>
      </c>
      <c r="D707" s="1895" t="s">
        <v>541</v>
      </c>
      <c r="E707" s="1894" t="s">
        <v>271</v>
      </c>
      <c r="F707" s="1896">
        <v>16000</v>
      </c>
      <c r="G707" s="1897">
        <v>0.90600000000000003</v>
      </c>
      <c r="H707" s="1897">
        <v>0.90540000000000009</v>
      </c>
      <c r="I707" s="1897">
        <v>0.92880000000000007</v>
      </c>
      <c r="J707" s="1897">
        <v>0.92519999999999991</v>
      </c>
      <c r="K707" s="1897">
        <v>0.91079999999999994</v>
      </c>
      <c r="L707" s="1897">
        <v>0.91799999999999993</v>
      </c>
      <c r="M707" s="1897">
        <v>0.85499999999999998</v>
      </c>
      <c r="N707" s="1897">
        <v>0.82350000000000001</v>
      </c>
      <c r="O707" s="1897">
        <v>0.88200000000000012</v>
      </c>
      <c r="P707" s="1897">
        <v>0.87299999999999989</v>
      </c>
      <c r="Q707" s="1897">
        <v>0.87299999999999989</v>
      </c>
      <c r="R707" s="1897">
        <v>0.86850000000000005</v>
      </c>
      <c r="S707" s="1898">
        <f t="shared" si="22"/>
        <v>0.8891</v>
      </c>
    </row>
    <row r="708" spans="1:19">
      <c r="A708" s="1894">
        <f t="shared" si="21"/>
        <v>26</v>
      </c>
      <c r="B708" s="1895" t="s">
        <v>606</v>
      </c>
      <c r="C708" s="1894" t="s">
        <v>524</v>
      </c>
      <c r="D708" s="1895" t="s">
        <v>602</v>
      </c>
      <c r="E708" s="1894" t="s">
        <v>271</v>
      </c>
      <c r="F708" s="1896">
        <v>16500</v>
      </c>
      <c r="G708" s="1897">
        <v>0.71127272727272728</v>
      </c>
      <c r="H708" s="1897">
        <v>0.92654545454545456</v>
      </c>
      <c r="I708" s="1897">
        <v>0.89454545454545453</v>
      </c>
      <c r="J708" s="1897">
        <v>1.0632727272727274</v>
      </c>
      <c r="K708" s="1897">
        <v>1.0021818181818183</v>
      </c>
      <c r="L708" s="1897">
        <v>0.97018181818181815</v>
      </c>
      <c r="M708" s="1897">
        <v>0.99345454545454548</v>
      </c>
      <c r="N708" s="1897">
        <v>1.2378181818181819</v>
      </c>
      <c r="O708" s="1897">
        <v>1.0705454545454545</v>
      </c>
      <c r="P708" s="1897">
        <v>0.89454545454545453</v>
      </c>
      <c r="Q708" s="1897">
        <v>1.2494545454545454</v>
      </c>
      <c r="R708" s="1897">
        <v>0.97599999999999987</v>
      </c>
      <c r="S708" s="1898">
        <f t="shared" si="22"/>
        <v>0.99915151515151512</v>
      </c>
    </row>
    <row r="709" spans="1:19">
      <c r="A709" s="1894">
        <f t="shared" si="21"/>
        <v>27</v>
      </c>
      <c r="B709" s="1895" t="s">
        <v>537</v>
      </c>
      <c r="C709" s="1894" t="s">
        <v>524</v>
      </c>
      <c r="D709" s="1895" t="s">
        <v>538</v>
      </c>
      <c r="E709" s="1894" t="s">
        <v>271</v>
      </c>
      <c r="F709" s="1896">
        <v>16667</v>
      </c>
      <c r="G709" s="1897">
        <v>3.2939341213175735</v>
      </c>
      <c r="H709" s="1897">
        <v>3.361468770624588</v>
      </c>
      <c r="I709" s="1897">
        <v>3.4896982060358797</v>
      </c>
      <c r="J709" s="1897">
        <v>3.2624707505849888</v>
      </c>
      <c r="K709" s="1897">
        <v>3.1094738105237898</v>
      </c>
      <c r="L709" s="1897">
        <v>3.3191336173276533</v>
      </c>
      <c r="M709" s="1897">
        <v>3.3767324653506932</v>
      </c>
      <c r="N709" s="1897">
        <v>3.2975340493190135</v>
      </c>
      <c r="O709" s="1897">
        <v>3.3767324653506932</v>
      </c>
      <c r="P709" s="1897">
        <v>3.398332033359333</v>
      </c>
      <c r="Q709" s="1897">
        <v>3.2615347693046139</v>
      </c>
      <c r="R709" s="1897">
        <v>3.2255354892902144</v>
      </c>
      <c r="S709" s="1898">
        <f t="shared" si="22"/>
        <v>3.3143817123657531</v>
      </c>
    </row>
    <row r="710" spans="1:19">
      <c r="A710" s="1894">
        <f t="shared" si="21"/>
        <v>28</v>
      </c>
      <c r="B710" s="1895" t="s">
        <v>610</v>
      </c>
      <c r="C710" s="1894" t="s">
        <v>524</v>
      </c>
      <c r="D710" s="1895" t="s">
        <v>602</v>
      </c>
      <c r="E710" s="1894" t="s">
        <v>271</v>
      </c>
      <c r="F710" s="1896">
        <v>17500</v>
      </c>
      <c r="G710" s="1897">
        <v>1.2170322580645161</v>
      </c>
      <c r="H710" s="1897">
        <v>1.127225806451613</v>
      </c>
      <c r="I710" s="1897">
        <v>0.82993548387096772</v>
      </c>
      <c r="J710" s="1897">
        <v>1.0931612903225807</v>
      </c>
      <c r="K710" s="1897">
        <v>0.904258064516129</v>
      </c>
      <c r="L710" s="1897">
        <v>0.9569032258064516</v>
      </c>
      <c r="M710" s="1897">
        <v>0.72411428571428571</v>
      </c>
      <c r="N710" s="1897">
        <v>1.0038857142857143</v>
      </c>
      <c r="O710" s="1897">
        <v>1.0093714285714286</v>
      </c>
      <c r="P710" s="1897">
        <v>0.76525714285714286</v>
      </c>
      <c r="Q710" s="1897">
        <v>0.81737142857142853</v>
      </c>
      <c r="R710" s="1897">
        <v>0.89142857142857146</v>
      </c>
      <c r="S710" s="1898">
        <f t="shared" si="22"/>
        <v>0.94499539170506919</v>
      </c>
    </row>
    <row r="711" spans="1:19">
      <c r="A711" s="1894">
        <f t="shared" si="21"/>
        <v>29</v>
      </c>
      <c r="B711" s="1895" t="s">
        <v>604</v>
      </c>
      <c r="C711" s="1894" t="s">
        <v>524</v>
      </c>
      <c r="D711" s="1895" t="s">
        <v>602</v>
      </c>
      <c r="E711" s="1894" t="s">
        <v>271</v>
      </c>
      <c r="F711" s="1896">
        <v>18000</v>
      </c>
      <c r="G711" s="1897">
        <v>1.0066666666666666</v>
      </c>
      <c r="H711" s="1897">
        <v>0.9622222222222222</v>
      </c>
      <c r="I711" s="1897">
        <v>0.9044444444444445</v>
      </c>
      <c r="J711" s="1897">
        <v>0.84</v>
      </c>
      <c r="K711" s="1897">
        <v>0.9177777777777778</v>
      </c>
      <c r="L711" s="1897">
        <v>0.87111111111111106</v>
      </c>
      <c r="M711" s="1897">
        <v>0.98</v>
      </c>
      <c r="N711" s="1897">
        <v>1.028888888888889</v>
      </c>
      <c r="O711" s="1897">
        <v>1.0911111111111111</v>
      </c>
      <c r="P711" s="1897">
        <v>0.89555555555555566</v>
      </c>
      <c r="Q711" s="1897">
        <v>1.0022222222222221</v>
      </c>
      <c r="R711" s="1897">
        <v>0.89777777777777779</v>
      </c>
      <c r="S711" s="1898">
        <f t="shared" si="22"/>
        <v>0.949814814814815</v>
      </c>
    </row>
    <row r="712" spans="1:19">
      <c r="A712" s="1894">
        <f t="shared" si="21"/>
        <v>30</v>
      </c>
      <c r="B712" s="1895" t="s">
        <v>546</v>
      </c>
      <c r="C712" s="1894" t="s">
        <v>524</v>
      </c>
      <c r="D712" s="1895" t="s">
        <v>541</v>
      </c>
      <c r="E712" s="1894" t="s">
        <v>271</v>
      </c>
      <c r="F712" s="1896">
        <v>18000</v>
      </c>
      <c r="G712" s="1897">
        <v>0.96933333333333338</v>
      </c>
      <c r="H712" s="1897">
        <v>1.1866666666666668</v>
      </c>
      <c r="I712" s="1897">
        <v>1.976</v>
      </c>
      <c r="J712" s="1897">
        <v>1.9626666666666666</v>
      </c>
      <c r="K712" s="1897">
        <v>1.8533333333333333</v>
      </c>
      <c r="L712" s="1897">
        <v>1.98</v>
      </c>
      <c r="M712" s="1897">
        <v>2.4033333333333333</v>
      </c>
      <c r="N712" s="1897">
        <v>2.3366666666666664</v>
      </c>
      <c r="O712" s="1897">
        <v>1.95</v>
      </c>
      <c r="P712" s="1897">
        <v>0</v>
      </c>
      <c r="Q712" s="1897">
        <v>0.76666666666666672</v>
      </c>
      <c r="R712" s="1897">
        <v>1.1306666666666667</v>
      </c>
      <c r="S712" s="1898">
        <f t="shared" si="22"/>
        <v>1.5429444444444442</v>
      </c>
    </row>
    <row r="713" spans="1:19">
      <c r="A713" s="1894">
        <f t="shared" si="21"/>
        <v>31</v>
      </c>
      <c r="B713" s="1895" t="s">
        <v>617</v>
      </c>
      <c r="C713" s="1894" t="s">
        <v>524</v>
      </c>
      <c r="D713" s="1895" t="s">
        <v>602</v>
      </c>
      <c r="E713" s="1894" t="s">
        <v>271</v>
      </c>
      <c r="F713" s="1896">
        <v>19000</v>
      </c>
      <c r="G713" s="1897">
        <v>0.99789473684210528</v>
      </c>
      <c r="H713" s="1897">
        <v>1.023157894736842</v>
      </c>
      <c r="I713" s="1897">
        <v>0.9044210526315789</v>
      </c>
      <c r="J713" s="1897">
        <v>1.0155789473684211</v>
      </c>
      <c r="K713" s="1897">
        <v>1.0661052631578947</v>
      </c>
      <c r="L713" s="1897">
        <v>1.0433684210526315</v>
      </c>
      <c r="M713" s="1897">
        <v>0.87410526315789472</v>
      </c>
      <c r="N713" s="1897">
        <v>1.0029473684210526</v>
      </c>
      <c r="O713" s="1897">
        <v>0.57094736842105265</v>
      </c>
      <c r="P713" s="1897">
        <v>0.61642105263157898</v>
      </c>
      <c r="Q713" s="1897">
        <v>1.063578947368421</v>
      </c>
      <c r="R713" s="1897">
        <v>0.67452631578947364</v>
      </c>
      <c r="S713" s="1898">
        <f t="shared" si="22"/>
        <v>0.9044210526315789</v>
      </c>
    </row>
    <row r="714" spans="1:19">
      <c r="A714" s="1894">
        <f t="shared" ref="A714:A724" si="24">+A713+1</f>
        <v>32</v>
      </c>
      <c r="B714" s="1895" t="s">
        <v>3528</v>
      </c>
      <c r="C714" s="1894" t="s">
        <v>524</v>
      </c>
      <c r="D714" s="1895" t="s">
        <v>602</v>
      </c>
      <c r="E714" s="1894" t="s">
        <v>271</v>
      </c>
      <c r="F714" s="1896">
        <v>19000</v>
      </c>
      <c r="G714" s="1897">
        <v>0.89431578947368418</v>
      </c>
      <c r="H714" s="1897">
        <v>0.97010526315789469</v>
      </c>
      <c r="I714" s="1897">
        <v>0.96505263157894738</v>
      </c>
      <c r="J714" s="1897">
        <v>1.0256842105263158</v>
      </c>
      <c r="K714" s="1897">
        <v>1.023157894736842</v>
      </c>
      <c r="L714" s="1897">
        <v>1.0913684210526315</v>
      </c>
      <c r="M714" s="1897">
        <v>1.0913684210526315</v>
      </c>
      <c r="N714" s="1897">
        <v>1.0105263157894737</v>
      </c>
      <c r="O714" s="1897">
        <v>1.0812631578947369</v>
      </c>
      <c r="P714" s="1897">
        <v>0.99284210526315786</v>
      </c>
      <c r="Q714" s="1897">
        <v>1.0130526315789474</v>
      </c>
      <c r="R714" s="1897">
        <v>0.98273684210526313</v>
      </c>
      <c r="S714" s="1898">
        <f t="shared" si="22"/>
        <v>1.0117894736842106</v>
      </c>
    </row>
    <row r="715" spans="1:19">
      <c r="A715" s="1894">
        <f t="shared" si="24"/>
        <v>33</v>
      </c>
      <c r="B715" s="1895" t="s">
        <v>531</v>
      </c>
      <c r="C715" s="1894" t="s">
        <v>524</v>
      </c>
      <c r="D715" s="1895" t="s">
        <v>532</v>
      </c>
      <c r="E715" s="1894" t="s">
        <v>271</v>
      </c>
      <c r="F715" s="1896">
        <v>20000</v>
      </c>
      <c r="G715" s="1897">
        <v>0.9375</v>
      </c>
      <c r="H715" s="1897">
        <v>0.99375000000000002</v>
      </c>
      <c r="I715" s="1897">
        <v>0.87187499999999996</v>
      </c>
      <c r="J715" s="1897">
        <v>0.92812499999999998</v>
      </c>
      <c r="K715" s="1897">
        <v>0.93125000000000002</v>
      </c>
      <c r="L715" s="1897">
        <v>0.97187500000000004</v>
      </c>
      <c r="M715" s="1897">
        <v>0.85</v>
      </c>
      <c r="N715" s="1897">
        <v>0.80937499999999996</v>
      </c>
      <c r="O715" s="1897">
        <v>0.84689999999999999</v>
      </c>
      <c r="P715" s="1897">
        <v>0.86562499999999998</v>
      </c>
      <c r="Q715" s="1897">
        <v>0.89687499999999998</v>
      </c>
      <c r="R715" s="1897">
        <v>0.92812499999999998</v>
      </c>
      <c r="S715" s="1898">
        <f t="shared" si="22"/>
        <v>0.90260624999999983</v>
      </c>
    </row>
    <row r="716" spans="1:19">
      <c r="A716" s="1894">
        <f t="shared" si="24"/>
        <v>34</v>
      </c>
      <c r="B716" s="1895" t="s">
        <v>534</v>
      </c>
      <c r="C716" s="1894" t="s">
        <v>524</v>
      </c>
      <c r="D716" s="1895" t="s">
        <v>538</v>
      </c>
      <c r="E716" s="1894" t="s">
        <v>271</v>
      </c>
      <c r="F716" s="1896">
        <v>22000</v>
      </c>
      <c r="G716" s="1897">
        <v>3.3664999999999998</v>
      </c>
      <c r="H716" s="1897">
        <v>2.7755681818181817</v>
      </c>
      <c r="I716" s="1897">
        <v>1.9517272727272728</v>
      </c>
      <c r="J716" s="1897">
        <v>4.2727272727272725</v>
      </c>
      <c r="K716" s="1897">
        <v>4.1079545454545459</v>
      </c>
      <c r="L716" s="1897">
        <v>4.1392045454545459</v>
      </c>
      <c r="M716" s="1897">
        <v>2.7045454545454546</v>
      </c>
      <c r="N716" s="1897">
        <v>2.0880681818181817</v>
      </c>
      <c r="O716" s="1897">
        <v>4.7670454545454541</v>
      </c>
      <c r="P716" s="1897">
        <v>2.1079545454545454</v>
      </c>
      <c r="Q716" s="1897">
        <v>3.5596590909090908</v>
      </c>
      <c r="R716" s="1897">
        <v>1.9176136363636365</v>
      </c>
      <c r="S716" s="1898">
        <f t="shared" ref="S716:S724" si="25">+SUM(G716:R716)/12</f>
        <v>3.1465473484848485</v>
      </c>
    </row>
    <row r="717" spans="1:19">
      <c r="A717" s="1894">
        <f t="shared" si="24"/>
        <v>35</v>
      </c>
      <c r="B717" s="1895" t="s">
        <v>608</v>
      </c>
      <c r="C717" s="1894" t="s">
        <v>524</v>
      </c>
      <c r="D717" s="1895" t="s">
        <v>602</v>
      </c>
      <c r="E717" s="1894" t="s">
        <v>271</v>
      </c>
      <c r="F717" s="1896">
        <v>22000</v>
      </c>
      <c r="G717" s="1897">
        <v>0.96</v>
      </c>
      <c r="H717" s="1897">
        <v>1.02</v>
      </c>
      <c r="I717" s="1897">
        <v>1.04</v>
      </c>
      <c r="J717" s="1897">
        <v>0.94</v>
      </c>
      <c r="K717" s="1897">
        <v>1</v>
      </c>
      <c r="L717" s="1897">
        <v>1</v>
      </c>
      <c r="M717" s="1897">
        <v>0.90909090909090906</v>
      </c>
      <c r="N717" s="1897">
        <v>0.87272727272727268</v>
      </c>
      <c r="O717" s="1897">
        <v>1.0181818181818181</v>
      </c>
      <c r="P717" s="1897">
        <v>1.0181818181818181</v>
      </c>
      <c r="Q717" s="1897">
        <v>0.96363636363636362</v>
      </c>
      <c r="R717" s="1897">
        <v>0.87272727272727268</v>
      </c>
      <c r="S717" s="1898">
        <f t="shared" si="25"/>
        <v>0.96787878787878778</v>
      </c>
    </row>
    <row r="718" spans="1:19">
      <c r="A718" s="1894">
        <f t="shared" si="24"/>
        <v>36</v>
      </c>
      <c r="B718" s="1895" t="s">
        <v>568</v>
      </c>
      <c r="C718" s="1894" t="s">
        <v>524</v>
      </c>
      <c r="D718" s="1895" t="s">
        <v>541</v>
      </c>
      <c r="E718" s="1894" t="s">
        <v>271</v>
      </c>
      <c r="F718" s="1896">
        <v>22222</v>
      </c>
      <c r="G718" s="1897">
        <v>0.86400864008640088</v>
      </c>
      <c r="H718" s="1897">
        <v>0.86444064440644419</v>
      </c>
      <c r="I718" s="1897">
        <v>0.75384753847538477</v>
      </c>
      <c r="J718" s="1897">
        <v>0.75341553415534157</v>
      </c>
      <c r="K718" s="1897">
        <v>0.73959139591395917</v>
      </c>
      <c r="L718" s="1897">
        <v>0.81130411304113059</v>
      </c>
      <c r="M718" s="1897">
        <v>0.78106381063810637</v>
      </c>
      <c r="N718" s="1897">
        <v>0.74995949959499586</v>
      </c>
      <c r="O718" s="1897">
        <v>0.80482404824048237</v>
      </c>
      <c r="P718" s="1897">
        <v>0.81864818648186477</v>
      </c>
      <c r="Q718" s="1897">
        <v>0.82944829448294488</v>
      </c>
      <c r="R718" s="1897">
        <v>0.83074430744307437</v>
      </c>
      <c r="S718" s="1898">
        <f t="shared" si="25"/>
        <v>0.80010800108001101</v>
      </c>
    </row>
    <row r="719" spans="1:19">
      <c r="A719" s="1894">
        <f t="shared" si="24"/>
        <v>37</v>
      </c>
      <c r="B719" s="1895" t="s">
        <v>3529</v>
      </c>
      <c r="C719" s="1894" t="s">
        <v>524</v>
      </c>
      <c r="D719" s="1895" t="s">
        <v>602</v>
      </c>
      <c r="E719" s="1894" t="s">
        <v>271</v>
      </c>
      <c r="F719" s="1896">
        <v>24000</v>
      </c>
      <c r="G719" s="1897">
        <v>0.81818181818181823</v>
      </c>
      <c r="H719" s="1897">
        <v>0.88363636363636366</v>
      </c>
      <c r="I719" s="1897">
        <v>1.0145454545454546</v>
      </c>
      <c r="J719" s="1897">
        <v>0.93600000000000005</v>
      </c>
      <c r="K719" s="1897">
        <v>1.0385454545454544</v>
      </c>
      <c r="L719" s="1897">
        <v>0.99490909090909085</v>
      </c>
      <c r="M719" s="1897">
        <v>1.032</v>
      </c>
      <c r="N719" s="1897">
        <v>1.1127272727272728</v>
      </c>
      <c r="O719" s="1897">
        <v>0.96</v>
      </c>
      <c r="P719" s="1897">
        <v>1.2305454545454546</v>
      </c>
      <c r="Q719" s="1897">
        <v>1.024</v>
      </c>
      <c r="R719" s="1897">
        <v>1</v>
      </c>
      <c r="S719" s="1898">
        <f t="shared" si="25"/>
        <v>1.0037575757575758</v>
      </c>
    </row>
    <row r="720" spans="1:19">
      <c r="A720" s="1894">
        <f t="shared" si="24"/>
        <v>38</v>
      </c>
      <c r="B720" s="1895" t="s">
        <v>585</v>
      </c>
      <c r="C720" s="1894" t="s">
        <v>524</v>
      </c>
      <c r="D720" s="1895" t="s">
        <v>541</v>
      </c>
      <c r="E720" s="1894" t="s">
        <v>271</v>
      </c>
      <c r="F720" s="1896">
        <v>27000</v>
      </c>
      <c r="G720" s="1897">
        <v>0.99130434782608701</v>
      </c>
      <c r="H720" s="1897">
        <v>1.024695652173913</v>
      </c>
      <c r="I720" s="1897">
        <v>0.9746086956521739</v>
      </c>
      <c r="J720" s="1897">
        <v>0.67617391304347829</v>
      </c>
      <c r="K720" s="1897">
        <v>0.66886956521739127</v>
      </c>
      <c r="L720" s="1897">
        <v>0.91826086956521735</v>
      </c>
      <c r="M720" s="1897">
        <v>0.65113043478260868</v>
      </c>
      <c r="N720" s="1897">
        <v>0.87111111111111106</v>
      </c>
      <c r="O720" s="1897">
        <v>0.88088888888888894</v>
      </c>
      <c r="P720" s="1897">
        <v>0.92088888888888887</v>
      </c>
      <c r="Q720" s="1897">
        <v>0.872</v>
      </c>
      <c r="R720" s="1897">
        <v>0.83697777777777771</v>
      </c>
      <c r="S720" s="1898">
        <f t="shared" si="25"/>
        <v>0.85724251207729463</v>
      </c>
    </row>
    <row r="721" spans="1:19">
      <c r="A721" s="1894">
        <f t="shared" si="24"/>
        <v>39</v>
      </c>
      <c r="B721" s="1895" t="s">
        <v>544</v>
      </c>
      <c r="C721" s="1894" t="s">
        <v>524</v>
      </c>
      <c r="D721" s="1895" t="s">
        <v>541</v>
      </c>
      <c r="E721" s="1894" t="s">
        <v>271</v>
      </c>
      <c r="F721" s="1896">
        <v>35000</v>
      </c>
      <c r="G721" s="1897">
        <v>9.1636363636363634E-3</v>
      </c>
      <c r="H721" s="1897">
        <v>1.1781818181818181E-2</v>
      </c>
      <c r="I721" s="1897">
        <v>0.17541818181818178</v>
      </c>
      <c r="J721" s="1897">
        <v>0.18894545454545456</v>
      </c>
      <c r="K721" s="1897">
        <v>0.37614545454545451</v>
      </c>
      <c r="L721" s="1897">
        <v>0.50880000000000003</v>
      </c>
      <c r="M721" s="1897">
        <v>0.53672727272727272</v>
      </c>
      <c r="N721" s="1897">
        <v>0.5214545454545455</v>
      </c>
      <c r="O721" s="1897">
        <v>0.5943272727272727</v>
      </c>
      <c r="P721" s="1897">
        <v>0.59563636363636363</v>
      </c>
      <c r="Q721" s="1897">
        <v>0.96514285714285719</v>
      </c>
      <c r="R721" s="1897">
        <v>0.96068571428571425</v>
      </c>
      <c r="S721" s="1898">
        <f t="shared" si="25"/>
        <v>0.45368571428571425</v>
      </c>
    </row>
    <row r="722" spans="1:19">
      <c r="A722" s="1894">
        <f t="shared" si="24"/>
        <v>40</v>
      </c>
      <c r="B722" s="1895" t="s">
        <v>3530</v>
      </c>
      <c r="C722" s="1894" t="s">
        <v>524</v>
      </c>
      <c r="D722" s="1895" t="s">
        <v>541</v>
      </c>
      <c r="E722" s="1894" t="s">
        <v>271</v>
      </c>
      <c r="F722" s="1896">
        <v>50000</v>
      </c>
      <c r="G722" s="1897">
        <v>0</v>
      </c>
      <c r="H722" s="1897">
        <v>0</v>
      </c>
      <c r="I722" s="1897">
        <v>0</v>
      </c>
      <c r="J722" s="1897">
        <v>0</v>
      </c>
      <c r="K722" s="1897">
        <v>0</v>
      </c>
      <c r="L722" s="1897">
        <v>0</v>
      </c>
      <c r="M722" s="1897">
        <v>0</v>
      </c>
      <c r="N722" s="1897">
        <v>0</v>
      </c>
      <c r="O722" s="1897">
        <v>1.22</v>
      </c>
      <c r="P722" s="1897">
        <v>0.97040000000000004</v>
      </c>
      <c r="Q722" s="1897">
        <v>0.99839999999999995</v>
      </c>
      <c r="R722" s="1897">
        <v>1.1759999999999999</v>
      </c>
      <c r="S722" s="1898">
        <f t="shared" si="25"/>
        <v>0.3637333333333333</v>
      </c>
    </row>
    <row r="723" spans="1:19">
      <c r="A723" s="1894">
        <f t="shared" si="24"/>
        <v>41</v>
      </c>
      <c r="B723" s="1895" t="s">
        <v>552</v>
      </c>
      <c r="C723" s="1894" t="s">
        <v>524</v>
      </c>
      <c r="D723" s="1895" t="s">
        <v>541</v>
      </c>
      <c r="E723" s="1894" t="s">
        <v>271</v>
      </c>
      <c r="F723" s="1896">
        <v>50000</v>
      </c>
      <c r="G723" s="1897">
        <v>0</v>
      </c>
      <c r="H723" s="1897">
        <v>0</v>
      </c>
      <c r="I723" s="1897">
        <v>0</v>
      </c>
      <c r="J723" s="1897">
        <v>0</v>
      </c>
      <c r="K723" s="1897">
        <v>0</v>
      </c>
      <c r="L723" s="1897">
        <v>0.20399999999999999</v>
      </c>
      <c r="M723" s="1897">
        <v>0.65471999999999997</v>
      </c>
      <c r="N723" s="1897">
        <v>0.66120000000000001</v>
      </c>
      <c r="O723" s="1897">
        <v>0.78720000000000001</v>
      </c>
      <c r="P723" s="1897">
        <v>0.77159999999999995</v>
      </c>
      <c r="Q723" s="1897">
        <v>0.81</v>
      </c>
      <c r="R723" s="1897">
        <v>0.82079999999999997</v>
      </c>
      <c r="S723" s="1898">
        <f t="shared" si="25"/>
        <v>0.39245999999999998</v>
      </c>
    </row>
    <row r="724" spans="1:19">
      <c r="A724" s="1894">
        <f t="shared" si="24"/>
        <v>42</v>
      </c>
      <c r="B724" s="1895" t="s">
        <v>540</v>
      </c>
      <c r="C724" s="1894" t="s">
        <v>524</v>
      </c>
      <c r="D724" s="1895" t="s">
        <v>541</v>
      </c>
      <c r="E724" s="1894" t="s">
        <v>271</v>
      </c>
      <c r="F724" s="1896">
        <v>110000</v>
      </c>
      <c r="G724" s="1897">
        <v>1.4318181818181819</v>
      </c>
      <c r="H724" s="1897">
        <v>1.4718181818181819</v>
      </c>
      <c r="I724" s="1897">
        <v>1.0909090909090908</v>
      </c>
      <c r="J724" s="1897">
        <v>1.3127272727272727</v>
      </c>
      <c r="K724" s="1897">
        <v>1.21</v>
      </c>
      <c r="L724" s="1897">
        <v>1.3127272727272727</v>
      </c>
      <c r="M724" s="1897">
        <v>1.3181818181818181</v>
      </c>
      <c r="N724" s="1897">
        <v>1.4545454545454546</v>
      </c>
      <c r="O724" s="1897">
        <v>1.4145454545454546</v>
      </c>
      <c r="P724" s="1897">
        <v>1.199090909090909</v>
      </c>
      <c r="Q724" s="1897">
        <v>1.489090909090909</v>
      </c>
      <c r="R724" s="1897">
        <v>1.2954545454545454</v>
      </c>
      <c r="S724" s="1898">
        <f t="shared" si="25"/>
        <v>1.3334090909090908</v>
      </c>
    </row>
    <row r="725" spans="1:19" ht="15">
      <c r="A725" s="1899">
        <f>+A724</f>
        <v>42</v>
      </c>
      <c r="B725" s="1900" t="s">
        <v>3531</v>
      </c>
      <c r="C725" s="1899"/>
      <c r="D725" s="1901"/>
      <c r="E725" s="1899"/>
      <c r="F725" s="1901">
        <f>SUM(F683:F724)</f>
        <v>763973</v>
      </c>
      <c r="G725" s="1902">
        <f>AVERAGE(G683:G724)</f>
        <v>0.91746229586219474</v>
      </c>
      <c r="H725" s="1902">
        <f t="shared" ref="H725:S725" si="26">AVERAGE(H683:H724)</f>
        <v>0.88214734953464458</v>
      </c>
      <c r="I725" s="1902">
        <f t="shared" si="26"/>
        <v>0.97256438466727568</v>
      </c>
      <c r="J725" s="1902">
        <f t="shared" si="26"/>
        <v>0.92701786476808956</v>
      </c>
      <c r="K725" s="1902">
        <f t="shared" si="26"/>
        <v>0.98921383386368955</v>
      </c>
      <c r="L725" s="1902">
        <f t="shared" si="26"/>
        <v>1.0192327239161043</v>
      </c>
      <c r="M725" s="1902">
        <f t="shared" si="26"/>
        <v>0.9802433179255976</v>
      </c>
      <c r="N725" s="1902">
        <f t="shared" si="26"/>
        <v>1.0188321391964112</v>
      </c>
      <c r="O725" s="1902">
        <f t="shared" si="26"/>
        <v>1.1084947968909418</v>
      </c>
      <c r="P725" s="1902">
        <f t="shared" si="26"/>
        <v>0.99783413011599387</v>
      </c>
      <c r="Q725" s="1902">
        <f t="shared" si="26"/>
        <v>1.0086695907263414</v>
      </c>
      <c r="R725" s="1902">
        <f t="shared" si="26"/>
        <v>1.0027393412383174</v>
      </c>
      <c r="S725" s="1902">
        <f t="shared" si="26"/>
        <v>0.98537098072546703</v>
      </c>
    </row>
    <row r="726" spans="1:19" ht="15">
      <c r="A726" s="1899">
        <f>+A639+A681+A725</f>
        <v>713</v>
      </c>
      <c r="B726" s="1900" t="s">
        <v>282</v>
      </c>
      <c r="C726" s="1899"/>
      <c r="D726" s="1901"/>
      <c r="E726" s="1899"/>
      <c r="F726" s="1901">
        <f>+F639+F681+F725</f>
        <v>1051658.19</v>
      </c>
      <c r="G726" s="1902">
        <f>AVERAGE(G683:G724,G641:G680,G8:G638)</f>
        <v>0.59230909790158948</v>
      </c>
      <c r="H726" s="1902">
        <f>AVERAGE(H683:H724,H641:H680,H8:H638)</f>
        <v>0.62903368185950492</v>
      </c>
      <c r="I726" s="1902">
        <f t="shared" ref="I726:S726" si="27">AVERAGE(I683:I724,I641:I680,I8:I638)</f>
        <v>0.6193897692770497</v>
      </c>
      <c r="J726" s="1902">
        <f t="shared" si="27"/>
        <v>0.59918990716674869</v>
      </c>
      <c r="K726" s="1902">
        <f t="shared" si="27"/>
        <v>0.54570691894438761</v>
      </c>
      <c r="L726" s="1902">
        <f t="shared" si="27"/>
        <v>0.55732684699259027</v>
      </c>
      <c r="M726" s="1902">
        <f t="shared" si="27"/>
        <v>0.5305303830345357</v>
      </c>
      <c r="N726" s="1902">
        <f t="shared" si="27"/>
        <v>0.49555480908748245</v>
      </c>
      <c r="O726" s="1902">
        <f t="shared" si="27"/>
        <v>0.50293287602986536</v>
      </c>
      <c r="P726" s="1902">
        <f t="shared" si="27"/>
        <v>0.53196545677033391</v>
      </c>
      <c r="Q726" s="1902">
        <f t="shared" si="27"/>
        <v>0.56738022130475985</v>
      </c>
      <c r="R726" s="1902">
        <f t="shared" si="27"/>
        <v>0.59222570547609066</v>
      </c>
      <c r="S726" s="1902">
        <f t="shared" si="27"/>
        <v>0.56362880615374467</v>
      </c>
    </row>
  </sheetData>
  <mergeCells count="7">
    <mergeCell ref="S5:S6"/>
    <mergeCell ref="A5:A6"/>
    <mergeCell ref="B5:B6"/>
    <mergeCell ref="C5:C6"/>
    <mergeCell ref="D5:D6"/>
    <mergeCell ref="E5:E6"/>
    <mergeCell ref="F5:F6"/>
  </mergeCells>
  <printOptions horizontalCentered="1"/>
  <pageMargins left="0" right="0" top="0.39370078740157483" bottom="0" header="0" footer="0"/>
  <pageSetup scale="78" orientation="landscape" r:id="rId1"/>
  <rowBreaks count="4" manualBreakCount="4">
    <brk id="515" max="18" man="1"/>
    <brk id="582" max="18" man="1"/>
    <brk id="629" max="18" man="1"/>
    <brk id="675" max="18" man="1"/>
  </rowBreaks>
  <colBreaks count="1" manualBreakCount="1">
    <brk id="12" min="1" max="72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8000"/>
  </sheetPr>
  <dimension ref="A2:R775"/>
  <sheetViews>
    <sheetView view="pageBreakPreview" topLeftCell="A532" zoomScale="80" zoomScaleNormal="100" zoomScaleSheetLayoutView="80" workbookViewId="0">
      <selection activeCell="R545" sqref="R545"/>
    </sheetView>
  </sheetViews>
  <sheetFormatPr defaultColWidth="9.140625" defaultRowHeight="12.75"/>
  <cols>
    <col min="1" max="1" width="5.7109375" style="1793" customWidth="1"/>
    <col min="2" max="2" width="44" style="517" customWidth="1"/>
    <col min="3" max="3" width="9.140625" style="1793"/>
    <col min="4" max="4" width="22.7109375" style="517" customWidth="1"/>
    <col min="5" max="5" width="8.42578125" style="1793" customWidth="1"/>
    <col min="6" max="12" width="9.140625" style="517"/>
    <col min="13" max="13" width="10.5703125" style="517" customWidth="1"/>
    <col min="14" max="16384" width="9.140625" style="517"/>
  </cols>
  <sheetData>
    <row r="2" spans="1:13" ht="15">
      <c r="A2" s="985" t="s">
        <v>2894</v>
      </c>
      <c r="B2" s="980"/>
    </row>
    <row r="3" spans="1:13" ht="15">
      <c r="A3" s="985" t="s">
        <v>2895</v>
      </c>
      <c r="B3" s="980"/>
      <c r="M3" s="981" t="s">
        <v>2896</v>
      </c>
    </row>
    <row r="4" spans="1:13" ht="15">
      <c r="A4" s="985" t="s">
        <v>3532</v>
      </c>
      <c r="B4" s="980"/>
    </row>
    <row r="5" spans="1:13">
      <c r="A5" s="2780" t="s">
        <v>2898</v>
      </c>
      <c r="B5" s="2780" t="s">
        <v>2899</v>
      </c>
      <c r="C5" s="2780" t="s">
        <v>3533</v>
      </c>
      <c r="D5" s="2780" t="s">
        <v>512</v>
      </c>
      <c r="E5" s="2780" t="s">
        <v>497</v>
      </c>
      <c r="F5" s="2780" t="s">
        <v>3534</v>
      </c>
      <c r="G5" s="1888">
        <v>45017</v>
      </c>
      <c r="H5" s="1888">
        <v>45047</v>
      </c>
      <c r="I5" s="1888">
        <v>45078</v>
      </c>
      <c r="J5" s="1888">
        <v>45108</v>
      </c>
      <c r="K5" s="1888">
        <v>45139</v>
      </c>
      <c r="L5" s="1888">
        <v>45170</v>
      </c>
      <c r="M5" s="2779" t="s">
        <v>2902</v>
      </c>
    </row>
    <row r="6" spans="1:13" ht="24">
      <c r="A6" s="2780"/>
      <c r="B6" s="2780"/>
      <c r="C6" s="2780"/>
      <c r="D6" s="2780"/>
      <c r="E6" s="2780"/>
      <c r="F6" s="2780"/>
      <c r="G6" s="1889" t="s">
        <v>2903</v>
      </c>
      <c r="H6" s="1889" t="s">
        <v>2903</v>
      </c>
      <c r="I6" s="1889" t="s">
        <v>2903</v>
      </c>
      <c r="J6" s="1889" t="s">
        <v>2903</v>
      </c>
      <c r="K6" s="1889" t="s">
        <v>2903</v>
      </c>
      <c r="L6" s="1889" t="s">
        <v>2903</v>
      </c>
      <c r="M6" s="2779"/>
    </row>
    <row r="7" spans="1:13" ht="15">
      <c r="A7" s="1890"/>
      <c r="B7" s="1891" t="s">
        <v>2904</v>
      </c>
      <c r="C7" s="1890"/>
      <c r="D7" s="1890"/>
      <c r="E7" s="1890"/>
      <c r="F7" s="1890"/>
      <c r="G7" s="1892"/>
      <c r="H7" s="1892"/>
      <c r="I7" s="1892"/>
      <c r="J7" s="1892"/>
      <c r="K7" s="1892"/>
      <c r="L7" s="1892"/>
      <c r="M7" s="1905"/>
    </row>
    <row r="8" spans="1:13" ht="15">
      <c r="A8" s="1894">
        <v>1</v>
      </c>
      <c r="B8" s="1906" t="s">
        <v>2910</v>
      </c>
      <c r="C8" s="1907" t="s">
        <v>524</v>
      </c>
      <c r="D8" s="1906" t="s">
        <v>541</v>
      </c>
      <c r="E8" s="1907" t="s">
        <v>259</v>
      </c>
      <c r="F8" s="1906">
        <v>110</v>
      </c>
      <c r="G8" s="1897">
        <v>0.95854545454545448</v>
      </c>
      <c r="H8" s="1897">
        <v>1.2036363636363636</v>
      </c>
      <c r="I8" s="1897">
        <v>0.95927272727272728</v>
      </c>
      <c r="J8" s="1897">
        <v>0.99563636363636365</v>
      </c>
      <c r="K8" s="1897">
        <v>1.0363636363636362</v>
      </c>
      <c r="L8" s="1897">
        <v>1.0443636363636364</v>
      </c>
      <c r="M8" s="1897">
        <v>1.0329696969696969</v>
      </c>
    </row>
    <row r="9" spans="1:13" ht="15">
      <c r="A9" s="1894">
        <f>+A8+1</f>
        <v>2</v>
      </c>
      <c r="B9" s="1906" t="s">
        <v>2911</v>
      </c>
      <c r="C9" s="1907" t="s">
        <v>524</v>
      </c>
      <c r="D9" s="1906" t="s">
        <v>636</v>
      </c>
      <c r="E9" s="1907" t="s">
        <v>259</v>
      </c>
      <c r="F9" s="1906">
        <v>110</v>
      </c>
      <c r="G9" s="1897">
        <v>0.95345454545454555</v>
      </c>
      <c r="H9" s="1897">
        <v>0.90981818181818175</v>
      </c>
      <c r="I9" s="1897">
        <v>1.0516363636363635</v>
      </c>
      <c r="J9" s="1897">
        <v>0.86509090909090902</v>
      </c>
      <c r="K9" s="1897">
        <v>0.77236363636363647</v>
      </c>
      <c r="L9" s="1897">
        <v>0.85199999999999998</v>
      </c>
      <c r="M9" s="1897">
        <v>0.90072727272727271</v>
      </c>
    </row>
    <row r="10" spans="1:13" ht="15">
      <c r="A10" s="1894">
        <f t="shared" ref="A10:A73" si="0">+A9+1</f>
        <v>3</v>
      </c>
      <c r="B10" s="1906" t="s">
        <v>2913</v>
      </c>
      <c r="C10" s="1907" t="s">
        <v>524</v>
      </c>
      <c r="D10" s="1906" t="s">
        <v>541</v>
      </c>
      <c r="E10" s="1907" t="s">
        <v>259</v>
      </c>
      <c r="F10" s="1906">
        <v>110</v>
      </c>
      <c r="G10" s="1897">
        <v>0.13090909090909092</v>
      </c>
      <c r="H10" s="1897">
        <v>1.2000000000000001E-3</v>
      </c>
      <c r="I10" s="1897">
        <v>0.12248181818181818</v>
      </c>
      <c r="J10" s="1897">
        <v>0.10455272727272727</v>
      </c>
      <c r="K10" s="1897">
        <v>0.13010181818181818</v>
      </c>
      <c r="L10" s="1897">
        <v>0.13300909090909091</v>
      </c>
      <c r="M10" s="1897">
        <v>0.1037090909090909</v>
      </c>
    </row>
    <row r="11" spans="1:13" ht="15">
      <c r="A11" s="1894">
        <f t="shared" si="0"/>
        <v>4</v>
      </c>
      <c r="B11" s="1906" t="s">
        <v>2912</v>
      </c>
      <c r="C11" s="1907" t="s">
        <v>524</v>
      </c>
      <c r="D11" s="1906" t="s">
        <v>636</v>
      </c>
      <c r="E11" s="1907" t="s">
        <v>259</v>
      </c>
      <c r="F11" s="1906">
        <v>110</v>
      </c>
      <c r="G11" s="1897">
        <v>0.27200000000000002</v>
      </c>
      <c r="H11" s="1897">
        <v>0.28436363636363637</v>
      </c>
      <c r="I11" s="1897">
        <v>0.2330909090909091</v>
      </c>
      <c r="J11" s="1897">
        <v>0.2290909090909091</v>
      </c>
      <c r="K11" s="1897">
        <v>0.2330909090909091</v>
      </c>
      <c r="L11" s="1897">
        <v>0.30109090909090908</v>
      </c>
      <c r="M11" s="1897">
        <v>0.25878787878787879</v>
      </c>
    </row>
    <row r="12" spans="1:13" ht="15">
      <c r="A12" s="1894">
        <f t="shared" si="0"/>
        <v>5</v>
      </c>
      <c r="B12" s="1906" t="s">
        <v>2907</v>
      </c>
      <c r="C12" s="1907" t="s">
        <v>524</v>
      </c>
      <c r="D12" s="1906" t="s">
        <v>541</v>
      </c>
      <c r="E12" s="1907" t="s">
        <v>259</v>
      </c>
      <c r="F12" s="1906">
        <v>110</v>
      </c>
      <c r="G12" s="1897">
        <v>0.19418181818181818</v>
      </c>
      <c r="H12" s="1897">
        <v>0.20290909090909087</v>
      </c>
      <c r="I12" s="1897">
        <v>5.0181818181818175E-2</v>
      </c>
      <c r="J12" s="1897">
        <v>4.3636363636363633E-2</v>
      </c>
      <c r="K12" s="1897">
        <v>4.3636363636363633E-2</v>
      </c>
      <c r="L12" s="1897">
        <v>4.581818181818182E-2</v>
      </c>
      <c r="M12" s="1897">
        <v>9.6727272727272717E-2</v>
      </c>
    </row>
    <row r="13" spans="1:13" ht="15">
      <c r="A13" s="1894">
        <f t="shared" si="0"/>
        <v>6</v>
      </c>
      <c r="B13" s="1906" t="s">
        <v>2914</v>
      </c>
      <c r="C13" s="1907" t="s">
        <v>524</v>
      </c>
      <c r="D13" s="1906" t="s">
        <v>737</v>
      </c>
      <c r="E13" s="1907" t="s">
        <v>259</v>
      </c>
      <c r="F13" s="1906">
        <v>110</v>
      </c>
      <c r="G13" s="1897">
        <v>0.23054545454545455</v>
      </c>
      <c r="H13" s="1897">
        <v>0.12000000000000001</v>
      </c>
      <c r="I13" s="1897">
        <v>0.22763636363636366</v>
      </c>
      <c r="J13" s="1897">
        <v>0.29745454545454547</v>
      </c>
      <c r="K13" s="1897">
        <v>0.30545454545454548</v>
      </c>
      <c r="L13" s="1897">
        <v>0.29600000000000004</v>
      </c>
      <c r="M13" s="1897">
        <v>0.2461818181818182</v>
      </c>
    </row>
    <row r="14" spans="1:13" ht="15">
      <c r="A14" s="1894">
        <f t="shared" si="0"/>
        <v>7</v>
      </c>
      <c r="B14" s="1906" t="s">
        <v>2915</v>
      </c>
      <c r="C14" s="1907" t="s">
        <v>524</v>
      </c>
      <c r="D14" s="1906" t="s">
        <v>541</v>
      </c>
      <c r="E14" s="1907" t="s">
        <v>259</v>
      </c>
      <c r="F14" s="1906">
        <v>110</v>
      </c>
      <c r="G14" s="1897">
        <v>6.8454545454545462E-2</v>
      </c>
      <c r="H14" s="1897">
        <v>6.5545454545454546E-2</v>
      </c>
      <c r="I14" s="1897">
        <v>7.972727272727273E-2</v>
      </c>
      <c r="J14" s="1897">
        <v>6.881818181818182E-2</v>
      </c>
      <c r="K14" s="1897">
        <v>6.0454545454545455E-2</v>
      </c>
      <c r="L14" s="1897">
        <v>6.081818181818182E-2</v>
      </c>
      <c r="M14" s="1897">
        <v>6.7303030303030295E-2</v>
      </c>
    </row>
    <row r="15" spans="1:13" ht="15">
      <c r="A15" s="1894">
        <f t="shared" si="0"/>
        <v>8</v>
      </c>
      <c r="B15" s="1906" t="s">
        <v>2906</v>
      </c>
      <c r="C15" s="1907" t="s">
        <v>524</v>
      </c>
      <c r="D15" s="1906" t="s">
        <v>636</v>
      </c>
      <c r="E15" s="1907" t="s">
        <v>259</v>
      </c>
      <c r="F15" s="1906">
        <v>110</v>
      </c>
      <c r="G15" s="1897">
        <v>0.19854545454545455</v>
      </c>
      <c r="H15" s="1897">
        <v>0.15709090909090911</v>
      </c>
      <c r="I15" s="1897">
        <v>2.1818181818181819E-3</v>
      </c>
      <c r="J15" s="1897">
        <v>2.1818181818181819E-3</v>
      </c>
      <c r="K15" s="1897">
        <v>2.1818181818181819E-3</v>
      </c>
      <c r="L15" s="1897">
        <v>2.1818181818181819E-3</v>
      </c>
      <c r="M15" s="1897">
        <v>6.072727272727272E-2</v>
      </c>
    </row>
    <row r="16" spans="1:13" ht="15">
      <c r="A16" s="1894">
        <f t="shared" si="0"/>
        <v>9</v>
      </c>
      <c r="B16" s="1906" t="s">
        <v>2916</v>
      </c>
      <c r="C16" s="1907" t="s">
        <v>524</v>
      </c>
      <c r="D16" s="1906" t="s">
        <v>636</v>
      </c>
      <c r="E16" s="1907" t="s">
        <v>259</v>
      </c>
      <c r="F16" s="1906">
        <v>110</v>
      </c>
      <c r="G16" s="1897">
        <v>0.9578181818181819</v>
      </c>
      <c r="H16" s="1897">
        <v>1.0196363636363637</v>
      </c>
      <c r="I16" s="1897">
        <v>1.0647272727272727</v>
      </c>
      <c r="J16" s="1897">
        <v>1.0647272727272727</v>
      </c>
      <c r="K16" s="1897">
        <v>1.0087272727272727</v>
      </c>
      <c r="L16" s="1897">
        <v>0.9316363636363636</v>
      </c>
      <c r="M16" s="1897">
        <v>1.007878787878788</v>
      </c>
    </row>
    <row r="17" spans="1:13" ht="15">
      <c r="A17" s="1894">
        <f t="shared" si="0"/>
        <v>10</v>
      </c>
      <c r="B17" s="1906" t="s">
        <v>2917</v>
      </c>
      <c r="C17" s="1907" t="s">
        <v>524</v>
      </c>
      <c r="D17" s="1906" t="s">
        <v>636</v>
      </c>
      <c r="E17" s="1907" t="s">
        <v>259</v>
      </c>
      <c r="F17" s="1906">
        <v>110.2</v>
      </c>
      <c r="G17" s="1897">
        <v>0.26715063520871141</v>
      </c>
      <c r="H17" s="1897">
        <v>0.36297640653357532</v>
      </c>
      <c r="I17" s="1897">
        <v>0.35063520871143378</v>
      </c>
      <c r="J17" s="1897">
        <v>0.28965517241379307</v>
      </c>
      <c r="K17" s="1897">
        <v>0.35934664246823955</v>
      </c>
      <c r="L17" s="1897">
        <v>0.35063520871143378</v>
      </c>
      <c r="M17" s="1897">
        <v>0.33006654567453114</v>
      </c>
    </row>
    <row r="18" spans="1:13" ht="15">
      <c r="A18" s="1894">
        <f t="shared" si="0"/>
        <v>11</v>
      </c>
      <c r="B18" s="1906" t="s">
        <v>2920</v>
      </c>
      <c r="C18" s="1907" t="s">
        <v>524</v>
      </c>
      <c r="D18" s="1906" t="s">
        <v>541</v>
      </c>
      <c r="E18" s="1907" t="s">
        <v>259</v>
      </c>
      <c r="F18" s="1906">
        <v>111</v>
      </c>
      <c r="G18" s="1897">
        <v>1.365765765765766</v>
      </c>
      <c r="H18" s="1897">
        <v>1.318918918918919</v>
      </c>
      <c r="I18" s="1897">
        <v>1.3711711711711712</v>
      </c>
      <c r="J18" s="1897">
        <v>1.263063063063063</v>
      </c>
      <c r="K18" s="1897">
        <v>1.2342342342342343</v>
      </c>
      <c r="L18" s="1897">
        <v>1.2414414414414416</v>
      </c>
      <c r="M18" s="1897">
        <v>1.2990990990990992</v>
      </c>
    </row>
    <row r="19" spans="1:13" ht="15">
      <c r="A19" s="1894">
        <f t="shared" si="0"/>
        <v>12</v>
      </c>
      <c r="B19" s="1906" t="s">
        <v>2923</v>
      </c>
      <c r="C19" s="1907" t="s">
        <v>2930</v>
      </c>
      <c r="D19" s="1906" t="s">
        <v>541</v>
      </c>
      <c r="E19" s="1907" t="s">
        <v>259</v>
      </c>
      <c r="F19" s="1906">
        <v>111</v>
      </c>
      <c r="G19" s="1897">
        <v>1.6223423423423422</v>
      </c>
      <c r="H19" s="1897">
        <v>1.8630630630630631</v>
      </c>
      <c r="I19" s="1897">
        <v>1.708108108108108</v>
      </c>
      <c r="J19" s="1897">
        <v>5.4054054054054057E-2</v>
      </c>
      <c r="K19" s="1897">
        <v>0</v>
      </c>
      <c r="L19" s="1897">
        <v>0</v>
      </c>
      <c r="M19" s="1897">
        <v>0.87459459459459465</v>
      </c>
    </row>
    <row r="20" spans="1:13" ht="15">
      <c r="A20" s="1894">
        <f t="shared" si="0"/>
        <v>13</v>
      </c>
      <c r="B20" s="1906" t="s">
        <v>2921</v>
      </c>
      <c r="C20" s="1907" t="s">
        <v>524</v>
      </c>
      <c r="D20" s="1906" t="s">
        <v>737</v>
      </c>
      <c r="E20" s="1907" t="s">
        <v>259</v>
      </c>
      <c r="F20" s="1906">
        <v>111</v>
      </c>
      <c r="G20" s="1897">
        <v>0.13765765765765764</v>
      </c>
      <c r="H20" s="1897">
        <v>6.4144144144144141E-2</v>
      </c>
      <c r="I20" s="1897">
        <v>0.13765765765765764</v>
      </c>
      <c r="J20" s="1897">
        <v>0.13693693693693693</v>
      </c>
      <c r="K20" s="1897">
        <v>0.1556756756756757</v>
      </c>
      <c r="L20" s="1897">
        <v>0.15063063063063062</v>
      </c>
      <c r="M20" s="1897">
        <v>0.13045045045045045</v>
      </c>
    </row>
    <row r="21" spans="1:13" ht="15">
      <c r="A21" s="1894">
        <f t="shared" si="0"/>
        <v>14</v>
      </c>
      <c r="B21" s="1906" t="s">
        <v>2922</v>
      </c>
      <c r="C21" s="1907" t="s">
        <v>524</v>
      </c>
      <c r="D21" s="1906" t="s">
        <v>636</v>
      </c>
      <c r="E21" s="1907" t="s">
        <v>259</v>
      </c>
      <c r="F21" s="1906">
        <v>111</v>
      </c>
      <c r="G21" s="1897">
        <v>0.27603603603603605</v>
      </c>
      <c r="H21" s="1897">
        <v>0.27531531531531528</v>
      </c>
      <c r="I21" s="1897">
        <v>0.37333333333333329</v>
      </c>
      <c r="J21" s="1897">
        <v>0.2810810810810811</v>
      </c>
      <c r="K21" s="1897">
        <v>0.26378378378378381</v>
      </c>
      <c r="L21" s="1897">
        <v>0.25657657657657656</v>
      </c>
      <c r="M21" s="1897">
        <v>0.28768768768768765</v>
      </c>
    </row>
    <row r="22" spans="1:13" ht="15">
      <c r="A22" s="1894">
        <f t="shared" si="0"/>
        <v>15</v>
      </c>
      <c r="B22" s="1906" t="s">
        <v>2924</v>
      </c>
      <c r="C22" s="1907" t="s">
        <v>524</v>
      </c>
      <c r="D22" s="1906" t="s">
        <v>737</v>
      </c>
      <c r="E22" s="1907" t="s">
        <v>259</v>
      </c>
      <c r="F22" s="1906">
        <v>111</v>
      </c>
      <c r="G22" s="1897">
        <v>0.11027027027027027</v>
      </c>
      <c r="H22" s="1897">
        <v>4.6846846846846847E-2</v>
      </c>
      <c r="I22" s="1897">
        <v>0.10954954954954955</v>
      </c>
      <c r="J22" s="1897">
        <v>0.1145945945945946</v>
      </c>
      <c r="K22" s="1897">
        <v>0.13837837837837838</v>
      </c>
      <c r="L22" s="1897">
        <v>0.13693693693693693</v>
      </c>
      <c r="M22" s="1897">
        <v>0.10942942942942942</v>
      </c>
    </row>
    <row r="23" spans="1:13" ht="15">
      <c r="A23" s="1894">
        <f t="shared" si="0"/>
        <v>16</v>
      </c>
      <c r="B23" s="1906" t="s">
        <v>2925</v>
      </c>
      <c r="C23" s="1907" t="s">
        <v>524</v>
      </c>
      <c r="D23" s="1906" t="s">
        <v>636</v>
      </c>
      <c r="E23" s="1907" t="s">
        <v>259</v>
      </c>
      <c r="F23" s="1906">
        <v>111</v>
      </c>
      <c r="G23" s="1897">
        <v>8.5045045045045037E-2</v>
      </c>
      <c r="H23" s="1897">
        <v>0.12396396396396396</v>
      </c>
      <c r="I23" s="1897">
        <v>9.3693693693693694E-2</v>
      </c>
      <c r="J23" s="1897">
        <v>9.0090090090090086E-2</v>
      </c>
      <c r="K23" s="1897">
        <v>8.7927927927927932E-2</v>
      </c>
      <c r="L23" s="1897">
        <v>8.2162162162162169E-2</v>
      </c>
      <c r="M23" s="1897">
        <v>9.3813813813813818E-2</v>
      </c>
    </row>
    <row r="24" spans="1:13" ht="15">
      <c r="A24" s="1894">
        <f t="shared" si="0"/>
        <v>17</v>
      </c>
      <c r="B24" s="1906" t="s">
        <v>2926</v>
      </c>
      <c r="C24" s="1907" t="s">
        <v>524</v>
      </c>
      <c r="D24" s="1906" t="s">
        <v>737</v>
      </c>
      <c r="E24" s="1907" t="s">
        <v>259</v>
      </c>
      <c r="F24" s="1906">
        <v>111</v>
      </c>
      <c r="G24" s="1897">
        <v>0.41369369369369369</v>
      </c>
      <c r="H24" s="1897">
        <v>0.4756756756756757</v>
      </c>
      <c r="I24" s="1897">
        <v>0.41585585585585588</v>
      </c>
      <c r="J24" s="1897">
        <v>0.36396396396396402</v>
      </c>
      <c r="K24" s="1897">
        <v>0.37621621621621626</v>
      </c>
      <c r="L24" s="1897">
        <v>0.41225225225225226</v>
      </c>
      <c r="M24" s="1897">
        <v>0.40960960960960957</v>
      </c>
    </row>
    <row r="25" spans="1:13" ht="15">
      <c r="A25" s="1894">
        <f t="shared" si="0"/>
        <v>18</v>
      </c>
      <c r="B25" s="1906" t="s">
        <v>2927</v>
      </c>
      <c r="C25" s="1907" t="s">
        <v>524</v>
      </c>
      <c r="D25" s="1906" t="s">
        <v>737</v>
      </c>
      <c r="E25" s="1907" t="s">
        <v>259</v>
      </c>
      <c r="F25" s="1906">
        <v>111</v>
      </c>
      <c r="G25" s="1897">
        <v>4.6126126126126127E-2</v>
      </c>
      <c r="H25" s="1897">
        <v>6.054054054054054E-2</v>
      </c>
      <c r="I25" s="1897">
        <v>7.7837837837837848E-2</v>
      </c>
      <c r="J25" s="1897">
        <v>7.1351351351351358E-2</v>
      </c>
      <c r="K25" s="1897">
        <v>7.4954954954954953E-2</v>
      </c>
      <c r="L25" s="1897">
        <v>6.198198198198198E-2</v>
      </c>
      <c r="M25" s="1897">
        <v>6.5465465465465458E-2</v>
      </c>
    </row>
    <row r="26" spans="1:13" ht="15">
      <c r="A26" s="1894">
        <f t="shared" si="0"/>
        <v>19</v>
      </c>
      <c r="B26" s="1906" t="s">
        <v>2919</v>
      </c>
      <c r="C26" s="1907" t="s">
        <v>524</v>
      </c>
      <c r="D26" s="1906" t="s">
        <v>636</v>
      </c>
      <c r="E26" s="1907" t="s">
        <v>259</v>
      </c>
      <c r="F26" s="1906">
        <v>111</v>
      </c>
      <c r="G26" s="1897">
        <v>0.29765765765765773</v>
      </c>
      <c r="H26" s="1897">
        <v>0.27531531531531528</v>
      </c>
      <c r="I26" s="1897">
        <v>0.27243243243243243</v>
      </c>
      <c r="J26" s="1897">
        <v>0.32504504504504506</v>
      </c>
      <c r="K26" s="1897">
        <v>0.2227027027027027</v>
      </c>
      <c r="L26" s="1897">
        <v>0.26666666666666666</v>
      </c>
      <c r="M26" s="1897">
        <v>0.27663663663663662</v>
      </c>
    </row>
    <row r="27" spans="1:13" ht="15">
      <c r="A27" s="1894">
        <f t="shared" si="0"/>
        <v>20</v>
      </c>
      <c r="B27" s="1906" t="s">
        <v>2928</v>
      </c>
      <c r="C27" s="1907" t="s">
        <v>524</v>
      </c>
      <c r="D27" s="1906" t="s">
        <v>737</v>
      </c>
      <c r="E27" s="1907" t="s">
        <v>259</v>
      </c>
      <c r="F27" s="1906">
        <v>111.1</v>
      </c>
      <c r="G27" s="1897">
        <v>0.42916291629162917</v>
      </c>
      <c r="H27" s="1897">
        <v>0.48460846084608461</v>
      </c>
      <c r="I27" s="1897">
        <v>0.48820882088208828</v>
      </c>
      <c r="J27" s="1897">
        <v>0.49756975697569755</v>
      </c>
      <c r="K27" s="1897">
        <v>0.44644464446444648</v>
      </c>
      <c r="L27" s="1897">
        <v>0.40180018001800183</v>
      </c>
      <c r="M27" s="1897">
        <v>0.45796579657965802</v>
      </c>
    </row>
    <row r="28" spans="1:13" ht="15">
      <c r="A28" s="1894">
        <f t="shared" si="0"/>
        <v>21</v>
      </c>
      <c r="B28" s="1906" t="s">
        <v>2931</v>
      </c>
      <c r="C28" s="1907" t="s">
        <v>524</v>
      </c>
      <c r="D28" s="1906" t="s">
        <v>737</v>
      </c>
      <c r="E28" s="1907" t="s">
        <v>259</v>
      </c>
      <c r="F28" s="1906">
        <v>112</v>
      </c>
      <c r="G28" s="1897">
        <v>0.23857142857142857</v>
      </c>
      <c r="H28" s="1897">
        <v>8.6428571428571424E-2</v>
      </c>
      <c r="I28" s="1897">
        <v>0.17857142857142858</v>
      </c>
      <c r="J28" s="1897">
        <v>0.20428571428571426</v>
      </c>
      <c r="K28" s="1897">
        <v>0.21</v>
      </c>
      <c r="L28" s="1897">
        <v>0.21428571428571427</v>
      </c>
      <c r="M28" s="1897">
        <v>0.18869047619047619</v>
      </c>
    </row>
    <row r="29" spans="1:13" ht="15">
      <c r="A29" s="1894">
        <f t="shared" si="0"/>
        <v>22</v>
      </c>
      <c r="B29" s="1906" t="s">
        <v>2932</v>
      </c>
      <c r="C29" s="1907" t="s">
        <v>524</v>
      </c>
      <c r="D29" s="1906" t="s">
        <v>636</v>
      </c>
      <c r="E29" s="1907" t="s">
        <v>259</v>
      </c>
      <c r="F29" s="1906">
        <v>112</v>
      </c>
      <c r="G29" s="1897">
        <v>0.5535714285714286</v>
      </c>
      <c r="H29" s="1897">
        <v>0.6160714285714286</v>
      </c>
      <c r="I29" s="1897">
        <v>0.68262589285714281</v>
      </c>
      <c r="J29" s="1897">
        <v>0.47445535714285719</v>
      </c>
      <c r="K29" s="1897">
        <v>0.57621607142857134</v>
      </c>
      <c r="L29" s="1897">
        <v>0.47628928571428569</v>
      </c>
      <c r="M29" s="1897">
        <v>0.56320491071428569</v>
      </c>
    </row>
    <row r="30" spans="1:13" ht="15">
      <c r="A30" s="1894">
        <f t="shared" si="0"/>
        <v>23</v>
      </c>
      <c r="B30" s="1895" t="s">
        <v>2929</v>
      </c>
      <c r="C30" s="1907" t="s">
        <v>524</v>
      </c>
      <c r="D30" s="1895" t="s">
        <v>541</v>
      </c>
      <c r="E30" s="1894" t="s">
        <v>259</v>
      </c>
      <c r="F30" s="1906">
        <v>112</v>
      </c>
      <c r="G30" s="1897">
        <v>0</v>
      </c>
      <c r="H30" s="1897">
        <v>0</v>
      </c>
      <c r="I30" s="1897">
        <v>0</v>
      </c>
      <c r="J30" s="1897">
        <v>0</v>
      </c>
      <c r="K30" s="1897">
        <v>0</v>
      </c>
      <c r="L30" s="1897">
        <v>0</v>
      </c>
      <c r="M30" s="1897">
        <v>0</v>
      </c>
    </row>
    <row r="31" spans="1:13" ht="15">
      <c r="A31" s="1894">
        <f t="shared" si="0"/>
        <v>24</v>
      </c>
      <c r="B31" s="1906" t="s">
        <v>2933</v>
      </c>
      <c r="C31" s="1907" t="s">
        <v>524</v>
      </c>
      <c r="D31" s="1906" t="s">
        <v>541</v>
      </c>
      <c r="E31" s="1907" t="s">
        <v>259</v>
      </c>
      <c r="F31" s="1906">
        <v>114.5</v>
      </c>
      <c r="G31" s="1897">
        <v>0.17048034934497816</v>
      </c>
      <c r="H31" s="1897">
        <v>0.19563318777292579</v>
      </c>
      <c r="I31" s="1897">
        <v>0.18585152838427946</v>
      </c>
      <c r="J31" s="1897">
        <v>4.262008733624454E-2</v>
      </c>
      <c r="K31" s="1897">
        <v>4.5414847161572056E-2</v>
      </c>
      <c r="L31" s="1897">
        <v>0.19423580786026198</v>
      </c>
      <c r="M31" s="1897">
        <v>0.13903930131004366</v>
      </c>
    </row>
    <row r="32" spans="1:13" ht="15">
      <c r="A32" s="1894">
        <f t="shared" si="0"/>
        <v>25</v>
      </c>
      <c r="B32" s="1906" t="s">
        <v>2934</v>
      </c>
      <c r="C32" s="1907" t="s">
        <v>524</v>
      </c>
      <c r="D32" s="1906" t="s">
        <v>636</v>
      </c>
      <c r="E32" s="1907" t="s">
        <v>259</v>
      </c>
      <c r="F32" s="1906">
        <v>115</v>
      </c>
      <c r="G32" s="1897">
        <v>0.12104347826086954</v>
      </c>
      <c r="H32" s="1897">
        <v>0.12521739130434784</v>
      </c>
      <c r="I32" s="1897">
        <v>0.17530434782608695</v>
      </c>
      <c r="J32" s="1897">
        <v>0.13565217391304349</v>
      </c>
      <c r="K32" s="1897">
        <v>0.10017391304347825</v>
      </c>
      <c r="L32" s="1897">
        <v>9.3913043478260863E-2</v>
      </c>
      <c r="M32" s="1897">
        <v>0.12521739130434781</v>
      </c>
    </row>
    <row r="33" spans="1:13" ht="15">
      <c r="A33" s="1894">
        <f t="shared" si="0"/>
        <v>26</v>
      </c>
      <c r="B33" s="1906" t="s">
        <v>2935</v>
      </c>
      <c r="C33" s="1907" t="s">
        <v>524</v>
      </c>
      <c r="D33" s="1906" t="s">
        <v>541</v>
      </c>
      <c r="E33" s="1907" t="s">
        <v>259</v>
      </c>
      <c r="F33" s="1906">
        <v>115</v>
      </c>
      <c r="G33" s="1897">
        <v>0.70956521739130429</v>
      </c>
      <c r="H33" s="1897">
        <v>0.74713043478260877</v>
      </c>
      <c r="I33" s="1897">
        <v>0.59686956521739132</v>
      </c>
      <c r="J33" s="1897">
        <v>0.98295652173913051</v>
      </c>
      <c r="K33" s="1897">
        <v>0.92799999999999994</v>
      </c>
      <c r="L33" s="1897">
        <v>0.9572173913043478</v>
      </c>
      <c r="M33" s="1897">
        <v>0.82028985507246377</v>
      </c>
    </row>
    <row r="34" spans="1:13" ht="15">
      <c r="A34" s="1894">
        <f t="shared" si="0"/>
        <v>27</v>
      </c>
      <c r="B34" s="1906" t="s">
        <v>2936</v>
      </c>
      <c r="C34" s="1907" t="s">
        <v>524</v>
      </c>
      <c r="D34" s="1906" t="s">
        <v>541</v>
      </c>
      <c r="E34" s="1907" t="s">
        <v>259</v>
      </c>
      <c r="F34" s="1906">
        <v>116</v>
      </c>
      <c r="G34" s="1897">
        <v>1.8379310344827589</v>
      </c>
      <c r="H34" s="1897">
        <v>1.5855172413793102</v>
      </c>
      <c r="I34" s="1897">
        <v>1.7013793103448278</v>
      </c>
      <c r="J34" s="1897">
        <v>1.7620689655172415</v>
      </c>
      <c r="K34" s="1897">
        <v>1.6379310344827587</v>
      </c>
      <c r="L34" s="1897">
        <v>1.6910344827586206</v>
      </c>
      <c r="M34" s="1897">
        <v>1.7026436781609195</v>
      </c>
    </row>
    <row r="35" spans="1:13" ht="15">
      <c r="A35" s="1894">
        <f t="shared" si="0"/>
        <v>28</v>
      </c>
      <c r="B35" s="1906" t="s">
        <v>2937</v>
      </c>
      <c r="C35" s="1907" t="s">
        <v>524</v>
      </c>
      <c r="D35" s="1906" t="s">
        <v>541</v>
      </c>
      <c r="E35" s="1907" t="s">
        <v>259</v>
      </c>
      <c r="F35" s="1906">
        <v>116</v>
      </c>
      <c r="G35" s="1897">
        <v>2.8965517241379309E-2</v>
      </c>
      <c r="H35" s="1897">
        <v>2.6896551724137928E-2</v>
      </c>
      <c r="I35" s="1897">
        <v>3.3793103448275859E-2</v>
      </c>
      <c r="J35" s="1897">
        <v>3.7241379310344831E-2</v>
      </c>
      <c r="K35" s="1897">
        <v>2.827586206896552E-2</v>
      </c>
      <c r="L35" s="1897">
        <v>5.9310344827586209E-2</v>
      </c>
      <c r="M35" s="1897">
        <v>3.5747126436781608E-2</v>
      </c>
    </row>
    <row r="36" spans="1:13" ht="15">
      <c r="A36" s="1894">
        <f t="shared" si="0"/>
        <v>29</v>
      </c>
      <c r="B36" s="1906" t="s">
        <v>2938</v>
      </c>
      <c r="C36" s="1907" t="s">
        <v>524</v>
      </c>
      <c r="D36" s="1906" t="s">
        <v>541</v>
      </c>
      <c r="E36" s="1907" t="s">
        <v>259</v>
      </c>
      <c r="F36" s="1906">
        <v>116</v>
      </c>
      <c r="G36" s="1897">
        <v>0.20896551724137932</v>
      </c>
      <c r="H36" s="1897">
        <v>0.25655172413793104</v>
      </c>
      <c r="I36" s="1897">
        <v>0.21034482758620687</v>
      </c>
      <c r="J36" s="1897">
        <v>0.25724137931034485</v>
      </c>
      <c r="K36" s="1897">
        <v>0.21241379310344827</v>
      </c>
      <c r="L36" s="1897">
        <v>0.22137931034482755</v>
      </c>
      <c r="M36" s="1897">
        <v>0.227816091954023</v>
      </c>
    </row>
    <row r="37" spans="1:13" ht="15">
      <c r="A37" s="1894">
        <f t="shared" si="0"/>
        <v>30</v>
      </c>
      <c r="B37" s="1906" t="s">
        <v>3535</v>
      </c>
      <c r="C37" s="1907" t="s">
        <v>524</v>
      </c>
      <c r="D37" s="1906" t="s">
        <v>541</v>
      </c>
      <c r="E37" s="1907" t="s">
        <v>259</v>
      </c>
      <c r="F37" s="1906">
        <v>116</v>
      </c>
      <c r="G37" s="1897">
        <v>0.91448275862068962</v>
      </c>
      <c r="H37" s="1897">
        <v>0.92395172413793103</v>
      </c>
      <c r="I37" s="1897">
        <v>0.48370689655172411</v>
      </c>
      <c r="J37" s="1897">
        <v>0.46091034482758625</v>
      </c>
      <c r="K37" s="1897">
        <v>0.50971034482758615</v>
      </c>
      <c r="L37" s="1897">
        <v>0.79149999999999998</v>
      </c>
      <c r="M37" s="1897">
        <v>0.68071034482758608</v>
      </c>
    </row>
    <row r="38" spans="1:13" ht="15">
      <c r="A38" s="1894">
        <f t="shared" si="0"/>
        <v>31</v>
      </c>
      <c r="B38" s="1906" t="s">
        <v>2939</v>
      </c>
      <c r="C38" s="1907" t="s">
        <v>524</v>
      </c>
      <c r="D38" s="1906" t="s">
        <v>629</v>
      </c>
      <c r="E38" s="1907" t="s">
        <v>259</v>
      </c>
      <c r="F38" s="1906">
        <v>116.67</v>
      </c>
      <c r="G38" s="1897">
        <v>2.4767292363075342</v>
      </c>
      <c r="H38" s="1897">
        <v>2.3066769520870833</v>
      </c>
      <c r="I38" s="1897">
        <v>2.4911288248907173</v>
      </c>
      <c r="J38" s="1897">
        <v>2.1757092654495587</v>
      </c>
      <c r="K38" s="1897">
        <v>1.8897745778692039</v>
      </c>
      <c r="L38" s="1897">
        <v>1.8081769092311646</v>
      </c>
      <c r="M38" s="1897">
        <v>2.1913659609725435</v>
      </c>
    </row>
    <row r="39" spans="1:13" ht="15">
      <c r="A39" s="1894">
        <f t="shared" si="0"/>
        <v>32</v>
      </c>
      <c r="B39" s="1906" t="s">
        <v>2940</v>
      </c>
      <c r="C39" s="1907" t="s">
        <v>524</v>
      </c>
      <c r="D39" s="1906" t="s">
        <v>541</v>
      </c>
      <c r="E39" s="1907" t="s">
        <v>259</v>
      </c>
      <c r="F39" s="1906">
        <v>117</v>
      </c>
      <c r="G39" s="1897">
        <v>1.0078632478632479</v>
      </c>
      <c r="H39" s="1897">
        <v>1.1022222222222222</v>
      </c>
      <c r="I39" s="1897">
        <v>1.1063247863247863</v>
      </c>
      <c r="J39" s="1897">
        <v>1.1241025641025639</v>
      </c>
      <c r="K39" s="1897">
        <v>1.1158974358974358</v>
      </c>
      <c r="L39" s="1897">
        <v>1.0680341880341881</v>
      </c>
      <c r="M39" s="1897">
        <v>1.0874074074074074</v>
      </c>
    </row>
    <row r="40" spans="1:13" ht="15">
      <c r="A40" s="1894">
        <f t="shared" si="0"/>
        <v>33</v>
      </c>
      <c r="B40" s="1906" t="s">
        <v>3536</v>
      </c>
      <c r="C40" s="1907" t="s">
        <v>524</v>
      </c>
      <c r="D40" s="1906" t="s">
        <v>541</v>
      </c>
      <c r="E40" s="1907" t="s">
        <v>259</v>
      </c>
      <c r="F40" s="1906">
        <v>117</v>
      </c>
      <c r="G40" s="1897">
        <v>0</v>
      </c>
      <c r="H40" s="1897">
        <v>7.8735042735042726E-2</v>
      </c>
      <c r="I40" s="1897">
        <v>0.14184615384615384</v>
      </c>
      <c r="J40" s="1897">
        <v>0.23411282051282054</v>
      </c>
      <c r="K40" s="1897">
        <v>0.24102564102564103</v>
      </c>
      <c r="L40" s="1897">
        <v>0.19989743589743592</v>
      </c>
      <c r="M40" s="1897">
        <v>0.14926951566951568</v>
      </c>
    </row>
    <row r="41" spans="1:13" ht="15">
      <c r="A41" s="1894">
        <f t="shared" si="0"/>
        <v>34</v>
      </c>
      <c r="B41" s="1906" t="s">
        <v>3537</v>
      </c>
      <c r="C41" s="1907" t="s">
        <v>524</v>
      </c>
      <c r="D41" s="1906" t="s">
        <v>636</v>
      </c>
      <c r="E41" s="1907" t="s">
        <v>259</v>
      </c>
      <c r="F41" s="1906">
        <v>117</v>
      </c>
      <c r="G41" s="1897">
        <v>5.3135042735042735E-2</v>
      </c>
      <c r="H41" s="1897">
        <v>7.5596581196581192E-2</v>
      </c>
      <c r="I41" s="1897">
        <v>1.6410256410256412E-3</v>
      </c>
      <c r="J41" s="1897">
        <v>0.11697777777777778</v>
      </c>
      <c r="K41" s="1897">
        <v>0.20672136752136752</v>
      </c>
      <c r="L41" s="1897">
        <v>0.24205128205128204</v>
      </c>
      <c r="M41" s="1897">
        <v>0.1160205128205128</v>
      </c>
    </row>
    <row r="42" spans="1:13" ht="15">
      <c r="A42" s="1894">
        <f t="shared" si="0"/>
        <v>35</v>
      </c>
      <c r="B42" s="1906" t="s">
        <v>2941</v>
      </c>
      <c r="C42" s="1907" t="s">
        <v>524</v>
      </c>
      <c r="D42" s="1906" t="s">
        <v>636</v>
      </c>
      <c r="E42" s="1907" t="s">
        <v>259</v>
      </c>
      <c r="F42" s="1906">
        <v>117.2</v>
      </c>
      <c r="G42" s="1897">
        <v>1.7911262798634813</v>
      </c>
      <c r="H42" s="1897">
        <v>1.9556313993174059</v>
      </c>
      <c r="I42" s="1897">
        <v>2.0737201365187716</v>
      </c>
      <c r="J42" s="1897">
        <v>1.7726962457337883</v>
      </c>
      <c r="K42" s="1897">
        <v>1.9276450511945391</v>
      </c>
      <c r="L42" s="1897">
        <v>1.354948805460751</v>
      </c>
      <c r="M42" s="1897">
        <v>1.8126279863481229</v>
      </c>
    </row>
    <row r="43" spans="1:13" ht="15">
      <c r="A43" s="1894">
        <f t="shared" si="0"/>
        <v>36</v>
      </c>
      <c r="B43" s="1906" t="s">
        <v>2942</v>
      </c>
      <c r="C43" s="1907" t="s">
        <v>524</v>
      </c>
      <c r="D43" s="1906" t="s">
        <v>629</v>
      </c>
      <c r="E43" s="1907" t="s">
        <v>259</v>
      </c>
      <c r="F43" s="1906">
        <v>117.78</v>
      </c>
      <c r="G43" s="1897">
        <v>0.54652742401086774</v>
      </c>
      <c r="H43" s="1897">
        <v>0.56622516556291391</v>
      </c>
      <c r="I43" s="1897">
        <v>0.54041433180506027</v>
      </c>
      <c r="J43" s="1897">
        <v>0.50645270843946344</v>
      </c>
      <c r="K43" s="1897">
        <v>0.51120733571064703</v>
      </c>
      <c r="L43" s="1897">
        <v>0.47113262013924267</v>
      </c>
      <c r="M43" s="1897">
        <v>0.52365993094469909</v>
      </c>
    </row>
    <row r="44" spans="1:13" ht="15">
      <c r="A44" s="1894">
        <f t="shared" si="0"/>
        <v>37</v>
      </c>
      <c r="B44" s="1906" t="s">
        <v>2944</v>
      </c>
      <c r="C44" s="1907" t="s">
        <v>524</v>
      </c>
      <c r="D44" s="1906" t="s">
        <v>636</v>
      </c>
      <c r="E44" s="1907" t="s">
        <v>259</v>
      </c>
      <c r="F44" s="1906">
        <v>118</v>
      </c>
      <c r="G44" s="1897">
        <v>3.347457627118644E-2</v>
      </c>
      <c r="H44" s="1897">
        <v>9.3711864406779657E-2</v>
      </c>
      <c r="I44" s="1897">
        <v>9.296610169491526E-2</v>
      </c>
      <c r="J44" s="1897">
        <v>9.7169491525423743E-2</v>
      </c>
      <c r="K44" s="1897">
        <v>8.8711864406779667E-2</v>
      </c>
      <c r="L44" s="1897">
        <v>9.7542372881355949E-2</v>
      </c>
      <c r="M44" s="1897">
        <v>8.3929378531073448E-2</v>
      </c>
    </row>
    <row r="45" spans="1:13" ht="15">
      <c r="A45" s="1894">
        <f t="shared" si="0"/>
        <v>38</v>
      </c>
      <c r="B45" s="1906" t="s">
        <v>2943</v>
      </c>
      <c r="C45" s="1907" t="s">
        <v>524</v>
      </c>
      <c r="D45" s="1906" t="s">
        <v>541</v>
      </c>
      <c r="E45" s="1907" t="s">
        <v>259</v>
      </c>
      <c r="F45" s="1906">
        <v>118</v>
      </c>
      <c r="G45" s="1897">
        <v>0.6386440677966102</v>
      </c>
      <c r="H45" s="1897">
        <v>0.60406779661016952</v>
      </c>
      <c r="I45" s="1897">
        <v>0.60610169491525423</v>
      </c>
      <c r="J45" s="1897">
        <v>0.63457627118644067</v>
      </c>
      <c r="K45" s="1897">
        <v>0.67796610169491522</v>
      </c>
      <c r="L45" s="1897">
        <v>0.73084745762711867</v>
      </c>
      <c r="M45" s="1897">
        <v>0.64870056497175144</v>
      </c>
    </row>
    <row r="46" spans="1:13" ht="15">
      <c r="A46" s="1894">
        <f t="shared" si="0"/>
        <v>39</v>
      </c>
      <c r="B46" s="1906" t="s">
        <v>2922</v>
      </c>
      <c r="C46" s="1907" t="s">
        <v>524</v>
      </c>
      <c r="D46" s="1906" t="s">
        <v>636</v>
      </c>
      <c r="E46" s="1907" t="s">
        <v>259</v>
      </c>
      <c r="F46" s="1906">
        <v>118</v>
      </c>
      <c r="G46" s="1897">
        <v>0.50237288135593217</v>
      </c>
      <c r="H46" s="1897">
        <v>0.5172881355932204</v>
      </c>
      <c r="I46" s="1897">
        <v>0.52677966101694917</v>
      </c>
      <c r="J46" s="1897">
        <v>0.47118644067796617</v>
      </c>
      <c r="K46" s="1897">
        <v>0.5308474576271186</v>
      </c>
      <c r="L46" s="1897">
        <v>0.43322033898305085</v>
      </c>
      <c r="M46" s="1897">
        <v>0.49694915254237282</v>
      </c>
    </row>
    <row r="47" spans="1:13" ht="15">
      <c r="A47" s="1894">
        <f t="shared" si="0"/>
        <v>40</v>
      </c>
      <c r="B47" s="1906" t="s">
        <v>2946</v>
      </c>
      <c r="C47" s="1907" t="s">
        <v>2930</v>
      </c>
      <c r="D47" s="1906" t="s">
        <v>541</v>
      </c>
      <c r="E47" s="1907" t="s">
        <v>259</v>
      </c>
      <c r="F47" s="1906">
        <v>119</v>
      </c>
      <c r="G47" s="1897">
        <v>0</v>
      </c>
      <c r="H47" s="1897">
        <v>0</v>
      </c>
      <c r="I47" s="1897">
        <v>0</v>
      </c>
      <c r="J47" s="1897">
        <v>0</v>
      </c>
      <c r="K47" s="1897">
        <v>0</v>
      </c>
      <c r="L47" s="1897">
        <v>0</v>
      </c>
      <c r="M47" s="1897">
        <v>0</v>
      </c>
    </row>
    <row r="48" spans="1:13" ht="15">
      <c r="A48" s="1894">
        <f t="shared" si="0"/>
        <v>41</v>
      </c>
      <c r="B48" s="1906" t="s">
        <v>2945</v>
      </c>
      <c r="C48" s="1907" t="s">
        <v>524</v>
      </c>
      <c r="D48" s="1906" t="s">
        <v>541</v>
      </c>
      <c r="E48" s="1907" t="s">
        <v>259</v>
      </c>
      <c r="F48" s="1906">
        <v>119</v>
      </c>
      <c r="G48" s="1897">
        <v>1.3902521008403361</v>
      </c>
      <c r="H48" s="1897">
        <v>1.4655462184873951</v>
      </c>
      <c r="I48" s="1897">
        <v>1.5603361344537816</v>
      </c>
      <c r="J48" s="1897">
        <v>1.4258823529411766</v>
      </c>
      <c r="K48" s="1897">
        <v>1.4769747899159662</v>
      </c>
      <c r="L48" s="1897">
        <v>1.3976470588235295</v>
      </c>
      <c r="M48" s="1897">
        <v>1.4527731092436975</v>
      </c>
    </row>
    <row r="49" spans="1:13" ht="15">
      <c r="A49" s="1894">
        <f t="shared" si="0"/>
        <v>42</v>
      </c>
      <c r="B49" s="1906" t="s">
        <v>2947</v>
      </c>
      <c r="C49" s="1907" t="s">
        <v>524</v>
      </c>
      <c r="D49" s="1906" t="s">
        <v>730</v>
      </c>
      <c r="E49" s="1907" t="s">
        <v>259</v>
      </c>
      <c r="F49" s="1906">
        <v>119</v>
      </c>
      <c r="G49" s="1897">
        <v>0.8336134453781513</v>
      </c>
      <c r="H49" s="1897">
        <v>0.78722689075630248</v>
      </c>
      <c r="I49" s="1897">
        <v>0.76974789915966391</v>
      </c>
      <c r="J49" s="1897">
        <v>0.72806722689075631</v>
      </c>
      <c r="K49" s="1897">
        <v>0.78184873949579836</v>
      </c>
      <c r="L49" s="1897">
        <v>0.78386554621848736</v>
      </c>
      <c r="M49" s="1897">
        <v>0.78072829131652666</v>
      </c>
    </row>
    <row r="50" spans="1:13" ht="15">
      <c r="A50" s="1894">
        <f t="shared" si="0"/>
        <v>43</v>
      </c>
      <c r="B50" s="1906" t="s">
        <v>2947</v>
      </c>
      <c r="C50" s="1907" t="s">
        <v>524</v>
      </c>
      <c r="D50" s="1906" t="s">
        <v>730</v>
      </c>
      <c r="E50" s="1907" t="s">
        <v>259</v>
      </c>
      <c r="F50" s="1906">
        <v>119</v>
      </c>
      <c r="G50" s="1897">
        <v>1.0057142857142858</v>
      </c>
      <c r="H50" s="1897">
        <v>1.0057142857142858</v>
      </c>
      <c r="I50" s="1897">
        <v>1.0010084033613447</v>
      </c>
      <c r="J50" s="1897">
        <v>1.0036974789915967</v>
      </c>
      <c r="K50" s="1897">
        <v>1.0326050420168067</v>
      </c>
      <c r="L50" s="1897">
        <v>1.0299159663865547</v>
      </c>
      <c r="M50" s="1897">
        <v>1.0131092436974789</v>
      </c>
    </row>
    <row r="51" spans="1:13" ht="15">
      <c r="A51" s="1894">
        <f t="shared" si="0"/>
        <v>44</v>
      </c>
      <c r="B51" s="1906" t="s">
        <v>2950</v>
      </c>
      <c r="C51" s="1907" t="s">
        <v>524</v>
      </c>
      <c r="D51" s="1906" t="s">
        <v>541</v>
      </c>
      <c r="E51" s="1907" t="s">
        <v>259</v>
      </c>
      <c r="F51" s="1906">
        <v>120</v>
      </c>
      <c r="G51" s="1897">
        <v>0.10466666666666666</v>
      </c>
      <c r="H51" s="1897">
        <v>0.14000000000000001</v>
      </c>
      <c r="I51" s="1897">
        <v>1.04</v>
      </c>
      <c r="J51" s="1897">
        <v>1.0673333333333332</v>
      </c>
      <c r="K51" s="1897">
        <v>0.95466666666666666</v>
      </c>
      <c r="L51" s="1897">
        <v>0.96733333333333349</v>
      </c>
      <c r="M51" s="1897">
        <v>0.71233333333333337</v>
      </c>
    </row>
    <row r="52" spans="1:13" ht="15">
      <c r="A52" s="1894">
        <f t="shared" si="0"/>
        <v>45</v>
      </c>
      <c r="B52" s="1906" t="s">
        <v>3538</v>
      </c>
      <c r="C52" s="1907" t="s">
        <v>524</v>
      </c>
      <c r="D52" s="1906" t="s">
        <v>541</v>
      </c>
      <c r="E52" s="1907" t="s">
        <v>259</v>
      </c>
      <c r="F52" s="1906">
        <v>120</v>
      </c>
      <c r="G52" s="1897">
        <v>0.39893333333333336</v>
      </c>
      <c r="H52" s="1897">
        <v>0.36586666666666662</v>
      </c>
      <c r="I52" s="1897">
        <v>0.36693333333333333</v>
      </c>
      <c r="J52" s="1897">
        <v>0.41226666666666661</v>
      </c>
      <c r="K52" s="1897">
        <v>0.41866666666666663</v>
      </c>
      <c r="L52" s="1897">
        <v>0.95066666666666666</v>
      </c>
      <c r="M52" s="1897">
        <v>0.48555555555555552</v>
      </c>
    </row>
    <row r="53" spans="1:13" ht="15">
      <c r="A53" s="1894">
        <f t="shared" si="0"/>
        <v>46</v>
      </c>
      <c r="B53" s="1906" t="s">
        <v>2951</v>
      </c>
      <c r="C53" s="1907" t="s">
        <v>524</v>
      </c>
      <c r="D53" s="1906" t="s">
        <v>636</v>
      </c>
      <c r="E53" s="1907" t="s">
        <v>259</v>
      </c>
      <c r="F53" s="1906">
        <v>120</v>
      </c>
      <c r="G53" s="1897">
        <v>0.37699999999999995</v>
      </c>
      <c r="H53" s="1897">
        <v>0.27500000000000002</v>
      </c>
      <c r="I53" s="1897">
        <v>0.30199999999999999</v>
      </c>
      <c r="J53" s="1897">
        <v>0.40399999999999997</v>
      </c>
      <c r="K53" s="1897">
        <v>0.35400000000000004</v>
      </c>
      <c r="L53" s="1897">
        <v>0.36899999999999999</v>
      </c>
      <c r="M53" s="1897">
        <v>0.34683333333333333</v>
      </c>
    </row>
    <row r="54" spans="1:13" ht="15">
      <c r="A54" s="1894">
        <f t="shared" si="0"/>
        <v>47</v>
      </c>
      <c r="B54" s="1906" t="s">
        <v>2952</v>
      </c>
      <c r="C54" s="1907" t="s">
        <v>524</v>
      </c>
      <c r="D54" s="1906" t="s">
        <v>541</v>
      </c>
      <c r="E54" s="1907" t="s">
        <v>259</v>
      </c>
      <c r="F54" s="1906">
        <v>120</v>
      </c>
      <c r="G54" s="1897">
        <v>0.68800000000000006</v>
      </c>
      <c r="H54" s="1897">
        <v>0.75733333333333341</v>
      </c>
      <c r="I54" s="1897">
        <v>0.73799999999999999</v>
      </c>
      <c r="J54" s="1897">
        <v>0.72466666666666668</v>
      </c>
      <c r="K54" s="1897">
        <v>0.71533333333333338</v>
      </c>
      <c r="L54" s="1897">
        <v>0.5159999999999999</v>
      </c>
      <c r="M54" s="1897">
        <v>0.689888888888889</v>
      </c>
    </row>
    <row r="55" spans="1:13" ht="15">
      <c r="A55" s="1894">
        <f t="shared" si="0"/>
        <v>48</v>
      </c>
      <c r="B55" s="1906" t="s">
        <v>2949</v>
      </c>
      <c r="C55" s="1907" t="s">
        <v>524</v>
      </c>
      <c r="D55" s="1906" t="s">
        <v>541</v>
      </c>
      <c r="E55" s="1907" t="s">
        <v>259</v>
      </c>
      <c r="F55" s="1906">
        <v>120</v>
      </c>
      <c r="G55" s="1897">
        <v>0.89499999999999991</v>
      </c>
      <c r="H55" s="1897">
        <v>0.90200000000000002</v>
      </c>
      <c r="I55" s="1897">
        <v>0.878</v>
      </c>
      <c r="J55" s="1897">
        <v>0.66699999999999993</v>
      </c>
      <c r="K55" s="1897">
        <v>0.69800000000000006</v>
      </c>
      <c r="L55" s="1897">
        <v>0.72799999999999998</v>
      </c>
      <c r="M55" s="1897">
        <v>0.79466666666666663</v>
      </c>
    </row>
    <row r="56" spans="1:13" ht="15">
      <c r="A56" s="1894">
        <f t="shared" si="0"/>
        <v>49</v>
      </c>
      <c r="B56" s="1906" t="s">
        <v>2953</v>
      </c>
      <c r="C56" s="1907" t="s">
        <v>524</v>
      </c>
      <c r="D56" s="1906" t="s">
        <v>541</v>
      </c>
      <c r="E56" s="1907" t="s">
        <v>259</v>
      </c>
      <c r="F56" s="1906">
        <v>120</v>
      </c>
      <c r="G56" s="1897">
        <v>0.37</v>
      </c>
      <c r="H56" s="1897">
        <v>0.83399999999999996</v>
      </c>
      <c r="I56" s="1897">
        <v>0.77600000000000002</v>
      </c>
      <c r="J56" s="1897">
        <v>0.75399999999999989</v>
      </c>
      <c r="K56" s="1897">
        <v>0.502</v>
      </c>
      <c r="L56" s="1897">
        <v>0.378</v>
      </c>
      <c r="M56" s="1897">
        <v>0.60233333333333328</v>
      </c>
    </row>
    <row r="57" spans="1:13" ht="15">
      <c r="A57" s="1894">
        <f t="shared" si="0"/>
        <v>50</v>
      </c>
      <c r="B57" s="1906" t="s">
        <v>3539</v>
      </c>
      <c r="C57" s="1907" t="s">
        <v>524</v>
      </c>
      <c r="D57" s="1906" t="s">
        <v>541</v>
      </c>
      <c r="E57" s="1907" t="s">
        <v>259</v>
      </c>
      <c r="F57" s="1906">
        <v>120</v>
      </c>
      <c r="G57" s="1897">
        <v>0.97600000000000009</v>
      </c>
      <c r="H57" s="1897">
        <v>1.0169999999999999</v>
      </c>
      <c r="I57" s="1897">
        <v>1.204</v>
      </c>
      <c r="J57" s="1897">
        <v>1.204</v>
      </c>
      <c r="K57" s="1897">
        <v>1.3080000000000001</v>
      </c>
      <c r="L57" s="1897">
        <v>1.24</v>
      </c>
      <c r="M57" s="1897">
        <v>1.1581666666666666</v>
      </c>
    </row>
    <row r="58" spans="1:13" ht="15">
      <c r="A58" s="1894">
        <f t="shared" si="0"/>
        <v>51</v>
      </c>
      <c r="B58" s="1906" t="s">
        <v>2954</v>
      </c>
      <c r="C58" s="1907" t="s">
        <v>524</v>
      </c>
      <c r="D58" s="1906" t="s">
        <v>636</v>
      </c>
      <c r="E58" s="1907" t="s">
        <v>259</v>
      </c>
      <c r="F58" s="1906">
        <v>120</v>
      </c>
      <c r="G58" s="1897">
        <v>0.16400000000000001</v>
      </c>
      <c r="H58" s="1897">
        <v>0.21933333333333332</v>
      </c>
      <c r="I58" s="1897">
        <v>0.25600000000000001</v>
      </c>
      <c r="J58" s="1897">
        <v>1.9066666666666668E-3</v>
      </c>
      <c r="K58" s="1897">
        <v>0.13996666666666666</v>
      </c>
      <c r="L58" s="1897">
        <v>0.16075</v>
      </c>
      <c r="M58" s="1897">
        <v>0.15699277777777776</v>
      </c>
    </row>
    <row r="59" spans="1:13" ht="15">
      <c r="A59" s="1894">
        <f t="shared" si="0"/>
        <v>52</v>
      </c>
      <c r="B59" s="1906" t="s">
        <v>2955</v>
      </c>
      <c r="C59" s="1907" t="s">
        <v>524</v>
      </c>
      <c r="D59" s="1906" t="s">
        <v>541</v>
      </c>
      <c r="E59" s="1907" t="s">
        <v>259</v>
      </c>
      <c r="F59" s="1906">
        <v>120</v>
      </c>
      <c r="G59" s="1897">
        <v>0</v>
      </c>
      <c r="H59" s="1897">
        <v>0</v>
      </c>
      <c r="I59" s="1897">
        <v>0</v>
      </c>
      <c r="J59" s="1897">
        <v>0</v>
      </c>
      <c r="K59" s="1897">
        <v>0</v>
      </c>
      <c r="L59" s="1897">
        <v>0</v>
      </c>
      <c r="M59" s="1897">
        <v>0</v>
      </c>
    </row>
    <row r="60" spans="1:13" ht="15">
      <c r="A60" s="1894">
        <f t="shared" si="0"/>
        <v>53</v>
      </c>
      <c r="B60" s="1906" t="s">
        <v>3540</v>
      </c>
      <c r="C60" s="1907" t="s">
        <v>524</v>
      </c>
      <c r="D60" s="1906" t="s">
        <v>541</v>
      </c>
      <c r="E60" s="1907" t="s">
        <v>259</v>
      </c>
      <c r="F60" s="1906">
        <v>120</v>
      </c>
      <c r="G60" s="1897">
        <v>0.36000000000000004</v>
      </c>
      <c r="H60" s="1897">
        <v>0.26666666666666666</v>
      </c>
      <c r="I60" s="1897">
        <v>0.38693333333333335</v>
      </c>
      <c r="J60" s="1897">
        <v>0.26926666666666665</v>
      </c>
      <c r="K60" s="1897">
        <v>0.24850666666666665</v>
      </c>
      <c r="L60" s="1897">
        <v>0.25663333333333332</v>
      </c>
      <c r="M60" s="1897">
        <v>0.29800111111111111</v>
      </c>
    </row>
    <row r="61" spans="1:13" ht="15">
      <c r="A61" s="1894">
        <f t="shared" si="0"/>
        <v>54</v>
      </c>
      <c r="B61" s="1906" t="s">
        <v>3541</v>
      </c>
      <c r="C61" s="1907" t="s">
        <v>524</v>
      </c>
      <c r="D61" s="1906" t="s">
        <v>541</v>
      </c>
      <c r="E61" s="1907" t="s">
        <v>259</v>
      </c>
      <c r="F61" s="1906">
        <v>121.4</v>
      </c>
      <c r="G61" s="1897">
        <v>5.1400329489291593E-3</v>
      </c>
      <c r="H61" s="1897">
        <v>0.56299176276771001</v>
      </c>
      <c r="I61" s="1897">
        <v>0.51416803953871493</v>
      </c>
      <c r="J61" s="1897">
        <v>0.48198352553542007</v>
      </c>
      <c r="K61" s="1897">
        <v>8.3558484349258652E-2</v>
      </c>
      <c r="L61" s="1897">
        <v>9.9060955518945629E-2</v>
      </c>
      <c r="M61" s="1897">
        <v>0.29115046677649642</v>
      </c>
    </row>
    <row r="62" spans="1:13" ht="15">
      <c r="A62" s="1894">
        <f t="shared" si="0"/>
        <v>55</v>
      </c>
      <c r="B62" s="1906" t="s">
        <v>2960</v>
      </c>
      <c r="C62" s="1907" t="s">
        <v>524</v>
      </c>
      <c r="D62" s="1906" t="s">
        <v>636</v>
      </c>
      <c r="E62" s="1907" t="s">
        <v>259</v>
      </c>
      <c r="F62" s="1906">
        <v>122</v>
      </c>
      <c r="G62" s="1897">
        <v>0.86065573770491799</v>
      </c>
      <c r="H62" s="1897">
        <v>1.2668852459016393</v>
      </c>
      <c r="I62" s="1897">
        <v>1.2009836065573771</v>
      </c>
      <c r="J62" s="1897">
        <v>1.0563934426229509</v>
      </c>
      <c r="K62" s="1897">
        <v>1.0721311475409836</v>
      </c>
      <c r="L62" s="1897">
        <v>1.2422950819672132</v>
      </c>
      <c r="M62" s="1897">
        <v>1.1165573770491803</v>
      </c>
    </row>
    <row r="63" spans="1:13" ht="15">
      <c r="A63" s="1894">
        <f t="shared" si="0"/>
        <v>56</v>
      </c>
      <c r="B63" s="1906" t="s">
        <v>2962</v>
      </c>
      <c r="C63" s="1907" t="s">
        <v>524</v>
      </c>
      <c r="D63" s="1906" t="s">
        <v>541</v>
      </c>
      <c r="E63" s="1907" t="s">
        <v>259</v>
      </c>
      <c r="F63" s="1906">
        <v>122</v>
      </c>
      <c r="G63" s="1897">
        <v>8.6393442622950817E-3</v>
      </c>
      <c r="H63" s="1897">
        <v>0.67807213114754095</v>
      </c>
      <c r="I63" s="1897">
        <v>0.57898360655737702</v>
      </c>
      <c r="J63" s="1897">
        <v>0.7013508196721312</v>
      </c>
      <c r="K63" s="1897">
        <v>0.90819180327868854</v>
      </c>
      <c r="L63" s="1897">
        <v>0.89840983606557367</v>
      </c>
      <c r="M63" s="1897">
        <v>0.62894125683060109</v>
      </c>
    </row>
    <row r="64" spans="1:13" ht="15">
      <c r="A64" s="1894">
        <f t="shared" si="0"/>
        <v>57</v>
      </c>
      <c r="B64" s="1906" t="s">
        <v>2961</v>
      </c>
      <c r="C64" s="1907" t="s">
        <v>524</v>
      </c>
      <c r="D64" s="1906" t="s">
        <v>737</v>
      </c>
      <c r="E64" s="1907" t="s">
        <v>259</v>
      </c>
      <c r="F64" s="1906">
        <v>122</v>
      </c>
      <c r="G64" s="1897">
        <v>0.78098360655737709</v>
      </c>
      <c r="H64" s="1897">
        <v>0.79803278688524593</v>
      </c>
      <c r="I64" s="1897">
        <v>0.79147540983606557</v>
      </c>
      <c r="J64" s="1897">
        <v>0.87213114754098364</v>
      </c>
      <c r="K64" s="1897">
        <v>0.82688524590163925</v>
      </c>
      <c r="L64" s="1897">
        <v>0.79081967213114757</v>
      </c>
      <c r="M64" s="1897">
        <v>0.81005464480874334</v>
      </c>
    </row>
    <row r="65" spans="1:13" ht="15">
      <c r="A65" s="1894">
        <f t="shared" si="0"/>
        <v>58</v>
      </c>
      <c r="B65" s="1906" t="s">
        <v>3542</v>
      </c>
      <c r="C65" s="1907" t="s">
        <v>524</v>
      </c>
      <c r="D65" s="1906" t="s">
        <v>541</v>
      </c>
      <c r="E65" s="1907" t="s">
        <v>259</v>
      </c>
      <c r="F65" s="1906">
        <v>122</v>
      </c>
      <c r="G65" s="1897">
        <v>0.28655737704918033</v>
      </c>
      <c r="H65" s="1897">
        <v>0.6</v>
      </c>
      <c r="I65" s="1897">
        <v>0.55016393442622957</v>
      </c>
      <c r="J65" s="1897">
        <v>0.78163934426229509</v>
      </c>
      <c r="K65" s="1897">
        <v>0.68983606557377042</v>
      </c>
      <c r="L65" s="1897">
        <v>0.70163934426229502</v>
      </c>
      <c r="M65" s="1897">
        <v>0.60163934426229504</v>
      </c>
    </row>
    <row r="66" spans="1:13" ht="15">
      <c r="A66" s="1894">
        <f t="shared" si="0"/>
        <v>59</v>
      </c>
      <c r="B66" s="1906" t="s">
        <v>2959</v>
      </c>
      <c r="C66" s="1907" t="s">
        <v>524</v>
      </c>
      <c r="D66" s="1906" t="s">
        <v>636</v>
      </c>
      <c r="E66" s="1907" t="s">
        <v>259</v>
      </c>
      <c r="F66" s="1906">
        <v>122</v>
      </c>
      <c r="G66" s="1897">
        <v>0.22754098360655739</v>
      </c>
      <c r="H66" s="1897">
        <v>0.2321311475409836</v>
      </c>
      <c r="I66" s="1897">
        <v>0.22819672131147539</v>
      </c>
      <c r="J66" s="1897">
        <v>0.19803278688524589</v>
      </c>
      <c r="K66" s="1897">
        <v>0.19672131147540983</v>
      </c>
      <c r="L66" s="1897">
        <v>0.19934426229508198</v>
      </c>
      <c r="M66" s="1897">
        <v>0.21366120218579235</v>
      </c>
    </row>
    <row r="67" spans="1:13" ht="15">
      <c r="A67" s="1894">
        <f t="shared" si="0"/>
        <v>60</v>
      </c>
      <c r="B67" s="1906" t="s">
        <v>2963</v>
      </c>
      <c r="C67" s="1907" t="s">
        <v>524</v>
      </c>
      <c r="D67" s="1906" t="s">
        <v>541</v>
      </c>
      <c r="E67" s="1907" t="s">
        <v>259</v>
      </c>
      <c r="F67" s="1906">
        <v>122</v>
      </c>
      <c r="G67" s="1897">
        <v>0.57114754098360654</v>
      </c>
      <c r="H67" s="1897">
        <v>0.60983606557377057</v>
      </c>
      <c r="I67" s="1897">
        <v>0.55344262295081958</v>
      </c>
      <c r="J67" s="1897">
        <v>0.52327868852459014</v>
      </c>
      <c r="K67" s="1897">
        <v>0.53639344262295086</v>
      </c>
      <c r="L67" s="1897">
        <v>0.5298360655737705</v>
      </c>
      <c r="M67" s="1897">
        <v>0.55398907103825146</v>
      </c>
    </row>
    <row r="68" spans="1:13" ht="15">
      <c r="A68" s="1894">
        <f t="shared" si="0"/>
        <v>61</v>
      </c>
      <c r="B68" s="1906" t="s">
        <v>2958</v>
      </c>
      <c r="C68" s="1907" t="s">
        <v>524</v>
      </c>
      <c r="D68" s="1906" t="s">
        <v>541</v>
      </c>
      <c r="E68" s="1907" t="s">
        <v>259</v>
      </c>
      <c r="F68" s="1906">
        <v>122</v>
      </c>
      <c r="G68" s="1897">
        <v>0.38655737704918036</v>
      </c>
      <c r="H68" s="1897">
        <v>0.39245901639344261</v>
      </c>
      <c r="I68" s="1897">
        <v>0.38459016393442624</v>
      </c>
      <c r="J68" s="1897">
        <v>0.38163934426229512</v>
      </c>
      <c r="K68" s="1897">
        <v>0.36983606557377052</v>
      </c>
      <c r="L68" s="1897">
        <v>0.62459016393442623</v>
      </c>
      <c r="M68" s="1897">
        <v>0.42327868852459022</v>
      </c>
    </row>
    <row r="69" spans="1:13" ht="15">
      <c r="A69" s="1894">
        <f t="shared" si="0"/>
        <v>62</v>
      </c>
      <c r="B69" s="1906" t="s">
        <v>3543</v>
      </c>
      <c r="C69" s="1907" t="s">
        <v>524</v>
      </c>
      <c r="D69" s="1906" t="s">
        <v>737</v>
      </c>
      <c r="E69" s="1907" t="s">
        <v>259</v>
      </c>
      <c r="F69" s="1906">
        <v>122</v>
      </c>
      <c r="G69" s="1897">
        <v>0</v>
      </c>
      <c r="H69" s="1897">
        <v>0</v>
      </c>
      <c r="I69" s="1897">
        <v>0</v>
      </c>
      <c r="J69" s="1897">
        <v>1.5304918032786885E-2</v>
      </c>
      <c r="K69" s="1897">
        <v>7.1409836065573773E-2</v>
      </c>
      <c r="L69" s="1897">
        <v>0.14018852459016393</v>
      </c>
      <c r="M69" s="1897">
        <v>3.7817213114754097E-2</v>
      </c>
    </row>
    <row r="70" spans="1:13" ht="15">
      <c r="A70" s="1894">
        <f t="shared" si="0"/>
        <v>63</v>
      </c>
      <c r="B70" s="1906" t="s">
        <v>2957</v>
      </c>
      <c r="C70" s="1907" t="s">
        <v>524</v>
      </c>
      <c r="D70" s="1906" t="s">
        <v>636</v>
      </c>
      <c r="E70" s="1907" t="s">
        <v>259</v>
      </c>
      <c r="F70" s="1906">
        <v>122</v>
      </c>
      <c r="G70" s="1897">
        <v>0.8668852459016394</v>
      </c>
      <c r="H70" s="1897">
        <v>0.98426229508196728</v>
      </c>
      <c r="I70" s="1897">
        <v>0.78229508196721309</v>
      </c>
      <c r="J70" s="1897">
        <v>0.89442622950819661</v>
      </c>
      <c r="K70" s="1897">
        <v>0.51147540983606554</v>
      </c>
      <c r="L70" s="1897">
        <v>0.71344262295081962</v>
      </c>
      <c r="M70" s="1897">
        <v>0.79213114754098368</v>
      </c>
    </row>
    <row r="71" spans="1:13" ht="15">
      <c r="A71" s="1894">
        <f t="shared" si="0"/>
        <v>64</v>
      </c>
      <c r="B71" s="1906" t="s">
        <v>2964</v>
      </c>
      <c r="C71" s="1907" t="s">
        <v>524</v>
      </c>
      <c r="D71" s="1906" t="s">
        <v>737</v>
      </c>
      <c r="E71" s="1907" t="s">
        <v>259</v>
      </c>
      <c r="F71" s="1906">
        <v>122</v>
      </c>
      <c r="G71" s="1897">
        <v>0.20557377049180325</v>
      </c>
      <c r="H71" s="1897">
        <v>0.1160655737704918</v>
      </c>
      <c r="I71" s="1897">
        <v>0.21934426229508197</v>
      </c>
      <c r="J71" s="1897">
        <v>0.23508196721311475</v>
      </c>
      <c r="K71" s="1897">
        <v>0.1957377049180328</v>
      </c>
      <c r="L71" s="1897">
        <v>0.19868852459016392</v>
      </c>
      <c r="M71" s="1897">
        <v>0.19508196721311474</v>
      </c>
    </row>
    <row r="72" spans="1:13" ht="15">
      <c r="A72" s="1894">
        <f t="shared" si="0"/>
        <v>65</v>
      </c>
      <c r="B72" s="1906" t="s">
        <v>2965</v>
      </c>
      <c r="C72" s="1907" t="s">
        <v>524</v>
      </c>
      <c r="D72" s="1906" t="s">
        <v>2966</v>
      </c>
      <c r="E72" s="1907" t="s">
        <v>259</v>
      </c>
      <c r="F72" s="1906">
        <v>122.5</v>
      </c>
      <c r="G72" s="1897">
        <v>0.52114285714285713</v>
      </c>
      <c r="H72" s="1897">
        <v>0.77779591836734696</v>
      </c>
      <c r="I72" s="1897">
        <v>0.97763265306122449</v>
      </c>
      <c r="J72" s="1897">
        <v>0.92865306122448976</v>
      </c>
      <c r="K72" s="1897">
        <v>0.89730612244897956</v>
      </c>
      <c r="L72" s="1897">
        <v>0.8698775510204082</v>
      </c>
      <c r="M72" s="1897">
        <v>0.82873469387755117</v>
      </c>
    </row>
    <row r="73" spans="1:13" ht="15">
      <c r="A73" s="1894">
        <f t="shared" si="0"/>
        <v>66</v>
      </c>
      <c r="B73" s="1906" t="s">
        <v>2969</v>
      </c>
      <c r="C73" s="1907" t="s">
        <v>524</v>
      </c>
      <c r="D73" s="1906" t="s">
        <v>541</v>
      </c>
      <c r="E73" s="1907" t="s">
        <v>259</v>
      </c>
      <c r="F73" s="1906">
        <v>123</v>
      </c>
      <c r="G73" s="1897">
        <v>2.2562601626016257</v>
      </c>
      <c r="H73" s="1897">
        <v>2.495609756097561</v>
      </c>
      <c r="I73" s="1897">
        <v>2.4637398373983741</v>
      </c>
      <c r="J73" s="1897">
        <v>2.5385365853658537</v>
      </c>
      <c r="K73" s="1897">
        <v>1.4497560975609756</v>
      </c>
      <c r="L73" s="1897">
        <v>2.1593495934959352</v>
      </c>
      <c r="M73" s="1897">
        <v>2.227208672086721</v>
      </c>
    </row>
    <row r="74" spans="1:13" ht="15">
      <c r="A74" s="1894">
        <f t="shared" ref="A74:A137" si="1">+A73+1</f>
        <v>67</v>
      </c>
      <c r="B74" s="1906" t="s">
        <v>2968</v>
      </c>
      <c r="C74" s="1907" t="s">
        <v>524</v>
      </c>
      <c r="D74" s="1906" t="s">
        <v>636</v>
      </c>
      <c r="E74" s="1907" t="s">
        <v>259</v>
      </c>
      <c r="F74" s="1906">
        <v>123</v>
      </c>
      <c r="G74" s="1897">
        <v>1.2806504065040649</v>
      </c>
      <c r="H74" s="1897">
        <v>0.94439024390243897</v>
      </c>
      <c r="I74" s="1897">
        <v>0.4065040650406504</v>
      </c>
      <c r="J74" s="1897">
        <v>0.99512195121951208</v>
      </c>
      <c r="K74" s="1897">
        <v>0.73040650406504071</v>
      </c>
      <c r="L74" s="1897">
        <v>0.90601626016260173</v>
      </c>
      <c r="M74" s="1897">
        <v>0.8771815718157181</v>
      </c>
    </row>
    <row r="75" spans="1:13" ht="15">
      <c r="A75" s="1894">
        <f t="shared" si="1"/>
        <v>68</v>
      </c>
      <c r="B75" s="1906" t="s">
        <v>2970</v>
      </c>
      <c r="C75" s="1907" t="s">
        <v>524</v>
      </c>
      <c r="D75" s="1906" t="s">
        <v>541</v>
      </c>
      <c r="E75" s="1907" t="s">
        <v>259</v>
      </c>
      <c r="F75" s="1906">
        <v>123</v>
      </c>
      <c r="G75" s="1897">
        <v>1.0653658536585364</v>
      </c>
      <c r="H75" s="1897">
        <v>1.1278048780487804</v>
      </c>
      <c r="I75" s="1897">
        <v>1.0341463414634147</v>
      </c>
      <c r="J75" s="1897">
        <v>1.2930081300813008</v>
      </c>
      <c r="K75" s="1897">
        <v>1.4204878048780487</v>
      </c>
      <c r="L75" s="1897">
        <v>1.3782113821138213</v>
      </c>
      <c r="M75" s="1897">
        <v>1.2198373983739836</v>
      </c>
    </row>
    <row r="76" spans="1:13" ht="15">
      <c r="A76" s="1894">
        <f t="shared" si="1"/>
        <v>69</v>
      </c>
      <c r="B76" s="1906" t="s">
        <v>2967</v>
      </c>
      <c r="C76" s="1907" t="s">
        <v>524</v>
      </c>
      <c r="D76" s="1906" t="s">
        <v>541</v>
      </c>
      <c r="E76" s="1907" t="s">
        <v>259</v>
      </c>
      <c r="F76" s="1906">
        <v>123</v>
      </c>
      <c r="G76" s="1897">
        <v>0.58341463414634154</v>
      </c>
      <c r="H76" s="1897">
        <v>0.52227642276422759</v>
      </c>
      <c r="I76" s="1897">
        <v>0.55934959349593494</v>
      </c>
      <c r="J76" s="1897">
        <v>0.67382113821138212</v>
      </c>
      <c r="K76" s="1897">
        <v>0.76487804878048782</v>
      </c>
      <c r="L76" s="1897">
        <v>0.64390243902439026</v>
      </c>
      <c r="M76" s="1897">
        <v>0.62460704607046069</v>
      </c>
    </row>
    <row r="77" spans="1:13" ht="15">
      <c r="A77" s="1894">
        <f t="shared" si="1"/>
        <v>70</v>
      </c>
      <c r="B77" s="1906" t="s">
        <v>2971</v>
      </c>
      <c r="C77" s="1907" t="s">
        <v>524</v>
      </c>
      <c r="D77" s="1906" t="s">
        <v>636</v>
      </c>
      <c r="E77" s="1907" t="s">
        <v>259</v>
      </c>
      <c r="F77" s="1906">
        <v>123</v>
      </c>
      <c r="G77" s="1897">
        <v>0.13658536585365855</v>
      </c>
      <c r="H77" s="1897">
        <v>0.1346341463414634</v>
      </c>
      <c r="I77" s="1897">
        <v>0.1678048780487805</v>
      </c>
      <c r="J77" s="1897">
        <v>0.1678048780487805</v>
      </c>
      <c r="K77" s="1897">
        <v>0.22048780487804875</v>
      </c>
      <c r="L77" s="1897">
        <v>0.26926829268292679</v>
      </c>
      <c r="M77" s="1897">
        <v>0.18276422764227643</v>
      </c>
    </row>
    <row r="78" spans="1:13" ht="15">
      <c r="A78" s="1894">
        <f t="shared" si="1"/>
        <v>71</v>
      </c>
      <c r="B78" s="1906" t="s">
        <v>2972</v>
      </c>
      <c r="C78" s="1907" t="s">
        <v>524</v>
      </c>
      <c r="D78" s="1906" t="s">
        <v>629</v>
      </c>
      <c r="E78" s="1907" t="s">
        <v>259</v>
      </c>
      <c r="F78" s="1906">
        <v>123</v>
      </c>
      <c r="G78" s="1897">
        <v>0.29073170731707315</v>
      </c>
      <c r="H78" s="1897">
        <v>0.42991869918699188</v>
      </c>
      <c r="I78" s="1897">
        <v>0.50666666666666671</v>
      </c>
      <c r="J78" s="1897">
        <v>0.32455284552845531</v>
      </c>
      <c r="K78" s="1897">
        <v>0.24390243902439024</v>
      </c>
      <c r="L78" s="1897">
        <v>0.26211382113821141</v>
      </c>
      <c r="M78" s="1897">
        <v>0.34298102981029815</v>
      </c>
    </row>
    <row r="79" spans="1:13" ht="15">
      <c r="A79" s="1894">
        <f t="shared" si="1"/>
        <v>72</v>
      </c>
      <c r="B79" s="1906" t="s">
        <v>2973</v>
      </c>
      <c r="C79" s="1907" t="s">
        <v>524</v>
      </c>
      <c r="D79" s="1906" t="s">
        <v>541</v>
      </c>
      <c r="E79" s="1907" t="s">
        <v>259</v>
      </c>
      <c r="F79" s="1906">
        <v>123.6</v>
      </c>
      <c r="G79" s="1897">
        <v>0.88155339805825239</v>
      </c>
      <c r="H79" s="1897">
        <v>0.64012944983818776</v>
      </c>
      <c r="I79" s="1897">
        <v>0.68220064724919094</v>
      </c>
      <c r="J79" s="1897">
        <v>0.98187702265372168</v>
      </c>
      <c r="K79" s="1897">
        <v>0.97346278317152113</v>
      </c>
      <c r="L79" s="1897">
        <v>1.0194174757281553</v>
      </c>
      <c r="M79" s="1897">
        <v>0.86310679611650487</v>
      </c>
    </row>
    <row r="80" spans="1:13" ht="15">
      <c r="A80" s="1894">
        <f t="shared" si="1"/>
        <v>73</v>
      </c>
      <c r="B80" s="1906" t="s">
        <v>2974</v>
      </c>
      <c r="C80" s="1907" t="s">
        <v>524</v>
      </c>
      <c r="D80" s="1906" t="s">
        <v>541</v>
      </c>
      <c r="E80" s="1907" t="s">
        <v>259</v>
      </c>
      <c r="F80" s="1906">
        <v>125</v>
      </c>
      <c r="G80" s="1897">
        <v>0.88</v>
      </c>
      <c r="H80" s="1897">
        <v>0.80342400000000003</v>
      </c>
      <c r="I80" s="1897">
        <v>0.86175999999999997</v>
      </c>
      <c r="J80" s="1897">
        <v>0.80817280000000002</v>
      </c>
      <c r="K80" s="1897">
        <v>0.93006719999999998</v>
      </c>
      <c r="L80" s="1897">
        <v>0.68617600000000001</v>
      </c>
      <c r="M80" s="1897">
        <v>0.8282666666666666</v>
      </c>
    </row>
    <row r="81" spans="1:13" ht="15">
      <c r="A81" s="1894">
        <f t="shared" si="1"/>
        <v>74</v>
      </c>
      <c r="B81" s="1906" t="s">
        <v>2975</v>
      </c>
      <c r="C81" s="1907" t="s">
        <v>524</v>
      </c>
      <c r="D81" s="1906" t="s">
        <v>2966</v>
      </c>
      <c r="E81" s="1907" t="s">
        <v>259</v>
      </c>
      <c r="F81" s="1906">
        <v>125</v>
      </c>
      <c r="G81" s="1897">
        <v>1.0502400000000001</v>
      </c>
      <c r="H81" s="1897">
        <v>0.96896000000000004</v>
      </c>
      <c r="I81" s="1897">
        <v>1.008</v>
      </c>
      <c r="J81" s="1897">
        <v>0.67071999999999998</v>
      </c>
      <c r="K81" s="1897">
        <v>0.12608</v>
      </c>
      <c r="L81" s="1897">
        <v>7.2319999999999995E-2</v>
      </c>
      <c r="M81" s="1897">
        <v>0.64938666666666667</v>
      </c>
    </row>
    <row r="82" spans="1:13" ht="15">
      <c r="A82" s="1894">
        <f t="shared" si="1"/>
        <v>75</v>
      </c>
      <c r="B82" s="1906" t="s">
        <v>2976</v>
      </c>
      <c r="C82" s="1907" t="s">
        <v>524</v>
      </c>
      <c r="D82" s="1906" t="s">
        <v>2966</v>
      </c>
      <c r="E82" s="1907" t="s">
        <v>259</v>
      </c>
      <c r="F82" s="1906">
        <v>125</v>
      </c>
      <c r="G82" s="1897">
        <v>1.0547200000000001</v>
      </c>
      <c r="H82" s="1897">
        <v>1.23264</v>
      </c>
      <c r="I82" s="1897">
        <v>1.1744000000000001</v>
      </c>
      <c r="J82" s="1897">
        <v>0.35327999999999998</v>
      </c>
      <c r="K82" s="1897">
        <v>0.49343999999999999</v>
      </c>
      <c r="L82" s="1897">
        <v>0.90239999999999987</v>
      </c>
      <c r="M82" s="1897">
        <v>0.86847999999999992</v>
      </c>
    </row>
    <row r="83" spans="1:13" ht="15">
      <c r="A83" s="1894">
        <f t="shared" si="1"/>
        <v>76</v>
      </c>
      <c r="B83" s="1906" t="s">
        <v>2977</v>
      </c>
      <c r="C83" s="1907" t="s">
        <v>524</v>
      </c>
      <c r="D83" s="1906" t="s">
        <v>541</v>
      </c>
      <c r="E83" s="1907" t="s">
        <v>259</v>
      </c>
      <c r="F83" s="1906">
        <v>126</v>
      </c>
      <c r="G83" s="1897">
        <v>1.0946031746031746</v>
      </c>
      <c r="H83" s="1897">
        <v>1.1390476190476191</v>
      </c>
      <c r="I83" s="1897">
        <v>0.9568253968253968</v>
      </c>
      <c r="J83" s="1897">
        <v>1.0647619047619048</v>
      </c>
      <c r="K83" s="1897">
        <v>0.78349206349206346</v>
      </c>
      <c r="L83" s="1897">
        <v>0.82857142857142863</v>
      </c>
      <c r="M83" s="1897">
        <v>0.97788359788359791</v>
      </c>
    </row>
    <row r="84" spans="1:13" ht="15">
      <c r="A84" s="1894">
        <f t="shared" si="1"/>
        <v>77</v>
      </c>
      <c r="B84" s="1906" t="s">
        <v>2978</v>
      </c>
      <c r="C84" s="1907" t="s">
        <v>524</v>
      </c>
      <c r="D84" s="1906" t="s">
        <v>541</v>
      </c>
      <c r="E84" s="1907" t="s">
        <v>259</v>
      </c>
      <c r="F84" s="1906">
        <v>127</v>
      </c>
      <c r="G84" s="1897">
        <v>1.2566929133858269</v>
      </c>
      <c r="H84" s="1897">
        <v>1.2963779527559056</v>
      </c>
      <c r="I84" s="1897">
        <v>1.0651968503937008</v>
      </c>
      <c r="J84" s="1897">
        <v>1.3291338582677164</v>
      </c>
      <c r="K84" s="1897">
        <v>0.93921259842519689</v>
      </c>
      <c r="L84" s="1897">
        <v>0.27023622047244095</v>
      </c>
      <c r="M84" s="1897">
        <v>1.0261417322834645</v>
      </c>
    </row>
    <row r="85" spans="1:13" ht="15">
      <c r="A85" s="1894">
        <f t="shared" si="1"/>
        <v>78</v>
      </c>
      <c r="B85" s="1906" t="s">
        <v>2979</v>
      </c>
      <c r="C85" s="1907" t="s">
        <v>524</v>
      </c>
      <c r="D85" s="1906" t="s">
        <v>541</v>
      </c>
      <c r="E85" s="1907" t="s">
        <v>259</v>
      </c>
      <c r="F85" s="1906">
        <v>127.8</v>
      </c>
      <c r="G85" s="1897">
        <v>1.1589984350547731</v>
      </c>
      <c r="H85" s="1897">
        <v>1.1661971830985915</v>
      </c>
      <c r="I85" s="1897">
        <v>0.84006259780907677</v>
      </c>
      <c r="J85" s="1897">
        <v>0.81502347417840382</v>
      </c>
      <c r="K85" s="1897">
        <v>0.83630672926447569</v>
      </c>
      <c r="L85" s="1897">
        <v>0.83035993740219083</v>
      </c>
      <c r="M85" s="1897">
        <v>0.94115805946791864</v>
      </c>
    </row>
    <row r="86" spans="1:13" ht="15">
      <c r="A86" s="1894">
        <f t="shared" si="1"/>
        <v>79</v>
      </c>
      <c r="B86" s="1906" t="s">
        <v>2980</v>
      </c>
      <c r="C86" s="1907" t="s">
        <v>524</v>
      </c>
      <c r="D86" s="1906" t="s">
        <v>541</v>
      </c>
      <c r="E86" s="1907" t="s">
        <v>259</v>
      </c>
      <c r="F86" s="1906">
        <v>128.80000000000001</v>
      </c>
      <c r="G86" s="1897">
        <v>1.1409937888198758</v>
      </c>
      <c r="H86" s="1897">
        <v>1.1236024844720496</v>
      </c>
      <c r="I86" s="1897">
        <v>1.1583850931677018</v>
      </c>
      <c r="J86" s="1897">
        <v>1.1875776397515527</v>
      </c>
      <c r="K86" s="1897">
        <v>0.9975155279503104</v>
      </c>
      <c r="L86" s="1897">
        <v>1.01055900621118</v>
      </c>
      <c r="M86" s="1897">
        <v>1.1031055900621116</v>
      </c>
    </row>
    <row r="87" spans="1:13" ht="15">
      <c r="A87" s="1894">
        <f t="shared" si="1"/>
        <v>80</v>
      </c>
      <c r="B87" s="1906" t="s">
        <v>2981</v>
      </c>
      <c r="C87" s="1907" t="s">
        <v>524</v>
      </c>
      <c r="D87" s="1906" t="s">
        <v>541</v>
      </c>
      <c r="E87" s="1907" t="s">
        <v>259</v>
      </c>
      <c r="F87" s="1906">
        <v>130</v>
      </c>
      <c r="G87" s="1897">
        <v>0.95507692307692305</v>
      </c>
      <c r="H87" s="1897">
        <v>9.9692307692307691E-2</v>
      </c>
      <c r="I87" s="1897">
        <v>0.8910769230769231</v>
      </c>
      <c r="J87" s="1897">
        <v>5.292307692307692E-2</v>
      </c>
      <c r="K87" s="1897">
        <v>6.4000000000000001E-2</v>
      </c>
      <c r="L87" s="1897">
        <v>6.7076923076923076E-2</v>
      </c>
      <c r="M87" s="1897">
        <v>0.35497435897435897</v>
      </c>
    </row>
    <row r="88" spans="1:13" ht="15">
      <c r="A88" s="1894">
        <f t="shared" si="1"/>
        <v>81</v>
      </c>
      <c r="B88" s="1906" t="s">
        <v>2982</v>
      </c>
      <c r="C88" s="1907" t="s">
        <v>524</v>
      </c>
      <c r="D88" s="1906" t="s">
        <v>541</v>
      </c>
      <c r="E88" s="1907" t="s">
        <v>259</v>
      </c>
      <c r="F88" s="1906">
        <v>130</v>
      </c>
      <c r="G88" s="1897">
        <v>1.0209230769230768</v>
      </c>
      <c r="H88" s="1897">
        <v>0.92246153846153844</v>
      </c>
      <c r="I88" s="1897">
        <v>1.8953846153846154</v>
      </c>
      <c r="J88" s="1897">
        <v>0.94334153846153845</v>
      </c>
      <c r="K88" s="1897">
        <v>0.50728769230769233</v>
      </c>
      <c r="L88" s="1897">
        <v>0.68627692307692301</v>
      </c>
      <c r="M88" s="1897">
        <v>0.99594589743589734</v>
      </c>
    </row>
    <row r="89" spans="1:13" ht="15">
      <c r="A89" s="1894">
        <f t="shared" si="1"/>
        <v>82</v>
      </c>
      <c r="B89" s="1906" t="s">
        <v>2983</v>
      </c>
      <c r="C89" s="1907" t="s">
        <v>524</v>
      </c>
      <c r="D89" s="1906" t="s">
        <v>636</v>
      </c>
      <c r="E89" s="1907" t="s">
        <v>259</v>
      </c>
      <c r="F89" s="1906">
        <v>130</v>
      </c>
      <c r="G89" s="1897">
        <v>0.28553846153846152</v>
      </c>
      <c r="H89" s="1897">
        <v>0.3636923076923077</v>
      </c>
      <c r="I89" s="1897">
        <v>0.3378461538461538</v>
      </c>
      <c r="J89" s="1897">
        <v>0.26584615384615384</v>
      </c>
      <c r="K89" s="1897">
        <v>0.27076923076923076</v>
      </c>
      <c r="L89" s="1897">
        <v>0.25230769230769234</v>
      </c>
      <c r="M89" s="1897">
        <v>0.29599999999999999</v>
      </c>
    </row>
    <row r="90" spans="1:13" ht="15">
      <c r="A90" s="1894">
        <f t="shared" si="1"/>
        <v>83</v>
      </c>
      <c r="B90" s="1906" t="s">
        <v>2984</v>
      </c>
      <c r="C90" s="1907" t="s">
        <v>524</v>
      </c>
      <c r="D90" s="1906" t="s">
        <v>541</v>
      </c>
      <c r="E90" s="1907" t="s">
        <v>259</v>
      </c>
      <c r="F90" s="1906">
        <v>131</v>
      </c>
      <c r="G90" s="1897">
        <v>0.73832061068702293</v>
      </c>
      <c r="H90" s="1897">
        <v>0.6668702290076336</v>
      </c>
      <c r="I90" s="1897">
        <v>0.65496183206106873</v>
      </c>
      <c r="J90" s="1897">
        <v>0.72000000000000008</v>
      </c>
      <c r="K90" s="1897">
        <v>0.65221374045801528</v>
      </c>
      <c r="L90" s="1897">
        <v>0.67603053435114502</v>
      </c>
      <c r="M90" s="1897">
        <v>0.68473282442748096</v>
      </c>
    </row>
    <row r="91" spans="1:13" ht="15">
      <c r="A91" s="1894">
        <f t="shared" si="1"/>
        <v>84</v>
      </c>
      <c r="B91" s="1906" t="s">
        <v>2985</v>
      </c>
      <c r="C91" s="1907" t="s">
        <v>524</v>
      </c>
      <c r="D91" s="1906" t="s">
        <v>541</v>
      </c>
      <c r="E91" s="1907" t="s">
        <v>232</v>
      </c>
      <c r="F91" s="1906">
        <v>132</v>
      </c>
      <c r="G91" s="1897">
        <v>0.90787878787878795</v>
      </c>
      <c r="H91" s="1897">
        <v>0.98181818181818203</v>
      </c>
      <c r="I91" s="1897">
        <v>0.99878787878787878</v>
      </c>
      <c r="J91" s="1897">
        <v>0.76121212121212123</v>
      </c>
      <c r="K91" s="1897">
        <v>8.4848484848484854E-2</v>
      </c>
      <c r="L91" s="1897">
        <v>0.16606060606060608</v>
      </c>
      <c r="M91" s="1897">
        <v>0.65010101010101018</v>
      </c>
    </row>
    <row r="92" spans="1:13" ht="15">
      <c r="A92" s="1894">
        <f t="shared" si="1"/>
        <v>85</v>
      </c>
      <c r="B92" s="1906" t="s">
        <v>2986</v>
      </c>
      <c r="C92" s="1907" t="s">
        <v>524</v>
      </c>
      <c r="D92" s="1906" t="s">
        <v>541</v>
      </c>
      <c r="E92" s="1907" t="s">
        <v>259</v>
      </c>
      <c r="F92" s="1906">
        <v>132</v>
      </c>
      <c r="G92" s="1897">
        <v>8.8181818181818181E-2</v>
      </c>
      <c r="H92" s="1897">
        <v>0.56104242424242423</v>
      </c>
      <c r="I92" s="1897">
        <v>0.64946969696969703</v>
      </c>
      <c r="J92" s="1897">
        <v>0.60967878787878782</v>
      </c>
      <c r="K92" s="1897">
        <v>0.53724242424242419</v>
      </c>
      <c r="L92" s="1897">
        <v>0.53495454545454546</v>
      </c>
      <c r="M92" s="1897">
        <v>0.49676161616161618</v>
      </c>
    </row>
    <row r="93" spans="1:13" ht="15">
      <c r="A93" s="1894">
        <f t="shared" si="1"/>
        <v>86</v>
      </c>
      <c r="B93" s="1906" t="s">
        <v>3544</v>
      </c>
      <c r="C93" s="1907" t="s">
        <v>524</v>
      </c>
      <c r="D93" s="1906" t="s">
        <v>636</v>
      </c>
      <c r="E93" s="1907" t="s">
        <v>259</v>
      </c>
      <c r="F93" s="1906">
        <v>133</v>
      </c>
      <c r="G93" s="1897">
        <v>0</v>
      </c>
      <c r="H93" s="1897">
        <v>0</v>
      </c>
      <c r="I93" s="1897">
        <v>0</v>
      </c>
      <c r="J93" s="1897">
        <v>0</v>
      </c>
      <c r="K93" s="1897">
        <v>0.39699248120300751</v>
      </c>
      <c r="L93" s="1897">
        <v>0.5473684210526315</v>
      </c>
      <c r="M93" s="1897">
        <v>0.15739348370927317</v>
      </c>
    </row>
    <row r="94" spans="1:13" ht="15">
      <c r="A94" s="1894">
        <f t="shared" si="1"/>
        <v>87</v>
      </c>
      <c r="B94" s="1906" t="s">
        <v>2991</v>
      </c>
      <c r="C94" s="1907" t="s">
        <v>524</v>
      </c>
      <c r="D94" s="1906" t="s">
        <v>737</v>
      </c>
      <c r="E94" s="1907" t="s">
        <v>259</v>
      </c>
      <c r="F94" s="1906">
        <v>133</v>
      </c>
      <c r="G94" s="1897">
        <v>1.2162406015037592</v>
      </c>
      <c r="H94" s="1897">
        <v>1.2457142857142858</v>
      </c>
      <c r="I94" s="1897">
        <v>1.2378947368421054</v>
      </c>
      <c r="J94" s="1897">
        <v>1.1248120300751878</v>
      </c>
      <c r="K94" s="1897">
        <v>1.1699248120300751</v>
      </c>
      <c r="L94" s="1897">
        <v>1.1717293233082706</v>
      </c>
      <c r="M94" s="1897">
        <v>1.1943859649122808</v>
      </c>
    </row>
    <row r="95" spans="1:13" ht="15">
      <c r="A95" s="1894">
        <f t="shared" si="1"/>
        <v>88</v>
      </c>
      <c r="B95" s="1906" t="s">
        <v>2990</v>
      </c>
      <c r="C95" s="1907" t="s">
        <v>524</v>
      </c>
      <c r="D95" s="1906" t="s">
        <v>636</v>
      </c>
      <c r="E95" s="1907" t="s">
        <v>259</v>
      </c>
      <c r="F95" s="1906">
        <v>133</v>
      </c>
      <c r="G95" s="1897">
        <v>0.76872180451127814</v>
      </c>
      <c r="H95" s="1897">
        <v>0.80240601503759401</v>
      </c>
      <c r="I95" s="1897">
        <v>0.78917293233082708</v>
      </c>
      <c r="J95" s="1897">
        <v>0.73503759398496249</v>
      </c>
      <c r="K95" s="1897">
        <v>0.70796992481203003</v>
      </c>
      <c r="L95" s="1897">
        <v>0.74586466165413534</v>
      </c>
      <c r="M95" s="1897">
        <v>0.75819548872180442</v>
      </c>
    </row>
    <row r="96" spans="1:13" ht="15">
      <c r="A96" s="1894">
        <f t="shared" si="1"/>
        <v>89</v>
      </c>
      <c r="B96" s="1906" t="s">
        <v>2987</v>
      </c>
      <c r="C96" s="1907" t="s">
        <v>524</v>
      </c>
      <c r="D96" s="1906" t="s">
        <v>541</v>
      </c>
      <c r="E96" s="1907" t="s">
        <v>259</v>
      </c>
      <c r="F96" s="1906">
        <v>133</v>
      </c>
      <c r="G96" s="1897">
        <v>0.62015037593984967</v>
      </c>
      <c r="H96" s="1897">
        <v>1.0778947368421052</v>
      </c>
      <c r="I96" s="1897">
        <v>1.0099248120300752</v>
      </c>
      <c r="J96" s="1897">
        <v>0.57744360902255631</v>
      </c>
      <c r="K96" s="1897">
        <v>0.59187969924812034</v>
      </c>
      <c r="L96" s="1897">
        <v>0.60090225563909772</v>
      </c>
      <c r="M96" s="1897">
        <v>0.74636591478696745</v>
      </c>
    </row>
    <row r="97" spans="1:13" ht="15">
      <c r="A97" s="1894">
        <f t="shared" si="1"/>
        <v>90</v>
      </c>
      <c r="B97" s="1906" t="s">
        <v>2989</v>
      </c>
      <c r="C97" s="1907" t="s">
        <v>524</v>
      </c>
      <c r="D97" s="1906" t="s">
        <v>2966</v>
      </c>
      <c r="E97" s="1907" t="s">
        <v>259</v>
      </c>
      <c r="F97" s="1906">
        <v>133</v>
      </c>
      <c r="G97" s="1897">
        <v>1.1831578947368422</v>
      </c>
      <c r="H97" s="1897">
        <v>1.2445112781954888</v>
      </c>
      <c r="I97" s="1897">
        <v>0.97624060150375946</v>
      </c>
      <c r="J97" s="1897">
        <v>1.2667669172932332</v>
      </c>
      <c r="K97" s="1897">
        <v>1.3642105263157895</v>
      </c>
      <c r="L97" s="1897">
        <v>0.47218045112781953</v>
      </c>
      <c r="M97" s="1897">
        <v>1.0845112781954889</v>
      </c>
    </row>
    <row r="98" spans="1:13" ht="15">
      <c r="A98" s="1894">
        <f t="shared" si="1"/>
        <v>91</v>
      </c>
      <c r="B98" s="1906" t="s">
        <v>3545</v>
      </c>
      <c r="C98" s="1907" t="s">
        <v>524</v>
      </c>
      <c r="D98" s="1906" t="s">
        <v>541</v>
      </c>
      <c r="E98" s="1907" t="s">
        <v>259</v>
      </c>
      <c r="F98" s="1906">
        <v>133</v>
      </c>
      <c r="G98" s="1897">
        <v>5.6529323308270672E-2</v>
      </c>
      <c r="H98" s="1897">
        <v>7.2781954887218045E-2</v>
      </c>
      <c r="I98" s="1897">
        <v>0.71518796992481204</v>
      </c>
      <c r="J98" s="1897">
        <v>0.70574436090225567</v>
      </c>
      <c r="K98" s="1897">
        <v>0.71479097744360898</v>
      </c>
      <c r="L98" s="1897">
        <v>1.1064360902255639</v>
      </c>
      <c r="M98" s="1897">
        <v>0.56191177944862158</v>
      </c>
    </row>
    <row r="99" spans="1:13" ht="15">
      <c r="A99" s="1894">
        <f t="shared" si="1"/>
        <v>92</v>
      </c>
      <c r="B99" s="1906" t="s">
        <v>3546</v>
      </c>
      <c r="C99" s="1907" t="s">
        <v>524</v>
      </c>
      <c r="D99" s="1906" t="s">
        <v>2966</v>
      </c>
      <c r="E99" s="1907" t="s">
        <v>259</v>
      </c>
      <c r="F99" s="1906">
        <v>133</v>
      </c>
      <c r="G99" s="1897">
        <v>0.37954887218045108</v>
      </c>
      <c r="H99" s="1897">
        <v>0.36090225563909772</v>
      </c>
      <c r="I99" s="1897">
        <v>0.35428571428571426</v>
      </c>
      <c r="J99" s="1897">
        <v>0.28812030075187972</v>
      </c>
      <c r="K99" s="1897">
        <v>0.30616541353383459</v>
      </c>
      <c r="L99" s="1897">
        <v>0.43609022556390969</v>
      </c>
      <c r="M99" s="1897">
        <v>0.35418546365914788</v>
      </c>
    </row>
    <row r="100" spans="1:13" ht="15">
      <c r="A100" s="1894">
        <f t="shared" si="1"/>
        <v>93</v>
      </c>
      <c r="B100" s="1906" t="s">
        <v>2992</v>
      </c>
      <c r="C100" s="1907" t="s">
        <v>524</v>
      </c>
      <c r="D100" s="1906" t="s">
        <v>541</v>
      </c>
      <c r="E100" s="1907" t="s">
        <v>259</v>
      </c>
      <c r="F100" s="1906">
        <v>133</v>
      </c>
      <c r="G100" s="1897">
        <v>0.95097744360902248</v>
      </c>
      <c r="H100" s="1897">
        <v>0.52330827067669183</v>
      </c>
      <c r="I100" s="1897">
        <v>9.203007518796992E-2</v>
      </c>
      <c r="J100" s="1897">
        <v>0</v>
      </c>
      <c r="K100" s="1897">
        <v>0</v>
      </c>
      <c r="L100" s="1897">
        <v>0</v>
      </c>
      <c r="M100" s="1897">
        <v>0.26105263157894737</v>
      </c>
    </row>
    <row r="101" spans="1:13" ht="15">
      <c r="A101" s="1894">
        <f t="shared" si="1"/>
        <v>94</v>
      </c>
      <c r="B101" s="1906" t="s">
        <v>2993</v>
      </c>
      <c r="C101" s="1907" t="s">
        <v>524</v>
      </c>
      <c r="D101" s="1906" t="s">
        <v>636</v>
      </c>
      <c r="E101" s="1907" t="s">
        <v>259</v>
      </c>
      <c r="F101" s="1906">
        <v>133</v>
      </c>
      <c r="G101" s="1897">
        <v>0.82706766917293228</v>
      </c>
      <c r="H101" s="1897">
        <v>0.82706766917293228</v>
      </c>
      <c r="I101" s="1897">
        <v>0.69984962406015039</v>
      </c>
      <c r="J101" s="1897">
        <v>0.7782436090225564</v>
      </c>
      <c r="K101" s="1897">
        <v>0.86625112781954883</v>
      </c>
      <c r="L101" s="1897">
        <v>0.81652631578947366</v>
      </c>
      <c r="M101" s="1897">
        <v>0.80250100250626566</v>
      </c>
    </row>
    <row r="102" spans="1:13" ht="15">
      <c r="A102" s="1894">
        <f t="shared" si="1"/>
        <v>95</v>
      </c>
      <c r="B102" s="1895" t="s">
        <v>2988</v>
      </c>
      <c r="C102" s="1907" t="s">
        <v>524</v>
      </c>
      <c r="D102" s="1895" t="s">
        <v>730</v>
      </c>
      <c r="E102" s="1894" t="s">
        <v>259</v>
      </c>
      <c r="F102" s="1906">
        <v>133</v>
      </c>
      <c r="G102" s="1897">
        <v>1.2333834586466166</v>
      </c>
      <c r="H102" s="1897">
        <v>1.2225563909774437</v>
      </c>
      <c r="I102" s="1897">
        <v>1.2406015037593985</v>
      </c>
      <c r="J102" s="1897">
        <v>0.84631578947368413</v>
      </c>
      <c r="K102" s="1897">
        <v>0.92390977443609035</v>
      </c>
      <c r="L102" s="1897">
        <v>0.86977443609022553</v>
      </c>
      <c r="M102" s="1897">
        <v>1.0560902255639097</v>
      </c>
    </row>
    <row r="103" spans="1:13" ht="15">
      <c r="A103" s="1894">
        <f t="shared" si="1"/>
        <v>96</v>
      </c>
      <c r="B103" s="1906" t="s">
        <v>2994</v>
      </c>
      <c r="C103" s="1907" t="s">
        <v>524</v>
      </c>
      <c r="D103" s="1906" t="s">
        <v>629</v>
      </c>
      <c r="E103" s="1907" t="s">
        <v>259</v>
      </c>
      <c r="F103" s="1906">
        <v>133.33000000000001</v>
      </c>
      <c r="G103" s="1897">
        <v>0.39600990024750621</v>
      </c>
      <c r="H103" s="1897">
        <v>0.29460736518412961</v>
      </c>
      <c r="I103" s="1897">
        <v>0.41881047026175655</v>
      </c>
      <c r="J103" s="1897">
        <v>0.36720918022950572</v>
      </c>
      <c r="K103" s="1897">
        <v>0.40501012525313129</v>
      </c>
      <c r="L103" s="1897">
        <v>0.45841146028650709</v>
      </c>
      <c r="M103" s="1897">
        <v>0.39000975024375606</v>
      </c>
    </row>
    <row r="104" spans="1:13" ht="15">
      <c r="A104" s="1894">
        <f t="shared" si="1"/>
        <v>97</v>
      </c>
      <c r="B104" s="1906" t="s">
        <v>2995</v>
      </c>
      <c r="C104" s="1907" t="s">
        <v>524</v>
      </c>
      <c r="D104" s="1906" t="s">
        <v>629</v>
      </c>
      <c r="E104" s="1907" t="s">
        <v>259</v>
      </c>
      <c r="F104" s="1906">
        <v>133.33000000000001</v>
      </c>
      <c r="G104" s="1897">
        <v>0.65401635040876016</v>
      </c>
      <c r="H104" s="1897">
        <v>0.68701717542938578</v>
      </c>
      <c r="I104" s="1897">
        <v>0.70801770044251089</v>
      </c>
      <c r="J104" s="1897">
        <v>0.72301807545188612</v>
      </c>
      <c r="K104" s="1897">
        <v>0.77701942548563718</v>
      </c>
      <c r="L104" s="1897">
        <v>0.72901822545563633</v>
      </c>
      <c r="M104" s="1897">
        <v>0.71301782544563608</v>
      </c>
    </row>
    <row r="105" spans="1:13" ht="15">
      <c r="A105" s="1894">
        <f t="shared" si="1"/>
        <v>98</v>
      </c>
      <c r="B105" s="1906" t="s">
        <v>3000</v>
      </c>
      <c r="C105" s="1907" t="s">
        <v>524</v>
      </c>
      <c r="D105" s="1906" t="s">
        <v>541</v>
      </c>
      <c r="E105" s="1907" t="s">
        <v>259</v>
      </c>
      <c r="F105" s="1906">
        <v>134</v>
      </c>
      <c r="G105" s="1897">
        <v>1.0134328358208957</v>
      </c>
      <c r="H105" s="1897">
        <v>0.97910447761194042</v>
      </c>
      <c r="I105" s="1897">
        <v>1.0119402985074626</v>
      </c>
      <c r="J105" s="1897">
        <v>0.97164179104477622</v>
      </c>
      <c r="K105" s="1897">
        <v>0.93134328358208951</v>
      </c>
      <c r="L105" s="1897">
        <v>0.94626865671641791</v>
      </c>
      <c r="M105" s="1897">
        <v>0.97562189054726378</v>
      </c>
    </row>
    <row r="106" spans="1:13" ht="15">
      <c r="A106" s="1894">
        <f t="shared" si="1"/>
        <v>99</v>
      </c>
      <c r="B106" s="1906" t="s">
        <v>3001</v>
      </c>
      <c r="C106" s="1907" t="s">
        <v>524</v>
      </c>
      <c r="D106" s="1906" t="s">
        <v>541</v>
      </c>
      <c r="E106" s="1907" t="s">
        <v>259</v>
      </c>
      <c r="F106" s="1906">
        <v>134</v>
      </c>
      <c r="G106" s="1897">
        <v>0.16417910447761194</v>
      </c>
      <c r="H106" s="1897">
        <v>0.78626865671641799</v>
      </c>
      <c r="I106" s="1897">
        <v>0.96895522388059707</v>
      </c>
      <c r="J106" s="1897">
        <v>0.94686567164179103</v>
      </c>
      <c r="K106" s="1897">
        <v>0.93910447761194027</v>
      </c>
      <c r="L106" s="1897">
        <v>0.8376119402985075</v>
      </c>
      <c r="M106" s="1897">
        <v>0.77383084577114436</v>
      </c>
    </row>
    <row r="107" spans="1:13" ht="15">
      <c r="A107" s="1894">
        <f t="shared" si="1"/>
        <v>100</v>
      </c>
      <c r="B107" s="1906" t="s">
        <v>3005</v>
      </c>
      <c r="C107" s="1907" t="s">
        <v>524</v>
      </c>
      <c r="D107" s="1906" t="s">
        <v>541</v>
      </c>
      <c r="E107" s="1907" t="s">
        <v>259</v>
      </c>
      <c r="F107" s="1906">
        <v>134</v>
      </c>
      <c r="G107" s="1897">
        <v>0.77267462686567157</v>
      </c>
      <c r="H107" s="1897">
        <v>0.85144029850746272</v>
      </c>
      <c r="I107" s="1897">
        <v>0.86686567164179107</v>
      </c>
      <c r="J107" s="1897">
        <v>0.88402985074626861</v>
      </c>
      <c r="K107" s="1897">
        <v>0.77348059701492533</v>
      </c>
      <c r="L107" s="1897">
        <v>0.62780298507462695</v>
      </c>
      <c r="M107" s="1897">
        <v>0.79604900497512432</v>
      </c>
    </row>
    <row r="108" spans="1:13" ht="15">
      <c r="A108" s="1894">
        <f t="shared" si="1"/>
        <v>101</v>
      </c>
      <c r="B108" s="1906" t="s">
        <v>2996</v>
      </c>
      <c r="C108" s="1907" t="s">
        <v>524</v>
      </c>
      <c r="D108" s="1906" t="s">
        <v>541</v>
      </c>
      <c r="E108" s="1907" t="s">
        <v>259</v>
      </c>
      <c r="F108" s="1906">
        <v>134</v>
      </c>
      <c r="G108" s="1897">
        <v>1.426268656716418</v>
      </c>
      <c r="H108" s="1897">
        <v>1.5158208955223882</v>
      </c>
      <c r="I108" s="1897">
        <v>1.5038805970149254</v>
      </c>
      <c r="J108" s="1897">
        <v>1.5050746268656716</v>
      </c>
      <c r="K108" s="1897">
        <v>1.3779104477611941</v>
      </c>
      <c r="L108" s="1897">
        <v>1.244179104477612</v>
      </c>
      <c r="M108" s="1897">
        <v>1.4288557213930348</v>
      </c>
    </row>
    <row r="109" spans="1:13" ht="15">
      <c r="A109" s="1894">
        <f t="shared" si="1"/>
        <v>102</v>
      </c>
      <c r="B109" s="1906" t="s">
        <v>3004</v>
      </c>
      <c r="C109" s="1907" t="s">
        <v>524</v>
      </c>
      <c r="D109" s="1906" t="s">
        <v>541</v>
      </c>
      <c r="E109" s="1907" t="s">
        <v>259</v>
      </c>
      <c r="F109" s="1906">
        <v>134</v>
      </c>
      <c r="G109" s="1897">
        <v>5.9104477611940298E-3</v>
      </c>
      <c r="H109" s="1897">
        <v>0.63228059701492534</v>
      </c>
      <c r="I109" s="1897">
        <v>0.55856716417910446</v>
      </c>
      <c r="J109" s="1897">
        <v>0.52080597014925367</v>
      </c>
      <c r="K109" s="1897">
        <v>0.6385492537313433</v>
      </c>
      <c r="L109" s="1897">
        <v>0.60510447761194031</v>
      </c>
      <c r="M109" s="1897">
        <v>0.4935363184079602</v>
      </c>
    </row>
    <row r="110" spans="1:13" ht="15">
      <c r="A110" s="1894">
        <f t="shared" si="1"/>
        <v>103</v>
      </c>
      <c r="B110" s="1906" t="s">
        <v>3002</v>
      </c>
      <c r="C110" s="1907" t="s">
        <v>524</v>
      </c>
      <c r="D110" s="1906" t="s">
        <v>636</v>
      </c>
      <c r="E110" s="1907" t="s">
        <v>259</v>
      </c>
      <c r="F110" s="1906">
        <v>134</v>
      </c>
      <c r="G110" s="1897">
        <v>0.26985074626865668</v>
      </c>
      <c r="H110" s="1897">
        <v>0.26089552238805969</v>
      </c>
      <c r="I110" s="1897">
        <v>0.29552238805970149</v>
      </c>
      <c r="J110" s="1897">
        <v>0.26925373134328356</v>
      </c>
      <c r="K110" s="1897">
        <v>0.23761194029850749</v>
      </c>
      <c r="L110" s="1897">
        <v>0.23820895522388058</v>
      </c>
      <c r="M110" s="1897">
        <v>0.26189054726368161</v>
      </c>
    </row>
    <row r="111" spans="1:13" ht="15">
      <c r="A111" s="1894">
        <f t="shared" si="1"/>
        <v>104</v>
      </c>
      <c r="B111" s="1906" t="s">
        <v>3003</v>
      </c>
      <c r="C111" s="1907" t="s">
        <v>524</v>
      </c>
      <c r="D111" s="1906" t="s">
        <v>737</v>
      </c>
      <c r="E111" s="1907" t="s">
        <v>259</v>
      </c>
      <c r="F111" s="1906">
        <v>134</v>
      </c>
      <c r="G111" s="1897">
        <v>0.54865671641791047</v>
      </c>
      <c r="H111" s="1897">
        <v>0.56716417910447758</v>
      </c>
      <c r="I111" s="1897">
        <v>0.58149253731343287</v>
      </c>
      <c r="J111" s="1897">
        <v>0.43223880597014924</v>
      </c>
      <c r="K111" s="1897">
        <v>0.41910447761194025</v>
      </c>
      <c r="L111" s="1897">
        <v>0.47251343283582092</v>
      </c>
      <c r="M111" s="1897">
        <v>0.50352835820895514</v>
      </c>
    </row>
    <row r="112" spans="1:13" ht="15">
      <c r="A112" s="1894">
        <f t="shared" si="1"/>
        <v>105</v>
      </c>
      <c r="B112" s="1906" t="s">
        <v>3547</v>
      </c>
      <c r="C112" s="1907" t="s">
        <v>524</v>
      </c>
      <c r="D112" s="1906" t="s">
        <v>636</v>
      </c>
      <c r="E112" s="1907" t="s">
        <v>259</v>
      </c>
      <c r="F112" s="1906">
        <v>134</v>
      </c>
      <c r="G112" s="1897">
        <v>0.5208955223880597</v>
      </c>
      <c r="H112" s="1897">
        <v>0.49462686567164182</v>
      </c>
      <c r="I112" s="1897">
        <v>0.83432835820895535</v>
      </c>
      <c r="J112" s="1897">
        <v>0.53492537313432831</v>
      </c>
      <c r="K112" s="1897">
        <v>0.77253731343283583</v>
      </c>
      <c r="L112" s="1897">
        <v>0.50388059701492538</v>
      </c>
      <c r="M112" s="1897">
        <v>0.61019900497512447</v>
      </c>
    </row>
    <row r="113" spans="1:13" ht="15">
      <c r="A113" s="1894">
        <f t="shared" si="1"/>
        <v>106</v>
      </c>
      <c r="B113" s="1906" t="s">
        <v>2999</v>
      </c>
      <c r="C113" s="1907" t="s">
        <v>524</v>
      </c>
      <c r="D113" s="1906" t="s">
        <v>541</v>
      </c>
      <c r="E113" s="1907" t="s">
        <v>259</v>
      </c>
      <c r="F113" s="1906">
        <v>134</v>
      </c>
      <c r="G113" s="1897">
        <v>1.1599999999999999</v>
      </c>
      <c r="H113" s="1897">
        <v>1.1588059701492537</v>
      </c>
      <c r="I113" s="1897">
        <v>1.0841791044776119</v>
      </c>
      <c r="J113" s="1897">
        <v>1.1074626865671642</v>
      </c>
      <c r="K113" s="1897">
        <v>0.8316417910447762</v>
      </c>
      <c r="L113" s="1897">
        <v>0.3934328358208955</v>
      </c>
      <c r="M113" s="1897">
        <v>0.95592039800995021</v>
      </c>
    </row>
    <row r="114" spans="1:13" ht="15">
      <c r="A114" s="1894">
        <f t="shared" si="1"/>
        <v>107</v>
      </c>
      <c r="B114" s="1906" t="s">
        <v>2997</v>
      </c>
      <c r="C114" s="1907" t="s">
        <v>524</v>
      </c>
      <c r="D114" s="1906" t="s">
        <v>2966</v>
      </c>
      <c r="E114" s="1907" t="s">
        <v>259</v>
      </c>
      <c r="F114" s="1906">
        <v>134</v>
      </c>
      <c r="G114" s="1897">
        <v>0.45850746268656722</v>
      </c>
      <c r="H114" s="1897">
        <v>0.44417910447761189</v>
      </c>
      <c r="I114" s="1897">
        <v>0.39761194029850749</v>
      </c>
      <c r="J114" s="1897">
        <v>1.4328358208955226E-2</v>
      </c>
      <c r="K114" s="1897">
        <v>1.4328358208955226E-2</v>
      </c>
      <c r="L114" s="1897">
        <v>1.4328358208955226E-2</v>
      </c>
      <c r="M114" s="1897">
        <v>0.22388059701492538</v>
      </c>
    </row>
    <row r="115" spans="1:13" ht="15">
      <c r="A115" s="1894">
        <f t="shared" si="1"/>
        <v>108</v>
      </c>
      <c r="B115" s="1906" t="s">
        <v>3006</v>
      </c>
      <c r="C115" s="1907" t="s">
        <v>524</v>
      </c>
      <c r="D115" s="1906" t="s">
        <v>636</v>
      </c>
      <c r="E115" s="1907" t="s">
        <v>259</v>
      </c>
      <c r="F115" s="1906">
        <v>134</v>
      </c>
      <c r="G115" s="1897">
        <v>0.49313432835820903</v>
      </c>
      <c r="H115" s="1897">
        <v>0.57611940298507469</v>
      </c>
      <c r="I115" s="1897">
        <v>0.38925373134328356</v>
      </c>
      <c r="J115" s="1897">
        <v>0.42029850746268654</v>
      </c>
      <c r="K115" s="1897">
        <v>0.33970149253731341</v>
      </c>
      <c r="L115" s="1897">
        <v>0.33910447761194035</v>
      </c>
      <c r="M115" s="1897">
        <v>0.42626865671641795</v>
      </c>
    </row>
    <row r="116" spans="1:13" ht="15">
      <c r="A116" s="1894">
        <f t="shared" si="1"/>
        <v>109</v>
      </c>
      <c r="B116" s="1906" t="s">
        <v>3007</v>
      </c>
      <c r="C116" s="1907" t="s">
        <v>524</v>
      </c>
      <c r="D116" s="1906" t="s">
        <v>636</v>
      </c>
      <c r="E116" s="1907" t="s">
        <v>259</v>
      </c>
      <c r="F116" s="1906">
        <v>134</v>
      </c>
      <c r="G116" s="1897">
        <v>0.74089552238805967</v>
      </c>
      <c r="H116" s="1897">
        <v>0.76835820895522389</v>
      </c>
      <c r="I116" s="1897">
        <v>0.82149253731343286</v>
      </c>
      <c r="J116" s="1897">
        <v>0.5826865671641791</v>
      </c>
      <c r="K116" s="1897">
        <v>0.63462686567164184</v>
      </c>
      <c r="L116" s="1897">
        <v>0.666865671641791</v>
      </c>
      <c r="M116" s="1897">
        <v>0.70248756218905462</v>
      </c>
    </row>
    <row r="117" spans="1:13" ht="15">
      <c r="A117" s="1894">
        <f t="shared" si="1"/>
        <v>110</v>
      </c>
      <c r="B117" s="1906" t="s">
        <v>3008</v>
      </c>
      <c r="C117" s="1907" t="s">
        <v>524</v>
      </c>
      <c r="D117" s="1906" t="s">
        <v>541</v>
      </c>
      <c r="E117" s="1907" t="s">
        <v>259</v>
      </c>
      <c r="F117" s="1906">
        <v>134</v>
      </c>
      <c r="G117" s="1897">
        <v>1.0238805970149254</v>
      </c>
      <c r="H117" s="1897">
        <v>1.0662686567164179</v>
      </c>
      <c r="I117" s="1897">
        <v>0.99223880597014935</v>
      </c>
      <c r="J117" s="1897">
        <v>1.1773134328358208</v>
      </c>
      <c r="K117" s="1897">
        <v>1.2053731343283582</v>
      </c>
      <c r="L117" s="1897">
        <v>1.2985074626865671</v>
      </c>
      <c r="M117" s="1897">
        <v>1.1272636815920398</v>
      </c>
    </row>
    <row r="118" spans="1:13" ht="15">
      <c r="A118" s="1894">
        <f t="shared" si="1"/>
        <v>111</v>
      </c>
      <c r="B118" s="1906" t="s">
        <v>3009</v>
      </c>
      <c r="C118" s="1907" t="s">
        <v>524</v>
      </c>
      <c r="D118" s="1906" t="s">
        <v>636</v>
      </c>
      <c r="E118" s="1907" t="s">
        <v>259</v>
      </c>
      <c r="F118" s="1906">
        <v>134</v>
      </c>
      <c r="G118" s="1897">
        <v>0.23522388059701493</v>
      </c>
      <c r="H118" s="1897">
        <v>0.37492537313432833</v>
      </c>
      <c r="I118" s="1897">
        <v>0.38686567164179103</v>
      </c>
      <c r="J118" s="1897">
        <v>0.22746268656716417</v>
      </c>
      <c r="K118" s="1897">
        <v>0.22268656716417912</v>
      </c>
      <c r="L118" s="1897">
        <v>0.19402985074626866</v>
      </c>
      <c r="M118" s="1897">
        <v>0.27353233830845775</v>
      </c>
    </row>
    <row r="119" spans="1:13" ht="15">
      <c r="A119" s="1894">
        <f t="shared" si="1"/>
        <v>112</v>
      </c>
      <c r="B119" s="1906" t="s">
        <v>3010</v>
      </c>
      <c r="C119" s="1907" t="s">
        <v>524</v>
      </c>
      <c r="D119" s="1906" t="s">
        <v>636</v>
      </c>
      <c r="E119" s="1907" t="s">
        <v>259</v>
      </c>
      <c r="F119" s="1906">
        <v>134</v>
      </c>
      <c r="G119" s="1897">
        <v>0.65791044776119412</v>
      </c>
      <c r="H119" s="1897">
        <v>0.72537313432835826</v>
      </c>
      <c r="I119" s="1897">
        <v>0.68716417910447758</v>
      </c>
      <c r="J119" s="1897">
        <v>0.60179104477611944</v>
      </c>
      <c r="K119" s="1897">
        <v>0.60238805970149256</v>
      </c>
      <c r="L119" s="1897">
        <v>0.57671641791044781</v>
      </c>
      <c r="M119" s="1897">
        <v>0.64189054726368167</v>
      </c>
    </row>
    <row r="120" spans="1:13" ht="15">
      <c r="A120" s="1894">
        <f t="shared" si="1"/>
        <v>113</v>
      </c>
      <c r="B120" s="1906" t="s">
        <v>3011</v>
      </c>
      <c r="C120" s="1907" t="s">
        <v>524</v>
      </c>
      <c r="D120" s="1906" t="s">
        <v>636</v>
      </c>
      <c r="E120" s="1907" t="s">
        <v>259</v>
      </c>
      <c r="F120" s="1906">
        <v>136</v>
      </c>
      <c r="G120" s="1897">
        <v>0.66911764705882348</v>
      </c>
      <c r="H120" s="1897">
        <v>0.71323529411764708</v>
      </c>
      <c r="I120" s="1897">
        <v>0.75588235294117645</v>
      </c>
      <c r="J120" s="1897">
        <v>0.75441176470588234</v>
      </c>
      <c r="K120" s="1897">
        <v>0.79852941176470593</v>
      </c>
      <c r="L120" s="1897">
        <v>0.70147058823529418</v>
      </c>
      <c r="M120" s="1897">
        <v>0.73210784313725485</v>
      </c>
    </row>
    <row r="121" spans="1:13" ht="15">
      <c r="A121" s="1894">
        <f t="shared" si="1"/>
        <v>114</v>
      </c>
      <c r="B121" s="1906" t="s">
        <v>3013</v>
      </c>
      <c r="C121" s="1907" t="s">
        <v>524</v>
      </c>
      <c r="D121" s="1906" t="s">
        <v>541</v>
      </c>
      <c r="E121" s="1907" t="s">
        <v>259</v>
      </c>
      <c r="F121" s="1906">
        <v>137</v>
      </c>
      <c r="G121" s="1897">
        <v>0.66306569343065691</v>
      </c>
      <c r="H121" s="1897">
        <v>0.74715328467153286</v>
      </c>
      <c r="I121" s="1897">
        <v>0.71299270072992704</v>
      </c>
      <c r="J121" s="1897">
        <v>0.77255474452554751</v>
      </c>
      <c r="K121" s="1897">
        <v>0.80145985401459852</v>
      </c>
      <c r="L121" s="1897">
        <v>0.83386861313868621</v>
      </c>
      <c r="M121" s="1897">
        <v>0.75518248175182479</v>
      </c>
    </row>
    <row r="122" spans="1:13" ht="15">
      <c r="A122" s="1894">
        <f t="shared" si="1"/>
        <v>115</v>
      </c>
      <c r="B122" s="1906" t="s">
        <v>3012</v>
      </c>
      <c r="C122" s="1907" t="s">
        <v>524</v>
      </c>
      <c r="D122" s="1906" t="s">
        <v>541</v>
      </c>
      <c r="E122" s="1907" t="s">
        <v>259</v>
      </c>
      <c r="F122" s="1906">
        <v>137</v>
      </c>
      <c r="G122" s="1897">
        <v>0.31299270072992702</v>
      </c>
      <c r="H122" s="1897">
        <v>0.44583941605839417</v>
      </c>
      <c r="I122" s="1897">
        <v>0.3451094890510949</v>
      </c>
      <c r="J122" s="1897">
        <v>0.36934306569343067</v>
      </c>
      <c r="K122" s="1897">
        <v>0.35094890510948906</v>
      </c>
      <c r="L122" s="1897">
        <v>0.31357664233576643</v>
      </c>
      <c r="M122" s="1897">
        <v>0.35630170316301707</v>
      </c>
    </row>
    <row r="123" spans="1:13" ht="15">
      <c r="A123" s="1894">
        <f t="shared" si="1"/>
        <v>116</v>
      </c>
      <c r="B123" s="1906" t="s">
        <v>3015</v>
      </c>
      <c r="C123" s="1907" t="s">
        <v>524</v>
      </c>
      <c r="D123" s="1906" t="s">
        <v>636</v>
      </c>
      <c r="E123" s="1907" t="s">
        <v>259</v>
      </c>
      <c r="F123" s="1906">
        <v>138</v>
      </c>
      <c r="G123" s="1897">
        <v>1.1130434782608696</v>
      </c>
      <c r="H123" s="1897">
        <v>1.2255072463768115</v>
      </c>
      <c r="I123" s="1897">
        <v>1.3136231884057972</v>
      </c>
      <c r="J123" s="1897">
        <v>1.1895652173913043</v>
      </c>
      <c r="K123" s="1897">
        <v>1.1657971014492754</v>
      </c>
      <c r="L123" s="1897">
        <v>1.1675362318840581</v>
      </c>
      <c r="M123" s="1897">
        <v>1.1958454106280192</v>
      </c>
    </row>
    <row r="124" spans="1:13" ht="15">
      <c r="A124" s="1894">
        <f t="shared" si="1"/>
        <v>117</v>
      </c>
      <c r="B124" s="1906" t="s">
        <v>3016</v>
      </c>
      <c r="C124" s="1907" t="s">
        <v>524</v>
      </c>
      <c r="D124" s="1906" t="s">
        <v>541</v>
      </c>
      <c r="E124" s="1907" t="s">
        <v>259</v>
      </c>
      <c r="F124" s="1906">
        <v>138</v>
      </c>
      <c r="G124" s="1897">
        <v>6.1449275362318846E-2</v>
      </c>
      <c r="H124" s="1897">
        <v>7.8260869565217397E-2</v>
      </c>
      <c r="I124" s="1897">
        <v>5.5652173913043473E-2</v>
      </c>
      <c r="J124" s="1897">
        <v>0.16173913043478261</v>
      </c>
      <c r="K124" s="1897">
        <v>2.6666666666666665E-2</v>
      </c>
      <c r="L124" s="1897">
        <v>4.2898550724637684E-2</v>
      </c>
      <c r="M124" s="1897">
        <v>7.1111111111111111E-2</v>
      </c>
    </row>
    <row r="125" spans="1:13" ht="15">
      <c r="A125" s="1894">
        <f t="shared" si="1"/>
        <v>118</v>
      </c>
      <c r="B125" s="1906" t="s">
        <v>3548</v>
      </c>
      <c r="C125" s="1907" t="s">
        <v>524</v>
      </c>
      <c r="D125" s="1906" t="s">
        <v>541</v>
      </c>
      <c r="E125" s="1907" t="s">
        <v>259</v>
      </c>
      <c r="F125" s="1906">
        <v>138</v>
      </c>
      <c r="G125" s="1897">
        <v>0</v>
      </c>
      <c r="H125" s="1897">
        <v>0</v>
      </c>
      <c r="I125" s="1897">
        <v>0</v>
      </c>
      <c r="J125" s="1897">
        <v>0</v>
      </c>
      <c r="K125" s="1897">
        <v>0.51942028985507238</v>
      </c>
      <c r="L125" s="1897">
        <v>0.56805797101449274</v>
      </c>
      <c r="M125" s="1897">
        <v>0.18124637681159417</v>
      </c>
    </row>
    <row r="126" spans="1:13" ht="15">
      <c r="A126" s="1894">
        <f t="shared" si="1"/>
        <v>119</v>
      </c>
      <c r="B126" s="1906" t="s">
        <v>3014</v>
      </c>
      <c r="C126" s="1907" t="s">
        <v>524</v>
      </c>
      <c r="D126" s="1906" t="s">
        <v>636</v>
      </c>
      <c r="E126" s="1907" t="s">
        <v>259</v>
      </c>
      <c r="F126" s="1906">
        <v>138</v>
      </c>
      <c r="G126" s="1897">
        <v>0.27478260869565219</v>
      </c>
      <c r="H126" s="1897">
        <v>0.25681159420289851</v>
      </c>
      <c r="I126" s="1897">
        <v>0.25623188405797104</v>
      </c>
      <c r="J126" s="1897">
        <v>0.23478260869565215</v>
      </c>
      <c r="K126" s="1897">
        <v>0.23942028985507252</v>
      </c>
      <c r="L126" s="1897">
        <v>0.23014492753623186</v>
      </c>
      <c r="M126" s="1897">
        <v>0.2486956521739131</v>
      </c>
    </row>
    <row r="127" spans="1:13" ht="15">
      <c r="A127" s="1894">
        <f t="shared" si="1"/>
        <v>120</v>
      </c>
      <c r="B127" s="1906" t="s">
        <v>3017</v>
      </c>
      <c r="C127" s="1907" t="s">
        <v>524</v>
      </c>
      <c r="D127" s="1906" t="s">
        <v>541</v>
      </c>
      <c r="E127" s="1907" t="s">
        <v>259</v>
      </c>
      <c r="F127" s="1906">
        <v>139</v>
      </c>
      <c r="G127" s="1897">
        <v>0.87482014388489204</v>
      </c>
      <c r="H127" s="1897">
        <v>0.84719424460431647</v>
      </c>
      <c r="I127" s="1897">
        <v>0.89611510791366911</v>
      </c>
      <c r="J127" s="1897">
        <v>0.90474820143884893</v>
      </c>
      <c r="K127" s="1897">
        <v>0.66532374100719416</v>
      </c>
      <c r="L127" s="1897">
        <v>0.87194244604316551</v>
      </c>
      <c r="M127" s="1897">
        <v>0.84335731414868109</v>
      </c>
    </row>
    <row r="128" spans="1:13" ht="15">
      <c r="A128" s="1894">
        <f t="shared" si="1"/>
        <v>121</v>
      </c>
      <c r="B128" s="1906" t="s">
        <v>3549</v>
      </c>
      <c r="C128" s="1907" t="s">
        <v>524</v>
      </c>
      <c r="D128" s="1906" t="s">
        <v>636</v>
      </c>
      <c r="E128" s="1907" t="s">
        <v>259</v>
      </c>
      <c r="F128" s="1906">
        <v>139</v>
      </c>
      <c r="G128" s="1897">
        <v>0.71827338129496399</v>
      </c>
      <c r="H128" s="1897">
        <v>0.67856115107913673</v>
      </c>
      <c r="I128" s="1897">
        <v>0.39079136690647481</v>
      </c>
      <c r="J128" s="1897">
        <v>0.26762589928057556</v>
      </c>
      <c r="K128" s="1897">
        <v>0.10014388489208632</v>
      </c>
      <c r="L128" s="1897">
        <v>8.8633093525179854E-2</v>
      </c>
      <c r="M128" s="1897">
        <v>0.37400479616306953</v>
      </c>
    </row>
    <row r="129" spans="1:13" ht="15">
      <c r="A129" s="1894">
        <f t="shared" si="1"/>
        <v>122</v>
      </c>
      <c r="B129" s="1906" t="s">
        <v>3018</v>
      </c>
      <c r="C129" s="1907" t="s">
        <v>524</v>
      </c>
      <c r="D129" s="1906" t="s">
        <v>636</v>
      </c>
      <c r="E129" s="1907" t="s">
        <v>259</v>
      </c>
      <c r="F129" s="1906">
        <v>139</v>
      </c>
      <c r="G129" s="1897">
        <v>0.43237410071942445</v>
      </c>
      <c r="H129" s="1897">
        <v>0.57053237410071944</v>
      </c>
      <c r="I129" s="1897">
        <v>0.67525179856115092</v>
      </c>
      <c r="J129" s="1897">
        <v>0.5369496402877697</v>
      </c>
      <c r="K129" s="1897">
        <v>0.50097841726618697</v>
      </c>
      <c r="L129" s="1897">
        <v>0.53712230215827339</v>
      </c>
      <c r="M129" s="1897">
        <v>0.5422014388489208</v>
      </c>
    </row>
    <row r="130" spans="1:13" ht="15">
      <c r="A130" s="1894">
        <f t="shared" si="1"/>
        <v>123</v>
      </c>
      <c r="B130" s="1906" t="s">
        <v>3019</v>
      </c>
      <c r="C130" s="1907" t="s">
        <v>524</v>
      </c>
      <c r="D130" s="1906" t="s">
        <v>636</v>
      </c>
      <c r="E130" s="1907" t="s">
        <v>259</v>
      </c>
      <c r="F130" s="1906">
        <v>139</v>
      </c>
      <c r="G130" s="1897">
        <v>0.40517985611510793</v>
      </c>
      <c r="H130" s="1897">
        <v>0.43165467625899279</v>
      </c>
      <c r="I130" s="1897">
        <v>0.45697841726618704</v>
      </c>
      <c r="J130" s="1897">
        <v>0.3694964028776978</v>
      </c>
      <c r="K130" s="1897">
        <v>0.36028776978417271</v>
      </c>
      <c r="L130" s="1897">
        <v>0.37640287769784175</v>
      </c>
      <c r="M130" s="1897">
        <v>0.39999999999999997</v>
      </c>
    </row>
    <row r="131" spans="1:13" ht="15">
      <c r="A131" s="1894">
        <f t="shared" si="1"/>
        <v>124</v>
      </c>
      <c r="B131" s="1906" t="s">
        <v>3019</v>
      </c>
      <c r="C131" s="1907" t="s">
        <v>524</v>
      </c>
      <c r="D131" s="1906" t="s">
        <v>636</v>
      </c>
      <c r="E131" s="1907" t="s">
        <v>259</v>
      </c>
      <c r="F131" s="1906">
        <v>139</v>
      </c>
      <c r="G131" s="1897">
        <v>0.51223021582733819</v>
      </c>
      <c r="H131" s="1897">
        <v>0.37870503597122301</v>
      </c>
      <c r="I131" s="1897">
        <v>0.36719424460431654</v>
      </c>
      <c r="J131" s="1897">
        <v>0.33266187050359708</v>
      </c>
      <c r="K131" s="1897">
        <v>0.30503597122302156</v>
      </c>
      <c r="L131" s="1897">
        <v>0.23942446043165469</v>
      </c>
      <c r="M131" s="1897">
        <v>0.35587529976019189</v>
      </c>
    </row>
    <row r="132" spans="1:13" ht="15">
      <c r="A132" s="1894">
        <f t="shared" si="1"/>
        <v>125</v>
      </c>
      <c r="B132" s="1906" t="s">
        <v>3024</v>
      </c>
      <c r="C132" s="1907" t="s">
        <v>524</v>
      </c>
      <c r="D132" s="1906" t="s">
        <v>636</v>
      </c>
      <c r="E132" s="1907" t="s">
        <v>259</v>
      </c>
      <c r="F132" s="1906">
        <v>140</v>
      </c>
      <c r="G132" s="1897">
        <v>0.90628571428571425</v>
      </c>
      <c r="H132" s="1897">
        <v>0.93199999999999994</v>
      </c>
      <c r="I132" s="1897">
        <v>0.97542857142857142</v>
      </c>
      <c r="J132" s="1897">
        <v>0.92228571428571426</v>
      </c>
      <c r="K132" s="1897">
        <v>0.83485714285714296</v>
      </c>
      <c r="L132" s="1897">
        <v>0.77714285714285725</v>
      </c>
      <c r="M132" s="1897">
        <v>0.89133333333333342</v>
      </c>
    </row>
    <row r="133" spans="1:13" ht="15">
      <c r="A133" s="1894">
        <f t="shared" si="1"/>
        <v>126</v>
      </c>
      <c r="B133" s="1906" t="s">
        <v>3025</v>
      </c>
      <c r="C133" s="1907" t="s">
        <v>524</v>
      </c>
      <c r="D133" s="1906" t="s">
        <v>541</v>
      </c>
      <c r="E133" s="1907" t="s">
        <v>259</v>
      </c>
      <c r="F133" s="1906">
        <v>140</v>
      </c>
      <c r="G133" s="1897">
        <v>0.3228571428571429</v>
      </c>
      <c r="H133" s="1897">
        <v>0.32914285714285713</v>
      </c>
      <c r="I133" s="1897">
        <v>0.26285714285714284</v>
      </c>
      <c r="J133" s="1897">
        <v>0.37485714285714289</v>
      </c>
      <c r="K133" s="1897">
        <v>8.1954285714285716E-2</v>
      </c>
      <c r="L133" s="1897">
        <v>5.7642857142857142E-2</v>
      </c>
      <c r="M133" s="1897">
        <v>0.23821857142857139</v>
      </c>
    </row>
    <row r="134" spans="1:13" ht="15">
      <c r="A134" s="1894">
        <f t="shared" si="1"/>
        <v>127</v>
      </c>
      <c r="B134" s="1906" t="s">
        <v>3021</v>
      </c>
      <c r="C134" s="1907" t="s">
        <v>524</v>
      </c>
      <c r="D134" s="1906" t="s">
        <v>541</v>
      </c>
      <c r="E134" s="1907" t="s">
        <v>259</v>
      </c>
      <c r="F134" s="1906">
        <v>140</v>
      </c>
      <c r="G134" s="1897">
        <v>1.2077142857142855</v>
      </c>
      <c r="H134" s="1897">
        <v>1.2488571428571429</v>
      </c>
      <c r="I134" s="1897">
        <v>8.1142857142857128E-3</v>
      </c>
      <c r="J134" s="1897">
        <v>1.2716742857142858</v>
      </c>
      <c r="K134" s="1897">
        <v>1.1960285714285714</v>
      </c>
      <c r="L134" s="1897">
        <v>1.1619428571428572</v>
      </c>
      <c r="M134" s="1897">
        <v>1.0157219047619046</v>
      </c>
    </row>
    <row r="135" spans="1:13" ht="15">
      <c r="A135" s="1894">
        <f t="shared" si="1"/>
        <v>128</v>
      </c>
      <c r="B135" s="1906" t="s">
        <v>3022</v>
      </c>
      <c r="C135" s="1907" t="s">
        <v>524</v>
      </c>
      <c r="D135" s="1906" t="s">
        <v>2966</v>
      </c>
      <c r="E135" s="1907" t="s">
        <v>259</v>
      </c>
      <c r="F135" s="1906">
        <v>140</v>
      </c>
      <c r="G135" s="1897">
        <v>0.19885714285714284</v>
      </c>
      <c r="H135" s="1897">
        <v>0.57685714285714285</v>
      </c>
      <c r="I135" s="1897">
        <v>0.11657142857142858</v>
      </c>
      <c r="J135" s="1897">
        <v>5.9142857142857136E-2</v>
      </c>
      <c r="K135" s="1897">
        <v>0.10971428571428572</v>
      </c>
      <c r="L135" s="1897">
        <v>5.3142857142857138E-2</v>
      </c>
      <c r="M135" s="1897">
        <v>0.18571428571428572</v>
      </c>
    </row>
    <row r="136" spans="1:13" ht="15">
      <c r="A136" s="1894">
        <f t="shared" si="1"/>
        <v>129</v>
      </c>
      <c r="B136" s="1906" t="s">
        <v>3023</v>
      </c>
      <c r="C136" s="1907" t="s">
        <v>524</v>
      </c>
      <c r="D136" s="1906" t="s">
        <v>541</v>
      </c>
      <c r="E136" s="1907" t="s">
        <v>259</v>
      </c>
      <c r="F136" s="1906">
        <v>140</v>
      </c>
      <c r="G136" s="1897">
        <v>0.48800000000000004</v>
      </c>
      <c r="H136" s="1897">
        <v>0.87885714285714278</v>
      </c>
      <c r="I136" s="1897">
        <v>0.88171428571428567</v>
      </c>
      <c r="J136" s="1897">
        <v>0.52514285714285713</v>
      </c>
      <c r="K136" s="1897">
        <v>0.52</v>
      </c>
      <c r="L136" s="1897">
        <v>0.48114285714285715</v>
      </c>
      <c r="M136" s="1897">
        <v>0.62914285714285711</v>
      </c>
    </row>
    <row r="137" spans="1:13" ht="15">
      <c r="A137" s="1894">
        <f t="shared" si="1"/>
        <v>130</v>
      </c>
      <c r="B137" s="1906" t="s">
        <v>3550</v>
      </c>
      <c r="C137" s="1907" t="s">
        <v>524</v>
      </c>
      <c r="D137" s="1906" t="s">
        <v>636</v>
      </c>
      <c r="E137" s="1907" t="s">
        <v>259</v>
      </c>
      <c r="F137" s="1906">
        <v>140</v>
      </c>
      <c r="G137" s="1897">
        <v>0</v>
      </c>
      <c r="H137" s="1897">
        <v>0</v>
      </c>
      <c r="I137" s="1897">
        <v>0</v>
      </c>
      <c r="J137" s="1897">
        <v>0</v>
      </c>
      <c r="K137" s="1897">
        <v>0</v>
      </c>
      <c r="L137" s="1897">
        <v>2.0371428571428572E-2</v>
      </c>
      <c r="M137" s="1897">
        <v>3.3952380952380953E-3</v>
      </c>
    </row>
    <row r="138" spans="1:13" ht="15">
      <c r="A138" s="1894">
        <f t="shared" ref="A138:A201" si="2">+A137+1</f>
        <v>131</v>
      </c>
      <c r="B138" s="1906" t="s">
        <v>3013</v>
      </c>
      <c r="C138" s="1907" t="s">
        <v>524</v>
      </c>
      <c r="D138" s="1906" t="s">
        <v>541</v>
      </c>
      <c r="E138" s="1907" t="s">
        <v>259</v>
      </c>
      <c r="F138" s="1906">
        <v>141</v>
      </c>
      <c r="G138" s="1897">
        <v>1.8723404255319149</v>
      </c>
      <c r="H138" s="1897">
        <v>1.9429787234042553</v>
      </c>
      <c r="I138" s="1897">
        <v>1.9778723404255318</v>
      </c>
      <c r="J138" s="1897">
        <v>1.8714893617021275</v>
      </c>
      <c r="K138" s="1897">
        <v>1.9659574468085106</v>
      </c>
      <c r="L138" s="1897">
        <v>1.9591489361702128</v>
      </c>
      <c r="M138" s="1897">
        <v>1.9316312056737586</v>
      </c>
    </row>
    <row r="139" spans="1:13" ht="15">
      <c r="A139" s="1894">
        <f t="shared" si="2"/>
        <v>132</v>
      </c>
      <c r="B139" s="1906" t="s">
        <v>3027</v>
      </c>
      <c r="C139" s="1907" t="s">
        <v>524</v>
      </c>
      <c r="D139" s="1906" t="s">
        <v>541</v>
      </c>
      <c r="E139" s="1907" t="s">
        <v>259</v>
      </c>
      <c r="F139" s="1906">
        <v>141</v>
      </c>
      <c r="G139" s="1897">
        <v>0.76624113475177313</v>
      </c>
      <c r="H139" s="1897">
        <v>0.71404255319148935</v>
      </c>
      <c r="I139" s="1897">
        <v>0.63120567375886527</v>
      </c>
      <c r="J139" s="1897">
        <v>0.65957446808510634</v>
      </c>
      <c r="K139" s="1897">
        <v>0.57475177304964542</v>
      </c>
      <c r="L139" s="1897">
        <v>0.50780141843971627</v>
      </c>
      <c r="M139" s="1897">
        <v>0.64226950354609924</v>
      </c>
    </row>
    <row r="140" spans="1:13" ht="15">
      <c r="A140" s="1894">
        <f t="shared" si="2"/>
        <v>133</v>
      </c>
      <c r="B140" s="1906" t="s">
        <v>3026</v>
      </c>
      <c r="C140" s="1907" t="s">
        <v>524</v>
      </c>
      <c r="D140" s="1906" t="s">
        <v>737</v>
      </c>
      <c r="E140" s="1907" t="s">
        <v>259</v>
      </c>
      <c r="F140" s="1906">
        <v>141</v>
      </c>
      <c r="G140" s="1897">
        <v>0.13617021276595745</v>
      </c>
      <c r="H140" s="1897">
        <v>0.15886524822695036</v>
      </c>
      <c r="I140" s="1897">
        <v>0.25758865248226953</v>
      </c>
      <c r="J140" s="1897">
        <v>0.1645390070921986</v>
      </c>
      <c r="K140" s="1897">
        <v>0.14070921985815601</v>
      </c>
      <c r="L140" s="1897">
        <v>0.15092198581560282</v>
      </c>
      <c r="M140" s="1897">
        <v>0.16813238770685579</v>
      </c>
    </row>
    <row r="141" spans="1:13" ht="15">
      <c r="A141" s="1894">
        <f t="shared" si="2"/>
        <v>134</v>
      </c>
      <c r="B141" s="1906" t="s">
        <v>3028</v>
      </c>
      <c r="C141" s="1907" t="s">
        <v>524</v>
      </c>
      <c r="D141" s="1906" t="s">
        <v>636</v>
      </c>
      <c r="E141" s="1907" t="s">
        <v>259</v>
      </c>
      <c r="F141" s="1906">
        <v>141</v>
      </c>
      <c r="G141" s="1897">
        <v>0.5787234042553191</v>
      </c>
      <c r="H141" s="1897">
        <v>0.62751773049645387</v>
      </c>
      <c r="I141" s="1897">
        <v>0.60936170212765961</v>
      </c>
      <c r="J141" s="1897">
        <v>0.5651063829787234</v>
      </c>
      <c r="K141" s="1897">
        <v>0.49191489361702129</v>
      </c>
      <c r="L141" s="1897">
        <v>0.52312056737588652</v>
      </c>
      <c r="M141" s="1897">
        <v>0.56595744680851068</v>
      </c>
    </row>
    <row r="142" spans="1:13" ht="15">
      <c r="A142" s="1894">
        <f t="shared" si="2"/>
        <v>135</v>
      </c>
      <c r="B142" s="1906" t="s">
        <v>3030</v>
      </c>
      <c r="C142" s="1907" t="s">
        <v>524</v>
      </c>
      <c r="D142" s="1906" t="s">
        <v>2966</v>
      </c>
      <c r="E142" s="1907" t="s">
        <v>259</v>
      </c>
      <c r="F142" s="1906">
        <v>142</v>
      </c>
      <c r="G142" s="1897">
        <v>0.65239436619718305</v>
      </c>
      <c r="H142" s="1897">
        <v>0.88676056338028175</v>
      </c>
      <c r="I142" s="1897">
        <v>0.91380281690140863</v>
      </c>
      <c r="J142" s="1897">
        <v>0.79267605633802807</v>
      </c>
      <c r="K142" s="1897">
        <v>0.63887323943661967</v>
      </c>
      <c r="L142" s="1897">
        <v>0.55549295774647889</v>
      </c>
      <c r="M142" s="1897">
        <v>0.7400000000000001</v>
      </c>
    </row>
    <row r="143" spans="1:13" ht="15">
      <c r="A143" s="1894">
        <f t="shared" si="2"/>
        <v>136</v>
      </c>
      <c r="B143" s="1906" t="s">
        <v>3031</v>
      </c>
      <c r="C143" s="1907" t="s">
        <v>524</v>
      </c>
      <c r="D143" s="1906" t="s">
        <v>541</v>
      </c>
      <c r="E143" s="1907" t="s">
        <v>259</v>
      </c>
      <c r="F143" s="1906">
        <v>142</v>
      </c>
      <c r="G143" s="1897">
        <v>0.96619718309859171</v>
      </c>
      <c r="H143" s="1897">
        <v>0.9498591549295774</v>
      </c>
      <c r="I143" s="1897">
        <v>0.45577464788732391</v>
      </c>
      <c r="J143" s="1897">
        <v>0.80507042253521122</v>
      </c>
      <c r="K143" s="1897">
        <v>0.91380281690140863</v>
      </c>
      <c r="L143" s="1897">
        <v>0.93239436619718319</v>
      </c>
      <c r="M143" s="1897">
        <v>0.83718309859154927</v>
      </c>
    </row>
    <row r="144" spans="1:13" ht="15">
      <c r="A144" s="1894">
        <f t="shared" si="2"/>
        <v>137</v>
      </c>
      <c r="B144" s="1906" t="s">
        <v>3032</v>
      </c>
      <c r="C144" s="1907" t="s">
        <v>524</v>
      </c>
      <c r="D144" s="1906" t="s">
        <v>730</v>
      </c>
      <c r="E144" s="1907" t="s">
        <v>259</v>
      </c>
      <c r="F144" s="1906">
        <v>142</v>
      </c>
      <c r="G144" s="1897">
        <v>0.55943661971830982</v>
      </c>
      <c r="H144" s="1897">
        <v>0.52169014084507037</v>
      </c>
      <c r="I144" s="1897">
        <v>0.57915492957746484</v>
      </c>
      <c r="J144" s="1897">
        <v>0.53690140845070422</v>
      </c>
      <c r="K144" s="1897">
        <v>0.73295774647887324</v>
      </c>
      <c r="L144" s="1897">
        <v>0.63718309859154931</v>
      </c>
      <c r="M144" s="1897">
        <v>0.59455399061032865</v>
      </c>
    </row>
    <row r="145" spans="1:13" ht="15">
      <c r="A145" s="1894">
        <f t="shared" si="2"/>
        <v>138</v>
      </c>
      <c r="B145" s="1906" t="s">
        <v>3034</v>
      </c>
      <c r="C145" s="1907" t="s">
        <v>524</v>
      </c>
      <c r="D145" s="1906" t="s">
        <v>2966</v>
      </c>
      <c r="E145" s="1907" t="s">
        <v>259</v>
      </c>
      <c r="F145" s="1906">
        <v>144</v>
      </c>
      <c r="G145" s="1897">
        <v>0.19868055555555555</v>
      </c>
      <c r="H145" s="1897">
        <v>0.20256944444444447</v>
      </c>
      <c r="I145" s="1897">
        <v>0.20534722222222224</v>
      </c>
      <c r="J145" s="1897">
        <v>0.19423611111111111</v>
      </c>
      <c r="K145" s="1897">
        <v>0.17701388888888892</v>
      </c>
      <c r="L145" s="1897">
        <v>0.15756944444444446</v>
      </c>
      <c r="M145" s="1897">
        <v>0.18923611111111113</v>
      </c>
    </row>
    <row r="146" spans="1:13" ht="15">
      <c r="A146" s="1894">
        <f t="shared" si="2"/>
        <v>139</v>
      </c>
      <c r="B146" s="1906" t="s">
        <v>3035</v>
      </c>
      <c r="C146" s="1907" t="s">
        <v>524</v>
      </c>
      <c r="D146" s="1906" t="s">
        <v>636</v>
      </c>
      <c r="E146" s="1907" t="s">
        <v>259</v>
      </c>
      <c r="F146" s="1906">
        <v>144</v>
      </c>
      <c r="G146" s="1897">
        <v>0.4933333333333334</v>
      </c>
      <c r="H146" s="1897">
        <v>0.57499999999999996</v>
      </c>
      <c r="I146" s="1897">
        <v>0.61611111111111105</v>
      </c>
      <c r="J146" s="1897">
        <v>0.49666666666666665</v>
      </c>
      <c r="K146" s="1897">
        <v>0.54888888888888887</v>
      </c>
      <c r="L146" s="1897">
        <v>0.42555555555555558</v>
      </c>
      <c r="M146" s="1897">
        <v>0.52592592592592591</v>
      </c>
    </row>
    <row r="147" spans="1:13" ht="15">
      <c r="A147" s="1894">
        <f t="shared" si="2"/>
        <v>140</v>
      </c>
      <c r="B147" s="1906" t="s">
        <v>3033</v>
      </c>
      <c r="C147" s="1907" t="s">
        <v>524</v>
      </c>
      <c r="D147" s="1906" t="s">
        <v>636</v>
      </c>
      <c r="E147" s="1907" t="s">
        <v>259</v>
      </c>
      <c r="F147" s="1906">
        <v>144</v>
      </c>
      <c r="G147" s="1897">
        <v>2.3618055555555557</v>
      </c>
      <c r="H147" s="1897">
        <v>0.63958333333333328</v>
      </c>
      <c r="I147" s="1897">
        <v>0.12569444444444444</v>
      </c>
      <c r="J147" s="1897">
        <v>0.31736111111111115</v>
      </c>
      <c r="K147" s="1897">
        <v>0.37013888888888885</v>
      </c>
      <c r="L147" s="1897">
        <v>0.49166666666666664</v>
      </c>
      <c r="M147" s="1897">
        <v>0.71770833333333339</v>
      </c>
    </row>
    <row r="148" spans="1:13" ht="15">
      <c r="A148" s="1894">
        <f t="shared" si="2"/>
        <v>141</v>
      </c>
      <c r="B148" s="1906" t="s">
        <v>3551</v>
      </c>
      <c r="C148" s="1907" t="s">
        <v>524</v>
      </c>
      <c r="D148" s="1906" t="s">
        <v>541</v>
      </c>
      <c r="E148" s="1907" t="s">
        <v>259</v>
      </c>
      <c r="F148" s="1906">
        <v>144</v>
      </c>
      <c r="G148" s="1897">
        <v>0.5435388888888889</v>
      </c>
      <c r="H148" s="1897">
        <v>0.53008888888888894</v>
      </c>
      <c r="I148" s="1897">
        <v>0.55593055555555559</v>
      </c>
      <c r="J148" s="1897">
        <v>0.56990555555555555</v>
      </c>
      <c r="K148" s="1897">
        <v>0.54339999999999999</v>
      </c>
      <c r="L148" s="1897">
        <v>0.54094444444444445</v>
      </c>
      <c r="M148" s="1897">
        <v>0.54730138888888891</v>
      </c>
    </row>
    <row r="149" spans="1:13" ht="15">
      <c r="A149" s="1894">
        <f t="shared" si="2"/>
        <v>142</v>
      </c>
      <c r="B149" s="1906" t="s">
        <v>3036</v>
      </c>
      <c r="C149" s="1907" t="s">
        <v>524</v>
      </c>
      <c r="D149" s="1906" t="s">
        <v>2966</v>
      </c>
      <c r="E149" s="1907" t="s">
        <v>259</v>
      </c>
      <c r="F149" s="1906">
        <v>144.9</v>
      </c>
      <c r="G149" s="1897">
        <v>0.36218081435472743</v>
      </c>
      <c r="H149" s="1897">
        <v>0.38040027605244997</v>
      </c>
      <c r="I149" s="1897">
        <v>0.46708074534161481</v>
      </c>
      <c r="J149" s="1897">
        <v>0.63381642512077296</v>
      </c>
      <c r="K149" s="1897">
        <v>0.23298826777087644</v>
      </c>
      <c r="L149" s="1897">
        <v>0.14906832298136646</v>
      </c>
      <c r="M149" s="1897">
        <v>0.37092247527030131</v>
      </c>
    </row>
    <row r="150" spans="1:13" ht="15">
      <c r="A150" s="1894">
        <f t="shared" si="2"/>
        <v>143</v>
      </c>
      <c r="B150" s="1906" t="s">
        <v>3552</v>
      </c>
      <c r="C150" s="1907" t="s">
        <v>524</v>
      </c>
      <c r="D150" s="1906" t="s">
        <v>636</v>
      </c>
      <c r="E150" s="1907" t="s">
        <v>259</v>
      </c>
      <c r="F150" s="1906">
        <v>145</v>
      </c>
      <c r="G150" s="1897">
        <v>0</v>
      </c>
      <c r="H150" s="1897">
        <v>0</v>
      </c>
      <c r="I150" s="1897">
        <v>0</v>
      </c>
      <c r="J150" s="1897">
        <v>0</v>
      </c>
      <c r="K150" s="1897">
        <v>0.14421310344827584</v>
      </c>
      <c r="L150" s="1897">
        <v>0.15918620689655172</v>
      </c>
      <c r="M150" s="1897">
        <v>5.0566551724137931E-2</v>
      </c>
    </row>
    <row r="151" spans="1:13" ht="15">
      <c r="A151" s="1894">
        <f t="shared" si="2"/>
        <v>144</v>
      </c>
      <c r="B151" s="1906" t="s">
        <v>3037</v>
      </c>
      <c r="C151" s="1907" t="s">
        <v>524</v>
      </c>
      <c r="D151" s="1906" t="s">
        <v>730</v>
      </c>
      <c r="E151" s="1907" t="s">
        <v>259</v>
      </c>
      <c r="F151" s="1906">
        <v>145</v>
      </c>
      <c r="G151" s="1897">
        <v>1.8571034482758624</v>
      </c>
      <c r="H151" s="1897">
        <v>1.6684137931034484</v>
      </c>
      <c r="I151" s="1897">
        <v>1.679448275862069</v>
      </c>
      <c r="J151" s="1897">
        <v>2.012689655172414</v>
      </c>
      <c r="K151" s="1897">
        <v>2.2819310344827586</v>
      </c>
      <c r="L151" s="1897">
        <v>1.9332413793103447</v>
      </c>
      <c r="M151" s="1897">
        <v>1.9054712643678162</v>
      </c>
    </row>
    <row r="152" spans="1:13" ht="15">
      <c r="A152" s="1894">
        <f t="shared" si="2"/>
        <v>145</v>
      </c>
      <c r="B152" s="1906" t="s">
        <v>3553</v>
      </c>
      <c r="C152" s="1907" t="s">
        <v>524</v>
      </c>
      <c r="D152" s="1906" t="s">
        <v>636</v>
      </c>
      <c r="E152" s="1907" t="s">
        <v>259</v>
      </c>
      <c r="F152" s="1906">
        <v>148</v>
      </c>
      <c r="G152" s="1897">
        <v>0.97297297297297303</v>
      </c>
      <c r="H152" s="1897">
        <v>1.3581081081081081</v>
      </c>
      <c r="I152" s="1897">
        <v>1.2364864864864864</v>
      </c>
      <c r="J152" s="1897">
        <v>1.2702702702702702</v>
      </c>
      <c r="K152" s="1897">
        <v>1.3513513513513513</v>
      </c>
      <c r="L152" s="1897">
        <v>1.4594594594594594</v>
      </c>
      <c r="M152" s="1897">
        <v>1.2747747747747749</v>
      </c>
    </row>
    <row r="153" spans="1:13" ht="15">
      <c r="A153" s="1894">
        <f t="shared" si="2"/>
        <v>146</v>
      </c>
      <c r="B153" s="1906" t="s">
        <v>3039</v>
      </c>
      <c r="C153" s="1907" t="s">
        <v>524</v>
      </c>
      <c r="D153" s="1906" t="s">
        <v>737</v>
      </c>
      <c r="E153" s="1907" t="s">
        <v>259</v>
      </c>
      <c r="F153" s="1906">
        <v>149</v>
      </c>
      <c r="G153" s="1897">
        <v>0.28187919463087252</v>
      </c>
      <c r="H153" s="1897">
        <v>0.28832214765100672</v>
      </c>
      <c r="I153" s="1897">
        <v>0.28993288590604022</v>
      </c>
      <c r="J153" s="1897">
        <v>0.2512751677852349</v>
      </c>
      <c r="K153" s="1897">
        <v>0.24</v>
      </c>
      <c r="L153" s="1897">
        <v>0.24483221476510064</v>
      </c>
      <c r="M153" s="1897">
        <v>0.26604026845637585</v>
      </c>
    </row>
    <row r="154" spans="1:13" ht="15">
      <c r="A154" s="1894">
        <f t="shared" si="2"/>
        <v>147</v>
      </c>
      <c r="B154" s="1906" t="s">
        <v>3041</v>
      </c>
      <c r="C154" s="1907" t="s">
        <v>524</v>
      </c>
      <c r="D154" s="1906" t="s">
        <v>737</v>
      </c>
      <c r="E154" s="1907" t="s">
        <v>259</v>
      </c>
      <c r="F154" s="1906">
        <v>150</v>
      </c>
      <c r="G154" s="1897">
        <v>0.49386666666666668</v>
      </c>
      <c r="H154" s="1897">
        <v>0.5013333333333333</v>
      </c>
      <c r="I154" s="1897">
        <v>0.54613333333333336</v>
      </c>
      <c r="J154" s="1897">
        <v>0.48320000000000002</v>
      </c>
      <c r="K154" s="1897">
        <v>0.44266666666666671</v>
      </c>
      <c r="L154" s="1897">
        <v>0.4874666666666666</v>
      </c>
      <c r="M154" s="1897">
        <v>0.49244444444444446</v>
      </c>
    </row>
    <row r="155" spans="1:13" ht="15">
      <c r="A155" s="1894">
        <f t="shared" si="2"/>
        <v>148</v>
      </c>
      <c r="B155" s="1906" t="s">
        <v>3047</v>
      </c>
      <c r="C155" s="1907" t="s">
        <v>524</v>
      </c>
      <c r="D155" s="1906" t="s">
        <v>636</v>
      </c>
      <c r="E155" s="1907" t="s">
        <v>259</v>
      </c>
      <c r="F155" s="1906">
        <v>150</v>
      </c>
      <c r="G155" s="1897">
        <v>9.0133333333333329E-2</v>
      </c>
      <c r="H155" s="1897">
        <v>7.4666666666666673E-2</v>
      </c>
      <c r="I155" s="1897">
        <v>7.5733333333333347E-2</v>
      </c>
      <c r="J155" s="1897">
        <v>8.8000000000000009E-2</v>
      </c>
      <c r="K155" s="1897">
        <v>7.3066666666666669E-2</v>
      </c>
      <c r="L155" s="1897">
        <v>4.7999999999999994E-2</v>
      </c>
      <c r="M155" s="1897">
        <v>7.4933333333333338E-2</v>
      </c>
    </row>
    <row r="156" spans="1:13" ht="15">
      <c r="A156" s="1894">
        <f t="shared" si="2"/>
        <v>149</v>
      </c>
      <c r="B156" s="1906" t="s">
        <v>3043</v>
      </c>
      <c r="C156" s="1907" t="s">
        <v>524</v>
      </c>
      <c r="D156" s="1906" t="s">
        <v>2966</v>
      </c>
      <c r="E156" s="1907" t="s">
        <v>259</v>
      </c>
      <c r="F156" s="1906">
        <v>150</v>
      </c>
      <c r="G156" s="1897">
        <v>1.1322666666666668</v>
      </c>
      <c r="H156" s="1897">
        <v>1.1215999999999999</v>
      </c>
      <c r="I156" s="1897">
        <v>1.0831999999999999</v>
      </c>
      <c r="J156" s="1897">
        <v>0.81546666666666667</v>
      </c>
      <c r="K156" s="1897">
        <v>0.81279999999999997</v>
      </c>
      <c r="L156" s="1897">
        <v>0.77653333333333341</v>
      </c>
      <c r="M156" s="1897">
        <v>0.95697777777777782</v>
      </c>
    </row>
    <row r="157" spans="1:13" ht="15">
      <c r="A157" s="1894">
        <f t="shared" si="2"/>
        <v>150</v>
      </c>
      <c r="B157" s="1906" t="s">
        <v>3051</v>
      </c>
      <c r="C157" s="1907" t="s">
        <v>524</v>
      </c>
      <c r="D157" s="1906" t="s">
        <v>2966</v>
      </c>
      <c r="E157" s="1907" t="s">
        <v>259</v>
      </c>
      <c r="F157" s="1906">
        <v>150</v>
      </c>
      <c r="G157" s="1897">
        <v>0.70879999999999999</v>
      </c>
      <c r="H157" s="1897">
        <v>0.82079999999999997</v>
      </c>
      <c r="I157" s="1897">
        <v>0.80640000000000001</v>
      </c>
      <c r="J157" s="1897">
        <v>0.32640000000000002</v>
      </c>
      <c r="K157" s="1897">
        <v>0.3992</v>
      </c>
      <c r="L157" s="1897">
        <v>0.11760000000000001</v>
      </c>
      <c r="M157" s="1897">
        <v>0.5298666666666666</v>
      </c>
    </row>
    <row r="158" spans="1:13" ht="15">
      <c r="A158" s="1894">
        <f t="shared" si="2"/>
        <v>151</v>
      </c>
      <c r="B158" s="1906" t="s">
        <v>3044</v>
      </c>
      <c r="C158" s="1907" t="s">
        <v>524</v>
      </c>
      <c r="D158" s="1906" t="s">
        <v>541</v>
      </c>
      <c r="E158" s="1907" t="s">
        <v>259</v>
      </c>
      <c r="F158" s="1906">
        <v>150</v>
      </c>
      <c r="G158" s="1897">
        <v>0.71626666666666661</v>
      </c>
      <c r="H158" s="1897">
        <v>0.72746666666666659</v>
      </c>
      <c r="I158" s="1897">
        <v>0.75360000000000005</v>
      </c>
      <c r="J158" s="1897">
        <v>0.72373333333333323</v>
      </c>
      <c r="K158" s="1897">
        <v>0.5994666666666667</v>
      </c>
      <c r="L158" s="1897">
        <v>0.1552</v>
      </c>
      <c r="M158" s="1897">
        <v>0.61262222222222229</v>
      </c>
    </row>
    <row r="159" spans="1:13" ht="15">
      <c r="A159" s="1894">
        <f t="shared" si="2"/>
        <v>152</v>
      </c>
      <c r="B159" s="1906" t="s">
        <v>3045</v>
      </c>
      <c r="C159" s="1907" t="s">
        <v>524</v>
      </c>
      <c r="D159" s="1906" t="s">
        <v>541</v>
      </c>
      <c r="E159" s="1907" t="s">
        <v>259</v>
      </c>
      <c r="F159" s="1906">
        <v>150</v>
      </c>
      <c r="G159" s="1897">
        <v>0.87946666666666662</v>
      </c>
      <c r="H159" s="1897">
        <v>1.2687999999999999</v>
      </c>
      <c r="I159" s="1897">
        <v>0.90293333333333337</v>
      </c>
      <c r="J159" s="1897">
        <v>0.8992</v>
      </c>
      <c r="K159" s="1897">
        <v>0.93919999999999992</v>
      </c>
      <c r="L159" s="1897">
        <v>0.88426666666666676</v>
      </c>
      <c r="M159" s="1897">
        <v>0.96231111111111112</v>
      </c>
    </row>
    <row r="160" spans="1:13" ht="15">
      <c r="A160" s="1894">
        <f t="shared" si="2"/>
        <v>153</v>
      </c>
      <c r="B160" s="1906" t="s">
        <v>3046</v>
      </c>
      <c r="C160" s="1907" t="s">
        <v>524</v>
      </c>
      <c r="D160" s="1906" t="s">
        <v>541</v>
      </c>
      <c r="E160" s="1907" t="s">
        <v>259</v>
      </c>
      <c r="F160" s="1906">
        <v>150</v>
      </c>
      <c r="G160" s="1897">
        <v>0</v>
      </c>
      <c r="H160" s="1897">
        <v>0</v>
      </c>
      <c r="I160" s="1897">
        <v>0</v>
      </c>
      <c r="J160" s="1897">
        <v>0.80180799999999997</v>
      </c>
      <c r="K160" s="1897">
        <v>0.8096226666666666</v>
      </c>
      <c r="L160" s="1897">
        <v>0.62985333333333327</v>
      </c>
      <c r="M160" s="1897">
        <v>0.37354733333333329</v>
      </c>
    </row>
    <row r="161" spans="1:13" ht="15">
      <c r="A161" s="1894">
        <f t="shared" si="2"/>
        <v>154</v>
      </c>
      <c r="B161" s="1906" t="s">
        <v>2949</v>
      </c>
      <c r="C161" s="1907" t="s">
        <v>524</v>
      </c>
      <c r="D161" s="1906" t="s">
        <v>541</v>
      </c>
      <c r="E161" s="1907" t="s">
        <v>259</v>
      </c>
      <c r="F161" s="1906">
        <v>150</v>
      </c>
      <c r="G161" s="1897">
        <v>1.96</v>
      </c>
      <c r="H161" s="1897">
        <v>1.1439999999999999</v>
      </c>
      <c r="I161" s="1897">
        <v>0.61466666666666669</v>
      </c>
      <c r="J161" s="1897">
        <v>0.46800000000000003</v>
      </c>
      <c r="K161" s="1897">
        <v>0.44133333333333324</v>
      </c>
      <c r="L161" s="1897">
        <v>0.44266666666666671</v>
      </c>
      <c r="M161" s="1897">
        <v>0.84511111111111115</v>
      </c>
    </row>
    <row r="162" spans="1:13" ht="15">
      <c r="A162" s="1894">
        <f t="shared" si="2"/>
        <v>155</v>
      </c>
      <c r="B162" s="1906" t="s">
        <v>3040</v>
      </c>
      <c r="C162" s="1907" t="s">
        <v>524</v>
      </c>
      <c r="D162" s="1906" t="s">
        <v>541</v>
      </c>
      <c r="E162" s="1907" t="s">
        <v>259</v>
      </c>
      <c r="F162" s="1906">
        <v>150</v>
      </c>
      <c r="G162" s="1897">
        <v>0.75360000000000005</v>
      </c>
      <c r="H162" s="1897">
        <v>0.76319999999999999</v>
      </c>
      <c r="I162" s="1897">
        <v>0.76639999999999997</v>
      </c>
      <c r="J162" s="1897">
        <v>0.7002666666666667</v>
      </c>
      <c r="K162" s="1897">
        <v>0.70400000000000007</v>
      </c>
      <c r="L162" s="1897">
        <v>0.68266666666666675</v>
      </c>
      <c r="M162" s="1897">
        <v>0.72835555555555553</v>
      </c>
    </row>
    <row r="163" spans="1:13" ht="15">
      <c r="A163" s="1894">
        <f t="shared" si="2"/>
        <v>156</v>
      </c>
      <c r="B163" s="1906" t="s">
        <v>3048</v>
      </c>
      <c r="C163" s="1907" t="s">
        <v>524</v>
      </c>
      <c r="D163" s="1906" t="s">
        <v>636</v>
      </c>
      <c r="E163" s="1907" t="s">
        <v>259</v>
      </c>
      <c r="F163" s="1906">
        <v>150</v>
      </c>
      <c r="G163" s="1897">
        <v>0.80746666666666667</v>
      </c>
      <c r="H163" s="1897">
        <v>0.8666666666666667</v>
      </c>
      <c r="I163" s="1897">
        <v>0.99626666666666663</v>
      </c>
      <c r="J163" s="1897">
        <v>0.88213333333333332</v>
      </c>
      <c r="K163" s="1897">
        <v>0.80746666666666667</v>
      </c>
      <c r="L163" s="1897">
        <v>0.82186666666666663</v>
      </c>
      <c r="M163" s="1897">
        <v>0.86364444444444455</v>
      </c>
    </row>
    <row r="164" spans="1:13" ht="15">
      <c r="A164" s="1894">
        <f t="shared" si="2"/>
        <v>157</v>
      </c>
      <c r="B164" s="1906" t="s">
        <v>3049</v>
      </c>
      <c r="C164" s="1907" t="s">
        <v>524</v>
      </c>
      <c r="D164" s="1906" t="s">
        <v>636</v>
      </c>
      <c r="E164" s="1907" t="s">
        <v>259</v>
      </c>
      <c r="F164" s="1906">
        <v>150</v>
      </c>
      <c r="G164" s="1897">
        <v>0.69920000000000004</v>
      </c>
      <c r="H164" s="1897">
        <v>0.59840000000000004</v>
      </c>
      <c r="I164" s="1897">
        <v>0.73919999999999997</v>
      </c>
      <c r="J164" s="1897">
        <v>0.73440000000000005</v>
      </c>
      <c r="K164" s="1897">
        <v>0.47360000000000002</v>
      </c>
      <c r="L164" s="1897">
        <v>0.56799999999999995</v>
      </c>
      <c r="M164" s="1897">
        <v>0.63546666666666662</v>
      </c>
    </row>
    <row r="165" spans="1:13" ht="15">
      <c r="A165" s="1894">
        <f t="shared" si="2"/>
        <v>158</v>
      </c>
      <c r="B165" s="1906" t="s">
        <v>3050</v>
      </c>
      <c r="C165" s="1907" t="s">
        <v>524</v>
      </c>
      <c r="D165" s="1906" t="s">
        <v>636</v>
      </c>
      <c r="E165" s="1907" t="s">
        <v>259</v>
      </c>
      <c r="F165" s="1906">
        <v>150</v>
      </c>
      <c r="G165" s="1897">
        <v>9.7600000000000006E-2</v>
      </c>
      <c r="H165" s="1897">
        <v>9.5466666666666672E-2</v>
      </c>
      <c r="I165" s="1897">
        <v>9.6533333333333332E-2</v>
      </c>
      <c r="J165" s="1897">
        <v>0.10773333333333333</v>
      </c>
      <c r="K165" s="1897">
        <v>0.10773333333333333</v>
      </c>
      <c r="L165" s="1897">
        <v>9.6533333333333332E-2</v>
      </c>
      <c r="M165" s="1897">
        <v>0.10026666666666667</v>
      </c>
    </row>
    <row r="166" spans="1:13" ht="15">
      <c r="A166" s="1894">
        <f t="shared" si="2"/>
        <v>159</v>
      </c>
      <c r="B166" s="1906" t="s">
        <v>3554</v>
      </c>
      <c r="C166" s="1907" t="s">
        <v>524</v>
      </c>
      <c r="D166" s="1906" t="s">
        <v>636</v>
      </c>
      <c r="E166" s="1907" t="s">
        <v>259</v>
      </c>
      <c r="F166" s="1906">
        <v>150</v>
      </c>
      <c r="G166" s="1897">
        <v>0</v>
      </c>
      <c r="H166" s="1897">
        <v>0</v>
      </c>
      <c r="I166" s="1897">
        <v>0</v>
      </c>
      <c r="J166" s="1897">
        <v>0</v>
      </c>
      <c r="K166" s="1897">
        <v>0</v>
      </c>
      <c r="L166" s="1897">
        <v>0.67735999999999996</v>
      </c>
      <c r="M166" s="1897">
        <v>0.11289333333333333</v>
      </c>
    </row>
    <row r="167" spans="1:13" ht="15">
      <c r="A167" s="1894">
        <f t="shared" si="2"/>
        <v>160</v>
      </c>
      <c r="B167" s="1906" t="s">
        <v>3052</v>
      </c>
      <c r="C167" s="1907" t="s">
        <v>524</v>
      </c>
      <c r="D167" s="1906" t="s">
        <v>636</v>
      </c>
      <c r="E167" s="1907" t="s">
        <v>259</v>
      </c>
      <c r="F167" s="1906">
        <v>151</v>
      </c>
      <c r="G167" s="1897">
        <v>1.6079470198675495E-2</v>
      </c>
      <c r="H167" s="1897">
        <v>1.2480582781456953</v>
      </c>
      <c r="I167" s="1897">
        <v>1.5395629139072846</v>
      </c>
      <c r="J167" s="1897">
        <v>1.4933456953642386</v>
      </c>
      <c r="K167" s="1897">
        <v>1.6502913907284766</v>
      </c>
      <c r="L167" s="1897">
        <v>1.2282119205298014</v>
      </c>
      <c r="M167" s="1897">
        <v>1.1959249448123621</v>
      </c>
    </row>
    <row r="168" spans="1:13" ht="15">
      <c r="A168" s="1894">
        <f t="shared" si="2"/>
        <v>161</v>
      </c>
      <c r="B168" s="1906" t="s">
        <v>3555</v>
      </c>
      <c r="C168" s="1907" t="s">
        <v>524</v>
      </c>
      <c r="D168" s="1906" t="s">
        <v>541</v>
      </c>
      <c r="E168" s="1907" t="s">
        <v>259</v>
      </c>
      <c r="F168" s="1906">
        <v>151.19999999999999</v>
      </c>
      <c r="G168" s="1897">
        <v>0</v>
      </c>
      <c r="H168" s="1897">
        <v>0.44074074074074077</v>
      </c>
      <c r="I168" s="1897">
        <v>0.39100529100529102</v>
      </c>
      <c r="J168" s="1897">
        <v>0.46455026455026466</v>
      </c>
      <c r="K168" s="1897">
        <v>0.40000000000000008</v>
      </c>
      <c r="L168" s="1897">
        <v>0.41322751322751328</v>
      </c>
      <c r="M168" s="1897">
        <v>0.35158730158730167</v>
      </c>
    </row>
    <row r="169" spans="1:13" ht="15">
      <c r="A169" s="1894">
        <f t="shared" si="2"/>
        <v>162</v>
      </c>
      <c r="B169" s="1906" t="s">
        <v>3054</v>
      </c>
      <c r="C169" s="1907" t="s">
        <v>524</v>
      </c>
      <c r="D169" s="1906" t="s">
        <v>541</v>
      </c>
      <c r="E169" s="1907" t="s">
        <v>259</v>
      </c>
      <c r="F169" s="1906">
        <v>152</v>
      </c>
      <c r="G169" s="1897">
        <v>0.24631578947368418</v>
      </c>
      <c r="H169" s="1897">
        <v>0.45</v>
      </c>
      <c r="I169" s="1897">
        <v>0.12868421052631579</v>
      </c>
      <c r="J169" s="1897">
        <v>3.6315789473684211E-2</v>
      </c>
      <c r="K169" s="1897">
        <v>0.47131578947368419</v>
      </c>
      <c r="L169" s="1897">
        <v>0.75315789473684214</v>
      </c>
      <c r="M169" s="1897">
        <v>0.34763157894736846</v>
      </c>
    </row>
    <row r="170" spans="1:13" ht="15">
      <c r="A170" s="1894">
        <f t="shared" si="2"/>
        <v>163</v>
      </c>
      <c r="B170" s="1906" t="s">
        <v>3053</v>
      </c>
      <c r="C170" s="1907" t="s">
        <v>524</v>
      </c>
      <c r="D170" s="1906" t="s">
        <v>623</v>
      </c>
      <c r="E170" s="1907" t="s">
        <v>259</v>
      </c>
      <c r="F170" s="1906">
        <v>152</v>
      </c>
      <c r="G170" s="1897">
        <v>0.54473684210526319</v>
      </c>
      <c r="H170" s="1897">
        <v>0.48789473684210521</v>
      </c>
      <c r="I170" s="1897">
        <v>0.49842105263157899</v>
      </c>
      <c r="J170" s="1897">
        <v>0.508421052631579</v>
      </c>
      <c r="K170" s="1897">
        <v>0.49157894736842106</v>
      </c>
      <c r="L170" s="1897">
        <v>0.50105263157894742</v>
      </c>
      <c r="M170" s="1897">
        <v>0.50535087719298244</v>
      </c>
    </row>
    <row r="171" spans="1:13" ht="15">
      <c r="A171" s="1894">
        <f t="shared" si="2"/>
        <v>164</v>
      </c>
      <c r="B171" s="1906" t="s">
        <v>3055</v>
      </c>
      <c r="C171" s="1907" t="s">
        <v>524</v>
      </c>
      <c r="D171" s="1906" t="s">
        <v>541</v>
      </c>
      <c r="E171" s="1907" t="s">
        <v>259</v>
      </c>
      <c r="F171" s="1906">
        <v>152</v>
      </c>
      <c r="G171" s="1897">
        <v>1.868421052631579</v>
      </c>
      <c r="H171" s="1897">
        <v>1.5842105263157893</v>
      </c>
      <c r="I171" s="1897">
        <v>2.3210526315789473</v>
      </c>
      <c r="J171" s="1897">
        <v>1.9578947368421054</v>
      </c>
      <c r="K171" s="1897">
        <v>2.1421052631578945</v>
      </c>
      <c r="L171" s="1897">
        <v>2.2421052631578946</v>
      </c>
      <c r="M171" s="1897">
        <v>2.0192982456140349</v>
      </c>
    </row>
    <row r="172" spans="1:13" ht="15">
      <c r="A172" s="1894">
        <f t="shared" si="2"/>
        <v>165</v>
      </c>
      <c r="B172" s="1906" t="s">
        <v>3056</v>
      </c>
      <c r="C172" s="1907" t="s">
        <v>524</v>
      </c>
      <c r="D172" s="1906" t="s">
        <v>541</v>
      </c>
      <c r="E172" s="1907" t="s">
        <v>259</v>
      </c>
      <c r="F172" s="1906">
        <v>153</v>
      </c>
      <c r="G172" s="1897">
        <v>9.9869281045751629E-2</v>
      </c>
      <c r="H172" s="1897">
        <v>0.51921568627450976</v>
      </c>
      <c r="I172" s="1897">
        <v>0.51973856209150326</v>
      </c>
      <c r="J172" s="1897">
        <v>0.48000000000000009</v>
      </c>
      <c r="K172" s="1897">
        <v>0.47529411764705881</v>
      </c>
      <c r="L172" s="1897">
        <v>0.47372549019607846</v>
      </c>
      <c r="M172" s="1897">
        <v>0.42797385620915024</v>
      </c>
    </row>
    <row r="173" spans="1:13" ht="15">
      <c r="A173" s="1894">
        <f t="shared" si="2"/>
        <v>166</v>
      </c>
      <c r="B173" s="1906" t="s">
        <v>3057</v>
      </c>
      <c r="C173" s="1907" t="s">
        <v>524</v>
      </c>
      <c r="D173" s="1906" t="s">
        <v>541</v>
      </c>
      <c r="E173" s="1907" t="s">
        <v>259</v>
      </c>
      <c r="F173" s="1906">
        <v>154</v>
      </c>
      <c r="G173" s="1897">
        <v>0.72</v>
      </c>
      <c r="H173" s="1897">
        <v>0.70649350649350662</v>
      </c>
      <c r="I173" s="1897">
        <v>0.7293506493506493</v>
      </c>
      <c r="J173" s="1897">
        <v>0.54961038961038966</v>
      </c>
      <c r="K173" s="1897">
        <v>0.57038961038961034</v>
      </c>
      <c r="L173" s="1897">
        <v>0.76259740259740272</v>
      </c>
      <c r="M173" s="1897">
        <v>0.67307359307359305</v>
      </c>
    </row>
    <row r="174" spans="1:13" ht="15">
      <c r="A174" s="1894">
        <f t="shared" si="2"/>
        <v>167</v>
      </c>
      <c r="B174" s="1906" t="s">
        <v>3058</v>
      </c>
      <c r="C174" s="1907" t="s">
        <v>524</v>
      </c>
      <c r="D174" s="1906" t="s">
        <v>541</v>
      </c>
      <c r="E174" s="1907" t="s">
        <v>259</v>
      </c>
      <c r="F174" s="1906">
        <v>154</v>
      </c>
      <c r="G174" s="1897">
        <v>0.54337662337662329</v>
      </c>
      <c r="H174" s="1897">
        <v>0.55896103896103899</v>
      </c>
      <c r="I174" s="1897">
        <v>0.81194805194805186</v>
      </c>
      <c r="J174" s="1897">
        <v>0.81714285714285717</v>
      </c>
      <c r="K174" s="1897">
        <v>0.73558441558441556</v>
      </c>
      <c r="L174" s="1897">
        <v>0.86753246753246749</v>
      </c>
      <c r="M174" s="1897">
        <v>0.7224242424242423</v>
      </c>
    </row>
    <row r="175" spans="1:13" ht="15">
      <c r="A175" s="1894">
        <f t="shared" si="2"/>
        <v>168</v>
      </c>
      <c r="B175" s="1906" t="s">
        <v>3061</v>
      </c>
      <c r="C175" s="1907" t="s">
        <v>2930</v>
      </c>
      <c r="D175" s="1906" t="s">
        <v>2966</v>
      </c>
      <c r="E175" s="1907" t="s">
        <v>259</v>
      </c>
      <c r="F175" s="1906">
        <v>156</v>
      </c>
      <c r="G175" s="1897">
        <v>0.66564102564102567</v>
      </c>
      <c r="H175" s="1897">
        <v>0.61128205128205126</v>
      </c>
      <c r="I175" s="1897">
        <v>0.61538461538461542</v>
      </c>
      <c r="J175" s="1897">
        <v>0</v>
      </c>
      <c r="K175" s="1897">
        <v>0</v>
      </c>
      <c r="L175" s="1897">
        <v>0</v>
      </c>
      <c r="M175" s="1897">
        <v>0.31538461538461537</v>
      </c>
    </row>
    <row r="176" spans="1:13" ht="15">
      <c r="A176" s="1894">
        <f t="shared" si="2"/>
        <v>169</v>
      </c>
      <c r="B176" s="1906" t="s">
        <v>3556</v>
      </c>
      <c r="C176" s="1907" t="s">
        <v>524</v>
      </c>
      <c r="D176" s="1906" t="s">
        <v>636</v>
      </c>
      <c r="E176" s="1907" t="s">
        <v>259</v>
      </c>
      <c r="F176" s="1906">
        <v>156</v>
      </c>
      <c r="G176" s="1897">
        <v>0</v>
      </c>
      <c r="H176" s="1897">
        <v>0.56807692307692315</v>
      </c>
      <c r="I176" s="1897">
        <v>0.56797435897435899</v>
      </c>
      <c r="J176" s="1897">
        <v>0.58829230769230767</v>
      </c>
      <c r="K176" s="1897">
        <v>0.50938461538461532</v>
      </c>
      <c r="L176" s="1897">
        <v>0.5847820512820513</v>
      </c>
      <c r="M176" s="1897">
        <v>0.46975170940170941</v>
      </c>
    </row>
    <row r="177" spans="1:13" ht="15">
      <c r="A177" s="1894">
        <f t="shared" si="2"/>
        <v>170</v>
      </c>
      <c r="B177" s="1906" t="s">
        <v>3062</v>
      </c>
      <c r="C177" s="1907" t="s">
        <v>524</v>
      </c>
      <c r="D177" s="1906" t="s">
        <v>541</v>
      </c>
      <c r="E177" s="1907" t="s">
        <v>259</v>
      </c>
      <c r="F177" s="1906">
        <v>156</v>
      </c>
      <c r="G177" s="1897">
        <v>0.58769230769230763</v>
      </c>
      <c r="H177" s="1897">
        <v>0.56564102564102559</v>
      </c>
      <c r="I177" s="1897">
        <v>0.57487179487179496</v>
      </c>
      <c r="J177" s="1897">
        <v>0.5938461538461538</v>
      </c>
      <c r="K177" s="1897">
        <v>0.69487179487179496</v>
      </c>
      <c r="L177" s="1897">
        <v>0.69794871794871793</v>
      </c>
      <c r="M177" s="1897">
        <v>0.61914529914529914</v>
      </c>
    </row>
    <row r="178" spans="1:13" ht="15">
      <c r="A178" s="1894">
        <f t="shared" si="2"/>
        <v>171</v>
      </c>
      <c r="B178" s="1906" t="s">
        <v>3063</v>
      </c>
      <c r="C178" s="1907" t="s">
        <v>524</v>
      </c>
      <c r="D178" s="1906" t="s">
        <v>541</v>
      </c>
      <c r="E178" s="1907" t="s">
        <v>259</v>
      </c>
      <c r="F178" s="1906">
        <v>156</v>
      </c>
      <c r="G178" s="1897">
        <v>1.9999999999999997E-2</v>
      </c>
      <c r="H178" s="1897">
        <v>1.4358974358974357E-2</v>
      </c>
      <c r="I178" s="1897">
        <v>1.2307692307692308E-2</v>
      </c>
      <c r="J178" s="1897">
        <v>1.5897435897435898E-2</v>
      </c>
      <c r="K178" s="1897">
        <v>1.8974358974358976E-2</v>
      </c>
      <c r="L178" s="1897">
        <v>1.282051282051282E-2</v>
      </c>
      <c r="M178" s="1897">
        <v>1.5726495726495725E-2</v>
      </c>
    </row>
    <row r="179" spans="1:13" ht="15">
      <c r="A179" s="1894">
        <f t="shared" si="2"/>
        <v>172</v>
      </c>
      <c r="B179" s="1906" t="s">
        <v>3064</v>
      </c>
      <c r="C179" s="1907" t="s">
        <v>524</v>
      </c>
      <c r="D179" s="1906" t="s">
        <v>541</v>
      </c>
      <c r="E179" s="1907" t="s">
        <v>259</v>
      </c>
      <c r="F179" s="1906">
        <v>156</v>
      </c>
      <c r="G179" s="1897">
        <v>0.55076923076923079</v>
      </c>
      <c r="H179" s="1897">
        <v>0.61846153846153851</v>
      </c>
      <c r="I179" s="1897">
        <v>0.57923076923076933</v>
      </c>
      <c r="J179" s="1897">
        <v>0.61153846153846159</v>
      </c>
      <c r="K179" s="1897">
        <v>0.64846153846153842</v>
      </c>
      <c r="L179" s="1897">
        <v>0.75384615384615394</v>
      </c>
      <c r="M179" s="1897">
        <v>0.62705128205128213</v>
      </c>
    </row>
    <row r="180" spans="1:13" ht="15">
      <c r="A180" s="1894">
        <f t="shared" si="2"/>
        <v>173</v>
      </c>
      <c r="B180" s="1906" t="s">
        <v>3059</v>
      </c>
      <c r="C180" s="1907" t="s">
        <v>524</v>
      </c>
      <c r="D180" s="1906" t="s">
        <v>541</v>
      </c>
      <c r="E180" s="1907" t="s">
        <v>259</v>
      </c>
      <c r="F180" s="1906">
        <v>156</v>
      </c>
      <c r="G180" s="1897">
        <v>0.85769230769230775</v>
      </c>
      <c r="H180" s="1897">
        <v>0.73461538461538467</v>
      </c>
      <c r="I180" s="1897">
        <v>0.61</v>
      </c>
      <c r="J180" s="1897">
        <v>0.68692307692307697</v>
      </c>
      <c r="K180" s="1897">
        <v>0.66</v>
      </c>
      <c r="L180" s="1897">
        <v>0.67153846153846153</v>
      </c>
      <c r="M180" s="1897">
        <v>0.70346153846153847</v>
      </c>
    </row>
    <row r="181" spans="1:13" ht="15">
      <c r="A181" s="1894">
        <f t="shared" si="2"/>
        <v>174</v>
      </c>
      <c r="B181" s="1906" t="s">
        <v>3060</v>
      </c>
      <c r="C181" s="1907" t="s">
        <v>524</v>
      </c>
      <c r="D181" s="1906" t="s">
        <v>541</v>
      </c>
      <c r="E181" s="1907" t="s">
        <v>259</v>
      </c>
      <c r="F181" s="1906">
        <v>156</v>
      </c>
      <c r="G181" s="1897">
        <v>0.738525641025641</v>
      </c>
      <c r="H181" s="1897">
        <v>2.4727179487179489</v>
      </c>
      <c r="I181" s="1897">
        <v>0.58964102564102561</v>
      </c>
      <c r="J181" s="1897">
        <v>0.63898461538461537</v>
      </c>
      <c r="K181" s="1897">
        <v>0.69181538461538461</v>
      </c>
      <c r="L181" s="1897">
        <v>0.79502564102564099</v>
      </c>
      <c r="M181" s="1897">
        <v>0.98778504273504286</v>
      </c>
    </row>
    <row r="182" spans="1:13" ht="15">
      <c r="A182" s="1894">
        <f t="shared" si="2"/>
        <v>175</v>
      </c>
      <c r="B182" s="1906" t="s">
        <v>3068</v>
      </c>
      <c r="C182" s="1907" t="s">
        <v>524</v>
      </c>
      <c r="D182" s="1906" t="s">
        <v>541</v>
      </c>
      <c r="E182" s="1907" t="s">
        <v>259</v>
      </c>
      <c r="F182" s="1906">
        <v>160</v>
      </c>
      <c r="G182" s="1897">
        <v>0.95649999999999991</v>
      </c>
      <c r="H182" s="1897">
        <v>0.96899999999999997</v>
      </c>
      <c r="I182" s="1897">
        <v>1.2570000000000001</v>
      </c>
      <c r="J182" s="1897">
        <v>1.1225000000000001</v>
      </c>
      <c r="K182" s="1897">
        <v>1.2795000000000001</v>
      </c>
      <c r="L182" s="1897">
        <v>1.1315</v>
      </c>
      <c r="M182" s="1897">
        <v>1.1193333333333333</v>
      </c>
    </row>
    <row r="183" spans="1:13" ht="15">
      <c r="A183" s="1894">
        <f t="shared" si="2"/>
        <v>176</v>
      </c>
      <c r="B183" s="1906" t="s">
        <v>3066</v>
      </c>
      <c r="C183" s="1907" t="s">
        <v>524</v>
      </c>
      <c r="D183" s="1906" t="s">
        <v>636</v>
      </c>
      <c r="E183" s="1907" t="s">
        <v>259</v>
      </c>
      <c r="F183" s="1906">
        <v>160</v>
      </c>
      <c r="G183" s="1897">
        <v>0.73099999999999998</v>
      </c>
      <c r="H183" s="1897">
        <v>0.70499999999999985</v>
      </c>
      <c r="I183" s="1897">
        <v>0.72900000000000009</v>
      </c>
      <c r="J183" s="1897">
        <v>0.69800000000000006</v>
      </c>
      <c r="K183" s="1897">
        <v>0.72799999999999998</v>
      </c>
      <c r="L183" s="1897">
        <v>0.77</v>
      </c>
      <c r="M183" s="1897">
        <v>0.72683333333333344</v>
      </c>
    </row>
    <row r="184" spans="1:13" ht="15">
      <c r="A184" s="1894">
        <f t="shared" si="2"/>
        <v>177</v>
      </c>
      <c r="B184" s="1906" t="s">
        <v>3069</v>
      </c>
      <c r="C184" s="1907" t="s">
        <v>524</v>
      </c>
      <c r="D184" s="1906" t="s">
        <v>636</v>
      </c>
      <c r="E184" s="1907" t="s">
        <v>259</v>
      </c>
      <c r="F184" s="1906">
        <v>160</v>
      </c>
      <c r="G184" s="1897">
        <v>0.27374999999999999</v>
      </c>
      <c r="H184" s="1897">
        <v>0.32324999999999998</v>
      </c>
      <c r="I184" s="1897">
        <v>0.34649999999999997</v>
      </c>
      <c r="J184" s="1897">
        <v>0.31274999999999997</v>
      </c>
      <c r="K184" s="1897">
        <v>0.29549999999999998</v>
      </c>
      <c r="L184" s="1897">
        <v>0.29625000000000001</v>
      </c>
      <c r="M184" s="1897">
        <v>0.30800000000000005</v>
      </c>
    </row>
    <row r="185" spans="1:13" ht="15">
      <c r="A185" s="1894">
        <f t="shared" si="2"/>
        <v>178</v>
      </c>
      <c r="B185" s="1906" t="s">
        <v>3067</v>
      </c>
      <c r="C185" s="1907" t="s">
        <v>524</v>
      </c>
      <c r="D185" s="1906" t="s">
        <v>541</v>
      </c>
      <c r="E185" s="1907" t="s">
        <v>259</v>
      </c>
      <c r="F185" s="1906">
        <v>160</v>
      </c>
      <c r="G185" s="1897">
        <v>0.63250000000000006</v>
      </c>
      <c r="H185" s="1897">
        <v>0.5734999999999999</v>
      </c>
      <c r="I185" s="1897">
        <v>0.59050000000000002</v>
      </c>
      <c r="J185" s="1897">
        <v>0.63800000000000001</v>
      </c>
      <c r="K185" s="1897">
        <v>6.3799999999999994E-3</v>
      </c>
      <c r="L185" s="1897">
        <v>0.34742499999999998</v>
      </c>
      <c r="M185" s="1897">
        <v>0.46471749999999995</v>
      </c>
    </row>
    <row r="186" spans="1:13" ht="15">
      <c r="A186" s="1894">
        <f t="shared" si="2"/>
        <v>179</v>
      </c>
      <c r="B186" s="1906" t="s">
        <v>3065</v>
      </c>
      <c r="C186" s="1907" t="s">
        <v>524</v>
      </c>
      <c r="D186" s="1906" t="s">
        <v>541</v>
      </c>
      <c r="E186" s="1907" t="s">
        <v>259</v>
      </c>
      <c r="F186" s="1906">
        <v>160</v>
      </c>
      <c r="G186" s="1897">
        <v>0.93375000000000008</v>
      </c>
      <c r="H186" s="1897">
        <v>0.97275000000000011</v>
      </c>
      <c r="I186" s="1897">
        <v>0.97724999999999995</v>
      </c>
      <c r="J186" s="1897">
        <v>1.06575</v>
      </c>
      <c r="K186" s="1897">
        <v>1.0695000000000001</v>
      </c>
      <c r="L186" s="1897">
        <v>7.3499999999999996E-2</v>
      </c>
      <c r="M186" s="1897">
        <v>0.84875</v>
      </c>
    </row>
    <row r="187" spans="1:13" ht="15">
      <c r="A187" s="1894">
        <f t="shared" si="2"/>
        <v>180</v>
      </c>
      <c r="B187" s="1906" t="s">
        <v>3070</v>
      </c>
      <c r="C187" s="1907" t="s">
        <v>524</v>
      </c>
      <c r="D187" s="1906" t="s">
        <v>629</v>
      </c>
      <c r="E187" s="1907" t="s">
        <v>259</v>
      </c>
      <c r="F187" s="1906">
        <v>160</v>
      </c>
      <c r="G187" s="1897">
        <v>0.42700000000000005</v>
      </c>
      <c r="H187" s="1897">
        <v>0.40550000000000008</v>
      </c>
      <c r="I187" s="1897">
        <v>0.42099999999999999</v>
      </c>
      <c r="J187" s="1897">
        <v>0.43049999999999999</v>
      </c>
      <c r="K187" s="1897">
        <v>0.43150000000000005</v>
      </c>
      <c r="L187" s="1897">
        <v>0.41500000000000004</v>
      </c>
      <c r="M187" s="1897">
        <v>0.42175000000000007</v>
      </c>
    </row>
    <row r="188" spans="1:13" ht="15">
      <c r="A188" s="1894">
        <f t="shared" si="2"/>
        <v>181</v>
      </c>
      <c r="B188" s="1906" t="s">
        <v>3071</v>
      </c>
      <c r="C188" s="1907" t="s">
        <v>524</v>
      </c>
      <c r="D188" s="1906" t="s">
        <v>541</v>
      </c>
      <c r="E188" s="1907" t="s">
        <v>259</v>
      </c>
      <c r="F188" s="1906">
        <v>161</v>
      </c>
      <c r="G188" s="1897">
        <v>0.56944099378881985</v>
      </c>
      <c r="H188" s="1897">
        <v>0.448695652173913</v>
      </c>
      <c r="I188" s="1897">
        <v>0.42484472049689442</v>
      </c>
      <c r="J188" s="1897">
        <v>0.1401242236024845</v>
      </c>
      <c r="K188" s="1897">
        <v>0.42931677018633541</v>
      </c>
      <c r="L188" s="1897">
        <v>0.41590062111801246</v>
      </c>
      <c r="M188" s="1897">
        <v>0.40472049689440986</v>
      </c>
    </row>
    <row r="189" spans="1:13" ht="15">
      <c r="A189" s="1894">
        <f t="shared" si="2"/>
        <v>182</v>
      </c>
      <c r="B189" s="1906" t="s">
        <v>3072</v>
      </c>
      <c r="C189" s="1907" t="s">
        <v>524</v>
      </c>
      <c r="D189" s="1906" t="s">
        <v>541</v>
      </c>
      <c r="E189" s="1907" t="s">
        <v>259</v>
      </c>
      <c r="F189" s="1906">
        <v>161</v>
      </c>
      <c r="G189" s="1897">
        <v>1.0941614906832298</v>
      </c>
      <c r="H189" s="1897">
        <v>1.0713043478260871</v>
      </c>
      <c r="I189" s="1897">
        <v>1.133416149068323</v>
      </c>
      <c r="J189" s="1897">
        <v>1.1249689440993789</v>
      </c>
      <c r="K189" s="1897">
        <v>1.111055900621118</v>
      </c>
      <c r="L189" s="1897">
        <v>0.68621118012422366</v>
      </c>
      <c r="M189" s="1897">
        <v>1.0368530020703934</v>
      </c>
    </row>
    <row r="190" spans="1:13" ht="15">
      <c r="A190" s="1894">
        <f t="shared" si="2"/>
        <v>183</v>
      </c>
      <c r="B190" s="1906" t="s">
        <v>3073</v>
      </c>
      <c r="C190" s="1907" t="s">
        <v>524</v>
      </c>
      <c r="D190" s="1906" t="s">
        <v>541</v>
      </c>
      <c r="E190" s="1907" t="s">
        <v>259</v>
      </c>
      <c r="F190" s="1906">
        <v>162</v>
      </c>
      <c r="G190" s="1897">
        <v>0.99358024691358016</v>
      </c>
      <c r="H190" s="1897">
        <v>1.1891358024691356</v>
      </c>
      <c r="I190" s="1897">
        <v>1.1170370370370371</v>
      </c>
      <c r="J190" s="1897">
        <v>1.1071604938271606</v>
      </c>
      <c r="K190" s="1897">
        <v>1.4034567901234569</v>
      </c>
      <c r="L190" s="1897">
        <v>1.0281481481481483</v>
      </c>
      <c r="M190" s="1897">
        <v>1.1397530864197531</v>
      </c>
    </row>
    <row r="191" spans="1:13" ht="15">
      <c r="A191" s="1894">
        <f t="shared" si="2"/>
        <v>184</v>
      </c>
      <c r="B191" s="1906" t="s">
        <v>3557</v>
      </c>
      <c r="C191" s="1907" t="s">
        <v>524</v>
      </c>
      <c r="D191" s="1906" t="s">
        <v>636</v>
      </c>
      <c r="E191" s="1907" t="s">
        <v>259</v>
      </c>
      <c r="F191" s="1906">
        <v>163</v>
      </c>
      <c r="G191" s="1897">
        <v>0</v>
      </c>
      <c r="H191" s="1897">
        <v>0</v>
      </c>
      <c r="I191" s="1897">
        <v>0</v>
      </c>
      <c r="J191" s="1897">
        <v>0</v>
      </c>
      <c r="K191" s="1897">
        <v>0.41300613496932509</v>
      </c>
      <c r="L191" s="1897">
        <v>0.30257668711656444</v>
      </c>
      <c r="M191" s="1897">
        <v>0.11926380368098159</v>
      </c>
    </row>
    <row r="192" spans="1:13" ht="15">
      <c r="A192" s="1894">
        <f t="shared" si="2"/>
        <v>185</v>
      </c>
      <c r="B192" s="1906" t="s">
        <v>3075</v>
      </c>
      <c r="C192" s="1907" t="s">
        <v>524</v>
      </c>
      <c r="D192" s="1906" t="s">
        <v>636</v>
      </c>
      <c r="E192" s="1907" t="s">
        <v>259</v>
      </c>
      <c r="F192" s="1906">
        <v>165</v>
      </c>
      <c r="G192" s="1897">
        <v>0.10521212121212122</v>
      </c>
      <c r="H192" s="1897">
        <v>0.1183030303030303</v>
      </c>
      <c r="I192" s="1897">
        <v>0.13575757575757574</v>
      </c>
      <c r="J192" s="1897">
        <v>0.10957575757575756</v>
      </c>
      <c r="K192" s="1897">
        <v>0.10666666666666667</v>
      </c>
      <c r="L192" s="1897">
        <v>0.10084848484848485</v>
      </c>
      <c r="M192" s="1897">
        <v>0.11272727272727272</v>
      </c>
    </row>
    <row r="193" spans="1:13" ht="15">
      <c r="A193" s="1894">
        <f t="shared" si="2"/>
        <v>186</v>
      </c>
      <c r="B193" s="1906" t="s">
        <v>3074</v>
      </c>
      <c r="C193" s="1907" t="s">
        <v>524</v>
      </c>
      <c r="D193" s="1906" t="s">
        <v>623</v>
      </c>
      <c r="E193" s="1907" t="s">
        <v>259</v>
      </c>
      <c r="F193" s="1906">
        <v>165</v>
      </c>
      <c r="G193" s="1897">
        <v>0.39369696969696966</v>
      </c>
      <c r="H193" s="1897">
        <v>0.30448484848484847</v>
      </c>
      <c r="I193" s="1897">
        <v>0.31224242424242421</v>
      </c>
      <c r="J193" s="1897">
        <v>0.30157575757575755</v>
      </c>
      <c r="K193" s="1897">
        <v>0.30157575757575755</v>
      </c>
      <c r="L193" s="1897">
        <v>0.29672727272727273</v>
      </c>
      <c r="M193" s="1897">
        <v>0.31838383838383838</v>
      </c>
    </row>
    <row r="194" spans="1:13" ht="15">
      <c r="A194" s="1894">
        <f t="shared" si="2"/>
        <v>187</v>
      </c>
      <c r="B194" s="1906" t="s">
        <v>3094</v>
      </c>
      <c r="C194" s="1907" t="s">
        <v>524</v>
      </c>
      <c r="D194" s="1906" t="s">
        <v>541</v>
      </c>
      <c r="E194" s="1907" t="s">
        <v>259</v>
      </c>
      <c r="F194" s="1906">
        <v>167</v>
      </c>
      <c r="G194" s="1897">
        <v>5.0299401197604794E-2</v>
      </c>
      <c r="H194" s="1897">
        <v>3.3532934131736532E-2</v>
      </c>
      <c r="I194" s="1897">
        <v>0.17580838323353296</v>
      </c>
      <c r="J194" s="1897">
        <v>4.0239520958083828E-2</v>
      </c>
      <c r="K194" s="1897">
        <v>6.6586826347305381E-2</v>
      </c>
      <c r="L194" s="1897">
        <v>4.4550898203592815E-2</v>
      </c>
      <c r="M194" s="1897">
        <v>6.8502994011976057E-2</v>
      </c>
    </row>
    <row r="195" spans="1:13" ht="15">
      <c r="A195" s="1894">
        <f t="shared" si="2"/>
        <v>188</v>
      </c>
      <c r="B195" s="1906" t="s">
        <v>3095</v>
      </c>
      <c r="C195" s="1907" t="s">
        <v>524</v>
      </c>
      <c r="D195" s="1906" t="s">
        <v>636</v>
      </c>
      <c r="E195" s="1907" t="s">
        <v>259</v>
      </c>
      <c r="F195" s="1906">
        <v>167</v>
      </c>
      <c r="G195" s="1897">
        <v>0.18035928143712576</v>
      </c>
      <c r="H195" s="1897">
        <v>0.1897005988023952</v>
      </c>
      <c r="I195" s="1897">
        <v>0.19904191616766467</v>
      </c>
      <c r="J195" s="1897">
        <v>0.18538922155688622</v>
      </c>
      <c r="K195" s="1897">
        <v>0.1897005988023952</v>
      </c>
      <c r="L195" s="1897">
        <v>0.19904191616766467</v>
      </c>
      <c r="M195" s="1897">
        <v>0.1905389221556886</v>
      </c>
    </row>
    <row r="196" spans="1:13" ht="15">
      <c r="A196" s="1894">
        <f t="shared" si="2"/>
        <v>189</v>
      </c>
      <c r="B196" s="1906" t="s">
        <v>3099</v>
      </c>
      <c r="C196" s="1907" t="s">
        <v>524</v>
      </c>
      <c r="D196" s="1906" t="s">
        <v>2966</v>
      </c>
      <c r="E196" s="1907" t="s">
        <v>259</v>
      </c>
      <c r="F196" s="1906">
        <v>167</v>
      </c>
      <c r="G196" s="1897">
        <v>0.99401197604790414</v>
      </c>
      <c r="H196" s="1897">
        <v>1.1152095808383233</v>
      </c>
      <c r="I196" s="1897">
        <v>0.93652694610778442</v>
      </c>
      <c r="J196" s="1897">
        <v>0.90299401197604801</v>
      </c>
      <c r="K196" s="1897">
        <v>1.0788023952095809</v>
      </c>
      <c r="L196" s="1897">
        <v>1.2047904191616765</v>
      </c>
      <c r="M196" s="1897">
        <v>1.0387225548902197</v>
      </c>
    </row>
    <row r="197" spans="1:13" ht="15">
      <c r="A197" s="1894">
        <f t="shared" si="2"/>
        <v>190</v>
      </c>
      <c r="B197" s="1906" t="s">
        <v>3077</v>
      </c>
      <c r="C197" s="1907" t="s">
        <v>524</v>
      </c>
      <c r="D197" s="1906" t="s">
        <v>541</v>
      </c>
      <c r="E197" s="1907" t="s">
        <v>259</v>
      </c>
      <c r="F197" s="1906">
        <v>167</v>
      </c>
      <c r="G197" s="1897">
        <v>0.33437125748502994</v>
      </c>
      <c r="H197" s="1897">
        <v>0.32862275449101791</v>
      </c>
      <c r="I197" s="1897">
        <v>0.57772455089820363</v>
      </c>
      <c r="J197" s="1897">
        <v>0.29317365269461076</v>
      </c>
      <c r="K197" s="1897">
        <v>0.27592814371257485</v>
      </c>
      <c r="L197" s="1897">
        <v>0.31616766467065871</v>
      </c>
      <c r="M197" s="1897">
        <v>0.35433133732534933</v>
      </c>
    </row>
    <row r="198" spans="1:13" ht="15">
      <c r="A198" s="1894">
        <f t="shared" si="2"/>
        <v>191</v>
      </c>
      <c r="B198" s="1906" t="s">
        <v>3088</v>
      </c>
      <c r="C198" s="1907" t="s">
        <v>524</v>
      </c>
      <c r="D198" s="1906" t="s">
        <v>541</v>
      </c>
      <c r="E198" s="1907" t="s">
        <v>259</v>
      </c>
      <c r="F198" s="1906">
        <v>167</v>
      </c>
      <c r="G198" s="1897">
        <v>0.10131736526946107</v>
      </c>
      <c r="H198" s="1897">
        <v>0.10706586826347304</v>
      </c>
      <c r="I198" s="1897">
        <v>0.10347305389221557</v>
      </c>
      <c r="J198" s="1897">
        <v>0.10275449101796408</v>
      </c>
      <c r="K198" s="1897">
        <v>0.10850299401197605</v>
      </c>
      <c r="L198" s="1897">
        <v>0.12862275449101795</v>
      </c>
      <c r="M198" s="1897">
        <v>0.10862275449101795</v>
      </c>
    </row>
    <row r="199" spans="1:13" ht="15">
      <c r="A199" s="1894">
        <f t="shared" si="2"/>
        <v>192</v>
      </c>
      <c r="B199" s="1906" t="s">
        <v>3096</v>
      </c>
      <c r="C199" s="1907" t="s">
        <v>524</v>
      </c>
      <c r="D199" s="1906" t="s">
        <v>541</v>
      </c>
      <c r="E199" s="1907" t="s">
        <v>259</v>
      </c>
      <c r="F199" s="1906">
        <v>167</v>
      </c>
      <c r="G199" s="1897">
        <v>0.24</v>
      </c>
      <c r="H199" s="1897">
        <v>0.31976047904191618</v>
      </c>
      <c r="I199" s="1897">
        <v>0.25365269461077844</v>
      </c>
      <c r="J199" s="1897">
        <v>0.26802395209580837</v>
      </c>
      <c r="K199" s="1897">
        <v>0.32191616766467063</v>
      </c>
      <c r="L199" s="1897">
        <v>0.28886227544910181</v>
      </c>
      <c r="M199" s="1897">
        <v>0.28203592814371259</v>
      </c>
    </row>
    <row r="200" spans="1:13" ht="15">
      <c r="A200" s="1894">
        <f t="shared" si="2"/>
        <v>193</v>
      </c>
      <c r="B200" s="1906" t="s">
        <v>3097</v>
      </c>
      <c r="C200" s="1907" t="s">
        <v>524</v>
      </c>
      <c r="D200" s="1906" t="s">
        <v>636</v>
      </c>
      <c r="E200" s="1907" t="s">
        <v>259</v>
      </c>
      <c r="F200" s="1906">
        <v>167</v>
      </c>
      <c r="G200" s="1897">
        <v>0.59568862275449108</v>
      </c>
      <c r="H200" s="1897">
        <v>0</v>
      </c>
      <c r="I200" s="1897">
        <v>0.53173652694610773</v>
      </c>
      <c r="J200" s="1897">
        <v>0.42754491017964069</v>
      </c>
      <c r="K200" s="1897">
        <v>0.32910179640718562</v>
      </c>
      <c r="L200" s="1897">
        <v>0</v>
      </c>
      <c r="M200" s="1897">
        <v>0.31401197604790415</v>
      </c>
    </row>
    <row r="201" spans="1:13" ht="15">
      <c r="A201" s="1894">
        <f t="shared" si="2"/>
        <v>194</v>
      </c>
      <c r="B201" s="1906" t="s">
        <v>3087</v>
      </c>
      <c r="C201" s="1907" t="s">
        <v>524</v>
      </c>
      <c r="D201" s="1906" t="s">
        <v>636</v>
      </c>
      <c r="E201" s="1907" t="s">
        <v>259</v>
      </c>
      <c r="F201" s="1906">
        <v>167</v>
      </c>
      <c r="G201" s="1897">
        <v>0.71281437125748504</v>
      </c>
      <c r="H201" s="1897">
        <v>0.67257485029940123</v>
      </c>
      <c r="I201" s="1897">
        <v>0.73580838323353304</v>
      </c>
      <c r="J201" s="1897">
        <v>0.70850299401197603</v>
      </c>
      <c r="K201" s="1897">
        <v>0.67401197604790408</v>
      </c>
      <c r="L201" s="1897">
        <v>0.6107784431137725</v>
      </c>
      <c r="M201" s="1897">
        <v>0.68574850299401191</v>
      </c>
    </row>
    <row r="202" spans="1:13" ht="15">
      <c r="A202" s="1894">
        <f t="shared" ref="A202:A265" si="3">+A201+1</f>
        <v>195</v>
      </c>
      <c r="B202" s="1906" t="s">
        <v>3083</v>
      </c>
      <c r="C202" s="1907" t="s">
        <v>524</v>
      </c>
      <c r="D202" s="1906" t="s">
        <v>636</v>
      </c>
      <c r="E202" s="1907" t="s">
        <v>259</v>
      </c>
      <c r="F202" s="1906">
        <v>167</v>
      </c>
      <c r="G202" s="1897">
        <v>0.37077844311377245</v>
      </c>
      <c r="H202" s="1897">
        <v>0.2835928143712575</v>
      </c>
      <c r="I202" s="1897">
        <v>0.26634730538922152</v>
      </c>
      <c r="J202" s="1897">
        <v>0.24047904191616767</v>
      </c>
      <c r="K202" s="1897">
        <v>0.35209580838323351</v>
      </c>
      <c r="L202" s="1897">
        <v>0.34491017964071852</v>
      </c>
      <c r="M202" s="1897">
        <v>0.30970059880239525</v>
      </c>
    </row>
    <row r="203" spans="1:13" ht="15">
      <c r="A203" s="1894">
        <f t="shared" si="3"/>
        <v>196</v>
      </c>
      <c r="B203" s="1906" t="s">
        <v>3098</v>
      </c>
      <c r="C203" s="1907" t="s">
        <v>524</v>
      </c>
      <c r="D203" s="1906" t="s">
        <v>541</v>
      </c>
      <c r="E203" s="1907" t="s">
        <v>259</v>
      </c>
      <c r="F203" s="1906">
        <v>167</v>
      </c>
      <c r="G203" s="1897">
        <v>0.96431137724550897</v>
      </c>
      <c r="H203" s="1897">
        <v>0.97820359281437119</v>
      </c>
      <c r="I203" s="1897">
        <v>1.197125748502994</v>
      </c>
      <c r="J203" s="1897">
        <v>0.99017964071856279</v>
      </c>
      <c r="K203" s="1897">
        <v>0.90970059880239529</v>
      </c>
      <c r="L203" s="1897">
        <v>0.97149700598802402</v>
      </c>
      <c r="M203" s="1897">
        <v>1.0018363273453093</v>
      </c>
    </row>
    <row r="204" spans="1:13" ht="15">
      <c r="A204" s="1894">
        <f t="shared" si="3"/>
        <v>197</v>
      </c>
      <c r="B204" s="1906" t="s">
        <v>3092</v>
      </c>
      <c r="C204" s="1907" t="s">
        <v>524</v>
      </c>
      <c r="D204" s="1906" t="s">
        <v>636</v>
      </c>
      <c r="E204" s="1907" t="s">
        <v>259</v>
      </c>
      <c r="F204" s="1906">
        <v>167</v>
      </c>
      <c r="G204" s="1897">
        <v>0.65389221556886234</v>
      </c>
      <c r="H204" s="1897">
        <v>0.57101796407185623</v>
      </c>
      <c r="I204" s="1897">
        <v>0.56958083832335327</v>
      </c>
      <c r="J204" s="1897">
        <v>0.63041916167664669</v>
      </c>
      <c r="K204" s="1897">
        <v>0.66922155688622753</v>
      </c>
      <c r="L204" s="1897">
        <v>0.58443113772455091</v>
      </c>
      <c r="M204" s="1897">
        <v>0.61309381237524951</v>
      </c>
    </row>
    <row r="205" spans="1:13" ht="15">
      <c r="A205" s="1894">
        <f t="shared" si="3"/>
        <v>198</v>
      </c>
      <c r="B205" s="1906" t="s">
        <v>3093</v>
      </c>
      <c r="C205" s="1907" t="s">
        <v>2930</v>
      </c>
      <c r="D205" s="1906" t="s">
        <v>2966</v>
      </c>
      <c r="E205" s="1907" t="s">
        <v>259</v>
      </c>
      <c r="F205" s="1906">
        <v>167</v>
      </c>
      <c r="G205" s="1897">
        <v>1.0816766467065868</v>
      </c>
      <c r="H205" s="1897">
        <v>1.1166467065868262</v>
      </c>
      <c r="I205" s="1897">
        <v>0.5954491017964072</v>
      </c>
      <c r="J205" s="1897">
        <v>0.42347305389221557</v>
      </c>
      <c r="K205" s="1897">
        <v>0.20167664670658683</v>
      </c>
      <c r="L205" s="1897">
        <v>0</v>
      </c>
      <c r="M205" s="1897">
        <v>0.56982035928143715</v>
      </c>
    </row>
    <row r="206" spans="1:13" ht="15">
      <c r="A206" s="1894">
        <f t="shared" si="3"/>
        <v>199</v>
      </c>
      <c r="B206" s="1906" t="s">
        <v>3089</v>
      </c>
      <c r="C206" s="1907" t="s">
        <v>524</v>
      </c>
      <c r="D206" s="1906" t="s">
        <v>2966</v>
      </c>
      <c r="E206" s="1907" t="s">
        <v>259</v>
      </c>
      <c r="F206" s="1906">
        <v>167</v>
      </c>
      <c r="G206" s="1897">
        <v>0.97724550898203599</v>
      </c>
      <c r="H206" s="1897">
        <v>1.0009580838323353</v>
      </c>
      <c r="I206" s="1897">
        <v>0.75377245508982038</v>
      </c>
      <c r="J206" s="1897">
        <v>0.75233532934131742</v>
      </c>
      <c r="K206" s="1897">
        <v>0.7918562874251498</v>
      </c>
      <c r="L206" s="1897">
        <v>0.67329341317365277</v>
      </c>
      <c r="M206" s="1897">
        <v>0.82491017964071867</v>
      </c>
    </row>
    <row r="207" spans="1:13" ht="15">
      <c r="A207" s="1894">
        <f t="shared" si="3"/>
        <v>200</v>
      </c>
      <c r="B207" s="1906" t="s">
        <v>3076</v>
      </c>
      <c r="C207" s="1907" t="s">
        <v>524</v>
      </c>
      <c r="D207" s="1906" t="s">
        <v>636</v>
      </c>
      <c r="E207" s="1907" t="s">
        <v>259</v>
      </c>
      <c r="F207" s="1906">
        <v>167</v>
      </c>
      <c r="G207" s="1897">
        <v>0.39568862275449107</v>
      </c>
      <c r="H207" s="1897">
        <v>0.39568862275449107</v>
      </c>
      <c r="I207" s="1897">
        <v>0.55281437125748512</v>
      </c>
      <c r="J207" s="1897">
        <v>0.70131736526946109</v>
      </c>
      <c r="K207" s="1897">
        <v>0.74251497005988021</v>
      </c>
      <c r="L207" s="1897">
        <v>0.77125748502994018</v>
      </c>
      <c r="M207" s="1897">
        <v>0.59321357285429144</v>
      </c>
    </row>
    <row r="208" spans="1:13" ht="15">
      <c r="A208" s="1894">
        <f t="shared" si="3"/>
        <v>201</v>
      </c>
      <c r="B208" s="1906" t="s">
        <v>3082</v>
      </c>
      <c r="C208" s="1907" t="s">
        <v>524</v>
      </c>
      <c r="D208" s="1906" t="s">
        <v>2966</v>
      </c>
      <c r="E208" s="1907" t="s">
        <v>259</v>
      </c>
      <c r="F208" s="1906">
        <v>167</v>
      </c>
      <c r="G208" s="1897">
        <v>0.65245508982035927</v>
      </c>
      <c r="H208" s="1897">
        <v>0.65580838323353297</v>
      </c>
      <c r="I208" s="1897">
        <v>0.64910179640718568</v>
      </c>
      <c r="J208" s="1897">
        <v>0.18395209580838323</v>
      </c>
      <c r="K208" s="1897">
        <v>0.13988023952095807</v>
      </c>
      <c r="L208" s="1897">
        <v>0.23185628742514969</v>
      </c>
      <c r="M208" s="1897">
        <v>0.41884231536926148</v>
      </c>
    </row>
    <row r="209" spans="1:13" ht="15">
      <c r="A209" s="1894">
        <f t="shared" si="3"/>
        <v>202</v>
      </c>
      <c r="B209" s="1906" t="s">
        <v>3081</v>
      </c>
      <c r="C209" s="1907" t="s">
        <v>524</v>
      </c>
      <c r="D209" s="1906" t="s">
        <v>2966</v>
      </c>
      <c r="E209" s="1907" t="s">
        <v>259</v>
      </c>
      <c r="F209" s="1906">
        <v>167</v>
      </c>
      <c r="G209" s="1897">
        <v>0.98634730538922155</v>
      </c>
      <c r="H209" s="1897">
        <v>0.24287425149700601</v>
      </c>
      <c r="I209" s="1897">
        <v>0.82011976047904178</v>
      </c>
      <c r="J209" s="1897">
        <v>0.65868263473053901</v>
      </c>
      <c r="K209" s="1897">
        <v>0.95329341317365279</v>
      </c>
      <c r="L209" s="1897">
        <v>0.44694610778443117</v>
      </c>
      <c r="M209" s="1897">
        <v>0.68471057884231534</v>
      </c>
    </row>
    <row r="210" spans="1:13" ht="15">
      <c r="A210" s="1894">
        <f t="shared" si="3"/>
        <v>203</v>
      </c>
      <c r="B210" s="1906" t="s">
        <v>3091</v>
      </c>
      <c r="C210" s="1907" t="s">
        <v>524</v>
      </c>
      <c r="D210" s="1906" t="s">
        <v>2966</v>
      </c>
      <c r="E210" s="1907" t="s">
        <v>259</v>
      </c>
      <c r="F210" s="1906">
        <v>167</v>
      </c>
      <c r="G210" s="1897">
        <v>0.63041916167664669</v>
      </c>
      <c r="H210" s="1897">
        <v>0.71137724550898207</v>
      </c>
      <c r="I210" s="1897">
        <v>0.71952095808383232</v>
      </c>
      <c r="J210" s="1897">
        <v>0.51928143712574848</v>
      </c>
      <c r="K210" s="1897">
        <v>0.61844311377245509</v>
      </c>
      <c r="L210" s="1897">
        <v>0.49053892215568862</v>
      </c>
      <c r="M210" s="1897">
        <v>0.61493013972055888</v>
      </c>
    </row>
    <row r="211" spans="1:13" ht="15">
      <c r="A211" s="1894">
        <f t="shared" si="3"/>
        <v>204</v>
      </c>
      <c r="B211" s="1906" t="s">
        <v>3100</v>
      </c>
      <c r="C211" s="1907" t="s">
        <v>524</v>
      </c>
      <c r="D211" s="1906" t="s">
        <v>541</v>
      </c>
      <c r="E211" s="1907" t="s">
        <v>259</v>
      </c>
      <c r="F211" s="1906">
        <v>167</v>
      </c>
      <c r="G211" s="1897">
        <v>1.2182035928143715</v>
      </c>
      <c r="H211" s="1897">
        <v>1.0194011976047903</v>
      </c>
      <c r="I211" s="1897">
        <v>1.0553293413173652</v>
      </c>
      <c r="J211" s="1897">
        <v>1.0788023952095809</v>
      </c>
      <c r="K211" s="1897">
        <v>1.1319760479041918</v>
      </c>
      <c r="L211" s="1897">
        <v>0.90155688622754493</v>
      </c>
      <c r="M211" s="1897">
        <v>1.0675449101796408</v>
      </c>
    </row>
    <row r="212" spans="1:13" ht="15">
      <c r="A212" s="1894">
        <f t="shared" si="3"/>
        <v>205</v>
      </c>
      <c r="B212" s="1906" t="s">
        <v>3086</v>
      </c>
      <c r="C212" s="1907" t="s">
        <v>524</v>
      </c>
      <c r="D212" s="1906" t="s">
        <v>636</v>
      </c>
      <c r="E212" s="1907" t="s">
        <v>259</v>
      </c>
      <c r="F212" s="1906">
        <v>167</v>
      </c>
      <c r="G212" s="1897">
        <v>0.16</v>
      </c>
      <c r="H212" s="1897">
        <v>0.21844311377245512</v>
      </c>
      <c r="I212" s="1897">
        <v>0.19736526946107785</v>
      </c>
      <c r="J212" s="1897">
        <v>0.18970059880239523</v>
      </c>
      <c r="K212" s="1897">
        <v>0.16287425149700602</v>
      </c>
      <c r="L212" s="1897">
        <v>0.14083832335329341</v>
      </c>
      <c r="M212" s="1897">
        <v>0.17820359281437129</v>
      </c>
    </row>
    <row r="213" spans="1:13" ht="15">
      <c r="A213" s="1894">
        <f t="shared" si="3"/>
        <v>206</v>
      </c>
      <c r="B213" s="1906" t="s">
        <v>3084</v>
      </c>
      <c r="C213" s="1907" t="s">
        <v>524</v>
      </c>
      <c r="D213" s="1906" t="s">
        <v>636</v>
      </c>
      <c r="E213" s="1907" t="s">
        <v>259</v>
      </c>
      <c r="F213" s="1906">
        <v>167</v>
      </c>
      <c r="G213" s="1897">
        <v>2.0838323353293411E-2</v>
      </c>
      <c r="H213" s="1897">
        <v>1.8682634730538921E-2</v>
      </c>
      <c r="I213" s="1897">
        <v>2.7305389221556883E-2</v>
      </c>
      <c r="J213" s="1897">
        <v>2.5868263473053894E-2</v>
      </c>
      <c r="K213" s="1897">
        <v>2.5868263473053894E-2</v>
      </c>
      <c r="L213" s="1897">
        <v>9.0538922155688623E-2</v>
      </c>
      <c r="M213" s="1897">
        <v>3.4850299401197604E-2</v>
      </c>
    </row>
    <row r="214" spans="1:13" ht="15">
      <c r="A214" s="1894">
        <f t="shared" si="3"/>
        <v>207</v>
      </c>
      <c r="B214" s="1906" t="s">
        <v>3078</v>
      </c>
      <c r="C214" s="1907" t="s">
        <v>524</v>
      </c>
      <c r="D214" s="1906" t="s">
        <v>636</v>
      </c>
      <c r="E214" s="1907" t="s">
        <v>259</v>
      </c>
      <c r="F214" s="1906">
        <v>167</v>
      </c>
      <c r="G214" s="1897">
        <v>0.4067065868263473</v>
      </c>
      <c r="H214" s="1897">
        <v>0.40095808383233539</v>
      </c>
      <c r="I214" s="1897">
        <v>0.43544910179640717</v>
      </c>
      <c r="J214" s="1897">
        <v>0.41892215568862273</v>
      </c>
      <c r="K214" s="1897">
        <v>0.37149700598802399</v>
      </c>
      <c r="L214" s="1897">
        <v>0.38946107784431133</v>
      </c>
      <c r="M214" s="1897">
        <v>0.40383233532934132</v>
      </c>
    </row>
    <row r="215" spans="1:13" ht="15">
      <c r="A215" s="1894">
        <f t="shared" si="3"/>
        <v>208</v>
      </c>
      <c r="B215" s="1906" t="s">
        <v>3104</v>
      </c>
      <c r="C215" s="1907" t="s">
        <v>524</v>
      </c>
      <c r="D215" s="1906" t="s">
        <v>541</v>
      </c>
      <c r="E215" s="1907" t="s">
        <v>259</v>
      </c>
      <c r="F215" s="1906">
        <v>167</v>
      </c>
      <c r="G215" s="1897">
        <v>1.3403592814371257</v>
      </c>
      <c r="H215" s="1897">
        <v>1.2804790419161676</v>
      </c>
      <c r="I215" s="1897">
        <v>1.3619161676646707</v>
      </c>
      <c r="J215" s="1897">
        <v>1.2038323353293414</v>
      </c>
      <c r="K215" s="1897">
        <v>1.229700598802395</v>
      </c>
      <c r="L215" s="1897">
        <v>1.2646706586826348</v>
      </c>
      <c r="M215" s="1897">
        <v>1.2801596806387225</v>
      </c>
    </row>
    <row r="216" spans="1:13" ht="15">
      <c r="A216" s="1894">
        <f t="shared" si="3"/>
        <v>209</v>
      </c>
      <c r="B216" s="1906" t="s">
        <v>3079</v>
      </c>
      <c r="C216" s="1907" t="s">
        <v>524</v>
      </c>
      <c r="D216" s="1906" t="s">
        <v>541</v>
      </c>
      <c r="E216" s="1907" t="s">
        <v>259</v>
      </c>
      <c r="F216" s="1906">
        <v>167</v>
      </c>
      <c r="G216" s="1897">
        <v>0.34874251497005987</v>
      </c>
      <c r="H216" s="1897">
        <v>1.1937724550898206</v>
      </c>
      <c r="I216" s="1897">
        <v>1.2186826347305391</v>
      </c>
      <c r="J216" s="1897">
        <v>1.1602395209580838</v>
      </c>
      <c r="K216" s="1897">
        <v>1.0682634730538922</v>
      </c>
      <c r="L216" s="1897">
        <v>1.354251497005988</v>
      </c>
      <c r="M216" s="1897">
        <v>1.0573253493013972</v>
      </c>
    </row>
    <row r="217" spans="1:13" ht="15">
      <c r="A217" s="1894">
        <f t="shared" si="3"/>
        <v>210</v>
      </c>
      <c r="B217" s="1906" t="s">
        <v>3101</v>
      </c>
      <c r="C217" s="1907" t="s">
        <v>524</v>
      </c>
      <c r="D217" s="1906" t="s">
        <v>541</v>
      </c>
      <c r="E217" s="1907" t="s">
        <v>259</v>
      </c>
      <c r="F217" s="1906">
        <v>167</v>
      </c>
      <c r="G217" s="1897">
        <v>0.70275449101796406</v>
      </c>
      <c r="H217" s="1897">
        <v>0.70658682634730541</v>
      </c>
      <c r="I217" s="1897">
        <v>0.68502994011976048</v>
      </c>
      <c r="J217" s="1897">
        <v>0.69604790419161677</v>
      </c>
      <c r="K217" s="1897">
        <v>0.73437125748502985</v>
      </c>
      <c r="L217" s="1897">
        <v>0.69269461077844319</v>
      </c>
      <c r="M217" s="1897">
        <v>0.70291417165668657</v>
      </c>
    </row>
    <row r="218" spans="1:13" ht="15">
      <c r="A218" s="1894">
        <f t="shared" si="3"/>
        <v>211</v>
      </c>
      <c r="B218" s="1906" t="s">
        <v>3103</v>
      </c>
      <c r="C218" s="1907" t="s">
        <v>524</v>
      </c>
      <c r="D218" s="1906" t="s">
        <v>730</v>
      </c>
      <c r="E218" s="1907" t="s">
        <v>259</v>
      </c>
      <c r="F218" s="1906">
        <v>167</v>
      </c>
      <c r="G218" s="1897">
        <v>0.80958083832335337</v>
      </c>
      <c r="H218" s="1897">
        <v>0.80335329341317363</v>
      </c>
      <c r="I218" s="1897">
        <v>0.81916167664670669</v>
      </c>
      <c r="J218" s="1897">
        <v>0.81437125748502992</v>
      </c>
      <c r="K218" s="1897">
        <v>0.82922155688622745</v>
      </c>
      <c r="L218" s="1897">
        <v>0.83065868263473053</v>
      </c>
      <c r="M218" s="1897">
        <v>0.81772455089820362</v>
      </c>
    </row>
    <row r="219" spans="1:13" ht="15">
      <c r="A219" s="1894">
        <f t="shared" si="3"/>
        <v>212</v>
      </c>
      <c r="B219" s="1906" t="s">
        <v>3090</v>
      </c>
      <c r="C219" s="1907" t="s">
        <v>524</v>
      </c>
      <c r="D219" s="1906" t="s">
        <v>636</v>
      </c>
      <c r="E219" s="1907" t="s">
        <v>259</v>
      </c>
      <c r="F219" s="1906">
        <v>167</v>
      </c>
      <c r="G219" s="1897">
        <v>0.63808383233532939</v>
      </c>
      <c r="H219" s="1897">
        <v>0.66586826347305395</v>
      </c>
      <c r="I219" s="1897">
        <v>0.64766467065868261</v>
      </c>
      <c r="J219" s="1897">
        <v>0.68407185628742517</v>
      </c>
      <c r="K219" s="1897">
        <v>0.66970059880239519</v>
      </c>
      <c r="L219" s="1897">
        <v>0.67449101796407185</v>
      </c>
      <c r="M219" s="1897">
        <v>0.66331337325349304</v>
      </c>
    </row>
    <row r="220" spans="1:13" ht="15">
      <c r="A220" s="1894">
        <f t="shared" si="3"/>
        <v>213</v>
      </c>
      <c r="B220" s="1906" t="s">
        <v>3085</v>
      </c>
      <c r="C220" s="1907" t="s">
        <v>524</v>
      </c>
      <c r="D220" s="1906" t="s">
        <v>636</v>
      </c>
      <c r="E220" s="1907" t="s">
        <v>259</v>
      </c>
      <c r="F220" s="1906">
        <v>167</v>
      </c>
      <c r="G220" s="1897">
        <v>4.9820359281437125E-2</v>
      </c>
      <c r="H220" s="1897">
        <v>4.9820359281437125E-2</v>
      </c>
      <c r="I220" s="1897">
        <v>5.1736526946107787E-2</v>
      </c>
      <c r="J220" s="1897">
        <v>5.3652694610778436E-2</v>
      </c>
      <c r="K220" s="1897">
        <v>3.7365269461077842E-2</v>
      </c>
      <c r="L220" s="1897">
        <v>4.9820359281437125E-2</v>
      </c>
      <c r="M220" s="1897">
        <v>4.8702594810379245E-2</v>
      </c>
    </row>
    <row r="221" spans="1:13" ht="15">
      <c r="A221" s="1894">
        <f t="shared" si="3"/>
        <v>214</v>
      </c>
      <c r="B221" s="1906" t="s">
        <v>3558</v>
      </c>
      <c r="C221" s="1907" t="s">
        <v>524</v>
      </c>
      <c r="D221" s="1906" t="s">
        <v>541</v>
      </c>
      <c r="E221" s="1907" t="s">
        <v>259</v>
      </c>
      <c r="F221" s="1906">
        <v>167</v>
      </c>
      <c r="G221" s="1897">
        <v>0</v>
      </c>
      <c r="H221" s="1897">
        <v>0</v>
      </c>
      <c r="I221" s="1897">
        <v>0</v>
      </c>
      <c r="J221" s="1897">
        <v>0</v>
      </c>
      <c r="K221" s="1897">
        <v>9.8170059880239524E-2</v>
      </c>
      <c r="L221" s="1897">
        <v>9.5449101796407185E-2</v>
      </c>
      <c r="M221" s="1897">
        <v>3.226986027944112E-2</v>
      </c>
    </row>
    <row r="222" spans="1:13" ht="15">
      <c r="A222" s="1894">
        <f t="shared" si="3"/>
        <v>215</v>
      </c>
      <c r="B222" s="1906" t="s">
        <v>3105</v>
      </c>
      <c r="C222" s="1907" t="s">
        <v>524</v>
      </c>
      <c r="D222" s="1906" t="s">
        <v>629</v>
      </c>
      <c r="E222" s="1907" t="s">
        <v>259</v>
      </c>
      <c r="F222" s="1906">
        <v>167</v>
      </c>
      <c r="G222" s="1897">
        <v>0.54275449101796402</v>
      </c>
      <c r="H222" s="1897">
        <v>0.55281437125748512</v>
      </c>
      <c r="I222" s="1897">
        <v>0.54706586826347303</v>
      </c>
      <c r="J222" s="1897">
        <v>0.57005988023952092</v>
      </c>
      <c r="K222" s="1897">
        <v>0.58107784431137732</v>
      </c>
      <c r="L222" s="1897">
        <v>0.61844311377245509</v>
      </c>
      <c r="M222" s="1897">
        <v>0.56870259481037921</v>
      </c>
    </row>
    <row r="223" spans="1:13" ht="15">
      <c r="A223" s="1894">
        <f t="shared" si="3"/>
        <v>216</v>
      </c>
      <c r="B223" s="1906" t="s">
        <v>3106</v>
      </c>
      <c r="C223" s="1907" t="s">
        <v>524</v>
      </c>
      <c r="D223" s="1906" t="s">
        <v>730</v>
      </c>
      <c r="E223" s="1907" t="s">
        <v>259</v>
      </c>
      <c r="F223" s="1906">
        <v>167.55</v>
      </c>
      <c r="G223" s="1897">
        <v>0.68755595344673226</v>
      </c>
      <c r="H223" s="1897">
        <v>0.70546105640107426</v>
      </c>
      <c r="I223" s="1897">
        <v>0.67179946284691128</v>
      </c>
      <c r="J223" s="1897">
        <v>0.63957027752909579</v>
      </c>
      <c r="K223" s="1897">
        <v>0.71047448522828993</v>
      </c>
      <c r="L223" s="1897">
        <v>0.70832587287376902</v>
      </c>
      <c r="M223" s="1897">
        <v>0.68719785138764544</v>
      </c>
    </row>
    <row r="224" spans="1:13" ht="15">
      <c r="A224" s="1894">
        <f t="shared" si="3"/>
        <v>217</v>
      </c>
      <c r="B224" s="1906" t="s">
        <v>3559</v>
      </c>
      <c r="C224" s="1907" t="s">
        <v>524</v>
      </c>
      <c r="D224" s="1906" t="s">
        <v>636</v>
      </c>
      <c r="E224" s="1907" t="s">
        <v>259</v>
      </c>
      <c r="F224" s="1906">
        <v>169</v>
      </c>
      <c r="G224" s="1897">
        <v>0</v>
      </c>
      <c r="H224" s="1897">
        <v>0</v>
      </c>
      <c r="I224" s="1897">
        <v>0</v>
      </c>
      <c r="J224" s="1897">
        <v>0</v>
      </c>
      <c r="K224" s="1897">
        <v>0.12027455621301775</v>
      </c>
      <c r="L224" s="1897">
        <v>0.10360946745562132</v>
      </c>
      <c r="M224" s="1897">
        <v>3.7314003944773182E-2</v>
      </c>
    </row>
    <row r="225" spans="1:13" ht="15">
      <c r="A225" s="1894">
        <f t="shared" si="3"/>
        <v>218</v>
      </c>
      <c r="B225" s="1906" t="s">
        <v>3108</v>
      </c>
      <c r="C225" s="1907" t="s">
        <v>524</v>
      </c>
      <c r="D225" s="1906" t="s">
        <v>629</v>
      </c>
      <c r="E225" s="1907" t="s">
        <v>259</v>
      </c>
      <c r="F225" s="1906">
        <v>170</v>
      </c>
      <c r="G225" s="1897">
        <v>0.11764705882352941</v>
      </c>
      <c r="H225" s="1897">
        <v>0.14117647058823529</v>
      </c>
      <c r="I225" s="1897">
        <v>0.14588235294117646</v>
      </c>
      <c r="J225" s="1897">
        <v>0.14588235294117646</v>
      </c>
      <c r="K225" s="1897">
        <v>0.16</v>
      </c>
      <c r="L225" s="1897">
        <v>0.1308235294117647</v>
      </c>
      <c r="M225" s="1897">
        <v>0.14023529411764704</v>
      </c>
    </row>
    <row r="226" spans="1:13" ht="15">
      <c r="A226" s="1894">
        <f t="shared" si="3"/>
        <v>219</v>
      </c>
      <c r="B226" s="1906" t="s">
        <v>3107</v>
      </c>
      <c r="C226" s="1907" t="s">
        <v>524</v>
      </c>
      <c r="D226" s="1906" t="s">
        <v>541</v>
      </c>
      <c r="E226" s="1907" t="s">
        <v>259</v>
      </c>
      <c r="F226" s="1906">
        <v>170</v>
      </c>
      <c r="G226" s="1897">
        <v>0.95294117647058818</v>
      </c>
      <c r="H226" s="1897">
        <v>0.8604705882352941</v>
      </c>
      <c r="I226" s="1897">
        <v>0.90141176470588236</v>
      </c>
      <c r="J226" s="1897">
        <v>1.2049411764705882</v>
      </c>
      <c r="K226" s="1897">
        <v>0.89929411764705891</v>
      </c>
      <c r="L226" s="1897">
        <v>0.9614117647058823</v>
      </c>
      <c r="M226" s="1897">
        <v>0.96341176470588241</v>
      </c>
    </row>
    <row r="227" spans="1:13" ht="15">
      <c r="A227" s="1894">
        <f t="shared" si="3"/>
        <v>220</v>
      </c>
      <c r="B227" s="1906" t="s">
        <v>3109</v>
      </c>
      <c r="C227" s="1907" t="s">
        <v>524</v>
      </c>
      <c r="D227" s="1906" t="s">
        <v>737</v>
      </c>
      <c r="E227" s="1907" t="s">
        <v>259</v>
      </c>
      <c r="F227" s="1906">
        <v>171</v>
      </c>
      <c r="G227" s="1897">
        <v>3.7192982456140354E-2</v>
      </c>
      <c r="H227" s="1897">
        <v>2.7368421052631577E-2</v>
      </c>
      <c r="I227" s="1897">
        <v>5.894736842105263E-2</v>
      </c>
      <c r="J227" s="1897">
        <v>5.1228070175438595E-2</v>
      </c>
      <c r="K227" s="1897">
        <v>5.4035087719298248E-2</v>
      </c>
      <c r="L227" s="1897">
        <v>7.508771929824562E-2</v>
      </c>
      <c r="M227" s="1897">
        <v>5.0643274853801178E-2</v>
      </c>
    </row>
    <row r="228" spans="1:13" ht="15">
      <c r="A228" s="1894">
        <f t="shared" si="3"/>
        <v>221</v>
      </c>
      <c r="B228" s="1906" t="s">
        <v>3110</v>
      </c>
      <c r="C228" s="1907" t="s">
        <v>524</v>
      </c>
      <c r="D228" s="1906" t="s">
        <v>541</v>
      </c>
      <c r="E228" s="1907" t="s">
        <v>259</v>
      </c>
      <c r="F228" s="1906">
        <v>172</v>
      </c>
      <c r="G228" s="1897">
        <v>0.97395348837209306</v>
      </c>
      <c r="H228" s="1897">
        <v>1.0190697674418605</v>
      </c>
      <c r="I228" s="1897">
        <v>0.94883720930232551</v>
      </c>
      <c r="J228" s="1897">
        <v>0.95627906976744192</v>
      </c>
      <c r="K228" s="1897">
        <v>0.99813953488372098</v>
      </c>
      <c r="L228" s="1897">
        <v>0.96744186046511627</v>
      </c>
      <c r="M228" s="1897">
        <v>0.97728682170542625</v>
      </c>
    </row>
    <row r="229" spans="1:13" ht="15">
      <c r="A229" s="1894">
        <f t="shared" si="3"/>
        <v>222</v>
      </c>
      <c r="B229" s="1906" t="s">
        <v>3111</v>
      </c>
      <c r="C229" s="1907" t="s">
        <v>524</v>
      </c>
      <c r="D229" s="1906" t="s">
        <v>541</v>
      </c>
      <c r="E229" s="1907" t="s">
        <v>259</v>
      </c>
      <c r="F229" s="1906">
        <v>174</v>
      </c>
      <c r="G229" s="1897">
        <v>0.54114942528735632</v>
      </c>
      <c r="H229" s="1897">
        <v>1.3245977011494254</v>
      </c>
      <c r="I229" s="1897">
        <v>1.3108045977011495</v>
      </c>
      <c r="J229" s="1897">
        <v>1.0234482758620689</v>
      </c>
      <c r="K229" s="1897">
        <v>1.0593103448275862</v>
      </c>
      <c r="L229" s="1897">
        <v>0.98344827586206895</v>
      </c>
      <c r="M229" s="1897">
        <v>1.0404597701149425</v>
      </c>
    </row>
    <row r="230" spans="1:13" ht="15">
      <c r="A230" s="1894">
        <f t="shared" si="3"/>
        <v>223</v>
      </c>
      <c r="B230" s="1906" t="s">
        <v>3112</v>
      </c>
      <c r="C230" s="1907" t="s">
        <v>524</v>
      </c>
      <c r="D230" s="1906" t="s">
        <v>541</v>
      </c>
      <c r="E230" s="1907" t="s">
        <v>259</v>
      </c>
      <c r="F230" s="1906">
        <v>174</v>
      </c>
      <c r="G230" s="1897">
        <v>0.3374712643678161</v>
      </c>
      <c r="H230" s="1897">
        <v>1.0719862068965518</v>
      </c>
      <c r="I230" s="1897">
        <v>1.1002413793103449</v>
      </c>
      <c r="J230" s="1897">
        <v>1.0866758620689656</v>
      </c>
      <c r="K230" s="1897">
        <v>1.2385120689655171</v>
      </c>
      <c r="L230" s="1897">
        <v>1.1019999999999999</v>
      </c>
      <c r="M230" s="1897">
        <v>0.98948113026819939</v>
      </c>
    </row>
    <row r="231" spans="1:13" ht="15">
      <c r="A231" s="1894">
        <f t="shared" si="3"/>
        <v>224</v>
      </c>
      <c r="B231" s="1906" t="s">
        <v>3113</v>
      </c>
      <c r="C231" s="1907" t="s">
        <v>524</v>
      </c>
      <c r="D231" s="1906" t="s">
        <v>2966</v>
      </c>
      <c r="E231" s="1907" t="s">
        <v>259</v>
      </c>
      <c r="F231" s="1906">
        <v>174</v>
      </c>
      <c r="G231" s="1897">
        <v>9.1954022988505744E-4</v>
      </c>
      <c r="H231" s="1897">
        <v>4.5977011494252872E-4</v>
      </c>
      <c r="I231" s="1897">
        <v>0</v>
      </c>
      <c r="J231" s="1897">
        <v>0</v>
      </c>
      <c r="K231" s="1897">
        <v>0</v>
      </c>
      <c r="L231" s="1897">
        <v>0</v>
      </c>
      <c r="M231" s="1897">
        <v>2.2988505747126436E-4</v>
      </c>
    </row>
    <row r="232" spans="1:13" ht="15">
      <c r="A232" s="1894">
        <f t="shared" si="3"/>
        <v>225</v>
      </c>
      <c r="B232" s="1906" t="s">
        <v>3115</v>
      </c>
      <c r="C232" s="1907" t="s">
        <v>524</v>
      </c>
      <c r="D232" s="1906" t="s">
        <v>541</v>
      </c>
      <c r="E232" s="1907" t="s">
        <v>259</v>
      </c>
      <c r="F232" s="1906">
        <v>175</v>
      </c>
      <c r="G232" s="1897">
        <v>0.76982857142857142</v>
      </c>
      <c r="H232" s="1897">
        <v>1.5158857142857145</v>
      </c>
      <c r="I232" s="1897">
        <v>1.5881142857142858</v>
      </c>
      <c r="J232" s="1897">
        <v>1.2333714285714283</v>
      </c>
      <c r="K232" s="1897">
        <v>1.2233142857142858</v>
      </c>
      <c r="L232" s="1897">
        <v>1.2205714285714286</v>
      </c>
      <c r="M232" s="1897">
        <v>1.2585142857142857</v>
      </c>
    </row>
    <row r="233" spans="1:13" ht="15">
      <c r="A233" s="1894">
        <f t="shared" si="3"/>
        <v>226</v>
      </c>
      <c r="B233" s="1906" t="s">
        <v>3114</v>
      </c>
      <c r="C233" s="1907" t="s">
        <v>524</v>
      </c>
      <c r="D233" s="1906" t="s">
        <v>541</v>
      </c>
      <c r="E233" s="1907" t="s">
        <v>259</v>
      </c>
      <c r="F233" s="1906">
        <v>175</v>
      </c>
      <c r="G233" s="1897">
        <v>0.71771428571428564</v>
      </c>
      <c r="H233" s="1897">
        <v>0.79314285714285704</v>
      </c>
      <c r="I233" s="1897">
        <v>1.0326857142857142</v>
      </c>
      <c r="J233" s="1897">
        <v>0.75062857142857153</v>
      </c>
      <c r="K233" s="1897">
        <v>0.7204571428571428</v>
      </c>
      <c r="L233" s="1897">
        <v>0.71040000000000003</v>
      </c>
      <c r="M233" s="1897">
        <v>0.78750476190476182</v>
      </c>
    </row>
    <row r="234" spans="1:13" ht="15">
      <c r="A234" s="1894">
        <f t="shared" si="3"/>
        <v>227</v>
      </c>
      <c r="B234" s="1906" t="s">
        <v>3116</v>
      </c>
      <c r="C234" s="1907" t="s">
        <v>524</v>
      </c>
      <c r="D234" s="1906" t="s">
        <v>541</v>
      </c>
      <c r="E234" s="1907" t="s">
        <v>259</v>
      </c>
      <c r="F234" s="1906">
        <v>175</v>
      </c>
      <c r="G234" s="1897">
        <v>1.0198857142857143</v>
      </c>
      <c r="H234" s="1897">
        <v>0.97005714285714284</v>
      </c>
      <c r="I234" s="1897">
        <v>0.91428571428571426</v>
      </c>
      <c r="J234" s="1897">
        <v>0.98925714285714283</v>
      </c>
      <c r="K234" s="1897">
        <v>0.97279999999999989</v>
      </c>
      <c r="L234" s="1897">
        <v>1.0500571428571428</v>
      </c>
      <c r="M234" s="1897">
        <v>0.98605714285714285</v>
      </c>
    </row>
    <row r="235" spans="1:13" ht="15">
      <c r="A235" s="1894">
        <f t="shared" si="3"/>
        <v>228</v>
      </c>
      <c r="B235" s="1906" t="s">
        <v>3117</v>
      </c>
      <c r="C235" s="1907" t="s">
        <v>524</v>
      </c>
      <c r="D235" s="1906" t="s">
        <v>636</v>
      </c>
      <c r="E235" s="1907" t="s">
        <v>259</v>
      </c>
      <c r="F235" s="1906">
        <v>177</v>
      </c>
      <c r="G235" s="1897">
        <v>0.50621468926553681</v>
      </c>
      <c r="H235" s="1897">
        <v>0.64587570621468926</v>
      </c>
      <c r="I235" s="1897">
        <v>0.56225988700564966</v>
      </c>
      <c r="J235" s="1897">
        <v>0.60790960451977405</v>
      </c>
      <c r="K235" s="1897">
        <v>0.70056497175141241</v>
      </c>
      <c r="L235" s="1897">
        <v>0.55005649717514127</v>
      </c>
      <c r="M235" s="1897">
        <v>0.59548022598870065</v>
      </c>
    </row>
    <row r="236" spans="1:13" ht="15">
      <c r="A236" s="1894">
        <f t="shared" si="3"/>
        <v>229</v>
      </c>
      <c r="B236" s="1906" t="s">
        <v>3118</v>
      </c>
      <c r="C236" s="1907" t="s">
        <v>524</v>
      </c>
      <c r="D236" s="1906" t="s">
        <v>636</v>
      </c>
      <c r="E236" s="1907" t="s">
        <v>259</v>
      </c>
      <c r="F236" s="1906">
        <v>177.77</v>
      </c>
      <c r="G236" s="1897">
        <v>0.60212634302750745</v>
      </c>
      <c r="H236" s="1897">
        <v>0.57422512234910272</v>
      </c>
      <c r="I236" s="1897">
        <v>0.63092760308263485</v>
      </c>
      <c r="J236" s="1897">
        <v>0.53192327164313435</v>
      </c>
      <c r="K236" s="1897">
        <v>0.52652303538279799</v>
      </c>
      <c r="L236" s="1897">
        <v>0.54182370478708441</v>
      </c>
      <c r="M236" s="1897">
        <v>0.56792484671204368</v>
      </c>
    </row>
    <row r="237" spans="1:13" ht="15">
      <c r="A237" s="1894">
        <f t="shared" si="3"/>
        <v>230</v>
      </c>
      <c r="B237" s="1906" t="s">
        <v>3121</v>
      </c>
      <c r="C237" s="1907" t="s">
        <v>524</v>
      </c>
      <c r="D237" s="1906" t="s">
        <v>2966</v>
      </c>
      <c r="E237" s="1907" t="s">
        <v>259</v>
      </c>
      <c r="F237" s="1906">
        <v>178</v>
      </c>
      <c r="G237" s="1897">
        <v>0.36224719101123598</v>
      </c>
      <c r="H237" s="1897">
        <v>0.41617977528089889</v>
      </c>
      <c r="I237" s="1897">
        <v>0.45752808988764043</v>
      </c>
      <c r="J237" s="1897">
        <v>0.52044943820224721</v>
      </c>
      <c r="K237" s="1897">
        <v>0.47191011235955055</v>
      </c>
      <c r="L237" s="1897">
        <v>0.35146067415730337</v>
      </c>
      <c r="M237" s="1897">
        <v>0.42996254681647933</v>
      </c>
    </row>
    <row r="238" spans="1:13" ht="15">
      <c r="A238" s="1894">
        <f t="shared" si="3"/>
        <v>231</v>
      </c>
      <c r="B238" s="1906" t="s">
        <v>3125</v>
      </c>
      <c r="C238" s="1907" t="s">
        <v>524</v>
      </c>
      <c r="D238" s="1906" t="s">
        <v>2966</v>
      </c>
      <c r="E238" s="1907" t="s">
        <v>259</v>
      </c>
      <c r="F238" s="1906">
        <v>178</v>
      </c>
      <c r="G238" s="1897">
        <v>0.89078651685393262</v>
      </c>
      <c r="H238" s="1897">
        <v>0.82157303370786505</v>
      </c>
      <c r="I238" s="1897">
        <v>0.62292134831460677</v>
      </c>
      <c r="J238" s="1897">
        <v>0.57887640449438194</v>
      </c>
      <c r="K238" s="1897">
        <v>0.63910112359550553</v>
      </c>
      <c r="L238" s="1897">
        <v>0.67595505617977536</v>
      </c>
      <c r="M238" s="1897">
        <v>0.70486891385767791</v>
      </c>
    </row>
    <row r="239" spans="1:13" ht="15">
      <c r="A239" s="1894">
        <f t="shared" si="3"/>
        <v>232</v>
      </c>
      <c r="B239" s="1906" t="s">
        <v>3126</v>
      </c>
      <c r="C239" s="1907" t="s">
        <v>524</v>
      </c>
      <c r="D239" s="1906" t="s">
        <v>2966</v>
      </c>
      <c r="E239" s="1907" t="s">
        <v>259</v>
      </c>
      <c r="F239" s="1906">
        <v>178</v>
      </c>
      <c r="G239" s="1897">
        <v>1.4867415730337077</v>
      </c>
      <c r="H239" s="1897">
        <v>1.5253932584269663</v>
      </c>
      <c r="I239" s="1897">
        <v>0.7640449438202247</v>
      </c>
      <c r="J239" s="1897">
        <v>1.1815730337078654</v>
      </c>
      <c r="K239" s="1897">
        <v>1.1968539325842695</v>
      </c>
      <c r="L239" s="1897">
        <v>0.98561797752808988</v>
      </c>
      <c r="M239" s="1897">
        <v>1.1900374531835205</v>
      </c>
    </row>
    <row r="240" spans="1:13" ht="15">
      <c r="A240" s="1894">
        <f t="shared" si="3"/>
        <v>233</v>
      </c>
      <c r="B240" s="1906" t="s">
        <v>3127</v>
      </c>
      <c r="C240" s="1907" t="s">
        <v>524</v>
      </c>
      <c r="D240" s="1906" t="s">
        <v>2966</v>
      </c>
      <c r="E240" s="1907" t="s">
        <v>259</v>
      </c>
      <c r="F240" s="1906">
        <v>178</v>
      </c>
      <c r="G240" s="1897">
        <v>0.14067415730337079</v>
      </c>
      <c r="H240" s="1897">
        <v>0.3766292134831461</v>
      </c>
      <c r="I240" s="1897">
        <v>0.6476404494382022</v>
      </c>
      <c r="J240" s="1897">
        <v>0.550561797752809</v>
      </c>
      <c r="K240" s="1897">
        <v>0.550561797752809</v>
      </c>
      <c r="L240" s="1897">
        <v>0.34292134831460674</v>
      </c>
      <c r="M240" s="1897">
        <v>0.43483146067415729</v>
      </c>
    </row>
    <row r="241" spans="1:13" ht="15">
      <c r="A241" s="1894">
        <f t="shared" si="3"/>
        <v>234</v>
      </c>
      <c r="B241" s="1906" t="s">
        <v>3128</v>
      </c>
      <c r="C241" s="1907" t="s">
        <v>524</v>
      </c>
      <c r="D241" s="1906" t="s">
        <v>636</v>
      </c>
      <c r="E241" s="1907" t="s">
        <v>259</v>
      </c>
      <c r="F241" s="1906">
        <v>178</v>
      </c>
      <c r="G241" s="1897">
        <v>0.6853932584269663</v>
      </c>
      <c r="H241" s="1897">
        <v>0.81483146067415724</v>
      </c>
      <c r="I241" s="1897">
        <v>0.86966292134831469</v>
      </c>
      <c r="J241" s="1897">
        <v>0.4364044943820225</v>
      </c>
      <c r="K241" s="1897">
        <v>0.66022471910112357</v>
      </c>
      <c r="L241" s="1897">
        <v>0.71640449438202236</v>
      </c>
      <c r="M241" s="1897">
        <v>0.69715355805243451</v>
      </c>
    </row>
    <row r="242" spans="1:13" ht="15">
      <c r="A242" s="1894">
        <f t="shared" si="3"/>
        <v>235</v>
      </c>
      <c r="B242" s="1906" t="s">
        <v>3129</v>
      </c>
      <c r="C242" s="1907" t="s">
        <v>524</v>
      </c>
      <c r="D242" s="1906" t="s">
        <v>2966</v>
      </c>
      <c r="E242" s="1907" t="s">
        <v>259</v>
      </c>
      <c r="F242" s="1906">
        <v>178</v>
      </c>
      <c r="G242" s="1897">
        <v>1.150112359550562</v>
      </c>
      <c r="H242" s="1897">
        <v>0.79550561797752806</v>
      </c>
      <c r="I242" s="1897">
        <v>1.0238202247191013</v>
      </c>
      <c r="J242" s="1897">
        <v>1.2786516853932581</v>
      </c>
      <c r="K242" s="1897">
        <v>1.0894382022471911</v>
      </c>
      <c r="L242" s="1897">
        <v>0.76988764044943836</v>
      </c>
      <c r="M242" s="1897">
        <v>1.0179026217228464</v>
      </c>
    </row>
    <row r="243" spans="1:13" ht="15">
      <c r="A243" s="1894">
        <f t="shared" si="3"/>
        <v>236</v>
      </c>
      <c r="B243" s="1906" t="s">
        <v>3560</v>
      </c>
      <c r="C243" s="1907" t="s">
        <v>524</v>
      </c>
      <c r="D243" s="1906" t="s">
        <v>2966</v>
      </c>
      <c r="E243" s="1907" t="s">
        <v>259</v>
      </c>
      <c r="F243" s="1906">
        <v>178</v>
      </c>
      <c r="G243" s="1897">
        <v>1.5155056179775281</v>
      </c>
      <c r="H243" s="1897">
        <v>1.4741573033707867</v>
      </c>
      <c r="I243" s="1897">
        <v>0.93123595505617973</v>
      </c>
      <c r="J243" s="1897">
        <v>1.1658426966292135</v>
      </c>
      <c r="K243" s="1897">
        <v>1.3222471910112361</v>
      </c>
      <c r="L243" s="1897">
        <v>0.53033707865168533</v>
      </c>
      <c r="M243" s="1897">
        <v>1.1565543071161051</v>
      </c>
    </row>
    <row r="244" spans="1:13" ht="15">
      <c r="A244" s="1894">
        <f t="shared" si="3"/>
        <v>237</v>
      </c>
      <c r="B244" s="1906" t="s">
        <v>3131</v>
      </c>
      <c r="C244" s="1907" t="s">
        <v>524</v>
      </c>
      <c r="D244" s="1906" t="s">
        <v>2966</v>
      </c>
      <c r="E244" s="1907" t="s">
        <v>259</v>
      </c>
      <c r="F244" s="1906">
        <v>178</v>
      </c>
      <c r="G244" s="1897">
        <v>0.5770786516853933</v>
      </c>
      <c r="H244" s="1897">
        <v>0.60606741573033707</v>
      </c>
      <c r="I244" s="1897">
        <v>0.78876404494382024</v>
      </c>
      <c r="J244" s="1897">
        <v>0.77797752808988763</v>
      </c>
      <c r="K244" s="1897">
        <v>0.73820224719101124</v>
      </c>
      <c r="L244" s="1897">
        <v>3.573033707865169E-2</v>
      </c>
      <c r="M244" s="1897">
        <v>0.58730337078651684</v>
      </c>
    </row>
    <row r="245" spans="1:13" ht="15">
      <c r="A245" s="1894">
        <f t="shared" si="3"/>
        <v>238</v>
      </c>
      <c r="B245" s="1906" t="s">
        <v>3132</v>
      </c>
      <c r="C245" s="1907" t="s">
        <v>524</v>
      </c>
      <c r="D245" s="1906" t="s">
        <v>2966</v>
      </c>
      <c r="E245" s="1907" t="s">
        <v>259</v>
      </c>
      <c r="F245" s="1906">
        <v>178</v>
      </c>
      <c r="G245" s="1897">
        <v>1.3168539325842696</v>
      </c>
      <c r="H245" s="1897">
        <v>0.72224719101123602</v>
      </c>
      <c r="I245" s="1897">
        <v>0.72584269662921352</v>
      </c>
      <c r="J245" s="1897">
        <v>0.69842696629213485</v>
      </c>
      <c r="K245" s="1897">
        <v>0.677752808988764</v>
      </c>
      <c r="L245" s="1897">
        <v>0.71235955056179778</v>
      </c>
      <c r="M245" s="1897">
        <v>0.8089138576779028</v>
      </c>
    </row>
    <row r="246" spans="1:13" ht="15">
      <c r="A246" s="1894">
        <f t="shared" si="3"/>
        <v>239</v>
      </c>
      <c r="B246" s="1906" t="s">
        <v>3122</v>
      </c>
      <c r="C246" s="1907" t="s">
        <v>524</v>
      </c>
      <c r="D246" s="1906" t="s">
        <v>2966</v>
      </c>
      <c r="E246" s="1907" t="s">
        <v>259</v>
      </c>
      <c r="F246" s="1906">
        <v>178</v>
      </c>
      <c r="G246" s="1897">
        <v>0.83191011235955048</v>
      </c>
      <c r="H246" s="1897">
        <v>0.82516853932584266</v>
      </c>
      <c r="I246" s="1897">
        <v>0.87505617977528083</v>
      </c>
      <c r="J246" s="1897">
        <v>0.73483146067415739</v>
      </c>
      <c r="K246" s="1897">
        <v>0.76853932584269669</v>
      </c>
      <c r="L246" s="1897">
        <v>0.75910112359550563</v>
      </c>
      <c r="M246" s="1897">
        <v>0.79910112359550556</v>
      </c>
    </row>
    <row r="247" spans="1:13" ht="15">
      <c r="A247" s="1894">
        <f t="shared" si="3"/>
        <v>240</v>
      </c>
      <c r="B247" s="1906" t="s">
        <v>3133</v>
      </c>
      <c r="C247" s="1907" t="s">
        <v>524</v>
      </c>
      <c r="D247" s="1906" t="s">
        <v>2966</v>
      </c>
      <c r="E247" s="1907" t="s">
        <v>259</v>
      </c>
      <c r="F247" s="1906">
        <v>178</v>
      </c>
      <c r="G247" s="1897">
        <v>0.29258426966292134</v>
      </c>
      <c r="H247" s="1897">
        <v>0.24</v>
      </c>
      <c r="I247" s="1897">
        <v>0.26292134831460673</v>
      </c>
      <c r="J247" s="1897">
        <v>0.26426966292134829</v>
      </c>
      <c r="K247" s="1897">
        <v>0.24134831460674158</v>
      </c>
      <c r="L247" s="1897">
        <v>0.26831460674157304</v>
      </c>
      <c r="M247" s="1897">
        <v>0.26157303370786517</v>
      </c>
    </row>
    <row r="248" spans="1:13" ht="15">
      <c r="A248" s="1894">
        <f t="shared" si="3"/>
        <v>241</v>
      </c>
      <c r="B248" s="1906" t="s">
        <v>3130</v>
      </c>
      <c r="C248" s="1907" t="s">
        <v>524</v>
      </c>
      <c r="D248" s="1906" t="s">
        <v>541</v>
      </c>
      <c r="E248" s="1907" t="s">
        <v>259</v>
      </c>
      <c r="F248" s="1906">
        <v>178</v>
      </c>
      <c r="G248" s="1897">
        <v>9.2134831460674149E-3</v>
      </c>
      <c r="H248" s="1897">
        <v>0.96691235955056176</v>
      </c>
      <c r="I248" s="1897">
        <v>0.98188764044943821</v>
      </c>
      <c r="J248" s="1897">
        <v>1.2384898876404495</v>
      </c>
      <c r="K248" s="1897">
        <v>0.92688089887640457</v>
      </c>
      <c r="L248" s="1897">
        <v>0.88460674157303376</v>
      </c>
      <c r="M248" s="1897">
        <v>0.83466516853932582</v>
      </c>
    </row>
    <row r="249" spans="1:13" ht="15">
      <c r="A249" s="1894">
        <f t="shared" si="3"/>
        <v>242</v>
      </c>
      <c r="B249" s="1906" t="s">
        <v>3123</v>
      </c>
      <c r="C249" s="1907" t="s">
        <v>524</v>
      </c>
      <c r="D249" s="1906" t="s">
        <v>636</v>
      </c>
      <c r="E249" s="1907" t="s">
        <v>259</v>
      </c>
      <c r="F249" s="1906">
        <v>178</v>
      </c>
      <c r="G249" s="1897">
        <v>0.59460674157303373</v>
      </c>
      <c r="H249" s="1897">
        <v>0.65932584269662919</v>
      </c>
      <c r="I249" s="1897">
        <v>0.73887640449438208</v>
      </c>
      <c r="J249" s="1897">
        <v>0.4921348314606741</v>
      </c>
      <c r="K249" s="1897">
        <v>0.57168539325842704</v>
      </c>
      <c r="L249" s="1897">
        <v>0.62494382022471917</v>
      </c>
      <c r="M249" s="1897">
        <v>0.6135955056179776</v>
      </c>
    </row>
    <row r="250" spans="1:13" ht="15">
      <c r="A250" s="1894">
        <f t="shared" si="3"/>
        <v>243</v>
      </c>
      <c r="B250" s="1906" t="s">
        <v>3120</v>
      </c>
      <c r="C250" s="1907" t="s">
        <v>524</v>
      </c>
      <c r="D250" s="1906" t="s">
        <v>2966</v>
      </c>
      <c r="E250" s="1907" t="s">
        <v>259</v>
      </c>
      <c r="F250" s="1906">
        <v>178</v>
      </c>
      <c r="G250" s="1897">
        <v>0.5842696629213483</v>
      </c>
      <c r="H250" s="1897">
        <v>0.46921348314606748</v>
      </c>
      <c r="I250" s="1897">
        <v>0.338876404494382</v>
      </c>
      <c r="J250" s="1897">
        <v>0.35146067415730337</v>
      </c>
      <c r="K250" s="1897">
        <v>0.36764044943820223</v>
      </c>
      <c r="L250" s="1897">
        <v>0.36224719101123598</v>
      </c>
      <c r="M250" s="1897">
        <v>0.41228464419475658</v>
      </c>
    </row>
    <row r="251" spans="1:13" ht="15">
      <c r="A251" s="1894">
        <f t="shared" si="3"/>
        <v>244</v>
      </c>
      <c r="B251" s="1906" t="s">
        <v>3134</v>
      </c>
      <c r="C251" s="1907" t="s">
        <v>524</v>
      </c>
      <c r="D251" s="1906" t="s">
        <v>636</v>
      </c>
      <c r="E251" s="1907" t="s">
        <v>259</v>
      </c>
      <c r="F251" s="1906">
        <v>178</v>
      </c>
      <c r="G251" s="1897">
        <v>0.5393258426966292</v>
      </c>
      <c r="H251" s="1897">
        <v>0.50876404494382022</v>
      </c>
      <c r="I251" s="1897">
        <v>0.74696629213483134</v>
      </c>
      <c r="J251" s="1897">
        <v>0.70651685393258434</v>
      </c>
      <c r="K251" s="1897">
        <v>0.63910112359550553</v>
      </c>
      <c r="L251" s="1897">
        <v>0.64359550561797751</v>
      </c>
      <c r="M251" s="1897">
        <v>0.63071161048689139</v>
      </c>
    </row>
    <row r="252" spans="1:13" ht="15">
      <c r="A252" s="1894">
        <f t="shared" si="3"/>
        <v>245</v>
      </c>
      <c r="B252" s="1906" t="s">
        <v>3135</v>
      </c>
      <c r="C252" s="1907" t="s">
        <v>2930</v>
      </c>
      <c r="D252" s="1906" t="s">
        <v>541</v>
      </c>
      <c r="E252" s="1907" t="s">
        <v>259</v>
      </c>
      <c r="F252" s="1906">
        <v>178</v>
      </c>
      <c r="G252" s="1897">
        <v>0</v>
      </c>
      <c r="H252" s="1897">
        <v>0</v>
      </c>
      <c r="I252" s="1897">
        <v>0</v>
      </c>
      <c r="J252" s="1897">
        <v>0</v>
      </c>
      <c r="K252" s="1897">
        <v>0</v>
      </c>
      <c r="L252" s="1897">
        <v>0</v>
      </c>
      <c r="M252" s="1897">
        <v>0</v>
      </c>
    </row>
    <row r="253" spans="1:13" ht="15">
      <c r="A253" s="1894">
        <f t="shared" si="3"/>
        <v>246</v>
      </c>
      <c r="B253" s="1906" t="s">
        <v>3119</v>
      </c>
      <c r="C253" s="1907" t="s">
        <v>524</v>
      </c>
      <c r="D253" s="1906" t="s">
        <v>541</v>
      </c>
      <c r="E253" s="1907" t="s">
        <v>259</v>
      </c>
      <c r="F253" s="1906">
        <v>178</v>
      </c>
      <c r="G253" s="1897">
        <v>0.32719101123595506</v>
      </c>
      <c r="H253" s="1897">
        <v>0.31640449438202245</v>
      </c>
      <c r="I253" s="1897">
        <v>0.39820224719101122</v>
      </c>
      <c r="J253" s="1897">
        <v>0.34966292134831456</v>
      </c>
      <c r="K253" s="1897">
        <v>0.38831460674157303</v>
      </c>
      <c r="L253" s="1897">
        <v>0.32539325842696631</v>
      </c>
      <c r="M253" s="1897">
        <v>0.35086142322097374</v>
      </c>
    </row>
    <row r="254" spans="1:13" ht="15">
      <c r="A254" s="1894">
        <f t="shared" si="3"/>
        <v>247</v>
      </c>
      <c r="B254" s="1906" t="s">
        <v>3136</v>
      </c>
      <c r="C254" s="1907" t="s">
        <v>524</v>
      </c>
      <c r="D254" s="1906" t="s">
        <v>541</v>
      </c>
      <c r="E254" s="1907" t="s">
        <v>259</v>
      </c>
      <c r="F254" s="1906">
        <v>179</v>
      </c>
      <c r="G254" s="1897">
        <v>0.88960893854748613</v>
      </c>
      <c r="H254" s="1897">
        <v>0.80715083798882681</v>
      </c>
      <c r="I254" s="1897">
        <v>0.46994413407821223</v>
      </c>
      <c r="J254" s="1897">
        <v>0.43843575418994418</v>
      </c>
      <c r="K254" s="1897">
        <v>0.36268156424581005</v>
      </c>
      <c r="L254" s="1897">
        <v>0.25944134078212289</v>
      </c>
      <c r="M254" s="1897">
        <v>0.53787709497206704</v>
      </c>
    </row>
    <row r="255" spans="1:13" ht="15">
      <c r="A255" s="1894">
        <f t="shared" si="3"/>
        <v>248</v>
      </c>
      <c r="B255" s="1906" t="s">
        <v>3139</v>
      </c>
      <c r="C255" s="1907" t="s">
        <v>524</v>
      </c>
      <c r="D255" s="1906" t="s">
        <v>541</v>
      </c>
      <c r="E255" s="1907" t="s">
        <v>259</v>
      </c>
      <c r="F255" s="1906">
        <v>180</v>
      </c>
      <c r="G255" s="1897">
        <v>1.302</v>
      </c>
      <c r="H255" s="1897">
        <v>1.2920000000000003</v>
      </c>
      <c r="I255" s="1897">
        <v>1.4080000000000001</v>
      </c>
      <c r="J255" s="1897">
        <v>1.1919999999999999</v>
      </c>
      <c r="K255" s="1897">
        <v>1.1919999999999999</v>
      </c>
      <c r="L255" s="1897">
        <v>1.234</v>
      </c>
      <c r="M255" s="1897">
        <v>1.2700000000000002</v>
      </c>
    </row>
    <row r="256" spans="1:13" ht="15">
      <c r="A256" s="1894">
        <f t="shared" si="3"/>
        <v>249</v>
      </c>
      <c r="B256" s="1906" t="s">
        <v>3138</v>
      </c>
      <c r="C256" s="1907" t="s">
        <v>524</v>
      </c>
      <c r="D256" s="1906" t="s">
        <v>541</v>
      </c>
      <c r="E256" s="1907" t="s">
        <v>259</v>
      </c>
      <c r="F256" s="1906">
        <v>180</v>
      </c>
      <c r="G256" s="1897">
        <v>1.1262222222222222</v>
      </c>
      <c r="H256" s="1897">
        <v>0.98577777777777775</v>
      </c>
      <c r="I256" s="1897">
        <v>1.0497777777777779</v>
      </c>
      <c r="J256" s="1897">
        <v>0.85422222222222233</v>
      </c>
      <c r="K256" s="1897">
        <v>0.67555555555555558</v>
      </c>
      <c r="L256" s="1897">
        <v>0.74222222222222223</v>
      </c>
      <c r="M256" s="1897">
        <v>0.90562962962962956</v>
      </c>
    </row>
    <row r="257" spans="1:13" ht="15">
      <c r="A257" s="1894">
        <f t="shared" si="3"/>
        <v>250</v>
      </c>
      <c r="B257" s="1906" t="s">
        <v>3140</v>
      </c>
      <c r="C257" s="1907" t="s">
        <v>524</v>
      </c>
      <c r="D257" s="1906" t="s">
        <v>541</v>
      </c>
      <c r="E257" s="1907" t="s">
        <v>259</v>
      </c>
      <c r="F257" s="1906">
        <v>180</v>
      </c>
      <c r="G257" s="1897">
        <v>0.43466666666666665</v>
      </c>
      <c r="H257" s="1897">
        <v>0.48800000000000004</v>
      </c>
      <c r="I257" s="1897">
        <v>0.49066666666666664</v>
      </c>
      <c r="J257" s="1897">
        <v>0.49066666666666664</v>
      </c>
      <c r="K257" s="1897">
        <v>0.41599999999999998</v>
      </c>
      <c r="L257" s="1897">
        <v>0.45866666666666667</v>
      </c>
      <c r="M257" s="1897">
        <v>0.46311111111111108</v>
      </c>
    </row>
    <row r="258" spans="1:13" ht="15">
      <c r="A258" s="1894">
        <f t="shared" si="3"/>
        <v>251</v>
      </c>
      <c r="B258" s="1906" t="s">
        <v>3137</v>
      </c>
      <c r="C258" s="1907" t="s">
        <v>524</v>
      </c>
      <c r="D258" s="1906" t="s">
        <v>636</v>
      </c>
      <c r="E258" s="1907" t="s">
        <v>259</v>
      </c>
      <c r="F258" s="1906">
        <v>180</v>
      </c>
      <c r="G258" s="1897">
        <v>0.20177777777777778</v>
      </c>
      <c r="H258" s="1897">
        <v>0.20088888888888887</v>
      </c>
      <c r="I258" s="1897">
        <v>0.19822222222222222</v>
      </c>
      <c r="J258" s="1897">
        <v>0.25866666666666666</v>
      </c>
      <c r="K258" s="1897">
        <v>0.16977777777777778</v>
      </c>
      <c r="L258" s="1897">
        <v>0.14399999999999999</v>
      </c>
      <c r="M258" s="1897">
        <v>0.19555555555555551</v>
      </c>
    </row>
    <row r="259" spans="1:13" ht="15">
      <c r="A259" s="1894">
        <f t="shared" si="3"/>
        <v>252</v>
      </c>
      <c r="B259" s="1906" t="s">
        <v>3141</v>
      </c>
      <c r="C259" s="1907" t="s">
        <v>524</v>
      </c>
      <c r="D259" s="1906" t="s">
        <v>629</v>
      </c>
      <c r="E259" s="1907" t="s">
        <v>259</v>
      </c>
      <c r="F259" s="1906">
        <v>182.22</v>
      </c>
      <c r="G259" s="1897">
        <v>0.53429919877071674</v>
      </c>
      <c r="H259" s="1897">
        <v>0.58535835802875646</v>
      </c>
      <c r="I259" s="1897">
        <v>0.56497640215124578</v>
      </c>
      <c r="J259" s="1897">
        <v>0.59616288003512241</v>
      </c>
      <c r="K259" s="1897">
        <v>0.5821578311930633</v>
      </c>
      <c r="L259" s="1897">
        <v>0.57449237185819335</v>
      </c>
      <c r="M259" s="1897">
        <v>0.57290784033951636</v>
      </c>
    </row>
    <row r="260" spans="1:13" ht="15">
      <c r="A260" s="1894">
        <f t="shared" si="3"/>
        <v>253</v>
      </c>
      <c r="B260" s="1906" t="s">
        <v>3142</v>
      </c>
      <c r="C260" s="1907" t="s">
        <v>524</v>
      </c>
      <c r="D260" s="1906" t="s">
        <v>541</v>
      </c>
      <c r="E260" s="1907" t="s">
        <v>259</v>
      </c>
      <c r="F260" s="1906">
        <v>183</v>
      </c>
      <c r="G260" s="1897">
        <v>0.83103825136612008</v>
      </c>
      <c r="H260" s="1897">
        <v>0.79344262295081958</v>
      </c>
      <c r="I260" s="1897">
        <v>0.68939890710382523</v>
      </c>
      <c r="J260" s="1897">
        <v>0.77071038251366131</v>
      </c>
      <c r="K260" s="1897">
        <v>0.75191256830601094</v>
      </c>
      <c r="L260" s="1897">
        <v>0.64480874316939896</v>
      </c>
      <c r="M260" s="1897">
        <v>0.74688524590163941</v>
      </c>
    </row>
    <row r="261" spans="1:13" ht="15">
      <c r="A261" s="1894">
        <f t="shared" si="3"/>
        <v>254</v>
      </c>
      <c r="B261" s="1906" t="s">
        <v>3143</v>
      </c>
      <c r="C261" s="1907" t="s">
        <v>524</v>
      </c>
      <c r="D261" s="1906" t="s">
        <v>541</v>
      </c>
      <c r="E261" s="1907" t="s">
        <v>259</v>
      </c>
      <c r="F261" s="1906">
        <v>183</v>
      </c>
      <c r="G261" s="1897">
        <v>0.86950819672131152</v>
      </c>
      <c r="H261" s="1897">
        <v>0.92131147540983616</v>
      </c>
      <c r="I261" s="1897">
        <v>0.81049180327868853</v>
      </c>
      <c r="J261" s="1897">
        <v>0.83606557377049184</v>
      </c>
      <c r="K261" s="1897">
        <v>0.84196721311475398</v>
      </c>
      <c r="L261" s="1897">
        <v>0.83737704918032796</v>
      </c>
      <c r="M261" s="1897">
        <v>0.85278688524590163</v>
      </c>
    </row>
    <row r="262" spans="1:13" ht="15">
      <c r="A262" s="1894">
        <f t="shared" si="3"/>
        <v>255</v>
      </c>
      <c r="B262" s="1906" t="s">
        <v>3144</v>
      </c>
      <c r="C262" s="1907" t="s">
        <v>524</v>
      </c>
      <c r="D262" s="1906" t="s">
        <v>541</v>
      </c>
      <c r="E262" s="1907" t="s">
        <v>259</v>
      </c>
      <c r="F262" s="1906">
        <v>184</v>
      </c>
      <c r="G262" s="1897">
        <v>0.52956521739130435</v>
      </c>
      <c r="H262" s="1897">
        <v>1.0741304347826088</v>
      </c>
      <c r="I262" s="1897">
        <v>0.88826086956521733</v>
      </c>
      <c r="J262" s="1897">
        <v>1.0389130434782607</v>
      </c>
      <c r="K262" s="1897">
        <v>0.71086956521739142</v>
      </c>
      <c r="L262" s="1897">
        <v>0.59413043478260874</v>
      </c>
      <c r="M262" s="1897">
        <v>0.80597826086956526</v>
      </c>
    </row>
    <row r="263" spans="1:13" ht="15">
      <c r="A263" s="1894">
        <f t="shared" si="3"/>
        <v>256</v>
      </c>
      <c r="B263" s="1906" t="s">
        <v>3145</v>
      </c>
      <c r="C263" s="1907" t="s">
        <v>524</v>
      </c>
      <c r="D263" s="1906" t="s">
        <v>629</v>
      </c>
      <c r="E263" s="1907" t="s">
        <v>259</v>
      </c>
      <c r="F263" s="1906">
        <v>185.56</v>
      </c>
      <c r="G263" s="1897">
        <v>0.3078249622763527</v>
      </c>
      <c r="H263" s="1897">
        <v>0.30135805130416038</v>
      </c>
      <c r="I263" s="1897">
        <v>0.47143780987281741</v>
      </c>
      <c r="J263" s="1897">
        <v>0.46497089890062515</v>
      </c>
      <c r="K263" s="1897">
        <v>0.31558525544298344</v>
      </c>
      <c r="L263" s="1897">
        <v>0.34274628152619097</v>
      </c>
      <c r="M263" s="1897">
        <v>0.36732054322052171</v>
      </c>
    </row>
    <row r="264" spans="1:13" ht="15">
      <c r="A264" s="1894">
        <f t="shared" si="3"/>
        <v>257</v>
      </c>
      <c r="B264" s="1906" t="s">
        <v>3146</v>
      </c>
      <c r="C264" s="1907" t="s">
        <v>524</v>
      </c>
      <c r="D264" s="1906" t="s">
        <v>737</v>
      </c>
      <c r="E264" s="1907" t="s">
        <v>259</v>
      </c>
      <c r="F264" s="1906">
        <v>186</v>
      </c>
      <c r="G264" s="1897">
        <v>8.7741935483870964E-2</v>
      </c>
      <c r="H264" s="1897">
        <v>3.5698924731182795E-2</v>
      </c>
      <c r="I264" s="1897">
        <v>8.8172043010752696E-2</v>
      </c>
      <c r="J264" s="1897">
        <v>9.2473118279569888E-2</v>
      </c>
      <c r="K264" s="1897">
        <v>9.8494623655913979E-2</v>
      </c>
      <c r="L264" s="1897">
        <v>0.1010752688172043</v>
      </c>
      <c r="M264" s="1897">
        <v>8.394265232974911E-2</v>
      </c>
    </row>
    <row r="265" spans="1:13" ht="15">
      <c r="A265" s="1894">
        <f t="shared" si="3"/>
        <v>258</v>
      </c>
      <c r="B265" s="1906" t="s">
        <v>3148</v>
      </c>
      <c r="C265" s="1907" t="s">
        <v>524</v>
      </c>
      <c r="D265" s="1906" t="s">
        <v>541</v>
      </c>
      <c r="E265" s="1907" t="s">
        <v>259</v>
      </c>
      <c r="F265" s="1906">
        <v>187</v>
      </c>
      <c r="G265" s="1897">
        <v>0.8838502673796792</v>
      </c>
      <c r="H265" s="1897">
        <v>0.92149732620320857</v>
      </c>
      <c r="I265" s="1897">
        <v>0.90267379679144377</v>
      </c>
      <c r="J265" s="1897">
        <v>0.933475935828877</v>
      </c>
      <c r="K265" s="1897">
        <v>1.0233155080213903</v>
      </c>
      <c r="L265" s="1897">
        <v>0.99336898395721918</v>
      </c>
      <c r="M265" s="1897">
        <v>0.943030303030303</v>
      </c>
    </row>
    <row r="266" spans="1:13" ht="15">
      <c r="A266" s="1894">
        <f t="shared" ref="A266:A329" si="4">+A265+1</f>
        <v>259</v>
      </c>
      <c r="B266" s="1906" t="s">
        <v>3147</v>
      </c>
      <c r="C266" s="1907" t="s">
        <v>524</v>
      </c>
      <c r="D266" s="1906" t="s">
        <v>2966</v>
      </c>
      <c r="E266" s="1907" t="s">
        <v>259</v>
      </c>
      <c r="F266" s="1906">
        <v>187</v>
      </c>
      <c r="G266" s="1897">
        <v>0.20791443850267377</v>
      </c>
      <c r="H266" s="1897">
        <v>0.15786096256684493</v>
      </c>
      <c r="I266" s="1897">
        <v>1.2192513368983957E-2</v>
      </c>
      <c r="J266" s="1897">
        <v>1.0267379679144387E-2</v>
      </c>
      <c r="K266" s="1897">
        <v>3.1443850267379676E-2</v>
      </c>
      <c r="L266" s="1897">
        <v>7.058823529411765E-3</v>
      </c>
      <c r="M266" s="1897">
        <v>7.1122994652406415E-2</v>
      </c>
    </row>
    <row r="267" spans="1:13" ht="15">
      <c r="A267" s="1894">
        <f t="shared" si="4"/>
        <v>260</v>
      </c>
      <c r="B267" s="1906" t="s">
        <v>3149</v>
      </c>
      <c r="C267" s="1907" t="s">
        <v>524</v>
      </c>
      <c r="D267" s="1906" t="s">
        <v>636</v>
      </c>
      <c r="E267" s="1907" t="s">
        <v>259</v>
      </c>
      <c r="F267" s="1906">
        <v>187</v>
      </c>
      <c r="G267" s="1897">
        <v>0.60962566844919786</v>
      </c>
      <c r="H267" s="1897">
        <v>0.59807486631016049</v>
      </c>
      <c r="I267" s="1897">
        <v>0.60064171122994658</v>
      </c>
      <c r="J267" s="1897">
        <v>0.49026737967914436</v>
      </c>
      <c r="K267" s="1897">
        <v>0.53133689839572196</v>
      </c>
      <c r="L267" s="1897">
        <v>0.5544385026737968</v>
      </c>
      <c r="M267" s="1897">
        <v>0.56406417112299467</v>
      </c>
    </row>
    <row r="268" spans="1:13" ht="15">
      <c r="A268" s="1894">
        <f t="shared" si="4"/>
        <v>261</v>
      </c>
      <c r="B268" s="1906" t="s">
        <v>3153</v>
      </c>
      <c r="C268" s="1907" t="s">
        <v>524</v>
      </c>
      <c r="D268" s="1906" t="s">
        <v>623</v>
      </c>
      <c r="E268" s="1907" t="s">
        <v>259</v>
      </c>
      <c r="F268" s="1906">
        <v>189</v>
      </c>
      <c r="G268" s="1897">
        <v>0.34497354497354493</v>
      </c>
      <c r="H268" s="1897">
        <v>0.32698412698412699</v>
      </c>
      <c r="I268" s="1897">
        <v>0.32910052910052906</v>
      </c>
      <c r="J268" s="1897">
        <v>0.31111111111111112</v>
      </c>
      <c r="K268" s="1897">
        <v>0.31111111111111112</v>
      </c>
      <c r="L268" s="1897">
        <v>0.33227513227513228</v>
      </c>
      <c r="M268" s="1897">
        <v>0.3259259259259259</v>
      </c>
    </row>
    <row r="269" spans="1:13" ht="15">
      <c r="A269" s="1894">
        <f t="shared" si="4"/>
        <v>262</v>
      </c>
      <c r="B269" s="1906" t="s">
        <v>3154</v>
      </c>
      <c r="C269" s="1907" t="s">
        <v>524</v>
      </c>
      <c r="D269" s="1906" t="s">
        <v>541</v>
      </c>
      <c r="E269" s="1907" t="s">
        <v>259</v>
      </c>
      <c r="F269" s="1906">
        <v>189</v>
      </c>
      <c r="G269" s="1897">
        <v>0.59365079365079365</v>
      </c>
      <c r="H269" s="1897">
        <v>0.47746031746031753</v>
      </c>
      <c r="I269" s="1897">
        <v>0.49142857142857138</v>
      </c>
      <c r="J269" s="1897">
        <v>0.45714285714285707</v>
      </c>
      <c r="K269" s="1897">
        <v>0.49968253968253973</v>
      </c>
      <c r="L269" s="1897">
        <v>0.54222222222222227</v>
      </c>
      <c r="M269" s="1897">
        <v>0.51026455026455031</v>
      </c>
    </row>
    <row r="270" spans="1:13" ht="15">
      <c r="A270" s="1894">
        <f t="shared" si="4"/>
        <v>263</v>
      </c>
      <c r="B270" s="1906" t="s">
        <v>3155</v>
      </c>
      <c r="C270" s="1907" t="s">
        <v>524</v>
      </c>
      <c r="D270" s="1906" t="s">
        <v>541</v>
      </c>
      <c r="E270" s="1907" t="s">
        <v>259</v>
      </c>
      <c r="F270" s="1906">
        <v>189</v>
      </c>
      <c r="G270" s="1897">
        <v>0.90116402116402117</v>
      </c>
      <c r="H270" s="1897">
        <v>0.82158730158730164</v>
      </c>
      <c r="I270" s="1897">
        <v>0.7263492063492063</v>
      </c>
      <c r="J270" s="1897">
        <v>0.8402116402116403</v>
      </c>
      <c r="K270" s="1897">
        <v>0.70222222222222219</v>
      </c>
      <c r="L270" s="1897">
        <v>0.69587301587301575</v>
      </c>
      <c r="M270" s="1897">
        <v>0.78123456790123458</v>
      </c>
    </row>
    <row r="271" spans="1:13" ht="15">
      <c r="A271" s="1894">
        <f t="shared" si="4"/>
        <v>264</v>
      </c>
      <c r="B271" s="1906" t="s">
        <v>3561</v>
      </c>
      <c r="C271" s="1907" t="s">
        <v>524</v>
      </c>
      <c r="D271" s="1906" t="s">
        <v>636</v>
      </c>
      <c r="E271" s="1907" t="s">
        <v>259</v>
      </c>
      <c r="F271" s="1906">
        <v>189</v>
      </c>
      <c r="G271" s="1897">
        <v>0</v>
      </c>
      <c r="H271" s="1897">
        <v>0</v>
      </c>
      <c r="I271" s="1897">
        <v>0</v>
      </c>
      <c r="J271" s="1897">
        <v>0.27372063492063492</v>
      </c>
      <c r="K271" s="1897">
        <v>0.33652063492063494</v>
      </c>
      <c r="L271" s="1897">
        <v>0.34311111111111109</v>
      </c>
      <c r="M271" s="1897">
        <v>0.1588920634920635</v>
      </c>
    </row>
    <row r="272" spans="1:13" ht="15">
      <c r="A272" s="1894">
        <f t="shared" si="4"/>
        <v>265</v>
      </c>
      <c r="B272" s="1906" t="s">
        <v>3562</v>
      </c>
      <c r="C272" s="1907" t="s">
        <v>524</v>
      </c>
      <c r="D272" s="1906" t="s">
        <v>2966</v>
      </c>
      <c r="E272" s="1907" t="s">
        <v>259</v>
      </c>
      <c r="F272" s="1906">
        <v>189</v>
      </c>
      <c r="G272" s="1897">
        <v>0</v>
      </c>
      <c r="H272" s="1897">
        <v>0.7588042328042327</v>
      </c>
      <c r="I272" s="1897">
        <v>0.65410052910052907</v>
      </c>
      <c r="J272" s="1897">
        <v>0.63668783068783075</v>
      </c>
      <c r="K272" s="1897">
        <v>0.7424021164021164</v>
      </c>
      <c r="L272" s="1897">
        <v>0.54232804232804233</v>
      </c>
      <c r="M272" s="1897">
        <v>0.55572045855379193</v>
      </c>
    </row>
    <row r="273" spans="1:13" ht="15">
      <c r="A273" s="1894">
        <f t="shared" si="4"/>
        <v>266</v>
      </c>
      <c r="B273" s="1906" t="s">
        <v>3158</v>
      </c>
      <c r="C273" s="1907" t="s">
        <v>524</v>
      </c>
      <c r="D273" s="1906" t="s">
        <v>636</v>
      </c>
      <c r="E273" s="1907" t="s">
        <v>259</v>
      </c>
      <c r="F273" s="1906">
        <v>189</v>
      </c>
      <c r="G273" s="1897">
        <v>0.15111111111111111</v>
      </c>
      <c r="H273" s="1897">
        <v>6.5185185185185193E-2</v>
      </c>
      <c r="I273" s="1897">
        <v>0.12105820105820106</v>
      </c>
      <c r="J273" s="1897">
        <v>0.19809523809523807</v>
      </c>
      <c r="K273" s="1897">
        <v>0.20275132275132277</v>
      </c>
      <c r="L273" s="1897">
        <v>0.2361904761904762</v>
      </c>
      <c r="M273" s="1897">
        <v>0.16239858906525576</v>
      </c>
    </row>
    <row r="274" spans="1:13" ht="15">
      <c r="A274" s="1894">
        <f t="shared" si="4"/>
        <v>267</v>
      </c>
      <c r="B274" s="1906" t="s">
        <v>3156</v>
      </c>
      <c r="C274" s="1907" t="s">
        <v>524</v>
      </c>
      <c r="D274" s="1906" t="s">
        <v>636</v>
      </c>
      <c r="E274" s="1907" t="s">
        <v>259</v>
      </c>
      <c r="F274" s="1906">
        <v>189</v>
      </c>
      <c r="G274" s="1897">
        <v>0.22285714285714284</v>
      </c>
      <c r="H274" s="1897">
        <v>0.21968253968253967</v>
      </c>
      <c r="I274" s="1897">
        <v>0.23746031746031748</v>
      </c>
      <c r="J274" s="1897">
        <v>0.26793650793650792</v>
      </c>
      <c r="K274" s="1897">
        <v>0.25904761904761903</v>
      </c>
      <c r="L274" s="1897">
        <v>0.25650793650793652</v>
      </c>
      <c r="M274" s="1897">
        <v>0.24391534391534389</v>
      </c>
    </row>
    <row r="275" spans="1:13" ht="15">
      <c r="A275" s="1894">
        <f t="shared" si="4"/>
        <v>268</v>
      </c>
      <c r="B275" s="1906" t="s">
        <v>3151</v>
      </c>
      <c r="C275" s="1907" t="s">
        <v>524</v>
      </c>
      <c r="D275" s="1906" t="s">
        <v>541</v>
      </c>
      <c r="E275" s="1907" t="s">
        <v>259</v>
      </c>
      <c r="F275" s="1906">
        <v>189</v>
      </c>
      <c r="G275" s="1897">
        <v>1.0266666666666668</v>
      </c>
      <c r="H275" s="1897">
        <v>1.06984126984127</v>
      </c>
      <c r="I275" s="1897">
        <v>0.9663492063492064</v>
      </c>
      <c r="J275" s="1897">
        <v>0.94222222222222229</v>
      </c>
      <c r="K275" s="1897">
        <v>0.97460317460317458</v>
      </c>
      <c r="L275" s="1897">
        <v>1.02984126984127</v>
      </c>
      <c r="M275" s="1897">
        <v>1.0015873015873016</v>
      </c>
    </row>
    <row r="276" spans="1:13" ht="15">
      <c r="A276" s="1894">
        <f t="shared" si="4"/>
        <v>269</v>
      </c>
      <c r="B276" s="1906" t="s">
        <v>3152</v>
      </c>
      <c r="C276" s="1907" t="s">
        <v>524</v>
      </c>
      <c r="D276" s="1906" t="s">
        <v>541</v>
      </c>
      <c r="E276" s="1907" t="s">
        <v>259</v>
      </c>
      <c r="F276" s="1906">
        <v>189</v>
      </c>
      <c r="G276" s="1897">
        <v>0.54708994708994707</v>
      </c>
      <c r="H276" s="1897">
        <v>1.2666666666666666</v>
      </c>
      <c r="I276" s="1897">
        <v>1.2825396825396826</v>
      </c>
      <c r="J276" s="1897">
        <v>1.0624338624338625</v>
      </c>
      <c r="K276" s="1897">
        <v>1.0624338624338625</v>
      </c>
      <c r="L276" s="1897">
        <v>1.0603174603174603</v>
      </c>
      <c r="M276" s="1897">
        <v>1.0469135802469136</v>
      </c>
    </row>
    <row r="277" spans="1:13" ht="15">
      <c r="A277" s="1894">
        <f t="shared" si="4"/>
        <v>270</v>
      </c>
      <c r="B277" s="1906" t="s">
        <v>3150</v>
      </c>
      <c r="C277" s="1907" t="s">
        <v>524</v>
      </c>
      <c r="D277" s="1906" t="s">
        <v>2966</v>
      </c>
      <c r="E277" s="1907" t="s">
        <v>259</v>
      </c>
      <c r="F277" s="1906">
        <v>189</v>
      </c>
      <c r="G277" s="1897">
        <v>0.81693121693121695</v>
      </c>
      <c r="H277" s="1897">
        <v>0.65608465608465605</v>
      </c>
      <c r="I277" s="1897">
        <v>0.67386243386243394</v>
      </c>
      <c r="J277" s="1897">
        <v>0.6493121693121694</v>
      </c>
      <c r="K277" s="1897">
        <v>0.51216931216931216</v>
      </c>
      <c r="L277" s="1897">
        <v>0.13714285714285712</v>
      </c>
      <c r="M277" s="1897">
        <v>0.57425044091710753</v>
      </c>
    </row>
    <row r="278" spans="1:13" ht="15">
      <c r="A278" s="1894">
        <f t="shared" si="4"/>
        <v>271</v>
      </c>
      <c r="B278" s="1906" t="s">
        <v>3157</v>
      </c>
      <c r="C278" s="1907" t="s">
        <v>524</v>
      </c>
      <c r="D278" s="1906" t="s">
        <v>636</v>
      </c>
      <c r="E278" s="1907" t="s">
        <v>259</v>
      </c>
      <c r="F278" s="1906">
        <v>189</v>
      </c>
      <c r="G278" s="1897">
        <v>6.0105820105820114E-2</v>
      </c>
      <c r="H278" s="1897">
        <v>8.2116402116402115E-2</v>
      </c>
      <c r="I278" s="1897">
        <v>1.9523809523809523E-2</v>
      </c>
      <c r="J278" s="1897">
        <v>7.5282539682539687E-2</v>
      </c>
      <c r="K278" s="1897">
        <v>0.26560634920634923</v>
      </c>
      <c r="L278" s="1897">
        <v>0.18457142857142858</v>
      </c>
      <c r="M278" s="1897">
        <v>0.11453439153439154</v>
      </c>
    </row>
    <row r="279" spans="1:13" ht="15">
      <c r="A279" s="1894">
        <f t="shared" si="4"/>
        <v>272</v>
      </c>
      <c r="B279" s="1906" t="s">
        <v>3159</v>
      </c>
      <c r="C279" s="1907" t="s">
        <v>524</v>
      </c>
      <c r="D279" s="1906" t="s">
        <v>636</v>
      </c>
      <c r="E279" s="1907" t="s">
        <v>259</v>
      </c>
      <c r="F279" s="1906">
        <v>190</v>
      </c>
      <c r="G279" s="1897">
        <v>0.5204210526315789</v>
      </c>
      <c r="H279" s="1897">
        <v>0.57094736842105254</v>
      </c>
      <c r="I279" s="1897">
        <v>0.5065263157894736</v>
      </c>
      <c r="J279" s="1897">
        <v>0.65178947368421059</v>
      </c>
      <c r="K279" s="1897">
        <v>0.54694736842105263</v>
      </c>
      <c r="L279" s="1897">
        <v>0.42442105263157898</v>
      </c>
      <c r="M279" s="1897">
        <v>0.5368421052631579</v>
      </c>
    </row>
    <row r="280" spans="1:13" ht="15">
      <c r="A280" s="1894">
        <f t="shared" si="4"/>
        <v>273</v>
      </c>
      <c r="B280" s="1906" t="s">
        <v>3161</v>
      </c>
      <c r="C280" s="1907" t="s">
        <v>524</v>
      </c>
      <c r="D280" s="1906" t="s">
        <v>636</v>
      </c>
      <c r="E280" s="1907" t="s">
        <v>259</v>
      </c>
      <c r="F280" s="1906">
        <v>193</v>
      </c>
      <c r="G280" s="1897">
        <v>0.54715025906735748</v>
      </c>
      <c r="H280" s="1897">
        <v>0.57761658031088081</v>
      </c>
      <c r="I280" s="1897">
        <v>0.5900518134715026</v>
      </c>
      <c r="J280" s="1897">
        <v>0.53844559585492224</v>
      </c>
      <c r="K280" s="1897">
        <v>0.51730569948186522</v>
      </c>
      <c r="L280" s="1897">
        <v>0.52601036269430046</v>
      </c>
      <c r="M280" s="1897">
        <v>0.54943005181347138</v>
      </c>
    </row>
    <row r="281" spans="1:13" ht="15">
      <c r="A281" s="1894">
        <f t="shared" si="4"/>
        <v>274</v>
      </c>
      <c r="B281" s="1906" t="s">
        <v>3160</v>
      </c>
      <c r="C281" s="1907" t="s">
        <v>524</v>
      </c>
      <c r="D281" s="1906" t="s">
        <v>636</v>
      </c>
      <c r="E281" s="1907" t="s">
        <v>259</v>
      </c>
      <c r="F281" s="1906">
        <v>193</v>
      </c>
      <c r="G281" s="1897">
        <v>0.32829015544041457</v>
      </c>
      <c r="H281" s="1897">
        <v>0.33492227979274614</v>
      </c>
      <c r="I281" s="1897">
        <v>0.35730569948186525</v>
      </c>
      <c r="J281" s="1897">
        <v>0.32414507772020729</v>
      </c>
      <c r="K281" s="1897">
        <v>0.35647668393782384</v>
      </c>
      <c r="L281" s="1897">
        <v>0.48331606217616579</v>
      </c>
      <c r="M281" s="1897">
        <v>0.36407599309153715</v>
      </c>
    </row>
    <row r="282" spans="1:13" ht="15">
      <c r="A282" s="1894">
        <f t="shared" si="4"/>
        <v>275</v>
      </c>
      <c r="B282" s="1906" t="s">
        <v>3162</v>
      </c>
      <c r="C282" s="1907" t="s">
        <v>524</v>
      </c>
      <c r="D282" s="1906" t="s">
        <v>636</v>
      </c>
      <c r="E282" s="1907" t="s">
        <v>259</v>
      </c>
      <c r="F282" s="1906">
        <v>193</v>
      </c>
      <c r="G282" s="1897">
        <v>0.33015544041450778</v>
      </c>
      <c r="H282" s="1897">
        <v>0.3718134715025907</v>
      </c>
      <c r="I282" s="1897">
        <v>0.40103626943005183</v>
      </c>
      <c r="J282" s="1897">
        <v>0.3009326424870466</v>
      </c>
      <c r="K282" s="1897">
        <v>0.27419689119170987</v>
      </c>
      <c r="L282" s="1897">
        <v>2.9906735751295335E-3</v>
      </c>
      <c r="M282" s="1897">
        <v>0.28018756476683937</v>
      </c>
    </row>
    <row r="283" spans="1:13" ht="15">
      <c r="A283" s="1894">
        <f t="shared" si="4"/>
        <v>276</v>
      </c>
      <c r="B283" s="1906" t="s">
        <v>3163</v>
      </c>
      <c r="C283" s="1907" t="s">
        <v>524</v>
      </c>
      <c r="D283" s="1906" t="s">
        <v>541</v>
      </c>
      <c r="E283" s="1907" t="s">
        <v>259</v>
      </c>
      <c r="F283" s="1906">
        <v>195</v>
      </c>
      <c r="G283" s="1897">
        <v>0.59117948717948721</v>
      </c>
      <c r="H283" s="1897">
        <v>0.49641025641025638</v>
      </c>
      <c r="I283" s="1897">
        <v>3.446153846153846E-2</v>
      </c>
      <c r="J283" s="1897">
        <v>0.12184615384615385</v>
      </c>
      <c r="K283" s="1897">
        <v>0.13825641025641025</v>
      </c>
      <c r="L283" s="1897">
        <v>5.5794871794871789E-2</v>
      </c>
      <c r="M283" s="1897">
        <v>0.23965811965811967</v>
      </c>
    </row>
    <row r="284" spans="1:13" ht="15">
      <c r="A284" s="1894">
        <f t="shared" si="4"/>
        <v>277</v>
      </c>
      <c r="B284" s="1906" t="s">
        <v>3164</v>
      </c>
      <c r="C284" s="1907" t="s">
        <v>524</v>
      </c>
      <c r="D284" s="1906" t="s">
        <v>541</v>
      </c>
      <c r="E284" s="1907" t="s">
        <v>259</v>
      </c>
      <c r="F284" s="1906">
        <v>195</v>
      </c>
      <c r="G284" s="1897">
        <v>0.85210256410256413</v>
      </c>
      <c r="H284" s="1897">
        <v>0.87179487179487181</v>
      </c>
      <c r="I284" s="1897">
        <v>0.88738461538461533</v>
      </c>
      <c r="J284" s="1897">
        <v>0.87302564102564095</v>
      </c>
      <c r="K284" s="1897">
        <v>0.8722051282051283</v>
      </c>
      <c r="L284" s="1897">
        <v>0.91774358974358983</v>
      </c>
      <c r="M284" s="1897">
        <v>0.87904273504273511</v>
      </c>
    </row>
    <row r="285" spans="1:13" ht="15">
      <c r="A285" s="1894">
        <f t="shared" si="4"/>
        <v>278</v>
      </c>
      <c r="B285" s="1906" t="s">
        <v>3177</v>
      </c>
      <c r="C285" s="1907" t="s">
        <v>524</v>
      </c>
      <c r="D285" s="1906" t="s">
        <v>541</v>
      </c>
      <c r="E285" s="1907" t="s">
        <v>259</v>
      </c>
      <c r="F285" s="1906">
        <v>200</v>
      </c>
      <c r="G285" s="1897">
        <v>0.96</v>
      </c>
      <c r="H285" s="1897">
        <v>1.4312</v>
      </c>
      <c r="I285" s="1897">
        <v>1.7816000000000001</v>
      </c>
      <c r="J285" s="1897">
        <v>1.3544</v>
      </c>
      <c r="K285" s="1897">
        <v>1.1728000000000001</v>
      </c>
      <c r="L285" s="1897">
        <v>1.1295999999999999</v>
      </c>
      <c r="M285" s="1897">
        <v>1.3049333333333335</v>
      </c>
    </row>
    <row r="286" spans="1:13" ht="15">
      <c r="A286" s="1894">
        <f t="shared" si="4"/>
        <v>279</v>
      </c>
      <c r="B286" s="1906" t="s">
        <v>3178</v>
      </c>
      <c r="C286" s="1907" t="s">
        <v>524</v>
      </c>
      <c r="D286" s="1906" t="s">
        <v>541</v>
      </c>
      <c r="E286" s="1907" t="s">
        <v>259</v>
      </c>
      <c r="F286" s="1906">
        <v>200</v>
      </c>
      <c r="G286" s="1897">
        <v>4.2399999999999998E-3</v>
      </c>
      <c r="H286" s="1897">
        <v>0.38252799999999998</v>
      </c>
      <c r="I286" s="1897">
        <v>0.34567999999999999</v>
      </c>
      <c r="J286" s="1897">
        <v>0.38656799999999997</v>
      </c>
      <c r="K286" s="1897">
        <v>0.38042399999999998</v>
      </c>
      <c r="L286" s="1897">
        <v>0.39405999999999997</v>
      </c>
      <c r="M286" s="1897">
        <v>0.31558333333333333</v>
      </c>
    </row>
    <row r="287" spans="1:13" ht="15">
      <c r="A287" s="1894">
        <f t="shared" si="4"/>
        <v>280</v>
      </c>
      <c r="B287" s="1906" t="s">
        <v>3179</v>
      </c>
      <c r="C287" s="1907" t="s">
        <v>524</v>
      </c>
      <c r="D287" s="1906" t="s">
        <v>541</v>
      </c>
      <c r="E287" s="1907" t="s">
        <v>259</v>
      </c>
      <c r="F287" s="1906">
        <v>200</v>
      </c>
      <c r="G287" s="1897">
        <v>0.36599999999999999</v>
      </c>
      <c r="H287" s="1897">
        <v>0.3624</v>
      </c>
      <c r="I287" s="1897">
        <v>0.38800000000000007</v>
      </c>
      <c r="J287" s="1897">
        <v>0.41</v>
      </c>
      <c r="K287" s="1897">
        <v>0.314</v>
      </c>
      <c r="L287" s="1897">
        <v>0.40479999999999999</v>
      </c>
      <c r="M287" s="1897">
        <v>0.37420000000000003</v>
      </c>
    </row>
    <row r="288" spans="1:13" ht="15">
      <c r="A288" s="1894">
        <f t="shared" si="4"/>
        <v>281</v>
      </c>
      <c r="B288" s="1906" t="s">
        <v>3180</v>
      </c>
      <c r="C288" s="1907" t="s">
        <v>524</v>
      </c>
      <c r="D288" s="1906" t="s">
        <v>541</v>
      </c>
      <c r="E288" s="1907" t="s">
        <v>259</v>
      </c>
      <c r="F288" s="1906">
        <v>200</v>
      </c>
      <c r="G288" s="1897">
        <v>0</v>
      </c>
      <c r="H288" s="1897">
        <v>0</v>
      </c>
      <c r="I288" s="1897">
        <v>0</v>
      </c>
      <c r="J288" s="1897">
        <v>0.436</v>
      </c>
      <c r="K288" s="1897">
        <v>0.436</v>
      </c>
      <c r="L288" s="1897">
        <v>0.48480000000000006</v>
      </c>
      <c r="M288" s="1897">
        <v>0.22613333333333333</v>
      </c>
    </row>
    <row r="289" spans="1:13" ht="15">
      <c r="A289" s="1894">
        <f t="shared" si="4"/>
        <v>282</v>
      </c>
      <c r="B289" s="1906" t="s">
        <v>3181</v>
      </c>
      <c r="C289" s="1907" t="s">
        <v>524</v>
      </c>
      <c r="D289" s="1906" t="s">
        <v>2966</v>
      </c>
      <c r="E289" s="1907" t="s">
        <v>259</v>
      </c>
      <c r="F289" s="1906">
        <v>200</v>
      </c>
      <c r="G289" s="1897">
        <v>9.6000000000000002E-2</v>
      </c>
      <c r="H289" s="1897">
        <v>0.23919999999999997</v>
      </c>
      <c r="I289" s="1897">
        <v>0.2576</v>
      </c>
      <c r="J289" s="1897">
        <v>0.22559999999999999</v>
      </c>
      <c r="K289" s="1897">
        <v>0.23440000000000003</v>
      </c>
      <c r="L289" s="1897">
        <v>0.18559999999999999</v>
      </c>
      <c r="M289" s="1897">
        <v>0.2064</v>
      </c>
    </row>
    <row r="290" spans="1:13" ht="15">
      <c r="A290" s="1894">
        <f t="shared" si="4"/>
        <v>283</v>
      </c>
      <c r="B290" s="1906" t="s">
        <v>3173</v>
      </c>
      <c r="C290" s="1907" t="s">
        <v>524</v>
      </c>
      <c r="D290" s="1906" t="s">
        <v>2966</v>
      </c>
      <c r="E290" s="1907" t="s">
        <v>259</v>
      </c>
      <c r="F290" s="1906">
        <v>200</v>
      </c>
      <c r="G290" s="1897">
        <v>0.69920000000000004</v>
      </c>
      <c r="H290" s="1897">
        <v>0.70399999999999996</v>
      </c>
      <c r="I290" s="1897">
        <v>7.1199999999999999E-2</v>
      </c>
      <c r="J290" s="1897">
        <v>0.11200000000000002</v>
      </c>
      <c r="K290" s="1897">
        <v>0.48320000000000002</v>
      </c>
      <c r="L290" s="1897">
        <v>0.57679999999999998</v>
      </c>
      <c r="M290" s="1897">
        <v>0.44106666666666666</v>
      </c>
    </row>
    <row r="291" spans="1:13" ht="15">
      <c r="A291" s="1894">
        <f t="shared" si="4"/>
        <v>284</v>
      </c>
      <c r="B291" s="1906" t="s">
        <v>3171</v>
      </c>
      <c r="C291" s="1907" t="s">
        <v>524</v>
      </c>
      <c r="D291" s="1906" t="s">
        <v>2966</v>
      </c>
      <c r="E291" s="1907" t="s">
        <v>259</v>
      </c>
      <c r="F291" s="1906">
        <v>200</v>
      </c>
      <c r="G291" s="1897">
        <v>0.68400000000000005</v>
      </c>
      <c r="H291" s="1897">
        <v>0.68700000000000006</v>
      </c>
      <c r="I291" s="1897">
        <v>0.60059999999999991</v>
      </c>
      <c r="J291" s="1897">
        <v>0.61199999999999999</v>
      </c>
      <c r="K291" s="1897">
        <v>0.67379999999999995</v>
      </c>
      <c r="L291" s="1897">
        <v>8.5440000000000012E-3</v>
      </c>
      <c r="M291" s="1897">
        <v>0.54432400000000003</v>
      </c>
    </row>
    <row r="292" spans="1:13" ht="15">
      <c r="A292" s="1894">
        <f t="shared" si="4"/>
        <v>285</v>
      </c>
      <c r="B292" s="1906" t="s">
        <v>3166</v>
      </c>
      <c r="C292" s="1907" t="s">
        <v>524</v>
      </c>
      <c r="D292" s="1906" t="s">
        <v>541</v>
      </c>
      <c r="E292" s="1907" t="s">
        <v>259</v>
      </c>
      <c r="F292" s="1906">
        <v>200</v>
      </c>
      <c r="G292" s="1897">
        <v>0.55279999999999996</v>
      </c>
      <c r="H292" s="1897">
        <v>0.41520000000000001</v>
      </c>
      <c r="I292" s="1897">
        <v>0.54559999999999997</v>
      </c>
      <c r="J292" s="1897">
        <v>0.44400000000000001</v>
      </c>
      <c r="K292" s="1897">
        <v>0.5232</v>
      </c>
      <c r="L292" s="1897">
        <v>0.49359999999999998</v>
      </c>
      <c r="M292" s="1897">
        <v>0.4957333333333333</v>
      </c>
    </row>
    <row r="293" spans="1:13" ht="15">
      <c r="A293" s="1894">
        <f t="shared" si="4"/>
        <v>286</v>
      </c>
      <c r="B293" s="1906" t="s">
        <v>3165</v>
      </c>
      <c r="C293" s="1907" t="s">
        <v>524</v>
      </c>
      <c r="D293" s="1906" t="s">
        <v>2966</v>
      </c>
      <c r="E293" s="1907" t="s">
        <v>259</v>
      </c>
      <c r="F293" s="1906">
        <v>200</v>
      </c>
      <c r="G293" s="1897">
        <v>0.67585000000000006</v>
      </c>
      <c r="H293" s="1897">
        <v>0.89965000000000006</v>
      </c>
      <c r="I293" s="1897">
        <v>0.92604999999999993</v>
      </c>
      <c r="J293" s="1897">
        <v>0.76165000000000005</v>
      </c>
      <c r="K293" s="1897">
        <v>0.81084999999999996</v>
      </c>
      <c r="L293" s="1897">
        <v>0.87745000000000006</v>
      </c>
      <c r="M293" s="1897">
        <v>0.82524999999999993</v>
      </c>
    </row>
    <row r="294" spans="1:13" ht="15">
      <c r="A294" s="1894">
        <f t="shared" si="4"/>
        <v>287</v>
      </c>
      <c r="B294" s="1906" t="s">
        <v>3563</v>
      </c>
      <c r="C294" s="1907" t="s">
        <v>524</v>
      </c>
      <c r="D294" s="1906" t="s">
        <v>541</v>
      </c>
      <c r="E294" s="1907" t="s">
        <v>259</v>
      </c>
      <c r="F294" s="1906">
        <v>200</v>
      </c>
      <c r="G294" s="1897">
        <v>0</v>
      </c>
      <c r="H294" s="1897">
        <v>0</v>
      </c>
      <c r="I294" s="1897">
        <v>0</v>
      </c>
      <c r="J294" s="1897">
        <v>0</v>
      </c>
      <c r="K294" s="1897">
        <v>0.40031999999999995</v>
      </c>
      <c r="L294" s="1897">
        <v>0.57851999999999992</v>
      </c>
      <c r="M294" s="1897">
        <v>0.16313999999999998</v>
      </c>
    </row>
    <row r="295" spans="1:13" ht="15">
      <c r="A295" s="1894">
        <f t="shared" si="4"/>
        <v>288</v>
      </c>
      <c r="B295" s="1906" t="s">
        <v>3184</v>
      </c>
      <c r="C295" s="1907" t="s">
        <v>524</v>
      </c>
      <c r="D295" s="1906" t="s">
        <v>541</v>
      </c>
      <c r="E295" s="1907" t="s">
        <v>259</v>
      </c>
      <c r="F295" s="1906">
        <v>200</v>
      </c>
      <c r="G295" s="1897">
        <v>1.6504000000000003</v>
      </c>
      <c r="H295" s="1897">
        <v>1.5196000000000001</v>
      </c>
      <c r="I295" s="1897">
        <v>1.5219999999999998</v>
      </c>
      <c r="J295" s="1897">
        <v>1.5391999999999999</v>
      </c>
      <c r="K295" s="1897">
        <v>1.6132</v>
      </c>
      <c r="L295" s="1897">
        <v>1.6892000000000003</v>
      </c>
      <c r="M295" s="1897">
        <v>1.5889333333333333</v>
      </c>
    </row>
    <row r="296" spans="1:13" ht="15">
      <c r="A296" s="1894">
        <f t="shared" si="4"/>
        <v>289</v>
      </c>
      <c r="B296" s="1906" t="s">
        <v>3182</v>
      </c>
      <c r="C296" s="1907" t="s">
        <v>524</v>
      </c>
      <c r="D296" s="1906" t="s">
        <v>737</v>
      </c>
      <c r="E296" s="1907" t="s">
        <v>259</v>
      </c>
      <c r="F296" s="1906">
        <v>200</v>
      </c>
      <c r="G296" s="1897">
        <v>0.21359999999999998</v>
      </c>
      <c r="H296" s="1897">
        <v>0.2208</v>
      </c>
      <c r="I296" s="1897">
        <v>0.24</v>
      </c>
      <c r="J296" s="1897">
        <v>0.21440000000000001</v>
      </c>
      <c r="K296" s="1897">
        <v>0.2152</v>
      </c>
      <c r="L296" s="1897">
        <v>0.21600000000000003</v>
      </c>
      <c r="M296" s="1897">
        <v>0.22</v>
      </c>
    </row>
    <row r="297" spans="1:13" ht="15">
      <c r="A297" s="1894">
        <f t="shared" si="4"/>
        <v>290</v>
      </c>
      <c r="B297" s="1906" t="s">
        <v>3183</v>
      </c>
      <c r="C297" s="1907" t="s">
        <v>524</v>
      </c>
      <c r="D297" s="1906" t="s">
        <v>737</v>
      </c>
      <c r="E297" s="1907" t="s">
        <v>259</v>
      </c>
      <c r="F297" s="1906">
        <v>200</v>
      </c>
      <c r="G297" s="1897">
        <v>0.16320000000000001</v>
      </c>
      <c r="H297" s="1897">
        <v>0.10639999999999999</v>
      </c>
      <c r="I297" s="1897">
        <v>0.11119999999999999</v>
      </c>
      <c r="J297" s="1897">
        <v>0.1696</v>
      </c>
      <c r="K297" s="1897">
        <v>0.20319999999999999</v>
      </c>
      <c r="L297" s="1897">
        <v>0.18719999999999998</v>
      </c>
      <c r="M297" s="1897">
        <v>0.15680000000000002</v>
      </c>
    </row>
    <row r="298" spans="1:13" ht="15">
      <c r="A298" s="1894">
        <f t="shared" si="4"/>
        <v>291</v>
      </c>
      <c r="B298" s="1906" t="s">
        <v>3172</v>
      </c>
      <c r="C298" s="1907" t="s">
        <v>524</v>
      </c>
      <c r="D298" s="1906" t="s">
        <v>737</v>
      </c>
      <c r="E298" s="1907" t="s">
        <v>259</v>
      </c>
      <c r="F298" s="1906">
        <v>200</v>
      </c>
      <c r="G298" s="1897">
        <v>0.33600000000000002</v>
      </c>
      <c r="H298" s="1897">
        <v>0.33179999999999998</v>
      </c>
      <c r="I298" s="1897">
        <v>0.13019999999999998</v>
      </c>
      <c r="J298" s="1897">
        <v>0.16740000000000002</v>
      </c>
      <c r="K298" s="1897">
        <v>0.1434</v>
      </c>
      <c r="L298" s="1897">
        <v>9.9600000000000008E-2</v>
      </c>
      <c r="M298" s="1897">
        <v>0.2014</v>
      </c>
    </row>
    <row r="299" spans="1:13" ht="15">
      <c r="A299" s="1894">
        <f t="shared" si="4"/>
        <v>292</v>
      </c>
      <c r="B299" s="1906" t="s">
        <v>3169</v>
      </c>
      <c r="C299" s="1907" t="s">
        <v>524</v>
      </c>
      <c r="D299" s="1906" t="s">
        <v>737</v>
      </c>
      <c r="E299" s="1907" t="s">
        <v>259</v>
      </c>
      <c r="F299" s="1906">
        <v>200</v>
      </c>
      <c r="G299" s="1897">
        <v>0.71579999999999999</v>
      </c>
      <c r="H299" s="1897">
        <v>0.71399999999999997</v>
      </c>
      <c r="I299" s="1897">
        <v>0.7056</v>
      </c>
      <c r="J299" s="1897">
        <v>0.40380000000000005</v>
      </c>
      <c r="K299" s="1897">
        <v>0.38579999999999998</v>
      </c>
      <c r="L299" s="1897">
        <v>0.39840000000000003</v>
      </c>
      <c r="M299" s="1897">
        <v>0.55389999999999995</v>
      </c>
    </row>
    <row r="300" spans="1:13" ht="15">
      <c r="A300" s="1894">
        <f t="shared" si="4"/>
        <v>293</v>
      </c>
      <c r="B300" s="1906" t="s">
        <v>3167</v>
      </c>
      <c r="C300" s="1907" t="s">
        <v>524</v>
      </c>
      <c r="D300" s="1906" t="s">
        <v>541</v>
      </c>
      <c r="E300" s="1907" t="s">
        <v>259</v>
      </c>
      <c r="F300" s="1906">
        <v>200</v>
      </c>
      <c r="G300" s="1897">
        <v>0.5796</v>
      </c>
      <c r="H300" s="1897">
        <v>0.59219999999999995</v>
      </c>
      <c r="I300" s="1897">
        <v>0.43079999999999996</v>
      </c>
      <c r="J300" s="1897">
        <v>0.30779999999999996</v>
      </c>
      <c r="K300" s="1897">
        <v>4.5599999999999995E-2</v>
      </c>
      <c r="L300" s="1897">
        <v>3.6000000000000004E-2</v>
      </c>
      <c r="M300" s="1897">
        <v>0.33199999999999996</v>
      </c>
    </row>
    <row r="301" spans="1:13" ht="15">
      <c r="A301" s="1894">
        <f t="shared" si="4"/>
        <v>294</v>
      </c>
      <c r="B301" s="1906" t="s">
        <v>3176</v>
      </c>
      <c r="C301" s="1907" t="s">
        <v>524</v>
      </c>
      <c r="D301" s="1906" t="s">
        <v>2966</v>
      </c>
      <c r="E301" s="1907" t="s">
        <v>259</v>
      </c>
      <c r="F301" s="1906">
        <v>200</v>
      </c>
      <c r="G301" s="1897">
        <v>1.5607999999999997</v>
      </c>
      <c r="H301" s="1897">
        <v>1.4816</v>
      </c>
      <c r="I301" s="1897">
        <v>1.0928</v>
      </c>
      <c r="J301" s="1897">
        <v>0.62160000000000004</v>
      </c>
      <c r="K301" s="1897">
        <v>0.75760000000000005</v>
      </c>
      <c r="L301" s="1897">
        <v>0.68079999999999996</v>
      </c>
      <c r="M301" s="1897">
        <v>1.0325333333333331</v>
      </c>
    </row>
    <row r="302" spans="1:13" ht="15">
      <c r="A302" s="1894">
        <f t="shared" si="4"/>
        <v>295</v>
      </c>
      <c r="B302" s="1906" t="s">
        <v>3185</v>
      </c>
      <c r="C302" s="1907" t="s">
        <v>524</v>
      </c>
      <c r="D302" s="1906" t="s">
        <v>636</v>
      </c>
      <c r="E302" s="1907" t="s">
        <v>259</v>
      </c>
      <c r="F302" s="1906">
        <v>200</v>
      </c>
      <c r="G302" s="1897">
        <v>0.49759999999999999</v>
      </c>
      <c r="H302" s="1897">
        <v>0.50080000000000002</v>
      </c>
      <c r="I302" s="1897">
        <v>0.53920000000000001</v>
      </c>
      <c r="J302" s="1897">
        <v>0.46479999999999999</v>
      </c>
      <c r="K302" s="1897">
        <v>0.4496</v>
      </c>
      <c r="L302" s="1897">
        <v>0.40479999999999999</v>
      </c>
      <c r="M302" s="1897">
        <v>0.4761333333333333</v>
      </c>
    </row>
    <row r="303" spans="1:13" ht="15">
      <c r="A303" s="1894">
        <f t="shared" si="4"/>
        <v>296</v>
      </c>
      <c r="B303" s="1906" t="s">
        <v>3008</v>
      </c>
      <c r="C303" s="1907" t="s">
        <v>524</v>
      </c>
      <c r="D303" s="1906" t="s">
        <v>541</v>
      </c>
      <c r="E303" s="1907" t="s">
        <v>259</v>
      </c>
      <c r="F303" s="1906">
        <v>200</v>
      </c>
      <c r="G303" s="1897">
        <v>3.3599999999999998E-2</v>
      </c>
      <c r="H303" s="1897">
        <v>3.4799999999999998E-2</v>
      </c>
      <c r="I303" s="1897">
        <v>3.3599999999999998E-2</v>
      </c>
      <c r="J303" s="1897">
        <v>3.3599999999999998E-2</v>
      </c>
      <c r="K303" s="1897">
        <v>4.5599999999999995E-2</v>
      </c>
      <c r="L303" s="1897">
        <v>7.3200000000000001E-2</v>
      </c>
      <c r="M303" s="1897">
        <v>4.2399999999999993E-2</v>
      </c>
    </row>
    <row r="304" spans="1:13" ht="15">
      <c r="A304" s="1894">
        <f t="shared" si="4"/>
        <v>297</v>
      </c>
      <c r="B304" s="1906" t="s">
        <v>3188</v>
      </c>
      <c r="C304" s="1907" t="s">
        <v>524</v>
      </c>
      <c r="D304" s="1906" t="s">
        <v>541</v>
      </c>
      <c r="E304" s="1907" t="s">
        <v>259</v>
      </c>
      <c r="F304" s="1906">
        <v>200</v>
      </c>
      <c r="G304" s="1897">
        <v>0.80559999999999998</v>
      </c>
      <c r="H304" s="1897">
        <v>0.9264</v>
      </c>
      <c r="I304" s="1897">
        <v>0.89280000000000004</v>
      </c>
      <c r="J304" s="1897">
        <v>0.81120000000000003</v>
      </c>
      <c r="K304" s="1897">
        <v>0.81200000000000006</v>
      </c>
      <c r="L304" s="1897">
        <v>0.91320000000000012</v>
      </c>
      <c r="M304" s="1897">
        <v>0.86019999999999996</v>
      </c>
    </row>
    <row r="305" spans="1:13" ht="15">
      <c r="A305" s="1894">
        <f t="shared" si="4"/>
        <v>298</v>
      </c>
      <c r="B305" s="1906" t="s">
        <v>3189</v>
      </c>
      <c r="C305" s="1907" t="s">
        <v>524</v>
      </c>
      <c r="D305" s="1906" t="s">
        <v>541</v>
      </c>
      <c r="E305" s="1907" t="s">
        <v>259</v>
      </c>
      <c r="F305" s="1906">
        <v>200</v>
      </c>
      <c r="G305" s="1897">
        <v>0.71399999999999997</v>
      </c>
      <c r="H305" s="1897">
        <v>0.71399999999999997</v>
      </c>
      <c r="I305" s="1897">
        <v>0.69799999999999995</v>
      </c>
      <c r="J305" s="1897">
        <v>0.628</v>
      </c>
      <c r="K305" s="1897">
        <v>0.68</v>
      </c>
      <c r="L305" s="1897">
        <v>0.63200000000000001</v>
      </c>
      <c r="M305" s="1897">
        <v>0.67766666666666664</v>
      </c>
    </row>
    <row r="306" spans="1:13" ht="15">
      <c r="A306" s="1894">
        <f t="shared" si="4"/>
        <v>299</v>
      </c>
      <c r="B306" s="1906" t="s">
        <v>3186</v>
      </c>
      <c r="C306" s="1907" t="s">
        <v>524</v>
      </c>
      <c r="D306" s="1906" t="s">
        <v>541</v>
      </c>
      <c r="E306" s="1907" t="s">
        <v>259</v>
      </c>
      <c r="F306" s="1906">
        <v>200</v>
      </c>
      <c r="G306" s="1897">
        <v>0.57840000000000003</v>
      </c>
      <c r="H306" s="1897">
        <v>0.63280000000000003</v>
      </c>
      <c r="I306" s="1897">
        <v>0.61119999999999997</v>
      </c>
      <c r="J306" s="1897">
        <v>0.61040000000000005</v>
      </c>
      <c r="K306" s="1897">
        <v>0.59519999999999995</v>
      </c>
      <c r="L306" s="1897">
        <v>0.61599999999999999</v>
      </c>
      <c r="M306" s="1897">
        <v>0.60733333333333339</v>
      </c>
    </row>
    <row r="307" spans="1:13" ht="15">
      <c r="A307" s="1894">
        <f t="shared" si="4"/>
        <v>300</v>
      </c>
      <c r="B307" s="1906" t="s">
        <v>690</v>
      </c>
      <c r="C307" s="1907" t="s">
        <v>524</v>
      </c>
      <c r="D307" s="1906" t="s">
        <v>636</v>
      </c>
      <c r="E307" s="1907" t="s">
        <v>259</v>
      </c>
      <c r="F307" s="1906">
        <v>200</v>
      </c>
      <c r="G307" s="1897">
        <v>0.73760000000000003</v>
      </c>
      <c r="H307" s="1897">
        <v>0.81520000000000015</v>
      </c>
      <c r="I307" s="1897">
        <v>0.87439999999999996</v>
      </c>
      <c r="J307" s="1897">
        <v>0.76239999999999997</v>
      </c>
      <c r="K307" s="1897">
        <v>0.73360000000000003</v>
      </c>
      <c r="L307" s="1897">
        <v>0.70719999999999994</v>
      </c>
      <c r="M307" s="1897">
        <v>0.77173333333333327</v>
      </c>
    </row>
    <row r="308" spans="1:13" ht="15">
      <c r="A308" s="1894">
        <f t="shared" si="4"/>
        <v>301</v>
      </c>
      <c r="B308" s="1906" t="s">
        <v>3175</v>
      </c>
      <c r="C308" s="1907" t="s">
        <v>524</v>
      </c>
      <c r="D308" s="1906" t="s">
        <v>629</v>
      </c>
      <c r="E308" s="1907" t="s">
        <v>259</v>
      </c>
      <c r="F308" s="1906">
        <v>200</v>
      </c>
      <c r="G308" s="1897">
        <v>0.5292</v>
      </c>
      <c r="H308" s="1897">
        <v>0.65159999999999996</v>
      </c>
      <c r="I308" s="1897">
        <v>0.75599999999999989</v>
      </c>
      <c r="J308" s="1897">
        <v>0.61319999999999997</v>
      </c>
      <c r="K308" s="1897">
        <v>0.65400000000000003</v>
      </c>
      <c r="L308" s="1897">
        <v>0.61440000000000006</v>
      </c>
      <c r="M308" s="1897">
        <v>0.63639999999999997</v>
      </c>
    </row>
    <row r="309" spans="1:13" ht="15">
      <c r="A309" s="1894">
        <f t="shared" si="4"/>
        <v>302</v>
      </c>
      <c r="B309" s="1906" t="s">
        <v>3170</v>
      </c>
      <c r="C309" s="1907" t="s">
        <v>524</v>
      </c>
      <c r="D309" s="1906" t="s">
        <v>541</v>
      </c>
      <c r="E309" s="1907" t="s">
        <v>259</v>
      </c>
      <c r="F309" s="1906">
        <v>200</v>
      </c>
      <c r="G309" s="1897">
        <v>0.56700000000000006</v>
      </c>
      <c r="H309" s="1897">
        <v>0.55259999999999998</v>
      </c>
      <c r="I309" s="1897">
        <v>6.1799999999999994E-2</v>
      </c>
      <c r="J309" s="1897">
        <v>7.5600000000000001E-2</v>
      </c>
      <c r="K309" s="1897">
        <v>8.8200000000000001E-2</v>
      </c>
      <c r="L309" s="1897">
        <v>0.30959999999999999</v>
      </c>
      <c r="M309" s="1897">
        <v>0.27580000000000005</v>
      </c>
    </row>
    <row r="310" spans="1:13" ht="15">
      <c r="A310" s="1894">
        <f t="shared" si="4"/>
        <v>303</v>
      </c>
      <c r="B310" s="1906" t="s">
        <v>3190</v>
      </c>
      <c r="C310" s="1907" t="s">
        <v>524</v>
      </c>
      <c r="D310" s="1906" t="s">
        <v>636</v>
      </c>
      <c r="E310" s="1907" t="s">
        <v>259</v>
      </c>
      <c r="F310" s="1906">
        <v>200</v>
      </c>
      <c r="G310" s="1897">
        <v>0.56320000000000003</v>
      </c>
      <c r="H310" s="1897">
        <v>0.64119999999999999</v>
      </c>
      <c r="I310" s="1897">
        <v>0.67120000000000002</v>
      </c>
      <c r="J310" s="1897">
        <v>0.53800000000000003</v>
      </c>
      <c r="K310" s="1897">
        <v>0.53320000000000001</v>
      </c>
      <c r="L310" s="1897">
        <v>0.47520000000000001</v>
      </c>
      <c r="M310" s="1897">
        <v>0.57033333333333336</v>
      </c>
    </row>
    <row r="311" spans="1:13" ht="15">
      <c r="A311" s="1894">
        <f t="shared" si="4"/>
        <v>304</v>
      </c>
      <c r="B311" s="1906" t="s">
        <v>3174</v>
      </c>
      <c r="C311" s="1907" t="s">
        <v>524</v>
      </c>
      <c r="D311" s="1906" t="s">
        <v>541</v>
      </c>
      <c r="E311" s="1907" t="s">
        <v>259</v>
      </c>
      <c r="F311" s="1906">
        <v>200</v>
      </c>
      <c r="G311" s="1897">
        <v>0.31679999999999997</v>
      </c>
      <c r="H311" s="1897">
        <v>8.8800000000000004E-2</v>
      </c>
      <c r="I311" s="1897">
        <v>0</v>
      </c>
      <c r="J311" s="1897">
        <v>1.38</v>
      </c>
      <c r="K311" s="1897">
        <v>9.2399999999999996E-2</v>
      </c>
      <c r="L311" s="1897">
        <v>8.8800000000000004E-2</v>
      </c>
      <c r="M311" s="1897">
        <v>0.32779999999999998</v>
      </c>
    </row>
    <row r="312" spans="1:13" ht="15">
      <c r="A312" s="1894">
        <f t="shared" si="4"/>
        <v>305</v>
      </c>
      <c r="B312" s="1906" t="s">
        <v>3168</v>
      </c>
      <c r="C312" s="1907" t="s">
        <v>524</v>
      </c>
      <c r="D312" s="1906" t="s">
        <v>2966</v>
      </c>
      <c r="E312" s="1907" t="s">
        <v>259</v>
      </c>
      <c r="F312" s="1906">
        <v>200</v>
      </c>
      <c r="G312" s="1897">
        <v>0.28399999999999997</v>
      </c>
      <c r="H312" s="1897">
        <v>0.26879999999999998</v>
      </c>
      <c r="I312" s="1897">
        <v>0.31440000000000001</v>
      </c>
      <c r="J312" s="1897">
        <v>0.5464</v>
      </c>
      <c r="K312" s="1897">
        <v>0.28160000000000002</v>
      </c>
      <c r="L312" s="1897">
        <v>0.29920000000000002</v>
      </c>
      <c r="M312" s="1897">
        <v>0.33240000000000003</v>
      </c>
    </row>
    <row r="313" spans="1:13" ht="15">
      <c r="A313" s="1894">
        <f t="shared" si="4"/>
        <v>306</v>
      </c>
      <c r="B313" s="1906" t="s">
        <v>3191</v>
      </c>
      <c r="C313" s="1907" t="s">
        <v>524</v>
      </c>
      <c r="D313" s="1906" t="s">
        <v>541</v>
      </c>
      <c r="E313" s="1907" t="s">
        <v>259</v>
      </c>
      <c r="F313" s="1906">
        <v>201</v>
      </c>
      <c r="G313" s="1897">
        <v>0.60000000000000009</v>
      </c>
      <c r="H313" s="1897">
        <v>0.62388059701492538</v>
      </c>
      <c r="I313" s="1897">
        <v>0.49134328358208951</v>
      </c>
      <c r="J313" s="1897">
        <v>0.42208955223880601</v>
      </c>
      <c r="K313" s="1897">
        <v>0.44119402985074624</v>
      </c>
      <c r="L313" s="1897">
        <v>0.52955223880597013</v>
      </c>
      <c r="M313" s="1897">
        <v>0.51800995024875618</v>
      </c>
    </row>
    <row r="314" spans="1:13" ht="15">
      <c r="A314" s="1894">
        <f t="shared" si="4"/>
        <v>307</v>
      </c>
      <c r="B314" s="1906" t="s">
        <v>3192</v>
      </c>
      <c r="C314" s="1907" t="s">
        <v>524</v>
      </c>
      <c r="D314" s="1906" t="s">
        <v>541</v>
      </c>
      <c r="E314" s="1907" t="s">
        <v>259</v>
      </c>
      <c r="F314" s="1906">
        <v>201</v>
      </c>
      <c r="G314" s="1897">
        <v>0.81313432835820898</v>
      </c>
      <c r="H314" s="1897">
        <v>0.8197014925373135</v>
      </c>
      <c r="I314" s="1897">
        <v>0.80597014925373134</v>
      </c>
      <c r="J314" s="1897">
        <v>0.84835820895522396</v>
      </c>
      <c r="K314" s="1897">
        <v>0.83641791044776126</v>
      </c>
      <c r="L314" s="1897">
        <v>0.86029850746268666</v>
      </c>
      <c r="M314" s="1897">
        <v>0.83064676616915423</v>
      </c>
    </row>
    <row r="315" spans="1:13" ht="15">
      <c r="A315" s="1894">
        <f t="shared" si="4"/>
        <v>308</v>
      </c>
      <c r="B315" s="1906" t="s">
        <v>3193</v>
      </c>
      <c r="C315" s="1907" t="s">
        <v>524</v>
      </c>
      <c r="D315" s="1906" t="s">
        <v>541</v>
      </c>
      <c r="E315" s="1907" t="s">
        <v>259</v>
      </c>
      <c r="F315" s="1906">
        <v>202</v>
      </c>
      <c r="G315" s="1897">
        <v>1.1893069306930693</v>
      </c>
      <c r="H315" s="1897">
        <v>1.0182178217821782</v>
      </c>
      <c r="I315" s="1897">
        <v>0.95168316831683175</v>
      </c>
      <c r="J315" s="1897">
        <v>1.0241584158415842</v>
      </c>
      <c r="K315" s="1897">
        <v>1.0063366336633663</v>
      </c>
      <c r="L315" s="1897">
        <v>1.5445544554455444E-2</v>
      </c>
      <c r="M315" s="1897">
        <v>0.86752475247524752</v>
      </c>
    </row>
    <row r="316" spans="1:13" ht="15">
      <c r="A316" s="1894">
        <f t="shared" si="4"/>
        <v>309</v>
      </c>
      <c r="B316" s="1906" t="s">
        <v>3194</v>
      </c>
      <c r="C316" s="1907" t="s">
        <v>524</v>
      </c>
      <c r="D316" s="1906" t="s">
        <v>737</v>
      </c>
      <c r="E316" s="1907" t="s">
        <v>259</v>
      </c>
      <c r="F316" s="1906">
        <v>202</v>
      </c>
      <c r="G316" s="1897">
        <v>5.02970297029703E-2</v>
      </c>
      <c r="H316" s="1897">
        <v>7.0099009900990106E-2</v>
      </c>
      <c r="I316" s="1897">
        <v>2.6930693069306927E-2</v>
      </c>
      <c r="J316" s="1897">
        <v>3.1390099009900987E-2</v>
      </c>
      <c r="K316" s="1897">
        <v>3.9714851485148514E-2</v>
      </c>
      <c r="L316" s="1897">
        <v>6.4643564356435645E-2</v>
      </c>
      <c r="M316" s="1897">
        <v>4.7179207920792082E-2</v>
      </c>
    </row>
    <row r="317" spans="1:13" ht="15">
      <c r="A317" s="1894">
        <f t="shared" si="4"/>
        <v>310</v>
      </c>
      <c r="B317" s="1906" t="s">
        <v>3195</v>
      </c>
      <c r="C317" s="1907" t="s">
        <v>524</v>
      </c>
      <c r="D317" s="1906" t="s">
        <v>541</v>
      </c>
      <c r="E317" s="1907" t="s">
        <v>259</v>
      </c>
      <c r="F317" s="1906">
        <v>202</v>
      </c>
      <c r="G317" s="1897">
        <v>0.89762376237623775</v>
      </c>
      <c r="H317" s="1897">
        <v>0.82099009900990083</v>
      </c>
      <c r="I317" s="1897">
        <v>0.7295049504950496</v>
      </c>
      <c r="J317" s="1897">
        <v>0.80910891089108905</v>
      </c>
      <c r="K317" s="1897">
        <v>0.9023762376237624</v>
      </c>
      <c r="L317" s="1897">
        <v>0.90415841584158418</v>
      </c>
      <c r="M317" s="1897">
        <v>0.84396039603960393</v>
      </c>
    </row>
    <row r="318" spans="1:13" ht="15">
      <c r="A318" s="1894">
        <f t="shared" si="4"/>
        <v>311</v>
      </c>
      <c r="B318" s="1906" t="s">
        <v>3196</v>
      </c>
      <c r="C318" s="1907" t="s">
        <v>524</v>
      </c>
      <c r="D318" s="1906" t="s">
        <v>737</v>
      </c>
      <c r="E318" s="1907" t="s">
        <v>259</v>
      </c>
      <c r="F318" s="1906">
        <v>204</v>
      </c>
      <c r="G318" s="1897">
        <v>0.29352941176470587</v>
      </c>
      <c r="H318" s="1897">
        <v>0.33058823529411763</v>
      </c>
      <c r="I318" s="1897">
        <v>0.34</v>
      </c>
      <c r="J318" s="1897">
        <v>0.25000000000000006</v>
      </c>
      <c r="K318" s="1897">
        <v>0.2</v>
      </c>
      <c r="L318" s="1897">
        <v>0.16882352941176471</v>
      </c>
      <c r="M318" s="1897">
        <v>0.26382352941176473</v>
      </c>
    </row>
    <row r="319" spans="1:13" ht="15">
      <c r="A319" s="1894">
        <f t="shared" si="4"/>
        <v>312</v>
      </c>
      <c r="B319" s="1906" t="s">
        <v>3197</v>
      </c>
      <c r="C319" s="1907" t="s">
        <v>524</v>
      </c>
      <c r="D319" s="1906" t="s">
        <v>2966</v>
      </c>
      <c r="E319" s="1907" t="s">
        <v>259</v>
      </c>
      <c r="F319" s="1906">
        <v>205</v>
      </c>
      <c r="G319" s="1897">
        <v>0.71707317073170729</v>
      </c>
      <c r="H319" s="1897">
        <v>0.70536585365853655</v>
      </c>
      <c r="I319" s="1897">
        <v>0.71414634146341471</v>
      </c>
      <c r="J319" s="1897">
        <v>1.015609756097561</v>
      </c>
      <c r="K319" s="1897">
        <v>1.1239024390243901</v>
      </c>
      <c r="L319" s="1897">
        <v>1.1443902439024392</v>
      </c>
      <c r="M319" s="1897">
        <v>0.90341463414634149</v>
      </c>
    </row>
    <row r="320" spans="1:13" ht="15">
      <c r="A320" s="1894">
        <f t="shared" si="4"/>
        <v>313</v>
      </c>
      <c r="B320" s="1906" t="s">
        <v>3198</v>
      </c>
      <c r="C320" s="1907" t="s">
        <v>524</v>
      </c>
      <c r="D320" s="1906" t="s">
        <v>541</v>
      </c>
      <c r="E320" s="1907" t="s">
        <v>259</v>
      </c>
      <c r="F320" s="1906">
        <v>205</v>
      </c>
      <c r="G320" s="1897">
        <v>0.35278048780487803</v>
      </c>
      <c r="H320" s="1897">
        <v>0.31453658536585366</v>
      </c>
      <c r="I320" s="1897">
        <v>0.2505365853658536</v>
      </c>
      <c r="J320" s="1897">
        <v>0.34029268292682929</v>
      </c>
      <c r="K320" s="1897">
        <v>0.34029268292682929</v>
      </c>
      <c r="L320" s="1897">
        <v>0.34185365853658534</v>
      </c>
      <c r="M320" s="1897">
        <v>0.32338211382113818</v>
      </c>
    </row>
    <row r="321" spans="1:13" ht="15">
      <c r="A321" s="1894">
        <f t="shared" si="4"/>
        <v>314</v>
      </c>
      <c r="B321" s="1906" t="s">
        <v>3199</v>
      </c>
      <c r="C321" s="1907" t="s">
        <v>524</v>
      </c>
      <c r="D321" s="1906" t="s">
        <v>541</v>
      </c>
      <c r="E321" s="1907" t="s">
        <v>259</v>
      </c>
      <c r="F321" s="1906">
        <v>206</v>
      </c>
      <c r="G321" s="1897">
        <v>0.36058252427184467</v>
      </c>
      <c r="H321" s="1897">
        <v>0.75029126213592234</v>
      </c>
      <c r="I321" s="1897">
        <v>0.78699029126213593</v>
      </c>
      <c r="J321" s="1897">
        <v>0.74621359223300965</v>
      </c>
      <c r="K321" s="1897">
        <v>0.71825242718446602</v>
      </c>
      <c r="L321" s="1897">
        <v>0.72233009708737872</v>
      </c>
      <c r="M321" s="1897">
        <v>0.6807766990291263</v>
      </c>
    </row>
    <row r="322" spans="1:13" ht="15">
      <c r="A322" s="1894">
        <f t="shared" si="4"/>
        <v>315</v>
      </c>
      <c r="B322" s="1906" t="s">
        <v>3200</v>
      </c>
      <c r="C322" s="1907" t="s">
        <v>524</v>
      </c>
      <c r="D322" s="1906" t="s">
        <v>636</v>
      </c>
      <c r="E322" s="1907" t="s">
        <v>259</v>
      </c>
      <c r="F322" s="1906">
        <v>206</v>
      </c>
      <c r="G322" s="1897">
        <v>0.95883495145631059</v>
      </c>
      <c r="H322" s="1897">
        <v>1.1184466019417476</v>
      </c>
      <c r="I322" s="1897">
        <v>1.095145631067961</v>
      </c>
      <c r="J322" s="1897">
        <v>0.88077669902912625</v>
      </c>
      <c r="K322" s="1897">
        <v>1.1370873786407767</v>
      </c>
      <c r="L322" s="1897">
        <v>0.92737864077669918</v>
      </c>
      <c r="M322" s="1897">
        <v>1.0196116504854369</v>
      </c>
    </row>
    <row r="323" spans="1:13" ht="15">
      <c r="A323" s="1894">
        <f t="shared" si="4"/>
        <v>316</v>
      </c>
      <c r="B323" s="1906" t="s">
        <v>3202</v>
      </c>
      <c r="C323" s="1907" t="s">
        <v>524</v>
      </c>
      <c r="D323" s="1906" t="s">
        <v>541</v>
      </c>
      <c r="E323" s="1907" t="s">
        <v>259</v>
      </c>
      <c r="F323" s="1906">
        <v>207</v>
      </c>
      <c r="G323" s="1897">
        <v>1.0999033816425121</v>
      </c>
      <c r="H323" s="1897">
        <v>1.1404830917874396</v>
      </c>
      <c r="I323" s="1897">
        <v>1.0975845410628018</v>
      </c>
      <c r="J323" s="1897">
        <v>1.0508212560386472</v>
      </c>
      <c r="K323" s="1897">
        <v>0.31999999999999995</v>
      </c>
      <c r="L323" s="1897">
        <v>0.90550724637681157</v>
      </c>
      <c r="M323" s="1897">
        <v>0.93571658615136866</v>
      </c>
    </row>
    <row r="324" spans="1:13" ht="15">
      <c r="A324" s="1894">
        <f t="shared" si="4"/>
        <v>317</v>
      </c>
      <c r="B324" s="1906" t="s">
        <v>3201</v>
      </c>
      <c r="C324" s="1907" t="s">
        <v>524</v>
      </c>
      <c r="D324" s="1906" t="s">
        <v>730</v>
      </c>
      <c r="E324" s="1907" t="s">
        <v>259</v>
      </c>
      <c r="F324" s="1906">
        <v>207</v>
      </c>
      <c r="G324" s="1897">
        <v>0.80154589371980667</v>
      </c>
      <c r="H324" s="1897">
        <v>0.90666666666666673</v>
      </c>
      <c r="I324" s="1897">
        <v>0.87806763285024159</v>
      </c>
      <c r="J324" s="1897">
        <v>0.93140096618357482</v>
      </c>
      <c r="K324" s="1897">
        <v>0.89198067632850253</v>
      </c>
      <c r="L324" s="1897">
        <v>0.94995169082125597</v>
      </c>
      <c r="M324" s="1897">
        <v>0.89326892109500811</v>
      </c>
    </row>
    <row r="325" spans="1:13" ht="15">
      <c r="A325" s="1894">
        <f t="shared" si="4"/>
        <v>318</v>
      </c>
      <c r="B325" s="1906" t="s">
        <v>3204</v>
      </c>
      <c r="C325" s="1907" t="s">
        <v>524</v>
      </c>
      <c r="D325" s="1906" t="s">
        <v>541</v>
      </c>
      <c r="E325" s="1907" t="s">
        <v>259</v>
      </c>
      <c r="F325" s="1906">
        <v>210</v>
      </c>
      <c r="G325" s="1897">
        <v>0.998857142857143</v>
      </c>
      <c r="H325" s="1897">
        <v>1.1314285714285715</v>
      </c>
      <c r="I325" s="1897">
        <v>0.96914285714285719</v>
      </c>
      <c r="J325" s="1897">
        <v>0.73371428571428565</v>
      </c>
      <c r="K325" s="1897">
        <v>0.92228571428571415</v>
      </c>
      <c r="L325" s="1897">
        <v>0.95771428571428574</v>
      </c>
      <c r="M325" s="1897">
        <v>0.95219047619047625</v>
      </c>
    </row>
    <row r="326" spans="1:13" ht="15">
      <c r="A326" s="1894">
        <f t="shared" si="4"/>
        <v>319</v>
      </c>
      <c r="B326" s="1906" t="s">
        <v>3564</v>
      </c>
      <c r="C326" s="1907" t="s">
        <v>524</v>
      </c>
      <c r="D326" s="1906" t="s">
        <v>730</v>
      </c>
      <c r="E326" s="1907" t="s">
        <v>259</v>
      </c>
      <c r="F326" s="1906">
        <v>210</v>
      </c>
      <c r="G326" s="1897">
        <v>0</v>
      </c>
      <c r="H326" s="1897">
        <v>0</v>
      </c>
      <c r="I326" s="1897">
        <v>0</v>
      </c>
      <c r="J326" s="1897">
        <v>0.40842285714285714</v>
      </c>
      <c r="K326" s="1897">
        <v>0.61432571428571425</v>
      </c>
      <c r="L326" s="1897">
        <v>0.42494285714285712</v>
      </c>
      <c r="M326" s="1897">
        <v>0.24128190476190473</v>
      </c>
    </row>
    <row r="327" spans="1:13" ht="15">
      <c r="A327" s="1894">
        <f t="shared" si="4"/>
        <v>320</v>
      </c>
      <c r="B327" s="1906" t="s">
        <v>3203</v>
      </c>
      <c r="C327" s="1907" t="s">
        <v>524</v>
      </c>
      <c r="D327" s="1906" t="s">
        <v>541</v>
      </c>
      <c r="E327" s="1907" t="s">
        <v>259</v>
      </c>
      <c r="F327" s="1906">
        <v>210</v>
      </c>
      <c r="G327" s="1897">
        <v>2.1828571428571428</v>
      </c>
      <c r="H327" s="1897">
        <v>1.8720000000000001</v>
      </c>
      <c r="I327" s="1897">
        <v>2.0434285714285716</v>
      </c>
      <c r="J327" s="1897">
        <v>2.0830476190476186</v>
      </c>
      <c r="K327" s="1897">
        <v>2.2270476190476192</v>
      </c>
      <c r="L327" s="1897">
        <v>1.3135238095238093</v>
      </c>
      <c r="M327" s="1897">
        <v>1.9536507936507936</v>
      </c>
    </row>
    <row r="328" spans="1:13" ht="15">
      <c r="A328" s="1894">
        <f t="shared" si="4"/>
        <v>321</v>
      </c>
      <c r="B328" s="1906" t="s">
        <v>3205</v>
      </c>
      <c r="C328" s="1907" t="s">
        <v>524</v>
      </c>
      <c r="D328" s="1906" t="s">
        <v>541</v>
      </c>
      <c r="E328" s="1907" t="s">
        <v>259</v>
      </c>
      <c r="F328" s="1906">
        <v>210</v>
      </c>
      <c r="G328" s="1897">
        <v>0.84114285714285708</v>
      </c>
      <c r="H328" s="1897">
        <v>0.88114285714285712</v>
      </c>
      <c r="I328" s="1897">
        <v>0.82399999999999995</v>
      </c>
      <c r="J328" s="1897">
        <v>0.83314285714285718</v>
      </c>
      <c r="K328" s="1897">
        <v>0.81028571428571439</v>
      </c>
      <c r="L328" s="1897">
        <v>0.80000000000000016</v>
      </c>
      <c r="M328" s="1897">
        <v>0.83161904761904759</v>
      </c>
    </row>
    <row r="329" spans="1:13" ht="15">
      <c r="A329" s="1894">
        <f t="shared" si="4"/>
        <v>322</v>
      </c>
      <c r="B329" s="1906" t="s">
        <v>3207</v>
      </c>
      <c r="C329" s="1907" t="s">
        <v>524</v>
      </c>
      <c r="D329" s="1906" t="s">
        <v>541</v>
      </c>
      <c r="E329" s="1907" t="s">
        <v>259</v>
      </c>
      <c r="F329" s="1906">
        <v>211</v>
      </c>
      <c r="G329" s="1897">
        <v>0.85421800947867299</v>
      </c>
      <c r="H329" s="1897">
        <v>0.81497630331753557</v>
      </c>
      <c r="I329" s="1897">
        <v>0.82521327014218016</v>
      </c>
      <c r="J329" s="1897">
        <v>0.78767772511848344</v>
      </c>
      <c r="K329" s="1897">
        <v>0.75810426540284359</v>
      </c>
      <c r="L329" s="1897">
        <v>0.68928909952606632</v>
      </c>
      <c r="M329" s="1897">
        <v>0.78824644549763034</v>
      </c>
    </row>
    <row r="330" spans="1:13" ht="15">
      <c r="A330" s="1894">
        <f t="shared" ref="A330:A393" si="5">+A329+1</f>
        <v>323</v>
      </c>
      <c r="B330" s="1906" t="s">
        <v>3206</v>
      </c>
      <c r="C330" s="1907" t="s">
        <v>524</v>
      </c>
      <c r="D330" s="1906" t="s">
        <v>541</v>
      </c>
      <c r="E330" s="1907" t="s">
        <v>259</v>
      </c>
      <c r="F330" s="1906">
        <v>211</v>
      </c>
      <c r="G330" s="1897">
        <v>1.0752606635071091</v>
      </c>
      <c r="H330" s="1897">
        <v>1.3694786729857822</v>
      </c>
      <c r="I330" s="1897">
        <v>1.3816113744075829</v>
      </c>
      <c r="J330" s="1897">
        <v>1.3027488151658768</v>
      </c>
      <c r="K330" s="1897">
        <v>0.95999999999999985</v>
      </c>
      <c r="L330" s="1897">
        <v>1.2185781990521327</v>
      </c>
      <c r="M330" s="1897">
        <v>1.2179462875197473</v>
      </c>
    </row>
    <row r="331" spans="1:13" ht="15">
      <c r="A331" s="1894">
        <f t="shared" si="5"/>
        <v>324</v>
      </c>
      <c r="B331" s="1906" t="s">
        <v>3175</v>
      </c>
      <c r="C331" s="1907" t="s">
        <v>524</v>
      </c>
      <c r="D331" s="1906" t="s">
        <v>636</v>
      </c>
      <c r="E331" s="1907" t="s">
        <v>259</v>
      </c>
      <c r="F331" s="1906">
        <v>211</v>
      </c>
      <c r="G331" s="1897">
        <v>0.35260663507109008</v>
      </c>
      <c r="H331" s="1897">
        <v>0.4451184834123223</v>
      </c>
      <c r="I331" s="1897">
        <v>0.52625592417061617</v>
      </c>
      <c r="J331" s="1897">
        <v>0.36094786729857825</v>
      </c>
      <c r="K331" s="1897">
        <v>0.31848341232227489</v>
      </c>
      <c r="L331" s="1897">
        <v>0.29800947867298577</v>
      </c>
      <c r="M331" s="1897">
        <v>0.38357030015797794</v>
      </c>
    </row>
    <row r="332" spans="1:13" ht="15">
      <c r="A332" s="1894">
        <f t="shared" si="5"/>
        <v>325</v>
      </c>
      <c r="B332" s="1906" t="s">
        <v>3208</v>
      </c>
      <c r="C332" s="1907" t="s">
        <v>524</v>
      </c>
      <c r="D332" s="1906" t="s">
        <v>2966</v>
      </c>
      <c r="E332" s="1907" t="s">
        <v>259</v>
      </c>
      <c r="F332" s="1906">
        <v>212</v>
      </c>
      <c r="G332" s="1897">
        <v>6.4150943396226429E-2</v>
      </c>
      <c r="H332" s="1897">
        <v>5.4339622641509433E-2</v>
      </c>
      <c r="I332" s="1897">
        <v>2.9433962264150942E-2</v>
      </c>
      <c r="J332" s="1897">
        <v>0.10792452830188679</v>
      </c>
      <c r="K332" s="1897">
        <v>0.11320754716981132</v>
      </c>
      <c r="L332" s="1897">
        <v>0</v>
      </c>
      <c r="M332" s="1897">
        <v>6.1509433962264139E-2</v>
      </c>
    </row>
    <row r="333" spans="1:13" ht="15">
      <c r="A333" s="1894">
        <f t="shared" si="5"/>
        <v>326</v>
      </c>
      <c r="B333" s="1906" t="s">
        <v>2932</v>
      </c>
      <c r="C333" s="1907" t="s">
        <v>524</v>
      </c>
      <c r="D333" s="1906" t="s">
        <v>636</v>
      </c>
      <c r="E333" s="1907" t="s">
        <v>259</v>
      </c>
      <c r="F333" s="1906">
        <v>213</v>
      </c>
      <c r="G333" s="1897">
        <v>0.44815446009389676</v>
      </c>
      <c r="H333" s="1897">
        <v>0.39324225352112674</v>
      </c>
      <c r="I333" s="1897">
        <v>0.37198591549295779</v>
      </c>
      <c r="J333" s="1897">
        <v>0.33124460093896718</v>
      </c>
      <c r="K333" s="1897">
        <v>0.30467417840375588</v>
      </c>
      <c r="L333" s="1897">
        <v>0.3471868544600939</v>
      </c>
      <c r="M333" s="1897">
        <v>0.36608137715179973</v>
      </c>
    </row>
    <row r="334" spans="1:13" ht="15">
      <c r="A334" s="1894">
        <f t="shared" si="5"/>
        <v>327</v>
      </c>
      <c r="B334" s="1906" t="s">
        <v>3210</v>
      </c>
      <c r="C334" s="1907" t="s">
        <v>524</v>
      </c>
      <c r="D334" s="1906" t="s">
        <v>737</v>
      </c>
      <c r="E334" s="1907" t="s">
        <v>259</v>
      </c>
      <c r="F334" s="1906">
        <v>217</v>
      </c>
      <c r="G334" s="1897">
        <v>0.21456221198156683</v>
      </c>
      <c r="H334" s="1897">
        <v>0.1880184331797235</v>
      </c>
      <c r="I334" s="1897">
        <v>0.24552995391705074</v>
      </c>
      <c r="J334" s="1897">
        <v>0.20645161290322583</v>
      </c>
      <c r="K334" s="1897">
        <v>0.15188940092165898</v>
      </c>
      <c r="L334" s="1897">
        <v>0.17032258064516129</v>
      </c>
      <c r="M334" s="1897">
        <v>0.19612903225806455</v>
      </c>
    </row>
    <row r="335" spans="1:13" ht="15">
      <c r="A335" s="1894">
        <f t="shared" si="5"/>
        <v>328</v>
      </c>
      <c r="B335" s="1906" t="s">
        <v>3209</v>
      </c>
      <c r="C335" s="1907" t="s">
        <v>2930</v>
      </c>
      <c r="D335" s="1906" t="s">
        <v>2966</v>
      </c>
      <c r="E335" s="1907" t="s">
        <v>259</v>
      </c>
      <c r="F335" s="1906">
        <v>217</v>
      </c>
      <c r="G335" s="1897">
        <v>1.2984331797235023</v>
      </c>
      <c r="H335" s="1897">
        <v>1.3161290322580643</v>
      </c>
      <c r="I335" s="1897">
        <v>1.2991705069124424</v>
      </c>
      <c r="J335" s="1897">
        <v>1.0042396313364055</v>
      </c>
      <c r="K335" s="1897">
        <v>1.4746543778801843E-3</v>
      </c>
      <c r="L335" s="1897">
        <v>1.8433179723502304E-3</v>
      </c>
      <c r="M335" s="1897">
        <v>0.82021505376344062</v>
      </c>
    </row>
    <row r="336" spans="1:13" ht="15">
      <c r="A336" s="1894">
        <f t="shared" si="5"/>
        <v>329</v>
      </c>
      <c r="B336" s="1906" t="s">
        <v>3211</v>
      </c>
      <c r="C336" s="1907" t="s">
        <v>524</v>
      </c>
      <c r="D336" s="1906" t="s">
        <v>541</v>
      </c>
      <c r="E336" s="1907" t="s">
        <v>259</v>
      </c>
      <c r="F336" s="1906">
        <v>218</v>
      </c>
      <c r="G336" s="1897">
        <v>0.51688073394495404</v>
      </c>
      <c r="H336" s="1897">
        <v>0.5614678899082568</v>
      </c>
      <c r="I336" s="1897">
        <v>0.61431192660550471</v>
      </c>
      <c r="J336" s="1897">
        <v>0.5878899082568807</v>
      </c>
      <c r="K336" s="1897">
        <v>1.9266055045871561E-2</v>
      </c>
      <c r="L336" s="1897">
        <v>3.2477064220183489E-2</v>
      </c>
      <c r="M336" s="1897">
        <v>0.38871559633027514</v>
      </c>
    </row>
    <row r="337" spans="1:13" ht="15">
      <c r="A337" s="1894">
        <f t="shared" si="5"/>
        <v>330</v>
      </c>
      <c r="B337" s="1906" t="s">
        <v>3212</v>
      </c>
      <c r="C337" s="1907" t="s">
        <v>524</v>
      </c>
      <c r="D337" s="1906" t="s">
        <v>2966</v>
      </c>
      <c r="E337" s="1907" t="s">
        <v>259</v>
      </c>
      <c r="F337" s="1906">
        <v>220</v>
      </c>
      <c r="G337" s="1897">
        <v>0.25309090909090903</v>
      </c>
      <c r="H337" s="1897">
        <v>0.34327272727272723</v>
      </c>
      <c r="I337" s="1897">
        <v>0.2821818181818182</v>
      </c>
      <c r="J337" s="1897">
        <v>0.34181818181818185</v>
      </c>
      <c r="K337" s="1897">
        <v>0.44290909090909092</v>
      </c>
      <c r="L337" s="1897">
        <v>0.35927272727272724</v>
      </c>
      <c r="M337" s="1897">
        <v>0.33709090909090911</v>
      </c>
    </row>
    <row r="338" spans="1:13" ht="15">
      <c r="A338" s="1894">
        <f t="shared" si="5"/>
        <v>331</v>
      </c>
      <c r="B338" s="1906" t="s">
        <v>3213</v>
      </c>
      <c r="C338" s="1907" t="s">
        <v>524</v>
      </c>
      <c r="D338" s="1906" t="s">
        <v>541</v>
      </c>
      <c r="E338" s="1907" t="s">
        <v>259</v>
      </c>
      <c r="F338" s="1906">
        <v>220</v>
      </c>
      <c r="G338" s="1897">
        <v>0.83927272727272739</v>
      </c>
      <c r="H338" s="1897">
        <v>0.89309090909090916</v>
      </c>
      <c r="I338" s="1897">
        <v>0.72363636363636374</v>
      </c>
      <c r="J338" s="1897">
        <v>0.53600000000000003</v>
      </c>
      <c r="K338" s="1897">
        <v>0.53890909090909089</v>
      </c>
      <c r="L338" s="1897">
        <v>0.55199999999999994</v>
      </c>
      <c r="M338" s="1897">
        <v>0.68048484848484847</v>
      </c>
    </row>
    <row r="339" spans="1:13" ht="15">
      <c r="A339" s="1894">
        <f t="shared" si="5"/>
        <v>332</v>
      </c>
      <c r="B339" s="1906" t="s">
        <v>3565</v>
      </c>
      <c r="C339" s="1907" t="s">
        <v>524</v>
      </c>
      <c r="D339" s="1906" t="s">
        <v>636</v>
      </c>
      <c r="E339" s="1907" t="s">
        <v>259</v>
      </c>
      <c r="F339" s="1906">
        <v>220</v>
      </c>
      <c r="G339" s="1897">
        <v>0</v>
      </c>
      <c r="H339" s="1897">
        <v>0</v>
      </c>
      <c r="I339" s="1897">
        <v>0</v>
      </c>
      <c r="J339" s="1897">
        <v>0</v>
      </c>
      <c r="K339" s="1897">
        <v>0</v>
      </c>
      <c r="L339" s="1897">
        <v>4.6690909090909095E-2</v>
      </c>
      <c r="M339" s="1897">
        <v>7.7818181818181823E-3</v>
      </c>
    </row>
    <row r="340" spans="1:13" ht="15">
      <c r="A340" s="1894">
        <f t="shared" si="5"/>
        <v>333</v>
      </c>
      <c r="B340" s="1906" t="s">
        <v>3214</v>
      </c>
      <c r="C340" s="1907" t="s">
        <v>524</v>
      </c>
      <c r="D340" s="1906" t="s">
        <v>541</v>
      </c>
      <c r="E340" s="1907" t="s">
        <v>259</v>
      </c>
      <c r="F340" s="1906">
        <v>220</v>
      </c>
      <c r="G340" s="1897">
        <v>0.94400000000000006</v>
      </c>
      <c r="H340" s="1897">
        <v>1.0261818181818181</v>
      </c>
      <c r="I340" s="1897">
        <v>0.89236363636363636</v>
      </c>
      <c r="J340" s="1897">
        <v>1.032</v>
      </c>
      <c r="K340" s="1897">
        <v>0.88436363636363635</v>
      </c>
      <c r="L340" s="1897">
        <v>0.95418181818181813</v>
      </c>
      <c r="M340" s="1897">
        <v>0.95551515151515154</v>
      </c>
    </row>
    <row r="341" spans="1:13" ht="15">
      <c r="A341" s="1894">
        <f t="shared" si="5"/>
        <v>334</v>
      </c>
      <c r="B341" s="1906" t="s">
        <v>3218</v>
      </c>
      <c r="C341" s="1907" t="s">
        <v>524</v>
      </c>
      <c r="D341" s="1906" t="s">
        <v>2966</v>
      </c>
      <c r="E341" s="1907" t="s">
        <v>259</v>
      </c>
      <c r="F341" s="1906">
        <v>222</v>
      </c>
      <c r="G341" s="1897">
        <v>0.47279279279279285</v>
      </c>
      <c r="H341" s="1897">
        <v>0.33585585585585587</v>
      </c>
      <c r="I341" s="1897">
        <v>0.39495495495495497</v>
      </c>
      <c r="J341" s="1897">
        <v>0.35747747747747749</v>
      </c>
      <c r="K341" s="1897">
        <v>0.29477477477477476</v>
      </c>
      <c r="L341" s="1897">
        <v>0.5218018018018018</v>
      </c>
      <c r="M341" s="1897">
        <v>0.39627627627627632</v>
      </c>
    </row>
    <row r="342" spans="1:13" ht="15">
      <c r="A342" s="1894">
        <f t="shared" si="5"/>
        <v>335</v>
      </c>
      <c r="B342" s="1906" t="s">
        <v>3217</v>
      </c>
      <c r="C342" s="1907" t="s">
        <v>524</v>
      </c>
      <c r="D342" s="1906" t="s">
        <v>541</v>
      </c>
      <c r="E342" s="1907" t="s">
        <v>259</v>
      </c>
      <c r="F342" s="1906">
        <v>222</v>
      </c>
      <c r="G342" s="1897">
        <v>0.60612612612612615</v>
      </c>
      <c r="H342" s="1897">
        <v>0.58594594594594585</v>
      </c>
      <c r="I342" s="1897">
        <v>0.57657657657657657</v>
      </c>
      <c r="J342" s="1897">
        <v>0.578018018018018</v>
      </c>
      <c r="K342" s="1897">
        <v>0.578018018018018</v>
      </c>
      <c r="L342" s="1897">
        <v>0.38342342342342339</v>
      </c>
      <c r="M342" s="1897">
        <v>0.55135135135135127</v>
      </c>
    </row>
    <row r="343" spans="1:13" ht="15">
      <c r="A343" s="1894">
        <f t="shared" si="5"/>
        <v>336</v>
      </c>
      <c r="B343" s="1906" t="s">
        <v>3216</v>
      </c>
      <c r="C343" s="1907" t="s">
        <v>524</v>
      </c>
      <c r="D343" s="1906" t="s">
        <v>2966</v>
      </c>
      <c r="E343" s="1907" t="s">
        <v>259</v>
      </c>
      <c r="F343" s="1906">
        <v>222</v>
      </c>
      <c r="G343" s="1897">
        <v>0.63513513513513509</v>
      </c>
      <c r="H343" s="1897">
        <v>0.63459459459459455</v>
      </c>
      <c r="I343" s="1897">
        <v>0.23135135135135135</v>
      </c>
      <c r="J343" s="1897">
        <v>0.37189189189189192</v>
      </c>
      <c r="K343" s="1897">
        <v>0.42432432432432432</v>
      </c>
      <c r="L343" s="1897">
        <v>0.44216216216216214</v>
      </c>
      <c r="M343" s="1897">
        <v>0.45657657657657658</v>
      </c>
    </row>
    <row r="344" spans="1:13" ht="15">
      <c r="A344" s="1894">
        <f t="shared" si="5"/>
        <v>337</v>
      </c>
      <c r="B344" s="1906" t="s">
        <v>3219</v>
      </c>
      <c r="C344" s="1907" t="s">
        <v>524</v>
      </c>
      <c r="D344" s="1906" t="s">
        <v>541</v>
      </c>
      <c r="E344" s="1907" t="s">
        <v>259</v>
      </c>
      <c r="F344" s="1906">
        <v>222</v>
      </c>
      <c r="G344" s="1897">
        <v>1.0162162162162163</v>
      </c>
      <c r="H344" s="1897">
        <v>1.0616216216216214</v>
      </c>
      <c r="I344" s="1897">
        <v>1.0621621621621622</v>
      </c>
      <c r="J344" s="1897">
        <v>1.0616216216216214</v>
      </c>
      <c r="K344" s="1897">
        <v>1.0891891891891892</v>
      </c>
      <c r="L344" s="1897">
        <v>1.0362162162162163</v>
      </c>
      <c r="M344" s="1897">
        <v>1.0545045045045043</v>
      </c>
    </row>
    <row r="345" spans="1:13" ht="15">
      <c r="A345" s="1894">
        <f t="shared" si="5"/>
        <v>338</v>
      </c>
      <c r="B345" s="1906" t="s">
        <v>3215</v>
      </c>
      <c r="C345" s="1907" t="s">
        <v>524</v>
      </c>
      <c r="D345" s="1906" t="s">
        <v>641</v>
      </c>
      <c r="E345" s="1907" t="s">
        <v>259</v>
      </c>
      <c r="F345" s="1906">
        <v>222</v>
      </c>
      <c r="G345" s="1897">
        <v>0.95351351351351354</v>
      </c>
      <c r="H345" s="1897">
        <v>1.0140540540540539</v>
      </c>
      <c r="I345" s="1897">
        <v>1.0695495495495495</v>
      </c>
      <c r="J345" s="1897">
        <v>0.85981981981981981</v>
      </c>
      <c r="K345" s="1897">
        <v>1.0190990990990991</v>
      </c>
      <c r="L345" s="1897">
        <v>0.97513513513513517</v>
      </c>
      <c r="M345" s="1897">
        <v>0.98186186186186186</v>
      </c>
    </row>
    <row r="346" spans="1:13" ht="15">
      <c r="A346" s="1894">
        <f t="shared" si="5"/>
        <v>339</v>
      </c>
      <c r="B346" s="1906" t="s">
        <v>3220</v>
      </c>
      <c r="C346" s="1907" t="s">
        <v>524</v>
      </c>
      <c r="D346" s="1906" t="s">
        <v>629</v>
      </c>
      <c r="E346" s="1907" t="s">
        <v>259</v>
      </c>
      <c r="F346" s="1906">
        <v>222</v>
      </c>
      <c r="G346" s="1897">
        <v>0.18864864864864866</v>
      </c>
      <c r="H346" s="1897">
        <v>0.192972972972973</v>
      </c>
      <c r="I346" s="1897">
        <v>0.19243243243243244</v>
      </c>
      <c r="J346" s="1897">
        <v>0.1854054054054054</v>
      </c>
      <c r="K346" s="1897">
        <v>0.18216216216216216</v>
      </c>
      <c r="L346" s="1897">
        <v>0.187027027027027</v>
      </c>
      <c r="M346" s="1897">
        <v>0.1881081081081081</v>
      </c>
    </row>
    <row r="347" spans="1:13" ht="15">
      <c r="A347" s="1894">
        <f t="shared" si="5"/>
        <v>340</v>
      </c>
      <c r="B347" s="1906" t="s">
        <v>3221</v>
      </c>
      <c r="C347" s="1907" t="s">
        <v>524</v>
      </c>
      <c r="D347" s="1906" t="s">
        <v>636</v>
      </c>
      <c r="E347" s="1907" t="s">
        <v>259</v>
      </c>
      <c r="F347" s="1906">
        <v>222</v>
      </c>
      <c r="G347" s="1897">
        <v>0.85549549549549542</v>
      </c>
      <c r="H347" s="1897">
        <v>0.96000000000000019</v>
      </c>
      <c r="I347" s="1897">
        <v>0.91963963963963957</v>
      </c>
      <c r="J347" s="1897">
        <v>0.85549549549549542</v>
      </c>
      <c r="K347" s="1897">
        <v>0.88072072072072072</v>
      </c>
      <c r="L347" s="1897">
        <v>0.83171171171171177</v>
      </c>
      <c r="M347" s="1897">
        <v>0.88384384384384385</v>
      </c>
    </row>
    <row r="348" spans="1:13" ht="15">
      <c r="A348" s="1894">
        <f t="shared" si="5"/>
        <v>341</v>
      </c>
      <c r="B348" s="1906" t="s">
        <v>3222</v>
      </c>
      <c r="C348" s="1907" t="s">
        <v>524</v>
      </c>
      <c r="D348" s="1906" t="s">
        <v>636</v>
      </c>
      <c r="E348" s="1907" t="s">
        <v>259</v>
      </c>
      <c r="F348" s="1906">
        <v>223</v>
      </c>
      <c r="G348" s="1897">
        <v>0.61058295964125564</v>
      </c>
      <c r="H348" s="1897">
        <v>0.54816143497757841</v>
      </c>
      <c r="I348" s="1897">
        <v>0.66439461883408069</v>
      </c>
      <c r="J348" s="1897">
        <v>0.54457399103139015</v>
      </c>
      <c r="K348" s="1897">
        <v>0.56753363228699549</v>
      </c>
      <c r="L348" s="1897">
        <v>0.56251121076233179</v>
      </c>
      <c r="M348" s="1897">
        <v>0.58295964125560529</v>
      </c>
    </row>
    <row r="349" spans="1:13" ht="15">
      <c r="A349" s="1894">
        <f t="shared" si="5"/>
        <v>342</v>
      </c>
      <c r="B349" s="1906" t="s">
        <v>3223</v>
      </c>
      <c r="C349" s="1907" t="s">
        <v>524</v>
      </c>
      <c r="D349" s="1906" t="s">
        <v>737</v>
      </c>
      <c r="E349" s="1907" t="s">
        <v>259</v>
      </c>
      <c r="F349" s="1906">
        <v>223</v>
      </c>
      <c r="G349" s="1897">
        <v>9.6860986547085207E-2</v>
      </c>
      <c r="H349" s="1897">
        <v>9.7097757847533633E-2</v>
      </c>
      <c r="I349" s="1897">
        <v>9.2807174887892377E-2</v>
      </c>
      <c r="J349" s="1897">
        <v>9.6954260089686092E-2</v>
      </c>
      <c r="K349" s="1897">
        <v>9.0740807174887889E-2</v>
      </c>
      <c r="L349" s="1897">
        <v>9.4403587443946183E-2</v>
      </c>
      <c r="M349" s="1897">
        <v>9.4810762331838563E-2</v>
      </c>
    </row>
    <row r="350" spans="1:13" ht="15">
      <c r="A350" s="1894">
        <f t="shared" si="5"/>
        <v>343</v>
      </c>
      <c r="B350" s="1906" t="s">
        <v>3566</v>
      </c>
      <c r="C350" s="1907" t="s">
        <v>524</v>
      </c>
      <c r="D350" s="1906" t="s">
        <v>541</v>
      </c>
      <c r="E350" s="1907" t="s">
        <v>259</v>
      </c>
      <c r="F350" s="1906">
        <v>223</v>
      </c>
      <c r="G350" s="1897">
        <v>0</v>
      </c>
      <c r="H350" s="1897">
        <v>0</v>
      </c>
      <c r="I350" s="1897">
        <v>0</v>
      </c>
      <c r="J350" s="1897">
        <v>0</v>
      </c>
      <c r="K350" s="1897">
        <v>0</v>
      </c>
      <c r="L350" s="1897">
        <v>0.5908878923766816</v>
      </c>
      <c r="M350" s="1897">
        <v>9.84813153961136E-2</v>
      </c>
    </row>
    <row r="351" spans="1:13" ht="15">
      <c r="A351" s="1894">
        <f t="shared" si="5"/>
        <v>344</v>
      </c>
      <c r="B351" s="1906" t="s">
        <v>3224</v>
      </c>
      <c r="C351" s="1907" t="s">
        <v>524</v>
      </c>
      <c r="D351" s="1906" t="s">
        <v>2966</v>
      </c>
      <c r="E351" s="1907" t="s">
        <v>259</v>
      </c>
      <c r="F351" s="1906">
        <v>223</v>
      </c>
      <c r="G351" s="1897">
        <v>0.75228699551569511</v>
      </c>
      <c r="H351" s="1897">
        <v>0.71139013452914801</v>
      </c>
      <c r="I351" s="1897">
        <v>0.46385650224215247</v>
      </c>
      <c r="J351" s="1897">
        <v>0.25829596412556055</v>
      </c>
      <c r="K351" s="1897">
        <v>0.43372197309417038</v>
      </c>
      <c r="L351" s="1897">
        <v>0.45847533632286991</v>
      </c>
      <c r="M351" s="1897">
        <v>0.51300448430493273</v>
      </c>
    </row>
    <row r="352" spans="1:13" ht="15">
      <c r="A352" s="1894">
        <f t="shared" si="5"/>
        <v>345</v>
      </c>
      <c r="B352" s="1895" t="s">
        <v>3225</v>
      </c>
      <c r="C352" s="1907" t="s">
        <v>524</v>
      </c>
      <c r="D352" s="1895" t="s">
        <v>541</v>
      </c>
      <c r="E352" s="1894" t="s">
        <v>259</v>
      </c>
      <c r="F352" s="1906">
        <v>223</v>
      </c>
      <c r="G352" s="1897">
        <v>2.6905829596412557E-2</v>
      </c>
      <c r="H352" s="1897">
        <v>0</v>
      </c>
      <c r="I352" s="1897">
        <v>0</v>
      </c>
      <c r="J352" s="1897">
        <v>0</v>
      </c>
      <c r="K352" s="1897">
        <v>0</v>
      </c>
      <c r="L352" s="1897">
        <v>0</v>
      </c>
      <c r="M352" s="1897">
        <v>4.4843049327354259E-3</v>
      </c>
    </row>
    <row r="353" spans="1:13" ht="15">
      <c r="A353" s="1894">
        <f t="shared" si="5"/>
        <v>346</v>
      </c>
      <c r="B353" s="1906" t="s">
        <v>3226</v>
      </c>
      <c r="C353" s="1907" t="s">
        <v>524</v>
      </c>
      <c r="D353" s="1906" t="s">
        <v>541</v>
      </c>
      <c r="E353" s="1907" t="s">
        <v>259</v>
      </c>
      <c r="F353" s="1906">
        <v>224</v>
      </c>
      <c r="G353" s="1897">
        <v>1.1232142857142857</v>
      </c>
      <c r="H353" s="1897">
        <v>0.70714285714285718</v>
      </c>
      <c r="I353" s="1897">
        <v>0.88249999999999995</v>
      </c>
      <c r="J353" s="1897">
        <v>0.94714285714285718</v>
      </c>
      <c r="K353" s="1897">
        <v>1.0678571428571428</v>
      </c>
      <c r="L353" s="1897">
        <v>0.93499999999999983</v>
      </c>
      <c r="M353" s="1897">
        <v>0.94380952380952365</v>
      </c>
    </row>
    <row r="354" spans="1:13" ht="15">
      <c r="A354" s="1894">
        <f t="shared" si="5"/>
        <v>347</v>
      </c>
      <c r="B354" s="1906" t="s">
        <v>3227</v>
      </c>
      <c r="C354" s="1907" t="s">
        <v>524</v>
      </c>
      <c r="D354" s="1906" t="s">
        <v>541</v>
      </c>
      <c r="E354" s="1907" t="s">
        <v>259</v>
      </c>
      <c r="F354" s="1906">
        <v>225</v>
      </c>
      <c r="G354" s="1897">
        <v>0</v>
      </c>
      <c r="H354" s="1897">
        <v>0</v>
      </c>
      <c r="I354" s="1897">
        <v>0</v>
      </c>
      <c r="J354" s="1897">
        <v>0</v>
      </c>
      <c r="K354" s="1897">
        <v>0</v>
      </c>
      <c r="L354" s="1897">
        <v>0</v>
      </c>
      <c r="M354" s="1897">
        <v>0</v>
      </c>
    </row>
    <row r="355" spans="1:13" ht="15">
      <c r="A355" s="1894">
        <f t="shared" si="5"/>
        <v>348</v>
      </c>
      <c r="B355" s="1906" t="s">
        <v>3230</v>
      </c>
      <c r="C355" s="1907" t="s">
        <v>524</v>
      </c>
      <c r="D355" s="1906" t="s">
        <v>541</v>
      </c>
      <c r="E355" s="1907" t="s">
        <v>259</v>
      </c>
      <c r="F355" s="1906">
        <v>225</v>
      </c>
      <c r="G355" s="1897">
        <v>1.4222222222222223E-2</v>
      </c>
      <c r="H355" s="1897">
        <v>0.72391111111111106</v>
      </c>
      <c r="I355" s="1897">
        <v>0.52977777777777768</v>
      </c>
      <c r="J355" s="1897">
        <v>0.55182222222222221</v>
      </c>
      <c r="K355" s="1897">
        <v>0.48924444444444443</v>
      </c>
      <c r="L355" s="1897">
        <v>0.60657777777777777</v>
      </c>
      <c r="M355" s="1897">
        <v>0.48592592592592593</v>
      </c>
    </row>
    <row r="356" spans="1:13" ht="15">
      <c r="A356" s="1894">
        <f t="shared" si="5"/>
        <v>349</v>
      </c>
      <c r="B356" s="1906" t="s">
        <v>3229</v>
      </c>
      <c r="C356" s="1907" t="s">
        <v>524</v>
      </c>
      <c r="D356" s="1906" t="s">
        <v>541</v>
      </c>
      <c r="E356" s="1907" t="s">
        <v>259</v>
      </c>
      <c r="F356" s="1906">
        <v>225</v>
      </c>
      <c r="G356" s="1897">
        <v>1.2487111111111113</v>
      </c>
      <c r="H356" s="1897">
        <v>1.6078222222222223</v>
      </c>
      <c r="I356" s="1897">
        <v>1.418666666666667</v>
      </c>
      <c r="J356" s="1897">
        <v>1.2060444444444445</v>
      </c>
      <c r="K356" s="1897">
        <v>1.1328</v>
      </c>
      <c r="L356" s="1897">
        <v>1.0211555555555556</v>
      </c>
      <c r="M356" s="1897">
        <v>1.2725333333333335</v>
      </c>
    </row>
    <row r="357" spans="1:13" ht="15">
      <c r="A357" s="1894">
        <f t="shared" si="5"/>
        <v>350</v>
      </c>
      <c r="B357" s="1906" t="s">
        <v>3228</v>
      </c>
      <c r="C357" s="1907" t="s">
        <v>524</v>
      </c>
      <c r="D357" s="1906" t="s">
        <v>541</v>
      </c>
      <c r="E357" s="1907" t="s">
        <v>259</v>
      </c>
      <c r="F357" s="1906">
        <v>225</v>
      </c>
      <c r="G357" s="1897">
        <v>1.4933333333333333E-2</v>
      </c>
      <c r="H357" s="1897">
        <v>1.6E-2</v>
      </c>
      <c r="I357" s="1897">
        <v>1.3866666666666666E-2</v>
      </c>
      <c r="J357" s="1897">
        <v>1.1733333333333333E-2</v>
      </c>
      <c r="K357" s="1897">
        <v>2.4533333333333331E-2</v>
      </c>
      <c r="L357" s="1897">
        <v>1.3866666666666666E-2</v>
      </c>
      <c r="M357" s="1897">
        <v>1.582222222222222E-2</v>
      </c>
    </row>
    <row r="358" spans="1:13" ht="15">
      <c r="A358" s="1894">
        <f t="shared" si="5"/>
        <v>351</v>
      </c>
      <c r="B358" s="1906" t="s">
        <v>3232</v>
      </c>
      <c r="C358" s="1907" t="s">
        <v>524</v>
      </c>
      <c r="D358" s="1906" t="s">
        <v>541</v>
      </c>
      <c r="E358" s="1907" t="s">
        <v>259</v>
      </c>
      <c r="F358" s="1906">
        <v>228</v>
      </c>
      <c r="G358" s="1897">
        <v>0.35157894736842105</v>
      </c>
      <c r="H358" s="1897">
        <v>0.34263157894736845</v>
      </c>
      <c r="I358" s="1897">
        <v>0.30368421052631578</v>
      </c>
      <c r="J358" s="1897">
        <v>0.29315789473684212</v>
      </c>
      <c r="K358" s="1897">
        <v>0.14894736842105263</v>
      </c>
      <c r="L358" s="1897">
        <v>0.13263157894736843</v>
      </c>
      <c r="M358" s="1897">
        <v>0.26210526315789479</v>
      </c>
    </row>
    <row r="359" spans="1:13" ht="15">
      <c r="A359" s="1894">
        <f t="shared" si="5"/>
        <v>352</v>
      </c>
      <c r="B359" s="1906" t="s">
        <v>3231</v>
      </c>
      <c r="C359" s="1907" t="s">
        <v>524</v>
      </c>
      <c r="D359" s="1906" t="s">
        <v>541</v>
      </c>
      <c r="E359" s="1907" t="s">
        <v>259</v>
      </c>
      <c r="F359" s="1906">
        <v>228</v>
      </c>
      <c r="G359" s="1897">
        <v>0.2</v>
      </c>
      <c r="H359" s="1897">
        <v>1.6842105263157894E-2</v>
      </c>
      <c r="I359" s="1897">
        <v>1.526315789473684E-2</v>
      </c>
      <c r="J359" s="1897">
        <v>0.24368421052631581</v>
      </c>
      <c r="K359" s="1897">
        <v>0.34421052631578947</v>
      </c>
      <c r="L359" s="1897">
        <v>0.34578947368421048</v>
      </c>
      <c r="M359" s="1897">
        <v>0.19429824561403508</v>
      </c>
    </row>
    <row r="360" spans="1:13" ht="15">
      <c r="A360" s="1894">
        <f t="shared" si="5"/>
        <v>353</v>
      </c>
      <c r="B360" s="1906" t="s">
        <v>3233</v>
      </c>
      <c r="C360" s="1907" t="s">
        <v>524</v>
      </c>
      <c r="D360" s="1906" t="s">
        <v>541</v>
      </c>
      <c r="E360" s="1907" t="s">
        <v>259</v>
      </c>
      <c r="F360" s="1906">
        <v>230</v>
      </c>
      <c r="G360" s="1897">
        <v>0.53217391304347827</v>
      </c>
      <c r="H360" s="1897">
        <v>0.97043478260869576</v>
      </c>
      <c r="I360" s="1897">
        <v>0.89913043478260879</v>
      </c>
      <c r="J360" s="1897">
        <v>0.95130434782608686</v>
      </c>
      <c r="K360" s="1897">
        <v>0.8452173913043477</v>
      </c>
      <c r="L360" s="1897">
        <v>0.76173913043478259</v>
      </c>
      <c r="M360" s="1897">
        <v>0.82666666666666666</v>
      </c>
    </row>
    <row r="361" spans="1:13" ht="15">
      <c r="A361" s="1894">
        <f t="shared" si="5"/>
        <v>354</v>
      </c>
      <c r="B361" s="1906" t="s">
        <v>3234</v>
      </c>
      <c r="C361" s="1907" t="s">
        <v>524</v>
      </c>
      <c r="D361" s="1906" t="s">
        <v>541</v>
      </c>
      <c r="E361" s="1907" t="s">
        <v>259</v>
      </c>
      <c r="F361" s="1906">
        <v>230</v>
      </c>
      <c r="G361" s="1897">
        <v>0.85669565217391308</v>
      </c>
      <c r="H361" s="1897">
        <v>0.9057391304347826</v>
      </c>
      <c r="I361" s="1897">
        <v>0.85043478260869565</v>
      </c>
      <c r="J361" s="1897">
        <v>1.0048695652173913</v>
      </c>
      <c r="K361" s="1897">
        <v>0.89008695652173908</v>
      </c>
      <c r="L361" s="1897">
        <v>1.0309565217391305</v>
      </c>
      <c r="M361" s="1897">
        <v>0.9231304347826087</v>
      </c>
    </row>
    <row r="362" spans="1:13" ht="15">
      <c r="A362" s="1894">
        <f t="shared" si="5"/>
        <v>355</v>
      </c>
      <c r="B362" s="1906" t="s">
        <v>3235</v>
      </c>
      <c r="C362" s="1907" t="s">
        <v>524</v>
      </c>
      <c r="D362" s="1906" t="s">
        <v>2966</v>
      </c>
      <c r="E362" s="1907" t="s">
        <v>259</v>
      </c>
      <c r="F362" s="1906">
        <v>232</v>
      </c>
      <c r="G362" s="1897">
        <v>0.47224137931034482</v>
      </c>
      <c r="H362" s="1897">
        <v>0.43655172413793103</v>
      </c>
      <c r="I362" s="1897">
        <v>0.32327586206896552</v>
      </c>
      <c r="J362" s="1897">
        <v>0.30620689655172417</v>
      </c>
      <c r="K362" s="1897">
        <v>0.29172413793103447</v>
      </c>
      <c r="L362" s="1897">
        <v>0.29637931034482756</v>
      </c>
      <c r="M362" s="1897">
        <v>0.35439655172413792</v>
      </c>
    </row>
    <row r="363" spans="1:13" ht="15">
      <c r="A363" s="1894">
        <f t="shared" si="5"/>
        <v>356</v>
      </c>
      <c r="B363" s="1906" t="s">
        <v>3236</v>
      </c>
      <c r="C363" s="1907" t="s">
        <v>524</v>
      </c>
      <c r="D363" s="1906" t="s">
        <v>629</v>
      </c>
      <c r="E363" s="1907" t="s">
        <v>259</v>
      </c>
      <c r="F363" s="1906">
        <v>233.33</v>
      </c>
      <c r="G363" s="1897">
        <v>0.61663738053400763</v>
      </c>
      <c r="H363" s="1897">
        <v>0.64183774053915044</v>
      </c>
      <c r="I363" s="1897">
        <v>0.62846612094458498</v>
      </c>
      <c r="J363" s="1897">
        <v>0.63618051686452659</v>
      </c>
      <c r="K363" s="1897">
        <v>0.62023743196331371</v>
      </c>
      <c r="L363" s="1897">
        <v>0.61818025971799595</v>
      </c>
      <c r="M363" s="1897">
        <v>0.62692324176059655</v>
      </c>
    </row>
    <row r="364" spans="1:13" ht="15">
      <c r="A364" s="1894">
        <f t="shared" si="5"/>
        <v>357</v>
      </c>
      <c r="B364" s="1906" t="s">
        <v>3567</v>
      </c>
      <c r="C364" s="1907" t="s">
        <v>524</v>
      </c>
      <c r="D364" s="1906" t="s">
        <v>541</v>
      </c>
      <c r="E364" s="1907" t="s">
        <v>259</v>
      </c>
      <c r="F364" s="1906">
        <v>234</v>
      </c>
      <c r="G364" s="1897">
        <v>0.82940170940170943</v>
      </c>
      <c r="H364" s="1897">
        <v>0.96</v>
      </c>
      <c r="I364" s="1897">
        <v>0.62085470085470085</v>
      </c>
      <c r="J364" s="1897">
        <v>7.3846153846153853E-2</v>
      </c>
      <c r="K364" s="1897">
        <v>1.0188034188034187</v>
      </c>
      <c r="L364" s="1897">
        <v>0.96683760683760689</v>
      </c>
      <c r="M364" s="1897">
        <v>0.74495726495726489</v>
      </c>
    </row>
    <row r="365" spans="1:13" ht="15">
      <c r="A365" s="1894">
        <f t="shared" si="5"/>
        <v>358</v>
      </c>
      <c r="B365" s="1906" t="s">
        <v>3237</v>
      </c>
      <c r="C365" s="1907" t="s">
        <v>524</v>
      </c>
      <c r="D365" s="1906" t="s">
        <v>541</v>
      </c>
      <c r="E365" s="1907" t="s">
        <v>259</v>
      </c>
      <c r="F365" s="1906">
        <v>234</v>
      </c>
      <c r="G365" s="1897">
        <v>0.25504273504273506</v>
      </c>
      <c r="H365" s="1897">
        <v>0.28376068376068381</v>
      </c>
      <c r="I365" s="1897">
        <v>0.31247863247863245</v>
      </c>
      <c r="J365" s="1897">
        <v>0.20512820512820512</v>
      </c>
      <c r="K365" s="1897">
        <v>0.33504273504273507</v>
      </c>
      <c r="L365" s="1897">
        <v>0.18324786324786327</v>
      </c>
      <c r="M365" s="1897">
        <v>0.26245014245014248</v>
      </c>
    </row>
    <row r="366" spans="1:13" ht="15">
      <c r="A366" s="1894">
        <f t="shared" si="5"/>
        <v>359</v>
      </c>
      <c r="B366" s="1906" t="s">
        <v>3238</v>
      </c>
      <c r="C366" s="1907" t="s">
        <v>524</v>
      </c>
      <c r="D366" s="1906" t="s">
        <v>541</v>
      </c>
      <c r="E366" s="1907" t="s">
        <v>259</v>
      </c>
      <c r="F366" s="1906">
        <v>234</v>
      </c>
      <c r="G366" s="1897">
        <v>0.52170940170940172</v>
      </c>
      <c r="H366" s="1897">
        <v>0.596923076923077</v>
      </c>
      <c r="I366" s="1897">
        <v>0.56615384615384612</v>
      </c>
      <c r="J366" s="1897">
        <v>0.49777777777777782</v>
      </c>
      <c r="K366" s="1897">
        <v>0.62564102564102564</v>
      </c>
      <c r="L366" s="1897">
        <v>0.51076923076923086</v>
      </c>
      <c r="M366" s="1897">
        <v>0.55316239316239324</v>
      </c>
    </row>
    <row r="367" spans="1:13" ht="15">
      <c r="A367" s="1894">
        <f t="shared" si="5"/>
        <v>360</v>
      </c>
      <c r="B367" s="1906" t="s">
        <v>3240</v>
      </c>
      <c r="C367" s="1907" t="s">
        <v>524</v>
      </c>
      <c r="D367" s="1906" t="s">
        <v>2966</v>
      </c>
      <c r="E367" s="1907" t="s">
        <v>259</v>
      </c>
      <c r="F367" s="1906">
        <v>237</v>
      </c>
      <c r="G367" s="1897">
        <v>0.42177215189873413</v>
      </c>
      <c r="H367" s="1897">
        <v>0.50177215189873414</v>
      </c>
      <c r="I367" s="1897">
        <v>0.76303797468354428</v>
      </c>
      <c r="J367" s="1897">
        <v>0.57265822784810128</v>
      </c>
      <c r="K367" s="1897">
        <v>0.37316455696202533</v>
      </c>
      <c r="L367" s="1897">
        <v>0.2886075949367089</v>
      </c>
      <c r="M367" s="1897">
        <v>0.48683544303797471</v>
      </c>
    </row>
    <row r="368" spans="1:13" ht="15">
      <c r="A368" s="1894">
        <f t="shared" si="5"/>
        <v>361</v>
      </c>
      <c r="B368" s="1906" t="s">
        <v>3241</v>
      </c>
      <c r="C368" s="1907" t="s">
        <v>524</v>
      </c>
      <c r="D368" s="1906" t="s">
        <v>541</v>
      </c>
      <c r="E368" s="1907" t="s">
        <v>259</v>
      </c>
      <c r="F368" s="1906">
        <v>239</v>
      </c>
      <c r="G368" s="1897">
        <v>0.36251046025104605</v>
      </c>
      <c r="H368" s="1897">
        <v>0.75916317991631799</v>
      </c>
      <c r="I368" s="1897">
        <v>0.81338912133891217</v>
      </c>
      <c r="J368" s="1897">
        <v>0.84652719665271958</v>
      </c>
      <c r="K368" s="1897">
        <v>0.6205857740585774</v>
      </c>
      <c r="L368" s="1897">
        <v>0.87866108786610875</v>
      </c>
      <c r="M368" s="1897">
        <v>0.71347280334728025</v>
      </c>
    </row>
    <row r="369" spans="1:13" ht="15">
      <c r="A369" s="1894">
        <f t="shared" si="5"/>
        <v>362</v>
      </c>
      <c r="B369" s="1906" t="s">
        <v>3568</v>
      </c>
      <c r="C369" s="1907" t="s">
        <v>524</v>
      </c>
      <c r="D369" s="1906" t="s">
        <v>730</v>
      </c>
      <c r="E369" s="1907" t="s">
        <v>259</v>
      </c>
      <c r="F369" s="1906">
        <v>241</v>
      </c>
      <c r="G369" s="1897">
        <v>0</v>
      </c>
      <c r="H369" s="1897">
        <v>0</v>
      </c>
      <c r="I369" s="1897">
        <v>0</v>
      </c>
      <c r="J369" s="1897">
        <v>1.4514522821576765E-2</v>
      </c>
      <c r="K369" s="1897">
        <v>1.115941908713693</v>
      </c>
      <c r="L369" s="1897">
        <v>1.2090248962655601</v>
      </c>
      <c r="M369" s="1897">
        <v>0.38991355463347172</v>
      </c>
    </row>
    <row r="370" spans="1:13" ht="15">
      <c r="A370" s="1894">
        <f t="shared" si="5"/>
        <v>363</v>
      </c>
      <c r="B370" s="1906" t="s">
        <v>3242</v>
      </c>
      <c r="C370" s="1907" t="s">
        <v>524</v>
      </c>
      <c r="D370" s="1906" t="s">
        <v>541</v>
      </c>
      <c r="E370" s="1907" t="s">
        <v>259</v>
      </c>
      <c r="F370" s="1906">
        <v>242</v>
      </c>
      <c r="G370" s="1897">
        <v>0.84099173553719009</v>
      </c>
      <c r="H370" s="1897">
        <v>0.85619834710743814</v>
      </c>
      <c r="I370" s="1897">
        <v>0.89652892561983477</v>
      </c>
      <c r="J370" s="1897">
        <v>0.8727272727272728</v>
      </c>
      <c r="K370" s="1897">
        <v>0.88661157024793391</v>
      </c>
      <c r="L370" s="1897">
        <v>0.87074380165289267</v>
      </c>
      <c r="M370" s="1897">
        <v>0.87063360881542706</v>
      </c>
    </row>
    <row r="371" spans="1:13" ht="15">
      <c r="A371" s="1894">
        <f t="shared" si="5"/>
        <v>364</v>
      </c>
      <c r="B371" s="1906" t="s">
        <v>3243</v>
      </c>
      <c r="C371" s="1907" t="s">
        <v>524</v>
      </c>
      <c r="D371" s="1906" t="s">
        <v>541</v>
      </c>
      <c r="E371" s="1907" t="s">
        <v>259</v>
      </c>
      <c r="F371" s="1906">
        <v>242</v>
      </c>
      <c r="G371" s="1897">
        <v>0.28826446280991735</v>
      </c>
      <c r="H371" s="1897">
        <v>1.5867768595041323E-2</v>
      </c>
      <c r="I371" s="1897">
        <v>1.322314049586777E-2</v>
      </c>
      <c r="J371" s="1897">
        <v>6.1487603305785121E-2</v>
      </c>
      <c r="K371" s="1897">
        <v>6.9421487603305784E-2</v>
      </c>
      <c r="L371" s="1897">
        <v>1.5867768595041322E-3</v>
      </c>
      <c r="M371" s="1897">
        <v>7.4975206611570241E-2</v>
      </c>
    </row>
    <row r="372" spans="1:13" ht="15">
      <c r="A372" s="1894">
        <f t="shared" si="5"/>
        <v>365</v>
      </c>
      <c r="B372" s="1906" t="s">
        <v>3244</v>
      </c>
      <c r="C372" s="1907" t="s">
        <v>524</v>
      </c>
      <c r="D372" s="1906" t="s">
        <v>541</v>
      </c>
      <c r="E372" s="1907" t="s">
        <v>259</v>
      </c>
      <c r="F372" s="1906">
        <v>244</v>
      </c>
      <c r="G372" s="1897">
        <v>1.0904918032786886</v>
      </c>
      <c r="H372" s="1897">
        <v>1.282622950819672</v>
      </c>
      <c r="I372" s="1897">
        <v>1.2531147540983607</v>
      </c>
      <c r="J372" s="1897">
        <v>1.2150819672131146</v>
      </c>
      <c r="K372" s="1897">
        <v>1.0898360655737702</v>
      </c>
      <c r="L372" s="1897">
        <v>0.94557377049180324</v>
      </c>
      <c r="M372" s="1897">
        <v>1.146120218579235</v>
      </c>
    </row>
    <row r="373" spans="1:13" ht="15">
      <c r="A373" s="1894">
        <f t="shared" si="5"/>
        <v>366</v>
      </c>
      <c r="B373" s="1906" t="s">
        <v>3569</v>
      </c>
      <c r="C373" s="1907" t="s">
        <v>524</v>
      </c>
      <c r="D373" s="1906" t="s">
        <v>541</v>
      </c>
      <c r="E373" s="1907" t="s">
        <v>259</v>
      </c>
      <c r="F373" s="1906">
        <v>244</v>
      </c>
      <c r="G373" s="1897">
        <v>0</v>
      </c>
      <c r="H373" s="1897">
        <v>0</v>
      </c>
      <c r="I373" s="1897">
        <v>0</v>
      </c>
      <c r="J373" s="1897">
        <v>0.83977377049180313</v>
      </c>
      <c r="K373" s="1897">
        <v>0.94715532786885259</v>
      </c>
      <c r="L373" s="1897">
        <v>0.90686065573770491</v>
      </c>
      <c r="M373" s="1897">
        <v>0.44896495901639349</v>
      </c>
    </row>
    <row r="374" spans="1:13" ht="15">
      <c r="A374" s="1894">
        <f t="shared" si="5"/>
        <v>367</v>
      </c>
      <c r="B374" s="1906" t="s">
        <v>3245</v>
      </c>
      <c r="C374" s="1907" t="s">
        <v>524</v>
      </c>
      <c r="D374" s="1906" t="s">
        <v>737</v>
      </c>
      <c r="E374" s="1907" t="s">
        <v>259</v>
      </c>
      <c r="F374" s="1906">
        <v>244.5</v>
      </c>
      <c r="G374" s="1897">
        <v>0.57423312883435584</v>
      </c>
      <c r="H374" s="1897">
        <v>0.68515337423312883</v>
      </c>
      <c r="I374" s="1897">
        <v>0.69693251533742318</v>
      </c>
      <c r="J374" s="1897">
        <v>0.58404907975460119</v>
      </c>
      <c r="K374" s="1897">
        <v>0.62331288343558289</v>
      </c>
      <c r="L374" s="1897">
        <v>0.57717791411042951</v>
      </c>
      <c r="M374" s="1897">
        <v>0.62347648261758681</v>
      </c>
    </row>
    <row r="375" spans="1:13" ht="15">
      <c r="A375" s="1894">
        <f t="shared" si="5"/>
        <v>368</v>
      </c>
      <c r="B375" s="1906" t="s">
        <v>3247</v>
      </c>
      <c r="C375" s="1907" t="s">
        <v>524</v>
      </c>
      <c r="D375" s="1906" t="s">
        <v>636</v>
      </c>
      <c r="E375" s="1907" t="s">
        <v>259</v>
      </c>
      <c r="F375" s="1906">
        <v>245</v>
      </c>
      <c r="G375" s="1897">
        <v>0.54073469387755102</v>
      </c>
      <c r="H375" s="1897">
        <v>0.82187755102040827</v>
      </c>
      <c r="I375" s="1897">
        <v>0.8571428571428571</v>
      </c>
      <c r="J375" s="1897">
        <v>0.80522448979591832</v>
      </c>
      <c r="K375" s="1897">
        <v>0.64848979591836731</v>
      </c>
      <c r="L375" s="1897">
        <v>0.68571428571428583</v>
      </c>
      <c r="M375" s="1897">
        <v>0.7265306122448979</v>
      </c>
    </row>
    <row r="376" spans="1:13" ht="15">
      <c r="A376" s="1894">
        <f t="shared" si="5"/>
        <v>369</v>
      </c>
      <c r="B376" s="1906" t="s">
        <v>3248</v>
      </c>
      <c r="C376" s="1907" t="s">
        <v>524</v>
      </c>
      <c r="D376" s="1906" t="s">
        <v>541</v>
      </c>
      <c r="E376" s="1907" t="s">
        <v>259</v>
      </c>
      <c r="F376" s="1906">
        <v>245</v>
      </c>
      <c r="G376" s="1897">
        <v>0.38644897959183672</v>
      </c>
      <c r="H376" s="1897">
        <v>6.661224489795918E-2</v>
      </c>
      <c r="I376" s="1897">
        <v>0.38742857142857146</v>
      </c>
      <c r="J376" s="1897">
        <v>0.40359183673469384</v>
      </c>
      <c r="K376" s="1897">
        <v>0.40065306122448979</v>
      </c>
      <c r="L376" s="1897">
        <v>0.40799999999999997</v>
      </c>
      <c r="M376" s="1897">
        <v>0.34212244897959182</v>
      </c>
    </row>
    <row r="377" spans="1:13" ht="15">
      <c r="A377" s="1894">
        <f t="shared" si="5"/>
        <v>370</v>
      </c>
      <c r="B377" s="1906" t="s">
        <v>3249</v>
      </c>
      <c r="C377" s="1907" t="s">
        <v>524</v>
      </c>
      <c r="D377" s="1906" t="s">
        <v>541</v>
      </c>
      <c r="E377" s="1907" t="s">
        <v>259</v>
      </c>
      <c r="F377" s="1906">
        <v>245</v>
      </c>
      <c r="G377" s="1897">
        <v>0.51755102040816325</v>
      </c>
      <c r="H377" s="1897">
        <v>0.5379591836734694</v>
      </c>
      <c r="I377" s="1897">
        <v>0.56734693877551023</v>
      </c>
      <c r="J377" s="1897">
        <v>0.57632653061224481</v>
      </c>
      <c r="K377" s="1897">
        <v>0.49306122448979595</v>
      </c>
      <c r="L377" s="1897">
        <v>0.52081632653061227</v>
      </c>
      <c r="M377" s="1897">
        <v>0.53551020408163263</v>
      </c>
    </row>
    <row r="378" spans="1:13" ht="15">
      <c r="A378" s="1894">
        <f t="shared" si="5"/>
        <v>371</v>
      </c>
      <c r="B378" s="1906" t="s">
        <v>3246</v>
      </c>
      <c r="C378" s="1907" t="s">
        <v>524</v>
      </c>
      <c r="D378" s="1906" t="s">
        <v>541</v>
      </c>
      <c r="E378" s="1907" t="s">
        <v>259</v>
      </c>
      <c r="F378" s="1906">
        <v>245</v>
      </c>
      <c r="G378" s="1897">
        <v>0.6808163265306123</v>
      </c>
      <c r="H378" s="1897">
        <v>0.6808163265306123</v>
      </c>
      <c r="I378" s="1897">
        <v>0.72571428571428576</v>
      </c>
      <c r="J378" s="1897">
        <v>0.69224489795918365</v>
      </c>
      <c r="K378" s="1897">
        <v>0.70212571428571435</v>
      </c>
      <c r="L378" s="1897">
        <v>0.8408489795918368</v>
      </c>
      <c r="M378" s="1897">
        <v>0.72042775510204082</v>
      </c>
    </row>
    <row r="379" spans="1:13" ht="15">
      <c r="A379" s="1894">
        <f t="shared" si="5"/>
        <v>372</v>
      </c>
      <c r="B379" s="1906" t="s">
        <v>3251</v>
      </c>
      <c r="C379" s="1907" t="s">
        <v>524</v>
      </c>
      <c r="D379" s="1906" t="s">
        <v>636</v>
      </c>
      <c r="E379" s="1907" t="s">
        <v>259</v>
      </c>
      <c r="F379" s="1906">
        <v>245</v>
      </c>
      <c r="G379" s="1897">
        <v>0.45844897959183672</v>
      </c>
      <c r="H379" s="1897">
        <v>0.41599999999999998</v>
      </c>
      <c r="I379" s="1897">
        <v>0.47216326530612246</v>
      </c>
      <c r="J379" s="1897">
        <v>0.38938775510204082</v>
      </c>
      <c r="K379" s="1897">
        <v>0.26579591836734695</v>
      </c>
      <c r="L379" s="1897">
        <v>0.3395918367346939</v>
      </c>
      <c r="M379" s="1897">
        <v>0.39023129251700683</v>
      </c>
    </row>
    <row r="380" spans="1:13" ht="15">
      <c r="A380" s="1894">
        <f t="shared" si="5"/>
        <v>373</v>
      </c>
      <c r="B380" s="1906" t="s">
        <v>3250</v>
      </c>
      <c r="C380" s="1907" t="s">
        <v>524</v>
      </c>
      <c r="D380" s="1906" t="s">
        <v>541</v>
      </c>
      <c r="E380" s="1907" t="s">
        <v>259</v>
      </c>
      <c r="F380" s="1906">
        <v>245</v>
      </c>
      <c r="G380" s="1897">
        <v>1.0060408163265306</v>
      </c>
      <c r="H380" s="1897">
        <v>0.93551020408163277</v>
      </c>
      <c r="I380" s="1897">
        <v>0.92914285714285716</v>
      </c>
      <c r="J380" s="1897">
        <v>1.022204081632653</v>
      </c>
      <c r="K380" s="1897">
        <v>1.174530612244898</v>
      </c>
      <c r="L380" s="1897">
        <v>1.1529795918367347</v>
      </c>
      <c r="M380" s="1897">
        <v>1.036734693877551</v>
      </c>
    </row>
    <row r="381" spans="1:13" ht="15">
      <c r="A381" s="1894">
        <f t="shared" si="5"/>
        <v>374</v>
      </c>
      <c r="B381" s="1906" t="s">
        <v>3252</v>
      </c>
      <c r="C381" s="1907" t="s">
        <v>524</v>
      </c>
      <c r="D381" s="1906" t="s">
        <v>737</v>
      </c>
      <c r="E381" s="1907" t="s">
        <v>259</v>
      </c>
      <c r="F381" s="1906">
        <v>247</v>
      </c>
      <c r="G381" s="1897">
        <v>0.19886639676113363</v>
      </c>
      <c r="H381" s="1897">
        <v>0.19303643724696357</v>
      </c>
      <c r="I381" s="1897">
        <v>0.20469635627530366</v>
      </c>
      <c r="J381" s="1897">
        <v>0.19497975708502022</v>
      </c>
      <c r="K381" s="1897">
        <v>0.17101214574898788</v>
      </c>
      <c r="L381" s="1897">
        <v>0.18137651821862349</v>
      </c>
      <c r="M381" s="1897">
        <v>0.19066126855600543</v>
      </c>
    </row>
    <row r="382" spans="1:13" ht="15">
      <c r="A382" s="1894">
        <f t="shared" si="5"/>
        <v>375</v>
      </c>
      <c r="B382" s="1906" t="s">
        <v>3260</v>
      </c>
      <c r="C382" s="1907" t="s">
        <v>524</v>
      </c>
      <c r="D382" s="1906" t="s">
        <v>636</v>
      </c>
      <c r="E382" s="1907" t="s">
        <v>259</v>
      </c>
      <c r="F382" s="1906">
        <v>250</v>
      </c>
      <c r="G382" s="1897">
        <v>0.67712000000000006</v>
      </c>
      <c r="H382" s="1897">
        <v>0.78592000000000006</v>
      </c>
      <c r="I382" s="1897">
        <v>0.8825599999999999</v>
      </c>
      <c r="J382" s="1897">
        <v>0.752</v>
      </c>
      <c r="K382" s="1897">
        <v>0.69631999999999994</v>
      </c>
      <c r="L382" s="1897">
        <v>0.65407999999999999</v>
      </c>
      <c r="M382" s="1897">
        <v>0.7413333333333334</v>
      </c>
    </row>
    <row r="383" spans="1:13" ht="15">
      <c r="A383" s="1894">
        <f t="shared" si="5"/>
        <v>376</v>
      </c>
      <c r="B383" s="1906" t="s">
        <v>3254</v>
      </c>
      <c r="C383" s="1907" t="s">
        <v>524</v>
      </c>
      <c r="D383" s="1906" t="s">
        <v>541</v>
      </c>
      <c r="E383" s="1907" t="s">
        <v>259</v>
      </c>
      <c r="F383" s="1906">
        <v>250</v>
      </c>
      <c r="G383" s="1897">
        <v>1.10016</v>
      </c>
      <c r="H383" s="1897">
        <v>1.1168</v>
      </c>
      <c r="I383" s="1897">
        <v>1.1404799999999999</v>
      </c>
      <c r="J383" s="1897">
        <v>1.12192</v>
      </c>
      <c r="K383" s="1897">
        <v>1.1135999999999999</v>
      </c>
      <c r="L383" s="1897">
        <v>0.91071999999999997</v>
      </c>
      <c r="M383" s="1897">
        <v>1.0839466666666668</v>
      </c>
    </row>
    <row r="384" spans="1:13" ht="15">
      <c r="A384" s="1894">
        <f t="shared" si="5"/>
        <v>377</v>
      </c>
      <c r="B384" s="1906" t="s">
        <v>2908</v>
      </c>
      <c r="C384" s="1907" t="s">
        <v>524</v>
      </c>
      <c r="D384" s="1906" t="s">
        <v>541</v>
      </c>
      <c r="E384" s="1907" t="s">
        <v>259</v>
      </c>
      <c r="F384" s="1906">
        <v>250</v>
      </c>
      <c r="G384" s="1897">
        <v>1.318909090909091</v>
      </c>
      <c r="H384" s="1897">
        <v>1.3516363636363637</v>
      </c>
      <c r="I384" s="1897">
        <v>1.2927272727272727</v>
      </c>
      <c r="J384" s="1897">
        <v>1.1127272727272728</v>
      </c>
      <c r="K384" s="1897">
        <v>1.2043636363636363</v>
      </c>
      <c r="L384" s="1897">
        <v>0.44783999999999996</v>
      </c>
      <c r="M384" s="1897">
        <v>1.1213672727272728</v>
      </c>
    </row>
    <row r="385" spans="1:13" ht="15">
      <c r="A385" s="1894">
        <f t="shared" si="5"/>
        <v>378</v>
      </c>
      <c r="B385" s="1906" t="s">
        <v>3261</v>
      </c>
      <c r="C385" s="1907" t="s">
        <v>524</v>
      </c>
      <c r="D385" s="1906" t="s">
        <v>636</v>
      </c>
      <c r="E385" s="1907" t="s">
        <v>259</v>
      </c>
      <c r="F385" s="1906">
        <v>250</v>
      </c>
      <c r="G385" s="1897">
        <v>8.5440000000000002E-2</v>
      </c>
      <c r="H385" s="1897">
        <v>0.11616</v>
      </c>
      <c r="I385" s="1897">
        <v>0.12864</v>
      </c>
      <c r="J385" s="1897">
        <v>0.11808</v>
      </c>
      <c r="K385" s="1897">
        <v>0.12959999999999999</v>
      </c>
      <c r="L385" s="1897">
        <v>0.14112</v>
      </c>
      <c r="M385" s="1897">
        <v>0.11984</v>
      </c>
    </row>
    <row r="386" spans="1:13" ht="15">
      <c r="A386" s="1894">
        <f t="shared" si="5"/>
        <v>379</v>
      </c>
      <c r="B386" s="1906" t="s">
        <v>3262</v>
      </c>
      <c r="C386" s="1907" t="s">
        <v>524</v>
      </c>
      <c r="D386" s="1906" t="s">
        <v>541</v>
      </c>
      <c r="E386" s="1907" t="s">
        <v>259</v>
      </c>
      <c r="F386" s="1906">
        <v>250</v>
      </c>
      <c r="G386" s="1897">
        <v>0.83199999999999996</v>
      </c>
      <c r="H386" s="1897">
        <v>0.86</v>
      </c>
      <c r="I386" s="1897">
        <v>0.87775999999999998</v>
      </c>
      <c r="J386" s="1897">
        <v>0.91632799999999992</v>
      </c>
      <c r="K386" s="1897">
        <v>0.78772800000000009</v>
      </c>
      <c r="L386" s="1897">
        <v>0.76848000000000005</v>
      </c>
      <c r="M386" s="1897">
        <v>0.84038266666666672</v>
      </c>
    </row>
    <row r="387" spans="1:13" ht="15">
      <c r="A387" s="1894">
        <f t="shared" si="5"/>
        <v>380</v>
      </c>
      <c r="B387" s="1906" t="s">
        <v>3263</v>
      </c>
      <c r="C387" s="1907" t="s">
        <v>524</v>
      </c>
      <c r="D387" s="1906" t="s">
        <v>541</v>
      </c>
      <c r="E387" s="1907" t="s">
        <v>259</v>
      </c>
      <c r="F387" s="1906">
        <v>250</v>
      </c>
      <c r="G387" s="1897">
        <v>0.98399999999999987</v>
      </c>
      <c r="H387" s="1897">
        <v>0.74399999999999999</v>
      </c>
      <c r="I387" s="1897">
        <v>0.754992</v>
      </c>
      <c r="J387" s="1897">
        <v>0.72713280000000002</v>
      </c>
      <c r="K387" s="1897">
        <v>0.74530079999999999</v>
      </c>
      <c r="L387" s="1897">
        <v>8.0027999999999988E-2</v>
      </c>
      <c r="M387" s="1897">
        <v>0.67257560000000005</v>
      </c>
    </row>
    <row r="388" spans="1:13" ht="15">
      <c r="A388" s="1894">
        <f t="shared" si="5"/>
        <v>381</v>
      </c>
      <c r="B388" s="1906" t="s">
        <v>3257</v>
      </c>
      <c r="C388" s="1907" t="s">
        <v>524</v>
      </c>
      <c r="D388" s="1906" t="s">
        <v>2966</v>
      </c>
      <c r="E388" s="1907" t="s">
        <v>259</v>
      </c>
      <c r="F388" s="1906">
        <v>250</v>
      </c>
      <c r="G388" s="1897">
        <v>2.0799999999999999E-2</v>
      </c>
      <c r="H388" s="1897">
        <v>3.2800000000000003E-2</v>
      </c>
      <c r="I388" s="1897">
        <v>1.84E-2</v>
      </c>
      <c r="J388" s="1897">
        <v>2.24E-2</v>
      </c>
      <c r="K388" s="1897">
        <v>0.02</v>
      </c>
      <c r="L388" s="1897">
        <v>1.3599999999999999E-2</v>
      </c>
      <c r="M388" s="1897">
        <v>2.1333333333333333E-2</v>
      </c>
    </row>
    <row r="389" spans="1:13" ht="15">
      <c r="A389" s="1894">
        <f t="shared" si="5"/>
        <v>382</v>
      </c>
      <c r="B389" s="1906" t="s">
        <v>3258</v>
      </c>
      <c r="C389" s="1907" t="s">
        <v>524</v>
      </c>
      <c r="D389" s="1906" t="s">
        <v>541</v>
      </c>
      <c r="E389" s="1907" t="s">
        <v>259</v>
      </c>
      <c r="F389" s="1906">
        <v>250</v>
      </c>
      <c r="G389" s="1897">
        <v>0.74975999999999998</v>
      </c>
      <c r="H389" s="1897">
        <v>0.85919999999999996</v>
      </c>
      <c r="I389" s="1897">
        <v>0.87551999999999996</v>
      </c>
      <c r="J389" s="1897">
        <v>0.82752000000000003</v>
      </c>
      <c r="K389" s="1897">
        <v>0.80544000000000004</v>
      </c>
      <c r="L389" s="1897">
        <v>0.86496000000000006</v>
      </c>
      <c r="M389" s="1897">
        <v>0.83040000000000003</v>
      </c>
    </row>
    <row r="390" spans="1:13" ht="15">
      <c r="A390" s="1894">
        <f t="shared" si="5"/>
        <v>383</v>
      </c>
      <c r="B390" s="1906" t="s">
        <v>3259</v>
      </c>
      <c r="C390" s="1907" t="s">
        <v>524</v>
      </c>
      <c r="D390" s="1906" t="s">
        <v>2966</v>
      </c>
      <c r="E390" s="1907" t="s">
        <v>259</v>
      </c>
      <c r="F390" s="1906">
        <v>250</v>
      </c>
      <c r="G390" s="1897">
        <v>0.50880000000000003</v>
      </c>
      <c r="H390" s="1897">
        <v>0.35104000000000002</v>
      </c>
      <c r="I390" s="1897">
        <v>0.10208</v>
      </c>
      <c r="J390" s="1897">
        <v>0.16352</v>
      </c>
      <c r="K390" s="1897">
        <v>0.68735999999999997</v>
      </c>
      <c r="L390" s="1897">
        <v>1.02528</v>
      </c>
      <c r="M390" s="1897">
        <v>0.47301333333333334</v>
      </c>
    </row>
    <row r="391" spans="1:13" ht="15">
      <c r="A391" s="1894">
        <f t="shared" si="5"/>
        <v>384</v>
      </c>
      <c r="B391" s="1906" t="s">
        <v>3570</v>
      </c>
      <c r="C391" s="1907" t="s">
        <v>524</v>
      </c>
      <c r="D391" s="1906" t="s">
        <v>636</v>
      </c>
      <c r="E391" s="1907" t="s">
        <v>259</v>
      </c>
      <c r="F391" s="1906">
        <v>250</v>
      </c>
      <c r="G391" s="1897">
        <v>0.96</v>
      </c>
      <c r="H391" s="1897">
        <v>0.91200000000000003</v>
      </c>
      <c r="I391" s="1897">
        <v>0.92</v>
      </c>
      <c r="J391" s="1897">
        <v>0.94</v>
      </c>
      <c r="K391" s="1897">
        <v>0.92800000000000005</v>
      </c>
      <c r="L391" s="1897">
        <v>0.93600000000000005</v>
      </c>
      <c r="M391" s="1897">
        <v>0.93266666666666664</v>
      </c>
    </row>
    <row r="392" spans="1:13" ht="15">
      <c r="A392" s="1894">
        <f t="shared" si="5"/>
        <v>385</v>
      </c>
      <c r="B392" s="1906" t="s">
        <v>3256</v>
      </c>
      <c r="C392" s="1907" t="s">
        <v>524</v>
      </c>
      <c r="D392" s="1906" t="s">
        <v>541</v>
      </c>
      <c r="E392" s="1907" t="s">
        <v>259</v>
      </c>
      <c r="F392" s="1906">
        <v>250</v>
      </c>
      <c r="G392" s="1897">
        <v>1.4080000000000001E-2</v>
      </c>
      <c r="H392" s="1897">
        <v>1.2160000000000001E-2</v>
      </c>
      <c r="I392" s="1897">
        <v>1.4719999999999999E-2</v>
      </c>
      <c r="J392" s="1897">
        <v>1.728E-2</v>
      </c>
      <c r="K392" s="1897">
        <v>1.4080000000000001E-2</v>
      </c>
      <c r="L392" s="1897">
        <v>1.2160000000000001E-2</v>
      </c>
      <c r="M392" s="1897">
        <v>1.4080000000000001E-2</v>
      </c>
    </row>
    <row r="393" spans="1:13" ht="15">
      <c r="A393" s="1894">
        <f t="shared" si="5"/>
        <v>386</v>
      </c>
      <c r="B393" s="1906" t="s">
        <v>3255</v>
      </c>
      <c r="C393" s="1907" t="s">
        <v>524</v>
      </c>
      <c r="D393" s="1906" t="s">
        <v>541</v>
      </c>
      <c r="E393" s="1907" t="s">
        <v>259</v>
      </c>
      <c r="F393" s="1906">
        <v>250</v>
      </c>
      <c r="G393" s="1897">
        <v>0.64607999999999999</v>
      </c>
      <c r="H393" s="1897">
        <v>0.54432000000000003</v>
      </c>
      <c r="I393" s="1897">
        <v>0.57599999999999996</v>
      </c>
      <c r="J393" s="1897">
        <v>0.53664000000000001</v>
      </c>
      <c r="K393" s="1897">
        <v>0.63840000000000008</v>
      </c>
      <c r="L393" s="1897">
        <v>0.58367999999999998</v>
      </c>
      <c r="M393" s="1897">
        <v>0.58752000000000004</v>
      </c>
    </row>
    <row r="394" spans="1:13" ht="15">
      <c r="A394" s="1894">
        <f t="shared" ref="A394:A457" si="6">+A393+1</f>
        <v>387</v>
      </c>
      <c r="B394" s="1906" t="s">
        <v>3571</v>
      </c>
      <c r="C394" s="1907" t="s">
        <v>524</v>
      </c>
      <c r="D394" s="1906" t="s">
        <v>636</v>
      </c>
      <c r="E394" s="1907" t="s">
        <v>259</v>
      </c>
      <c r="F394" s="1906">
        <v>250</v>
      </c>
      <c r="G394" s="1897">
        <v>0</v>
      </c>
      <c r="H394" s="1897">
        <v>0</v>
      </c>
      <c r="I394" s="1897">
        <v>0</v>
      </c>
      <c r="J394" s="1897">
        <v>0</v>
      </c>
      <c r="K394" s="1897">
        <v>0</v>
      </c>
      <c r="L394" s="1897">
        <v>0.31136000000000003</v>
      </c>
      <c r="M394" s="1897">
        <v>5.189333333333334E-2</v>
      </c>
    </row>
    <row r="395" spans="1:13" ht="15">
      <c r="A395" s="1894">
        <f t="shared" si="6"/>
        <v>388</v>
      </c>
      <c r="B395" s="1906" t="s">
        <v>3266</v>
      </c>
      <c r="C395" s="1907" t="s">
        <v>524</v>
      </c>
      <c r="D395" s="1906" t="s">
        <v>636</v>
      </c>
      <c r="E395" s="1907" t="s">
        <v>259</v>
      </c>
      <c r="F395" s="1906">
        <v>250</v>
      </c>
      <c r="G395" s="1897">
        <v>0.25824000000000003</v>
      </c>
      <c r="H395" s="1897">
        <v>0.31103999999999998</v>
      </c>
      <c r="I395" s="1897">
        <v>0.34752000000000005</v>
      </c>
      <c r="J395" s="1897">
        <v>0.25152000000000002</v>
      </c>
      <c r="K395" s="1897">
        <v>0.28704000000000002</v>
      </c>
      <c r="L395" s="1897">
        <v>0.30431999999999998</v>
      </c>
      <c r="M395" s="1897">
        <v>0.29327999999999999</v>
      </c>
    </row>
    <row r="396" spans="1:13" ht="15">
      <c r="A396" s="1894">
        <f t="shared" si="6"/>
        <v>389</v>
      </c>
      <c r="B396" s="1906" t="s">
        <v>3265</v>
      </c>
      <c r="C396" s="1907" t="s">
        <v>524</v>
      </c>
      <c r="D396" s="1906" t="s">
        <v>541</v>
      </c>
      <c r="E396" s="1907" t="s">
        <v>259</v>
      </c>
      <c r="F396" s="1906">
        <v>250</v>
      </c>
      <c r="G396" s="1897">
        <v>0.6</v>
      </c>
      <c r="H396" s="1897">
        <v>0.60960000000000003</v>
      </c>
      <c r="I396" s="1897">
        <v>0.60160000000000002</v>
      </c>
      <c r="J396" s="1897">
        <v>0.6048</v>
      </c>
      <c r="K396" s="1897">
        <v>0.60640000000000005</v>
      </c>
      <c r="L396" s="1897">
        <v>0.61119999999999997</v>
      </c>
      <c r="M396" s="1897">
        <v>0.60560000000000003</v>
      </c>
    </row>
    <row r="397" spans="1:13" ht="15">
      <c r="A397" s="1894">
        <f t="shared" si="6"/>
        <v>390</v>
      </c>
      <c r="B397" s="1906" t="s">
        <v>3268</v>
      </c>
      <c r="C397" s="1907" t="s">
        <v>524</v>
      </c>
      <c r="D397" s="1906" t="s">
        <v>730</v>
      </c>
      <c r="E397" s="1907" t="s">
        <v>259</v>
      </c>
      <c r="F397" s="1906">
        <v>250.44</v>
      </c>
      <c r="G397" s="1897">
        <v>0.24628653569717299</v>
      </c>
      <c r="H397" s="1897">
        <v>0.25043922696054943</v>
      </c>
      <c r="I397" s="1897">
        <v>0.23446733748602464</v>
      </c>
      <c r="J397" s="1897">
        <v>0.24532822232870147</v>
      </c>
      <c r="K397" s="1897">
        <v>0.23127295959111963</v>
      </c>
      <c r="L397" s="1897">
        <v>0.2440504711707395</v>
      </c>
      <c r="M397" s="1897">
        <v>0.24197412553905126</v>
      </c>
    </row>
    <row r="398" spans="1:13" ht="15">
      <c r="A398" s="1894">
        <f t="shared" si="6"/>
        <v>391</v>
      </c>
      <c r="B398" s="1906" t="s">
        <v>3269</v>
      </c>
      <c r="C398" s="1907" t="s">
        <v>524</v>
      </c>
      <c r="D398" s="1906" t="s">
        <v>541</v>
      </c>
      <c r="E398" s="1907" t="s">
        <v>259</v>
      </c>
      <c r="F398" s="1906">
        <v>255</v>
      </c>
      <c r="G398" s="1897">
        <v>0.99137254901960792</v>
      </c>
      <c r="H398" s="1897">
        <v>1.0233725490196077</v>
      </c>
      <c r="I398" s="1897">
        <v>0.93866666666666676</v>
      </c>
      <c r="J398" s="1897">
        <v>0.82823529411764718</v>
      </c>
      <c r="K398" s="1897">
        <v>0.95184313725490199</v>
      </c>
      <c r="L398" s="1897">
        <v>0.81756862745098036</v>
      </c>
      <c r="M398" s="1897">
        <v>0.92517647058823538</v>
      </c>
    </row>
    <row r="399" spans="1:13" ht="15">
      <c r="A399" s="1894">
        <f t="shared" si="6"/>
        <v>392</v>
      </c>
      <c r="B399" s="1906" t="s">
        <v>3270</v>
      </c>
      <c r="C399" s="1907" t="s">
        <v>524</v>
      </c>
      <c r="D399" s="1906" t="s">
        <v>737</v>
      </c>
      <c r="E399" s="1907" t="s">
        <v>259</v>
      </c>
      <c r="F399" s="1906">
        <v>255</v>
      </c>
      <c r="G399" s="1897">
        <v>0.13600000000000001</v>
      </c>
      <c r="H399" s="1897">
        <v>0.49647058823529411</v>
      </c>
      <c r="I399" s="1897">
        <v>0.49176470588235288</v>
      </c>
      <c r="J399" s="1897">
        <v>0.47294117647058825</v>
      </c>
      <c r="K399" s="1897">
        <v>0.16376470588235292</v>
      </c>
      <c r="L399" s="1897">
        <v>0.1491764705882353</v>
      </c>
      <c r="M399" s="1897">
        <v>0.31835294117647056</v>
      </c>
    </row>
    <row r="400" spans="1:13" ht="15">
      <c r="A400" s="1894">
        <f t="shared" si="6"/>
        <v>393</v>
      </c>
      <c r="B400" s="1906" t="s">
        <v>3271</v>
      </c>
      <c r="C400" s="1907" t="s">
        <v>524</v>
      </c>
      <c r="D400" s="1906" t="s">
        <v>636</v>
      </c>
      <c r="E400" s="1907" t="s">
        <v>259</v>
      </c>
      <c r="F400" s="1906">
        <v>256</v>
      </c>
      <c r="G400" s="1897">
        <v>0.46312500000000001</v>
      </c>
      <c r="H400" s="1897">
        <v>0.40875</v>
      </c>
      <c r="I400" s="1897">
        <v>0.421875</v>
      </c>
      <c r="J400" s="1897">
        <v>0.31593749999999998</v>
      </c>
      <c r="K400" s="1897">
        <v>0.29531249999999998</v>
      </c>
      <c r="L400" s="1897">
        <v>0.28875000000000001</v>
      </c>
      <c r="M400" s="1897">
        <v>0.36562499999999992</v>
      </c>
    </row>
    <row r="401" spans="1:13" ht="15">
      <c r="A401" s="1894">
        <f t="shared" si="6"/>
        <v>394</v>
      </c>
      <c r="B401" s="1906" t="s">
        <v>3272</v>
      </c>
      <c r="C401" s="1907" t="s">
        <v>524</v>
      </c>
      <c r="D401" s="1906" t="s">
        <v>541</v>
      </c>
      <c r="E401" s="1907" t="s">
        <v>259</v>
      </c>
      <c r="F401" s="1906">
        <v>256</v>
      </c>
      <c r="G401" s="1897">
        <v>0.39562499999999995</v>
      </c>
      <c r="H401" s="1897">
        <v>0.46937499999999999</v>
      </c>
      <c r="I401" s="1897">
        <v>0.40437499999999998</v>
      </c>
      <c r="J401" s="1897">
        <v>0.40187499999999998</v>
      </c>
      <c r="K401" s="1897">
        <v>2.8124999999999997E-2</v>
      </c>
      <c r="L401" s="1897">
        <v>1.7499999999999998E-2</v>
      </c>
      <c r="M401" s="1897">
        <v>0.28614583333333332</v>
      </c>
    </row>
    <row r="402" spans="1:13" ht="15">
      <c r="A402" s="1894">
        <f t="shared" si="6"/>
        <v>395</v>
      </c>
      <c r="B402" s="1906" t="s">
        <v>3273</v>
      </c>
      <c r="C402" s="1907" t="s">
        <v>524</v>
      </c>
      <c r="D402" s="1906" t="s">
        <v>737</v>
      </c>
      <c r="E402" s="1907" t="s">
        <v>259</v>
      </c>
      <c r="F402" s="1906">
        <v>256</v>
      </c>
      <c r="G402" s="1897">
        <v>0.27656249999999999</v>
      </c>
      <c r="H402" s="1897">
        <v>0.12265624999999999</v>
      </c>
      <c r="I402" s="1897">
        <v>0.19140625</v>
      </c>
      <c r="J402" s="1897">
        <v>0.33671875000000001</v>
      </c>
      <c r="K402" s="1897">
        <v>0.22734375000000001</v>
      </c>
      <c r="L402" s="1897">
        <v>4.0406249999999999E-3</v>
      </c>
      <c r="M402" s="1897">
        <v>0.19312135416666665</v>
      </c>
    </row>
    <row r="403" spans="1:13" ht="15">
      <c r="A403" s="1894">
        <f t="shared" si="6"/>
        <v>396</v>
      </c>
      <c r="B403" s="1906" t="s">
        <v>3274</v>
      </c>
      <c r="C403" s="1907" t="s">
        <v>524</v>
      </c>
      <c r="D403" s="1906" t="s">
        <v>636</v>
      </c>
      <c r="E403" s="1907" t="s">
        <v>259</v>
      </c>
      <c r="F403" s="1906">
        <v>256</v>
      </c>
      <c r="G403" s="1897">
        <v>0.43968749999999995</v>
      </c>
      <c r="H403" s="1897">
        <v>0.48468750000000005</v>
      </c>
      <c r="I403" s="1897">
        <v>0.53343750000000001</v>
      </c>
      <c r="J403" s="1897">
        <v>0.43312499999999998</v>
      </c>
      <c r="K403" s="1897">
        <v>0.44062499999999999</v>
      </c>
      <c r="L403" s="1897">
        <v>0.38906250000000003</v>
      </c>
      <c r="M403" s="1897">
        <v>0.45343749999999999</v>
      </c>
    </row>
    <row r="404" spans="1:13" ht="15">
      <c r="A404" s="1894">
        <f t="shared" si="6"/>
        <v>397</v>
      </c>
      <c r="B404" s="1906" t="s">
        <v>3276</v>
      </c>
      <c r="C404" s="1907" t="s">
        <v>524</v>
      </c>
      <c r="D404" s="1906" t="s">
        <v>541</v>
      </c>
      <c r="E404" s="1907" t="s">
        <v>259</v>
      </c>
      <c r="F404" s="1906">
        <v>260</v>
      </c>
      <c r="G404" s="1897">
        <v>0.65076923076923077</v>
      </c>
      <c r="H404" s="1897">
        <v>0.50307692307692309</v>
      </c>
      <c r="I404" s="1897">
        <v>0.61938461538461542</v>
      </c>
      <c r="J404" s="1897">
        <v>0.70892307692307688</v>
      </c>
      <c r="K404" s="1897">
        <v>0.74769230769230777</v>
      </c>
      <c r="L404" s="1897">
        <v>0.9507692307692307</v>
      </c>
      <c r="M404" s="1897">
        <v>0.6967692307692307</v>
      </c>
    </row>
    <row r="405" spans="1:13" ht="15">
      <c r="A405" s="1894">
        <f t="shared" si="6"/>
        <v>398</v>
      </c>
      <c r="B405" s="1906" t="s">
        <v>3275</v>
      </c>
      <c r="C405" s="1907" t="s">
        <v>524</v>
      </c>
      <c r="D405" s="1906" t="s">
        <v>541</v>
      </c>
      <c r="E405" s="1907" t="s">
        <v>259</v>
      </c>
      <c r="F405" s="1906">
        <v>260</v>
      </c>
      <c r="G405" s="1897">
        <v>1.0067692307692306</v>
      </c>
      <c r="H405" s="1897">
        <v>1.2276923076923079</v>
      </c>
      <c r="I405" s="1897">
        <v>1.1538461538461537</v>
      </c>
      <c r="J405" s="1897">
        <v>1.1735384615384616</v>
      </c>
      <c r="K405" s="1897">
        <v>1.0461538461538462</v>
      </c>
      <c r="L405" s="1897">
        <v>1.1144615384615384</v>
      </c>
      <c r="M405" s="1897">
        <v>1.1204102564102563</v>
      </c>
    </row>
    <row r="406" spans="1:13" ht="15">
      <c r="A406" s="1894">
        <f t="shared" si="6"/>
        <v>399</v>
      </c>
      <c r="B406" s="1906" t="s">
        <v>3277</v>
      </c>
      <c r="C406" s="1907" t="s">
        <v>524</v>
      </c>
      <c r="D406" s="1906" t="s">
        <v>2966</v>
      </c>
      <c r="E406" s="1907" t="s">
        <v>259</v>
      </c>
      <c r="F406" s="1906">
        <v>267</v>
      </c>
      <c r="G406" s="1897">
        <v>3.5955056179775277E-2</v>
      </c>
      <c r="H406" s="1897">
        <v>2.6966292134831458E-2</v>
      </c>
      <c r="I406" s="1897">
        <v>0.36134831460674161</v>
      </c>
      <c r="J406" s="1897">
        <v>0.40389513108614233</v>
      </c>
      <c r="K406" s="1897">
        <v>0.43086142322097382</v>
      </c>
      <c r="L406" s="1897">
        <v>0.40868913857677897</v>
      </c>
      <c r="M406" s="1897">
        <v>0.27795255930087392</v>
      </c>
    </row>
    <row r="407" spans="1:13" ht="15">
      <c r="A407" s="1894">
        <f t="shared" si="6"/>
        <v>400</v>
      </c>
      <c r="B407" s="1906" t="s">
        <v>3278</v>
      </c>
      <c r="C407" s="1907" t="s">
        <v>524</v>
      </c>
      <c r="D407" s="1906" t="s">
        <v>541</v>
      </c>
      <c r="E407" s="1907" t="s">
        <v>259</v>
      </c>
      <c r="F407" s="1906">
        <v>268</v>
      </c>
      <c r="G407" s="1897">
        <v>0.52119402985074625</v>
      </c>
      <c r="H407" s="1897">
        <v>1.067910447761194</v>
      </c>
      <c r="I407" s="1897">
        <v>1.1565671641791044</v>
      </c>
      <c r="J407" s="1897">
        <v>1.0719402985074629</v>
      </c>
      <c r="K407" s="1897">
        <v>0.85208955223880589</v>
      </c>
      <c r="L407" s="1897">
        <v>0.86149253731343278</v>
      </c>
      <c r="M407" s="1897">
        <v>0.92186567164179112</v>
      </c>
    </row>
    <row r="408" spans="1:13" ht="15">
      <c r="A408" s="1894">
        <f t="shared" si="6"/>
        <v>401</v>
      </c>
      <c r="B408" s="1906" t="s">
        <v>3279</v>
      </c>
      <c r="C408" s="1907" t="s">
        <v>524</v>
      </c>
      <c r="D408" s="1906" t="s">
        <v>636</v>
      </c>
      <c r="E408" s="1907" t="s">
        <v>259</v>
      </c>
      <c r="F408" s="1906">
        <v>268</v>
      </c>
      <c r="G408" s="1897">
        <v>0.46447761194029846</v>
      </c>
      <c r="H408" s="1897">
        <v>0.54029850746268648</v>
      </c>
      <c r="I408" s="1897">
        <v>0.64417910447761184</v>
      </c>
      <c r="J408" s="1897">
        <v>0.43761194029850747</v>
      </c>
      <c r="K408" s="1897">
        <v>0.38029850746268662</v>
      </c>
      <c r="L408" s="1897">
        <v>0.41671641791044778</v>
      </c>
      <c r="M408" s="1897">
        <v>0.4805970149253731</v>
      </c>
    </row>
    <row r="409" spans="1:13" ht="15">
      <c r="A409" s="1894">
        <f t="shared" si="6"/>
        <v>402</v>
      </c>
      <c r="B409" s="1906" t="s">
        <v>3280</v>
      </c>
      <c r="C409" s="1907" t="s">
        <v>524</v>
      </c>
      <c r="D409" s="1906" t="s">
        <v>2966</v>
      </c>
      <c r="E409" s="1907" t="s">
        <v>259</v>
      </c>
      <c r="F409" s="1906">
        <v>270</v>
      </c>
      <c r="G409" s="1897">
        <v>0.22799999999999998</v>
      </c>
      <c r="H409" s="1897">
        <v>4.2222222222222223E-2</v>
      </c>
      <c r="I409" s="1897">
        <v>4.5777777777777778E-2</v>
      </c>
      <c r="J409" s="1897">
        <v>4.2222222222222223E-2</v>
      </c>
      <c r="K409" s="1897">
        <v>6.0444444444444446E-2</v>
      </c>
      <c r="L409" s="1897">
        <v>5.1111111111111107E-2</v>
      </c>
      <c r="M409" s="1897">
        <v>7.8296296296296294E-2</v>
      </c>
    </row>
    <row r="410" spans="1:13" ht="15">
      <c r="A410" s="1894">
        <f t="shared" si="6"/>
        <v>403</v>
      </c>
      <c r="B410" s="1906" t="s">
        <v>3281</v>
      </c>
      <c r="C410" s="1907" t="s">
        <v>524</v>
      </c>
      <c r="D410" s="1906" t="s">
        <v>541</v>
      </c>
      <c r="E410" s="1907" t="s">
        <v>259</v>
      </c>
      <c r="F410" s="1906">
        <v>270</v>
      </c>
      <c r="G410" s="1897">
        <v>0.84088888888888891</v>
      </c>
      <c r="H410" s="1897">
        <v>0.88711111111111118</v>
      </c>
      <c r="I410" s="1897">
        <v>0.88533333333333342</v>
      </c>
      <c r="J410" s="1897">
        <v>0.86518518518518517</v>
      </c>
      <c r="K410" s="1897">
        <v>0.73599999999999999</v>
      </c>
      <c r="L410" s="1897">
        <v>0.71466666666666667</v>
      </c>
      <c r="M410" s="1897">
        <v>0.82153086419753096</v>
      </c>
    </row>
    <row r="411" spans="1:13" ht="15">
      <c r="A411" s="1894">
        <f t="shared" si="6"/>
        <v>404</v>
      </c>
      <c r="B411" s="1906" t="s">
        <v>3572</v>
      </c>
      <c r="C411" s="1907" t="s">
        <v>524</v>
      </c>
      <c r="D411" s="1906" t="s">
        <v>541</v>
      </c>
      <c r="E411" s="1907" t="s">
        <v>259</v>
      </c>
      <c r="F411" s="1906">
        <v>270</v>
      </c>
      <c r="G411" s="1897">
        <v>5.6296296296296292E-4</v>
      </c>
      <c r="H411" s="1897">
        <v>1.084308148148148</v>
      </c>
      <c r="I411" s="1897">
        <v>1.0895407407407407</v>
      </c>
      <c r="J411" s="1897">
        <v>1.1368948148148148</v>
      </c>
      <c r="K411" s="1897">
        <v>1.2013688888888889</v>
      </c>
      <c r="L411" s="1897">
        <v>0.90080000000000005</v>
      </c>
      <c r="M411" s="1897">
        <v>0.9022459259259259</v>
      </c>
    </row>
    <row r="412" spans="1:13" ht="15">
      <c r="A412" s="1894">
        <f t="shared" si="6"/>
        <v>405</v>
      </c>
      <c r="B412" s="1906" t="s">
        <v>3283</v>
      </c>
      <c r="C412" s="1907" t="s">
        <v>524</v>
      </c>
      <c r="D412" s="1906" t="s">
        <v>730</v>
      </c>
      <c r="E412" s="1907" t="s">
        <v>259</v>
      </c>
      <c r="F412" s="1906">
        <v>271</v>
      </c>
      <c r="G412" s="1897">
        <v>0.37372693726937267</v>
      </c>
      <c r="H412" s="1897">
        <v>0.33948339483394835</v>
      </c>
      <c r="I412" s="1897">
        <v>0.34243542435424357</v>
      </c>
      <c r="J412" s="1897">
        <v>0.36900369003690037</v>
      </c>
      <c r="K412" s="1897">
        <v>0.18420664206642065</v>
      </c>
      <c r="L412" s="1897">
        <v>0.28516605166051662</v>
      </c>
      <c r="M412" s="1897">
        <v>0.31567035670356702</v>
      </c>
    </row>
    <row r="413" spans="1:13" ht="15">
      <c r="A413" s="1894">
        <f t="shared" si="6"/>
        <v>406</v>
      </c>
      <c r="B413" s="1906" t="s">
        <v>3284</v>
      </c>
      <c r="C413" s="1907" t="s">
        <v>524</v>
      </c>
      <c r="D413" s="1906" t="s">
        <v>541</v>
      </c>
      <c r="E413" s="1907" t="s">
        <v>259</v>
      </c>
      <c r="F413" s="1906">
        <v>274</v>
      </c>
      <c r="G413" s="1897">
        <v>1.0348905109489051</v>
      </c>
      <c r="H413" s="1897">
        <v>1.1623357664233578</v>
      </c>
      <c r="I413" s="1897">
        <v>1.080875912408759</v>
      </c>
      <c r="J413" s="1897">
        <v>0.97708029197080282</v>
      </c>
      <c r="K413" s="1897">
        <v>0.94773722627737234</v>
      </c>
      <c r="L413" s="1897">
        <v>0.94861313868613129</v>
      </c>
      <c r="M413" s="1897">
        <v>1.0252554744525546</v>
      </c>
    </row>
    <row r="414" spans="1:13" ht="15">
      <c r="A414" s="1894">
        <f t="shared" si="6"/>
        <v>407</v>
      </c>
      <c r="B414" s="1906" t="s">
        <v>3285</v>
      </c>
      <c r="C414" s="1907" t="s">
        <v>524</v>
      </c>
      <c r="D414" s="1906" t="s">
        <v>730</v>
      </c>
      <c r="E414" s="1907" t="s">
        <v>259</v>
      </c>
      <c r="F414" s="1906">
        <v>275</v>
      </c>
      <c r="G414" s="1897">
        <v>0.35781818181818181</v>
      </c>
      <c r="H414" s="1897">
        <v>0.35665454545454545</v>
      </c>
      <c r="I414" s="1897">
        <v>0.35549090909090914</v>
      </c>
      <c r="J414" s="1897">
        <v>0.36712727272727275</v>
      </c>
      <c r="K414" s="1897">
        <v>0.46429090909090909</v>
      </c>
      <c r="L414" s="1897">
        <v>0.36596363636363638</v>
      </c>
      <c r="M414" s="1897">
        <v>0.37789090909090911</v>
      </c>
    </row>
    <row r="415" spans="1:13" ht="15">
      <c r="A415" s="1894">
        <f t="shared" si="6"/>
        <v>408</v>
      </c>
      <c r="B415" s="1906" t="s">
        <v>3286</v>
      </c>
      <c r="C415" s="1907" t="s">
        <v>524</v>
      </c>
      <c r="D415" s="1906" t="s">
        <v>541</v>
      </c>
      <c r="E415" s="1907" t="s">
        <v>259</v>
      </c>
      <c r="F415" s="1906">
        <v>275</v>
      </c>
      <c r="G415" s="1897">
        <v>0.80800000000000005</v>
      </c>
      <c r="H415" s="1897">
        <v>0.75345454545454538</v>
      </c>
      <c r="I415" s="1897">
        <v>0.83927272727272728</v>
      </c>
      <c r="J415" s="1897">
        <v>0.87854545454545463</v>
      </c>
      <c r="K415" s="1897">
        <v>0.80581818181818177</v>
      </c>
      <c r="L415" s="1897">
        <v>0.72581818181818181</v>
      </c>
      <c r="M415" s="1897">
        <v>0.80181818181818176</v>
      </c>
    </row>
    <row r="416" spans="1:13" ht="15">
      <c r="A416" s="1894">
        <f t="shared" si="6"/>
        <v>409</v>
      </c>
      <c r="B416" s="1906" t="s">
        <v>3290</v>
      </c>
      <c r="C416" s="1907" t="s">
        <v>524</v>
      </c>
      <c r="D416" s="1906" t="s">
        <v>623</v>
      </c>
      <c r="E416" s="1907" t="s">
        <v>259</v>
      </c>
      <c r="F416" s="1906">
        <v>278</v>
      </c>
      <c r="G416" s="1897">
        <v>0.77395683453237407</v>
      </c>
      <c r="H416" s="1897">
        <v>1.5107913669064748</v>
      </c>
      <c r="I416" s="1897">
        <v>1.5047482014388491</v>
      </c>
      <c r="J416" s="1897">
        <v>1.3610071942446043</v>
      </c>
      <c r="K416" s="1897">
        <v>1.2556834532374099</v>
      </c>
      <c r="L416" s="1897">
        <v>1.2612949640287772</v>
      </c>
      <c r="M416" s="1897">
        <v>1.2779136690647481</v>
      </c>
    </row>
    <row r="417" spans="1:13" ht="15">
      <c r="A417" s="1894">
        <f t="shared" si="6"/>
        <v>410</v>
      </c>
      <c r="B417" s="1906" t="s">
        <v>3291</v>
      </c>
      <c r="C417" s="1907" t="s">
        <v>524</v>
      </c>
      <c r="D417" s="1906" t="s">
        <v>2966</v>
      </c>
      <c r="E417" s="1907" t="s">
        <v>259</v>
      </c>
      <c r="F417" s="1906">
        <v>278</v>
      </c>
      <c r="G417" s="1897">
        <v>0.34359712230215833</v>
      </c>
      <c r="H417" s="1897">
        <v>0.43856115107913668</v>
      </c>
      <c r="I417" s="1897">
        <v>0.417841726618705</v>
      </c>
      <c r="J417" s="1897">
        <v>0.22402877697841728</v>
      </c>
      <c r="K417" s="1897">
        <v>0.31726618705035969</v>
      </c>
      <c r="L417" s="1897">
        <v>5.3093525179856112E-2</v>
      </c>
      <c r="M417" s="1897">
        <v>0.29906474820143886</v>
      </c>
    </row>
    <row r="418" spans="1:13" ht="15">
      <c r="A418" s="1894">
        <f t="shared" si="6"/>
        <v>411</v>
      </c>
      <c r="B418" s="1906" t="s">
        <v>3292</v>
      </c>
      <c r="C418" s="1907" t="s">
        <v>524</v>
      </c>
      <c r="D418" s="1906" t="s">
        <v>2966</v>
      </c>
      <c r="E418" s="1907" t="s">
        <v>259</v>
      </c>
      <c r="F418" s="1906">
        <v>278</v>
      </c>
      <c r="G418" s="1897">
        <v>0.10647482014388489</v>
      </c>
      <c r="H418" s="1897">
        <v>0.10474820143884893</v>
      </c>
      <c r="I418" s="1897">
        <v>0.14100719424460434</v>
      </c>
      <c r="J418" s="1897">
        <v>8.3453237410071948E-2</v>
      </c>
      <c r="K418" s="1897">
        <v>8.230215827338129E-2</v>
      </c>
      <c r="L418" s="1897">
        <v>4.0287769784172665E-2</v>
      </c>
      <c r="M418" s="1897">
        <v>9.3045563549160673E-2</v>
      </c>
    </row>
    <row r="419" spans="1:13" ht="15">
      <c r="A419" s="1894">
        <f t="shared" si="6"/>
        <v>412</v>
      </c>
      <c r="B419" s="1906" t="s">
        <v>3233</v>
      </c>
      <c r="C419" s="1907" t="s">
        <v>524</v>
      </c>
      <c r="D419" s="1906" t="s">
        <v>2966</v>
      </c>
      <c r="E419" s="1907" t="s">
        <v>259</v>
      </c>
      <c r="F419" s="1906">
        <v>278</v>
      </c>
      <c r="G419" s="1897">
        <v>0.53179856115107915</v>
      </c>
      <c r="H419" s="1897">
        <v>0.50935251798561154</v>
      </c>
      <c r="I419" s="1897">
        <v>0.32345323741007193</v>
      </c>
      <c r="J419" s="1897">
        <v>0.40805755395683457</v>
      </c>
      <c r="K419" s="1897">
        <v>0.41266187050359709</v>
      </c>
      <c r="L419" s="1897">
        <v>0.43050359712230218</v>
      </c>
      <c r="M419" s="1897">
        <v>0.4359712230215827</v>
      </c>
    </row>
    <row r="420" spans="1:13" ht="15">
      <c r="A420" s="1894">
        <f t="shared" si="6"/>
        <v>413</v>
      </c>
      <c r="B420" s="1906" t="s">
        <v>3293</v>
      </c>
      <c r="C420" s="1907" t="s">
        <v>524</v>
      </c>
      <c r="D420" s="1906" t="s">
        <v>636</v>
      </c>
      <c r="E420" s="1907" t="s">
        <v>259</v>
      </c>
      <c r="F420" s="1906">
        <v>278</v>
      </c>
      <c r="G420" s="1897">
        <v>0.9910791366906474</v>
      </c>
      <c r="H420" s="1897">
        <v>0.97726618705035972</v>
      </c>
      <c r="I420" s="1897">
        <v>1.0492086330935253</v>
      </c>
      <c r="J420" s="1897">
        <v>0.91107913669064744</v>
      </c>
      <c r="K420" s="1897">
        <v>0.93755395683453235</v>
      </c>
      <c r="L420" s="1897">
        <v>0.88460431654676264</v>
      </c>
      <c r="M420" s="1897">
        <v>0.9584652278177459</v>
      </c>
    </row>
    <row r="421" spans="1:13" ht="15">
      <c r="A421" s="1894">
        <f t="shared" si="6"/>
        <v>414</v>
      </c>
      <c r="B421" s="1906" t="s">
        <v>3294</v>
      </c>
      <c r="C421" s="1907" t="s">
        <v>524</v>
      </c>
      <c r="D421" s="1906" t="s">
        <v>541</v>
      </c>
      <c r="E421" s="1907" t="s">
        <v>259</v>
      </c>
      <c r="F421" s="1906">
        <v>278</v>
      </c>
      <c r="G421" s="1897">
        <v>0.52028776978417257</v>
      </c>
      <c r="H421" s="1897">
        <v>0.50589928057553957</v>
      </c>
      <c r="I421" s="1897">
        <v>0.61237410071942444</v>
      </c>
      <c r="J421" s="1897">
        <v>0.32575539568345324</v>
      </c>
      <c r="K421" s="1897">
        <v>0.55482014388489209</v>
      </c>
      <c r="L421" s="1897">
        <v>0.41438848920863303</v>
      </c>
      <c r="M421" s="1897">
        <v>0.48892086330935247</v>
      </c>
    </row>
    <row r="422" spans="1:13" ht="15">
      <c r="A422" s="1894">
        <f t="shared" si="6"/>
        <v>415</v>
      </c>
      <c r="B422" s="1906" t="s">
        <v>3295</v>
      </c>
      <c r="C422" s="1907" t="s">
        <v>524</v>
      </c>
      <c r="D422" s="1906" t="s">
        <v>2966</v>
      </c>
      <c r="E422" s="1907" t="s">
        <v>259</v>
      </c>
      <c r="F422" s="1906">
        <v>278</v>
      </c>
      <c r="G422" s="1897">
        <v>0.34532374100719426</v>
      </c>
      <c r="H422" s="1897">
        <v>0.26589928057553958</v>
      </c>
      <c r="I422" s="1897">
        <v>0.23050359712230215</v>
      </c>
      <c r="J422" s="1897">
        <v>0.28143884892086329</v>
      </c>
      <c r="K422" s="1897">
        <v>0.11007194244604315</v>
      </c>
      <c r="L422" s="1897">
        <v>0.16964028776978418</v>
      </c>
      <c r="M422" s="1897">
        <v>0.23381294964028779</v>
      </c>
    </row>
    <row r="423" spans="1:13" ht="15">
      <c r="A423" s="1894">
        <f t="shared" si="6"/>
        <v>416</v>
      </c>
      <c r="B423" s="1906" t="s">
        <v>3296</v>
      </c>
      <c r="C423" s="1907" t="s">
        <v>524</v>
      </c>
      <c r="D423" s="1906" t="s">
        <v>2966</v>
      </c>
      <c r="E423" s="1907" t="s">
        <v>259</v>
      </c>
      <c r="F423" s="1906">
        <v>278</v>
      </c>
      <c r="G423" s="1897">
        <v>0.59223021582733804</v>
      </c>
      <c r="H423" s="1897">
        <v>0.68805755395683443</v>
      </c>
      <c r="I423" s="1897">
        <v>0.74546762589928051</v>
      </c>
      <c r="J423" s="1897">
        <v>0.75410071942446033</v>
      </c>
      <c r="K423" s="1897">
        <v>0.74417266187050357</v>
      </c>
      <c r="L423" s="1897">
        <v>0.39237410071942447</v>
      </c>
      <c r="M423" s="1897">
        <v>0.65273381294964017</v>
      </c>
    </row>
    <row r="424" spans="1:13" ht="15">
      <c r="A424" s="1894">
        <f t="shared" si="6"/>
        <v>417</v>
      </c>
      <c r="B424" s="1906" t="s">
        <v>3296</v>
      </c>
      <c r="C424" s="1907" t="s">
        <v>524</v>
      </c>
      <c r="D424" s="1906" t="s">
        <v>2966</v>
      </c>
      <c r="E424" s="1907" t="s">
        <v>259</v>
      </c>
      <c r="F424" s="1906">
        <v>278</v>
      </c>
      <c r="G424" s="1897">
        <v>0.50848920863309355</v>
      </c>
      <c r="H424" s="1897">
        <v>0.61381294964028776</v>
      </c>
      <c r="I424" s="1897">
        <v>0.60086330935251797</v>
      </c>
      <c r="J424" s="1897">
        <v>0.61208633093525189</v>
      </c>
      <c r="K424" s="1897">
        <v>0.69151079136690652</v>
      </c>
      <c r="L424" s="1897">
        <v>0.47913669064748199</v>
      </c>
      <c r="M424" s="1897">
        <v>0.58431654676259004</v>
      </c>
    </row>
    <row r="425" spans="1:13" ht="15">
      <c r="A425" s="1894">
        <f t="shared" si="6"/>
        <v>418</v>
      </c>
      <c r="B425" s="1906" t="s">
        <v>3298</v>
      </c>
      <c r="C425" s="1907" t="s">
        <v>524</v>
      </c>
      <c r="D425" s="1906" t="s">
        <v>541</v>
      </c>
      <c r="E425" s="1907" t="s">
        <v>259</v>
      </c>
      <c r="F425" s="1906">
        <v>278</v>
      </c>
      <c r="G425" s="1897">
        <v>0.60834532374100725</v>
      </c>
      <c r="H425" s="1897">
        <v>0.641726618705036</v>
      </c>
      <c r="I425" s="1897">
        <v>0.51338129496402873</v>
      </c>
      <c r="J425" s="1897">
        <v>0.6399999999999999</v>
      </c>
      <c r="K425" s="1897">
        <v>0.61582733812949642</v>
      </c>
      <c r="L425" s="1897">
        <v>0.84316546762589917</v>
      </c>
      <c r="M425" s="1897">
        <v>0.64374100719424454</v>
      </c>
    </row>
    <row r="426" spans="1:13" ht="15">
      <c r="A426" s="1894">
        <f t="shared" si="6"/>
        <v>419</v>
      </c>
      <c r="B426" s="1906" t="s">
        <v>3299</v>
      </c>
      <c r="C426" s="1907" t="s">
        <v>524</v>
      </c>
      <c r="D426" s="1906" t="s">
        <v>636</v>
      </c>
      <c r="E426" s="1907" t="s">
        <v>259</v>
      </c>
      <c r="F426" s="1906">
        <v>278</v>
      </c>
      <c r="G426" s="1897">
        <v>0.55942446043165461</v>
      </c>
      <c r="H426" s="1897">
        <v>0.20201438848920864</v>
      </c>
      <c r="I426" s="1897">
        <v>1.7266187050359712E-2</v>
      </c>
      <c r="J426" s="1897">
        <v>6.9064748201438847E-2</v>
      </c>
      <c r="K426" s="1897">
        <v>2.3309352517985615E-2</v>
      </c>
      <c r="L426" s="1897">
        <v>0</v>
      </c>
      <c r="M426" s="1897">
        <v>0.14517985611510789</v>
      </c>
    </row>
    <row r="427" spans="1:13" ht="15">
      <c r="A427" s="1894">
        <f t="shared" si="6"/>
        <v>420</v>
      </c>
      <c r="B427" s="1906" t="s">
        <v>3288</v>
      </c>
      <c r="C427" s="1907" t="s">
        <v>524</v>
      </c>
      <c r="D427" s="1906" t="s">
        <v>541</v>
      </c>
      <c r="E427" s="1907" t="s">
        <v>259</v>
      </c>
      <c r="F427" s="1906">
        <v>278</v>
      </c>
      <c r="G427" s="1897">
        <v>1.3812949640287769E-2</v>
      </c>
      <c r="H427" s="1897">
        <v>0.49841726618705035</v>
      </c>
      <c r="I427" s="1897">
        <v>0.41956834532374104</v>
      </c>
      <c r="J427" s="1897">
        <v>0.40920863309352512</v>
      </c>
      <c r="K427" s="1897">
        <v>0.52776978417266185</v>
      </c>
      <c r="L427" s="1897">
        <v>0.54215827338129496</v>
      </c>
      <c r="M427" s="1897">
        <v>0.4018225419664268</v>
      </c>
    </row>
    <row r="428" spans="1:13" ht="15">
      <c r="A428" s="1894">
        <f t="shared" si="6"/>
        <v>421</v>
      </c>
      <c r="B428" s="1906" t="s">
        <v>3297</v>
      </c>
      <c r="C428" s="1907" t="s">
        <v>524</v>
      </c>
      <c r="D428" s="1906" t="s">
        <v>2966</v>
      </c>
      <c r="E428" s="1907" t="s">
        <v>259</v>
      </c>
      <c r="F428" s="1906">
        <v>278</v>
      </c>
      <c r="G428" s="1897">
        <v>1.5355395683453237</v>
      </c>
      <c r="H428" s="1897">
        <v>1.3594244604316548</v>
      </c>
      <c r="I428" s="1897">
        <v>1.2811510791366906E-2</v>
      </c>
      <c r="J428" s="1897">
        <v>1.3525179856115108</v>
      </c>
      <c r="K428" s="1897">
        <v>1.4927438848920864</v>
      </c>
      <c r="L428" s="1897">
        <v>1.4721726618705036</v>
      </c>
      <c r="M428" s="1897">
        <v>1.2042016786570744</v>
      </c>
    </row>
    <row r="429" spans="1:13" ht="15">
      <c r="A429" s="1894">
        <f t="shared" si="6"/>
        <v>422</v>
      </c>
      <c r="B429" s="1906" t="s">
        <v>3287</v>
      </c>
      <c r="C429" s="1907" t="s">
        <v>524</v>
      </c>
      <c r="D429" s="1906" t="s">
        <v>541</v>
      </c>
      <c r="E429" s="1907" t="s">
        <v>259</v>
      </c>
      <c r="F429" s="1906">
        <v>278</v>
      </c>
      <c r="G429" s="1897">
        <v>0.65870503597122299</v>
      </c>
      <c r="H429" s="1897">
        <v>0.58187050359712222</v>
      </c>
      <c r="I429" s="1897">
        <v>0.58964028776978417</v>
      </c>
      <c r="J429" s="1897">
        <v>0.55856115107913662</v>
      </c>
      <c r="K429" s="1897">
        <v>0.43942446043165467</v>
      </c>
      <c r="L429" s="1897">
        <v>5.0935251798561149E-2</v>
      </c>
      <c r="M429" s="1897">
        <v>0.47985611510791371</v>
      </c>
    </row>
    <row r="430" spans="1:13" ht="15">
      <c r="A430" s="1894">
        <f t="shared" si="6"/>
        <v>423</v>
      </c>
      <c r="B430" s="1906" t="s">
        <v>3573</v>
      </c>
      <c r="C430" s="1907" t="s">
        <v>524</v>
      </c>
      <c r="D430" s="1906" t="s">
        <v>541</v>
      </c>
      <c r="E430" s="1907" t="s">
        <v>259</v>
      </c>
      <c r="F430" s="1906">
        <v>278</v>
      </c>
      <c r="G430" s="1897">
        <v>5.5827338129496404E-2</v>
      </c>
      <c r="H430" s="1897">
        <v>0.1306474820143885</v>
      </c>
      <c r="I430" s="1897">
        <v>9.899280575539568E-2</v>
      </c>
      <c r="J430" s="1897">
        <v>0.11856115107913669</v>
      </c>
      <c r="K430" s="1897">
        <v>0.11395683453237411</v>
      </c>
      <c r="L430" s="1897">
        <v>1.0359712230215827E-2</v>
      </c>
      <c r="M430" s="1897">
        <v>8.8057553956834525E-2</v>
      </c>
    </row>
    <row r="431" spans="1:13" ht="15">
      <c r="A431" s="1894">
        <f t="shared" si="6"/>
        <v>424</v>
      </c>
      <c r="B431" s="1906" t="s">
        <v>3300</v>
      </c>
      <c r="C431" s="1907" t="s">
        <v>524</v>
      </c>
      <c r="D431" s="1906" t="s">
        <v>541</v>
      </c>
      <c r="E431" s="1907" t="s">
        <v>259</v>
      </c>
      <c r="F431" s="1906">
        <v>278</v>
      </c>
      <c r="G431" s="1897">
        <v>0.96287769784172661</v>
      </c>
      <c r="H431" s="1897">
        <v>0.89553956834532367</v>
      </c>
      <c r="I431" s="1897">
        <v>0.90532374100719426</v>
      </c>
      <c r="J431" s="1897">
        <v>0.84086330935251807</v>
      </c>
      <c r="K431" s="1897">
        <v>0.6054676258992806</v>
      </c>
      <c r="L431" s="1897">
        <v>0.54215827338129496</v>
      </c>
      <c r="M431" s="1897">
        <v>0.7920383693045564</v>
      </c>
    </row>
    <row r="432" spans="1:13" ht="15">
      <c r="A432" s="1894">
        <f t="shared" si="6"/>
        <v>425</v>
      </c>
      <c r="B432" s="1906" t="s">
        <v>3301</v>
      </c>
      <c r="C432" s="1907" t="s">
        <v>524</v>
      </c>
      <c r="D432" s="1906" t="s">
        <v>623</v>
      </c>
      <c r="E432" s="1907" t="s">
        <v>259</v>
      </c>
      <c r="F432" s="1906">
        <v>278</v>
      </c>
      <c r="G432" s="1897">
        <v>0.32028776978417267</v>
      </c>
      <c r="H432" s="1897">
        <v>0.2572661870503597</v>
      </c>
      <c r="I432" s="1897">
        <v>0.2572661870503597</v>
      </c>
      <c r="J432" s="1897">
        <v>1.9856115107913668E-2</v>
      </c>
      <c r="K432" s="1897">
        <v>1.8992805755395685E-2</v>
      </c>
      <c r="L432" s="1897">
        <v>1.6402877697841725E-2</v>
      </c>
      <c r="M432" s="1897">
        <v>0.1483453237410072</v>
      </c>
    </row>
    <row r="433" spans="1:13" ht="15">
      <c r="A433" s="1894">
        <f t="shared" si="6"/>
        <v>426</v>
      </c>
      <c r="B433" s="1906" t="s">
        <v>3574</v>
      </c>
      <c r="C433" s="1907" t="s">
        <v>524</v>
      </c>
      <c r="D433" s="1906" t="s">
        <v>636</v>
      </c>
      <c r="E433" s="1907" t="s">
        <v>259</v>
      </c>
      <c r="F433" s="1906">
        <v>280</v>
      </c>
      <c r="G433" s="1897">
        <v>0</v>
      </c>
      <c r="H433" s="1897">
        <v>0.63482142857142854</v>
      </c>
      <c r="I433" s="1897">
        <v>0.71271428571428574</v>
      </c>
      <c r="J433" s="1897">
        <v>0.39863571428571426</v>
      </c>
      <c r="K433" s="1897">
        <v>0.63454999999999995</v>
      </c>
      <c r="L433" s="1897">
        <v>0.69760714285714287</v>
      </c>
      <c r="M433" s="1897">
        <v>0.51305476190476185</v>
      </c>
    </row>
    <row r="434" spans="1:13" ht="15">
      <c r="A434" s="1894">
        <f t="shared" si="6"/>
        <v>427</v>
      </c>
      <c r="B434" s="1906" t="s">
        <v>3302</v>
      </c>
      <c r="C434" s="1907" t="s">
        <v>524</v>
      </c>
      <c r="D434" s="1906" t="s">
        <v>541</v>
      </c>
      <c r="E434" s="1907" t="s">
        <v>259</v>
      </c>
      <c r="F434" s="1906">
        <v>280</v>
      </c>
      <c r="G434" s="1897">
        <v>0.46971428571428575</v>
      </c>
      <c r="H434" s="1897">
        <v>0.495</v>
      </c>
      <c r="I434" s="1897">
        <v>1.095</v>
      </c>
      <c r="J434" s="1897">
        <v>0.5862857142857143</v>
      </c>
      <c r="K434" s="1897">
        <v>0.56228571428571439</v>
      </c>
      <c r="L434" s="1897">
        <v>7.3714285714285718E-2</v>
      </c>
      <c r="M434" s="1897">
        <v>0.54700000000000004</v>
      </c>
    </row>
    <row r="435" spans="1:13" ht="15">
      <c r="A435" s="1894">
        <f t="shared" si="6"/>
        <v>428</v>
      </c>
      <c r="B435" s="1906" t="s">
        <v>3303</v>
      </c>
      <c r="C435" s="1907" t="s">
        <v>524</v>
      </c>
      <c r="D435" s="1906" t="s">
        <v>541</v>
      </c>
      <c r="E435" s="1907" t="s">
        <v>259</v>
      </c>
      <c r="F435" s="1906">
        <v>280</v>
      </c>
      <c r="G435" s="1897">
        <v>0.70857142857142863</v>
      </c>
      <c r="H435" s="1897">
        <v>0.63085714285714278</v>
      </c>
      <c r="I435" s="1897">
        <v>0.61657142857142855</v>
      </c>
      <c r="J435" s="1897">
        <v>0.79257142857142848</v>
      </c>
      <c r="K435" s="1897">
        <v>0.76514285714285712</v>
      </c>
      <c r="L435" s="1897">
        <v>0.71771428571428564</v>
      </c>
      <c r="M435" s="1897">
        <v>0.70523809523809522</v>
      </c>
    </row>
    <row r="436" spans="1:13" ht="15">
      <c r="A436" s="1894">
        <f t="shared" si="6"/>
        <v>429</v>
      </c>
      <c r="B436" s="1906" t="s">
        <v>3304</v>
      </c>
      <c r="C436" s="1907" t="s">
        <v>524</v>
      </c>
      <c r="D436" s="1906" t="s">
        <v>629</v>
      </c>
      <c r="E436" s="1907" t="s">
        <v>259</v>
      </c>
      <c r="F436" s="1906">
        <v>284.44</v>
      </c>
      <c r="G436" s="1897">
        <v>0.39544367880748138</v>
      </c>
      <c r="H436" s="1897">
        <v>0.39375615243988193</v>
      </c>
      <c r="I436" s="1897">
        <v>0.42525664463507246</v>
      </c>
      <c r="J436" s="1897">
        <v>0.37631837997468714</v>
      </c>
      <c r="K436" s="1897">
        <v>0.38025594149908593</v>
      </c>
      <c r="L436" s="1897">
        <v>0.35888060750949236</v>
      </c>
      <c r="M436" s="1897">
        <v>0.38831856747761684</v>
      </c>
    </row>
    <row r="437" spans="1:13" ht="15">
      <c r="A437" s="1894">
        <f t="shared" si="6"/>
        <v>430</v>
      </c>
      <c r="B437" s="1906" t="s">
        <v>3575</v>
      </c>
      <c r="C437" s="1907" t="s">
        <v>524</v>
      </c>
      <c r="D437" s="1906" t="s">
        <v>2966</v>
      </c>
      <c r="E437" s="1907" t="s">
        <v>259</v>
      </c>
      <c r="F437" s="1906">
        <v>289</v>
      </c>
      <c r="G437" s="1897">
        <v>1.162247191011236</v>
      </c>
      <c r="H437" s="1897">
        <v>0.78173010380622832</v>
      </c>
      <c r="I437" s="1897">
        <v>0.73190311418685128</v>
      </c>
      <c r="J437" s="1897">
        <v>0.85093425605536333</v>
      </c>
      <c r="K437" s="1897">
        <v>0.78560553633217989</v>
      </c>
      <c r="L437" s="1897">
        <v>0.19543252595155708</v>
      </c>
      <c r="M437" s="1897">
        <v>0.75130878789056943</v>
      </c>
    </row>
    <row r="438" spans="1:13" ht="15">
      <c r="A438" s="1894">
        <f t="shared" si="6"/>
        <v>431</v>
      </c>
      <c r="B438" s="1906" t="s">
        <v>3305</v>
      </c>
      <c r="C438" s="1907" t="s">
        <v>524</v>
      </c>
      <c r="D438" s="1906" t="s">
        <v>636</v>
      </c>
      <c r="E438" s="1907" t="s">
        <v>259</v>
      </c>
      <c r="F438" s="1906">
        <v>290</v>
      </c>
      <c r="G438" s="1897">
        <v>0.5321379310344827</v>
      </c>
      <c r="H438" s="1897">
        <v>0.6827586206896552</v>
      </c>
      <c r="I438" s="1897">
        <v>0.80606896551724139</v>
      </c>
      <c r="J438" s="1897">
        <v>0.70593103448275862</v>
      </c>
      <c r="K438" s="1897">
        <v>0.70262068965517244</v>
      </c>
      <c r="L438" s="1897">
        <v>0.68689655172413799</v>
      </c>
      <c r="M438" s="1897">
        <v>0.68606896551724139</v>
      </c>
    </row>
    <row r="439" spans="1:13" ht="15">
      <c r="A439" s="1894">
        <f t="shared" si="6"/>
        <v>432</v>
      </c>
      <c r="B439" s="1906" t="s">
        <v>2947</v>
      </c>
      <c r="C439" s="1907" t="s">
        <v>524</v>
      </c>
      <c r="D439" s="1906" t="s">
        <v>730</v>
      </c>
      <c r="E439" s="1907" t="s">
        <v>259</v>
      </c>
      <c r="F439" s="1906">
        <v>290</v>
      </c>
      <c r="G439" s="1897">
        <v>0.52551724137931033</v>
      </c>
      <c r="H439" s="1897">
        <v>0.52386206896551724</v>
      </c>
      <c r="I439" s="1897">
        <v>0.52137931034482754</v>
      </c>
      <c r="J439" s="1897">
        <v>0.50731034482758619</v>
      </c>
      <c r="K439" s="1897">
        <v>0.53627586206896549</v>
      </c>
      <c r="L439" s="1897">
        <v>0.57599999999999996</v>
      </c>
      <c r="M439" s="1897">
        <v>0.53172413793103446</v>
      </c>
    </row>
    <row r="440" spans="1:13" ht="15">
      <c r="A440" s="1894">
        <f t="shared" si="6"/>
        <v>433</v>
      </c>
      <c r="B440" s="1906" t="s">
        <v>3306</v>
      </c>
      <c r="C440" s="1907" t="s">
        <v>524</v>
      </c>
      <c r="D440" s="1906" t="s">
        <v>636</v>
      </c>
      <c r="E440" s="1907" t="s">
        <v>259</v>
      </c>
      <c r="F440" s="1906">
        <v>295</v>
      </c>
      <c r="G440" s="1897">
        <v>0.24894915254237288</v>
      </c>
      <c r="H440" s="1897">
        <v>0.26196610169491524</v>
      </c>
      <c r="I440" s="1897">
        <v>0.27010169491525426</v>
      </c>
      <c r="J440" s="1897">
        <v>0.23349152542372881</v>
      </c>
      <c r="K440" s="1897">
        <v>0.22047457627118641</v>
      </c>
      <c r="L440" s="1897">
        <v>0.18549152542372882</v>
      </c>
      <c r="M440" s="1897">
        <v>0.2367457627118644</v>
      </c>
    </row>
    <row r="441" spans="1:13" ht="15">
      <c r="A441" s="1894">
        <f t="shared" si="6"/>
        <v>434</v>
      </c>
      <c r="B441" s="1906" t="s">
        <v>3312</v>
      </c>
      <c r="C441" s="1907" t="s">
        <v>524</v>
      </c>
      <c r="D441" s="1906" t="s">
        <v>541</v>
      </c>
      <c r="E441" s="1907" t="s">
        <v>259</v>
      </c>
      <c r="F441" s="1906">
        <v>300</v>
      </c>
      <c r="G441" s="1897">
        <v>0.97600000000000009</v>
      </c>
      <c r="H441" s="1897">
        <v>0.95600000000000007</v>
      </c>
      <c r="I441" s="1897">
        <v>0.95866666666666678</v>
      </c>
      <c r="J441" s="1897">
        <v>0.93200000000000005</v>
      </c>
      <c r="K441" s="1897">
        <v>0.96133333333333326</v>
      </c>
      <c r="L441" s="1897">
        <v>0.95266666666666666</v>
      </c>
      <c r="M441" s="1897">
        <v>0.95611111111111124</v>
      </c>
    </row>
    <row r="442" spans="1:13" ht="15">
      <c r="A442" s="1894">
        <f t="shared" si="6"/>
        <v>435</v>
      </c>
      <c r="B442" s="1906" t="s">
        <v>3313</v>
      </c>
      <c r="C442" s="1907" t="s">
        <v>524</v>
      </c>
      <c r="D442" s="1906" t="s">
        <v>541</v>
      </c>
      <c r="E442" s="1907" t="s">
        <v>259</v>
      </c>
      <c r="F442" s="1906">
        <v>300</v>
      </c>
      <c r="G442" s="1897">
        <v>0.55520000000000003</v>
      </c>
      <c r="H442" s="1897">
        <v>0.53920000000000001</v>
      </c>
      <c r="I442" s="1897">
        <v>0.5829333333333333</v>
      </c>
      <c r="J442" s="1897">
        <v>0.77439999999999998</v>
      </c>
      <c r="K442" s="1897">
        <v>0.81066666666666665</v>
      </c>
      <c r="L442" s="1897">
        <v>0.60639999999999994</v>
      </c>
      <c r="M442" s="1897">
        <v>0.64479999999999993</v>
      </c>
    </row>
    <row r="443" spans="1:13" ht="15">
      <c r="A443" s="1894">
        <f t="shared" si="6"/>
        <v>436</v>
      </c>
      <c r="B443" s="1906" t="s">
        <v>3314</v>
      </c>
      <c r="C443" s="1907" t="s">
        <v>524</v>
      </c>
      <c r="D443" s="1906" t="s">
        <v>623</v>
      </c>
      <c r="E443" s="1907" t="s">
        <v>259</v>
      </c>
      <c r="F443" s="1906">
        <v>300</v>
      </c>
      <c r="G443" s="1897">
        <v>0.37226666666666669</v>
      </c>
      <c r="H443" s="1897">
        <v>0.60266666666666668</v>
      </c>
      <c r="I443" s="1897">
        <v>0.6213333333333334</v>
      </c>
      <c r="J443" s="1897">
        <v>0.59520000000000006</v>
      </c>
      <c r="K443" s="1897">
        <v>0.41493333333333332</v>
      </c>
      <c r="L443" s="1897">
        <v>0.25226666666666669</v>
      </c>
      <c r="M443" s="1897">
        <v>0.4764444444444445</v>
      </c>
    </row>
    <row r="444" spans="1:13" ht="15">
      <c r="A444" s="1894">
        <f t="shared" si="6"/>
        <v>437</v>
      </c>
      <c r="B444" s="1906" t="s">
        <v>3315</v>
      </c>
      <c r="C444" s="1907" t="s">
        <v>524</v>
      </c>
      <c r="D444" s="1906" t="s">
        <v>2966</v>
      </c>
      <c r="E444" s="1907" t="s">
        <v>259</v>
      </c>
      <c r="F444" s="1906">
        <v>300</v>
      </c>
      <c r="G444" s="1897">
        <v>0.4456</v>
      </c>
      <c r="H444" s="1897">
        <v>0.46239999999999998</v>
      </c>
      <c r="I444" s="1897">
        <v>0.31359999999999999</v>
      </c>
      <c r="J444" s="1897">
        <v>0.41760000000000003</v>
      </c>
      <c r="K444" s="1897">
        <v>0.34160000000000001</v>
      </c>
      <c r="L444" s="1897">
        <v>9.1999999999999998E-2</v>
      </c>
      <c r="M444" s="1897">
        <v>0.34546666666666664</v>
      </c>
    </row>
    <row r="445" spans="1:13" ht="15">
      <c r="A445" s="1894">
        <f t="shared" si="6"/>
        <v>438</v>
      </c>
      <c r="B445" s="1906" t="s">
        <v>3316</v>
      </c>
      <c r="C445" s="1907" t="s">
        <v>524</v>
      </c>
      <c r="D445" s="1906" t="s">
        <v>2966</v>
      </c>
      <c r="E445" s="1907" t="s">
        <v>259</v>
      </c>
      <c r="F445" s="1906">
        <v>300</v>
      </c>
      <c r="G445" s="1897">
        <v>0.44213333333333338</v>
      </c>
      <c r="H445" s="1897">
        <v>0.45600000000000002</v>
      </c>
      <c r="I445" s="1897">
        <v>0.54613333333333336</v>
      </c>
      <c r="J445" s="1897">
        <v>0.49866666666666665</v>
      </c>
      <c r="K445" s="1897">
        <v>0.73120000000000007</v>
      </c>
      <c r="L445" s="1897">
        <v>0.79146666666666665</v>
      </c>
      <c r="M445" s="1897">
        <v>0.5776</v>
      </c>
    </row>
    <row r="446" spans="1:13" ht="15">
      <c r="A446" s="1894">
        <f t="shared" si="6"/>
        <v>439</v>
      </c>
      <c r="B446" s="1906" t="s">
        <v>3317</v>
      </c>
      <c r="C446" s="1907" t="s">
        <v>524</v>
      </c>
      <c r="D446" s="1906" t="s">
        <v>541</v>
      </c>
      <c r="E446" s="1907" t="s">
        <v>259</v>
      </c>
      <c r="F446" s="1906">
        <v>300</v>
      </c>
      <c r="G446" s="1897">
        <v>0.80800000000000005</v>
      </c>
      <c r="H446" s="1897">
        <v>0.8893333333333332</v>
      </c>
      <c r="I446" s="1897">
        <v>0.88133333333333341</v>
      </c>
      <c r="J446" s="1897">
        <v>0.80133333333333334</v>
      </c>
      <c r="K446" s="1897">
        <v>0.74533333333333329</v>
      </c>
      <c r="L446" s="1897">
        <v>0.76133333333333331</v>
      </c>
      <c r="M446" s="1897">
        <v>0.81444444444444442</v>
      </c>
    </row>
    <row r="447" spans="1:13" ht="15">
      <c r="A447" s="1894">
        <f t="shared" si="6"/>
        <v>440</v>
      </c>
      <c r="B447" s="1906" t="s">
        <v>3320</v>
      </c>
      <c r="C447" s="1907" t="s">
        <v>524</v>
      </c>
      <c r="D447" s="1906" t="s">
        <v>541</v>
      </c>
      <c r="E447" s="1907" t="s">
        <v>259</v>
      </c>
      <c r="F447" s="1906">
        <v>300</v>
      </c>
      <c r="G447" s="1897">
        <v>0.64880000000000004</v>
      </c>
      <c r="H447" s="1897">
        <v>0.59599999999999997</v>
      </c>
      <c r="I447" s="1897">
        <v>0.60560000000000003</v>
      </c>
      <c r="J447" s="1897">
        <v>0.62960000000000005</v>
      </c>
      <c r="K447" s="1897">
        <v>0.71519999999999995</v>
      </c>
      <c r="L447" s="1897">
        <v>0.74639999999999995</v>
      </c>
      <c r="M447" s="1897">
        <v>0.65693333333333326</v>
      </c>
    </row>
    <row r="448" spans="1:13" ht="15">
      <c r="A448" s="1894">
        <f t="shared" si="6"/>
        <v>441</v>
      </c>
      <c r="B448" s="1906" t="s">
        <v>3318</v>
      </c>
      <c r="C448" s="1907" t="s">
        <v>524</v>
      </c>
      <c r="D448" s="1906" t="s">
        <v>2966</v>
      </c>
      <c r="E448" s="1907" t="s">
        <v>259</v>
      </c>
      <c r="F448" s="1906">
        <v>300</v>
      </c>
      <c r="G448" s="1897">
        <v>0.64213333333333333</v>
      </c>
      <c r="H448" s="1897">
        <v>0.63146666666666662</v>
      </c>
      <c r="I448" s="1897">
        <v>0.72746666666666659</v>
      </c>
      <c r="J448" s="1897">
        <v>0.67093333333333338</v>
      </c>
      <c r="K448" s="1897">
        <v>0.70079999999999998</v>
      </c>
      <c r="L448" s="1897">
        <v>0.66239999999999999</v>
      </c>
      <c r="M448" s="1897">
        <v>0.67253333333333332</v>
      </c>
    </row>
    <row r="449" spans="1:13" ht="15">
      <c r="A449" s="1894">
        <f t="shared" si="6"/>
        <v>442</v>
      </c>
      <c r="B449" s="1906" t="s">
        <v>3307</v>
      </c>
      <c r="C449" s="1907" t="s">
        <v>524</v>
      </c>
      <c r="D449" s="1906" t="s">
        <v>541</v>
      </c>
      <c r="E449" s="1907" t="s">
        <v>259</v>
      </c>
      <c r="F449" s="1906">
        <v>300</v>
      </c>
      <c r="G449" s="1897">
        <v>0.85439999999999994</v>
      </c>
      <c r="H449" s="1897">
        <v>0.84960000000000002</v>
      </c>
      <c r="I449" s="1897">
        <v>0.85040000000000004</v>
      </c>
      <c r="J449" s="1897">
        <v>0.87360000000000015</v>
      </c>
      <c r="K449" s="1897">
        <v>0.69359999999999999</v>
      </c>
      <c r="L449" s="1897">
        <v>0.76160000000000005</v>
      </c>
      <c r="M449" s="1897">
        <v>0.81386666666666674</v>
      </c>
    </row>
    <row r="450" spans="1:13" ht="15">
      <c r="A450" s="1894">
        <f t="shared" si="6"/>
        <v>443</v>
      </c>
      <c r="B450" s="1906" t="s">
        <v>3308</v>
      </c>
      <c r="C450" s="1907" t="s">
        <v>524</v>
      </c>
      <c r="D450" s="1906" t="s">
        <v>636</v>
      </c>
      <c r="E450" s="1907" t="s">
        <v>259</v>
      </c>
      <c r="F450" s="1906">
        <v>300</v>
      </c>
      <c r="G450" s="1897">
        <v>3.546666666666666E-2</v>
      </c>
      <c r="H450" s="1897">
        <v>0.12613333333333335</v>
      </c>
      <c r="I450" s="1897">
        <v>0.1336</v>
      </c>
      <c r="J450" s="1897">
        <v>8.6933333333333321E-2</v>
      </c>
      <c r="K450" s="1897">
        <v>0.10213333333333334</v>
      </c>
      <c r="L450" s="1897">
        <v>2.7200000000000002E-2</v>
      </c>
      <c r="M450" s="1897">
        <v>8.5244444444444456E-2</v>
      </c>
    </row>
    <row r="451" spans="1:13" ht="15">
      <c r="A451" s="1894">
        <f t="shared" si="6"/>
        <v>444</v>
      </c>
      <c r="B451" s="1906" t="s">
        <v>3319</v>
      </c>
      <c r="C451" s="1907" t="s">
        <v>524</v>
      </c>
      <c r="D451" s="1906" t="s">
        <v>541</v>
      </c>
      <c r="E451" s="1907" t="s">
        <v>259</v>
      </c>
      <c r="F451" s="1906">
        <v>300</v>
      </c>
      <c r="G451" s="1897">
        <v>0.97280000000000011</v>
      </c>
      <c r="H451" s="1897">
        <v>0.87626666666666664</v>
      </c>
      <c r="I451" s="1897">
        <v>0.8474666666666667</v>
      </c>
      <c r="J451" s="1897">
        <v>0.84266666666666667</v>
      </c>
      <c r="K451" s="1897">
        <v>0.88106666666666689</v>
      </c>
      <c r="L451" s="1897">
        <v>0.9317333333333333</v>
      </c>
      <c r="M451" s="1897">
        <v>0.89200000000000002</v>
      </c>
    </row>
    <row r="452" spans="1:13" ht="15">
      <c r="A452" s="1894">
        <f t="shared" si="6"/>
        <v>445</v>
      </c>
      <c r="B452" s="1906" t="s">
        <v>3310</v>
      </c>
      <c r="C452" s="1907" t="s">
        <v>524</v>
      </c>
      <c r="D452" s="1906" t="s">
        <v>636</v>
      </c>
      <c r="E452" s="1907" t="s">
        <v>259</v>
      </c>
      <c r="F452" s="1906">
        <v>300</v>
      </c>
      <c r="G452" s="1897">
        <v>0.89039999999999997</v>
      </c>
      <c r="H452" s="1897">
        <v>1.0304</v>
      </c>
      <c r="I452" s="1897">
        <v>0.91679999999999984</v>
      </c>
      <c r="J452" s="1897">
        <v>0.86</v>
      </c>
      <c r="K452" s="1897">
        <v>0.81599999999999995</v>
      </c>
      <c r="L452" s="1897">
        <v>0.91039999999999999</v>
      </c>
      <c r="M452" s="1897">
        <v>0.90399999999999991</v>
      </c>
    </row>
    <row r="453" spans="1:13" ht="15">
      <c r="A453" s="1894">
        <f t="shared" si="6"/>
        <v>446</v>
      </c>
      <c r="B453" s="1906" t="s">
        <v>3311</v>
      </c>
      <c r="C453" s="1907" t="s">
        <v>524</v>
      </c>
      <c r="D453" s="1906" t="s">
        <v>541</v>
      </c>
      <c r="E453" s="1907" t="s">
        <v>259</v>
      </c>
      <c r="F453" s="1906">
        <v>300</v>
      </c>
      <c r="G453" s="1897">
        <v>0.81040000000000001</v>
      </c>
      <c r="H453" s="1897">
        <v>0.81679999999999997</v>
      </c>
      <c r="I453" s="1897">
        <v>0.81359999999999999</v>
      </c>
      <c r="J453" s="1897">
        <v>0.80559999999999998</v>
      </c>
      <c r="K453" s="1897">
        <v>0.85199999999999998</v>
      </c>
      <c r="L453" s="1897">
        <v>0.85760000000000014</v>
      </c>
      <c r="M453" s="1897">
        <v>0.82599999999999996</v>
      </c>
    </row>
    <row r="454" spans="1:13" ht="15">
      <c r="A454" s="1894">
        <f t="shared" si="6"/>
        <v>447</v>
      </c>
      <c r="B454" s="1906" t="s">
        <v>3322</v>
      </c>
      <c r="C454" s="1907" t="s">
        <v>524</v>
      </c>
      <c r="D454" s="1906" t="s">
        <v>636</v>
      </c>
      <c r="E454" s="1907" t="s">
        <v>259</v>
      </c>
      <c r="F454" s="1906">
        <v>300</v>
      </c>
      <c r="G454" s="1897">
        <v>0.1888</v>
      </c>
      <c r="H454" s="1897">
        <v>0.14080000000000001</v>
      </c>
      <c r="I454" s="1897">
        <v>0.63200000000000001</v>
      </c>
      <c r="J454" s="1897">
        <v>0.62719999999999998</v>
      </c>
      <c r="K454" s="1897">
        <v>0.64319999999999999</v>
      </c>
      <c r="L454" s="1897">
        <v>0.31840000000000002</v>
      </c>
      <c r="M454" s="1897">
        <v>0.4250666666666667</v>
      </c>
    </row>
    <row r="455" spans="1:13" ht="15">
      <c r="A455" s="1894">
        <f t="shared" si="6"/>
        <v>448</v>
      </c>
      <c r="B455" s="1906" t="s">
        <v>3309</v>
      </c>
      <c r="C455" s="1907" t="s">
        <v>524</v>
      </c>
      <c r="D455" s="1906" t="s">
        <v>541</v>
      </c>
      <c r="E455" s="1907" t="s">
        <v>259</v>
      </c>
      <c r="F455" s="1906">
        <v>300</v>
      </c>
      <c r="G455" s="1897">
        <v>0.70240000000000002</v>
      </c>
      <c r="H455" s="1897">
        <v>0.54239999999999999</v>
      </c>
      <c r="I455" s="1897">
        <v>0.1032</v>
      </c>
      <c r="J455" s="1897">
        <v>0.4304</v>
      </c>
      <c r="K455" s="1897">
        <v>0.65759999999999996</v>
      </c>
      <c r="L455" s="1897">
        <v>0.76400000000000001</v>
      </c>
      <c r="M455" s="1897">
        <v>0.53333333333333333</v>
      </c>
    </row>
    <row r="456" spans="1:13" ht="15">
      <c r="A456" s="1894">
        <f t="shared" si="6"/>
        <v>449</v>
      </c>
      <c r="B456" s="1906" t="s">
        <v>3324</v>
      </c>
      <c r="C456" s="1907" t="s">
        <v>524</v>
      </c>
      <c r="D456" s="1906" t="s">
        <v>541</v>
      </c>
      <c r="E456" s="1907" t="s">
        <v>259</v>
      </c>
      <c r="F456" s="1906">
        <v>300</v>
      </c>
      <c r="G456" s="1897">
        <v>0.65546666666666664</v>
      </c>
      <c r="H456" s="1897">
        <v>0.64586666666666659</v>
      </c>
      <c r="I456" s="1897">
        <v>0.62239999999999995</v>
      </c>
      <c r="J456" s="1897">
        <v>0.62400000000000011</v>
      </c>
      <c r="K456" s="1897">
        <v>0.67093333333333338</v>
      </c>
      <c r="L456" s="1897">
        <v>0.66026666666666667</v>
      </c>
      <c r="M456" s="1897">
        <v>0.64648888888888889</v>
      </c>
    </row>
    <row r="457" spans="1:13" ht="15">
      <c r="A457" s="1894">
        <f t="shared" si="6"/>
        <v>450</v>
      </c>
      <c r="B457" s="1906" t="s">
        <v>3325</v>
      </c>
      <c r="C457" s="1907" t="s">
        <v>2930</v>
      </c>
      <c r="D457" s="1906" t="s">
        <v>541</v>
      </c>
      <c r="E457" s="1907" t="s">
        <v>259</v>
      </c>
      <c r="F457" s="1906">
        <v>300</v>
      </c>
      <c r="G457" s="1897">
        <v>0</v>
      </c>
      <c r="H457" s="1897">
        <v>0</v>
      </c>
      <c r="I457" s="1897">
        <v>0</v>
      </c>
      <c r="J457" s="1897">
        <v>0</v>
      </c>
      <c r="K457" s="1897">
        <v>0</v>
      </c>
      <c r="L457" s="1897">
        <v>0</v>
      </c>
      <c r="M457" s="1897">
        <v>0</v>
      </c>
    </row>
    <row r="458" spans="1:13" ht="15">
      <c r="A458" s="1894">
        <f t="shared" ref="A458:A521" si="7">+A457+1</f>
        <v>451</v>
      </c>
      <c r="B458" s="1906" t="s">
        <v>3326</v>
      </c>
      <c r="C458" s="1907" t="s">
        <v>2930</v>
      </c>
      <c r="D458" s="1906" t="s">
        <v>541</v>
      </c>
      <c r="E458" s="1907" t="s">
        <v>259</v>
      </c>
      <c r="F458" s="1906">
        <v>300</v>
      </c>
      <c r="G458" s="1897">
        <v>0</v>
      </c>
      <c r="H458" s="1897">
        <v>0</v>
      </c>
      <c r="I458" s="1897">
        <v>0</v>
      </c>
      <c r="J458" s="1897">
        <v>0</v>
      </c>
      <c r="K458" s="1897">
        <v>0</v>
      </c>
      <c r="L458" s="1897">
        <v>0</v>
      </c>
      <c r="M458" s="1897">
        <v>0</v>
      </c>
    </row>
    <row r="459" spans="1:13" ht="15">
      <c r="A459" s="1894">
        <f t="shared" si="7"/>
        <v>452</v>
      </c>
      <c r="B459" s="1906" t="s">
        <v>3323</v>
      </c>
      <c r="C459" s="1907" t="s">
        <v>524</v>
      </c>
      <c r="D459" s="1906" t="s">
        <v>541</v>
      </c>
      <c r="E459" s="1907" t="s">
        <v>259</v>
      </c>
      <c r="F459" s="1906">
        <v>300</v>
      </c>
      <c r="G459" s="1897">
        <v>0.63519999999999999</v>
      </c>
      <c r="H459" s="1897">
        <v>0.64400000000000002</v>
      </c>
      <c r="I459" s="1897">
        <v>0.65480000000000005</v>
      </c>
      <c r="J459" s="1897">
        <v>0.68479999999999996</v>
      </c>
      <c r="K459" s="1897">
        <v>0.60719999999999996</v>
      </c>
      <c r="L459" s="1897">
        <v>0.65639999999999998</v>
      </c>
      <c r="M459" s="1897">
        <v>0.64706666666666668</v>
      </c>
    </row>
    <row r="460" spans="1:13" ht="15">
      <c r="A460" s="1894">
        <f t="shared" si="7"/>
        <v>453</v>
      </c>
      <c r="B460" s="1906" t="s">
        <v>3327</v>
      </c>
      <c r="C460" s="1907" t="s">
        <v>524</v>
      </c>
      <c r="D460" s="1906" t="s">
        <v>541</v>
      </c>
      <c r="E460" s="1907" t="s">
        <v>259</v>
      </c>
      <c r="F460" s="1906">
        <v>301</v>
      </c>
      <c r="G460" s="1897">
        <v>0.97833887043189371</v>
      </c>
      <c r="H460" s="1897">
        <v>0.84119601328903648</v>
      </c>
      <c r="I460" s="1897">
        <v>0.7662458471760798</v>
      </c>
      <c r="J460" s="1897">
        <v>0.98312292358803988</v>
      </c>
      <c r="K460" s="1897">
        <v>0.7447176079734219</v>
      </c>
      <c r="L460" s="1897">
        <v>0.81807308970099657</v>
      </c>
      <c r="M460" s="1897">
        <v>0.85528239202657819</v>
      </c>
    </row>
    <row r="461" spans="1:13" ht="15">
      <c r="A461" s="1894">
        <f t="shared" si="7"/>
        <v>454</v>
      </c>
      <c r="B461" s="1906" t="s">
        <v>3328</v>
      </c>
      <c r="C461" s="1907" t="s">
        <v>524</v>
      </c>
      <c r="D461" s="1906" t="s">
        <v>737</v>
      </c>
      <c r="E461" s="1907" t="s">
        <v>259</v>
      </c>
      <c r="F461" s="1906">
        <v>303</v>
      </c>
      <c r="G461" s="1897">
        <v>7.2343234323432343E-2</v>
      </c>
      <c r="H461" s="1897">
        <v>8.7128712871287137E-2</v>
      </c>
      <c r="I461" s="1897">
        <v>9.4521452145214527E-2</v>
      </c>
      <c r="J461" s="1897">
        <v>8.0792079207920794E-2</v>
      </c>
      <c r="K461" s="1897">
        <v>7.9207920792079209E-2</v>
      </c>
      <c r="L461" s="1897">
        <v>9.0297029702970294E-2</v>
      </c>
      <c r="M461" s="1897">
        <v>8.4048404840484051E-2</v>
      </c>
    </row>
    <row r="462" spans="1:13" ht="15">
      <c r="A462" s="1894">
        <f t="shared" si="7"/>
        <v>455</v>
      </c>
      <c r="B462" s="1906" t="s">
        <v>3329</v>
      </c>
      <c r="C462" s="1907" t="s">
        <v>524</v>
      </c>
      <c r="D462" s="1906" t="s">
        <v>623</v>
      </c>
      <c r="E462" s="1907" t="s">
        <v>259</v>
      </c>
      <c r="F462" s="1906">
        <v>304</v>
      </c>
      <c r="G462" s="1897">
        <v>0.39631578947368423</v>
      </c>
      <c r="H462" s="1897">
        <v>0.44605263157894737</v>
      </c>
      <c r="I462" s="1897">
        <v>0.41052631578947368</v>
      </c>
      <c r="J462" s="1897">
        <v>3.4210526315789475E-3</v>
      </c>
      <c r="K462" s="1897">
        <v>0.39567105263157892</v>
      </c>
      <c r="L462" s="1897">
        <v>0.32999999999999996</v>
      </c>
      <c r="M462" s="1897">
        <v>0.33033114035087724</v>
      </c>
    </row>
    <row r="463" spans="1:13" ht="15">
      <c r="A463" s="1894">
        <f t="shared" si="7"/>
        <v>456</v>
      </c>
      <c r="B463" s="1906" t="s">
        <v>3187</v>
      </c>
      <c r="C463" s="1907" t="s">
        <v>524</v>
      </c>
      <c r="D463" s="1906" t="s">
        <v>737</v>
      </c>
      <c r="E463" s="1907" t="s">
        <v>259</v>
      </c>
      <c r="F463" s="1906">
        <v>305</v>
      </c>
      <c r="G463" s="1897">
        <v>0.11905000000000002</v>
      </c>
      <c r="H463" s="1897">
        <v>8.9704918032786879E-2</v>
      </c>
      <c r="I463" s="1897">
        <v>0.17390163934426231</v>
      </c>
      <c r="J463" s="1897">
        <v>0.10229508196721311</v>
      </c>
      <c r="K463" s="1897">
        <v>0.11095081967213113</v>
      </c>
      <c r="L463" s="1897">
        <v>0.14872131147540985</v>
      </c>
      <c r="M463" s="1897">
        <v>0.12410396174863388</v>
      </c>
    </row>
    <row r="464" spans="1:13" ht="15">
      <c r="A464" s="1894">
        <f t="shared" si="7"/>
        <v>457</v>
      </c>
      <c r="B464" s="1906" t="s">
        <v>3330</v>
      </c>
      <c r="C464" s="1907" t="s">
        <v>524</v>
      </c>
      <c r="D464" s="1906" t="s">
        <v>623</v>
      </c>
      <c r="E464" s="1907" t="s">
        <v>259</v>
      </c>
      <c r="F464" s="1906">
        <v>306</v>
      </c>
      <c r="G464" s="1897">
        <v>1.0875816993464054</v>
      </c>
      <c r="H464" s="1897">
        <v>1.1333333333333333</v>
      </c>
      <c r="I464" s="1897">
        <v>1.0679738562091501</v>
      </c>
      <c r="J464" s="1897">
        <v>1.1320261437908496</v>
      </c>
      <c r="K464" s="1897">
        <v>1.1124183006535946</v>
      </c>
      <c r="L464" s="1897">
        <v>1.1490196078431374</v>
      </c>
      <c r="M464" s="1897">
        <v>1.1137254901960785</v>
      </c>
    </row>
    <row r="465" spans="1:13" ht="15">
      <c r="A465" s="1894">
        <f t="shared" si="7"/>
        <v>458</v>
      </c>
      <c r="B465" s="1906" t="s">
        <v>3331</v>
      </c>
      <c r="C465" s="1907" t="s">
        <v>524</v>
      </c>
      <c r="D465" s="1906" t="s">
        <v>541</v>
      </c>
      <c r="E465" s="1907" t="s">
        <v>259</v>
      </c>
      <c r="F465" s="1906">
        <v>314</v>
      </c>
      <c r="G465" s="1897">
        <v>1.1098089171974523</v>
      </c>
      <c r="H465" s="1897">
        <v>1.0555414012738853</v>
      </c>
      <c r="I465" s="1897">
        <v>1.0326114649681528</v>
      </c>
      <c r="J465" s="1897">
        <v>0.93171974522293</v>
      </c>
      <c r="K465" s="1897">
        <v>0.88280254777070055</v>
      </c>
      <c r="L465" s="1897">
        <v>0.11923566878980892</v>
      </c>
      <c r="M465" s="1897">
        <v>0.85528662420382162</v>
      </c>
    </row>
    <row r="466" spans="1:13" ht="15">
      <c r="A466" s="1894">
        <f t="shared" si="7"/>
        <v>459</v>
      </c>
      <c r="B466" s="1906" t="s">
        <v>3576</v>
      </c>
      <c r="C466" s="1907" t="s">
        <v>524</v>
      </c>
      <c r="D466" s="1906" t="s">
        <v>541</v>
      </c>
      <c r="E466" s="1907" t="s">
        <v>259</v>
      </c>
      <c r="F466" s="1906">
        <v>315</v>
      </c>
      <c r="G466" s="1897">
        <v>0.6677333333333334</v>
      </c>
      <c r="H466" s="1897">
        <v>0.90857142857142859</v>
      </c>
      <c r="I466" s="1897">
        <v>0.67504761904761901</v>
      </c>
      <c r="J466" s="1897">
        <v>0.64914285714285713</v>
      </c>
      <c r="K466" s="1897">
        <v>0.64533333333333331</v>
      </c>
      <c r="L466" s="1897">
        <v>0.58361904761904759</v>
      </c>
      <c r="M466" s="1897">
        <v>0.68824126984126988</v>
      </c>
    </row>
    <row r="467" spans="1:13" ht="15">
      <c r="A467" s="1894">
        <f t="shared" si="7"/>
        <v>460</v>
      </c>
      <c r="B467" s="1906" t="s">
        <v>3332</v>
      </c>
      <c r="C467" s="1907" t="s">
        <v>524</v>
      </c>
      <c r="D467" s="1906" t="s">
        <v>636</v>
      </c>
      <c r="E467" s="1907" t="s">
        <v>259</v>
      </c>
      <c r="F467" s="1906">
        <v>317</v>
      </c>
      <c r="G467" s="1897">
        <v>0.3535646687697161</v>
      </c>
      <c r="H467" s="1897">
        <v>0.41640378548895901</v>
      </c>
      <c r="I467" s="1897">
        <v>0.47470031545741331</v>
      </c>
      <c r="J467" s="1897">
        <v>0.48151419558359626</v>
      </c>
      <c r="K467" s="1897">
        <v>0.46334384858044164</v>
      </c>
      <c r="L467" s="1897">
        <v>0.50952681388012622</v>
      </c>
      <c r="M467" s="1897">
        <v>0.4498422712933754</v>
      </c>
    </row>
    <row r="468" spans="1:13" ht="15">
      <c r="A468" s="1894">
        <f t="shared" si="7"/>
        <v>461</v>
      </c>
      <c r="B468" s="1906" t="s">
        <v>3333</v>
      </c>
      <c r="C468" s="1907" t="s">
        <v>524</v>
      </c>
      <c r="D468" s="1906" t="s">
        <v>541</v>
      </c>
      <c r="E468" s="1907" t="s">
        <v>259</v>
      </c>
      <c r="F468" s="1906">
        <v>317</v>
      </c>
      <c r="G468" s="1897">
        <v>0.68365930599369085</v>
      </c>
      <c r="H468" s="1897">
        <v>0.60340694006309137</v>
      </c>
      <c r="I468" s="1897">
        <v>0.57236593059936913</v>
      </c>
      <c r="J468" s="1897">
        <v>0.5504100946372239</v>
      </c>
      <c r="K468" s="1897">
        <v>0.71621451104100953</v>
      </c>
      <c r="L468" s="1897">
        <v>0.67911671924290218</v>
      </c>
      <c r="M468" s="1897">
        <v>0.63419558359621453</v>
      </c>
    </row>
    <row r="469" spans="1:13" ht="15">
      <c r="A469" s="1894">
        <f t="shared" si="7"/>
        <v>462</v>
      </c>
      <c r="B469" s="1906" t="s">
        <v>3334</v>
      </c>
      <c r="C469" s="1907" t="s">
        <v>524</v>
      </c>
      <c r="D469" s="1906" t="s">
        <v>737</v>
      </c>
      <c r="E469" s="1907" t="s">
        <v>259</v>
      </c>
      <c r="F469" s="1906">
        <v>322</v>
      </c>
      <c r="G469" s="1897">
        <v>0.33093167701863357</v>
      </c>
      <c r="H469" s="1897">
        <v>0.33540372670807456</v>
      </c>
      <c r="I469" s="1897">
        <v>0.32273291925465841</v>
      </c>
      <c r="J469" s="1897">
        <v>0.34881987577639756</v>
      </c>
      <c r="K469" s="1897">
        <v>0.33614906832298141</v>
      </c>
      <c r="L469" s="1897">
        <v>0.34658385093167698</v>
      </c>
      <c r="M469" s="1897">
        <v>0.33677018633540379</v>
      </c>
    </row>
    <row r="470" spans="1:13" ht="15">
      <c r="A470" s="1894">
        <f t="shared" si="7"/>
        <v>463</v>
      </c>
      <c r="B470" s="1906" t="s">
        <v>3577</v>
      </c>
      <c r="C470" s="1907" t="s">
        <v>524</v>
      </c>
      <c r="D470" s="1906" t="s">
        <v>541</v>
      </c>
      <c r="E470" s="1907" t="s">
        <v>259</v>
      </c>
      <c r="F470" s="1906">
        <v>328</v>
      </c>
      <c r="G470" s="1897">
        <v>0.60682926829268291</v>
      </c>
      <c r="H470" s="1897">
        <v>0.69268292682926824</v>
      </c>
      <c r="I470" s="1897">
        <v>0.60390243902439023</v>
      </c>
      <c r="J470" s="1897">
        <v>0.65609756097560978</v>
      </c>
      <c r="K470" s="1897">
        <v>0.59170731707317081</v>
      </c>
      <c r="L470" s="1897">
        <v>0.49268292682926834</v>
      </c>
      <c r="M470" s="1897">
        <v>0.60731707317073169</v>
      </c>
    </row>
    <row r="471" spans="1:13" ht="15">
      <c r="A471" s="1894">
        <f t="shared" si="7"/>
        <v>464</v>
      </c>
      <c r="B471" s="1906" t="s">
        <v>3336</v>
      </c>
      <c r="C471" s="1907" t="s">
        <v>524</v>
      </c>
      <c r="D471" s="1906" t="s">
        <v>541</v>
      </c>
      <c r="E471" s="1907" t="s">
        <v>259</v>
      </c>
      <c r="F471" s="1906">
        <v>328</v>
      </c>
      <c r="G471" s="1897">
        <v>0.50536585365853659</v>
      </c>
      <c r="H471" s="1897">
        <v>1.0775609756097562</v>
      </c>
      <c r="I471" s="1897">
        <v>1.0790243902439025</v>
      </c>
      <c r="J471" s="1897">
        <v>0.9385365853658536</v>
      </c>
      <c r="K471" s="1897">
        <v>0.49609756097560975</v>
      </c>
      <c r="L471" s="1897">
        <v>0.40487804878048783</v>
      </c>
      <c r="M471" s="1897">
        <v>0.7502439024390245</v>
      </c>
    </row>
    <row r="472" spans="1:13" ht="15">
      <c r="A472" s="1894">
        <f t="shared" si="7"/>
        <v>465</v>
      </c>
      <c r="B472" s="1906" t="s">
        <v>3578</v>
      </c>
      <c r="C472" s="1907" t="s">
        <v>524</v>
      </c>
      <c r="D472" s="1906" t="s">
        <v>541</v>
      </c>
      <c r="E472" s="1907" t="s">
        <v>259</v>
      </c>
      <c r="F472" s="1906">
        <v>328</v>
      </c>
      <c r="G472" s="1897">
        <v>0</v>
      </c>
      <c r="H472" s="1897">
        <v>0</v>
      </c>
      <c r="I472" s="1897">
        <v>0.10914634146341462</v>
      </c>
      <c r="J472" s="1897">
        <v>0.6668536585365854</v>
      </c>
      <c r="K472" s="1897">
        <v>0.55607317073170726</v>
      </c>
      <c r="L472" s="1897">
        <v>0.56779268292682927</v>
      </c>
      <c r="M472" s="1897">
        <v>0.31664430894308943</v>
      </c>
    </row>
    <row r="473" spans="1:13" ht="15">
      <c r="A473" s="1894">
        <f t="shared" si="7"/>
        <v>466</v>
      </c>
      <c r="B473" s="1906" t="s">
        <v>3337</v>
      </c>
      <c r="C473" s="1907" t="s">
        <v>524</v>
      </c>
      <c r="D473" s="1906" t="s">
        <v>2966</v>
      </c>
      <c r="E473" s="1907" t="s">
        <v>259</v>
      </c>
      <c r="F473" s="1906">
        <v>329</v>
      </c>
      <c r="G473" s="1897">
        <v>0.51501519756838909</v>
      </c>
      <c r="H473" s="1897">
        <v>0.62930091185410331</v>
      </c>
      <c r="I473" s="1897">
        <v>0.81118541033434655</v>
      </c>
      <c r="J473" s="1897">
        <v>0.89677811550151987</v>
      </c>
      <c r="K473" s="1897">
        <v>0.85155015197568396</v>
      </c>
      <c r="L473" s="1897">
        <v>0.85495440729483296</v>
      </c>
      <c r="M473" s="1897">
        <v>0.7597973657548126</v>
      </c>
    </row>
    <row r="474" spans="1:13" ht="15">
      <c r="A474" s="1894">
        <f t="shared" si="7"/>
        <v>467</v>
      </c>
      <c r="B474" s="1906" t="s">
        <v>3579</v>
      </c>
      <c r="C474" s="1907" t="s">
        <v>524</v>
      </c>
      <c r="D474" s="1906" t="s">
        <v>636</v>
      </c>
      <c r="E474" s="1907" t="s">
        <v>259</v>
      </c>
      <c r="F474" s="1906">
        <v>330</v>
      </c>
      <c r="G474" s="1897">
        <v>0.79103999999999997</v>
      </c>
      <c r="H474" s="1897">
        <v>1.0752000000000002</v>
      </c>
      <c r="I474" s="1897">
        <v>1.2028799999999999</v>
      </c>
      <c r="J474" s="1897">
        <v>0.84864000000000006</v>
      </c>
      <c r="K474" s="1897">
        <v>0.71127272727272728</v>
      </c>
      <c r="L474" s="1897">
        <v>0.63636363636363635</v>
      </c>
      <c r="M474" s="1897">
        <v>0.87756606060606057</v>
      </c>
    </row>
    <row r="475" spans="1:13" ht="15">
      <c r="A475" s="1894">
        <f t="shared" si="7"/>
        <v>468</v>
      </c>
      <c r="B475" s="1906" t="s">
        <v>3338</v>
      </c>
      <c r="C475" s="1907" t="s">
        <v>524</v>
      </c>
      <c r="D475" s="1906" t="s">
        <v>641</v>
      </c>
      <c r="E475" s="1907" t="s">
        <v>259</v>
      </c>
      <c r="F475" s="1906">
        <v>330</v>
      </c>
      <c r="G475" s="1897">
        <v>0.14763636363636362</v>
      </c>
      <c r="H475" s="1897">
        <v>0.15757575757575756</v>
      </c>
      <c r="I475" s="1897">
        <v>0.14593939393939392</v>
      </c>
      <c r="J475" s="1897">
        <v>1.1636363636363636</v>
      </c>
      <c r="K475" s="1897">
        <v>0.15757575757575756</v>
      </c>
      <c r="L475" s="1897">
        <v>0.14348484848484849</v>
      </c>
      <c r="M475" s="1897">
        <v>0.31930808080808076</v>
      </c>
    </row>
    <row r="476" spans="1:13" ht="15">
      <c r="A476" s="1894">
        <f t="shared" si="7"/>
        <v>469</v>
      </c>
      <c r="B476" s="1906" t="s">
        <v>3580</v>
      </c>
      <c r="C476" s="1907" t="s">
        <v>524</v>
      </c>
      <c r="D476" s="1906" t="s">
        <v>541</v>
      </c>
      <c r="E476" s="1907" t="s">
        <v>259</v>
      </c>
      <c r="F476" s="1906">
        <v>332</v>
      </c>
      <c r="G476" s="1897">
        <v>0</v>
      </c>
      <c r="H476" s="1897">
        <v>0</v>
      </c>
      <c r="I476" s="1897">
        <v>0</v>
      </c>
      <c r="J476" s="1897">
        <v>0</v>
      </c>
      <c r="K476" s="1897">
        <v>0</v>
      </c>
      <c r="L476" s="1897">
        <v>0</v>
      </c>
      <c r="M476" s="1897">
        <v>0</v>
      </c>
    </row>
    <row r="477" spans="1:13" ht="15">
      <c r="A477" s="1894">
        <f t="shared" si="7"/>
        <v>470</v>
      </c>
      <c r="B477" s="1906" t="s">
        <v>3339</v>
      </c>
      <c r="C477" s="1907" t="s">
        <v>524</v>
      </c>
      <c r="D477" s="1906" t="s">
        <v>541</v>
      </c>
      <c r="E477" s="1907" t="s">
        <v>259</v>
      </c>
      <c r="F477" s="1906">
        <v>332</v>
      </c>
      <c r="G477" s="1897">
        <v>0.79662650602409646</v>
      </c>
      <c r="H477" s="1897">
        <v>0.12530120481927712</v>
      </c>
      <c r="I477" s="1897">
        <v>2.457831325301205E-2</v>
      </c>
      <c r="J477" s="1897">
        <v>1.8313253012048194E-2</v>
      </c>
      <c r="K477" s="1897">
        <v>3.9518072289156631E-2</v>
      </c>
      <c r="L477" s="1897">
        <v>2.6024096385542171E-2</v>
      </c>
      <c r="M477" s="1897">
        <v>0.17172690763052212</v>
      </c>
    </row>
    <row r="478" spans="1:13" ht="15">
      <c r="A478" s="1894">
        <f t="shared" si="7"/>
        <v>471</v>
      </c>
      <c r="B478" s="1906" t="s">
        <v>3346</v>
      </c>
      <c r="C478" s="1907" t="s">
        <v>524</v>
      </c>
      <c r="D478" s="1906" t="s">
        <v>541</v>
      </c>
      <c r="E478" s="1907" t="s">
        <v>259</v>
      </c>
      <c r="F478" s="1906">
        <v>333</v>
      </c>
      <c r="G478" s="1897">
        <v>0.79459459459459469</v>
      </c>
      <c r="H478" s="1897">
        <v>0.81441441441441442</v>
      </c>
      <c r="I478" s="1897">
        <v>0.79759759759759763</v>
      </c>
      <c r="J478" s="1897">
        <v>0.83783783783783783</v>
      </c>
      <c r="K478" s="1897">
        <v>0.8456456456456457</v>
      </c>
      <c r="L478" s="1897">
        <v>0.83123123123123122</v>
      </c>
      <c r="M478" s="1897">
        <v>0.82022022022022023</v>
      </c>
    </row>
    <row r="479" spans="1:13" ht="15">
      <c r="A479" s="1894">
        <f t="shared" si="7"/>
        <v>472</v>
      </c>
      <c r="B479" s="1906" t="s">
        <v>3342</v>
      </c>
      <c r="C479" s="1907" t="s">
        <v>524</v>
      </c>
      <c r="D479" s="1906" t="s">
        <v>636</v>
      </c>
      <c r="E479" s="1907" t="s">
        <v>259</v>
      </c>
      <c r="F479" s="1906">
        <v>333</v>
      </c>
      <c r="G479" s="1897">
        <v>0.49921921921921925</v>
      </c>
      <c r="H479" s="1897">
        <v>0.46894894894894895</v>
      </c>
      <c r="I479" s="1897">
        <v>0.49153153153153156</v>
      </c>
      <c r="J479" s="1897">
        <v>0.4160960960960961</v>
      </c>
      <c r="K479" s="1897">
        <v>0.42762762762762763</v>
      </c>
      <c r="L479" s="1897">
        <v>0.41561561561561555</v>
      </c>
      <c r="M479" s="1897">
        <v>0.45317317317317324</v>
      </c>
    </row>
    <row r="480" spans="1:13" ht="15">
      <c r="A480" s="1894">
        <f t="shared" si="7"/>
        <v>473</v>
      </c>
      <c r="B480" s="1906" t="s">
        <v>3348</v>
      </c>
      <c r="C480" s="1907" t="s">
        <v>524</v>
      </c>
      <c r="D480" s="1906" t="s">
        <v>541</v>
      </c>
      <c r="E480" s="1907" t="s">
        <v>259</v>
      </c>
      <c r="F480" s="1906">
        <v>333</v>
      </c>
      <c r="G480" s="1897">
        <v>0.98918918918918908</v>
      </c>
      <c r="H480" s="1897">
        <v>0.98738738738738741</v>
      </c>
      <c r="I480" s="1897">
        <v>0.98198198198198194</v>
      </c>
      <c r="J480" s="1897">
        <v>1.0468468468468468</v>
      </c>
      <c r="K480" s="1897">
        <v>0.91351351351351351</v>
      </c>
      <c r="L480" s="1897">
        <v>0.92792792792792789</v>
      </c>
      <c r="M480" s="1897">
        <v>0.97447447447447433</v>
      </c>
    </row>
    <row r="481" spans="1:13" ht="15">
      <c r="A481" s="1894">
        <f t="shared" si="7"/>
        <v>474</v>
      </c>
      <c r="B481" s="1906" t="s">
        <v>3347</v>
      </c>
      <c r="C481" s="1907" t="s">
        <v>524</v>
      </c>
      <c r="D481" s="1906" t="s">
        <v>541</v>
      </c>
      <c r="E481" s="1907" t="s">
        <v>259</v>
      </c>
      <c r="F481" s="1906">
        <v>333</v>
      </c>
      <c r="G481" s="1897">
        <v>0.79399399399399406</v>
      </c>
      <c r="H481" s="1897">
        <v>0.83243243243243237</v>
      </c>
      <c r="I481" s="1897">
        <v>0.95615615615615623</v>
      </c>
      <c r="J481" s="1897">
        <v>1.028828828828829</v>
      </c>
      <c r="K481" s="1897">
        <v>1.0054054054054054</v>
      </c>
      <c r="L481" s="1897">
        <v>1.0312312312312311</v>
      </c>
      <c r="M481" s="1897">
        <v>0.9413413413413414</v>
      </c>
    </row>
    <row r="482" spans="1:13" ht="15">
      <c r="A482" s="1894">
        <f t="shared" si="7"/>
        <v>475</v>
      </c>
      <c r="B482" s="1906" t="s">
        <v>3341</v>
      </c>
      <c r="C482" s="1907" t="s">
        <v>524</v>
      </c>
      <c r="D482" s="1906" t="s">
        <v>541</v>
      </c>
      <c r="E482" s="1907" t="s">
        <v>259</v>
      </c>
      <c r="F482" s="1906">
        <v>333</v>
      </c>
      <c r="G482" s="1897">
        <v>1.0320720720720722</v>
      </c>
      <c r="H482" s="1897">
        <v>1.073873873873874</v>
      </c>
      <c r="I482" s="1897">
        <v>1.0978978978978979</v>
      </c>
      <c r="J482" s="1897">
        <v>1.1305705705705706</v>
      </c>
      <c r="K482" s="1897">
        <v>1.206006006006006</v>
      </c>
      <c r="L482" s="1897">
        <v>1.1151951951951953</v>
      </c>
      <c r="M482" s="1897">
        <v>1.1092692692692692</v>
      </c>
    </row>
    <row r="483" spans="1:13" ht="15">
      <c r="A483" s="1894">
        <f t="shared" si="7"/>
        <v>476</v>
      </c>
      <c r="B483" s="1906" t="s">
        <v>3344</v>
      </c>
      <c r="C483" s="1907" t="s">
        <v>524</v>
      </c>
      <c r="D483" s="1906" t="s">
        <v>541</v>
      </c>
      <c r="E483" s="1907" t="s">
        <v>259</v>
      </c>
      <c r="F483" s="1906">
        <v>333</v>
      </c>
      <c r="G483" s="1897">
        <v>0.74522522522522527</v>
      </c>
      <c r="H483" s="1897">
        <v>0.86990990990990991</v>
      </c>
      <c r="I483" s="1897">
        <v>0.76252252252252262</v>
      </c>
      <c r="J483" s="1897">
        <v>0.79927927927927922</v>
      </c>
      <c r="K483" s="1897">
        <v>0.81657657657657667</v>
      </c>
      <c r="L483" s="1897">
        <v>0.77693693693693699</v>
      </c>
      <c r="M483" s="1897">
        <v>0.79507507507507513</v>
      </c>
    </row>
    <row r="484" spans="1:13" ht="15">
      <c r="A484" s="1894">
        <f t="shared" si="7"/>
        <v>477</v>
      </c>
      <c r="B484" s="1906" t="s">
        <v>3345</v>
      </c>
      <c r="C484" s="1907" t="s">
        <v>524</v>
      </c>
      <c r="D484" s="1906" t="s">
        <v>636</v>
      </c>
      <c r="E484" s="1907" t="s">
        <v>259</v>
      </c>
      <c r="F484" s="1906">
        <v>333</v>
      </c>
      <c r="G484" s="1897">
        <v>0.41081081081081083</v>
      </c>
      <c r="H484" s="1897">
        <v>0.33969969969969971</v>
      </c>
      <c r="I484" s="1897">
        <v>0.33249249249249246</v>
      </c>
      <c r="J484" s="1897">
        <v>0.30558558558558563</v>
      </c>
      <c r="K484" s="1897">
        <v>0.31231231231231232</v>
      </c>
      <c r="L484" s="1897">
        <v>0.32864864864864862</v>
      </c>
      <c r="M484" s="1897">
        <v>0.33825825825825823</v>
      </c>
    </row>
    <row r="485" spans="1:13" ht="15">
      <c r="A485" s="1894">
        <f t="shared" si="7"/>
        <v>478</v>
      </c>
      <c r="B485" s="1906" t="s">
        <v>3350</v>
      </c>
      <c r="C485" s="1907" t="s">
        <v>524</v>
      </c>
      <c r="D485" s="1906" t="s">
        <v>541</v>
      </c>
      <c r="E485" s="1907" t="s">
        <v>259</v>
      </c>
      <c r="F485" s="1906">
        <v>333</v>
      </c>
      <c r="G485" s="1897">
        <v>0.58738738738738738</v>
      </c>
      <c r="H485" s="1897">
        <v>0.54474474474474477</v>
      </c>
      <c r="I485" s="1897">
        <v>0.56576576576576576</v>
      </c>
      <c r="J485" s="1897">
        <v>0.59279279279279284</v>
      </c>
      <c r="K485" s="1897">
        <v>0.59339339339339336</v>
      </c>
      <c r="L485" s="1897">
        <v>0.60840840840840837</v>
      </c>
      <c r="M485" s="1897">
        <v>0.58208208208208212</v>
      </c>
    </row>
    <row r="486" spans="1:13" ht="15">
      <c r="A486" s="1894">
        <f t="shared" si="7"/>
        <v>479</v>
      </c>
      <c r="B486" s="1906" t="s">
        <v>3340</v>
      </c>
      <c r="C486" s="1907" t="s">
        <v>524</v>
      </c>
      <c r="D486" s="1906" t="s">
        <v>636</v>
      </c>
      <c r="E486" s="1907" t="s">
        <v>259</v>
      </c>
      <c r="F486" s="1906">
        <v>333</v>
      </c>
      <c r="G486" s="1897">
        <v>0.3003003003003003</v>
      </c>
      <c r="H486" s="1897">
        <v>0.30750750750750755</v>
      </c>
      <c r="I486" s="1897">
        <v>0.31039039039039046</v>
      </c>
      <c r="J486" s="1897">
        <v>0.35315315315315315</v>
      </c>
      <c r="K486" s="1897">
        <v>0.3007807807807808</v>
      </c>
      <c r="L486" s="1897">
        <v>0.30846846846846843</v>
      </c>
      <c r="M486" s="1897">
        <v>0.31343343343343344</v>
      </c>
    </row>
    <row r="487" spans="1:13" ht="15">
      <c r="A487" s="1894">
        <f t="shared" si="7"/>
        <v>480</v>
      </c>
      <c r="B487" s="1906" t="s">
        <v>3581</v>
      </c>
      <c r="C487" s="1907" t="s">
        <v>524</v>
      </c>
      <c r="D487" s="1906" t="s">
        <v>641</v>
      </c>
      <c r="E487" s="1907" t="s">
        <v>259</v>
      </c>
      <c r="F487" s="1906">
        <v>333</v>
      </c>
      <c r="G487" s="1897">
        <v>0</v>
      </c>
      <c r="H487" s="1897">
        <v>0</v>
      </c>
      <c r="I487" s="1897">
        <v>0</v>
      </c>
      <c r="J487" s="1897">
        <v>3.2187387387387391E-2</v>
      </c>
      <c r="K487" s="1897">
        <v>5.374654654654655E-2</v>
      </c>
      <c r="L487" s="1897">
        <v>4.7927927927927931E-2</v>
      </c>
      <c r="M487" s="1897">
        <v>2.2310310310310316E-2</v>
      </c>
    </row>
    <row r="488" spans="1:13" ht="15">
      <c r="A488" s="1894">
        <f t="shared" si="7"/>
        <v>481</v>
      </c>
      <c r="B488" s="1906" t="s">
        <v>3349</v>
      </c>
      <c r="C488" s="1907" t="s">
        <v>524</v>
      </c>
      <c r="D488" s="1906" t="s">
        <v>541</v>
      </c>
      <c r="E488" s="1907" t="s">
        <v>259</v>
      </c>
      <c r="F488" s="1906">
        <v>333</v>
      </c>
      <c r="G488" s="1897">
        <v>0.42162162162162165</v>
      </c>
      <c r="H488" s="1897">
        <v>0.43003003003002999</v>
      </c>
      <c r="I488" s="1897">
        <v>0.45045045045045046</v>
      </c>
      <c r="J488" s="1897">
        <v>0.40600600600600595</v>
      </c>
      <c r="K488" s="1897">
        <v>0.40840840840840842</v>
      </c>
      <c r="L488" s="1897">
        <v>0.42162162162162165</v>
      </c>
      <c r="M488" s="1897">
        <v>0.42302302302302303</v>
      </c>
    </row>
    <row r="489" spans="1:13" ht="15">
      <c r="A489" s="1894">
        <f t="shared" si="7"/>
        <v>482</v>
      </c>
      <c r="B489" s="1906" t="s">
        <v>3343</v>
      </c>
      <c r="C489" s="1907" t="s">
        <v>524</v>
      </c>
      <c r="D489" s="1906" t="s">
        <v>541</v>
      </c>
      <c r="E489" s="1907" t="s">
        <v>259</v>
      </c>
      <c r="F489" s="1906">
        <v>333</v>
      </c>
      <c r="G489" s="1897">
        <v>0.89729729729729735</v>
      </c>
      <c r="H489" s="1897">
        <v>0.88168168168168171</v>
      </c>
      <c r="I489" s="1897">
        <v>0.87207207207207205</v>
      </c>
      <c r="J489" s="1897">
        <v>0.89369369369369356</v>
      </c>
      <c r="K489" s="1897">
        <v>0.94774774774774762</v>
      </c>
      <c r="L489" s="1897">
        <v>0.94534534534534542</v>
      </c>
      <c r="M489" s="1897">
        <v>0.90630630630630638</v>
      </c>
    </row>
    <row r="490" spans="1:13" ht="15">
      <c r="A490" s="1894">
        <f t="shared" si="7"/>
        <v>483</v>
      </c>
      <c r="B490" s="1906" t="s">
        <v>3351</v>
      </c>
      <c r="C490" s="1907" t="s">
        <v>524</v>
      </c>
      <c r="D490" s="1906" t="s">
        <v>541</v>
      </c>
      <c r="E490" s="1907" t="s">
        <v>259</v>
      </c>
      <c r="F490" s="1906">
        <v>333</v>
      </c>
      <c r="G490" s="1897">
        <v>0.84252252252252258</v>
      </c>
      <c r="H490" s="1897">
        <v>0.85621621621621624</v>
      </c>
      <c r="I490" s="1897">
        <v>0.85045045045045042</v>
      </c>
      <c r="J490" s="1897">
        <v>0.85549549549549553</v>
      </c>
      <c r="K490" s="1897">
        <v>0.84540540540540532</v>
      </c>
      <c r="L490" s="1897">
        <v>0.89369369369369378</v>
      </c>
      <c r="M490" s="1897">
        <v>0.85729729729729731</v>
      </c>
    </row>
    <row r="491" spans="1:13" ht="15">
      <c r="A491" s="1894">
        <f t="shared" si="7"/>
        <v>484</v>
      </c>
      <c r="B491" s="1906" t="s">
        <v>3325</v>
      </c>
      <c r="C491" s="1907" t="s">
        <v>524</v>
      </c>
      <c r="D491" s="1906" t="s">
        <v>629</v>
      </c>
      <c r="E491" s="1907" t="s">
        <v>259</v>
      </c>
      <c r="F491" s="1906">
        <v>333</v>
      </c>
      <c r="G491" s="1897">
        <v>0.28288288288288282</v>
      </c>
      <c r="H491" s="1897">
        <v>6.5387387387387391E-2</v>
      </c>
      <c r="I491" s="1897">
        <v>7.8198198198198191E-2</v>
      </c>
      <c r="J491" s="1897">
        <v>6.6363963963963962E-2</v>
      </c>
      <c r="K491" s="1897">
        <v>7.1466666666666664E-2</v>
      </c>
      <c r="L491" s="1897">
        <v>6.4288288288288295E-2</v>
      </c>
      <c r="M491" s="1897">
        <v>0.10476456456456455</v>
      </c>
    </row>
    <row r="492" spans="1:13" ht="15">
      <c r="A492" s="1894">
        <f t="shared" si="7"/>
        <v>485</v>
      </c>
      <c r="B492" s="1906" t="s">
        <v>3353</v>
      </c>
      <c r="C492" s="1907" t="s">
        <v>524</v>
      </c>
      <c r="D492" s="1906" t="s">
        <v>636</v>
      </c>
      <c r="E492" s="1907" t="s">
        <v>259</v>
      </c>
      <c r="F492" s="1906">
        <v>334</v>
      </c>
      <c r="G492" s="1897">
        <v>0.3712574850299401</v>
      </c>
      <c r="H492" s="1897">
        <v>0.38562874251497009</v>
      </c>
      <c r="I492" s="1897">
        <v>0.37988023952095806</v>
      </c>
      <c r="J492" s="1897">
        <v>0.40431137724550897</v>
      </c>
      <c r="K492" s="1897">
        <v>0.36550898203592819</v>
      </c>
      <c r="L492" s="1897">
        <v>0.33005988023952099</v>
      </c>
      <c r="M492" s="1897">
        <v>0.37277445109780444</v>
      </c>
    </row>
    <row r="493" spans="1:13" ht="15">
      <c r="A493" s="1894">
        <f t="shared" si="7"/>
        <v>486</v>
      </c>
      <c r="B493" s="1906" t="s">
        <v>3354</v>
      </c>
      <c r="C493" s="1907" t="s">
        <v>524</v>
      </c>
      <c r="D493" s="1906" t="s">
        <v>737</v>
      </c>
      <c r="E493" s="1907" t="s">
        <v>259</v>
      </c>
      <c r="F493" s="1906">
        <v>334</v>
      </c>
      <c r="G493" s="1897">
        <v>0.43437125748502992</v>
      </c>
      <c r="H493" s="1897">
        <v>0.42862275449101794</v>
      </c>
      <c r="I493" s="1897">
        <v>0.45520958083832341</v>
      </c>
      <c r="J493" s="1897">
        <v>0.47712574850299405</v>
      </c>
      <c r="K493" s="1897">
        <v>0.4411976047904192</v>
      </c>
      <c r="L493" s="1897">
        <v>0.42970059880239525</v>
      </c>
      <c r="M493" s="1897">
        <v>0.44437125748502998</v>
      </c>
    </row>
    <row r="494" spans="1:13" ht="15">
      <c r="A494" s="1894">
        <f t="shared" si="7"/>
        <v>487</v>
      </c>
      <c r="B494" s="1906" t="s">
        <v>3352</v>
      </c>
      <c r="C494" s="1907" t="s">
        <v>524</v>
      </c>
      <c r="D494" s="1906" t="s">
        <v>2966</v>
      </c>
      <c r="E494" s="1907" t="s">
        <v>259</v>
      </c>
      <c r="F494" s="1906">
        <v>334</v>
      </c>
      <c r="G494" s="1897">
        <v>0.68191616766467067</v>
      </c>
      <c r="H494" s="1897">
        <v>0.43041916167664668</v>
      </c>
      <c r="I494" s="1897">
        <v>0.20407185628742519</v>
      </c>
      <c r="J494" s="1897">
        <v>0.12071856287425149</v>
      </c>
      <c r="K494" s="1897">
        <v>0.27377245508982034</v>
      </c>
      <c r="L494" s="1897">
        <v>0.28167664670658682</v>
      </c>
      <c r="M494" s="1897">
        <v>0.33209580838323355</v>
      </c>
    </row>
    <row r="495" spans="1:13" ht="15">
      <c r="A495" s="1894">
        <f t="shared" si="7"/>
        <v>488</v>
      </c>
      <c r="B495" s="1906" t="s">
        <v>3355</v>
      </c>
      <c r="C495" s="1907" t="s">
        <v>524</v>
      </c>
      <c r="D495" s="1906" t="s">
        <v>541</v>
      </c>
      <c r="E495" s="1907" t="s">
        <v>259</v>
      </c>
      <c r="F495" s="1906">
        <v>335</v>
      </c>
      <c r="G495" s="1897">
        <v>1.4772537313432836</v>
      </c>
      <c r="H495" s="1897">
        <v>1.4600597014925374</v>
      </c>
      <c r="I495" s="1897">
        <v>1.3841194029850747</v>
      </c>
      <c r="J495" s="1897">
        <v>1.3898507462686567</v>
      </c>
      <c r="K495" s="1897">
        <v>1.3287164179104478</v>
      </c>
      <c r="L495" s="1897">
        <v>1.3110447761194031</v>
      </c>
      <c r="M495" s="1897">
        <v>1.3918407960199006</v>
      </c>
    </row>
    <row r="496" spans="1:13" ht="15">
      <c r="A496" s="1894">
        <f t="shared" si="7"/>
        <v>489</v>
      </c>
      <c r="B496" s="1906" t="s">
        <v>3568</v>
      </c>
      <c r="C496" s="1907" t="s">
        <v>524</v>
      </c>
      <c r="D496" s="1906" t="s">
        <v>730</v>
      </c>
      <c r="E496" s="1907" t="s">
        <v>259</v>
      </c>
      <c r="F496" s="1906">
        <v>341</v>
      </c>
      <c r="G496" s="1897">
        <v>0</v>
      </c>
      <c r="H496" s="1897">
        <v>0</v>
      </c>
      <c r="I496" s="1897">
        <v>0</v>
      </c>
      <c r="J496" s="1897">
        <v>4.2991202346041061E-3</v>
      </c>
      <c r="K496" s="1897">
        <v>0.65660997067448679</v>
      </c>
      <c r="L496" s="1897">
        <v>0.78294721407624635</v>
      </c>
      <c r="M496" s="1897">
        <v>0.2406427174975562</v>
      </c>
    </row>
    <row r="497" spans="1:13" ht="15">
      <c r="A497" s="1894">
        <f t="shared" si="7"/>
        <v>490</v>
      </c>
      <c r="B497" s="1906" t="s">
        <v>3356</v>
      </c>
      <c r="C497" s="1907" t="s">
        <v>524</v>
      </c>
      <c r="D497" s="1906" t="s">
        <v>730</v>
      </c>
      <c r="E497" s="1907" t="s">
        <v>259</v>
      </c>
      <c r="F497" s="1906">
        <v>341</v>
      </c>
      <c r="G497" s="1897">
        <v>0.32961876832844578</v>
      </c>
      <c r="H497" s="1897">
        <v>0.33196480938416417</v>
      </c>
      <c r="I497" s="1897">
        <v>0.35542521994134896</v>
      </c>
      <c r="J497" s="1897">
        <v>0.35718475073313788</v>
      </c>
      <c r="K497" s="1897">
        <v>0.37419354838709673</v>
      </c>
      <c r="L497" s="1897">
        <v>0.36304985337243401</v>
      </c>
      <c r="M497" s="1897">
        <v>0.35190615835777123</v>
      </c>
    </row>
    <row r="498" spans="1:13" ht="15">
      <c r="A498" s="1894">
        <f t="shared" si="7"/>
        <v>491</v>
      </c>
      <c r="B498" s="1906" t="s">
        <v>3582</v>
      </c>
      <c r="C498" s="1907" t="s">
        <v>524</v>
      </c>
      <c r="D498" s="1906" t="s">
        <v>541</v>
      </c>
      <c r="E498" s="1907" t="s">
        <v>259</v>
      </c>
      <c r="F498" s="1906">
        <v>344</v>
      </c>
      <c r="G498" s="1897">
        <v>0.58372093023255822</v>
      </c>
      <c r="H498" s="1897">
        <v>0.64941860465116275</v>
      </c>
      <c r="I498" s="1897">
        <v>0.60581395348837208</v>
      </c>
      <c r="J498" s="1897">
        <v>0.65465116279069768</v>
      </c>
      <c r="K498" s="1897">
        <v>0.69244186046511624</v>
      </c>
      <c r="L498" s="1897">
        <v>0.61627906976744184</v>
      </c>
      <c r="M498" s="1897">
        <v>0.63372093023255804</v>
      </c>
    </row>
    <row r="499" spans="1:13" ht="15">
      <c r="A499" s="1894">
        <f t="shared" si="7"/>
        <v>492</v>
      </c>
      <c r="B499" s="1906" t="s">
        <v>3357</v>
      </c>
      <c r="C499" s="1907" t="s">
        <v>524</v>
      </c>
      <c r="D499" s="1906" t="s">
        <v>541</v>
      </c>
      <c r="E499" s="1907" t="s">
        <v>259</v>
      </c>
      <c r="F499" s="1906">
        <v>345</v>
      </c>
      <c r="G499" s="1897">
        <v>1.1471304347826086</v>
      </c>
      <c r="H499" s="1897">
        <v>1.1554782608695653</v>
      </c>
      <c r="I499" s="1897">
        <v>1.0337391304347827</v>
      </c>
      <c r="J499" s="1897">
        <v>0.84730434782608699</v>
      </c>
      <c r="K499" s="1897">
        <v>0.66434782608695653</v>
      </c>
      <c r="L499" s="1897">
        <v>0.74921739130434784</v>
      </c>
      <c r="M499" s="1897">
        <v>0.93286956521739128</v>
      </c>
    </row>
    <row r="500" spans="1:13" ht="15">
      <c r="A500" s="1894">
        <f t="shared" si="7"/>
        <v>493</v>
      </c>
      <c r="B500" s="1906" t="s">
        <v>3358</v>
      </c>
      <c r="C500" s="1907" t="s">
        <v>524</v>
      </c>
      <c r="D500" s="1906" t="s">
        <v>541</v>
      </c>
      <c r="E500" s="1907" t="s">
        <v>259</v>
      </c>
      <c r="F500" s="1906">
        <v>349</v>
      </c>
      <c r="G500" s="1897">
        <v>0.75988538681948425</v>
      </c>
      <c r="H500" s="1897">
        <v>0.74383954154727805</v>
      </c>
      <c r="I500" s="1897">
        <v>0.68194842406876788</v>
      </c>
      <c r="J500" s="1897">
        <v>0.79770773638968473</v>
      </c>
      <c r="K500" s="1897">
        <v>0.79885386819484239</v>
      </c>
      <c r="L500" s="1897">
        <v>0.73467048710601734</v>
      </c>
      <c r="M500" s="1897">
        <v>0.75281757402101246</v>
      </c>
    </row>
    <row r="501" spans="1:13" ht="15">
      <c r="A501" s="1894">
        <f t="shared" si="7"/>
        <v>494</v>
      </c>
      <c r="B501" s="1906" t="s">
        <v>3360</v>
      </c>
      <c r="C501" s="1907" t="s">
        <v>524</v>
      </c>
      <c r="D501" s="1906" t="s">
        <v>636</v>
      </c>
      <c r="E501" s="1907" t="s">
        <v>259</v>
      </c>
      <c r="F501" s="1906">
        <v>350</v>
      </c>
      <c r="G501" s="1897">
        <v>0.72137142857142866</v>
      </c>
      <c r="H501" s="1897">
        <v>1.0601142857142856</v>
      </c>
      <c r="I501" s="1897">
        <v>0.79817142857142864</v>
      </c>
      <c r="J501" s="1897">
        <v>0.73920000000000008</v>
      </c>
      <c r="K501" s="1897">
        <v>0.72959999999999992</v>
      </c>
      <c r="L501" s="1897">
        <v>0.93668571428571423</v>
      </c>
      <c r="M501" s="1897">
        <v>0.83085714285714263</v>
      </c>
    </row>
    <row r="502" spans="1:13" ht="15">
      <c r="A502" s="1894">
        <f t="shared" si="7"/>
        <v>495</v>
      </c>
      <c r="B502" s="1906" t="s">
        <v>3361</v>
      </c>
      <c r="C502" s="1907" t="s">
        <v>524</v>
      </c>
      <c r="D502" s="1906" t="s">
        <v>541</v>
      </c>
      <c r="E502" s="1907" t="s">
        <v>259</v>
      </c>
      <c r="F502" s="1906">
        <v>350</v>
      </c>
      <c r="G502" s="1897">
        <v>0.74331428571428559</v>
      </c>
      <c r="H502" s="1897">
        <v>0.77760000000000007</v>
      </c>
      <c r="I502" s="1897">
        <v>0.77279999999999993</v>
      </c>
      <c r="J502" s="1897">
        <v>0.63497142857142863</v>
      </c>
      <c r="K502" s="1897">
        <v>0.83177142857142861</v>
      </c>
      <c r="L502" s="1897">
        <v>0.71657142857142853</v>
      </c>
      <c r="M502" s="1897">
        <v>0.74617142857142849</v>
      </c>
    </row>
    <row r="503" spans="1:13" ht="15">
      <c r="A503" s="1894">
        <f t="shared" si="7"/>
        <v>496</v>
      </c>
      <c r="B503" s="1906" t="s">
        <v>3362</v>
      </c>
      <c r="C503" s="1907" t="s">
        <v>524</v>
      </c>
      <c r="D503" s="1906" t="s">
        <v>2966</v>
      </c>
      <c r="E503" s="1907" t="s">
        <v>259</v>
      </c>
      <c r="F503" s="1906">
        <v>350</v>
      </c>
      <c r="G503" s="1897">
        <v>0.49657142857142861</v>
      </c>
      <c r="H503" s="1897">
        <v>0.58857142857142852</v>
      </c>
      <c r="I503" s="1897">
        <v>0.56400000000000006</v>
      </c>
      <c r="J503" s="1897">
        <v>0.54228571428571426</v>
      </c>
      <c r="K503" s="1897">
        <v>0.39371428571428574</v>
      </c>
      <c r="L503" s="1897">
        <v>0.33885714285714286</v>
      </c>
      <c r="M503" s="1897">
        <v>0.48733333333333334</v>
      </c>
    </row>
    <row r="504" spans="1:13" ht="15">
      <c r="A504" s="1894">
        <f t="shared" si="7"/>
        <v>497</v>
      </c>
      <c r="B504" s="1906" t="s">
        <v>3359</v>
      </c>
      <c r="C504" s="1907" t="s">
        <v>524</v>
      </c>
      <c r="D504" s="1906" t="s">
        <v>737</v>
      </c>
      <c r="E504" s="1907" t="s">
        <v>259</v>
      </c>
      <c r="F504" s="1906">
        <v>350</v>
      </c>
      <c r="G504" s="1897">
        <v>0.65897142857142865</v>
      </c>
      <c r="H504" s="1897">
        <v>0.60548571428571429</v>
      </c>
      <c r="I504" s="1897">
        <v>0.58765714285714288</v>
      </c>
      <c r="J504" s="1897">
        <v>0.46011428571428575</v>
      </c>
      <c r="K504" s="1897">
        <v>0.47931428571428575</v>
      </c>
      <c r="L504" s="1897">
        <v>0.45394285714285715</v>
      </c>
      <c r="M504" s="1897">
        <v>0.54091428571428579</v>
      </c>
    </row>
    <row r="505" spans="1:13" ht="15">
      <c r="A505" s="1894">
        <f t="shared" si="7"/>
        <v>498</v>
      </c>
      <c r="B505" s="1906" t="s">
        <v>3363</v>
      </c>
      <c r="C505" s="1907" t="s">
        <v>524</v>
      </c>
      <c r="D505" s="1906" t="s">
        <v>636</v>
      </c>
      <c r="E505" s="1907" t="s">
        <v>259</v>
      </c>
      <c r="F505" s="1906">
        <v>350</v>
      </c>
      <c r="G505" s="1897">
        <v>0.33542857142857146</v>
      </c>
      <c r="H505" s="1897">
        <v>0.36571428571428571</v>
      </c>
      <c r="I505" s="1897">
        <v>0.42742857142857149</v>
      </c>
      <c r="J505" s="1897">
        <v>0.30342857142857144</v>
      </c>
      <c r="K505" s="1897">
        <v>0.26399999999999996</v>
      </c>
      <c r="L505" s="1897">
        <v>0.31371428571428572</v>
      </c>
      <c r="M505" s="1897">
        <v>0.33495238095238095</v>
      </c>
    </row>
    <row r="506" spans="1:13" ht="15">
      <c r="A506" s="1894">
        <f t="shared" si="7"/>
        <v>499</v>
      </c>
      <c r="B506" s="1906" t="s">
        <v>3365</v>
      </c>
      <c r="C506" s="1907" t="s">
        <v>524</v>
      </c>
      <c r="D506" s="1906" t="s">
        <v>541</v>
      </c>
      <c r="E506" s="1907" t="s">
        <v>259</v>
      </c>
      <c r="F506" s="1906">
        <v>351</v>
      </c>
      <c r="G506" s="1897">
        <v>1.0947008547008548</v>
      </c>
      <c r="H506" s="1897">
        <v>1.0427350427350428</v>
      </c>
      <c r="I506" s="1897">
        <v>1.0317948717948719</v>
      </c>
      <c r="J506" s="1897">
        <v>1.0516239316239315</v>
      </c>
      <c r="K506" s="1897">
        <v>1.122051282051282</v>
      </c>
      <c r="L506" s="1897">
        <v>1.1022222222222222</v>
      </c>
      <c r="M506" s="1897">
        <v>1.0741880341880343</v>
      </c>
    </row>
    <row r="507" spans="1:13" ht="15">
      <c r="A507" s="1894">
        <f t="shared" si="7"/>
        <v>500</v>
      </c>
      <c r="B507" s="1906" t="s">
        <v>3364</v>
      </c>
      <c r="C507" s="1907" t="s">
        <v>524</v>
      </c>
      <c r="D507" s="1906" t="s">
        <v>730</v>
      </c>
      <c r="E507" s="1907" t="s">
        <v>259</v>
      </c>
      <c r="F507" s="1906">
        <v>351</v>
      </c>
      <c r="G507" s="1897">
        <v>0.50507122507122504</v>
      </c>
      <c r="H507" s="1897">
        <v>0.88888888888888884</v>
      </c>
      <c r="I507" s="1897">
        <v>0.65709401709401716</v>
      </c>
      <c r="J507" s="1897">
        <v>0.63384615384615395</v>
      </c>
      <c r="K507" s="1897">
        <v>0.67282051282051281</v>
      </c>
      <c r="L507" s="1897">
        <v>0.67760683760683749</v>
      </c>
      <c r="M507" s="1897">
        <v>0.67255460588793914</v>
      </c>
    </row>
    <row r="508" spans="1:13" ht="15">
      <c r="A508" s="1894">
        <f t="shared" si="7"/>
        <v>501</v>
      </c>
      <c r="B508" s="1906" t="s">
        <v>3366</v>
      </c>
      <c r="C508" s="1907" t="s">
        <v>524</v>
      </c>
      <c r="D508" s="1906" t="s">
        <v>541</v>
      </c>
      <c r="E508" s="1907" t="s">
        <v>259</v>
      </c>
      <c r="F508" s="1906">
        <v>353</v>
      </c>
      <c r="G508" s="1897">
        <v>1.1699716713881019</v>
      </c>
      <c r="H508" s="1897">
        <v>1.1444759206798867</v>
      </c>
      <c r="I508" s="1897">
        <v>1.1892351274787536</v>
      </c>
      <c r="J508" s="1897">
        <v>1.2181303116147308</v>
      </c>
      <c r="K508" s="1897">
        <v>1.226628895184136</v>
      </c>
      <c r="L508" s="1897">
        <v>1.2373937677053826</v>
      </c>
      <c r="M508" s="1897">
        <v>1.197639282341832</v>
      </c>
    </row>
    <row r="509" spans="1:13" ht="15">
      <c r="A509" s="1894">
        <f t="shared" si="7"/>
        <v>502</v>
      </c>
      <c r="B509" s="1906" t="s">
        <v>3368</v>
      </c>
      <c r="C509" s="1907" t="s">
        <v>524</v>
      </c>
      <c r="D509" s="1906" t="s">
        <v>737</v>
      </c>
      <c r="E509" s="1907" t="s">
        <v>259</v>
      </c>
      <c r="F509" s="1906">
        <v>356</v>
      </c>
      <c r="G509" s="1897">
        <v>0.29887640449438202</v>
      </c>
      <c r="H509" s="1897">
        <v>0.34561797752808987</v>
      </c>
      <c r="I509" s="1897">
        <v>0.3519101123595505</v>
      </c>
      <c r="J509" s="1897">
        <v>0.29483146067415733</v>
      </c>
      <c r="K509" s="1897">
        <v>0.2997752808988764</v>
      </c>
      <c r="L509" s="1897">
        <v>0.30921348314606739</v>
      </c>
      <c r="M509" s="1897">
        <v>0.31670411985018726</v>
      </c>
    </row>
    <row r="510" spans="1:13" ht="15">
      <c r="A510" s="1894">
        <f t="shared" si="7"/>
        <v>503</v>
      </c>
      <c r="B510" s="1906" t="s">
        <v>3367</v>
      </c>
      <c r="C510" s="1907" t="s">
        <v>524</v>
      </c>
      <c r="D510" s="1906" t="s">
        <v>541</v>
      </c>
      <c r="E510" s="1907" t="s">
        <v>259</v>
      </c>
      <c r="F510" s="1906">
        <v>356</v>
      </c>
      <c r="G510" s="1897">
        <v>0.41123595505617977</v>
      </c>
      <c r="H510" s="1897">
        <v>0.40337078651685393</v>
      </c>
      <c r="I510" s="1897">
        <v>0.39213483146067413</v>
      </c>
      <c r="J510" s="1897">
        <v>0.42865168539325849</v>
      </c>
      <c r="K510" s="1897">
        <v>0.5814606741573034</v>
      </c>
      <c r="L510" s="1897">
        <v>0.5786516853932584</v>
      </c>
      <c r="M510" s="1897">
        <v>0.46591760299625468</v>
      </c>
    </row>
    <row r="511" spans="1:13" ht="15">
      <c r="A511" s="1894">
        <f t="shared" si="7"/>
        <v>504</v>
      </c>
      <c r="B511" s="1906" t="s">
        <v>3369</v>
      </c>
      <c r="C511" s="1907" t="s">
        <v>524</v>
      </c>
      <c r="D511" s="1906" t="s">
        <v>2966</v>
      </c>
      <c r="E511" s="1907" t="s">
        <v>259</v>
      </c>
      <c r="F511" s="1906">
        <v>358</v>
      </c>
      <c r="G511" s="1897">
        <v>8.2234636871508379E-2</v>
      </c>
      <c r="H511" s="1897">
        <v>9.7877094972067036E-2</v>
      </c>
      <c r="I511" s="1897">
        <v>0.12424581005586591</v>
      </c>
      <c r="J511" s="1897">
        <v>0.13541899441340782</v>
      </c>
      <c r="K511" s="1897">
        <v>9.698324022346369E-2</v>
      </c>
      <c r="L511" s="1897">
        <v>0.10060335195530726</v>
      </c>
      <c r="M511" s="1897">
        <v>0.10622718808193667</v>
      </c>
    </row>
    <row r="512" spans="1:13" ht="15">
      <c r="A512" s="1894">
        <f t="shared" si="7"/>
        <v>505</v>
      </c>
      <c r="B512" s="1906" t="s">
        <v>3370</v>
      </c>
      <c r="C512" s="1907" t="s">
        <v>524</v>
      </c>
      <c r="D512" s="1906" t="s">
        <v>541</v>
      </c>
      <c r="E512" s="1907" t="s">
        <v>259</v>
      </c>
      <c r="F512" s="1906">
        <v>361</v>
      </c>
      <c r="G512" s="1897">
        <v>0.97329639889196662</v>
      </c>
      <c r="H512" s="1897">
        <v>0.99545706371191145</v>
      </c>
      <c r="I512" s="1897">
        <v>0.91257617728531859</v>
      </c>
      <c r="J512" s="1897">
        <v>0.92144044321329632</v>
      </c>
      <c r="K512" s="1897">
        <v>0.98127423822714688</v>
      </c>
      <c r="L512" s="1897">
        <v>1.0105263157894737</v>
      </c>
      <c r="M512" s="1897">
        <v>0.96576177285318554</v>
      </c>
    </row>
    <row r="513" spans="1:13" ht="15">
      <c r="A513" s="1894">
        <f t="shared" si="7"/>
        <v>506</v>
      </c>
      <c r="B513" s="1906" t="s">
        <v>3371</v>
      </c>
      <c r="C513" s="1907" t="s">
        <v>524</v>
      </c>
      <c r="D513" s="1906" t="s">
        <v>636</v>
      </c>
      <c r="E513" s="1907" t="s">
        <v>259</v>
      </c>
      <c r="F513" s="1906">
        <v>361</v>
      </c>
      <c r="G513" s="1897">
        <v>0.3849307479224377</v>
      </c>
      <c r="H513" s="1897">
        <v>0.39157894736842108</v>
      </c>
      <c r="I513" s="1897">
        <v>0.39157894736842108</v>
      </c>
      <c r="J513" s="1897">
        <v>0.37030470914127428</v>
      </c>
      <c r="K513" s="1897">
        <v>0.36565096952908588</v>
      </c>
      <c r="L513" s="1897">
        <v>0.3649861495844875</v>
      </c>
      <c r="M513" s="1897">
        <v>0.37817174515235458</v>
      </c>
    </row>
    <row r="514" spans="1:13" ht="15">
      <c r="A514" s="1894">
        <f t="shared" si="7"/>
        <v>507</v>
      </c>
      <c r="B514" s="1906" t="s">
        <v>3372</v>
      </c>
      <c r="C514" s="1907" t="s">
        <v>524</v>
      </c>
      <c r="D514" s="1906" t="s">
        <v>541</v>
      </c>
      <c r="E514" s="1907" t="s">
        <v>259</v>
      </c>
      <c r="F514" s="1906">
        <v>361</v>
      </c>
      <c r="G514" s="1897">
        <v>2.7922437673130195E-2</v>
      </c>
      <c r="H514" s="1897">
        <v>3.0581717451523542E-2</v>
      </c>
      <c r="I514" s="1897">
        <v>3.3905817174515233E-2</v>
      </c>
      <c r="J514" s="1897">
        <v>0.75722991689750696</v>
      </c>
      <c r="K514" s="1897">
        <v>0.67146814404432131</v>
      </c>
      <c r="L514" s="1897">
        <v>5.6509695290858732E-2</v>
      </c>
      <c r="M514" s="1897">
        <v>0.26293628808864267</v>
      </c>
    </row>
    <row r="515" spans="1:13" ht="15">
      <c r="A515" s="1894">
        <f t="shared" si="7"/>
        <v>508</v>
      </c>
      <c r="B515" s="1906" t="s">
        <v>3583</v>
      </c>
      <c r="C515" s="1907" t="s">
        <v>524</v>
      </c>
      <c r="D515" s="1906" t="s">
        <v>541</v>
      </c>
      <c r="E515" s="1907" t="s">
        <v>259</v>
      </c>
      <c r="F515" s="1906">
        <v>367</v>
      </c>
      <c r="G515" s="1897">
        <v>1.1544414168937329</v>
      </c>
      <c r="H515" s="1897">
        <v>1.2895912806539511</v>
      </c>
      <c r="I515" s="1897">
        <v>0.95389645776566756</v>
      </c>
      <c r="J515" s="1897">
        <v>0.87803814713896455</v>
      </c>
      <c r="K515" s="1897">
        <v>0.940817438692098</v>
      </c>
      <c r="L515" s="1897">
        <v>4.7956403269754762E-2</v>
      </c>
      <c r="M515" s="1897">
        <v>0.87745685740236146</v>
      </c>
    </row>
    <row r="516" spans="1:13" ht="15">
      <c r="A516" s="1894">
        <f t="shared" si="7"/>
        <v>509</v>
      </c>
      <c r="B516" s="1906" t="s">
        <v>3373</v>
      </c>
      <c r="C516" s="1907" t="s">
        <v>524</v>
      </c>
      <c r="D516" s="1906" t="s">
        <v>737</v>
      </c>
      <c r="E516" s="1907" t="s">
        <v>259</v>
      </c>
      <c r="F516" s="1906">
        <v>370</v>
      </c>
      <c r="G516" s="1897">
        <v>0.38400000000000001</v>
      </c>
      <c r="H516" s="1897">
        <v>0.54918918918918913</v>
      </c>
      <c r="I516" s="1897">
        <v>0.41729729729729731</v>
      </c>
      <c r="J516" s="1897">
        <v>0.30443243243243245</v>
      </c>
      <c r="K516" s="1897">
        <v>0.30010810810810812</v>
      </c>
      <c r="L516" s="1897">
        <v>0.36799999999999999</v>
      </c>
      <c r="M516" s="1897">
        <v>0.38717117117117117</v>
      </c>
    </row>
    <row r="517" spans="1:13" ht="15">
      <c r="A517" s="1894">
        <f t="shared" si="7"/>
        <v>510</v>
      </c>
      <c r="B517" s="1906" t="s">
        <v>3374</v>
      </c>
      <c r="C517" s="1907" t="s">
        <v>524</v>
      </c>
      <c r="D517" s="1906" t="s">
        <v>2966</v>
      </c>
      <c r="E517" s="1907" t="s">
        <v>259</v>
      </c>
      <c r="F517" s="1906">
        <v>372</v>
      </c>
      <c r="G517" s="1897">
        <v>0.29193548387096774</v>
      </c>
      <c r="H517" s="1897">
        <v>0.28225806451612906</v>
      </c>
      <c r="I517" s="1897">
        <v>0.10591397849462365</v>
      </c>
      <c r="J517" s="1897">
        <v>0.20537634408602148</v>
      </c>
      <c r="K517" s="1897">
        <v>0.19462365591397851</v>
      </c>
      <c r="L517" s="1897">
        <v>0.21559139784946232</v>
      </c>
      <c r="M517" s="1897">
        <v>0.21594982078853045</v>
      </c>
    </row>
    <row r="518" spans="1:13" ht="15">
      <c r="A518" s="1894">
        <f t="shared" si="7"/>
        <v>511</v>
      </c>
      <c r="B518" s="1906" t="s">
        <v>3375</v>
      </c>
      <c r="C518" s="1907" t="s">
        <v>524</v>
      </c>
      <c r="D518" s="1906" t="s">
        <v>737</v>
      </c>
      <c r="E518" s="1907" t="s">
        <v>259</v>
      </c>
      <c r="F518" s="1906">
        <v>376</v>
      </c>
      <c r="G518" s="1897">
        <v>0.82340425531914896</v>
      </c>
      <c r="H518" s="1897">
        <v>0.87191489361702124</v>
      </c>
      <c r="I518" s="1897">
        <v>0.86361702127659579</v>
      </c>
      <c r="J518" s="1897">
        <v>0.71936170212765949</v>
      </c>
      <c r="K518" s="1897">
        <v>0.69319148936170205</v>
      </c>
      <c r="L518" s="1897">
        <v>6.0000000000000005E-2</v>
      </c>
      <c r="M518" s="1897">
        <v>0.67191489361702106</v>
      </c>
    </row>
    <row r="519" spans="1:13" ht="15">
      <c r="A519" s="1894">
        <f t="shared" si="7"/>
        <v>512</v>
      </c>
      <c r="B519" s="1906" t="s">
        <v>3378</v>
      </c>
      <c r="C519" s="1907" t="s">
        <v>524</v>
      </c>
      <c r="D519" s="1906" t="s">
        <v>2966</v>
      </c>
      <c r="E519" s="1907" t="s">
        <v>259</v>
      </c>
      <c r="F519" s="1906">
        <v>389</v>
      </c>
      <c r="G519" s="1897">
        <v>0.49604113110539849</v>
      </c>
      <c r="H519" s="1897">
        <v>0.94457583547557855</v>
      </c>
      <c r="I519" s="1897">
        <v>1.1753213367609254</v>
      </c>
      <c r="J519" s="1897">
        <v>1.1154755784061696</v>
      </c>
      <c r="K519" s="1897">
        <v>1.1673007712082264</v>
      </c>
      <c r="L519" s="1897">
        <v>0.77676092544987152</v>
      </c>
      <c r="M519" s="1897">
        <v>0.94591259640102843</v>
      </c>
    </row>
    <row r="520" spans="1:13" ht="15">
      <c r="A520" s="1894">
        <f t="shared" si="7"/>
        <v>513</v>
      </c>
      <c r="B520" s="1906" t="s">
        <v>3376</v>
      </c>
      <c r="C520" s="1907" t="s">
        <v>524</v>
      </c>
      <c r="D520" s="1906" t="s">
        <v>541</v>
      </c>
      <c r="E520" s="1907" t="s">
        <v>259</v>
      </c>
      <c r="F520" s="1906">
        <v>389</v>
      </c>
      <c r="G520" s="1897">
        <v>0.93100257069408743</v>
      </c>
      <c r="H520" s="1897">
        <v>2.7146529562982007E-2</v>
      </c>
      <c r="I520" s="1897">
        <v>4.3804627249357332E-2</v>
      </c>
      <c r="J520" s="1897">
        <v>0.27701799485861184</v>
      </c>
      <c r="K520" s="1897">
        <v>5.3059125964010287E-2</v>
      </c>
      <c r="L520" s="1897">
        <v>5.4293059125964015E-2</v>
      </c>
      <c r="M520" s="1897">
        <v>0.23105398457583548</v>
      </c>
    </row>
    <row r="521" spans="1:13" ht="15">
      <c r="A521" s="1894">
        <f t="shared" si="7"/>
        <v>514</v>
      </c>
      <c r="B521" s="1906" t="s">
        <v>3379</v>
      </c>
      <c r="C521" s="1907" t="s">
        <v>524</v>
      </c>
      <c r="D521" s="1906" t="s">
        <v>636</v>
      </c>
      <c r="E521" s="1907" t="s">
        <v>259</v>
      </c>
      <c r="F521" s="1906">
        <v>389</v>
      </c>
      <c r="G521" s="1897">
        <v>0.26776349614395883</v>
      </c>
      <c r="H521" s="1897">
        <v>0.28071979434447303</v>
      </c>
      <c r="I521" s="1897">
        <v>0.35537275064267354</v>
      </c>
      <c r="J521" s="1897">
        <v>0.31712082262210795</v>
      </c>
      <c r="K521" s="1897">
        <v>0.26714652956298202</v>
      </c>
      <c r="L521" s="1897">
        <v>0.2918251928020566</v>
      </c>
      <c r="M521" s="1897">
        <v>0.2966580976863753</v>
      </c>
    </row>
    <row r="522" spans="1:13" ht="15">
      <c r="A522" s="1894">
        <f t="shared" ref="A522:A585" si="8">+A521+1</f>
        <v>515</v>
      </c>
      <c r="B522" s="1906" t="s">
        <v>3380</v>
      </c>
      <c r="C522" s="1907" t="s">
        <v>524</v>
      </c>
      <c r="D522" s="1906" t="s">
        <v>730</v>
      </c>
      <c r="E522" s="1907" t="s">
        <v>259</v>
      </c>
      <c r="F522" s="1906">
        <v>391</v>
      </c>
      <c r="G522" s="1897">
        <v>0.71693094629156007</v>
      </c>
      <c r="H522" s="1897">
        <v>0.35324808184143225</v>
      </c>
      <c r="I522" s="1897">
        <v>0.57483375959079286</v>
      </c>
      <c r="J522" s="1897">
        <v>0.69483375959079285</v>
      </c>
      <c r="K522" s="1897">
        <v>0.39161125319693091</v>
      </c>
      <c r="L522" s="1897">
        <v>0.34066496163682863</v>
      </c>
      <c r="M522" s="1897">
        <v>0.51202046035805637</v>
      </c>
    </row>
    <row r="523" spans="1:13" ht="15">
      <c r="A523" s="1894">
        <f t="shared" si="8"/>
        <v>516</v>
      </c>
      <c r="B523" s="1906" t="s">
        <v>626</v>
      </c>
      <c r="C523" s="1907" t="s">
        <v>524</v>
      </c>
      <c r="D523" s="1906" t="s">
        <v>2966</v>
      </c>
      <c r="E523" s="1907" t="s">
        <v>259</v>
      </c>
      <c r="F523" s="1906">
        <v>395</v>
      </c>
      <c r="G523" s="1897">
        <v>0.53569620253164563</v>
      </c>
      <c r="H523" s="1897">
        <v>0.55392405063291139</v>
      </c>
      <c r="I523" s="1897">
        <v>0.66126582278481005</v>
      </c>
      <c r="J523" s="1897">
        <v>0.63696202531645563</v>
      </c>
      <c r="K523" s="1897">
        <v>0.36962025316455699</v>
      </c>
      <c r="L523" s="1897">
        <v>0.35645569620253165</v>
      </c>
      <c r="M523" s="1897">
        <v>0.51898734177215189</v>
      </c>
    </row>
    <row r="524" spans="1:13" ht="15">
      <c r="A524" s="1894">
        <f t="shared" si="8"/>
        <v>517</v>
      </c>
      <c r="B524" s="1906" t="s">
        <v>3382</v>
      </c>
      <c r="C524" s="1907" t="s">
        <v>524</v>
      </c>
      <c r="D524" s="1906" t="s">
        <v>541</v>
      </c>
      <c r="E524" s="1907" t="s">
        <v>259</v>
      </c>
      <c r="F524" s="1906">
        <v>400</v>
      </c>
      <c r="G524" s="1897">
        <v>0.93120000000000003</v>
      </c>
      <c r="H524" s="1897">
        <v>0.89460000000000006</v>
      </c>
      <c r="I524" s="1897">
        <v>0.96420000000000006</v>
      </c>
      <c r="J524" s="1897">
        <v>0.90780000000000005</v>
      </c>
      <c r="K524" s="1897">
        <v>0.89219999999999999</v>
      </c>
      <c r="L524" s="1897">
        <v>0.80520000000000014</v>
      </c>
      <c r="M524" s="1897">
        <v>0.8992</v>
      </c>
    </row>
    <row r="525" spans="1:13" ht="15">
      <c r="A525" s="1894">
        <f t="shared" si="8"/>
        <v>518</v>
      </c>
      <c r="B525" s="1906" t="s">
        <v>3383</v>
      </c>
      <c r="C525" s="1907" t="s">
        <v>524</v>
      </c>
      <c r="D525" s="1906" t="s">
        <v>541</v>
      </c>
      <c r="E525" s="1907" t="s">
        <v>259</v>
      </c>
      <c r="F525" s="1906">
        <v>400</v>
      </c>
      <c r="G525" s="1897">
        <v>0.95879999999999999</v>
      </c>
      <c r="H525" s="1897">
        <v>0.96239999999999992</v>
      </c>
      <c r="I525" s="1897">
        <v>0.93059999999999987</v>
      </c>
      <c r="J525" s="1897">
        <v>0.93959999999999999</v>
      </c>
      <c r="K525" s="1897">
        <v>0.97739999999999994</v>
      </c>
      <c r="L525" s="1897">
        <v>1.1814</v>
      </c>
      <c r="M525" s="1897">
        <v>0.99169999999999991</v>
      </c>
    </row>
    <row r="526" spans="1:13" ht="15">
      <c r="A526" s="1894">
        <f t="shared" si="8"/>
        <v>519</v>
      </c>
      <c r="B526" s="1906" t="s">
        <v>3384</v>
      </c>
      <c r="C526" s="1907" t="s">
        <v>524</v>
      </c>
      <c r="D526" s="1906" t="s">
        <v>623</v>
      </c>
      <c r="E526" s="1907" t="s">
        <v>259</v>
      </c>
      <c r="F526" s="1906">
        <v>400</v>
      </c>
      <c r="G526" s="1897">
        <v>6.9300000000000004E-3</v>
      </c>
      <c r="H526" s="1897">
        <v>0.72606000000000004</v>
      </c>
      <c r="I526" s="1897">
        <v>0.72217500000000001</v>
      </c>
      <c r="J526" s="1897">
        <v>0.68082600000000004</v>
      </c>
      <c r="K526" s="1897">
        <v>0.64027200000000006</v>
      </c>
      <c r="L526" s="1897">
        <v>0.62764500000000001</v>
      </c>
      <c r="M526" s="1897">
        <v>0.5673180000000001</v>
      </c>
    </row>
    <row r="527" spans="1:13" ht="15">
      <c r="A527" s="1894">
        <f t="shared" si="8"/>
        <v>520</v>
      </c>
      <c r="B527" s="1906" t="s">
        <v>3385</v>
      </c>
      <c r="C527" s="1907" t="s">
        <v>524</v>
      </c>
      <c r="D527" s="1906" t="s">
        <v>541</v>
      </c>
      <c r="E527" s="1907" t="s">
        <v>259</v>
      </c>
      <c r="F527" s="1906">
        <v>400</v>
      </c>
      <c r="G527" s="1897">
        <v>0.1026</v>
      </c>
      <c r="H527" s="1897">
        <v>0.63419999999999999</v>
      </c>
      <c r="I527" s="1897">
        <v>0.71640000000000004</v>
      </c>
      <c r="J527" s="1897">
        <v>0.59699999999999998</v>
      </c>
      <c r="K527" s="1897">
        <v>0.67920000000000003</v>
      </c>
      <c r="L527" s="1897">
        <v>0.62819999999999998</v>
      </c>
      <c r="M527" s="1897">
        <v>0.55959999999999999</v>
      </c>
    </row>
    <row r="528" spans="1:13" ht="15">
      <c r="A528" s="1894">
        <f t="shared" si="8"/>
        <v>521</v>
      </c>
      <c r="B528" s="1906" t="s">
        <v>3386</v>
      </c>
      <c r="C528" s="1907" t="s">
        <v>524</v>
      </c>
      <c r="D528" s="1906" t="s">
        <v>541</v>
      </c>
      <c r="E528" s="1907" t="s">
        <v>259</v>
      </c>
      <c r="F528" s="1906">
        <v>400</v>
      </c>
      <c r="G528" s="1897">
        <v>0.40740000000000004</v>
      </c>
      <c r="H528" s="1897">
        <v>0.60539999999999994</v>
      </c>
      <c r="I528" s="1897">
        <v>0.62159999999999993</v>
      </c>
      <c r="J528" s="1897">
        <v>0.61680000000000001</v>
      </c>
      <c r="K528" s="1897">
        <v>0.4536</v>
      </c>
      <c r="L528" s="1897">
        <v>0.4476</v>
      </c>
      <c r="M528" s="1897">
        <v>0.52539999999999998</v>
      </c>
    </row>
    <row r="529" spans="1:18" ht="15">
      <c r="A529" s="1894">
        <f t="shared" si="8"/>
        <v>522</v>
      </c>
      <c r="B529" s="1906" t="s">
        <v>3387</v>
      </c>
      <c r="C529" s="1907" t="s">
        <v>524</v>
      </c>
      <c r="D529" s="1906" t="s">
        <v>737</v>
      </c>
      <c r="E529" s="1907" t="s">
        <v>259</v>
      </c>
      <c r="F529" s="1906">
        <v>400</v>
      </c>
      <c r="G529" s="1897">
        <v>0.49099999999999994</v>
      </c>
      <c r="H529" s="1897">
        <v>0.53900000000000003</v>
      </c>
      <c r="I529" s="1897">
        <v>0.52200000000000002</v>
      </c>
      <c r="J529" s="1897">
        <v>0.54100000000000004</v>
      </c>
      <c r="K529" s="1897">
        <v>0.51300000000000001</v>
      </c>
      <c r="L529" s="1897">
        <v>0.72599999999999998</v>
      </c>
      <c r="M529" s="1897">
        <v>0.55533333333333335</v>
      </c>
    </row>
    <row r="530" spans="1:18" ht="15">
      <c r="A530" s="1894">
        <f t="shared" si="8"/>
        <v>523</v>
      </c>
      <c r="B530" s="1906" t="s">
        <v>3388</v>
      </c>
      <c r="C530" s="1907" t="s">
        <v>524</v>
      </c>
      <c r="D530" s="1906" t="s">
        <v>737</v>
      </c>
      <c r="E530" s="1907" t="s">
        <v>259</v>
      </c>
      <c r="F530" s="1906">
        <v>400</v>
      </c>
      <c r="G530" s="1897">
        <v>0.4572</v>
      </c>
      <c r="H530" s="1897">
        <v>0.53639999999999999</v>
      </c>
      <c r="I530" s="1897">
        <v>0.56399999999999995</v>
      </c>
      <c r="J530" s="1897">
        <v>0.49740000000000001</v>
      </c>
      <c r="K530" s="1897">
        <v>0.61559999999999993</v>
      </c>
      <c r="L530" s="1897">
        <v>0.56459999999999999</v>
      </c>
      <c r="M530" s="1897">
        <v>0.5391999999999999</v>
      </c>
    </row>
    <row r="531" spans="1:18" ht="15">
      <c r="A531" s="1894">
        <f t="shared" si="8"/>
        <v>524</v>
      </c>
      <c r="B531" s="1906" t="s">
        <v>3389</v>
      </c>
      <c r="C531" s="1907" t="s">
        <v>524</v>
      </c>
      <c r="D531" s="1906" t="s">
        <v>541</v>
      </c>
      <c r="E531" s="1907" t="s">
        <v>259</v>
      </c>
      <c r="F531" s="1906">
        <v>400</v>
      </c>
      <c r="G531" s="1897">
        <v>0.91620000000000001</v>
      </c>
      <c r="H531" s="1897">
        <v>0.96420000000000006</v>
      </c>
      <c r="I531" s="1897">
        <v>0.9738</v>
      </c>
      <c r="J531" s="1897">
        <v>0.9486</v>
      </c>
      <c r="K531" s="1897">
        <v>0.97560000000000002</v>
      </c>
      <c r="L531" s="1897">
        <v>0.96120000000000005</v>
      </c>
      <c r="M531" s="1897">
        <v>0.95659999999999989</v>
      </c>
    </row>
    <row r="532" spans="1:18" ht="15">
      <c r="A532" s="1894">
        <f t="shared" si="8"/>
        <v>525</v>
      </c>
      <c r="B532" s="1906" t="s">
        <v>3390</v>
      </c>
      <c r="C532" s="1907" t="s">
        <v>524</v>
      </c>
      <c r="D532" s="1906" t="s">
        <v>2966</v>
      </c>
      <c r="E532" s="1907" t="s">
        <v>259</v>
      </c>
      <c r="F532" s="1906">
        <v>400</v>
      </c>
      <c r="G532" s="1897">
        <v>0.23100000000000001</v>
      </c>
      <c r="H532" s="1897">
        <v>0.22740000000000002</v>
      </c>
      <c r="I532" s="1897">
        <v>0.23699999999999999</v>
      </c>
      <c r="J532" s="1897">
        <v>0.14879999999999999</v>
      </c>
      <c r="K532" s="1897">
        <v>0.37380000000000002</v>
      </c>
      <c r="L532" s="1897">
        <v>0.16020000000000001</v>
      </c>
      <c r="M532" s="1897">
        <v>0.22970000000000002</v>
      </c>
    </row>
    <row r="533" spans="1:18" ht="15">
      <c r="A533" s="1894">
        <f t="shared" si="8"/>
        <v>526</v>
      </c>
      <c r="B533" s="1906" t="s">
        <v>3391</v>
      </c>
      <c r="C533" s="1907" t="s">
        <v>524</v>
      </c>
      <c r="D533" s="1906" t="s">
        <v>3392</v>
      </c>
      <c r="E533" s="1907" t="s">
        <v>259</v>
      </c>
      <c r="F533" s="1906">
        <v>400</v>
      </c>
      <c r="G533" s="1897">
        <v>0.22919999999999999</v>
      </c>
      <c r="H533" s="1897">
        <v>0.2268</v>
      </c>
      <c r="I533" s="1897">
        <v>0.17519999999999999</v>
      </c>
      <c r="J533" s="1897">
        <v>0.18960000000000002</v>
      </c>
      <c r="K533" s="1897">
        <v>0.18059999999999998</v>
      </c>
      <c r="L533" s="1897">
        <v>2.8799999999999999E-2</v>
      </c>
      <c r="M533" s="1897">
        <v>0.17169999999999996</v>
      </c>
    </row>
    <row r="534" spans="1:18" ht="15">
      <c r="A534" s="1894">
        <f t="shared" si="8"/>
        <v>527</v>
      </c>
      <c r="B534" s="1906" t="s">
        <v>3393</v>
      </c>
      <c r="C534" s="1907" t="s">
        <v>524</v>
      </c>
      <c r="D534" s="1906" t="s">
        <v>541</v>
      </c>
      <c r="E534" s="1907" t="s">
        <v>259</v>
      </c>
      <c r="F534" s="1906">
        <v>400</v>
      </c>
      <c r="G534" s="1897">
        <v>0.87899999999999989</v>
      </c>
      <c r="H534" s="1897">
        <v>0.87960000000000005</v>
      </c>
      <c r="I534" s="1897">
        <v>0.85980000000000001</v>
      </c>
      <c r="J534" s="1897">
        <v>0.88500000000000001</v>
      </c>
      <c r="K534" s="1897">
        <v>0.81480000000000008</v>
      </c>
      <c r="L534" s="1897">
        <v>0.85140000000000005</v>
      </c>
      <c r="M534" s="1897">
        <v>0.86160000000000003</v>
      </c>
    </row>
    <row r="535" spans="1:18" ht="15">
      <c r="A535" s="1894">
        <f t="shared" si="8"/>
        <v>528</v>
      </c>
      <c r="B535" s="1906" t="s">
        <v>3381</v>
      </c>
      <c r="C535" s="1907" t="s">
        <v>524</v>
      </c>
      <c r="D535" s="1906" t="s">
        <v>636</v>
      </c>
      <c r="E535" s="1907" t="s">
        <v>259</v>
      </c>
      <c r="F535" s="1906">
        <v>400</v>
      </c>
      <c r="G535" s="1897">
        <v>0.71900000000000008</v>
      </c>
      <c r="H535" s="1897">
        <v>0.69400000000000006</v>
      </c>
      <c r="I535" s="1897">
        <v>0.65300000000000002</v>
      </c>
      <c r="J535" s="1897">
        <v>0.60699999999999998</v>
      </c>
      <c r="K535" s="1897">
        <v>0.49099999999999994</v>
      </c>
      <c r="L535" s="1897">
        <v>0.495</v>
      </c>
      <c r="M535" s="1897">
        <v>0.60983333333333334</v>
      </c>
    </row>
    <row r="536" spans="1:18" ht="15">
      <c r="A536" s="1894">
        <f t="shared" si="8"/>
        <v>529</v>
      </c>
      <c r="B536" s="1906" t="s">
        <v>3394</v>
      </c>
      <c r="C536" s="1907" t="s">
        <v>524</v>
      </c>
      <c r="D536" s="1906" t="s">
        <v>737</v>
      </c>
      <c r="E536" s="1907" t="s">
        <v>259</v>
      </c>
      <c r="F536" s="1906">
        <v>406</v>
      </c>
      <c r="G536" s="1897">
        <v>0.16551724137931034</v>
      </c>
      <c r="H536" s="1897">
        <v>0.18206896551724139</v>
      </c>
      <c r="I536" s="1897">
        <v>0.25418719211822655</v>
      </c>
      <c r="J536" s="1897">
        <v>0.16137931034482761</v>
      </c>
      <c r="K536" s="1897">
        <v>0.17024630541871921</v>
      </c>
      <c r="L536" s="1897">
        <v>0.13655172413793104</v>
      </c>
      <c r="M536" s="1897">
        <v>0.17832512315270935</v>
      </c>
    </row>
    <row r="537" spans="1:18" ht="15">
      <c r="A537" s="1894">
        <f t="shared" si="8"/>
        <v>530</v>
      </c>
      <c r="B537" s="1906" t="s">
        <v>3584</v>
      </c>
      <c r="C537" s="1907" t="s">
        <v>524</v>
      </c>
      <c r="D537" s="1906" t="s">
        <v>541</v>
      </c>
      <c r="E537" s="1907" t="s">
        <v>259</v>
      </c>
      <c r="F537" s="1906">
        <v>406</v>
      </c>
      <c r="G537" s="1897">
        <v>0</v>
      </c>
      <c r="H537" s="1897">
        <v>0.65229753694581283</v>
      </c>
      <c r="I537" s="1897">
        <v>0.59194581280788172</v>
      </c>
      <c r="J537" s="1897">
        <v>0.47903054187192118</v>
      </c>
      <c r="K537" s="1897">
        <v>0.16912906403940886</v>
      </c>
      <c r="L537" s="1897">
        <v>0.51443349753694589</v>
      </c>
      <c r="M537" s="1897">
        <v>0.40113940886699506</v>
      </c>
    </row>
    <row r="538" spans="1:18" ht="15">
      <c r="A538" s="1894">
        <f t="shared" si="8"/>
        <v>531</v>
      </c>
      <c r="B538" s="1906" t="s">
        <v>3395</v>
      </c>
      <c r="C538" s="1907" t="s">
        <v>524</v>
      </c>
      <c r="D538" s="1906" t="s">
        <v>541</v>
      </c>
      <c r="E538" s="1907" t="s">
        <v>259</v>
      </c>
      <c r="F538" s="1906">
        <v>420</v>
      </c>
      <c r="G538" s="1897">
        <v>1.0214285714285714</v>
      </c>
      <c r="H538" s="1897">
        <v>1.1161904761904762</v>
      </c>
      <c r="I538" s="1897">
        <v>1.1957142857142857E-2</v>
      </c>
      <c r="J538" s="1897">
        <v>1.0111599999999998</v>
      </c>
      <c r="K538" s="1897">
        <v>0.86545714285714292</v>
      </c>
      <c r="L538" s="1897">
        <v>0.91227142857142851</v>
      </c>
      <c r="M538" s="1897">
        <v>0.82307746031746021</v>
      </c>
    </row>
    <row r="539" spans="1:18" ht="15">
      <c r="A539" s="1894">
        <f t="shared" si="8"/>
        <v>532</v>
      </c>
      <c r="B539" s="1906" t="s">
        <v>3585</v>
      </c>
      <c r="C539" s="1907" t="s">
        <v>524</v>
      </c>
      <c r="D539" s="1906" t="s">
        <v>541</v>
      </c>
      <c r="E539" s="1907" t="s">
        <v>259</v>
      </c>
      <c r="F539" s="1906">
        <v>420</v>
      </c>
      <c r="G539" s="1897">
        <v>0.78857142857142859</v>
      </c>
      <c r="H539" s="1897">
        <v>0.79238095238095241</v>
      </c>
      <c r="I539" s="1897">
        <v>0.81523809523809521</v>
      </c>
      <c r="J539" s="1897">
        <v>0.74285714285714288</v>
      </c>
      <c r="K539" s="1897">
        <v>0.75428571428571434</v>
      </c>
      <c r="L539" s="1897">
        <v>0.78857142857142859</v>
      </c>
      <c r="M539" s="1897">
        <v>0.7803174603174603</v>
      </c>
    </row>
    <row r="540" spans="1:18" ht="15">
      <c r="A540" s="1894">
        <f t="shared" si="8"/>
        <v>533</v>
      </c>
      <c r="B540" s="1906" t="s">
        <v>3397</v>
      </c>
      <c r="C540" s="1907" t="s">
        <v>524</v>
      </c>
      <c r="D540" s="1906" t="s">
        <v>636</v>
      </c>
      <c r="E540" s="1907" t="s">
        <v>259</v>
      </c>
      <c r="F540" s="1906">
        <v>422</v>
      </c>
      <c r="G540" s="1897">
        <v>0.2042654028436019</v>
      </c>
      <c r="H540" s="1897">
        <v>0.21753554502369671</v>
      </c>
      <c r="I540" s="1897">
        <v>0.17582938388625594</v>
      </c>
      <c r="J540" s="1897">
        <v>0.19715639810426541</v>
      </c>
      <c r="K540" s="1897">
        <v>0.16540284360189572</v>
      </c>
      <c r="L540" s="1897">
        <v>0.14739336492890995</v>
      </c>
      <c r="M540" s="1897">
        <v>0.18459715639810426</v>
      </c>
    </row>
    <row r="541" spans="1:18" ht="15">
      <c r="A541" s="1894">
        <f t="shared" si="8"/>
        <v>534</v>
      </c>
      <c r="B541" s="1906" t="s">
        <v>3586</v>
      </c>
      <c r="C541" s="1907" t="s">
        <v>524</v>
      </c>
      <c r="D541" s="1906" t="s">
        <v>730</v>
      </c>
      <c r="E541" s="1907" t="s">
        <v>259</v>
      </c>
      <c r="F541" s="1906">
        <v>430</v>
      </c>
      <c r="G541" s="1897">
        <v>0</v>
      </c>
      <c r="H541" s="1897">
        <v>0</v>
      </c>
      <c r="I541" s="1897">
        <v>0.45544186046511631</v>
      </c>
      <c r="J541" s="1897">
        <v>0.36055813953488375</v>
      </c>
      <c r="K541" s="1897">
        <v>0.34493023255813954</v>
      </c>
      <c r="L541" s="1897">
        <v>0.34269767441860466</v>
      </c>
      <c r="M541" s="1897">
        <v>0.25060465116279068</v>
      </c>
    </row>
    <row r="542" spans="1:18" ht="15">
      <c r="A542" s="1894">
        <f t="shared" si="8"/>
        <v>535</v>
      </c>
      <c r="B542" s="1906" t="s">
        <v>3399</v>
      </c>
      <c r="C542" s="1907" t="s">
        <v>524</v>
      </c>
      <c r="D542" s="1906" t="s">
        <v>541</v>
      </c>
      <c r="E542" s="1907" t="s">
        <v>259</v>
      </c>
      <c r="F542" s="1906">
        <v>434</v>
      </c>
      <c r="G542" s="1897">
        <v>0.35170506912442401</v>
      </c>
      <c r="H542" s="1897">
        <v>0.34341013824884792</v>
      </c>
      <c r="I542" s="1897">
        <v>0.33843317972350229</v>
      </c>
      <c r="J542" s="1897">
        <v>0.35944700460829493</v>
      </c>
      <c r="K542" s="1897">
        <v>0.36387096774193545</v>
      </c>
      <c r="L542" s="1897">
        <v>0.36110599078341016</v>
      </c>
      <c r="M542" s="1897">
        <v>0.35299539170506916</v>
      </c>
    </row>
    <row r="543" spans="1:18" ht="15">
      <c r="A543" s="1894">
        <f t="shared" si="8"/>
        <v>536</v>
      </c>
      <c r="B543" s="1906" t="s">
        <v>3400</v>
      </c>
      <c r="C543" s="1907" t="s">
        <v>524</v>
      </c>
      <c r="D543" s="1906" t="s">
        <v>541</v>
      </c>
      <c r="E543" s="1907" t="s">
        <v>259</v>
      </c>
      <c r="F543" s="1906">
        <v>440</v>
      </c>
      <c r="G543" s="1897">
        <v>1.1159999999999999</v>
      </c>
      <c r="H543" s="1897">
        <v>1.1135454545454544</v>
      </c>
      <c r="I543" s="1897">
        <v>1.0423636363636364</v>
      </c>
      <c r="J543" s="1897">
        <v>1.4618181818181819</v>
      </c>
      <c r="K543" s="1897">
        <v>1.0221818181818183</v>
      </c>
      <c r="L543" s="1897">
        <v>0.96109090909090911</v>
      </c>
      <c r="M543" s="1897">
        <v>1.1194999999999999</v>
      </c>
    </row>
    <row r="544" spans="1:18" ht="15">
      <c r="A544" s="1894">
        <f t="shared" si="8"/>
        <v>537</v>
      </c>
      <c r="B544" s="1906" t="s">
        <v>3402</v>
      </c>
      <c r="C544" s="1907" t="s">
        <v>524</v>
      </c>
      <c r="D544" s="1906" t="s">
        <v>541</v>
      </c>
      <c r="E544" s="1907" t="s">
        <v>259</v>
      </c>
      <c r="F544" s="1906">
        <v>445</v>
      </c>
      <c r="G544" s="1897">
        <v>0.4924044943820225</v>
      </c>
      <c r="H544" s="1897">
        <v>0.46867415730337081</v>
      </c>
      <c r="I544" s="1897">
        <v>0.43307865168539328</v>
      </c>
      <c r="J544" s="1897">
        <v>0.42444943820224723</v>
      </c>
      <c r="K544" s="1897">
        <v>0.4546516853932584</v>
      </c>
      <c r="L544" s="1897">
        <v>0.42984269662921343</v>
      </c>
      <c r="M544" s="1897">
        <v>0.45051685393258428</v>
      </c>
      <c r="R544" s="517">
        <f>39+19</f>
        <v>58</v>
      </c>
    </row>
    <row r="545" spans="1:13" ht="15">
      <c r="A545" s="1894">
        <f t="shared" si="8"/>
        <v>538</v>
      </c>
      <c r="B545" s="1906" t="s">
        <v>3401</v>
      </c>
      <c r="C545" s="1907" t="s">
        <v>524</v>
      </c>
      <c r="D545" s="1906" t="s">
        <v>541</v>
      </c>
      <c r="E545" s="1907" t="s">
        <v>259</v>
      </c>
      <c r="F545" s="1906">
        <v>445</v>
      </c>
      <c r="G545" s="1897">
        <v>0.48647191011235957</v>
      </c>
      <c r="H545" s="1897">
        <v>0.47892134831460675</v>
      </c>
      <c r="I545" s="1897">
        <v>0.49348314606741572</v>
      </c>
      <c r="J545" s="1897">
        <v>0.41366292134831462</v>
      </c>
      <c r="K545" s="1897">
        <v>0.34462921348314601</v>
      </c>
      <c r="L545" s="1897">
        <v>0.31550561797752813</v>
      </c>
      <c r="M545" s="1897">
        <v>0.42211235955056181</v>
      </c>
    </row>
    <row r="546" spans="1:13" ht="15">
      <c r="A546" s="1894">
        <f t="shared" si="8"/>
        <v>539</v>
      </c>
      <c r="B546" s="1906" t="s">
        <v>3403</v>
      </c>
      <c r="C546" s="1907" t="s">
        <v>524</v>
      </c>
      <c r="D546" s="1906" t="s">
        <v>541</v>
      </c>
      <c r="E546" s="1907" t="s">
        <v>259</v>
      </c>
      <c r="F546" s="1906">
        <v>450</v>
      </c>
      <c r="G546" s="1897">
        <v>0.96266666666666667</v>
      </c>
      <c r="H546" s="1897">
        <v>0.96799999999999997</v>
      </c>
      <c r="I546" s="1897">
        <v>1.0346666666666666</v>
      </c>
      <c r="J546" s="1897">
        <v>0.98399999999999999</v>
      </c>
      <c r="K546" s="1897">
        <v>0.94666666666666655</v>
      </c>
      <c r="L546" s="1897">
        <v>0.92000000000000015</v>
      </c>
      <c r="M546" s="1897">
        <v>0.96933333333333327</v>
      </c>
    </row>
    <row r="547" spans="1:13" ht="15">
      <c r="A547" s="1894">
        <f t="shared" si="8"/>
        <v>540</v>
      </c>
      <c r="B547" s="1906" t="s">
        <v>3404</v>
      </c>
      <c r="C547" s="1907" t="s">
        <v>524</v>
      </c>
      <c r="D547" s="1906" t="s">
        <v>541</v>
      </c>
      <c r="E547" s="1907" t="s">
        <v>259</v>
      </c>
      <c r="F547" s="1906">
        <v>450</v>
      </c>
      <c r="G547" s="1897">
        <v>0.83679999999999999</v>
      </c>
      <c r="H547" s="1897">
        <v>0.88693333333333335</v>
      </c>
      <c r="I547" s="1897">
        <v>0.87040000000000006</v>
      </c>
      <c r="J547" s="1897">
        <v>0.85013333333333319</v>
      </c>
      <c r="K547" s="1897">
        <v>0.90506666666666657</v>
      </c>
      <c r="L547" s="1897">
        <v>0.7738666666666667</v>
      </c>
      <c r="M547" s="1897">
        <v>0.85386666666666666</v>
      </c>
    </row>
    <row r="548" spans="1:13" ht="15">
      <c r="A548" s="1894">
        <f t="shared" si="8"/>
        <v>541</v>
      </c>
      <c r="B548" s="1906" t="s">
        <v>3405</v>
      </c>
      <c r="C548" s="1907" t="s">
        <v>524</v>
      </c>
      <c r="D548" s="1906" t="s">
        <v>541</v>
      </c>
      <c r="E548" s="1907" t="s">
        <v>259</v>
      </c>
      <c r="F548" s="1906">
        <v>450</v>
      </c>
      <c r="G548" s="1897">
        <v>1.1317333333333333</v>
      </c>
      <c r="H548" s="1897">
        <v>1.1616</v>
      </c>
      <c r="I548" s="1897">
        <v>1.1285333333333334</v>
      </c>
      <c r="J548" s="1897">
        <v>1.0831999999999999</v>
      </c>
      <c r="K548" s="1897">
        <v>1.1802666666666666</v>
      </c>
      <c r="L548" s="1897">
        <v>1.1978666666666666</v>
      </c>
      <c r="M548" s="1897">
        <v>1.1471999999999998</v>
      </c>
    </row>
    <row r="549" spans="1:13" ht="15">
      <c r="A549" s="1894">
        <f t="shared" si="8"/>
        <v>542</v>
      </c>
      <c r="B549" s="1906" t="s">
        <v>3587</v>
      </c>
      <c r="C549" s="1907" t="s">
        <v>524</v>
      </c>
      <c r="D549" s="1906" t="s">
        <v>541</v>
      </c>
      <c r="E549" s="1907" t="s">
        <v>259</v>
      </c>
      <c r="F549" s="1906">
        <v>450</v>
      </c>
      <c r="G549" s="1897">
        <v>0</v>
      </c>
      <c r="H549" s="1897">
        <v>0</v>
      </c>
      <c r="I549" s="1897">
        <v>0</v>
      </c>
      <c r="J549" s="1897">
        <v>0</v>
      </c>
      <c r="K549" s="1897">
        <v>0</v>
      </c>
      <c r="L549" s="1897">
        <v>7.3506666666666678E-2</v>
      </c>
      <c r="M549" s="1897">
        <v>1.2251111111111114E-2</v>
      </c>
    </row>
    <row r="550" spans="1:13" ht="15">
      <c r="A550" s="1894">
        <f t="shared" si="8"/>
        <v>543</v>
      </c>
      <c r="B550" s="1906" t="s">
        <v>3406</v>
      </c>
      <c r="C550" s="1907" t="s">
        <v>524</v>
      </c>
      <c r="D550" s="1906" t="s">
        <v>629</v>
      </c>
      <c r="E550" s="1907" t="s">
        <v>259</v>
      </c>
      <c r="F550" s="1906">
        <v>452.22</v>
      </c>
      <c r="G550" s="1897">
        <v>0.21210915041351552</v>
      </c>
      <c r="H550" s="1897">
        <v>0.23139180045110785</v>
      </c>
      <c r="I550" s="1897">
        <v>0.25668922206005929</v>
      </c>
      <c r="J550" s="1897">
        <v>0.57273008712573525</v>
      </c>
      <c r="K550" s="1897">
        <v>0.21228605545973198</v>
      </c>
      <c r="L550" s="1897">
        <v>0.3135641944186458</v>
      </c>
      <c r="M550" s="1897">
        <v>0.29979508498813262</v>
      </c>
    </row>
    <row r="551" spans="1:13" ht="15">
      <c r="A551" s="1894">
        <f t="shared" si="8"/>
        <v>544</v>
      </c>
      <c r="B551" s="1906" t="s">
        <v>3407</v>
      </c>
      <c r="C551" s="1907" t="s">
        <v>524</v>
      </c>
      <c r="D551" s="1906" t="s">
        <v>737</v>
      </c>
      <c r="E551" s="1907" t="s">
        <v>259</v>
      </c>
      <c r="F551" s="1906">
        <v>458</v>
      </c>
      <c r="G551" s="1897">
        <v>0.86829694323144091</v>
      </c>
      <c r="H551" s="1897">
        <v>0.77973799126637544</v>
      </c>
      <c r="I551" s="1897">
        <v>0.60628820960698693</v>
      </c>
      <c r="J551" s="1897">
        <v>0.74515283842794755</v>
      </c>
      <c r="K551" s="1897">
        <v>0.59371179039301314</v>
      </c>
      <c r="L551" s="1897">
        <v>0.65554585152838418</v>
      </c>
      <c r="M551" s="1897">
        <v>0.70812227074235812</v>
      </c>
    </row>
    <row r="552" spans="1:13" ht="15">
      <c r="A552" s="1894">
        <f t="shared" si="8"/>
        <v>545</v>
      </c>
      <c r="B552" s="1906" t="s">
        <v>3409</v>
      </c>
      <c r="C552" s="1907" t="s">
        <v>524</v>
      </c>
      <c r="D552" s="1906" t="s">
        <v>541</v>
      </c>
      <c r="E552" s="1907" t="s">
        <v>259</v>
      </c>
      <c r="F552" s="1906">
        <v>465</v>
      </c>
      <c r="G552" s="1897">
        <v>0.97961290322580641</v>
      </c>
      <c r="H552" s="1897">
        <v>1.0116129032258063</v>
      </c>
      <c r="I552" s="1897">
        <v>0.98167741935483877</v>
      </c>
      <c r="J552" s="1897">
        <v>0.97961290322580641</v>
      </c>
      <c r="K552" s="1897">
        <v>0.94141935483870964</v>
      </c>
      <c r="L552" s="1897">
        <v>0.9703225806451613</v>
      </c>
      <c r="M552" s="1897">
        <v>0.97737634408602148</v>
      </c>
    </row>
    <row r="553" spans="1:13" ht="15">
      <c r="A553" s="1894">
        <f t="shared" si="8"/>
        <v>546</v>
      </c>
      <c r="B553" s="1906" t="s">
        <v>3408</v>
      </c>
      <c r="C553" s="1907" t="s">
        <v>524</v>
      </c>
      <c r="D553" s="1906" t="s">
        <v>737</v>
      </c>
      <c r="E553" s="1907" t="s">
        <v>259</v>
      </c>
      <c r="F553" s="1906">
        <v>465</v>
      </c>
      <c r="G553" s="1897">
        <v>0.65754838709677432</v>
      </c>
      <c r="H553" s="1897">
        <v>0.60903225806451611</v>
      </c>
      <c r="I553" s="1897">
        <v>8.2064516129032261E-2</v>
      </c>
      <c r="J553" s="1897">
        <v>7.3806451612903223E-2</v>
      </c>
      <c r="K553" s="1897">
        <v>1.8580645161290325E-2</v>
      </c>
      <c r="L553" s="1897">
        <v>2.1161290322580649E-2</v>
      </c>
      <c r="M553" s="1897">
        <v>0.24369892473118285</v>
      </c>
    </row>
    <row r="554" spans="1:13" ht="15">
      <c r="A554" s="1894">
        <f t="shared" si="8"/>
        <v>547</v>
      </c>
      <c r="B554" s="1906" t="s">
        <v>3410</v>
      </c>
      <c r="C554" s="1907" t="s">
        <v>524</v>
      </c>
      <c r="D554" s="1906" t="s">
        <v>737</v>
      </c>
      <c r="E554" s="1907" t="s">
        <v>259</v>
      </c>
      <c r="F554" s="1906">
        <v>467</v>
      </c>
      <c r="G554" s="1897">
        <v>0.15725910064239829</v>
      </c>
      <c r="H554" s="1897">
        <v>0.1942612419700214</v>
      </c>
      <c r="I554" s="1897">
        <v>0.21944325481798715</v>
      </c>
      <c r="J554" s="1897">
        <v>0.1670235546038544</v>
      </c>
      <c r="K554" s="1897">
        <v>0.17113490364025696</v>
      </c>
      <c r="L554" s="1897">
        <v>0.19117773019271947</v>
      </c>
      <c r="M554" s="1897">
        <v>0.18338329764453962</v>
      </c>
    </row>
    <row r="555" spans="1:13" ht="15">
      <c r="A555" s="1894">
        <f t="shared" si="8"/>
        <v>548</v>
      </c>
      <c r="B555" s="1906" t="s">
        <v>3411</v>
      </c>
      <c r="C555" s="1907" t="s">
        <v>524</v>
      </c>
      <c r="D555" s="1906" t="s">
        <v>2966</v>
      </c>
      <c r="E555" s="1907" t="s">
        <v>259</v>
      </c>
      <c r="F555" s="1906">
        <v>470</v>
      </c>
      <c r="G555" s="1897">
        <v>0.88697872340425532</v>
      </c>
      <c r="H555" s="1897">
        <v>1.0371063829787235</v>
      </c>
      <c r="I555" s="1897">
        <v>1.2571914893617022</v>
      </c>
      <c r="J555" s="1897">
        <v>0.32068085106382976</v>
      </c>
      <c r="K555" s="1897">
        <v>0.55914893617021277</v>
      </c>
      <c r="L555" s="1897">
        <v>0.53463829787234041</v>
      </c>
      <c r="M555" s="1897">
        <v>0.76595744680851052</v>
      </c>
    </row>
    <row r="556" spans="1:13" ht="15">
      <c r="A556" s="1894">
        <f t="shared" si="8"/>
        <v>549</v>
      </c>
      <c r="B556" s="1906" t="s">
        <v>3412</v>
      </c>
      <c r="C556" s="1907" t="s">
        <v>524</v>
      </c>
      <c r="D556" s="1906" t="s">
        <v>541</v>
      </c>
      <c r="E556" s="1907" t="s">
        <v>259</v>
      </c>
      <c r="F556" s="1906">
        <v>475</v>
      </c>
      <c r="G556" s="1897">
        <v>1.0671157894736842</v>
      </c>
      <c r="H556" s="1897">
        <v>0.96101052631578954</v>
      </c>
      <c r="I556" s="1897">
        <v>0.99233684210526307</v>
      </c>
      <c r="J556" s="1897">
        <v>1.1171368421052632</v>
      </c>
      <c r="K556" s="1897">
        <v>1.0443789473684211</v>
      </c>
      <c r="L556" s="1897">
        <v>1.0352842105263158</v>
      </c>
      <c r="M556" s="1897">
        <v>1.0362105263157897</v>
      </c>
    </row>
    <row r="557" spans="1:13" ht="15">
      <c r="A557" s="1894">
        <f t="shared" si="8"/>
        <v>550</v>
      </c>
      <c r="B557" s="1906" t="s">
        <v>3413</v>
      </c>
      <c r="C557" s="1907" t="s">
        <v>524</v>
      </c>
      <c r="D557" s="1906" t="s">
        <v>541</v>
      </c>
      <c r="E557" s="1907" t="s">
        <v>259</v>
      </c>
      <c r="F557" s="1906">
        <v>475</v>
      </c>
      <c r="G557" s="1897">
        <v>0.81953684210526323</v>
      </c>
      <c r="H557" s="1897">
        <v>0.85389473684210526</v>
      </c>
      <c r="I557" s="1897">
        <v>0.84075789473684204</v>
      </c>
      <c r="J557" s="1897">
        <v>0.78517894736842109</v>
      </c>
      <c r="K557" s="1897">
        <v>0.80437894736842119</v>
      </c>
      <c r="L557" s="1897">
        <v>0.8094315789473685</v>
      </c>
      <c r="M557" s="1897">
        <v>0.81886315789473685</v>
      </c>
    </row>
    <row r="558" spans="1:13" ht="15">
      <c r="A558" s="1894">
        <f t="shared" si="8"/>
        <v>551</v>
      </c>
      <c r="B558" s="1906" t="s">
        <v>3414</v>
      </c>
      <c r="C558" s="1907" t="s">
        <v>524</v>
      </c>
      <c r="D558" s="1906" t="s">
        <v>730</v>
      </c>
      <c r="E558" s="1907" t="s">
        <v>259</v>
      </c>
      <c r="F558" s="1906">
        <v>478</v>
      </c>
      <c r="G558" s="1897">
        <v>0.8545606694560669</v>
      </c>
      <c r="H558" s="1897">
        <v>0.88418410041841011</v>
      </c>
      <c r="I558" s="1897">
        <v>0.86510460251046029</v>
      </c>
      <c r="J558" s="1897">
        <v>0.89221757322175732</v>
      </c>
      <c r="K558" s="1897">
        <v>0.83648535564853554</v>
      </c>
      <c r="L558" s="1897">
        <v>0.84903765690376565</v>
      </c>
      <c r="M558" s="1897">
        <v>0.86359832635983269</v>
      </c>
    </row>
    <row r="559" spans="1:13" ht="15">
      <c r="A559" s="1894">
        <f t="shared" si="8"/>
        <v>552</v>
      </c>
      <c r="B559" s="1906" t="s">
        <v>3588</v>
      </c>
      <c r="C559" s="1907" t="s">
        <v>524</v>
      </c>
      <c r="D559" s="1906" t="s">
        <v>636</v>
      </c>
      <c r="E559" s="1907" t="s">
        <v>259</v>
      </c>
      <c r="F559" s="1906">
        <v>487</v>
      </c>
      <c r="G559" s="1897">
        <v>0</v>
      </c>
      <c r="H559" s="1897">
        <v>0</v>
      </c>
      <c r="I559" s="1897">
        <v>0</v>
      </c>
      <c r="J559" s="1897">
        <v>0</v>
      </c>
      <c r="K559" s="1897">
        <v>0</v>
      </c>
      <c r="L559" s="1897">
        <v>0</v>
      </c>
      <c r="M559" s="1897">
        <v>0</v>
      </c>
    </row>
    <row r="560" spans="1:13" ht="15">
      <c r="A560" s="1894">
        <f t="shared" si="8"/>
        <v>553</v>
      </c>
      <c r="B560" s="1906" t="s">
        <v>3415</v>
      </c>
      <c r="C560" s="1907" t="s">
        <v>524</v>
      </c>
      <c r="D560" s="1906" t="s">
        <v>541</v>
      </c>
      <c r="E560" s="1907" t="s">
        <v>259</v>
      </c>
      <c r="F560" s="1906">
        <v>489</v>
      </c>
      <c r="G560" s="1897">
        <v>0.5339877300613497</v>
      </c>
      <c r="H560" s="1897">
        <v>0.51975460122699391</v>
      </c>
      <c r="I560" s="1897">
        <v>0.5069938650306749</v>
      </c>
      <c r="J560" s="1897">
        <v>0.50208588957055211</v>
      </c>
      <c r="K560" s="1897">
        <v>0.50993865030674845</v>
      </c>
      <c r="L560" s="1897">
        <v>0.49079754601226994</v>
      </c>
      <c r="M560" s="1897">
        <v>0.51059304703476482</v>
      </c>
    </row>
    <row r="561" spans="1:13" ht="15">
      <c r="A561" s="1894">
        <f t="shared" si="8"/>
        <v>554</v>
      </c>
      <c r="B561" s="1906" t="s">
        <v>3416</v>
      </c>
      <c r="C561" s="1907" t="s">
        <v>524</v>
      </c>
      <c r="D561" s="1906" t="s">
        <v>541</v>
      </c>
      <c r="E561" s="1907" t="s">
        <v>259</v>
      </c>
      <c r="F561" s="1906">
        <v>490</v>
      </c>
      <c r="G561" s="1897">
        <v>0.66220408163265299</v>
      </c>
      <c r="H561" s="1897">
        <v>0.82775510204081637</v>
      </c>
      <c r="I561" s="1897">
        <v>0.77191836734693864</v>
      </c>
      <c r="J561" s="1897">
        <v>0.72783673469387766</v>
      </c>
      <c r="K561" s="1897">
        <v>0.70775510204081626</v>
      </c>
      <c r="L561" s="1897">
        <v>0.76310204081632649</v>
      </c>
      <c r="M561" s="1897">
        <v>0.74342857142857144</v>
      </c>
    </row>
    <row r="562" spans="1:13" ht="15">
      <c r="A562" s="1894">
        <f t="shared" si="8"/>
        <v>555</v>
      </c>
      <c r="B562" s="1906" t="s">
        <v>3417</v>
      </c>
      <c r="C562" s="1907" t="s">
        <v>524</v>
      </c>
      <c r="D562" s="1906" t="s">
        <v>541</v>
      </c>
      <c r="E562" s="1907" t="s">
        <v>259</v>
      </c>
      <c r="F562" s="1906">
        <v>490</v>
      </c>
      <c r="G562" s="1897">
        <v>0.45877551020408164</v>
      </c>
      <c r="H562" s="1897">
        <v>0.69795918367346943</v>
      </c>
      <c r="I562" s="1897">
        <v>0.57795918367346932</v>
      </c>
      <c r="J562" s="1897">
        <v>0.50857142857142856</v>
      </c>
      <c r="K562" s="1897">
        <v>0.46448979591836731</v>
      </c>
      <c r="L562" s="1897">
        <v>0.41632653061224489</v>
      </c>
      <c r="M562" s="1897">
        <v>0.52068027210884349</v>
      </c>
    </row>
    <row r="563" spans="1:13" ht="15">
      <c r="A563" s="1894">
        <f t="shared" si="8"/>
        <v>556</v>
      </c>
      <c r="B563" s="1906" t="s">
        <v>3418</v>
      </c>
      <c r="C563" s="1907" t="s">
        <v>524</v>
      </c>
      <c r="D563" s="1906" t="s">
        <v>541</v>
      </c>
      <c r="E563" s="1907" t="s">
        <v>259</v>
      </c>
      <c r="F563" s="1906">
        <v>495</v>
      </c>
      <c r="G563" s="1897">
        <v>0.75248484848484853</v>
      </c>
      <c r="H563" s="1897">
        <v>0.7626666666666666</v>
      </c>
      <c r="I563" s="1897">
        <v>0.8746666666666667</v>
      </c>
      <c r="J563" s="1897">
        <v>0.7626666666666666</v>
      </c>
      <c r="K563" s="1897">
        <v>0.7781818181818182</v>
      </c>
      <c r="L563" s="1897">
        <v>0.76703030303030306</v>
      </c>
      <c r="M563" s="1897">
        <v>0.78294949494949495</v>
      </c>
    </row>
    <row r="564" spans="1:13" ht="15">
      <c r="A564" s="1894">
        <f t="shared" si="8"/>
        <v>557</v>
      </c>
      <c r="B564" s="1906" t="s">
        <v>3589</v>
      </c>
      <c r="C564" s="1907" t="s">
        <v>524</v>
      </c>
      <c r="D564" s="1906" t="s">
        <v>730</v>
      </c>
      <c r="E564" s="1907" t="s">
        <v>259</v>
      </c>
      <c r="F564" s="1906">
        <v>498</v>
      </c>
      <c r="G564" s="1897">
        <v>0</v>
      </c>
      <c r="H564" s="1897">
        <v>0</v>
      </c>
      <c r="I564" s="1897">
        <v>0</v>
      </c>
      <c r="J564" s="1897">
        <v>8.2971887550200796E-2</v>
      </c>
      <c r="K564" s="1897">
        <v>0.70217670682730926</v>
      </c>
      <c r="L564" s="1897">
        <v>0.67947791164658633</v>
      </c>
      <c r="M564" s="1897">
        <v>0.24410441767068272</v>
      </c>
    </row>
    <row r="565" spans="1:13" ht="15">
      <c r="A565" s="1894">
        <f t="shared" si="8"/>
        <v>558</v>
      </c>
      <c r="B565" s="1906" t="s">
        <v>3590</v>
      </c>
      <c r="C565" s="1907" t="s">
        <v>524</v>
      </c>
      <c r="D565" s="1906" t="s">
        <v>541</v>
      </c>
      <c r="E565" s="1907" t="s">
        <v>259</v>
      </c>
      <c r="F565" s="1906">
        <v>500</v>
      </c>
      <c r="G565" s="1897">
        <v>1.01088</v>
      </c>
      <c r="H565" s="1897">
        <v>1.0531200000000001</v>
      </c>
      <c r="I565" s="1897">
        <v>1.01088</v>
      </c>
      <c r="J565" s="1897">
        <v>0.91295999999999999</v>
      </c>
      <c r="K565" s="1897">
        <v>0.99359999999999993</v>
      </c>
      <c r="L565" s="1897">
        <v>1.0742400000000001</v>
      </c>
      <c r="M565" s="1897">
        <v>1.0092800000000002</v>
      </c>
    </row>
    <row r="566" spans="1:13" ht="15">
      <c r="A566" s="1894">
        <f t="shared" si="8"/>
        <v>559</v>
      </c>
      <c r="B566" s="1906" t="s">
        <v>3419</v>
      </c>
      <c r="C566" s="1907" t="s">
        <v>524</v>
      </c>
      <c r="D566" s="1906" t="s">
        <v>541</v>
      </c>
      <c r="E566" s="1907" t="s">
        <v>259</v>
      </c>
      <c r="F566" s="1906">
        <v>500</v>
      </c>
      <c r="G566" s="1897">
        <v>1.6320000000000001</v>
      </c>
      <c r="H566" s="1897">
        <v>1.7083199999999998</v>
      </c>
      <c r="I566" s="1897">
        <v>1.50624</v>
      </c>
      <c r="J566" s="1897">
        <v>1.54128</v>
      </c>
      <c r="K566" s="1897">
        <v>1.40832</v>
      </c>
      <c r="L566" s="1897">
        <v>1.78464</v>
      </c>
      <c r="M566" s="1897">
        <v>1.5968</v>
      </c>
    </row>
    <row r="567" spans="1:13" ht="15">
      <c r="A567" s="1894">
        <f t="shared" si="8"/>
        <v>560</v>
      </c>
      <c r="B567" s="1906" t="s">
        <v>3420</v>
      </c>
      <c r="C567" s="1907" t="s">
        <v>524</v>
      </c>
      <c r="D567" s="1906" t="s">
        <v>636</v>
      </c>
      <c r="E567" s="1907" t="s">
        <v>259</v>
      </c>
      <c r="F567" s="1906">
        <v>500</v>
      </c>
      <c r="G567" s="1897">
        <v>0.44064000000000003</v>
      </c>
      <c r="H567" s="1897">
        <v>0.57504</v>
      </c>
      <c r="I567" s="1897">
        <v>0.59711999999999998</v>
      </c>
      <c r="J567" s="1897">
        <v>0.51071999999999995</v>
      </c>
      <c r="K567" s="1897">
        <v>0.35471999999999998</v>
      </c>
      <c r="L567" s="1897">
        <v>0.53327999999999998</v>
      </c>
      <c r="M567" s="1897">
        <v>0.50192000000000003</v>
      </c>
    </row>
    <row r="568" spans="1:13" ht="15">
      <c r="A568" s="1894">
        <f t="shared" si="8"/>
        <v>561</v>
      </c>
      <c r="B568" s="1906" t="s">
        <v>3591</v>
      </c>
      <c r="C568" s="1907" t="s">
        <v>524</v>
      </c>
      <c r="D568" s="1906" t="s">
        <v>636</v>
      </c>
      <c r="E568" s="1907" t="s">
        <v>259</v>
      </c>
      <c r="F568" s="1906">
        <v>500</v>
      </c>
      <c r="G568" s="1897">
        <v>0.72383999999999993</v>
      </c>
      <c r="H568" s="1897">
        <v>0.86496000000000006</v>
      </c>
      <c r="I568" s="1897">
        <v>0.81984000000000001</v>
      </c>
      <c r="J568" s="1897">
        <v>0.84</v>
      </c>
      <c r="K568" s="1897">
        <v>0.81600000000000006</v>
      </c>
      <c r="L568" s="1897">
        <v>0.89087999999999989</v>
      </c>
      <c r="M568" s="1897">
        <v>0.82591999999999999</v>
      </c>
    </row>
    <row r="569" spans="1:13" ht="15">
      <c r="A569" s="1894">
        <f t="shared" si="8"/>
        <v>562</v>
      </c>
      <c r="B569" s="1906" t="s">
        <v>3425</v>
      </c>
      <c r="C569" s="1907" t="s">
        <v>524</v>
      </c>
      <c r="D569" s="1906" t="s">
        <v>541</v>
      </c>
      <c r="E569" s="1907" t="s">
        <v>259</v>
      </c>
      <c r="F569" s="1906">
        <v>500</v>
      </c>
      <c r="G569" s="1897">
        <v>1.18896</v>
      </c>
      <c r="H569" s="1897">
        <v>1.0420799999999999</v>
      </c>
      <c r="I569" s="1897">
        <v>1.26528</v>
      </c>
      <c r="J569" s="1897">
        <v>1.3099199999999998</v>
      </c>
      <c r="K569" s="1897">
        <v>1.2916800000000002</v>
      </c>
      <c r="L569" s="1897">
        <v>1.22976</v>
      </c>
      <c r="M569" s="1897">
        <v>1.2212799999999999</v>
      </c>
    </row>
    <row r="570" spans="1:13" ht="15">
      <c r="A570" s="1894">
        <f t="shared" si="8"/>
        <v>563</v>
      </c>
      <c r="B570" s="1906" t="s">
        <v>3423</v>
      </c>
      <c r="C570" s="1907" t="s">
        <v>524</v>
      </c>
      <c r="D570" s="1906" t="s">
        <v>629</v>
      </c>
      <c r="E570" s="1907" t="s">
        <v>259</v>
      </c>
      <c r="F570" s="1906">
        <v>500</v>
      </c>
      <c r="G570" s="1897">
        <v>0.39439999999999997</v>
      </c>
      <c r="H570" s="1897">
        <v>0.41360000000000002</v>
      </c>
      <c r="I570" s="1897">
        <v>0.41199999999999998</v>
      </c>
      <c r="J570" s="1897">
        <v>0.42320000000000002</v>
      </c>
      <c r="K570" s="1897">
        <v>0.41760000000000003</v>
      </c>
      <c r="L570" s="1897">
        <v>0.4456</v>
      </c>
      <c r="M570" s="1897">
        <v>0.41773333333333335</v>
      </c>
    </row>
    <row r="571" spans="1:13" ht="15">
      <c r="A571" s="1894">
        <f t="shared" si="8"/>
        <v>564</v>
      </c>
      <c r="B571" s="1906" t="s">
        <v>3424</v>
      </c>
      <c r="C571" s="1907" t="s">
        <v>524</v>
      </c>
      <c r="D571" s="1906" t="s">
        <v>541</v>
      </c>
      <c r="E571" s="1907" t="s">
        <v>259</v>
      </c>
      <c r="F571" s="1906">
        <v>500</v>
      </c>
      <c r="G571" s="1897">
        <v>0.20880000000000001</v>
      </c>
      <c r="H571" s="1897">
        <v>0.23832</v>
      </c>
      <c r="I571" s="1897">
        <v>0.26136000000000004</v>
      </c>
      <c r="J571" s="1897">
        <v>0.20520000000000002</v>
      </c>
      <c r="K571" s="1897">
        <v>0.16919999999999999</v>
      </c>
      <c r="L571" s="1897">
        <v>0.23832</v>
      </c>
      <c r="M571" s="1897">
        <v>0.22020000000000003</v>
      </c>
    </row>
    <row r="572" spans="1:13" ht="15">
      <c r="A572" s="1894">
        <f t="shared" si="8"/>
        <v>565</v>
      </c>
      <c r="B572" s="1906" t="s">
        <v>587</v>
      </c>
      <c r="C572" s="1907" t="s">
        <v>524</v>
      </c>
      <c r="D572" s="1906" t="s">
        <v>629</v>
      </c>
      <c r="E572" s="1907" t="s">
        <v>259</v>
      </c>
      <c r="F572" s="1906">
        <v>500</v>
      </c>
      <c r="G572" s="1897">
        <v>0.33279999999999998</v>
      </c>
      <c r="H572" s="1897">
        <v>0.36014400000000002</v>
      </c>
      <c r="I572" s="1897">
        <v>0.45683999999999997</v>
      </c>
      <c r="J572" s="1897">
        <v>0.39657600000000004</v>
      </c>
      <c r="K572" s="1897">
        <v>0.34889600000000004</v>
      </c>
      <c r="L572" s="1897">
        <v>0.41067999999999993</v>
      </c>
      <c r="M572" s="1897">
        <v>0.38432266666666665</v>
      </c>
    </row>
    <row r="573" spans="1:13" ht="15">
      <c r="A573" s="1894">
        <f t="shared" si="8"/>
        <v>566</v>
      </c>
      <c r="B573" s="1906" t="s">
        <v>3426</v>
      </c>
      <c r="C573" s="1907" t="s">
        <v>524</v>
      </c>
      <c r="D573" s="1906" t="s">
        <v>636</v>
      </c>
      <c r="E573" s="1907" t="s">
        <v>259</v>
      </c>
      <c r="F573" s="1906">
        <v>500</v>
      </c>
      <c r="G573" s="1897">
        <v>0.55296000000000001</v>
      </c>
      <c r="H573" s="1897">
        <v>0.55103999999999997</v>
      </c>
      <c r="I573" s="1897">
        <v>0.58704000000000012</v>
      </c>
      <c r="J573" s="1897">
        <v>0.42575999999999997</v>
      </c>
      <c r="K573" s="1897">
        <v>0.43391999999999997</v>
      </c>
      <c r="L573" s="1897">
        <v>0.39119999999999999</v>
      </c>
      <c r="M573" s="1897">
        <v>0.49032000000000003</v>
      </c>
    </row>
    <row r="574" spans="1:13" ht="15">
      <c r="A574" s="1894">
        <f t="shared" si="8"/>
        <v>567</v>
      </c>
      <c r="B574" s="1906" t="s">
        <v>3592</v>
      </c>
      <c r="C574" s="1907" t="s">
        <v>524</v>
      </c>
      <c r="D574" s="1906" t="s">
        <v>730</v>
      </c>
      <c r="E574" s="1907" t="s">
        <v>259</v>
      </c>
      <c r="F574" s="1906">
        <v>502</v>
      </c>
      <c r="G574" s="1897">
        <v>0</v>
      </c>
      <c r="H574" s="1897">
        <v>0</v>
      </c>
      <c r="I574" s="1897">
        <v>0</v>
      </c>
      <c r="J574" s="1897">
        <v>0</v>
      </c>
      <c r="K574" s="1897">
        <v>0</v>
      </c>
      <c r="L574" s="1897">
        <v>0.92892430278884464</v>
      </c>
      <c r="M574" s="1897">
        <v>0.15482071713147411</v>
      </c>
    </row>
    <row r="575" spans="1:13" ht="15">
      <c r="A575" s="1894">
        <f t="shared" si="8"/>
        <v>568</v>
      </c>
      <c r="B575" s="1906" t="s">
        <v>3427</v>
      </c>
      <c r="C575" s="1907" t="s">
        <v>524</v>
      </c>
      <c r="D575" s="1906" t="s">
        <v>541</v>
      </c>
      <c r="E575" s="1907" t="s">
        <v>259</v>
      </c>
      <c r="F575" s="1906">
        <v>506</v>
      </c>
      <c r="G575" s="1897">
        <v>0.99699604743083003</v>
      </c>
      <c r="H575" s="1897">
        <v>1.0430039525691699</v>
      </c>
      <c r="I575" s="1897">
        <v>0.93533596837944655</v>
      </c>
      <c r="J575" s="1897">
        <v>0.93438735177865617</v>
      </c>
      <c r="K575" s="1897">
        <v>0.88363636363636366</v>
      </c>
      <c r="L575" s="1897">
        <v>1.0112252964426878</v>
      </c>
      <c r="M575" s="1897">
        <v>0.96743083003952568</v>
      </c>
    </row>
    <row r="576" spans="1:13" ht="15">
      <c r="A576" s="1894">
        <f t="shared" si="8"/>
        <v>569</v>
      </c>
      <c r="B576" s="1906" t="s">
        <v>3428</v>
      </c>
      <c r="C576" s="1907" t="s">
        <v>524</v>
      </c>
      <c r="D576" s="1906" t="s">
        <v>541</v>
      </c>
      <c r="E576" s="1907" t="s">
        <v>259</v>
      </c>
      <c r="F576" s="1906">
        <v>536</v>
      </c>
      <c r="G576" s="1897">
        <v>0.13343283582089552</v>
      </c>
      <c r="H576" s="1897">
        <v>0.10611940298507462</v>
      </c>
      <c r="I576" s="1897">
        <v>0.10925373134328359</v>
      </c>
      <c r="J576" s="1897">
        <v>0.10611940298507462</v>
      </c>
      <c r="K576" s="1897">
        <v>0.11417910447761193</v>
      </c>
      <c r="L576" s="1897">
        <v>0.10343283582089552</v>
      </c>
      <c r="M576" s="1897">
        <v>0.11208955223880597</v>
      </c>
    </row>
    <row r="577" spans="1:13" ht="15">
      <c r="A577" s="1894">
        <f t="shared" si="8"/>
        <v>570</v>
      </c>
      <c r="B577" s="1906" t="s">
        <v>3429</v>
      </c>
      <c r="C577" s="1907" t="s">
        <v>524</v>
      </c>
      <c r="D577" s="1906" t="s">
        <v>730</v>
      </c>
      <c r="E577" s="1907" t="s">
        <v>259</v>
      </c>
      <c r="F577" s="1906">
        <v>554</v>
      </c>
      <c r="G577" s="1897">
        <v>0.41877256317689532</v>
      </c>
      <c r="H577" s="1897">
        <v>0.3956678700361011</v>
      </c>
      <c r="I577" s="1897">
        <v>0.40866425992779781</v>
      </c>
      <c r="J577" s="1897">
        <v>0.4296028880866426</v>
      </c>
      <c r="K577" s="1897">
        <v>0.45703971119133574</v>
      </c>
      <c r="L577" s="1897">
        <v>0.44837545126353789</v>
      </c>
      <c r="M577" s="1897">
        <v>0.42635379061371842</v>
      </c>
    </row>
    <row r="578" spans="1:13" ht="15">
      <c r="A578" s="1894">
        <f t="shared" si="8"/>
        <v>571</v>
      </c>
      <c r="B578" s="1906" t="s">
        <v>3439</v>
      </c>
      <c r="C578" s="1907" t="s">
        <v>524</v>
      </c>
      <c r="D578" s="1906" t="s">
        <v>541</v>
      </c>
      <c r="E578" s="1907" t="s">
        <v>259</v>
      </c>
      <c r="F578" s="1906">
        <v>555</v>
      </c>
      <c r="G578" s="1897">
        <v>0.64086486486486482</v>
      </c>
      <c r="H578" s="1897">
        <v>0.60194594594594597</v>
      </c>
      <c r="I578" s="1897">
        <v>0.62270270270270267</v>
      </c>
      <c r="J578" s="1897">
        <v>0.64259459459459467</v>
      </c>
      <c r="K578" s="1897">
        <v>0.49210810810810812</v>
      </c>
      <c r="L578" s="1897">
        <v>0.6192432432432432</v>
      </c>
      <c r="M578" s="1897">
        <v>0.6032432432432433</v>
      </c>
    </row>
    <row r="579" spans="1:13" ht="15">
      <c r="A579" s="1894">
        <f t="shared" si="8"/>
        <v>572</v>
      </c>
      <c r="B579" s="1906" t="s">
        <v>3436</v>
      </c>
      <c r="C579" s="1907" t="s">
        <v>524</v>
      </c>
      <c r="D579" s="1906" t="s">
        <v>623</v>
      </c>
      <c r="E579" s="1907" t="s">
        <v>259</v>
      </c>
      <c r="F579" s="1906">
        <v>555</v>
      </c>
      <c r="G579" s="1897">
        <v>1.0689729729729729</v>
      </c>
      <c r="H579" s="1897">
        <v>1.4175135135135133</v>
      </c>
      <c r="I579" s="1897">
        <v>1.3405405405405406</v>
      </c>
      <c r="J579" s="1897">
        <v>1.4356756756756759</v>
      </c>
      <c r="K579" s="1897">
        <v>1.4936216216216214</v>
      </c>
      <c r="L579" s="1897">
        <v>1.5532972972972974</v>
      </c>
      <c r="M579" s="1897">
        <v>1.3849369369369366</v>
      </c>
    </row>
    <row r="580" spans="1:13" ht="15">
      <c r="A580" s="1894">
        <f t="shared" si="8"/>
        <v>573</v>
      </c>
      <c r="B580" s="1906" t="s">
        <v>3437</v>
      </c>
      <c r="C580" s="1907" t="s">
        <v>524</v>
      </c>
      <c r="D580" s="1906" t="s">
        <v>541</v>
      </c>
      <c r="E580" s="1907" t="s">
        <v>259</v>
      </c>
      <c r="F580" s="1906">
        <v>555</v>
      </c>
      <c r="G580" s="1897">
        <v>0.57772972972972969</v>
      </c>
      <c r="H580" s="1897">
        <v>0.69967567567567568</v>
      </c>
      <c r="I580" s="1897">
        <v>0.57600000000000007</v>
      </c>
      <c r="J580" s="1897">
        <v>0.54140540540540549</v>
      </c>
      <c r="K580" s="1897">
        <v>0.47221621621621629</v>
      </c>
      <c r="L580" s="1897">
        <v>0.51718918918918921</v>
      </c>
      <c r="M580" s="1897">
        <v>0.56403603603603614</v>
      </c>
    </row>
    <row r="581" spans="1:13" ht="15">
      <c r="A581" s="1894">
        <f t="shared" si="8"/>
        <v>574</v>
      </c>
      <c r="B581" s="1906" t="s">
        <v>3593</v>
      </c>
      <c r="C581" s="1907" t="s">
        <v>524</v>
      </c>
      <c r="D581" s="1906" t="s">
        <v>541</v>
      </c>
      <c r="E581" s="1907" t="s">
        <v>259</v>
      </c>
      <c r="F581" s="1906">
        <v>555</v>
      </c>
      <c r="G581" s="1897">
        <v>0</v>
      </c>
      <c r="H581" s="1897">
        <v>0.15091891891891893</v>
      </c>
      <c r="I581" s="1897">
        <v>0.67027027027027031</v>
      </c>
      <c r="J581" s="1897">
        <v>0.77405405405405403</v>
      </c>
      <c r="K581" s="1897">
        <v>0.66897297297297298</v>
      </c>
      <c r="L581" s="1897">
        <v>0.85794594594594586</v>
      </c>
      <c r="M581" s="1897">
        <v>0.52036036036036037</v>
      </c>
    </row>
    <row r="582" spans="1:13" ht="15">
      <c r="A582" s="1894">
        <f t="shared" si="8"/>
        <v>575</v>
      </c>
      <c r="B582" s="1906" t="s">
        <v>3438</v>
      </c>
      <c r="C582" s="1907" t="s">
        <v>524</v>
      </c>
      <c r="D582" s="1906" t="s">
        <v>541</v>
      </c>
      <c r="E582" s="1907" t="s">
        <v>259</v>
      </c>
      <c r="F582" s="1906">
        <v>555</v>
      </c>
      <c r="G582" s="1897">
        <v>0.7264864864864865</v>
      </c>
      <c r="H582" s="1897">
        <v>0.7675675675675675</v>
      </c>
      <c r="I582" s="1897">
        <v>0.61189189189189186</v>
      </c>
      <c r="J582" s="1897">
        <v>0.67891891891891887</v>
      </c>
      <c r="K582" s="1897">
        <v>0.6594594594594595</v>
      </c>
      <c r="L582" s="1897">
        <v>0.5772972972972974</v>
      </c>
      <c r="M582" s="1897">
        <v>0.6702702702702702</v>
      </c>
    </row>
    <row r="583" spans="1:13" ht="15">
      <c r="A583" s="1894">
        <f t="shared" si="8"/>
        <v>576</v>
      </c>
      <c r="B583" s="1906" t="s">
        <v>727</v>
      </c>
      <c r="C583" s="1907" t="s">
        <v>524</v>
      </c>
      <c r="D583" s="1906" t="s">
        <v>595</v>
      </c>
      <c r="E583" s="1907" t="s">
        <v>259</v>
      </c>
      <c r="F583" s="1906">
        <v>555</v>
      </c>
      <c r="G583" s="1897">
        <v>0.54054054054054057</v>
      </c>
      <c r="H583" s="1897">
        <v>0.4756756756756757</v>
      </c>
      <c r="I583" s="1897">
        <v>0.4756756756756757</v>
      </c>
      <c r="J583" s="1897">
        <v>0.49729729729729732</v>
      </c>
      <c r="K583" s="1897">
        <v>0.43243243243243246</v>
      </c>
      <c r="L583" s="1897">
        <v>0.38918918918918921</v>
      </c>
      <c r="M583" s="1897">
        <v>0.46846846846846851</v>
      </c>
    </row>
    <row r="584" spans="1:13" ht="15">
      <c r="A584" s="1894">
        <f t="shared" si="8"/>
        <v>577</v>
      </c>
      <c r="B584" s="1906" t="s">
        <v>3440</v>
      </c>
      <c r="C584" s="1907" t="s">
        <v>524</v>
      </c>
      <c r="D584" s="1906" t="s">
        <v>629</v>
      </c>
      <c r="E584" s="1907" t="s">
        <v>259</v>
      </c>
      <c r="F584" s="1906">
        <v>555</v>
      </c>
      <c r="G584" s="1897">
        <v>0.20540540540540542</v>
      </c>
      <c r="H584" s="1897">
        <v>0.17513513513513515</v>
      </c>
      <c r="I584" s="1897">
        <v>0.19675675675675677</v>
      </c>
      <c r="J584" s="1897">
        <v>0.1556756756756757</v>
      </c>
      <c r="K584" s="1897">
        <v>0.14054054054054055</v>
      </c>
      <c r="L584" s="1897">
        <v>0.13837837837837838</v>
      </c>
      <c r="M584" s="1897">
        <v>0.16864864864864867</v>
      </c>
    </row>
    <row r="585" spans="1:13" ht="15">
      <c r="A585" s="1894">
        <f t="shared" si="8"/>
        <v>578</v>
      </c>
      <c r="B585" s="1906" t="s">
        <v>3441</v>
      </c>
      <c r="C585" s="1907" t="s">
        <v>524</v>
      </c>
      <c r="D585" s="1906" t="s">
        <v>636</v>
      </c>
      <c r="E585" s="1907" t="s">
        <v>259</v>
      </c>
      <c r="F585" s="1906">
        <v>555</v>
      </c>
      <c r="G585" s="1897">
        <v>0.58205405405405408</v>
      </c>
      <c r="H585" s="1897">
        <v>0.54140540540540549</v>
      </c>
      <c r="I585" s="1897">
        <v>0.59156756756756756</v>
      </c>
      <c r="J585" s="1897">
        <v>0.57686486486486477</v>
      </c>
      <c r="K585" s="1897">
        <v>0.58983783783783772</v>
      </c>
      <c r="L585" s="1897">
        <v>0.58551351351351344</v>
      </c>
      <c r="M585" s="1897">
        <v>0.5778738738738739</v>
      </c>
    </row>
    <row r="586" spans="1:13" ht="15">
      <c r="A586" s="1894">
        <f t="shared" ref="A586:A649" si="9">+A585+1</f>
        <v>579</v>
      </c>
      <c r="B586" s="1906" t="s">
        <v>3434</v>
      </c>
      <c r="C586" s="1907" t="s">
        <v>524</v>
      </c>
      <c r="D586" s="1906" t="s">
        <v>629</v>
      </c>
      <c r="E586" s="1907" t="s">
        <v>259</v>
      </c>
      <c r="F586" s="1906">
        <v>555</v>
      </c>
      <c r="G586" s="1897">
        <v>0.23783783783783785</v>
      </c>
      <c r="H586" s="1897">
        <v>0.21189189189189192</v>
      </c>
      <c r="I586" s="1897">
        <v>0.25513513513513514</v>
      </c>
      <c r="J586" s="1897">
        <v>0.20324324324324325</v>
      </c>
      <c r="K586" s="1897">
        <v>0.18767567567567567</v>
      </c>
      <c r="L586" s="1897">
        <v>0.18248648648648649</v>
      </c>
      <c r="M586" s="1897">
        <v>0.21304504504504509</v>
      </c>
    </row>
    <row r="587" spans="1:13" ht="15">
      <c r="A587" s="1894">
        <f t="shared" si="9"/>
        <v>580</v>
      </c>
      <c r="B587" s="1906" t="s">
        <v>3442</v>
      </c>
      <c r="C587" s="1907" t="s">
        <v>524</v>
      </c>
      <c r="D587" s="1906" t="s">
        <v>541</v>
      </c>
      <c r="E587" s="1907" t="s">
        <v>259</v>
      </c>
      <c r="F587" s="1906">
        <v>555</v>
      </c>
      <c r="G587" s="1897">
        <v>0.48605405405405405</v>
      </c>
      <c r="H587" s="1897">
        <v>0.50983783783783787</v>
      </c>
      <c r="I587" s="1897">
        <v>0.53016216216216216</v>
      </c>
      <c r="J587" s="1897">
        <v>0.46572972972972976</v>
      </c>
      <c r="K587" s="1897">
        <v>0.51891891891891895</v>
      </c>
      <c r="L587" s="1897">
        <v>0.52281081081081071</v>
      </c>
      <c r="M587" s="1897">
        <v>0.50558558558558564</v>
      </c>
    </row>
    <row r="588" spans="1:13" ht="15">
      <c r="A588" s="1894">
        <f t="shared" si="9"/>
        <v>581</v>
      </c>
      <c r="B588" s="1906" t="s">
        <v>3443</v>
      </c>
      <c r="C588" s="1907" t="s">
        <v>524</v>
      </c>
      <c r="D588" s="1906" t="s">
        <v>541</v>
      </c>
      <c r="E588" s="1907" t="s">
        <v>259</v>
      </c>
      <c r="F588" s="1906">
        <v>555</v>
      </c>
      <c r="G588" s="1897">
        <v>0.43070270270270267</v>
      </c>
      <c r="H588" s="1897">
        <v>0.41383783783783779</v>
      </c>
      <c r="I588" s="1897">
        <v>0.36778378378378379</v>
      </c>
      <c r="J588" s="1897">
        <v>0.37297297297297299</v>
      </c>
      <c r="K588" s="1897">
        <v>0.37816216216216214</v>
      </c>
      <c r="L588" s="1897">
        <v>0.39243243243243242</v>
      </c>
      <c r="M588" s="1897">
        <v>0.39264864864864862</v>
      </c>
    </row>
    <row r="589" spans="1:13" ht="15">
      <c r="A589" s="1894">
        <f t="shared" si="9"/>
        <v>582</v>
      </c>
      <c r="B589" s="1906" t="s">
        <v>3444</v>
      </c>
      <c r="C589" s="1907" t="s">
        <v>524</v>
      </c>
      <c r="D589" s="1906" t="s">
        <v>541</v>
      </c>
      <c r="E589" s="1907" t="s">
        <v>259</v>
      </c>
      <c r="F589" s="1906">
        <v>555</v>
      </c>
      <c r="G589" s="1897">
        <v>2.1621621621621623E-2</v>
      </c>
      <c r="H589" s="1897">
        <v>3.2000000000000001E-2</v>
      </c>
      <c r="I589" s="1897">
        <v>2.9405405405405406E-2</v>
      </c>
      <c r="J589" s="1897">
        <v>5.1027027027027029E-2</v>
      </c>
      <c r="K589" s="1897">
        <v>5.5783783783783784E-2</v>
      </c>
      <c r="L589" s="1897">
        <v>1.2540540540540539E-2</v>
      </c>
      <c r="M589" s="1897">
        <v>3.3729729729729728E-2</v>
      </c>
    </row>
    <row r="590" spans="1:13" ht="15">
      <c r="A590" s="1894">
        <f t="shared" si="9"/>
        <v>583</v>
      </c>
      <c r="B590" s="1906" t="s">
        <v>3435</v>
      </c>
      <c r="C590" s="1907" t="s">
        <v>524</v>
      </c>
      <c r="D590" s="1906" t="s">
        <v>541</v>
      </c>
      <c r="E590" s="1907" t="s">
        <v>259</v>
      </c>
      <c r="F590" s="1906">
        <v>555</v>
      </c>
      <c r="G590" s="1897">
        <v>0.55524324324324315</v>
      </c>
      <c r="H590" s="1897">
        <v>0.57340540540540541</v>
      </c>
      <c r="I590" s="1897">
        <v>0.56562162162162166</v>
      </c>
      <c r="J590" s="1897">
        <v>0.57600000000000007</v>
      </c>
      <c r="K590" s="1897">
        <v>0.64086486486486482</v>
      </c>
      <c r="L590" s="1897">
        <v>0.62702702702702706</v>
      </c>
      <c r="M590" s="1897">
        <v>0.58969369369369362</v>
      </c>
    </row>
    <row r="591" spans="1:13" ht="15">
      <c r="A591" s="1894">
        <f t="shared" si="9"/>
        <v>584</v>
      </c>
      <c r="B591" s="1906" t="s">
        <v>3433</v>
      </c>
      <c r="C591" s="1907" t="s">
        <v>524</v>
      </c>
      <c r="D591" s="1906" t="s">
        <v>541</v>
      </c>
      <c r="E591" s="1907" t="s">
        <v>259</v>
      </c>
      <c r="F591" s="1906">
        <v>555</v>
      </c>
      <c r="G591" s="1897">
        <v>0.58897297297297302</v>
      </c>
      <c r="H591" s="1897">
        <v>0.70659459459459451</v>
      </c>
      <c r="I591" s="1897">
        <v>0.67632432432432432</v>
      </c>
      <c r="J591" s="1897">
        <v>0.68843243243243246</v>
      </c>
      <c r="K591" s="1897">
        <v>0.66248648648648645</v>
      </c>
      <c r="L591" s="1897">
        <v>0.66291891891891885</v>
      </c>
      <c r="M591" s="1897">
        <v>0.66428828828828823</v>
      </c>
    </row>
    <row r="592" spans="1:13" ht="15">
      <c r="A592" s="1894">
        <f t="shared" si="9"/>
        <v>585</v>
      </c>
      <c r="B592" s="1906" t="s">
        <v>3432</v>
      </c>
      <c r="C592" s="1907" t="s">
        <v>524</v>
      </c>
      <c r="D592" s="1906" t="s">
        <v>541</v>
      </c>
      <c r="E592" s="1907" t="s">
        <v>259</v>
      </c>
      <c r="F592" s="1906">
        <v>555</v>
      </c>
      <c r="G592" s="1897">
        <v>0.43329729729729727</v>
      </c>
      <c r="H592" s="1897">
        <v>0.44799999999999995</v>
      </c>
      <c r="I592" s="1897">
        <v>0.44929729729729734</v>
      </c>
      <c r="J592" s="1897">
        <v>0.5980540540540541</v>
      </c>
      <c r="K592" s="1897">
        <v>0.57859459459459461</v>
      </c>
      <c r="L592" s="1897">
        <v>0.59675675675675688</v>
      </c>
      <c r="M592" s="1897">
        <v>0.51733333333333331</v>
      </c>
    </row>
    <row r="593" spans="1:13" ht="15">
      <c r="A593" s="1894">
        <f t="shared" si="9"/>
        <v>586</v>
      </c>
      <c r="B593" s="1906" t="s">
        <v>3594</v>
      </c>
      <c r="C593" s="1907" t="s">
        <v>524</v>
      </c>
      <c r="D593" s="1906" t="s">
        <v>541</v>
      </c>
      <c r="E593" s="1907" t="s">
        <v>259</v>
      </c>
      <c r="F593" s="1906">
        <v>555</v>
      </c>
      <c r="G593" s="1897">
        <v>0.69924324324324327</v>
      </c>
      <c r="H593" s="1897">
        <v>0.68843243243243246</v>
      </c>
      <c r="I593" s="1897">
        <v>0.7165405405405405</v>
      </c>
      <c r="J593" s="1897">
        <v>0.77145945945945948</v>
      </c>
      <c r="K593" s="1897">
        <v>0.77405405405405403</v>
      </c>
      <c r="L593" s="1897">
        <v>0.81729729729729739</v>
      </c>
      <c r="M593" s="1897">
        <v>0.74450450450450456</v>
      </c>
    </row>
    <row r="594" spans="1:13" ht="15">
      <c r="A594" s="1894">
        <f t="shared" si="9"/>
        <v>587</v>
      </c>
      <c r="B594" s="1906" t="s">
        <v>3595</v>
      </c>
      <c r="C594" s="1907" t="s">
        <v>524</v>
      </c>
      <c r="D594" s="1906" t="s">
        <v>541</v>
      </c>
      <c r="E594" s="1907" t="s">
        <v>259</v>
      </c>
      <c r="F594" s="1906">
        <v>555</v>
      </c>
      <c r="G594" s="1897">
        <v>0.52497297297297296</v>
      </c>
      <c r="H594" s="1897">
        <v>0.62832432432432439</v>
      </c>
      <c r="I594" s="1897">
        <v>0.6092972972972972</v>
      </c>
      <c r="J594" s="1897">
        <v>0.38054054054054054</v>
      </c>
      <c r="K594" s="1897">
        <v>0.47264864864864864</v>
      </c>
      <c r="L594" s="1897">
        <v>0.45621621621621622</v>
      </c>
      <c r="M594" s="1897">
        <v>0.51200000000000001</v>
      </c>
    </row>
    <row r="595" spans="1:13" ht="15">
      <c r="A595" s="1894">
        <f t="shared" si="9"/>
        <v>588</v>
      </c>
      <c r="B595" s="1906" t="s">
        <v>3596</v>
      </c>
      <c r="C595" s="1907" t="s">
        <v>524</v>
      </c>
      <c r="D595" s="1906" t="s">
        <v>541</v>
      </c>
      <c r="E595" s="1907" t="s">
        <v>259</v>
      </c>
      <c r="F595" s="1906">
        <v>555</v>
      </c>
      <c r="G595" s="1897">
        <v>0.37751351351351353</v>
      </c>
      <c r="H595" s="1897">
        <v>0.48648648648648651</v>
      </c>
      <c r="I595" s="1897">
        <v>0.52756756756756762</v>
      </c>
      <c r="J595" s="1897">
        <v>0.48389189189189191</v>
      </c>
      <c r="K595" s="1897">
        <v>0.58421621621621622</v>
      </c>
      <c r="L595" s="1897">
        <v>0.58075675675675675</v>
      </c>
      <c r="M595" s="1897">
        <v>0.50673873873873887</v>
      </c>
    </row>
    <row r="596" spans="1:13" ht="15">
      <c r="A596" s="1894">
        <f t="shared" si="9"/>
        <v>589</v>
      </c>
      <c r="B596" s="1906" t="s">
        <v>3597</v>
      </c>
      <c r="C596" s="1907" t="s">
        <v>524</v>
      </c>
      <c r="D596" s="1906" t="s">
        <v>541</v>
      </c>
      <c r="E596" s="1907" t="s">
        <v>259</v>
      </c>
      <c r="F596" s="1906">
        <v>555</v>
      </c>
      <c r="G596" s="1897">
        <v>0.74551351351351347</v>
      </c>
      <c r="H596" s="1897">
        <v>0.80129729729729726</v>
      </c>
      <c r="I596" s="1897">
        <v>0.83243243243243248</v>
      </c>
      <c r="J596" s="1897">
        <v>1.0763243243243243</v>
      </c>
      <c r="K596" s="1897">
        <v>1.0205405405405406</v>
      </c>
      <c r="L596" s="1897">
        <v>0.81210810810810807</v>
      </c>
      <c r="M596" s="1897">
        <v>0.88136936936936949</v>
      </c>
    </row>
    <row r="597" spans="1:13" ht="15">
      <c r="A597" s="1894">
        <f t="shared" si="9"/>
        <v>590</v>
      </c>
      <c r="B597" s="1906" t="s">
        <v>3598</v>
      </c>
      <c r="C597" s="1907" t="s">
        <v>524</v>
      </c>
      <c r="D597" s="1906" t="s">
        <v>541</v>
      </c>
      <c r="E597" s="1907" t="s">
        <v>259</v>
      </c>
      <c r="F597" s="1906">
        <v>555</v>
      </c>
      <c r="G597" s="1897">
        <v>0.41340540540540538</v>
      </c>
      <c r="H597" s="1897">
        <v>0.69318918918918915</v>
      </c>
      <c r="I597" s="1897">
        <v>0.68064864864864871</v>
      </c>
      <c r="J597" s="1897">
        <v>0.64778378378378376</v>
      </c>
      <c r="K597" s="1897">
        <v>0.70183783783783782</v>
      </c>
      <c r="L597" s="1897">
        <v>0.54616216216216218</v>
      </c>
      <c r="M597" s="1897">
        <v>0.61383783783783785</v>
      </c>
    </row>
    <row r="598" spans="1:13" ht="15">
      <c r="A598" s="1894">
        <f t="shared" si="9"/>
        <v>591</v>
      </c>
      <c r="B598" s="1906" t="s">
        <v>3599</v>
      </c>
      <c r="C598" s="1907" t="s">
        <v>524</v>
      </c>
      <c r="D598" s="1906" t="s">
        <v>541</v>
      </c>
      <c r="E598" s="1907" t="s">
        <v>259</v>
      </c>
      <c r="F598" s="1906">
        <v>555</v>
      </c>
      <c r="G598" s="1897">
        <v>0</v>
      </c>
      <c r="H598" s="1897">
        <v>0</v>
      </c>
      <c r="I598" s="1897">
        <v>2.4216216216216214E-2</v>
      </c>
      <c r="J598" s="1897">
        <v>3.1135135135135137E-2</v>
      </c>
      <c r="K598" s="1897">
        <v>0.6858378378378378</v>
      </c>
      <c r="L598" s="1897">
        <v>0.65037837837837842</v>
      </c>
      <c r="M598" s="1897">
        <v>0.23192792792792793</v>
      </c>
    </row>
    <row r="599" spans="1:13" ht="15">
      <c r="A599" s="1894">
        <f t="shared" si="9"/>
        <v>592</v>
      </c>
      <c r="B599" s="1906" t="s">
        <v>3600</v>
      </c>
      <c r="C599" s="1907" t="s">
        <v>524</v>
      </c>
      <c r="D599" s="1906" t="s">
        <v>541</v>
      </c>
      <c r="E599" s="1907" t="s">
        <v>259</v>
      </c>
      <c r="F599" s="1906">
        <v>555</v>
      </c>
      <c r="G599" s="1897">
        <v>0</v>
      </c>
      <c r="H599" s="1897">
        <v>0</v>
      </c>
      <c r="I599" s="1897">
        <v>2.7243243243243242E-2</v>
      </c>
      <c r="J599" s="1897">
        <v>0.64086486486486482</v>
      </c>
      <c r="K599" s="1897">
        <v>0.66291891891891896</v>
      </c>
      <c r="L599" s="1897">
        <v>0.6674594594594595</v>
      </c>
      <c r="M599" s="1897">
        <v>0.33308108108108109</v>
      </c>
    </row>
    <row r="600" spans="1:13" ht="15">
      <c r="A600" s="1894">
        <f t="shared" si="9"/>
        <v>593</v>
      </c>
      <c r="B600" s="1906" t="s">
        <v>3601</v>
      </c>
      <c r="C600" s="1907" t="s">
        <v>524</v>
      </c>
      <c r="D600" s="1906" t="s">
        <v>541</v>
      </c>
      <c r="E600" s="1907" t="s">
        <v>259</v>
      </c>
      <c r="F600" s="1906">
        <v>555</v>
      </c>
      <c r="G600" s="1897">
        <v>0</v>
      </c>
      <c r="H600" s="1897">
        <v>0</v>
      </c>
      <c r="I600" s="1897">
        <v>0</v>
      </c>
      <c r="J600" s="1897">
        <v>0.38097297297297295</v>
      </c>
      <c r="K600" s="1897">
        <v>0.46270270270270275</v>
      </c>
      <c r="L600" s="1897">
        <v>0.46270270270270275</v>
      </c>
      <c r="M600" s="1897">
        <v>0.21772972972972973</v>
      </c>
    </row>
    <row r="601" spans="1:13" ht="15">
      <c r="A601" s="1894">
        <f t="shared" si="9"/>
        <v>594</v>
      </c>
      <c r="B601" s="1906" t="s">
        <v>3431</v>
      </c>
      <c r="C601" s="1907" t="s">
        <v>524</v>
      </c>
      <c r="D601" s="1906" t="s">
        <v>541</v>
      </c>
      <c r="E601" s="1907" t="s">
        <v>259</v>
      </c>
      <c r="F601" s="1906">
        <v>555</v>
      </c>
      <c r="G601" s="1897">
        <v>0.20583783783783785</v>
      </c>
      <c r="H601" s="1897">
        <v>0.29837837837837844</v>
      </c>
      <c r="I601" s="1897">
        <v>0.37016216216216213</v>
      </c>
      <c r="J601" s="1897">
        <v>2.1621621621621623E-2</v>
      </c>
      <c r="K601" s="1897">
        <v>0.37102702702702706</v>
      </c>
      <c r="L601" s="1897">
        <v>0.34421621621621623</v>
      </c>
      <c r="M601" s="1897">
        <v>0.26854054054054055</v>
      </c>
    </row>
    <row r="602" spans="1:13" ht="15">
      <c r="A602" s="1894">
        <f t="shared" si="9"/>
        <v>595</v>
      </c>
      <c r="B602" s="1906" t="s">
        <v>3430</v>
      </c>
      <c r="C602" s="1907" t="s">
        <v>524</v>
      </c>
      <c r="D602" s="1906" t="s">
        <v>541</v>
      </c>
      <c r="E602" s="1907" t="s">
        <v>259</v>
      </c>
      <c r="F602" s="1906">
        <v>555</v>
      </c>
      <c r="G602" s="1897">
        <v>0.54356756756756763</v>
      </c>
      <c r="H602" s="1897">
        <v>0.56821621621621621</v>
      </c>
      <c r="I602" s="1897">
        <v>0.6188108108108108</v>
      </c>
      <c r="J602" s="1897">
        <v>0.81859459459459472</v>
      </c>
      <c r="K602" s="1897">
        <v>0.84843243243243238</v>
      </c>
      <c r="L602" s="1897">
        <v>0.72389189189189185</v>
      </c>
      <c r="M602" s="1897">
        <v>0.68691891891891899</v>
      </c>
    </row>
    <row r="603" spans="1:13" ht="15">
      <c r="A603" s="1894">
        <f t="shared" si="9"/>
        <v>596</v>
      </c>
      <c r="B603" s="1906" t="s">
        <v>3445</v>
      </c>
      <c r="C603" s="1907" t="s">
        <v>524</v>
      </c>
      <c r="D603" s="1906" t="s">
        <v>629</v>
      </c>
      <c r="E603" s="1907" t="s">
        <v>259</v>
      </c>
      <c r="F603" s="1906">
        <v>555.55999999999995</v>
      </c>
      <c r="G603" s="1897">
        <v>0.58276333789329693</v>
      </c>
      <c r="H603" s="1897">
        <v>0.57585139318885459</v>
      </c>
      <c r="I603" s="1897">
        <v>0.61602707178342586</v>
      </c>
      <c r="J603" s="1897">
        <v>0.60263517891856877</v>
      </c>
      <c r="K603" s="1897">
        <v>0.61775505795953634</v>
      </c>
      <c r="L603" s="1897">
        <v>0.59226726186190515</v>
      </c>
      <c r="M603" s="1897">
        <v>0.59788321693426461</v>
      </c>
    </row>
    <row r="604" spans="1:13" ht="15">
      <c r="A604" s="1894">
        <f t="shared" si="9"/>
        <v>597</v>
      </c>
      <c r="B604" s="1906" t="s">
        <v>3446</v>
      </c>
      <c r="C604" s="1907" t="s">
        <v>524</v>
      </c>
      <c r="D604" s="1906" t="s">
        <v>541</v>
      </c>
      <c r="E604" s="1907" t="s">
        <v>259</v>
      </c>
      <c r="F604" s="1906">
        <v>556</v>
      </c>
      <c r="G604" s="1897">
        <v>0.83237410071942453</v>
      </c>
      <c r="H604" s="1897">
        <v>0.84964028776978417</v>
      </c>
      <c r="I604" s="1897">
        <v>0.85467625899280575</v>
      </c>
      <c r="J604" s="1897">
        <v>0.85035971223021589</v>
      </c>
      <c r="K604" s="1897">
        <v>0.8647482014388489</v>
      </c>
      <c r="L604" s="1897">
        <v>0.85683453237410068</v>
      </c>
      <c r="M604" s="1897">
        <v>0.8514388489208633</v>
      </c>
    </row>
    <row r="605" spans="1:13" ht="15">
      <c r="A605" s="1894">
        <f t="shared" si="9"/>
        <v>598</v>
      </c>
      <c r="B605" s="1906" t="s">
        <v>3449</v>
      </c>
      <c r="C605" s="1907" t="s">
        <v>524</v>
      </c>
      <c r="D605" s="1906" t="s">
        <v>541</v>
      </c>
      <c r="E605" s="1907" t="s">
        <v>259</v>
      </c>
      <c r="F605" s="1906">
        <v>556</v>
      </c>
      <c r="G605" s="1897">
        <v>0.61640287769784174</v>
      </c>
      <c r="H605" s="1897">
        <v>0.63107913669064752</v>
      </c>
      <c r="I605" s="1897">
        <v>0.59784172661870505</v>
      </c>
      <c r="J605" s="1897">
        <v>0.5611510791366906</v>
      </c>
      <c r="K605" s="1897">
        <v>0.53352517985611503</v>
      </c>
      <c r="L605" s="1897">
        <v>8.3309352517985616E-2</v>
      </c>
      <c r="M605" s="1897">
        <v>0.50388489208633092</v>
      </c>
    </row>
    <row r="606" spans="1:13" ht="15">
      <c r="A606" s="1894">
        <f t="shared" si="9"/>
        <v>599</v>
      </c>
      <c r="B606" s="1906" t="s">
        <v>3448</v>
      </c>
      <c r="C606" s="1907" t="s">
        <v>524</v>
      </c>
      <c r="D606" s="1906" t="s">
        <v>541</v>
      </c>
      <c r="E606" s="1907" t="s">
        <v>259</v>
      </c>
      <c r="F606" s="1906">
        <v>556</v>
      </c>
      <c r="G606" s="1897">
        <v>0.49812949640287768</v>
      </c>
      <c r="H606" s="1897">
        <v>0.43510791366906476</v>
      </c>
      <c r="I606" s="1897">
        <v>0.40834532374100724</v>
      </c>
      <c r="J606" s="1897">
        <v>0.68719424460431666</v>
      </c>
      <c r="K606" s="1897">
        <v>0.6699280575539569</v>
      </c>
      <c r="L606" s="1897">
        <v>0.63539568345323738</v>
      </c>
      <c r="M606" s="1897">
        <v>0.55568345323741009</v>
      </c>
    </row>
    <row r="607" spans="1:13" ht="15">
      <c r="A607" s="1894">
        <f t="shared" si="9"/>
        <v>600</v>
      </c>
      <c r="B607" s="1906" t="s">
        <v>3450</v>
      </c>
      <c r="C607" s="1907" t="s">
        <v>524</v>
      </c>
      <c r="D607" s="1906" t="s">
        <v>541</v>
      </c>
      <c r="E607" s="1907" t="s">
        <v>259</v>
      </c>
      <c r="F607" s="1906">
        <v>556</v>
      </c>
      <c r="G607" s="1897">
        <v>0.9129496402877697</v>
      </c>
      <c r="H607" s="1897">
        <v>0.92201438848920858</v>
      </c>
      <c r="I607" s="1897">
        <v>0.88359712230215826</v>
      </c>
      <c r="J607" s="1897">
        <v>0.89956834532374108</v>
      </c>
      <c r="K607" s="1897">
        <v>0.87021582733812952</v>
      </c>
      <c r="L607" s="1897">
        <v>0.87712230215827336</v>
      </c>
      <c r="M607" s="1897">
        <v>0.89424460431654673</v>
      </c>
    </row>
    <row r="608" spans="1:13" ht="15">
      <c r="A608" s="1894">
        <f t="shared" si="9"/>
        <v>601</v>
      </c>
      <c r="B608" s="1906" t="s">
        <v>3451</v>
      </c>
      <c r="C608" s="1907" t="s">
        <v>524</v>
      </c>
      <c r="D608" s="1906" t="s">
        <v>636</v>
      </c>
      <c r="E608" s="1907" t="s">
        <v>259</v>
      </c>
      <c r="F608" s="1906">
        <v>556</v>
      </c>
      <c r="G608" s="1897">
        <v>3.7122302158273383E-2</v>
      </c>
      <c r="H608" s="1897">
        <v>2.8057553956834531E-2</v>
      </c>
      <c r="I608" s="1897">
        <v>4.143884892086331E-2</v>
      </c>
      <c r="J608" s="1897">
        <v>3.841726618705036E-2</v>
      </c>
      <c r="K608" s="1897">
        <v>3.884892086330935E-2</v>
      </c>
      <c r="L608" s="1897">
        <v>3.798561151079137E-2</v>
      </c>
      <c r="M608" s="1897">
        <v>3.6978417266187051E-2</v>
      </c>
    </row>
    <row r="609" spans="1:13" ht="15">
      <c r="A609" s="1894">
        <f t="shared" si="9"/>
        <v>602</v>
      </c>
      <c r="B609" s="1906" t="s">
        <v>3447</v>
      </c>
      <c r="C609" s="1907" t="s">
        <v>524</v>
      </c>
      <c r="D609" s="1906" t="s">
        <v>2966</v>
      </c>
      <c r="E609" s="1907" t="s">
        <v>259</v>
      </c>
      <c r="F609" s="1906">
        <v>556</v>
      </c>
      <c r="G609" s="1897">
        <v>0.2624460431654676</v>
      </c>
      <c r="H609" s="1897">
        <v>0.41266187050359709</v>
      </c>
      <c r="I609" s="1897">
        <v>0.52057553956834535</v>
      </c>
      <c r="J609" s="1897">
        <v>0.61381294964028776</v>
      </c>
      <c r="K609" s="1897">
        <v>0.37294964028776983</v>
      </c>
      <c r="L609" s="1897">
        <v>0.33582733812949639</v>
      </c>
      <c r="M609" s="1897">
        <v>0.41971223021582738</v>
      </c>
    </row>
    <row r="610" spans="1:13" ht="15">
      <c r="A610" s="1894">
        <f t="shared" si="9"/>
        <v>603</v>
      </c>
      <c r="B610" s="1895" t="s">
        <v>3452</v>
      </c>
      <c r="C610" s="1907" t="s">
        <v>524</v>
      </c>
      <c r="D610" s="1895" t="s">
        <v>541</v>
      </c>
      <c r="E610" s="1894" t="s">
        <v>259</v>
      </c>
      <c r="F610" s="1906">
        <v>556</v>
      </c>
      <c r="G610" s="1897">
        <v>0</v>
      </c>
      <c r="H610" s="1897">
        <v>0</v>
      </c>
      <c r="I610" s="1897">
        <v>0</v>
      </c>
      <c r="J610" s="1897">
        <v>0</v>
      </c>
      <c r="K610" s="1897">
        <v>0</v>
      </c>
      <c r="L610" s="1897">
        <v>0</v>
      </c>
      <c r="M610" s="1897">
        <v>0</v>
      </c>
    </row>
    <row r="611" spans="1:13" ht="15">
      <c r="A611" s="1894">
        <f t="shared" si="9"/>
        <v>604</v>
      </c>
      <c r="B611" s="1906" t="s">
        <v>3455</v>
      </c>
      <c r="C611" s="1907" t="s">
        <v>524</v>
      </c>
      <c r="D611" s="1906" t="s">
        <v>623</v>
      </c>
      <c r="E611" s="1907" t="s">
        <v>259</v>
      </c>
      <c r="F611" s="1906">
        <v>560</v>
      </c>
      <c r="G611" s="1897">
        <v>0.50785714285714278</v>
      </c>
      <c r="H611" s="1897">
        <v>0.43842857142857139</v>
      </c>
      <c r="I611" s="1897">
        <v>0.47185714285714286</v>
      </c>
      <c r="J611" s="1897">
        <v>0.15642857142857142</v>
      </c>
      <c r="K611" s="1897">
        <v>0.252</v>
      </c>
      <c r="L611" s="1897">
        <v>0.33171428571428568</v>
      </c>
      <c r="M611" s="1897">
        <v>0.35971428571428571</v>
      </c>
    </row>
    <row r="612" spans="1:13" ht="15">
      <c r="A612" s="1894">
        <f t="shared" si="9"/>
        <v>605</v>
      </c>
      <c r="B612" s="1906" t="s">
        <v>3456</v>
      </c>
      <c r="C612" s="1907" t="s">
        <v>524</v>
      </c>
      <c r="D612" s="1906" t="s">
        <v>636</v>
      </c>
      <c r="E612" s="1907" t="s">
        <v>259</v>
      </c>
      <c r="F612" s="1906">
        <v>560</v>
      </c>
      <c r="G612" s="1897">
        <v>0.82821428571428568</v>
      </c>
      <c r="H612" s="1897">
        <v>0.85928571428571432</v>
      </c>
      <c r="I612" s="1897">
        <v>0.81535714285714289</v>
      </c>
      <c r="J612" s="1897">
        <v>0.71785714285714286</v>
      </c>
      <c r="K612" s="1897">
        <v>0.75857142857142856</v>
      </c>
      <c r="L612" s="1897">
        <v>0.76071428571428557</v>
      </c>
      <c r="M612" s="1897">
        <v>0.78999999999999992</v>
      </c>
    </row>
    <row r="613" spans="1:13" ht="15">
      <c r="A613" s="1894">
        <f t="shared" si="9"/>
        <v>606</v>
      </c>
      <c r="B613" s="1906" t="s">
        <v>3454</v>
      </c>
      <c r="C613" s="1907" t="s">
        <v>524</v>
      </c>
      <c r="D613" s="1906" t="s">
        <v>541</v>
      </c>
      <c r="E613" s="1907" t="s">
        <v>259</v>
      </c>
      <c r="F613" s="1906">
        <v>560</v>
      </c>
      <c r="G613" s="1897">
        <v>0.39985714285714286</v>
      </c>
      <c r="H613" s="1897">
        <v>0.46885714285714286</v>
      </c>
      <c r="I613" s="1897">
        <v>0.45471428571428568</v>
      </c>
      <c r="J613" s="1897">
        <v>0.43200000000000005</v>
      </c>
      <c r="K613" s="1897">
        <v>0.39214285714285713</v>
      </c>
      <c r="L613" s="1897">
        <v>0.40457142857142858</v>
      </c>
      <c r="M613" s="1897">
        <v>0.42535714285714282</v>
      </c>
    </row>
    <row r="614" spans="1:13" ht="15">
      <c r="A614" s="1894">
        <f t="shared" si="9"/>
        <v>607</v>
      </c>
      <c r="B614" s="1906" t="s">
        <v>3453</v>
      </c>
      <c r="C614" s="1907" t="s">
        <v>524</v>
      </c>
      <c r="D614" s="1906" t="s">
        <v>636</v>
      </c>
      <c r="E614" s="1907" t="s">
        <v>259</v>
      </c>
      <c r="F614" s="1906">
        <v>560</v>
      </c>
      <c r="G614" s="1897">
        <v>1.7999999999999999E-2</v>
      </c>
      <c r="H614" s="1897">
        <v>0.76200000000000001</v>
      </c>
      <c r="I614" s="1897">
        <v>1.2102857142857142</v>
      </c>
      <c r="J614" s="1897">
        <v>0.45771428571428568</v>
      </c>
      <c r="K614" s="1897">
        <v>0.47485714285714287</v>
      </c>
      <c r="L614" s="1897">
        <v>0.84428571428571431</v>
      </c>
      <c r="M614" s="1897">
        <v>0.62785714285714278</v>
      </c>
    </row>
    <row r="615" spans="1:13" ht="15">
      <c r="A615" s="1894">
        <f t="shared" si="9"/>
        <v>608</v>
      </c>
      <c r="B615" s="1906" t="s">
        <v>3457</v>
      </c>
      <c r="C615" s="1907" t="s">
        <v>524</v>
      </c>
      <c r="D615" s="1906" t="s">
        <v>541</v>
      </c>
      <c r="E615" s="1907" t="s">
        <v>259</v>
      </c>
      <c r="F615" s="1906">
        <v>560</v>
      </c>
      <c r="G615" s="1897">
        <v>1.0277142857142856</v>
      </c>
      <c r="H615" s="1897">
        <v>1.1674285714285715</v>
      </c>
      <c r="I615" s="1897">
        <v>1.1991428571428571</v>
      </c>
      <c r="J615" s="1897">
        <v>0.74485714285714288</v>
      </c>
      <c r="K615" s="1897">
        <v>1.2942857142857143</v>
      </c>
      <c r="L615" s="1897">
        <v>0.73285714285714287</v>
      </c>
      <c r="M615" s="1897">
        <v>1.0277142857142858</v>
      </c>
    </row>
    <row r="616" spans="1:13" ht="15">
      <c r="A616" s="1894">
        <f t="shared" si="9"/>
        <v>609</v>
      </c>
      <c r="B616" s="1906" t="s">
        <v>3458</v>
      </c>
      <c r="C616" s="1907" t="s">
        <v>524</v>
      </c>
      <c r="D616" s="1906" t="s">
        <v>541</v>
      </c>
      <c r="E616" s="1907" t="s">
        <v>259</v>
      </c>
      <c r="F616" s="1906">
        <v>561</v>
      </c>
      <c r="G616" s="1897">
        <v>0.50395721925133696</v>
      </c>
      <c r="H616" s="1897">
        <v>0.48085561497326201</v>
      </c>
      <c r="I616" s="1897">
        <v>0.47144385026737973</v>
      </c>
      <c r="J616" s="1897">
        <v>0.50053475935828884</v>
      </c>
      <c r="K616" s="1897">
        <v>0.49368983957219248</v>
      </c>
      <c r="L616" s="1897">
        <v>0.52449197860962571</v>
      </c>
      <c r="M616" s="1897">
        <v>0.49582887700534761</v>
      </c>
    </row>
    <row r="617" spans="1:13" ht="15">
      <c r="A617" s="1894">
        <f t="shared" si="9"/>
        <v>610</v>
      </c>
      <c r="B617" s="1906" t="s">
        <v>3460</v>
      </c>
      <c r="C617" s="1907" t="s">
        <v>524</v>
      </c>
      <c r="D617" s="1906" t="s">
        <v>636</v>
      </c>
      <c r="E617" s="1907" t="s">
        <v>259</v>
      </c>
      <c r="F617" s="1906">
        <v>562</v>
      </c>
      <c r="G617" s="1897">
        <v>0.46975088967971529</v>
      </c>
      <c r="H617" s="1897">
        <v>0.16227758007117438</v>
      </c>
      <c r="I617" s="1897">
        <v>0.30106761565836299</v>
      </c>
      <c r="J617" s="1897">
        <v>0.99715302491103197</v>
      </c>
      <c r="K617" s="1897">
        <v>1.3174377224199287</v>
      </c>
      <c r="L617" s="1897">
        <v>1.404982206405694</v>
      </c>
      <c r="M617" s="1897">
        <v>0.77544483985765122</v>
      </c>
    </row>
    <row r="618" spans="1:13" ht="15">
      <c r="A618" s="1894">
        <f t="shared" si="9"/>
        <v>611</v>
      </c>
      <c r="B618" s="1906" t="s">
        <v>3462</v>
      </c>
      <c r="C618" s="1907" t="s">
        <v>524</v>
      </c>
      <c r="D618" s="1906" t="s">
        <v>2966</v>
      </c>
      <c r="E618" s="1907" t="s">
        <v>259</v>
      </c>
      <c r="F618" s="1906">
        <v>562</v>
      </c>
      <c r="G618" s="1897">
        <v>8.7117437722419935E-2</v>
      </c>
      <c r="H618" s="1897">
        <v>0.10633451957295373</v>
      </c>
      <c r="I618" s="1897">
        <v>0.26007117437722421</v>
      </c>
      <c r="J618" s="1897">
        <v>0.39117437722419929</v>
      </c>
      <c r="K618" s="1897">
        <v>0.43814946619217077</v>
      </c>
      <c r="L618" s="1897">
        <v>0.44797153024911029</v>
      </c>
      <c r="M618" s="1897">
        <v>0.28846975088967969</v>
      </c>
    </row>
    <row r="619" spans="1:13" ht="15">
      <c r="A619" s="1894">
        <f t="shared" si="9"/>
        <v>612</v>
      </c>
      <c r="B619" s="1906" t="s">
        <v>3459</v>
      </c>
      <c r="C619" s="1907" t="s">
        <v>524</v>
      </c>
      <c r="D619" s="1906" t="s">
        <v>541</v>
      </c>
      <c r="E619" s="1907" t="s">
        <v>259</v>
      </c>
      <c r="F619" s="1906">
        <v>562</v>
      </c>
      <c r="G619" s="1897">
        <v>0.50647686832740213</v>
      </c>
      <c r="H619" s="1897">
        <v>0.5312455516014235</v>
      </c>
      <c r="I619" s="1897">
        <v>0.57651245551601427</v>
      </c>
      <c r="J619" s="1897">
        <v>0.61750889679715304</v>
      </c>
      <c r="K619" s="1897">
        <v>0.61580071174377227</v>
      </c>
      <c r="L619" s="1897">
        <v>0.65850533807829181</v>
      </c>
      <c r="M619" s="1897">
        <v>0.58434163701067621</v>
      </c>
    </row>
    <row r="620" spans="1:13" ht="15">
      <c r="A620" s="1894">
        <f t="shared" si="9"/>
        <v>613</v>
      </c>
      <c r="B620" s="1906" t="s">
        <v>3461</v>
      </c>
      <c r="C620" s="1907" t="s">
        <v>524</v>
      </c>
      <c r="D620" s="1906" t="s">
        <v>541</v>
      </c>
      <c r="E620" s="1907" t="s">
        <v>259</v>
      </c>
      <c r="F620" s="1906">
        <v>562</v>
      </c>
      <c r="G620" s="1897">
        <v>0.68412811387900363</v>
      </c>
      <c r="H620" s="1897">
        <v>0.64313167259786486</v>
      </c>
      <c r="I620" s="1897">
        <v>0.7251245551601424</v>
      </c>
      <c r="J620" s="1897">
        <v>0.67814946619217087</v>
      </c>
      <c r="K620" s="1897">
        <v>0.63032028469750889</v>
      </c>
      <c r="L620" s="1897">
        <v>0.70548042704626335</v>
      </c>
      <c r="M620" s="1897">
        <v>0.67772241992882576</v>
      </c>
    </row>
    <row r="621" spans="1:13" ht="15">
      <c r="A621" s="1894">
        <f t="shared" si="9"/>
        <v>614</v>
      </c>
      <c r="B621" s="1906" t="s">
        <v>3463</v>
      </c>
      <c r="C621" s="1907" t="s">
        <v>524</v>
      </c>
      <c r="D621" s="1906" t="s">
        <v>541</v>
      </c>
      <c r="E621" s="1907" t="s">
        <v>259</v>
      </c>
      <c r="F621" s="1906">
        <v>570</v>
      </c>
      <c r="G621" s="1897">
        <v>0.94905263157894726</v>
      </c>
      <c r="H621" s="1897">
        <v>1.0021052631578946</v>
      </c>
      <c r="I621" s="1897">
        <v>1.1372631578947368</v>
      </c>
      <c r="J621" s="1897">
        <v>1.0058947368421054</v>
      </c>
      <c r="K621" s="1897">
        <v>0.96505263157894727</v>
      </c>
      <c r="L621" s="1897">
        <v>0.99494736842105269</v>
      </c>
      <c r="M621" s="1897">
        <v>1.0090526315789472</v>
      </c>
    </row>
    <row r="622" spans="1:13" ht="15">
      <c r="A622" s="1894">
        <f t="shared" si="9"/>
        <v>615</v>
      </c>
      <c r="B622" s="1906" t="s">
        <v>3464</v>
      </c>
      <c r="C622" s="1907" t="s">
        <v>524</v>
      </c>
      <c r="D622" s="1906" t="s">
        <v>2966</v>
      </c>
      <c r="E622" s="1907" t="s">
        <v>259</v>
      </c>
      <c r="F622" s="1906">
        <v>576</v>
      </c>
      <c r="G622" s="1897">
        <v>7.8472222222222221E-2</v>
      </c>
      <c r="H622" s="1897">
        <v>0.22708333333333336</v>
      </c>
      <c r="I622" s="1897">
        <v>0.14722222222222223</v>
      </c>
      <c r="J622" s="1897">
        <v>6.5972222222222224E-2</v>
      </c>
      <c r="K622" s="1897">
        <v>1.5277777777777779E-2</v>
      </c>
      <c r="L622" s="1897">
        <v>1.0416666666666666E-2</v>
      </c>
      <c r="M622" s="1897">
        <v>9.0740740740740733E-2</v>
      </c>
    </row>
    <row r="623" spans="1:13" ht="15">
      <c r="A623" s="1894">
        <f t="shared" si="9"/>
        <v>616</v>
      </c>
      <c r="B623" s="1906" t="s">
        <v>3465</v>
      </c>
      <c r="C623" s="1907" t="s">
        <v>524</v>
      </c>
      <c r="D623" s="1906" t="s">
        <v>636</v>
      </c>
      <c r="E623" s="1907" t="s">
        <v>259</v>
      </c>
      <c r="F623" s="1906">
        <v>585</v>
      </c>
      <c r="G623" s="1897">
        <v>0.61948717948717946</v>
      </c>
      <c r="H623" s="1897">
        <v>0.54085470085470089</v>
      </c>
      <c r="I623" s="1897">
        <v>0.6317948717948717</v>
      </c>
      <c r="J623" s="1897">
        <v>0.63384615384615384</v>
      </c>
      <c r="K623" s="1897">
        <v>0.63521367521367511</v>
      </c>
      <c r="L623" s="1897">
        <v>0.63863247863247863</v>
      </c>
      <c r="M623" s="1897">
        <v>0.61663817663817655</v>
      </c>
    </row>
    <row r="624" spans="1:13" ht="15">
      <c r="A624" s="1894">
        <f t="shared" si="9"/>
        <v>617</v>
      </c>
      <c r="B624" s="1906" t="s">
        <v>3466</v>
      </c>
      <c r="C624" s="1907" t="s">
        <v>524</v>
      </c>
      <c r="D624" s="1906" t="s">
        <v>737</v>
      </c>
      <c r="E624" s="1907" t="s">
        <v>259</v>
      </c>
      <c r="F624" s="1906">
        <v>589</v>
      </c>
      <c r="G624" s="1897">
        <v>1.0553480475382004</v>
      </c>
      <c r="H624" s="1897">
        <v>1.0749066213921901</v>
      </c>
      <c r="I624" s="1897">
        <v>1.1026146010186759</v>
      </c>
      <c r="J624" s="1897">
        <v>1.0822410865874363</v>
      </c>
      <c r="K624" s="1897">
        <v>0.98200339558573846</v>
      </c>
      <c r="L624" s="1897">
        <v>1.0504584040747027</v>
      </c>
      <c r="M624" s="1897">
        <v>1.0579286926994906</v>
      </c>
    </row>
    <row r="625" spans="1:13" ht="15">
      <c r="A625" s="1894">
        <f t="shared" si="9"/>
        <v>618</v>
      </c>
      <c r="B625" s="1906" t="s">
        <v>3467</v>
      </c>
      <c r="C625" s="1907" t="s">
        <v>524</v>
      </c>
      <c r="D625" s="1906" t="s">
        <v>541</v>
      </c>
      <c r="E625" s="1907" t="s">
        <v>259</v>
      </c>
      <c r="F625" s="1906">
        <v>600</v>
      </c>
      <c r="G625" s="1897">
        <v>0.74333333333333329</v>
      </c>
      <c r="H625" s="1897">
        <v>0.752</v>
      </c>
      <c r="I625" s="1897">
        <v>0.754</v>
      </c>
      <c r="J625" s="1897">
        <v>0.70200000000000007</v>
      </c>
      <c r="K625" s="1897">
        <v>0.72799999999999998</v>
      </c>
      <c r="L625" s="1897">
        <v>0.5093333333333333</v>
      </c>
      <c r="M625" s="1897">
        <v>0.69811111111111102</v>
      </c>
    </row>
    <row r="626" spans="1:13" ht="15">
      <c r="A626" s="1894">
        <f t="shared" si="9"/>
        <v>619</v>
      </c>
      <c r="B626" s="1906" t="s">
        <v>3468</v>
      </c>
      <c r="C626" s="1907" t="s">
        <v>524</v>
      </c>
      <c r="D626" s="1906" t="s">
        <v>541</v>
      </c>
      <c r="E626" s="1907" t="s">
        <v>259</v>
      </c>
      <c r="F626" s="1906">
        <v>600</v>
      </c>
      <c r="G626" s="1897">
        <v>0.9304</v>
      </c>
      <c r="H626" s="1897">
        <v>0.93200000000000005</v>
      </c>
      <c r="I626" s="1897">
        <v>0.95919999999999994</v>
      </c>
      <c r="J626" s="1897">
        <v>0.91839999999999999</v>
      </c>
      <c r="K626" s="1897">
        <v>0.99919999999999998</v>
      </c>
      <c r="L626" s="1897">
        <v>1.0112000000000001</v>
      </c>
      <c r="M626" s="1897">
        <v>0.95840000000000014</v>
      </c>
    </row>
    <row r="627" spans="1:13" ht="15">
      <c r="A627" s="1894">
        <f t="shared" si="9"/>
        <v>620</v>
      </c>
      <c r="B627" s="1906" t="s">
        <v>3469</v>
      </c>
      <c r="C627" s="1907" t="s">
        <v>524</v>
      </c>
      <c r="D627" s="1906" t="s">
        <v>541</v>
      </c>
      <c r="E627" s="1907" t="s">
        <v>259</v>
      </c>
      <c r="F627" s="1906">
        <v>600</v>
      </c>
      <c r="G627" s="1897">
        <v>0.89</v>
      </c>
      <c r="H627" s="1897">
        <v>1.014</v>
      </c>
      <c r="I627" s="1897">
        <v>0.82</v>
      </c>
      <c r="J627" s="1897">
        <v>0.84000000000000008</v>
      </c>
      <c r="K627" s="1897">
        <v>0.59</v>
      </c>
      <c r="L627" s="1897">
        <v>0.72599999999999998</v>
      </c>
      <c r="M627" s="1897">
        <v>0.81333333333333335</v>
      </c>
    </row>
    <row r="628" spans="1:13" ht="15">
      <c r="A628" s="1894">
        <f t="shared" si="9"/>
        <v>621</v>
      </c>
      <c r="B628" s="1906" t="s">
        <v>3470</v>
      </c>
      <c r="C628" s="1907" t="s">
        <v>524</v>
      </c>
      <c r="D628" s="1906" t="s">
        <v>629</v>
      </c>
      <c r="E628" s="1907" t="s">
        <v>259</v>
      </c>
      <c r="F628" s="1906">
        <v>600</v>
      </c>
      <c r="G628" s="1897">
        <v>0.22640000000000002</v>
      </c>
      <c r="H628" s="1897">
        <v>0.24879999999999999</v>
      </c>
      <c r="I628" s="1897">
        <v>0.22320000000000004</v>
      </c>
      <c r="J628" s="1897">
        <v>0.21840000000000004</v>
      </c>
      <c r="K628" s="1897">
        <v>0.2072</v>
      </c>
      <c r="L628" s="1897">
        <v>0</v>
      </c>
      <c r="M628" s="1897">
        <v>0.18733333333333335</v>
      </c>
    </row>
    <row r="629" spans="1:13" ht="15">
      <c r="A629" s="1894">
        <f t="shared" si="9"/>
        <v>622</v>
      </c>
      <c r="B629" s="1906" t="s">
        <v>3341</v>
      </c>
      <c r="C629" s="1907" t="s">
        <v>524</v>
      </c>
      <c r="D629" s="1906" t="s">
        <v>541</v>
      </c>
      <c r="E629" s="1907" t="s">
        <v>259</v>
      </c>
      <c r="F629" s="1906">
        <v>611</v>
      </c>
      <c r="G629" s="1897">
        <v>0.77852700490998361</v>
      </c>
      <c r="H629" s="1897">
        <v>0.76360065466448446</v>
      </c>
      <c r="I629" s="1897">
        <v>0.72196399345335516</v>
      </c>
      <c r="J629" s="1897">
        <v>0.68504091653027821</v>
      </c>
      <c r="K629" s="1897">
        <v>0.70232405891980365</v>
      </c>
      <c r="L629" s="1897">
        <v>0.71332242225859244</v>
      </c>
      <c r="M629" s="1897">
        <v>0.72746317512274972</v>
      </c>
    </row>
    <row r="630" spans="1:13" ht="15">
      <c r="A630" s="1894">
        <f t="shared" si="9"/>
        <v>623</v>
      </c>
      <c r="B630" s="1906" t="s">
        <v>3473</v>
      </c>
      <c r="C630" s="1907" t="s">
        <v>524</v>
      </c>
      <c r="D630" s="1906" t="s">
        <v>541</v>
      </c>
      <c r="E630" s="1907" t="s">
        <v>259</v>
      </c>
      <c r="F630" s="1906">
        <v>617</v>
      </c>
      <c r="G630" s="1897">
        <v>0.50178282009724473</v>
      </c>
      <c r="H630" s="1897">
        <v>0.56012965964343597</v>
      </c>
      <c r="I630" s="1897">
        <v>0.48855753646677469</v>
      </c>
      <c r="J630" s="1897">
        <v>0.62703403565640192</v>
      </c>
      <c r="K630" s="1897">
        <v>7.0016207455429497E-2</v>
      </c>
      <c r="L630" s="1897">
        <v>5.6790923824959483E-2</v>
      </c>
      <c r="M630" s="1897">
        <v>0.38405186385737439</v>
      </c>
    </row>
    <row r="631" spans="1:13" ht="15">
      <c r="A631" s="1894">
        <f t="shared" si="9"/>
        <v>624</v>
      </c>
      <c r="B631" s="1906" t="s">
        <v>3474</v>
      </c>
      <c r="C631" s="1907" t="s">
        <v>524</v>
      </c>
      <c r="D631" s="1906" t="s">
        <v>737</v>
      </c>
      <c r="E631" s="1907" t="s">
        <v>259</v>
      </c>
      <c r="F631" s="1906">
        <v>622</v>
      </c>
      <c r="G631" s="1897">
        <v>1.5048231511254019E-2</v>
      </c>
      <c r="H631" s="1897">
        <v>5.6720257234726693E-2</v>
      </c>
      <c r="I631" s="1897">
        <v>0.15279742765273313</v>
      </c>
      <c r="J631" s="1897">
        <v>0.15395498392282958</v>
      </c>
      <c r="K631" s="1897">
        <v>0.1470096463022508</v>
      </c>
      <c r="L631" s="1897">
        <v>0.15163987138263665</v>
      </c>
      <c r="M631" s="1897">
        <v>0.11286173633440515</v>
      </c>
    </row>
    <row r="632" spans="1:13" ht="15">
      <c r="A632" s="1894">
        <f t="shared" si="9"/>
        <v>625</v>
      </c>
      <c r="B632" s="1906" t="s">
        <v>3475</v>
      </c>
      <c r="C632" s="1907" t="s">
        <v>524</v>
      </c>
      <c r="D632" s="1906" t="s">
        <v>541</v>
      </c>
      <c r="E632" s="1907" t="s">
        <v>259</v>
      </c>
      <c r="F632" s="1906">
        <v>623</v>
      </c>
      <c r="G632" s="1897">
        <v>0.8860353130016051</v>
      </c>
      <c r="H632" s="1897">
        <v>0.92301765650080247</v>
      </c>
      <c r="I632" s="1897">
        <v>0.92841091492776884</v>
      </c>
      <c r="J632" s="1897">
        <v>0.91069020866773676</v>
      </c>
      <c r="K632" s="1897">
        <v>0.88757624398073842</v>
      </c>
      <c r="L632" s="1897">
        <v>0.90452648475120379</v>
      </c>
      <c r="M632" s="1897">
        <v>0.90670947030497595</v>
      </c>
    </row>
    <row r="633" spans="1:13" ht="15">
      <c r="A633" s="1894">
        <f t="shared" si="9"/>
        <v>626</v>
      </c>
      <c r="B633" s="1906" t="s">
        <v>3476</v>
      </c>
      <c r="C633" s="1907" t="s">
        <v>524</v>
      </c>
      <c r="D633" s="1906" t="s">
        <v>541</v>
      </c>
      <c r="E633" s="1907" t="s">
        <v>259</v>
      </c>
      <c r="F633" s="1906">
        <v>630</v>
      </c>
      <c r="G633" s="1897">
        <v>0.12266666666666667</v>
      </c>
      <c r="H633" s="1897">
        <v>0.16838095238095241</v>
      </c>
      <c r="I633" s="1897">
        <v>0.13638095238095238</v>
      </c>
      <c r="J633" s="1897">
        <v>0.13257142857142856</v>
      </c>
      <c r="K633" s="1897">
        <v>0.59200000000000008</v>
      </c>
      <c r="L633" s="1897">
        <v>0.59961904761904772</v>
      </c>
      <c r="M633" s="1897">
        <v>0.29193650793650799</v>
      </c>
    </row>
    <row r="634" spans="1:13" ht="15">
      <c r="A634" s="1894">
        <f t="shared" si="9"/>
        <v>627</v>
      </c>
      <c r="B634" s="1906" t="s">
        <v>729</v>
      </c>
      <c r="C634" s="1907" t="s">
        <v>524</v>
      </c>
      <c r="D634" s="1906" t="s">
        <v>730</v>
      </c>
      <c r="E634" s="1907" t="s">
        <v>259</v>
      </c>
      <c r="F634" s="1906">
        <v>648</v>
      </c>
      <c r="G634" s="1897">
        <v>6.7777777777777784E-2</v>
      </c>
      <c r="H634" s="1897">
        <v>8.4444444444444447E-2</v>
      </c>
      <c r="I634" s="1897">
        <v>0.21666666666666667</v>
      </c>
      <c r="J634" s="1897">
        <v>0.28666666666666663</v>
      </c>
      <c r="K634" s="1897">
        <v>0.30888888888888888</v>
      </c>
      <c r="L634" s="1897">
        <v>0.30777777777777776</v>
      </c>
      <c r="M634" s="1897">
        <v>0.21203703703703702</v>
      </c>
    </row>
    <row r="635" spans="1:13" ht="15">
      <c r="A635" s="1894">
        <f t="shared" si="9"/>
        <v>628</v>
      </c>
      <c r="B635" s="1906" t="s">
        <v>3477</v>
      </c>
      <c r="C635" s="1907" t="s">
        <v>524</v>
      </c>
      <c r="D635" s="1906" t="s">
        <v>541</v>
      </c>
      <c r="E635" s="1907" t="s">
        <v>259</v>
      </c>
      <c r="F635" s="1906">
        <v>650</v>
      </c>
      <c r="G635" s="1897">
        <v>0.99815384615384628</v>
      </c>
      <c r="H635" s="1897">
        <v>0.752</v>
      </c>
      <c r="I635" s="1897">
        <v>0.56738461538461538</v>
      </c>
      <c r="J635" s="1897">
        <v>0.46953846153846163</v>
      </c>
      <c r="K635" s="1897">
        <v>0.21353846153846157</v>
      </c>
      <c r="L635" s="1897">
        <v>0.22092307692307692</v>
      </c>
      <c r="M635" s="1897">
        <v>0.53692307692307695</v>
      </c>
    </row>
    <row r="636" spans="1:13" ht="15">
      <c r="A636" s="1894">
        <f t="shared" si="9"/>
        <v>629</v>
      </c>
      <c r="B636" s="1906" t="s">
        <v>664</v>
      </c>
      <c r="C636" s="1907" t="s">
        <v>524</v>
      </c>
      <c r="D636" s="1906" t="s">
        <v>629</v>
      </c>
      <c r="E636" s="1907" t="s">
        <v>259</v>
      </c>
      <c r="F636" s="1906">
        <v>666.67</v>
      </c>
      <c r="G636" s="1897">
        <v>0.37367813160934199</v>
      </c>
      <c r="H636" s="1897">
        <v>0.37439812800935995</v>
      </c>
      <c r="I636" s="1897">
        <v>0.405357973210134</v>
      </c>
      <c r="J636" s="1897">
        <v>0.34127829360853196</v>
      </c>
      <c r="K636" s="1897">
        <v>0.30383848080759596</v>
      </c>
      <c r="L636" s="1897">
        <v>0.26999865000675</v>
      </c>
      <c r="M636" s="1897">
        <v>0.34475827620861899</v>
      </c>
    </row>
    <row r="637" spans="1:13" ht="15">
      <c r="A637" s="1894">
        <f t="shared" si="9"/>
        <v>630</v>
      </c>
      <c r="B637" s="1906" t="s">
        <v>3479</v>
      </c>
      <c r="C637" s="1907" t="s">
        <v>524</v>
      </c>
      <c r="D637" s="1906" t="s">
        <v>730</v>
      </c>
      <c r="E637" s="1907" t="s">
        <v>259</v>
      </c>
      <c r="F637" s="1906">
        <v>667</v>
      </c>
      <c r="G637" s="1897">
        <v>0.38356821589205398</v>
      </c>
      <c r="H637" s="1897">
        <v>0.37133433283358319</v>
      </c>
      <c r="I637" s="1897">
        <v>0.37061469265367314</v>
      </c>
      <c r="J637" s="1897">
        <v>0.37349325337331335</v>
      </c>
      <c r="K637" s="1897">
        <v>0.3720539730134933</v>
      </c>
      <c r="L637" s="1897">
        <v>0.37925037481259366</v>
      </c>
      <c r="M637" s="1897">
        <v>0.3750524737631184</v>
      </c>
    </row>
    <row r="638" spans="1:13" ht="15">
      <c r="A638" s="1894">
        <f t="shared" si="9"/>
        <v>631</v>
      </c>
      <c r="B638" s="1906" t="s">
        <v>3478</v>
      </c>
      <c r="C638" s="1907" t="s">
        <v>524</v>
      </c>
      <c r="D638" s="1906" t="s">
        <v>541</v>
      </c>
      <c r="E638" s="1907" t="s">
        <v>259</v>
      </c>
      <c r="F638" s="1906">
        <v>667</v>
      </c>
      <c r="G638" s="1897">
        <v>0</v>
      </c>
      <c r="H638" s="1897">
        <v>0</v>
      </c>
      <c r="I638" s="1897">
        <v>0</v>
      </c>
      <c r="J638" s="1897">
        <v>0</v>
      </c>
      <c r="K638" s="1897">
        <v>0</v>
      </c>
      <c r="L638" s="1897">
        <v>0</v>
      </c>
      <c r="M638" s="1897">
        <v>0</v>
      </c>
    </row>
    <row r="639" spans="1:13" ht="15">
      <c r="A639" s="1894">
        <f t="shared" si="9"/>
        <v>632</v>
      </c>
      <c r="B639" s="1906" t="s">
        <v>3480</v>
      </c>
      <c r="C639" s="1907" t="s">
        <v>524</v>
      </c>
      <c r="D639" s="1906" t="s">
        <v>541</v>
      </c>
      <c r="E639" s="1907" t="s">
        <v>259</v>
      </c>
      <c r="F639" s="1906">
        <v>667</v>
      </c>
      <c r="G639" s="1897">
        <v>0.53469265367316343</v>
      </c>
      <c r="H639" s="1897">
        <v>0.57643178410794604</v>
      </c>
      <c r="I639" s="1897">
        <v>0.5620389805097451</v>
      </c>
      <c r="J639" s="1897">
        <v>0.51382308845577218</v>
      </c>
      <c r="K639" s="1897">
        <v>0.5231784107946027</v>
      </c>
      <c r="L639" s="1897">
        <v>0.45409295352323836</v>
      </c>
      <c r="M639" s="1897">
        <v>0.52737631184407796</v>
      </c>
    </row>
    <row r="640" spans="1:13" ht="15">
      <c r="A640" s="1894">
        <f t="shared" si="9"/>
        <v>633</v>
      </c>
      <c r="B640" s="1906" t="s">
        <v>3482</v>
      </c>
      <c r="C640" s="1907" t="s">
        <v>524</v>
      </c>
      <c r="D640" s="1906" t="s">
        <v>2966</v>
      </c>
      <c r="E640" s="1907" t="s">
        <v>259</v>
      </c>
      <c r="F640" s="1906">
        <v>700</v>
      </c>
      <c r="G640" s="1897">
        <v>0.38571428571428573</v>
      </c>
      <c r="H640" s="1897">
        <v>0.40285714285714286</v>
      </c>
      <c r="I640" s="1897">
        <v>0.44571428571428573</v>
      </c>
      <c r="J640" s="1897">
        <v>0.46457142857142858</v>
      </c>
      <c r="K640" s="1897">
        <v>0.39657142857142863</v>
      </c>
      <c r="L640" s="1897">
        <v>0.58057142857142852</v>
      </c>
      <c r="M640" s="1897">
        <v>0.44600000000000001</v>
      </c>
    </row>
    <row r="641" spans="1:13" ht="15">
      <c r="A641" s="1894">
        <f t="shared" si="9"/>
        <v>634</v>
      </c>
      <c r="B641" s="1906" t="s">
        <v>3175</v>
      </c>
      <c r="C641" s="1907" t="s">
        <v>524</v>
      </c>
      <c r="D641" s="1906" t="s">
        <v>641</v>
      </c>
      <c r="E641" s="1907" t="s">
        <v>259</v>
      </c>
      <c r="F641" s="1906">
        <v>700</v>
      </c>
      <c r="G641" s="1897">
        <v>0.73828571428571443</v>
      </c>
      <c r="H641" s="1897">
        <v>0.74457142857142866</v>
      </c>
      <c r="I641" s="1897">
        <v>0.4925714285714286</v>
      </c>
      <c r="J641" s="1897">
        <v>0.496</v>
      </c>
      <c r="K641" s="1897">
        <v>0.50914285714285712</v>
      </c>
      <c r="L641" s="1897">
        <v>0.44114285714285717</v>
      </c>
      <c r="M641" s="1897">
        <v>0.57028571428571428</v>
      </c>
    </row>
    <row r="642" spans="1:13" ht="15">
      <c r="A642" s="1894">
        <f t="shared" si="9"/>
        <v>635</v>
      </c>
      <c r="B642" s="1906" t="s">
        <v>3481</v>
      </c>
      <c r="C642" s="1907" t="s">
        <v>524</v>
      </c>
      <c r="D642" s="1906" t="s">
        <v>541</v>
      </c>
      <c r="E642" s="1907" t="s">
        <v>259</v>
      </c>
      <c r="F642" s="1906">
        <v>700</v>
      </c>
      <c r="G642" s="1897">
        <v>0.47485714285714281</v>
      </c>
      <c r="H642" s="1897">
        <v>0.48685714285714288</v>
      </c>
      <c r="I642" s="1897">
        <v>0.58857142857142852</v>
      </c>
      <c r="J642" s="1897">
        <v>0.58971428571428575</v>
      </c>
      <c r="K642" s="1897">
        <v>0.68914285714285706</v>
      </c>
      <c r="L642" s="1897">
        <v>0.67942857142857149</v>
      </c>
      <c r="M642" s="1897">
        <v>0.58476190476190482</v>
      </c>
    </row>
    <row r="643" spans="1:13" ht="15">
      <c r="A643" s="1894">
        <f t="shared" si="9"/>
        <v>636</v>
      </c>
      <c r="B643" s="1906" t="s">
        <v>3483</v>
      </c>
      <c r="C643" s="1907" t="s">
        <v>524</v>
      </c>
      <c r="D643" s="1906" t="s">
        <v>541</v>
      </c>
      <c r="E643" s="1907" t="s">
        <v>259</v>
      </c>
      <c r="F643" s="1906">
        <v>722</v>
      </c>
      <c r="G643" s="1897">
        <v>0.91966759002770082</v>
      </c>
      <c r="H643" s="1897">
        <v>0.89141274238227131</v>
      </c>
      <c r="I643" s="1897">
        <v>0.91246537396121896</v>
      </c>
      <c r="J643" s="1897">
        <v>0.91800554016620495</v>
      </c>
      <c r="K643" s="1897">
        <v>0.92243767313019387</v>
      </c>
      <c r="L643" s="1897">
        <v>0.92132963988919669</v>
      </c>
      <c r="M643" s="1897">
        <v>0.91421975992613114</v>
      </c>
    </row>
    <row r="644" spans="1:13" ht="15">
      <c r="A644" s="1894">
        <f t="shared" si="9"/>
        <v>637</v>
      </c>
      <c r="B644" s="1906" t="s">
        <v>3484</v>
      </c>
      <c r="C644" s="1907" t="s">
        <v>524</v>
      </c>
      <c r="D644" s="1906" t="s">
        <v>541</v>
      </c>
      <c r="E644" s="1907" t="s">
        <v>259</v>
      </c>
      <c r="F644" s="1906">
        <v>723</v>
      </c>
      <c r="G644" s="1897">
        <v>0.46141078838174276</v>
      </c>
      <c r="H644" s="1897">
        <v>0.48022130013831255</v>
      </c>
      <c r="I644" s="1897">
        <v>0.46915629322268326</v>
      </c>
      <c r="J644" s="1897">
        <v>0.47579529737206083</v>
      </c>
      <c r="K644" s="1897">
        <v>0.47136929460580912</v>
      </c>
      <c r="L644" s="1897">
        <v>0.49017980636237896</v>
      </c>
      <c r="M644" s="1897">
        <v>0.47468879668049796</v>
      </c>
    </row>
    <row r="645" spans="1:13" ht="15">
      <c r="A645" s="1894">
        <f t="shared" si="9"/>
        <v>638</v>
      </c>
      <c r="B645" s="1906" t="s">
        <v>3485</v>
      </c>
      <c r="C645" s="1907" t="s">
        <v>524</v>
      </c>
      <c r="D645" s="1906" t="s">
        <v>636</v>
      </c>
      <c r="E645" s="1907" t="s">
        <v>259</v>
      </c>
      <c r="F645" s="1906">
        <v>723</v>
      </c>
      <c r="G645" s="1897">
        <v>0.48597510373443986</v>
      </c>
      <c r="H645" s="1897">
        <v>0.4640663900414938</v>
      </c>
      <c r="I645" s="1897">
        <v>0.48000000000000004</v>
      </c>
      <c r="J645" s="1897">
        <v>0.47800829875518674</v>
      </c>
      <c r="K645" s="1897">
        <v>0.47800829875518674</v>
      </c>
      <c r="L645" s="1897">
        <v>0.50688796680497927</v>
      </c>
      <c r="M645" s="1897">
        <v>0.48215767634854778</v>
      </c>
    </row>
    <row r="646" spans="1:13" ht="15">
      <c r="A646" s="1894">
        <f t="shared" si="9"/>
        <v>639</v>
      </c>
      <c r="B646" s="1906" t="s">
        <v>3602</v>
      </c>
      <c r="C646" s="1907" t="s">
        <v>524</v>
      </c>
      <c r="D646" s="1906" t="s">
        <v>730</v>
      </c>
      <c r="E646" s="1907" t="s">
        <v>259</v>
      </c>
      <c r="F646" s="1906">
        <v>730</v>
      </c>
      <c r="G646" s="1897">
        <v>0</v>
      </c>
      <c r="H646" s="1897">
        <v>0</v>
      </c>
      <c r="I646" s="1897">
        <v>0</v>
      </c>
      <c r="J646" s="1897">
        <v>0</v>
      </c>
      <c r="K646" s="1897">
        <v>0.15904109589041096</v>
      </c>
      <c r="L646" s="1897">
        <v>0.30871232876712329</v>
      </c>
      <c r="M646" s="1897">
        <v>7.7958904109589042E-2</v>
      </c>
    </row>
    <row r="647" spans="1:13" ht="15">
      <c r="A647" s="1894">
        <f t="shared" si="9"/>
        <v>640</v>
      </c>
      <c r="B647" s="1906" t="s">
        <v>3486</v>
      </c>
      <c r="C647" s="1907" t="s">
        <v>524</v>
      </c>
      <c r="D647" s="1906" t="s">
        <v>737</v>
      </c>
      <c r="E647" s="1907" t="s">
        <v>259</v>
      </c>
      <c r="F647" s="1906">
        <v>745</v>
      </c>
      <c r="G647" s="1897">
        <v>0.44697986577181209</v>
      </c>
      <c r="H647" s="1897">
        <v>0.47114093959731546</v>
      </c>
      <c r="I647" s="1897">
        <v>0.57116778523489931</v>
      </c>
      <c r="J647" s="1897">
        <v>0.55570469798657718</v>
      </c>
      <c r="K647" s="1897">
        <v>0.4861208053691275</v>
      </c>
      <c r="L647" s="1897">
        <v>0.52139597315436237</v>
      </c>
      <c r="M647" s="1897">
        <v>0.50875167785234898</v>
      </c>
    </row>
    <row r="648" spans="1:13" ht="15">
      <c r="A648" s="1894">
        <f t="shared" si="9"/>
        <v>641</v>
      </c>
      <c r="B648" s="1906" t="s">
        <v>3487</v>
      </c>
      <c r="C648" s="1907" t="s">
        <v>524</v>
      </c>
      <c r="D648" s="1906" t="s">
        <v>541</v>
      </c>
      <c r="E648" s="1907" t="s">
        <v>259</v>
      </c>
      <c r="F648" s="1906">
        <v>750</v>
      </c>
      <c r="G648" s="1897">
        <v>0.93600000000000005</v>
      </c>
      <c r="H648" s="1897">
        <v>0.97919999999999996</v>
      </c>
      <c r="I648" s="1897">
        <v>0.92</v>
      </c>
      <c r="J648" s="1897">
        <v>0.94719999999999993</v>
      </c>
      <c r="K648" s="1897">
        <v>0.86560000000000004</v>
      </c>
      <c r="L648" s="1897">
        <v>0.86880000000000002</v>
      </c>
      <c r="M648" s="1897">
        <v>0.91946666666666665</v>
      </c>
    </row>
    <row r="649" spans="1:13" ht="15">
      <c r="A649" s="1894">
        <f t="shared" si="9"/>
        <v>642</v>
      </c>
      <c r="B649" s="1906" t="s">
        <v>3488</v>
      </c>
      <c r="C649" s="1907" t="s">
        <v>524</v>
      </c>
      <c r="D649" s="1906" t="s">
        <v>541</v>
      </c>
      <c r="E649" s="1907" t="s">
        <v>259</v>
      </c>
      <c r="F649" s="1906">
        <v>750</v>
      </c>
      <c r="G649" s="1897">
        <v>0.70719999999999994</v>
      </c>
      <c r="H649" s="1897">
        <v>0.79680000000000006</v>
      </c>
      <c r="I649" s="1897">
        <v>0.63680000000000003</v>
      </c>
      <c r="J649" s="1897">
        <v>0.61973333333333336</v>
      </c>
      <c r="K649" s="1897">
        <v>0.50559999999999994</v>
      </c>
      <c r="L649" s="1897">
        <v>0.53013333333333335</v>
      </c>
      <c r="M649" s="1897">
        <v>0.63271111111111111</v>
      </c>
    </row>
    <row r="650" spans="1:13" ht="15">
      <c r="A650" s="1894">
        <f t="shared" ref="A650:A713" si="10">+A649+1</f>
        <v>643</v>
      </c>
      <c r="B650" s="1906" t="s">
        <v>3603</v>
      </c>
      <c r="C650" s="1907" t="s">
        <v>524</v>
      </c>
      <c r="D650" s="1906" t="s">
        <v>541</v>
      </c>
      <c r="E650" s="1907" t="s">
        <v>259</v>
      </c>
      <c r="F650" s="1906">
        <v>750</v>
      </c>
      <c r="G650" s="1897">
        <v>0.67866666666666664</v>
      </c>
      <c r="H650" s="1897">
        <v>0.69066666666666665</v>
      </c>
      <c r="I650" s="1897">
        <v>0.66333333333333333</v>
      </c>
      <c r="J650" s="1897">
        <v>0.68733333333333335</v>
      </c>
      <c r="K650" s="1897">
        <v>0.82640000000000013</v>
      </c>
      <c r="L650" s="1897">
        <v>0.84719999999999995</v>
      </c>
      <c r="M650" s="1897">
        <v>0.73226666666666651</v>
      </c>
    </row>
    <row r="651" spans="1:13" ht="15">
      <c r="A651" s="1894">
        <f t="shared" si="10"/>
        <v>644</v>
      </c>
      <c r="B651" s="1906" t="s">
        <v>3489</v>
      </c>
      <c r="C651" s="1907" t="s">
        <v>524</v>
      </c>
      <c r="D651" s="1906" t="s">
        <v>541</v>
      </c>
      <c r="E651" s="1907" t="s">
        <v>259</v>
      </c>
      <c r="F651" s="1906">
        <v>750</v>
      </c>
      <c r="G651" s="1897">
        <v>0.88266666666666671</v>
      </c>
      <c r="H651" s="1897">
        <v>0.34666666666666668</v>
      </c>
      <c r="I651" s="1897">
        <v>0.48799999999999999</v>
      </c>
      <c r="J651" s="1897">
        <v>0.28000000000000003</v>
      </c>
      <c r="K651" s="1897">
        <v>0.27200000000000002</v>
      </c>
      <c r="L651" s="1897">
        <v>0.29066666666666668</v>
      </c>
      <c r="M651" s="1897">
        <v>0.42666666666666669</v>
      </c>
    </row>
    <row r="652" spans="1:13" ht="15">
      <c r="A652" s="1894">
        <f t="shared" si="10"/>
        <v>645</v>
      </c>
      <c r="B652" s="1906" t="s">
        <v>3604</v>
      </c>
      <c r="C652" s="1907" t="s">
        <v>524</v>
      </c>
      <c r="D652" s="1906" t="s">
        <v>541</v>
      </c>
      <c r="E652" s="1907" t="s">
        <v>259</v>
      </c>
      <c r="F652" s="1906">
        <v>780</v>
      </c>
      <c r="G652" s="1897">
        <v>1.3271999999999999</v>
      </c>
      <c r="H652" s="1897">
        <v>0.99138461538461531</v>
      </c>
      <c r="I652" s="1897">
        <v>0.95815384615384613</v>
      </c>
      <c r="J652" s="1897">
        <v>0.97723076923076924</v>
      </c>
      <c r="K652" s="1897">
        <v>0.94215384615384634</v>
      </c>
      <c r="L652" s="1897">
        <v>0.92307692307692313</v>
      </c>
      <c r="M652" s="1897">
        <v>1.0198666666666669</v>
      </c>
    </row>
    <row r="653" spans="1:13" ht="15">
      <c r="A653" s="1894">
        <f t="shared" si="10"/>
        <v>646</v>
      </c>
      <c r="B653" s="1906" t="s">
        <v>3494</v>
      </c>
      <c r="C653" s="1907" t="s">
        <v>524</v>
      </c>
      <c r="D653" s="1906" t="s">
        <v>541</v>
      </c>
      <c r="E653" s="1907" t="s">
        <v>259</v>
      </c>
      <c r="F653" s="1906">
        <v>800</v>
      </c>
      <c r="G653" s="1897">
        <v>0.43799999999999994</v>
      </c>
      <c r="H653" s="1897">
        <v>0.43200000000000005</v>
      </c>
      <c r="I653" s="1897">
        <v>0.45199999999999996</v>
      </c>
      <c r="J653" s="1897">
        <v>0.39399999999999996</v>
      </c>
      <c r="K653" s="1897">
        <v>0.252</v>
      </c>
      <c r="L653" s="1897">
        <v>0.23400000000000001</v>
      </c>
      <c r="M653" s="1897">
        <v>0.36699999999999999</v>
      </c>
    </row>
    <row r="654" spans="1:13" ht="15">
      <c r="A654" s="1894">
        <f t="shared" si="10"/>
        <v>647</v>
      </c>
      <c r="B654" s="1906" t="s">
        <v>3490</v>
      </c>
      <c r="C654" s="1907" t="s">
        <v>524</v>
      </c>
      <c r="D654" s="1906" t="s">
        <v>541</v>
      </c>
      <c r="E654" s="1907" t="s">
        <v>259</v>
      </c>
      <c r="F654" s="1906">
        <v>800</v>
      </c>
      <c r="G654" s="1897">
        <v>0.6905</v>
      </c>
      <c r="H654" s="1897">
        <v>0.66299999999999992</v>
      </c>
      <c r="I654" s="1897">
        <v>0.68299999999999994</v>
      </c>
      <c r="J654" s="1897">
        <v>0.72049999999999992</v>
      </c>
      <c r="K654" s="1897">
        <v>0.62850000000000006</v>
      </c>
      <c r="L654" s="1897">
        <v>0.6925</v>
      </c>
      <c r="M654" s="1897">
        <v>0.67966666666666653</v>
      </c>
    </row>
    <row r="655" spans="1:13" ht="15">
      <c r="A655" s="1894">
        <f t="shared" si="10"/>
        <v>648</v>
      </c>
      <c r="B655" s="1906" t="s">
        <v>3493</v>
      </c>
      <c r="C655" s="1907" t="s">
        <v>524</v>
      </c>
      <c r="D655" s="1906" t="s">
        <v>541</v>
      </c>
      <c r="E655" s="1907" t="s">
        <v>259</v>
      </c>
      <c r="F655" s="1906">
        <v>800</v>
      </c>
      <c r="G655" s="1897">
        <v>1.1033999999999999</v>
      </c>
      <c r="H655" s="1897">
        <v>0.95040000000000002</v>
      </c>
      <c r="I655" s="1897">
        <v>1.1223000000000001</v>
      </c>
      <c r="J655" s="1897">
        <v>1.1412</v>
      </c>
      <c r="K655" s="1897">
        <v>1.1313000000000002</v>
      </c>
      <c r="L655" s="1897">
        <v>1.1763000000000001</v>
      </c>
      <c r="M655" s="1897">
        <v>1.10415</v>
      </c>
    </row>
    <row r="656" spans="1:13" ht="15">
      <c r="A656" s="1894">
        <f t="shared" si="10"/>
        <v>649</v>
      </c>
      <c r="B656" s="1906" t="s">
        <v>3491</v>
      </c>
      <c r="C656" s="1907" t="s">
        <v>524</v>
      </c>
      <c r="D656" s="1906" t="s">
        <v>541</v>
      </c>
      <c r="E656" s="1907" t="s">
        <v>259</v>
      </c>
      <c r="F656" s="1906">
        <v>800</v>
      </c>
      <c r="G656" s="1897">
        <v>0.95699999999999985</v>
      </c>
      <c r="H656" s="1897">
        <v>1.0305</v>
      </c>
      <c r="I656" s="1897">
        <v>0.95699999999999985</v>
      </c>
      <c r="J656" s="1897">
        <v>0.98699999999999999</v>
      </c>
      <c r="K656" s="1897">
        <v>0.98099999999999998</v>
      </c>
      <c r="L656" s="1897">
        <v>0.95250000000000001</v>
      </c>
      <c r="M656" s="1897">
        <v>0.97749999999999992</v>
      </c>
    </row>
    <row r="657" spans="1:13" ht="15">
      <c r="A657" s="1894">
        <f t="shared" si="10"/>
        <v>650</v>
      </c>
      <c r="B657" s="1906" t="s">
        <v>3495</v>
      </c>
      <c r="C657" s="1907" t="s">
        <v>524</v>
      </c>
      <c r="D657" s="1906" t="s">
        <v>629</v>
      </c>
      <c r="E657" s="1907" t="s">
        <v>259</v>
      </c>
      <c r="F657" s="1906">
        <v>810</v>
      </c>
      <c r="G657" s="1897">
        <v>0.40987654320987654</v>
      </c>
      <c r="H657" s="1897">
        <v>0.4009876543209876</v>
      </c>
      <c r="I657" s="1897">
        <v>0.50864197530864197</v>
      </c>
      <c r="J657" s="1897">
        <v>0.4148148148148148</v>
      </c>
      <c r="K657" s="1897">
        <v>0.36296296296296299</v>
      </c>
      <c r="L657" s="1897">
        <v>0.36246913580246914</v>
      </c>
      <c r="M657" s="1897">
        <v>0.40995884773662555</v>
      </c>
    </row>
    <row r="658" spans="1:13" ht="15">
      <c r="A658" s="1894">
        <f t="shared" si="10"/>
        <v>651</v>
      </c>
      <c r="B658" s="1906" t="s">
        <v>3605</v>
      </c>
      <c r="C658" s="1907" t="s">
        <v>524</v>
      </c>
      <c r="D658" s="1906" t="s">
        <v>730</v>
      </c>
      <c r="E658" s="1907" t="s">
        <v>259</v>
      </c>
      <c r="F658" s="1906">
        <v>818</v>
      </c>
      <c r="G658" s="1897">
        <v>0</v>
      </c>
      <c r="H658" s="1897">
        <v>0</v>
      </c>
      <c r="I658" s="1897">
        <v>8.8019559902200502E-4</v>
      </c>
      <c r="J658" s="1897">
        <v>0.2851833740831296</v>
      </c>
      <c r="K658" s="1897">
        <v>0.35207823960880197</v>
      </c>
      <c r="L658" s="1897">
        <v>0.37056234718826409</v>
      </c>
      <c r="M658" s="1897">
        <v>0.16811735941320297</v>
      </c>
    </row>
    <row r="659" spans="1:13" ht="15">
      <c r="A659" s="1894">
        <f t="shared" si="10"/>
        <v>652</v>
      </c>
      <c r="B659" s="1906" t="s">
        <v>3496</v>
      </c>
      <c r="C659" s="1907" t="s">
        <v>524</v>
      </c>
      <c r="D659" s="1906" t="s">
        <v>623</v>
      </c>
      <c r="E659" s="1907" t="s">
        <v>259</v>
      </c>
      <c r="F659" s="1906">
        <v>825</v>
      </c>
      <c r="G659" s="1897">
        <v>0.7781818181818182</v>
      </c>
      <c r="H659" s="1897">
        <v>0.8344242424242424</v>
      </c>
      <c r="I659" s="1897">
        <v>0.81793939393939386</v>
      </c>
      <c r="J659" s="1897">
        <v>0.84169696969696972</v>
      </c>
      <c r="K659" s="1897">
        <v>0.83393939393939398</v>
      </c>
      <c r="L659" s="1897">
        <v>0.82036363636363629</v>
      </c>
      <c r="M659" s="1897">
        <v>0.82109090909090909</v>
      </c>
    </row>
    <row r="660" spans="1:13" ht="15">
      <c r="A660" s="1894">
        <f t="shared" si="10"/>
        <v>653</v>
      </c>
      <c r="B660" s="1906" t="s">
        <v>3497</v>
      </c>
      <c r="C660" s="1907" t="s">
        <v>524</v>
      </c>
      <c r="D660" s="1906" t="s">
        <v>730</v>
      </c>
      <c r="E660" s="1907" t="s">
        <v>259</v>
      </c>
      <c r="F660" s="1906">
        <v>828</v>
      </c>
      <c r="G660" s="1897">
        <v>0.47632850241545893</v>
      </c>
      <c r="H660" s="1897">
        <v>0.44734299516908216</v>
      </c>
      <c r="I660" s="1897">
        <v>0.47149758454106283</v>
      </c>
      <c r="J660" s="1897">
        <v>0.47729468599033814</v>
      </c>
      <c r="K660" s="1897">
        <v>0.47632850241545893</v>
      </c>
      <c r="L660" s="1897">
        <v>0.45700483091787442</v>
      </c>
      <c r="M660" s="1897">
        <v>0.46763285024154588</v>
      </c>
    </row>
    <row r="661" spans="1:13" ht="15">
      <c r="A661" s="1894">
        <f t="shared" si="10"/>
        <v>654</v>
      </c>
      <c r="B661" s="1906" t="s">
        <v>3498</v>
      </c>
      <c r="C661" s="1907" t="s">
        <v>524</v>
      </c>
      <c r="D661" s="1906" t="s">
        <v>2966</v>
      </c>
      <c r="E661" s="1907" t="s">
        <v>259</v>
      </c>
      <c r="F661" s="1906">
        <v>833</v>
      </c>
      <c r="G661" s="1897">
        <v>0.57959183673469394</v>
      </c>
      <c r="H661" s="1897">
        <v>0.75294117647058834</v>
      </c>
      <c r="I661" s="1897">
        <v>0.57334933973589441</v>
      </c>
      <c r="J661" s="1897">
        <v>0.46290516206482596</v>
      </c>
      <c r="K661" s="1897">
        <v>0.59879951980792323</v>
      </c>
      <c r="L661" s="1897">
        <v>0.57623049219687872</v>
      </c>
      <c r="M661" s="1897">
        <v>0.59063625450180079</v>
      </c>
    </row>
    <row r="662" spans="1:13" ht="15">
      <c r="A662" s="1894">
        <f t="shared" si="10"/>
        <v>655</v>
      </c>
      <c r="B662" s="1906" t="s">
        <v>3499</v>
      </c>
      <c r="C662" s="1907" t="s">
        <v>524</v>
      </c>
      <c r="D662" s="1906" t="s">
        <v>629</v>
      </c>
      <c r="E662" s="1907" t="s">
        <v>259</v>
      </c>
      <c r="F662" s="1906">
        <v>833.33</v>
      </c>
      <c r="G662" s="1897">
        <v>3.6288145152580609E-2</v>
      </c>
      <c r="H662" s="1897">
        <v>3.2256129024516092E-2</v>
      </c>
      <c r="I662" s="1897">
        <v>3.7440149760599041E-2</v>
      </c>
      <c r="J662" s="1897">
        <v>3.5136140544562176E-2</v>
      </c>
      <c r="K662" s="1897">
        <v>3.4128136512546051E-2</v>
      </c>
      <c r="L662" s="1897">
        <v>3.3264133056532225E-2</v>
      </c>
      <c r="M662" s="1897">
        <v>3.4752139008556039E-2</v>
      </c>
    </row>
    <row r="663" spans="1:13" ht="15">
      <c r="A663" s="1894">
        <f t="shared" si="10"/>
        <v>656</v>
      </c>
      <c r="B663" s="1906" t="s">
        <v>3500</v>
      </c>
      <c r="C663" s="1907" t="s">
        <v>524</v>
      </c>
      <c r="D663" s="1906" t="s">
        <v>623</v>
      </c>
      <c r="E663" s="1907" t="s">
        <v>259</v>
      </c>
      <c r="F663" s="1906">
        <v>834</v>
      </c>
      <c r="G663" s="1897">
        <v>0.39021582733812948</v>
      </c>
      <c r="H663" s="1897">
        <v>0.42705035971223027</v>
      </c>
      <c r="I663" s="1897">
        <v>0.73726618705035973</v>
      </c>
      <c r="J663" s="1897">
        <v>0.53640287769784178</v>
      </c>
      <c r="K663" s="1897">
        <v>0.78215827338129484</v>
      </c>
      <c r="L663" s="1897">
        <v>0.70330935251798565</v>
      </c>
      <c r="M663" s="1897">
        <v>0.59606714628297353</v>
      </c>
    </row>
    <row r="664" spans="1:13" ht="15">
      <c r="A664" s="1894">
        <f t="shared" si="10"/>
        <v>657</v>
      </c>
      <c r="B664" s="1906" t="s">
        <v>3501</v>
      </c>
      <c r="C664" s="1907" t="s">
        <v>524</v>
      </c>
      <c r="D664" s="1906" t="s">
        <v>541</v>
      </c>
      <c r="E664" s="1907" t="s">
        <v>259</v>
      </c>
      <c r="F664" s="1906">
        <v>834</v>
      </c>
      <c r="G664" s="1897">
        <v>0.67146282973621108</v>
      </c>
      <c r="H664" s="1897">
        <v>0.62973621103117516</v>
      </c>
      <c r="I664" s="1897">
        <v>0.6345323741007195</v>
      </c>
      <c r="J664" s="1897">
        <v>0.67529976019184657</v>
      </c>
      <c r="K664" s="1897">
        <v>0.7750599520383693</v>
      </c>
      <c r="L664" s="1897">
        <v>0.82877697841726627</v>
      </c>
      <c r="M664" s="1897">
        <v>0.70247801758593142</v>
      </c>
    </row>
    <row r="665" spans="1:13" ht="15">
      <c r="A665" s="1894">
        <f t="shared" si="10"/>
        <v>658</v>
      </c>
      <c r="B665" s="1906" t="s">
        <v>3502</v>
      </c>
      <c r="C665" s="1907" t="s">
        <v>524</v>
      </c>
      <c r="D665" s="1906" t="s">
        <v>541</v>
      </c>
      <c r="E665" s="1907" t="s">
        <v>259</v>
      </c>
      <c r="F665" s="1906">
        <v>850</v>
      </c>
      <c r="G665" s="1897">
        <v>0.87529411764705878</v>
      </c>
      <c r="H665" s="1897">
        <v>0.90141176470588236</v>
      </c>
      <c r="I665" s="1897">
        <v>0.9028235294117648</v>
      </c>
      <c r="J665" s="1897">
        <v>0.87811764705882345</v>
      </c>
      <c r="K665" s="1897">
        <v>0.85905882352941176</v>
      </c>
      <c r="L665" s="1897">
        <v>0.84494117647058831</v>
      </c>
      <c r="M665" s="1897">
        <v>0.87694117647058822</v>
      </c>
    </row>
    <row r="666" spans="1:13" ht="15">
      <c r="A666" s="1894">
        <f t="shared" si="10"/>
        <v>659</v>
      </c>
      <c r="B666" s="1906" t="s">
        <v>3503</v>
      </c>
      <c r="C666" s="1907" t="s">
        <v>524</v>
      </c>
      <c r="D666" s="1906" t="s">
        <v>541</v>
      </c>
      <c r="E666" s="1907" t="s">
        <v>259</v>
      </c>
      <c r="F666" s="1906">
        <v>860</v>
      </c>
      <c r="G666" s="1897">
        <v>0.90418604651162782</v>
      </c>
      <c r="H666" s="1897">
        <v>0.9055813953488373</v>
      </c>
      <c r="I666" s="1897">
        <v>0.94511627906976736</v>
      </c>
      <c r="J666" s="1897">
        <v>0.96139534883720923</v>
      </c>
      <c r="K666" s="1897">
        <v>0.9511627906976744</v>
      </c>
      <c r="L666" s="1897">
        <v>0.92093023255813955</v>
      </c>
      <c r="M666" s="1897">
        <v>0.9313953488372092</v>
      </c>
    </row>
    <row r="667" spans="1:13" ht="15">
      <c r="A667" s="1894">
        <f t="shared" si="10"/>
        <v>660</v>
      </c>
      <c r="B667" s="1906" t="s">
        <v>3504</v>
      </c>
      <c r="C667" s="1907" t="s">
        <v>524</v>
      </c>
      <c r="D667" s="1906" t="s">
        <v>737</v>
      </c>
      <c r="E667" s="1907" t="s">
        <v>259</v>
      </c>
      <c r="F667" s="1906">
        <v>860</v>
      </c>
      <c r="G667" s="1897">
        <v>0.53525581395348831</v>
      </c>
      <c r="H667" s="1897">
        <v>0.48111627906976745</v>
      </c>
      <c r="I667" s="1897">
        <v>0.51627906976744187</v>
      </c>
      <c r="J667" s="1897">
        <v>0.46381395348837207</v>
      </c>
      <c r="K667" s="1897">
        <v>0.43702325581395346</v>
      </c>
      <c r="L667" s="1897">
        <v>0.43646511627906981</v>
      </c>
      <c r="M667" s="1897">
        <v>0.47832558139534881</v>
      </c>
    </row>
    <row r="668" spans="1:13" ht="15">
      <c r="A668" s="1894">
        <f t="shared" si="10"/>
        <v>661</v>
      </c>
      <c r="B668" s="1906" t="s">
        <v>3505</v>
      </c>
      <c r="C668" s="1907" t="s">
        <v>524</v>
      </c>
      <c r="D668" s="1906" t="s">
        <v>541</v>
      </c>
      <c r="E668" s="1907" t="s">
        <v>259</v>
      </c>
      <c r="F668" s="1906">
        <v>889</v>
      </c>
      <c r="G668" s="1897">
        <v>0.97025871766029237</v>
      </c>
      <c r="H668" s="1897">
        <v>1.123599550056243</v>
      </c>
      <c r="I668" s="1897">
        <v>1.0825646794150732</v>
      </c>
      <c r="J668" s="1897">
        <v>0.87361079865016866</v>
      </c>
      <c r="K668" s="1897">
        <v>0.7175703037120359</v>
      </c>
      <c r="L668" s="1897">
        <v>0.99563554555680545</v>
      </c>
      <c r="M668" s="1897">
        <v>0.96053993250843639</v>
      </c>
    </row>
    <row r="669" spans="1:13" ht="15">
      <c r="A669" s="1894">
        <f t="shared" si="10"/>
        <v>662</v>
      </c>
      <c r="B669" s="1906" t="s">
        <v>3465</v>
      </c>
      <c r="C669" s="1907" t="s">
        <v>524</v>
      </c>
      <c r="D669" s="1906" t="s">
        <v>541</v>
      </c>
      <c r="E669" s="1907" t="s">
        <v>259</v>
      </c>
      <c r="F669" s="1906">
        <v>889</v>
      </c>
      <c r="G669" s="1897">
        <v>0.94083239595050616</v>
      </c>
      <c r="H669" s="1897">
        <v>0.93408323959505057</v>
      </c>
      <c r="I669" s="1897">
        <v>0.96107986501687281</v>
      </c>
      <c r="J669" s="1897">
        <v>0.99077615298087751</v>
      </c>
      <c r="K669" s="1897">
        <v>0.93948256467941504</v>
      </c>
      <c r="L669" s="1897">
        <v>0.98065241844769413</v>
      </c>
      <c r="M669" s="1897">
        <v>0.95781777277840263</v>
      </c>
    </row>
    <row r="670" spans="1:13" ht="15">
      <c r="A670" s="1894">
        <f t="shared" si="10"/>
        <v>663</v>
      </c>
      <c r="B670" s="1906" t="s">
        <v>3507</v>
      </c>
      <c r="C670" s="1907" t="s">
        <v>524</v>
      </c>
      <c r="D670" s="1906" t="s">
        <v>623</v>
      </c>
      <c r="E670" s="1907" t="s">
        <v>259</v>
      </c>
      <c r="F670" s="1906">
        <v>900</v>
      </c>
      <c r="G670" s="1897">
        <v>0.90800000000000003</v>
      </c>
      <c r="H670" s="1897">
        <v>0.94266666666666676</v>
      </c>
      <c r="I670" s="1897">
        <v>1.0008888888888889</v>
      </c>
      <c r="J670" s="1897">
        <v>0.82266666666666666</v>
      </c>
      <c r="K670" s="1897">
        <v>0.7</v>
      </c>
      <c r="L670" s="1897">
        <v>0.69911111111111102</v>
      </c>
      <c r="M670" s="1897">
        <v>0.8455555555555555</v>
      </c>
    </row>
    <row r="671" spans="1:13" ht="15">
      <c r="A671" s="1894">
        <f t="shared" si="10"/>
        <v>664</v>
      </c>
      <c r="B671" s="1906" t="s">
        <v>3508</v>
      </c>
      <c r="C671" s="1907" t="s">
        <v>524</v>
      </c>
      <c r="D671" s="1906" t="s">
        <v>541</v>
      </c>
      <c r="E671" s="1907" t="s">
        <v>259</v>
      </c>
      <c r="F671" s="1906">
        <v>900</v>
      </c>
      <c r="G671" s="1897">
        <v>0.80266666666666664</v>
      </c>
      <c r="H671" s="1897">
        <v>0.84199999999999997</v>
      </c>
      <c r="I671" s="1897">
        <v>0.80666666666666664</v>
      </c>
      <c r="J671" s="1897">
        <v>0.87733333333333341</v>
      </c>
      <c r="K671" s="1897">
        <v>0.82333333333333336</v>
      </c>
      <c r="L671" s="1897">
        <v>0.83933333333333349</v>
      </c>
      <c r="M671" s="1897">
        <v>0.8318888888888889</v>
      </c>
    </row>
    <row r="672" spans="1:13" ht="15">
      <c r="A672" s="1894">
        <f t="shared" si="10"/>
        <v>665</v>
      </c>
      <c r="B672" s="1906" t="s">
        <v>3506</v>
      </c>
      <c r="C672" s="1907" t="s">
        <v>524</v>
      </c>
      <c r="D672" s="1906" t="s">
        <v>709</v>
      </c>
      <c r="E672" s="1907" t="s">
        <v>259</v>
      </c>
      <c r="F672" s="1906">
        <v>900</v>
      </c>
      <c r="G672" s="1897">
        <v>0.3952</v>
      </c>
      <c r="H672" s="1897">
        <v>0.4128</v>
      </c>
      <c r="I672" s="1897">
        <v>1.12E-2</v>
      </c>
      <c r="J672" s="1897">
        <v>0.4168</v>
      </c>
      <c r="K672" s="1897">
        <v>0.57120000000000004</v>
      </c>
      <c r="L672" s="1897">
        <v>0.79626666666666668</v>
      </c>
      <c r="M672" s="1897">
        <v>0.43391111111111114</v>
      </c>
    </row>
    <row r="673" spans="1:13" ht="15">
      <c r="A673" s="1894">
        <f t="shared" si="10"/>
        <v>666</v>
      </c>
      <c r="B673" s="1906" t="s">
        <v>3510</v>
      </c>
      <c r="C673" s="1907" t="s">
        <v>524</v>
      </c>
      <c r="D673" s="1906" t="s">
        <v>636</v>
      </c>
      <c r="E673" s="1907" t="s">
        <v>259</v>
      </c>
      <c r="F673" s="1906">
        <v>950</v>
      </c>
      <c r="G673" s="1897">
        <v>0.74400000000000011</v>
      </c>
      <c r="H673" s="1897">
        <v>0.75536842105263158</v>
      </c>
      <c r="I673" s="1897">
        <v>0.83873684210526311</v>
      </c>
      <c r="J673" s="1897">
        <v>0.73515789473684212</v>
      </c>
      <c r="K673" s="1897">
        <v>0.75915789473684214</v>
      </c>
      <c r="L673" s="1897">
        <v>0.63789473684210529</v>
      </c>
      <c r="M673" s="1897">
        <v>0.7450526315789473</v>
      </c>
    </row>
    <row r="674" spans="1:13" ht="15">
      <c r="A674" s="1894">
        <f t="shared" si="10"/>
        <v>667</v>
      </c>
      <c r="B674" s="1906" t="s">
        <v>3606</v>
      </c>
      <c r="C674" s="1907" t="s">
        <v>524</v>
      </c>
      <c r="D674" s="1906" t="s">
        <v>730</v>
      </c>
      <c r="E674" s="1907" t="s">
        <v>259</v>
      </c>
      <c r="F674" s="1906">
        <v>950</v>
      </c>
      <c r="G674" s="1897">
        <v>0</v>
      </c>
      <c r="H674" s="1897">
        <v>0</v>
      </c>
      <c r="I674" s="1897">
        <v>0.17734736842105261</v>
      </c>
      <c r="J674" s="1897">
        <v>0.34711578947368421</v>
      </c>
      <c r="K674" s="1897">
        <v>0.32185263157894745</v>
      </c>
      <c r="L674" s="1897">
        <v>0.32640000000000002</v>
      </c>
      <c r="M674" s="1897">
        <v>0.19545263157894741</v>
      </c>
    </row>
    <row r="675" spans="1:13" ht="15">
      <c r="A675" s="1894">
        <f t="shared" si="10"/>
        <v>668</v>
      </c>
      <c r="B675" s="1906" t="s">
        <v>3607</v>
      </c>
      <c r="C675" s="1907" t="s">
        <v>524</v>
      </c>
      <c r="D675" s="1906" t="s">
        <v>541</v>
      </c>
      <c r="E675" s="1907" t="s">
        <v>259</v>
      </c>
      <c r="F675" s="1906">
        <v>950</v>
      </c>
      <c r="G675" s="1897">
        <v>0</v>
      </c>
      <c r="H675" s="1897">
        <v>0</v>
      </c>
      <c r="I675" s="1897">
        <v>0.11873684210526315</v>
      </c>
      <c r="J675" s="1897">
        <v>0.21872842105263157</v>
      </c>
      <c r="K675" s="1897">
        <v>0.26586105263157894</v>
      </c>
      <c r="L675" s="1897">
        <v>0.30157894736842106</v>
      </c>
      <c r="M675" s="1897">
        <v>0.15081754385964913</v>
      </c>
    </row>
    <row r="676" spans="1:13" ht="15">
      <c r="A676" s="1894">
        <f t="shared" si="10"/>
        <v>669</v>
      </c>
      <c r="B676" s="1906" t="s">
        <v>3608</v>
      </c>
      <c r="C676" s="1907" t="s">
        <v>524</v>
      </c>
      <c r="D676" s="1906" t="s">
        <v>541</v>
      </c>
      <c r="E676" s="1907" t="s">
        <v>259</v>
      </c>
      <c r="F676" s="1906">
        <v>980</v>
      </c>
      <c r="G676" s="1897">
        <v>0.69765765765765764</v>
      </c>
      <c r="H676" s="1897">
        <v>1.0227027027027027</v>
      </c>
      <c r="I676" s="1897">
        <v>0.80648648648648646</v>
      </c>
      <c r="J676" s="1897">
        <v>1.3991836734693879</v>
      </c>
      <c r="K676" s="1897">
        <v>0.53469387755102038</v>
      </c>
      <c r="L676" s="1897">
        <v>0.57714285714285718</v>
      </c>
      <c r="M676" s="1897">
        <v>0.8396445425016853</v>
      </c>
    </row>
    <row r="677" spans="1:13" ht="15">
      <c r="A677" s="1894">
        <f t="shared" si="10"/>
        <v>670</v>
      </c>
      <c r="B677" s="1906" t="s">
        <v>3511</v>
      </c>
      <c r="C677" s="1907" t="s">
        <v>524</v>
      </c>
      <c r="D677" s="1906" t="s">
        <v>623</v>
      </c>
      <c r="E677" s="1907" t="s">
        <v>259</v>
      </c>
      <c r="F677" s="1906">
        <v>989</v>
      </c>
      <c r="G677" s="1897">
        <v>1.423983822042467</v>
      </c>
      <c r="H677" s="1897">
        <v>1.8874823053589485</v>
      </c>
      <c r="I677" s="1897">
        <v>1.9219413549039435</v>
      </c>
      <c r="J677" s="1897">
        <v>2.0054196157735089</v>
      </c>
      <c r="K677" s="1897">
        <v>1.7103336703741152</v>
      </c>
      <c r="L677" s="1897">
        <v>1.9001011122345803</v>
      </c>
      <c r="M677" s="1897">
        <v>1.8082103134479273</v>
      </c>
    </row>
    <row r="678" spans="1:13" ht="15">
      <c r="A678" s="1894">
        <f t="shared" si="10"/>
        <v>671</v>
      </c>
      <c r="B678" s="1906" t="s">
        <v>3513</v>
      </c>
      <c r="C678" s="1907" t="s">
        <v>524</v>
      </c>
      <c r="D678" s="1906" t="s">
        <v>541</v>
      </c>
      <c r="E678" s="1907" t="s">
        <v>259</v>
      </c>
      <c r="F678" s="1906">
        <v>1000</v>
      </c>
      <c r="G678" s="1897">
        <v>0.77279999999999993</v>
      </c>
      <c r="H678" s="1897">
        <v>0.75779999999999992</v>
      </c>
      <c r="I678" s="1897">
        <v>0.71940000000000004</v>
      </c>
      <c r="J678" s="1897">
        <v>0.94859999999999989</v>
      </c>
      <c r="K678" s="1897">
        <v>0.77159999999999995</v>
      </c>
      <c r="L678" s="1897">
        <v>0.69179999999999997</v>
      </c>
      <c r="M678" s="1897">
        <v>0.77700000000000002</v>
      </c>
    </row>
    <row r="679" spans="1:13" ht="15">
      <c r="A679" s="1894">
        <f t="shared" si="10"/>
        <v>672</v>
      </c>
      <c r="B679" s="1906" t="s">
        <v>3609</v>
      </c>
      <c r="C679" s="1907" t="s">
        <v>524</v>
      </c>
      <c r="D679" s="1906" t="s">
        <v>541</v>
      </c>
      <c r="E679" s="1907" t="s">
        <v>259</v>
      </c>
      <c r="F679" s="1906">
        <v>1000</v>
      </c>
      <c r="G679" s="1897">
        <v>0.68219999999999992</v>
      </c>
      <c r="H679" s="1897">
        <v>0.85680000000000012</v>
      </c>
      <c r="I679" s="1897">
        <v>0.67079999999999995</v>
      </c>
      <c r="J679" s="1897">
        <v>0.86580000000000001</v>
      </c>
      <c r="K679" s="1897">
        <v>0.7752</v>
      </c>
      <c r="L679" s="1897">
        <v>0.80220000000000002</v>
      </c>
      <c r="M679" s="1897">
        <v>0.77550000000000008</v>
      </c>
    </row>
    <row r="680" spans="1:13" ht="15">
      <c r="A680" s="1894">
        <f t="shared" si="10"/>
        <v>673</v>
      </c>
      <c r="B680" s="1906" t="s">
        <v>3514</v>
      </c>
      <c r="C680" s="1907" t="s">
        <v>524</v>
      </c>
      <c r="D680" s="1906" t="s">
        <v>623</v>
      </c>
      <c r="E680" s="1907" t="s">
        <v>259</v>
      </c>
      <c r="F680" s="1906">
        <v>1000</v>
      </c>
      <c r="G680" s="1897">
        <v>0.77472000000000008</v>
      </c>
      <c r="H680" s="1897">
        <v>0.88919999999999999</v>
      </c>
      <c r="I680" s="1897">
        <v>0.88991999999999993</v>
      </c>
      <c r="J680" s="1897">
        <v>0.84599999999999997</v>
      </c>
      <c r="K680" s="1897">
        <v>0.78767999999999994</v>
      </c>
      <c r="L680" s="1897">
        <v>0.78912000000000004</v>
      </c>
      <c r="M680" s="1897">
        <v>0.82943999999999996</v>
      </c>
    </row>
    <row r="681" spans="1:13" ht="15">
      <c r="A681" s="1894">
        <f t="shared" si="10"/>
        <v>674</v>
      </c>
      <c r="B681" s="1906" t="s">
        <v>3515</v>
      </c>
      <c r="C681" s="1907" t="s">
        <v>524</v>
      </c>
      <c r="D681" s="1906" t="s">
        <v>541</v>
      </c>
      <c r="E681" s="1907" t="s">
        <v>259</v>
      </c>
      <c r="F681" s="1906">
        <v>1000</v>
      </c>
      <c r="G681" s="1897">
        <v>0.81167999999999996</v>
      </c>
      <c r="H681" s="1897">
        <v>0.81552000000000002</v>
      </c>
      <c r="I681" s="1897">
        <v>0.81408000000000003</v>
      </c>
      <c r="J681" s="1897">
        <v>0.91343999999999992</v>
      </c>
      <c r="K681" s="1897">
        <v>0.93552000000000002</v>
      </c>
      <c r="L681" s="1897">
        <v>0.98064000000000007</v>
      </c>
      <c r="M681" s="1897">
        <v>0.87848000000000004</v>
      </c>
    </row>
    <row r="682" spans="1:13" ht="15">
      <c r="A682" s="1894">
        <f t="shared" si="10"/>
        <v>675</v>
      </c>
      <c r="B682" s="1906" t="s">
        <v>3424</v>
      </c>
      <c r="C682" s="1907" t="s">
        <v>524</v>
      </c>
      <c r="D682" s="1906" t="s">
        <v>541</v>
      </c>
      <c r="E682" s="1907" t="s">
        <v>259</v>
      </c>
      <c r="F682" s="1906">
        <v>1000</v>
      </c>
      <c r="G682" s="1897">
        <v>0.85319999999999996</v>
      </c>
      <c r="H682" s="1897">
        <v>0.86939999999999995</v>
      </c>
      <c r="I682" s="1897">
        <v>0.98460000000000003</v>
      </c>
      <c r="J682" s="1897">
        <v>0.90660000000000007</v>
      </c>
      <c r="K682" s="1897">
        <v>0.91920000000000002</v>
      </c>
      <c r="L682" s="1897">
        <v>0.95459999999999989</v>
      </c>
      <c r="M682" s="1897">
        <v>0.91459999999999997</v>
      </c>
    </row>
    <row r="683" spans="1:13" ht="15">
      <c r="A683" s="1894">
        <f t="shared" si="10"/>
        <v>676</v>
      </c>
      <c r="B683" s="1906" t="s">
        <v>3512</v>
      </c>
      <c r="C683" s="1907" t="s">
        <v>524</v>
      </c>
      <c r="D683" s="1906" t="s">
        <v>541</v>
      </c>
      <c r="E683" s="1907" t="s">
        <v>259</v>
      </c>
      <c r="F683" s="1906">
        <v>1000</v>
      </c>
      <c r="G683" s="1897">
        <v>0.09</v>
      </c>
      <c r="H683" s="1897">
        <v>0.1368</v>
      </c>
      <c r="I683" s="1897">
        <v>0.23111999999999996</v>
      </c>
      <c r="J683" s="1897">
        <v>0.53856000000000004</v>
      </c>
      <c r="K683" s="1897">
        <v>0.80352000000000001</v>
      </c>
      <c r="L683" s="1897">
        <v>0.14976</v>
      </c>
      <c r="M683" s="1897">
        <v>0.32495999999999997</v>
      </c>
    </row>
    <row r="684" spans="1:13" ht="15">
      <c r="A684" s="1899">
        <f>+A683</f>
        <v>676</v>
      </c>
      <c r="B684" s="1900" t="s">
        <v>3516</v>
      </c>
      <c r="C684" s="1907"/>
      <c r="D684" s="1906"/>
      <c r="E684" s="1907"/>
      <c r="F684" s="1901">
        <f>SUM(F8:F683)</f>
        <v>202657.90000000002</v>
      </c>
      <c r="G684" s="1902">
        <f>AVERAGE(G8:G683)</f>
        <v>0.57295205674035332</v>
      </c>
      <c r="H684" s="1902">
        <f t="shared" ref="H684:M684" si="11">AVERAGE(H8:H683)</f>
        <v>0.60983609214016354</v>
      </c>
      <c r="I684" s="1902">
        <f t="shared" si="11"/>
        <v>0.60017964757884157</v>
      </c>
      <c r="J684" s="1902">
        <f t="shared" si="11"/>
        <v>0.5885541140597117</v>
      </c>
      <c r="K684" s="1902">
        <f t="shared" si="11"/>
        <v>0.57694245001052258</v>
      </c>
      <c r="L684" s="1902">
        <f t="shared" si="11"/>
        <v>0.55601549217579072</v>
      </c>
      <c r="M684" s="1902">
        <f t="shared" si="11"/>
        <v>0.58407997545089718</v>
      </c>
    </row>
    <row r="685" spans="1:13" ht="15">
      <c r="A685" s="1894"/>
      <c r="B685" s="1891" t="s">
        <v>3517</v>
      </c>
      <c r="C685" s="1907"/>
      <c r="D685" s="1906"/>
      <c r="E685" s="1907"/>
      <c r="F685" s="1895"/>
      <c r="G685" s="1903"/>
      <c r="H685" s="1903"/>
      <c r="I685" s="1903"/>
      <c r="J685" s="1903"/>
      <c r="K685" s="1903"/>
      <c r="L685" s="1903"/>
      <c r="M685" s="1903"/>
    </row>
    <row r="686" spans="1:13" ht="15">
      <c r="A686" s="1894">
        <v>1</v>
      </c>
      <c r="B686" s="1906" t="s">
        <v>732</v>
      </c>
      <c r="C686" s="1907" t="s">
        <v>524</v>
      </c>
      <c r="D686" s="1906" t="s">
        <v>730</v>
      </c>
      <c r="E686" s="1907" t="s">
        <v>259</v>
      </c>
      <c r="F686" s="1906">
        <v>1150</v>
      </c>
      <c r="G686" s="1897">
        <v>0.35499130434782611</v>
      </c>
      <c r="H686" s="1897">
        <v>0.39631304347826085</v>
      </c>
      <c r="I686" s="1897">
        <v>0.35812173913043482</v>
      </c>
      <c r="J686" s="1897">
        <v>0.37627826086956523</v>
      </c>
      <c r="K686" s="1897">
        <v>0.35874782608695654</v>
      </c>
      <c r="L686" s="1897">
        <v>0.36939130434782602</v>
      </c>
      <c r="M686" s="1897">
        <v>0.36897391304347821</v>
      </c>
    </row>
    <row r="687" spans="1:13" ht="15">
      <c r="A687" s="1894">
        <f t="shared" si="10"/>
        <v>2</v>
      </c>
      <c r="B687" s="1906" t="s">
        <v>654</v>
      </c>
      <c r="C687" s="1907" t="s">
        <v>524</v>
      </c>
      <c r="D687" s="1906" t="s">
        <v>541</v>
      </c>
      <c r="E687" s="1907" t="s">
        <v>259</v>
      </c>
      <c r="F687" s="1906">
        <v>1200</v>
      </c>
      <c r="G687" s="1897">
        <v>0.68220000000000003</v>
      </c>
      <c r="H687" s="1897">
        <v>0.70079999999999998</v>
      </c>
      <c r="I687" s="1897">
        <v>0.56399999999999995</v>
      </c>
      <c r="J687" s="1897">
        <v>0.57419999999999993</v>
      </c>
      <c r="K687" s="1897">
        <v>0.48719999999999997</v>
      </c>
      <c r="L687" s="1897">
        <v>0.49979999999999997</v>
      </c>
      <c r="M687" s="1897">
        <v>0.5847</v>
      </c>
    </row>
    <row r="688" spans="1:13" ht="15">
      <c r="A688" s="1894">
        <f t="shared" si="10"/>
        <v>3</v>
      </c>
      <c r="B688" s="1906" t="s">
        <v>638</v>
      </c>
      <c r="C688" s="1907" t="s">
        <v>524</v>
      </c>
      <c r="D688" s="1906" t="s">
        <v>636</v>
      </c>
      <c r="E688" s="1907" t="s">
        <v>259</v>
      </c>
      <c r="F688" s="1906">
        <v>1200</v>
      </c>
      <c r="G688" s="1897">
        <v>1.1514</v>
      </c>
      <c r="H688" s="1897">
        <v>1.1483999999999999</v>
      </c>
      <c r="I688" s="1897">
        <v>1.1454</v>
      </c>
      <c r="J688" s="1897">
        <v>1.2324000000000002</v>
      </c>
      <c r="K688" s="1897">
        <v>1.2474000000000001</v>
      </c>
      <c r="L688" s="1897">
        <v>1.2504</v>
      </c>
      <c r="M688" s="1897">
        <v>1.1959</v>
      </c>
    </row>
    <row r="689" spans="1:13" ht="15">
      <c r="A689" s="1894">
        <f t="shared" si="10"/>
        <v>4</v>
      </c>
      <c r="B689" s="1906" t="s">
        <v>690</v>
      </c>
      <c r="C689" s="1907" t="s">
        <v>524</v>
      </c>
      <c r="D689" s="1906" t="s">
        <v>541</v>
      </c>
      <c r="E689" s="1907" t="s">
        <v>259</v>
      </c>
      <c r="F689" s="1906">
        <v>1200</v>
      </c>
      <c r="G689" s="1897">
        <v>0.95200000000000007</v>
      </c>
      <c r="H689" s="1897">
        <v>0.9</v>
      </c>
      <c r="I689" s="1897">
        <v>0.79</v>
      </c>
      <c r="J689" s="1897">
        <v>0.52400000000000002</v>
      </c>
      <c r="K689" s="1897">
        <v>0.59199999999999997</v>
      </c>
      <c r="L689" s="1897">
        <v>0.84199999999999997</v>
      </c>
      <c r="M689" s="1897">
        <v>0.76666666666666672</v>
      </c>
    </row>
    <row r="690" spans="1:13" ht="15">
      <c r="A690" s="1894">
        <f t="shared" si="10"/>
        <v>5</v>
      </c>
      <c r="B690" s="1906" t="s">
        <v>628</v>
      </c>
      <c r="C690" s="1907" t="s">
        <v>524</v>
      </c>
      <c r="D690" s="1906" t="s">
        <v>629</v>
      </c>
      <c r="E690" s="1907" t="s">
        <v>259</v>
      </c>
      <c r="F690" s="1906">
        <v>1236</v>
      </c>
      <c r="G690" s="1897">
        <v>0.81067961165048541</v>
      </c>
      <c r="H690" s="1897">
        <v>0.78640776699029125</v>
      </c>
      <c r="I690" s="1897">
        <v>0.74271844660194175</v>
      </c>
      <c r="J690" s="1897">
        <v>0.86165048543689315</v>
      </c>
      <c r="K690" s="1897">
        <v>0.82524271844660202</v>
      </c>
      <c r="L690" s="1897">
        <v>0.79126213592232997</v>
      </c>
      <c r="M690" s="1897">
        <v>0.8029935275080905</v>
      </c>
    </row>
    <row r="691" spans="1:13" ht="15">
      <c r="A691" s="1894">
        <f t="shared" si="10"/>
        <v>6</v>
      </c>
      <c r="B691" s="1906" t="s">
        <v>694</v>
      </c>
      <c r="C691" s="1907" t="s">
        <v>524</v>
      </c>
      <c r="D691" s="1906" t="s">
        <v>541</v>
      </c>
      <c r="E691" s="1907" t="s">
        <v>259</v>
      </c>
      <c r="F691" s="1906">
        <v>1300</v>
      </c>
      <c r="G691" s="1897">
        <v>0.92984615384615399</v>
      </c>
      <c r="H691" s="1897">
        <v>0.92923076923076919</v>
      </c>
      <c r="I691" s="1897">
        <v>0.97107692307692295</v>
      </c>
      <c r="J691" s="1897">
        <v>0.99876923076923085</v>
      </c>
      <c r="K691" s="1897">
        <v>1.0344615384615383</v>
      </c>
      <c r="L691" s="1897">
        <v>1.019076923076923</v>
      </c>
      <c r="M691" s="1897">
        <v>0.98041025641025659</v>
      </c>
    </row>
    <row r="692" spans="1:13" ht="15">
      <c r="A692" s="1894">
        <f t="shared" si="10"/>
        <v>7</v>
      </c>
      <c r="B692" s="1906" t="s">
        <v>650</v>
      </c>
      <c r="C692" s="1907" t="s">
        <v>524</v>
      </c>
      <c r="D692" s="1906" t="s">
        <v>541</v>
      </c>
      <c r="E692" s="1907" t="s">
        <v>259</v>
      </c>
      <c r="F692" s="1906">
        <v>1350</v>
      </c>
      <c r="G692" s="1897">
        <v>1.1034666666666668</v>
      </c>
      <c r="H692" s="1897">
        <v>1.1050666666666666</v>
      </c>
      <c r="I692" s="1897">
        <v>1.0101333333333333</v>
      </c>
      <c r="J692" s="1897">
        <v>1.0938666666666668</v>
      </c>
      <c r="K692" s="1897">
        <v>1.0613333333333332</v>
      </c>
      <c r="L692" s="1897">
        <v>1.0879999999999999</v>
      </c>
      <c r="M692" s="1897">
        <v>1.0769777777777778</v>
      </c>
    </row>
    <row r="693" spans="1:13" ht="15">
      <c r="A693" s="1894">
        <f t="shared" si="10"/>
        <v>8</v>
      </c>
      <c r="B693" s="1906" t="s">
        <v>622</v>
      </c>
      <c r="C693" s="1907" t="s">
        <v>524</v>
      </c>
      <c r="D693" s="1906" t="s">
        <v>623</v>
      </c>
      <c r="E693" s="1907" t="s">
        <v>259</v>
      </c>
      <c r="F693" s="1906">
        <v>1430</v>
      </c>
      <c r="G693" s="1897">
        <v>3.9776223776223779E-2</v>
      </c>
      <c r="H693" s="1897">
        <v>0.50702097902097898</v>
      </c>
      <c r="I693" s="1897">
        <v>0.9737622377622378</v>
      </c>
      <c r="J693" s="1897">
        <v>1.0442517482517482</v>
      </c>
      <c r="K693" s="1897">
        <v>0.94153846153846166</v>
      </c>
      <c r="L693" s="1897">
        <v>0.88917482517482516</v>
      </c>
      <c r="M693" s="1897">
        <v>0.73258741258741267</v>
      </c>
    </row>
    <row r="694" spans="1:13" ht="15">
      <c r="A694" s="1894">
        <f t="shared" si="10"/>
        <v>9</v>
      </c>
      <c r="B694" s="1906" t="s">
        <v>666</v>
      </c>
      <c r="C694" s="1907" t="s">
        <v>524</v>
      </c>
      <c r="D694" s="1906" t="s">
        <v>541</v>
      </c>
      <c r="E694" s="1907" t="s">
        <v>259</v>
      </c>
      <c r="F694" s="1906">
        <v>1450</v>
      </c>
      <c r="G694" s="1897">
        <v>0.89875862068965517</v>
      </c>
      <c r="H694" s="1897">
        <v>0.88187586206896551</v>
      </c>
      <c r="I694" s="1897">
        <v>0.86995862068965524</v>
      </c>
      <c r="J694" s="1897">
        <v>0.88286896551724148</v>
      </c>
      <c r="K694" s="1897">
        <v>0.89528275862068973</v>
      </c>
      <c r="L694" s="1897">
        <v>0.79597241379310346</v>
      </c>
      <c r="M694" s="1897">
        <v>0.87078620689655184</v>
      </c>
    </row>
    <row r="695" spans="1:13" ht="15">
      <c r="A695" s="1894">
        <f t="shared" si="10"/>
        <v>10</v>
      </c>
      <c r="B695" s="1906" t="s">
        <v>633</v>
      </c>
      <c r="C695" s="1907" t="s">
        <v>524</v>
      </c>
      <c r="D695" s="1906" t="s">
        <v>525</v>
      </c>
      <c r="E695" s="1907" t="s">
        <v>259</v>
      </c>
      <c r="F695" s="1906">
        <v>1500</v>
      </c>
      <c r="G695" s="1897">
        <v>6.3999999999999994E-3</v>
      </c>
      <c r="H695" s="1897">
        <v>1.2799999999999999E-2</v>
      </c>
      <c r="I695" s="1897">
        <v>1.0431999999999999</v>
      </c>
      <c r="J695" s="1897">
        <v>1.0751999999999999</v>
      </c>
      <c r="K695" s="1897">
        <v>1.056</v>
      </c>
      <c r="L695" s="1897">
        <v>6.3999999999999994E-3</v>
      </c>
      <c r="M695" s="1897">
        <v>0.53333333333333333</v>
      </c>
    </row>
    <row r="696" spans="1:13" ht="15">
      <c r="A696" s="1894">
        <f t="shared" si="10"/>
        <v>11</v>
      </c>
      <c r="B696" s="1906" t="s">
        <v>696</v>
      </c>
      <c r="C696" s="1907" t="s">
        <v>524</v>
      </c>
      <c r="D696" s="1906" t="s">
        <v>541</v>
      </c>
      <c r="E696" s="1907" t="s">
        <v>259</v>
      </c>
      <c r="F696" s="1906">
        <v>1500</v>
      </c>
      <c r="G696" s="1897">
        <v>5.28E-2</v>
      </c>
      <c r="H696" s="1897">
        <v>5.8666666666666666E-2</v>
      </c>
      <c r="I696" s="1897">
        <v>5.9199999999999996E-2</v>
      </c>
      <c r="J696" s="1897">
        <v>7.039999999999999E-2</v>
      </c>
      <c r="K696" s="1897">
        <v>4.9599999999999991E-2</v>
      </c>
      <c r="L696" s="1897">
        <v>5.28E-2</v>
      </c>
      <c r="M696" s="1897">
        <v>5.7244444444444438E-2</v>
      </c>
    </row>
    <row r="697" spans="1:13" ht="15">
      <c r="A697" s="1894">
        <f t="shared" si="10"/>
        <v>12</v>
      </c>
      <c r="B697" s="1906" t="s">
        <v>729</v>
      </c>
      <c r="C697" s="1907" t="s">
        <v>524</v>
      </c>
      <c r="D697" s="1906" t="s">
        <v>730</v>
      </c>
      <c r="E697" s="1907" t="s">
        <v>259</v>
      </c>
      <c r="F697" s="1906">
        <v>1600</v>
      </c>
      <c r="G697" s="1897">
        <v>0.16020000000000001</v>
      </c>
      <c r="H697" s="1897">
        <v>0.15344999999999998</v>
      </c>
      <c r="I697" s="1897">
        <v>0.15075000000000002</v>
      </c>
      <c r="J697" s="1897">
        <v>0.14265</v>
      </c>
      <c r="K697" s="1897">
        <v>0.30825000000000002</v>
      </c>
      <c r="L697" s="1897">
        <v>0.16605</v>
      </c>
      <c r="M697" s="1897">
        <v>0.180225</v>
      </c>
    </row>
    <row r="698" spans="1:13" ht="15">
      <c r="A698" s="1894">
        <f t="shared" si="10"/>
        <v>13</v>
      </c>
      <c r="B698" s="1906" t="s">
        <v>631</v>
      </c>
      <c r="C698" s="1907" t="s">
        <v>524</v>
      </c>
      <c r="D698" s="1906" t="s">
        <v>525</v>
      </c>
      <c r="E698" s="1907" t="s">
        <v>259</v>
      </c>
      <c r="F698" s="1906">
        <v>1600</v>
      </c>
      <c r="G698" s="1897">
        <v>1.4999999999999999E-2</v>
      </c>
      <c r="H698" s="1897">
        <v>1.605</v>
      </c>
      <c r="I698" s="1897">
        <v>8.1000000000000003E-2</v>
      </c>
      <c r="J698" s="1897">
        <v>0.03</v>
      </c>
      <c r="K698" s="1897">
        <v>1.9439999999999997</v>
      </c>
      <c r="L698" s="1897">
        <v>1.776</v>
      </c>
      <c r="M698" s="1897">
        <v>0.90849999999999997</v>
      </c>
    </row>
    <row r="699" spans="1:13" ht="15">
      <c r="A699" s="1894">
        <f t="shared" si="10"/>
        <v>14</v>
      </c>
      <c r="B699" s="1906" t="s">
        <v>648</v>
      </c>
      <c r="C699" s="1907" t="s">
        <v>524</v>
      </c>
      <c r="D699" s="1906" t="s">
        <v>541</v>
      </c>
      <c r="E699" s="1907" t="s">
        <v>259</v>
      </c>
      <c r="F699" s="1906">
        <v>1650</v>
      </c>
      <c r="G699" s="1897">
        <v>1.0248827586206897</v>
      </c>
      <c r="H699" s="1897">
        <v>1.1023448275862069</v>
      </c>
      <c r="I699" s="1897">
        <v>0.93556363636363638</v>
      </c>
      <c r="J699" s="1897">
        <v>0.92727272727272725</v>
      </c>
      <c r="K699" s="1897">
        <v>0.82472727272727275</v>
      </c>
      <c r="L699" s="1897">
        <v>0.87927272727272721</v>
      </c>
      <c r="M699" s="1897">
        <v>0.94901065830720999</v>
      </c>
    </row>
    <row r="700" spans="1:13" ht="15">
      <c r="A700" s="1894">
        <f t="shared" si="10"/>
        <v>15</v>
      </c>
      <c r="B700" s="1906" t="s">
        <v>720</v>
      </c>
      <c r="C700" s="1907" t="s">
        <v>524</v>
      </c>
      <c r="D700" s="1906" t="s">
        <v>709</v>
      </c>
      <c r="E700" s="1907" t="s">
        <v>259</v>
      </c>
      <c r="F700" s="1906">
        <v>1689</v>
      </c>
      <c r="G700" s="1897">
        <v>2.4156305506216693E-2</v>
      </c>
      <c r="H700" s="1897">
        <v>8.5257548845470692E-3</v>
      </c>
      <c r="I700" s="1897">
        <v>7.8152753108348145E-3</v>
      </c>
      <c r="J700" s="1897">
        <v>0.369449378330373</v>
      </c>
      <c r="K700" s="1897">
        <v>0.336056838365897</v>
      </c>
      <c r="L700" s="1897">
        <v>0.50586145648312608</v>
      </c>
      <c r="M700" s="1897">
        <v>0.20864416814683243</v>
      </c>
    </row>
    <row r="701" spans="1:13" ht="15">
      <c r="A701" s="1894">
        <f t="shared" si="10"/>
        <v>16</v>
      </c>
      <c r="B701" s="1906" t="s">
        <v>664</v>
      </c>
      <c r="C701" s="1907" t="s">
        <v>524</v>
      </c>
      <c r="D701" s="1906" t="s">
        <v>541</v>
      </c>
      <c r="E701" s="1907" t="s">
        <v>259</v>
      </c>
      <c r="F701" s="1906">
        <v>1750</v>
      </c>
      <c r="G701" s="1897">
        <v>0.7254857142857144</v>
      </c>
      <c r="H701" s="1897">
        <v>0.72411428571428571</v>
      </c>
      <c r="I701" s="1897">
        <v>0.73097142857142861</v>
      </c>
      <c r="J701" s="1897">
        <v>0.73097142857142861</v>
      </c>
      <c r="K701" s="1897">
        <v>0.71862857142857151</v>
      </c>
      <c r="L701" s="1897">
        <v>0.72</v>
      </c>
      <c r="M701" s="1897">
        <v>0.72502857142857147</v>
      </c>
    </row>
    <row r="702" spans="1:13" ht="15">
      <c r="A702" s="1894">
        <f t="shared" si="10"/>
        <v>17</v>
      </c>
      <c r="B702" s="1906" t="s">
        <v>656</v>
      </c>
      <c r="C702" s="1907" t="s">
        <v>524</v>
      </c>
      <c r="D702" s="1906" t="s">
        <v>541</v>
      </c>
      <c r="E702" s="1907" t="s">
        <v>259</v>
      </c>
      <c r="F702" s="1906">
        <v>1800</v>
      </c>
      <c r="G702" s="1897">
        <v>0</v>
      </c>
      <c r="H702" s="1897">
        <v>0</v>
      </c>
      <c r="I702" s="1897">
        <v>0</v>
      </c>
      <c r="J702" s="1897">
        <v>0</v>
      </c>
      <c r="K702" s="1897">
        <v>0</v>
      </c>
      <c r="L702" s="1897">
        <v>2.6666666666666666E-3</v>
      </c>
      <c r="M702" s="1897">
        <v>4.4444444444444441E-4</v>
      </c>
    </row>
    <row r="703" spans="1:13" ht="15">
      <c r="A703" s="1894">
        <f t="shared" si="10"/>
        <v>18</v>
      </c>
      <c r="B703" s="1906" t="s">
        <v>680</v>
      </c>
      <c r="C703" s="1907" t="s">
        <v>524</v>
      </c>
      <c r="D703" s="1906" t="s">
        <v>541</v>
      </c>
      <c r="E703" s="1907" t="s">
        <v>259</v>
      </c>
      <c r="F703" s="1906">
        <v>1800</v>
      </c>
      <c r="G703" s="1897">
        <v>0.82200000000000006</v>
      </c>
      <c r="H703" s="1897">
        <v>0.94666666666666655</v>
      </c>
      <c r="I703" s="1897">
        <v>0.87333333333333329</v>
      </c>
      <c r="J703" s="1897">
        <v>0.88666666666666671</v>
      </c>
      <c r="K703" s="1897">
        <v>0.82933333333333326</v>
      </c>
      <c r="L703" s="1897">
        <v>0.84333333333333338</v>
      </c>
      <c r="M703" s="1897">
        <v>0.86688888888888893</v>
      </c>
    </row>
    <row r="704" spans="1:13" ht="15">
      <c r="A704" s="1894">
        <f t="shared" si="10"/>
        <v>19</v>
      </c>
      <c r="B704" s="1906" t="s">
        <v>556</v>
      </c>
      <c r="C704" s="1907" t="s">
        <v>524</v>
      </c>
      <c r="D704" s="1906" t="s">
        <v>541</v>
      </c>
      <c r="E704" s="1907" t="s">
        <v>271</v>
      </c>
      <c r="F704" s="1906">
        <v>2000</v>
      </c>
      <c r="G704" s="1897">
        <v>0.14000000000000001</v>
      </c>
      <c r="H704" s="1897">
        <v>0.14000000000000001</v>
      </c>
      <c r="I704" s="1897">
        <v>0.18</v>
      </c>
      <c r="J704" s="1897">
        <v>0.12</v>
      </c>
      <c r="K704" s="1897">
        <v>0.12</v>
      </c>
      <c r="L704" s="1897">
        <v>0.12</v>
      </c>
      <c r="M704" s="1897">
        <v>0.13666666666666669</v>
      </c>
    </row>
    <row r="705" spans="1:13" ht="15">
      <c r="A705" s="1894">
        <f t="shared" si="10"/>
        <v>20</v>
      </c>
      <c r="B705" s="1906" t="s">
        <v>640</v>
      </c>
      <c r="C705" s="1907" t="s">
        <v>524</v>
      </c>
      <c r="D705" s="1906" t="s">
        <v>641</v>
      </c>
      <c r="E705" s="1907" t="s">
        <v>259</v>
      </c>
      <c r="F705" s="1906">
        <v>2000</v>
      </c>
      <c r="G705" s="1897">
        <v>0.23339999999999997</v>
      </c>
      <c r="H705" s="1897">
        <v>0.2034</v>
      </c>
      <c r="I705" s="1897">
        <v>0.19259999999999997</v>
      </c>
      <c r="J705" s="1897">
        <v>5.8200000000000002E-2</v>
      </c>
      <c r="K705" s="1897">
        <v>5.9400000000000008E-2</v>
      </c>
      <c r="L705" s="1897">
        <v>5.7000000000000002E-2</v>
      </c>
      <c r="M705" s="1897">
        <v>0.13400000000000001</v>
      </c>
    </row>
    <row r="706" spans="1:13" ht="15">
      <c r="A706" s="1894">
        <f t="shared" si="10"/>
        <v>21</v>
      </c>
      <c r="B706" s="1906" t="s">
        <v>660</v>
      </c>
      <c r="C706" s="1907" t="s">
        <v>524</v>
      </c>
      <c r="D706" s="1906" t="s">
        <v>541</v>
      </c>
      <c r="E706" s="1907" t="s">
        <v>259</v>
      </c>
      <c r="F706" s="1906">
        <v>2000</v>
      </c>
      <c r="G706" s="1897">
        <v>0.55200000000000005</v>
      </c>
      <c r="H706" s="1897">
        <v>0.49349999999999999</v>
      </c>
      <c r="I706" s="1897">
        <v>0.48599999999999999</v>
      </c>
      <c r="J706" s="1897">
        <v>0.54600000000000004</v>
      </c>
      <c r="K706" s="1897">
        <v>0.55049999999999999</v>
      </c>
      <c r="L706" s="1897">
        <v>0.54600000000000004</v>
      </c>
      <c r="M706" s="1897">
        <v>0.52900000000000003</v>
      </c>
    </row>
    <row r="707" spans="1:13" ht="15">
      <c r="A707" s="1894">
        <f t="shared" si="10"/>
        <v>22</v>
      </c>
      <c r="B707" s="1906" t="s">
        <v>662</v>
      </c>
      <c r="C707" s="1907" t="s">
        <v>524</v>
      </c>
      <c r="D707" s="1906" t="s">
        <v>541</v>
      </c>
      <c r="E707" s="1907" t="s">
        <v>259</v>
      </c>
      <c r="F707" s="1906">
        <v>2000</v>
      </c>
      <c r="G707" s="1897">
        <v>0.47599999999999998</v>
      </c>
      <c r="H707" s="1897">
        <v>0.55000000000000004</v>
      </c>
      <c r="I707" s="1897">
        <v>0.47799999999999998</v>
      </c>
      <c r="J707" s="1897">
        <v>0.48599999999999999</v>
      </c>
      <c r="K707" s="1897">
        <v>0.50600000000000001</v>
      </c>
      <c r="L707" s="1897">
        <v>0.34799999999999998</v>
      </c>
      <c r="M707" s="1897">
        <v>0.47399999999999998</v>
      </c>
    </row>
    <row r="708" spans="1:13" ht="15">
      <c r="A708" s="1894">
        <f t="shared" si="10"/>
        <v>23</v>
      </c>
      <c r="B708" s="1906" t="s">
        <v>682</v>
      </c>
      <c r="C708" s="1907" t="s">
        <v>524</v>
      </c>
      <c r="D708" s="1906" t="s">
        <v>541</v>
      </c>
      <c r="E708" s="1907" t="s">
        <v>259</v>
      </c>
      <c r="F708" s="1906">
        <v>2000</v>
      </c>
      <c r="G708" s="1897">
        <v>0.29669999999999996</v>
      </c>
      <c r="H708" s="1897">
        <v>0.32550000000000001</v>
      </c>
      <c r="I708" s="1897">
        <v>0.3543</v>
      </c>
      <c r="J708" s="1897">
        <v>0.30149999999999999</v>
      </c>
      <c r="K708" s="1897">
        <v>0.32069999999999999</v>
      </c>
      <c r="L708" s="1897">
        <v>0.31110000000000004</v>
      </c>
      <c r="M708" s="1897">
        <v>0.31830000000000003</v>
      </c>
    </row>
    <row r="709" spans="1:13" ht="15">
      <c r="A709" s="1894">
        <f t="shared" si="10"/>
        <v>24</v>
      </c>
      <c r="B709" s="1906" t="s">
        <v>711</v>
      </c>
      <c r="C709" s="1907" t="s">
        <v>524</v>
      </c>
      <c r="D709" s="1906" t="s">
        <v>709</v>
      </c>
      <c r="E709" s="1907" t="s">
        <v>259</v>
      </c>
      <c r="F709" s="1906">
        <v>2033.49</v>
      </c>
      <c r="G709" s="1897">
        <v>3.8947818774619008E-3</v>
      </c>
      <c r="H709" s="1897">
        <v>1.7703553988463185E-3</v>
      </c>
      <c r="I709" s="1897">
        <v>0.29564935160733519</v>
      </c>
      <c r="J709" s="1897">
        <v>0.5962556983314401</v>
      </c>
      <c r="K709" s="1897">
        <v>0.58917427673605471</v>
      </c>
      <c r="L709" s="1897">
        <v>0.59306905861351666</v>
      </c>
      <c r="M709" s="1897">
        <v>0.34663558709410913</v>
      </c>
    </row>
    <row r="710" spans="1:13" ht="15">
      <c r="A710" s="1894">
        <f t="shared" si="10"/>
        <v>25</v>
      </c>
      <c r="B710" s="1906" t="s">
        <v>692</v>
      </c>
      <c r="C710" s="1907" t="s">
        <v>524</v>
      </c>
      <c r="D710" s="1906" t="s">
        <v>541</v>
      </c>
      <c r="E710" s="1907" t="s">
        <v>259</v>
      </c>
      <c r="F710" s="1906">
        <v>2200</v>
      </c>
      <c r="G710" s="1897">
        <v>0.61799999999999999</v>
      </c>
      <c r="H710" s="1897">
        <v>0.5770909090909091</v>
      </c>
      <c r="I710" s="1897">
        <v>0.34527272727272723</v>
      </c>
      <c r="J710" s="1897">
        <v>0.29836363636363633</v>
      </c>
      <c r="K710" s="1897">
        <v>0.58690909090909094</v>
      </c>
      <c r="L710" s="1897">
        <v>0.61363636363636365</v>
      </c>
      <c r="M710" s="1897">
        <v>0.50654545454545452</v>
      </c>
    </row>
    <row r="711" spans="1:13" ht="15">
      <c r="A711" s="1894">
        <f t="shared" si="10"/>
        <v>26</v>
      </c>
      <c r="B711" s="1906" t="s">
        <v>684</v>
      </c>
      <c r="C711" s="1907" t="s">
        <v>524</v>
      </c>
      <c r="D711" s="1906" t="s">
        <v>541</v>
      </c>
      <c r="E711" s="1907" t="s">
        <v>259</v>
      </c>
      <c r="F711" s="1906">
        <v>2222</v>
      </c>
      <c r="G711" s="1897">
        <v>0.38451845184518452</v>
      </c>
      <c r="H711" s="1897">
        <v>0.42016201620162014</v>
      </c>
      <c r="I711" s="1897">
        <v>0.45688568856885686</v>
      </c>
      <c r="J711" s="1897">
        <v>0.69774977497749779</v>
      </c>
      <c r="K711" s="1897">
        <v>0.64914491449144918</v>
      </c>
      <c r="L711" s="1897">
        <v>0.75175517551755167</v>
      </c>
      <c r="M711" s="1897">
        <v>0.5600360036003601</v>
      </c>
    </row>
    <row r="712" spans="1:13" ht="15">
      <c r="A712" s="1894">
        <f t="shared" si="10"/>
        <v>27</v>
      </c>
      <c r="B712" s="1906" t="s">
        <v>668</v>
      </c>
      <c r="C712" s="1907" t="s">
        <v>524</v>
      </c>
      <c r="D712" s="1906" t="s">
        <v>541</v>
      </c>
      <c r="E712" s="1907" t="s">
        <v>259</v>
      </c>
      <c r="F712" s="1906">
        <v>2223</v>
      </c>
      <c r="G712" s="1897">
        <v>0.85775978407557363</v>
      </c>
      <c r="H712" s="1897">
        <v>0.87017543859649127</v>
      </c>
      <c r="I712" s="1897">
        <v>0.8502024291497976</v>
      </c>
      <c r="J712" s="1897">
        <v>0.81511470985155199</v>
      </c>
      <c r="K712" s="1897">
        <v>0.87503373819163288</v>
      </c>
      <c r="L712" s="1897">
        <v>0.90796221322537107</v>
      </c>
      <c r="M712" s="1897">
        <v>0.86270805218173641</v>
      </c>
    </row>
    <row r="713" spans="1:13" ht="15">
      <c r="A713" s="1894">
        <f t="shared" si="10"/>
        <v>28</v>
      </c>
      <c r="B713" s="1906" t="s">
        <v>583</v>
      </c>
      <c r="C713" s="1907" t="s">
        <v>524</v>
      </c>
      <c r="D713" s="1906" t="s">
        <v>541</v>
      </c>
      <c r="E713" s="1907" t="s">
        <v>271</v>
      </c>
      <c r="F713" s="1906">
        <v>2500</v>
      </c>
      <c r="G713" s="1897">
        <v>2.8416000000000001</v>
      </c>
      <c r="H713" s="1897">
        <v>1.2096</v>
      </c>
      <c r="I713" s="1897">
        <v>0.57599999999999996</v>
      </c>
      <c r="J713" s="1897">
        <v>4.2624000000000004</v>
      </c>
      <c r="K713" s="1897">
        <v>2.4767999999999999</v>
      </c>
      <c r="L713" s="1897">
        <v>1.9392</v>
      </c>
      <c r="M713" s="1897">
        <v>2.2175999999999996</v>
      </c>
    </row>
    <row r="714" spans="1:13" ht="15">
      <c r="A714" s="1894">
        <f t="shared" ref="A714:A773" si="12">+A713+1</f>
        <v>29</v>
      </c>
      <c r="B714" s="1906" t="s">
        <v>716</v>
      </c>
      <c r="C714" s="1907" t="s">
        <v>524</v>
      </c>
      <c r="D714" s="1906" t="s">
        <v>709</v>
      </c>
      <c r="E714" s="1907" t="s">
        <v>259</v>
      </c>
      <c r="F714" s="1906">
        <v>2913</v>
      </c>
      <c r="G714" s="1897">
        <v>0.1713697219361483</v>
      </c>
      <c r="H714" s="1897">
        <v>0.17054582904222451</v>
      </c>
      <c r="I714" s="1897">
        <v>9.0628218331616894E-3</v>
      </c>
      <c r="J714" s="1897">
        <v>0.36416065911431522</v>
      </c>
      <c r="K714" s="1897">
        <v>0.38228630278063847</v>
      </c>
      <c r="L714" s="1897">
        <v>0.33450051493305871</v>
      </c>
      <c r="M714" s="1897">
        <v>0.23865430827325781</v>
      </c>
    </row>
    <row r="715" spans="1:13" ht="15">
      <c r="A715" s="1894">
        <f t="shared" si="12"/>
        <v>30</v>
      </c>
      <c r="B715" s="1906" t="s">
        <v>635</v>
      </c>
      <c r="C715" s="1907" t="s">
        <v>524</v>
      </c>
      <c r="D715" s="1906" t="s">
        <v>636</v>
      </c>
      <c r="E715" s="1907" t="s">
        <v>259</v>
      </c>
      <c r="F715" s="1906">
        <v>3000</v>
      </c>
      <c r="G715" s="1897">
        <v>1.0536000000000001</v>
      </c>
      <c r="H715" s="1897">
        <v>1.0888</v>
      </c>
      <c r="I715" s="1897">
        <v>1.1240000000000001</v>
      </c>
      <c r="J715" s="1897">
        <v>1.0904</v>
      </c>
      <c r="K715" s="1897">
        <v>1.0960000000000001</v>
      </c>
      <c r="L715" s="1897">
        <v>1.1088</v>
      </c>
      <c r="M715" s="1897">
        <v>1.0936000000000001</v>
      </c>
    </row>
    <row r="716" spans="1:13" ht="15">
      <c r="A716" s="1894">
        <f t="shared" si="12"/>
        <v>31</v>
      </c>
      <c r="B716" s="1906" t="s">
        <v>626</v>
      </c>
      <c r="C716" s="1907" t="s">
        <v>524</v>
      </c>
      <c r="D716" s="1906" t="s">
        <v>623</v>
      </c>
      <c r="E716" s="1907" t="s">
        <v>259</v>
      </c>
      <c r="F716" s="1906">
        <v>3000</v>
      </c>
      <c r="G716" s="1897">
        <v>0.61839999999999995</v>
      </c>
      <c r="H716" s="1897">
        <v>0.84160000000000001</v>
      </c>
      <c r="I716" s="1897">
        <v>0.8176000000000001</v>
      </c>
      <c r="J716" s="1897">
        <v>0.82799999999999996</v>
      </c>
      <c r="K716" s="1897">
        <v>0.79839999999999989</v>
      </c>
      <c r="L716" s="1897">
        <v>0.69760000000000011</v>
      </c>
      <c r="M716" s="1897">
        <v>0.76693333333333336</v>
      </c>
    </row>
    <row r="717" spans="1:13" ht="15">
      <c r="A717" s="1894">
        <f t="shared" si="12"/>
        <v>32</v>
      </c>
      <c r="B717" s="1906" t="s">
        <v>658</v>
      </c>
      <c r="C717" s="1907" t="s">
        <v>524</v>
      </c>
      <c r="D717" s="1906" t="s">
        <v>541</v>
      </c>
      <c r="E717" s="1907" t="s">
        <v>259</v>
      </c>
      <c r="F717" s="1906">
        <v>3500</v>
      </c>
      <c r="G717" s="1897">
        <v>0.36342857142857143</v>
      </c>
      <c r="H717" s="1897">
        <v>0.29485714285714287</v>
      </c>
      <c r="I717" s="1897">
        <v>0.3627428571428572</v>
      </c>
      <c r="J717" s="1897">
        <v>0.35177142857142857</v>
      </c>
      <c r="K717" s="1897">
        <v>0.35794285714285717</v>
      </c>
      <c r="L717" s="1897">
        <v>0.2962285714285714</v>
      </c>
      <c r="M717" s="1897">
        <v>0.33782857142857142</v>
      </c>
    </row>
    <row r="718" spans="1:13" ht="15">
      <c r="A718" s="1894">
        <f t="shared" si="12"/>
        <v>33</v>
      </c>
      <c r="B718" s="1906" t="s">
        <v>736</v>
      </c>
      <c r="C718" s="1907" t="s">
        <v>524</v>
      </c>
      <c r="D718" s="1906" t="s">
        <v>737</v>
      </c>
      <c r="E718" s="1907" t="s">
        <v>259</v>
      </c>
      <c r="F718" s="1906">
        <v>3500</v>
      </c>
      <c r="G718" s="1897">
        <v>0.21462857142857145</v>
      </c>
      <c r="H718" s="1897">
        <v>0.13302857142857144</v>
      </c>
      <c r="I718" s="1897">
        <v>0.14400000000000002</v>
      </c>
      <c r="J718" s="1897">
        <v>0.14468571428571431</v>
      </c>
      <c r="K718" s="1897">
        <v>0.15154285714285717</v>
      </c>
      <c r="L718" s="1897">
        <v>0.14125714285714286</v>
      </c>
      <c r="M718" s="1897">
        <v>0.15485714285714289</v>
      </c>
    </row>
    <row r="719" spans="1:13" ht="15">
      <c r="A719" s="1894">
        <f t="shared" si="12"/>
        <v>34</v>
      </c>
      <c r="B719" s="1906" t="s">
        <v>708</v>
      </c>
      <c r="C719" s="1907" t="s">
        <v>524</v>
      </c>
      <c r="D719" s="1906" t="s">
        <v>709</v>
      </c>
      <c r="E719" s="1907" t="s">
        <v>259</v>
      </c>
      <c r="F719" s="1906">
        <v>3629</v>
      </c>
      <c r="G719" s="1897">
        <v>0.11904105814273905</v>
      </c>
      <c r="H719" s="1897">
        <v>0.11738771011297879</v>
      </c>
      <c r="I719" s="1897">
        <v>0.15045467070818408</v>
      </c>
      <c r="J719" s="1897">
        <v>0.48443097271975749</v>
      </c>
      <c r="K719" s="1897">
        <v>0.36042987048773767</v>
      </c>
      <c r="L719" s="1897">
        <v>0.25792229264260125</v>
      </c>
      <c r="M719" s="1897">
        <v>0.24827776246899971</v>
      </c>
    </row>
    <row r="720" spans="1:13" ht="15">
      <c r="A720" s="1894">
        <f t="shared" si="12"/>
        <v>35</v>
      </c>
      <c r="B720" s="1906" t="s">
        <v>708</v>
      </c>
      <c r="C720" s="1907" t="s">
        <v>524</v>
      </c>
      <c r="D720" s="1906" t="s">
        <v>709</v>
      </c>
      <c r="E720" s="1907" t="s">
        <v>259</v>
      </c>
      <c r="F720" s="1906">
        <v>3928</v>
      </c>
      <c r="G720" s="1897">
        <v>8.5539714867617113E-3</v>
      </c>
      <c r="H720" s="1897">
        <v>3.0549898167006109E-3</v>
      </c>
      <c r="I720" s="1897">
        <v>2.4439918533604886E-3</v>
      </c>
      <c r="J720" s="1897">
        <v>0.10325865580448064</v>
      </c>
      <c r="K720" s="1897">
        <v>0.15458248472505093</v>
      </c>
      <c r="L720" s="1897">
        <v>0.2804480651731161</v>
      </c>
      <c r="M720" s="1897">
        <v>9.2057026476578416E-2</v>
      </c>
    </row>
    <row r="721" spans="1:13" ht="15">
      <c r="A721" s="1894">
        <f t="shared" si="12"/>
        <v>36</v>
      </c>
      <c r="B721" s="1906" t="s">
        <v>550</v>
      </c>
      <c r="C721" s="1907" t="s">
        <v>524</v>
      </c>
      <c r="D721" s="1906" t="s">
        <v>541</v>
      </c>
      <c r="E721" s="1907" t="s">
        <v>271</v>
      </c>
      <c r="F721" s="1906">
        <v>4000</v>
      </c>
      <c r="G721" s="1897">
        <v>1.0349999999999999</v>
      </c>
      <c r="H721" s="1897">
        <v>0.28499999999999998</v>
      </c>
      <c r="I721" s="1897">
        <v>0.99</v>
      </c>
      <c r="J721" s="1897">
        <v>1.2</v>
      </c>
      <c r="K721" s="1897">
        <v>0.87</v>
      </c>
      <c r="L721" s="1897">
        <v>0.76500000000000001</v>
      </c>
      <c r="M721" s="1897">
        <v>0.85749999999999993</v>
      </c>
    </row>
    <row r="722" spans="1:13" ht="15">
      <c r="A722" s="1894">
        <f t="shared" si="12"/>
        <v>37</v>
      </c>
      <c r="B722" s="1906" t="s">
        <v>676</v>
      </c>
      <c r="C722" s="1907" t="s">
        <v>524</v>
      </c>
      <c r="D722" s="1906" t="s">
        <v>541</v>
      </c>
      <c r="E722" s="1907" t="s">
        <v>259</v>
      </c>
      <c r="F722" s="1906">
        <v>4000</v>
      </c>
      <c r="G722" s="1897">
        <v>0.85199999999999987</v>
      </c>
      <c r="H722" s="1897">
        <v>0.39360000000000001</v>
      </c>
      <c r="I722" s="1897">
        <v>0.81119999999999992</v>
      </c>
      <c r="J722" s="1897">
        <v>0.83760000000000001</v>
      </c>
      <c r="K722" s="1897">
        <v>0.9144000000000001</v>
      </c>
      <c r="L722" s="1897">
        <v>0.88800000000000001</v>
      </c>
      <c r="M722" s="1897">
        <v>0.78280000000000005</v>
      </c>
    </row>
    <row r="723" spans="1:13" ht="15">
      <c r="A723" s="1894">
        <f t="shared" si="12"/>
        <v>38</v>
      </c>
      <c r="B723" s="1906" t="s">
        <v>722</v>
      </c>
      <c r="C723" s="1907" t="s">
        <v>524</v>
      </c>
      <c r="D723" s="1906" t="s">
        <v>709</v>
      </c>
      <c r="E723" s="1907" t="s">
        <v>259</v>
      </c>
      <c r="F723" s="1906">
        <v>4206</v>
      </c>
      <c r="G723" s="1897">
        <v>0</v>
      </c>
      <c r="H723" s="1897">
        <v>1.4835948644793153E-2</v>
      </c>
      <c r="I723" s="1897">
        <v>1.825962910128388E-2</v>
      </c>
      <c r="J723" s="1897">
        <v>0.18259629101283881</v>
      </c>
      <c r="K723" s="1897">
        <v>7.1897289586305271E-2</v>
      </c>
      <c r="L723" s="1897">
        <v>0.11982881597717547</v>
      </c>
      <c r="M723" s="1897">
        <v>6.7902995720399428E-2</v>
      </c>
    </row>
    <row r="724" spans="1:13" ht="15">
      <c r="A724" s="1894">
        <f t="shared" si="12"/>
        <v>39</v>
      </c>
      <c r="B724" s="1906" t="s">
        <v>672</v>
      </c>
      <c r="C724" s="1907" t="s">
        <v>524</v>
      </c>
      <c r="D724" s="1906" t="s">
        <v>541</v>
      </c>
      <c r="E724" s="1907" t="s">
        <v>259</v>
      </c>
      <c r="F724" s="1906">
        <v>4400</v>
      </c>
      <c r="G724" s="1897">
        <v>0.95236363636363652</v>
      </c>
      <c r="H724" s="1897">
        <v>0</v>
      </c>
      <c r="I724" s="1897">
        <v>0</v>
      </c>
      <c r="J724" s="1897">
        <v>0</v>
      </c>
      <c r="K724" s="1897">
        <v>0.96327272727272739</v>
      </c>
      <c r="L724" s="1897">
        <v>1.008</v>
      </c>
      <c r="M724" s="1897">
        <v>0.4872727272727273</v>
      </c>
    </row>
    <row r="725" spans="1:13" ht="15">
      <c r="A725" s="1894">
        <f t="shared" si="12"/>
        <v>40</v>
      </c>
      <c r="B725" s="1906" t="s">
        <v>587</v>
      </c>
      <c r="C725" s="1907" t="s">
        <v>524</v>
      </c>
      <c r="D725" s="1906" t="s">
        <v>541</v>
      </c>
      <c r="E725" s="1907" t="s">
        <v>271</v>
      </c>
      <c r="F725" s="1906">
        <v>4445</v>
      </c>
      <c r="G725" s="1897">
        <v>0.89628796400449939</v>
      </c>
      <c r="H725" s="1897">
        <v>0.88548931383577067</v>
      </c>
      <c r="I725" s="1897">
        <v>0.89088863892013503</v>
      </c>
      <c r="J725" s="1897">
        <v>0.73430821147356584</v>
      </c>
      <c r="K725" s="1897">
        <v>0.86389201349831268</v>
      </c>
      <c r="L725" s="1897">
        <v>0.58312710911136112</v>
      </c>
      <c r="M725" s="1897">
        <v>0.80899887514060742</v>
      </c>
    </row>
    <row r="726" spans="1:13" ht="15">
      <c r="A726" s="1894">
        <f t="shared" si="12"/>
        <v>41</v>
      </c>
      <c r="B726" s="1906" t="s">
        <v>718</v>
      </c>
      <c r="C726" s="1907" t="s">
        <v>524</v>
      </c>
      <c r="D726" s="1906" t="s">
        <v>709</v>
      </c>
      <c r="E726" s="1907" t="s">
        <v>259</v>
      </c>
      <c r="F726" s="1906">
        <v>5092</v>
      </c>
      <c r="G726" s="1897">
        <v>8.2482325216025141E-3</v>
      </c>
      <c r="H726" s="1897">
        <v>9.4265514532600164E-3</v>
      </c>
      <c r="I726" s="1897">
        <v>5.420267085624509E-2</v>
      </c>
      <c r="J726" s="1897">
        <v>0.22388059701492538</v>
      </c>
      <c r="K726" s="1897">
        <v>0.24862529457973293</v>
      </c>
      <c r="L726" s="1897">
        <v>0.25923016496465046</v>
      </c>
      <c r="M726" s="1897">
        <v>0.13393558523173607</v>
      </c>
    </row>
    <row r="727" spans="1:13" ht="15">
      <c r="A727" s="1894">
        <f t="shared" si="12"/>
        <v>42</v>
      </c>
      <c r="B727" s="1906" t="s">
        <v>578</v>
      </c>
      <c r="C727" s="1907" t="s">
        <v>524</v>
      </c>
      <c r="D727" s="1906" t="s">
        <v>541</v>
      </c>
      <c r="E727" s="1907" t="s">
        <v>271</v>
      </c>
      <c r="F727" s="1906">
        <v>5500</v>
      </c>
      <c r="G727" s="1897">
        <v>0.89018181818181819</v>
      </c>
      <c r="H727" s="1897">
        <v>0.86399999999999999</v>
      </c>
      <c r="I727" s="1897">
        <v>0.8218036363636364</v>
      </c>
      <c r="J727" s="1897">
        <v>0.89018181818181819</v>
      </c>
      <c r="K727" s="1897">
        <v>0.8552727272727273</v>
      </c>
      <c r="L727" s="1897">
        <v>0.8465454545454546</v>
      </c>
      <c r="M727" s="1897">
        <v>0.86133090909090926</v>
      </c>
    </row>
    <row r="728" spans="1:13" ht="15">
      <c r="A728" s="1894">
        <f t="shared" si="12"/>
        <v>43</v>
      </c>
      <c r="B728" s="1906" t="s">
        <v>674</v>
      </c>
      <c r="C728" s="1907" t="s">
        <v>524</v>
      </c>
      <c r="D728" s="1906" t="s">
        <v>541</v>
      </c>
      <c r="E728" s="1907" t="s">
        <v>259</v>
      </c>
      <c r="F728" s="1906">
        <v>5500</v>
      </c>
      <c r="G728" s="1897">
        <v>0.73483636363636362</v>
      </c>
      <c r="H728" s="1897">
        <v>0.75665454545454547</v>
      </c>
      <c r="I728" s="1897">
        <v>0.77061818181818187</v>
      </c>
      <c r="J728" s="1897">
        <v>0.76101818181818193</v>
      </c>
      <c r="K728" s="1897">
        <v>0.74094545454545457</v>
      </c>
      <c r="L728" s="1897">
        <v>0.78196363636363642</v>
      </c>
      <c r="M728" s="1897">
        <v>0.75767272727272728</v>
      </c>
    </row>
    <row r="729" spans="1:13" ht="15">
      <c r="A729" s="1899">
        <f>+A728</f>
        <v>43</v>
      </c>
      <c r="B729" s="1900" t="s">
        <v>3523</v>
      </c>
      <c r="C729" s="1907"/>
      <c r="D729" s="1906"/>
      <c r="E729" s="1907"/>
      <c r="F729" s="1901">
        <f>SUM(F686:F728)</f>
        <v>108196.48999999999</v>
      </c>
      <c r="G729" s="1902">
        <f>AVERAGE(G686:G728)</f>
        <v>0.55990363456554804</v>
      </c>
      <c r="H729" s="1902">
        <f t="shared" ref="H729:M729" si="13">AVERAGE(H686:H728)</f>
        <v>0.52595727002112003</v>
      </c>
      <c r="I729" s="1902">
        <f t="shared" si="13"/>
        <v>0.52300447138068651</v>
      </c>
      <c r="J729" s="1902">
        <f t="shared" si="13"/>
        <v>0.65578539320636486</v>
      </c>
      <c r="K729" s="1902">
        <f t="shared" si="13"/>
        <v>0.67611522213268094</v>
      </c>
      <c r="L729" s="1902">
        <f t="shared" si="13"/>
        <v>0.62915433407117294</v>
      </c>
      <c r="M729" s="1902">
        <f t="shared" si="13"/>
        <v>0.59498672089626214</v>
      </c>
    </row>
    <row r="730" spans="1:13" ht="15">
      <c r="A730" s="1894"/>
      <c r="B730" s="1891" t="s">
        <v>3524</v>
      </c>
      <c r="C730" s="1907"/>
      <c r="D730" s="1906"/>
      <c r="E730" s="1907"/>
      <c r="F730" s="1895"/>
      <c r="G730" s="1903"/>
      <c r="H730" s="1903"/>
      <c r="I730" s="1903"/>
      <c r="J730" s="1903"/>
      <c r="K730" s="1903"/>
      <c r="L730" s="1903"/>
      <c r="M730" s="1903"/>
    </row>
    <row r="731" spans="1:13" ht="15">
      <c r="A731" s="1894">
        <v>1</v>
      </c>
      <c r="B731" s="1906" t="s">
        <v>528</v>
      </c>
      <c r="C731" s="1907" t="s">
        <v>524</v>
      </c>
      <c r="D731" s="1906" t="s">
        <v>525</v>
      </c>
      <c r="E731" s="1907" t="s">
        <v>271</v>
      </c>
      <c r="F731" s="1906">
        <v>5555</v>
      </c>
      <c r="G731" s="1897">
        <v>0.43204320432043203</v>
      </c>
      <c r="H731" s="1897">
        <v>0.49252925292529254</v>
      </c>
      <c r="I731" s="1897">
        <v>0.63942394239423939</v>
      </c>
      <c r="J731" s="1897">
        <v>0.68262826282628275</v>
      </c>
      <c r="K731" s="1897">
        <v>0.68262826282628275</v>
      </c>
      <c r="L731" s="1897">
        <v>8.6408640864086405E-3</v>
      </c>
      <c r="M731" s="1897">
        <v>0.48964896489648974</v>
      </c>
    </row>
    <row r="732" spans="1:13" ht="15">
      <c r="A732" s="1894">
        <f t="shared" si="12"/>
        <v>2</v>
      </c>
      <c r="B732" s="1906" t="s">
        <v>652</v>
      </c>
      <c r="C732" s="1907" t="s">
        <v>524</v>
      </c>
      <c r="D732" s="1906" t="s">
        <v>541</v>
      </c>
      <c r="E732" s="1907" t="s">
        <v>259</v>
      </c>
      <c r="F732" s="1906">
        <v>5911</v>
      </c>
      <c r="G732" s="1897">
        <v>0.56234139739468791</v>
      </c>
      <c r="H732" s="1897">
        <v>0.56234139739468791</v>
      </c>
      <c r="I732" s="1897">
        <v>0.54407037726273055</v>
      </c>
      <c r="J732" s="1897">
        <v>0.55625105735070213</v>
      </c>
      <c r="K732" s="1897">
        <v>0.53391981052275417</v>
      </c>
      <c r="L732" s="1897">
        <v>0.10556589409575368</v>
      </c>
      <c r="M732" s="1897">
        <v>0.47741498900355278</v>
      </c>
    </row>
    <row r="733" spans="1:13" ht="15">
      <c r="A733" s="1894">
        <f t="shared" si="12"/>
        <v>3</v>
      </c>
      <c r="B733" s="1906" t="s">
        <v>589</v>
      </c>
      <c r="C733" s="1907" t="s">
        <v>524</v>
      </c>
      <c r="D733" s="1906" t="s">
        <v>541</v>
      </c>
      <c r="E733" s="1907" t="s">
        <v>271</v>
      </c>
      <c r="F733" s="1906">
        <v>6500</v>
      </c>
      <c r="G733" s="1897">
        <v>0.39655384615384615</v>
      </c>
      <c r="H733" s="1897">
        <v>0.37846153846153846</v>
      </c>
      <c r="I733" s="1897">
        <v>0.39876923076923076</v>
      </c>
      <c r="J733" s="1897">
        <v>0.40430769230769231</v>
      </c>
      <c r="K733" s="1897">
        <v>0.40799999999999997</v>
      </c>
      <c r="L733" s="1897">
        <v>0.38400000000000001</v>
      </c>
      <c r="M733" s="1897">
        <v>0.3950153846153846</v>
      </c>
    </row>
    <row r="734" spans="1:13" ht="15">
      <c r="A734" s="1894">
        <f t="shared" si="12"/>
        <v>4</v>
      </c>
      <c r="B734" s="1906" t="s">
        <v>724</v>
      </c>
      <c r="C734" s="1907" t="s">
        <v>524</v>
      </c>
      <c r="D734" s="1906" t="s">
        <v>709</v>
      </c>
      <c r="E734" s="1907" t="s">
        <v>259</v>
      </c>
      <c r="F734" s="1906">
        <v>7021</v>
      </c>
      <c r="G734" s="1897">
        <v>6.4264349807719709E-2</v>
      </c>
      <c r="H734" s="1897">
        <v>9.7080188007406351E-2</v>
      </c>
      <c r="I734" s="1897">
        <v>7.9988605611736222E-2</v>
      </c>
      <c r="J734" s="1897">
        <v>0.1811707733941034</v>
      </c>
      <c r="K734" s="1897">
        <v>0.21125195841048283</v>
      </c>
      <c r="L734" s="1897">
        <v>3.4183164791340265E-3</v>
      </c>
      <c r="M734" s="1897">
        <v>0.10619569861843042</v>
      </c>
    </row>
    <row r="735" spans="1:13" ht="15">
      <c r="A735" s="1894">
        <f t="shared" si="12"/>
        <v>5</v>
      </c>
      <c r="B735" s="1906" t="s">
        <v>572</v>
      </c>
      <c r="C735" s="1907" t="s">
        <v>524</v>
      </c>
      <c r="D735" s="1906" t="s">
        <v>541</v>
      </c>
      <c r="E735" s="1907" t="s">
        <v>271</v>
      </c>
      <c r="F735" s="1906">
        <v>7500</v>
      </c>
      <c r="G735" s="1897">
        <v>1.0207999999999999</v>
      </c>
      <c r="H735" s="1897">
        <v>1.016</v>
      </c>
      <c r="I735" s="1897">
        <v>1.0016</v>
      </c>
      <c r="J735" s="1897">
        <v>1.0287999999999999</v>
      </c>
      <c r="K735" s="1897">
        <v>0.99839999999999995</v>
      </c>
      <c r="L735" s="1897">
        <v>1.0575999999999999</v>
      </c>
      <c r="M735" s="1897">
        <v>1.0205333333333333</v>
      </c>
    </row>
    <row r="736" spans="1:13" ht="15">
      <c r="A736" s="1894">
        <f t="shared" si="12"/>
        <v>6</v>
      </c>
      <c r="B736" s="1906" t="s">
        <v>574</v>
      </c>
      <c r="C736" s="1907" t="s">
        <v>524</v>
      </c>
      <c r="D736" s="1906" t="s">
        <v>541</v>
      </c>
      <c r="E736" s="1907" t="s">
        <v>271</v>
      </c>
      <c r="F736" s="1906">
        <v>7500</v>
      </c>
      <c r="G736" s="1897">
        <v>0.90133333333333332</v>
      </c>
      <c r="H736" s="1897">
        <v>0.90133333333333332</v>
      </c>
      <c r="I736" s="1897">
        <v>0.89066666666666672</v>
      </c>
      <c r="J736" s="1897">
        <v>0.88</v>
      </c>
      <c r="K736" s="1897">
        <v>0.91733333333333333</v>
      </c>
      <c r="L736" s="1897">
        <v>0.90133333333333332</v>
      </c>
      <c r="M736" s="1897">
        <v>0.89866666666666672</v>
      </c>
    </row>
    <row r="737" spans="1:13" ht="15">
      <c r="A737" s="1894">
        <f t="shared" si="12"/>
        <v>7</v>
      </c>
      <c r="B737" s="1906" t="s">
        <v>678</v>
      </c>
      <c r="C737" s="1907" t="s">
        <v>524</v>
      </c>
      <c r="D737" s="1906" t="s">
        <v>541</v>
      </c>
      <c r="E737" s="1907" t="s">
        <v>259</v>
      </c>
      <c r="F737" s="1906">
        <v>7500</v>
      </c>
      <c r="G737" s="1897">
        <v>1.0709333333333333</v>
      </c>
      <c r="H737" s="1897">
        <v>1.0474666666666665</v>
      </c>
      <c r="I737" s="1897">
        <v>0.63231999999999999</v>
      </c>
      <c r="J737" s="1897">
        <v>0.752</v>
      </c>
      <c r="K737" s="1897">
        <v>1.008</v>
      </c>
      <c r="L737" s="1897">
        <v>0.9785600000000001</v>
      </c>
      <c r="M737" s="1897">
        <v>0.91488000000000003</v>
      </c>
    </row>
    <row r="738" spans="1:13" ht="15">
      <c r="A738" s="1894">
        <f t="shared" si="12"/>
        <v>8</v>
      </c>
      <c r="B738" s="1906" t="s">
        <v>523</v>
      </c>
      <c r="C738" s="1907" t="s">
        <v>524</v>
      </c>
      <c r="D738" s="1906" t="s">
        <v>525</v>
      </c>
      <c r="E738" s="1907" t="s">
        <v>271</v>
      </c>
      <c r="F738" s="1906">
        <v>7778</v>
      </c>
      <c r="G738" s="1897">
        <v>1.542813062483929E-2</v>
      </c>
      <c r="H738" s="1897">
        <v>0</v>
      </c>
      <c r="I738" s="1897">
        <v>7.7140653124196448E-3</v>
      </c>
      <c r="J738" s="1897">
        <v>6.1712522499357159E-2</v>
      </c>
      <c r="K738" s="1897">
        <v>0.62483929030599128</v>
      </c>
      <c r="L738" s="1897">
        <v>7.7140653124196448E-3</v>
      </c>
      <c r="M738" s="1897">
        <v>0.11956801234250451</v>
      </c>
    </row>
    <row r="739" spans="1:13" ht="15">
      <c r="A739" s="1894">
        <f t="shared" si="12"/>
        <v>9</v>
      </c>
      <c r="B739" s="1906" t="s">
        <v>570</v>
      </c>
      <c r="C739" s="1907" t="s">
        <v>524</v>
      </c>
      <c r="D739" s="1906" t="s">
        <v>541</v>
      </c>
      <c r="E739" s="1907" t="s">
        <v>271</v>
      </c>
      <c r="F739" s="1906">
        <v>8000</v>
      </c>
      <c r="G739" s="1897">
        <v>0.80700000000000005</v>
      </c>
      <c r="H739" s="1897">
        <v>0.57479999999999998</v>
      </c>
      <c r="I739" s="1897">
        <v>0.876</v>
      </c>
      <c r="J739" s="1897">
        <v>0.89700000000000002</v>
      </c>
      <c r="K739" s="1897">
        <v>0.82799999999999996</v>
      </c>
      <c r="L739" s="1897">
        <v>0.54</v>
      </c>
      <c r="M739" s="1897">
        <v>0.75380000000000003</v>
      </c>
    </row>
    <row r="740" spans="1:13" ht="15">
      <c r="A740" s="1894">
        <f t="shared" si="12"/>
        <v>10</v>
      </c>
      <c r="B740" s="1906" t="s">
        <v>670</v>
      </c>
      <c r="C740" s="1907" t="s">
        <v>524</v>
      </c>
      <c r="D740" s="1906" t="s">
        <v>541</v>
      </c>
      <c r="E740" s="1907" t="s">
        <v>259</v>
      </c>
      <c r="F740" s="1906">
        <v>8000</v>
      </c>
      <c r="G740" s="1897">
        <v>0.76559999999999995</v>
      </c>
      <c r="H740" s="1897">
        <v>0.8286</v>
      </c>
      <c r="I740" s="1897">
        <v>0.76379999999999992</v>
      </c>
      <c r="J740" s="1897">
        <v>0.82019999999999993</v>
      </c>
      <c r="K740" s="1897">
        <v>0.80159999999999998</v>
      </c>
      <c r="L740" s="1897">
        <v>0.81840000000000002</v>
      </c>
      <c r="M740" s="1897">
        <v>0.79969999999999997</v>
      </c>
    </row>
    <row r="741" spans="1:13" ht="15">
      <c r="A741" s="1894">
        <f t="shared" si="12"/>
        <v>11</v>
      </c>
      <c r="B741" s="1906" t="s">
        <v>714</v>
      </c>
      <c r="C741" s="1907" t="s">
        <v>524</v>
      </c>
      <c r="D741" s="1906" t="s">
        <v>709</v>
      </c>
      <c r="E741" s="1907" t="s">
        <v>259</v>
      </c>
      <c r="F741" s="1906">
        <v>8319</v>
      </c>
      <c r="G741" s="1897">
        <v>3.2455824017309774E-3</v>
      </c>
      <c r="H741" s="1897">
        <v>2.1637216011539851E-3</v>
      </c>
      <c r="I741" s="1897">
        <v>2.1637216011539851E-3</v>
      </c>
      <c r="J741" s="1897">
        <v>5.517490082942661E-2</v>
      </c>
      <c r="K741" s="1897">
        <v>7.0320952037504506E-2</v>
      </c>
      <c r="L741" s="1897">
        <v>0.10602235845654527</v>
      </c>
      <c r="M741" s="1897">
        <v>3.9848539487919221E-2</v>
      </c>
    </row>
    <row r="742" spans="1:13" ht="15">
      <c r="A742" s="1894">
        <f t="shared" si="12"/>
        <v>12</v>
      </c>
      <c r="B742" s="1906" t="s">
        <v>558</v>
      </c>
      <c r="C742" s="1907" t="s">
        <v>524</v>
      </c>
      <c r="D742" s="1906" t="s">
        <v>541</v>
      </c>
      <c r="E742" s="1907" t="s">
        <v>271</v>
      </c>
      <c r="F742" s="1906">
        <v>10000</v>
      </c>
      <c r="G742" s="1897">
        <v>0.91500000000000004</v>
      </c>
      <c r="H742" s="1897">
        <v>0.97199999999999998</v>
      </c>
      <c r="I742" s="1897">
        <v>0.60599999999999998</v>
      </c>
      <c r="J742" s="1897">
        <v>0.62519999999999998</v>
      </c>
      <c r="K742" s="1897">
        <v>1.1928000000000001</v>
      </c>
      <c r="L742" s="1897">
        <v>0.64080000000000004</v>
      </c>
      <c r="M742" s="1897">
        <v>0.82530000000000003</v>
      </c>
    </row>
    <row r="743" spans="1:13" ht="15">
      <c r="A743" s="1894">
        <f t="shared" si="12"/>
        <v>13</v>
      </c>
      <c r="B743" s="1906" t="s">
        <v>564</v>
      </c>
      <c r="C743" s="1907" t="s">
        <v>524</v>
      </c>
      <c r="D743" s="1906" t="s">
        <v>541</v>
      </c>
      <c r="E743" s="1907" t="s">
        <v>271</v>
      </c>
      <c r="F743" s="1906">
        <v>10000</v>
      </c>
      <c r="G743" s="1897">
        <v>0.98799999999999999</v>
      </c>
      <c r="H743" s="1897">
        <v>1.032</v>
      </c>
      <c r="I743" s="1897">
        <v>1.008</v>
      </c>
      <c r="J743" s="1897">
        <v>0.95599999999999996</v>
      </c>
      <c r="K743" s="1897">
        <v>0.96399999999999997</v>
      </c>
      <c r="L743" s="1897">
        <v>0.97199999999999998</v>
      </c>
      <c r="M743" s="1897">
        <v>0.98666666666666669</v>
      </c>
    </row>
    <row r="744" spans="1:13" ht="15">
      <c r="A744" s="1894">
        <f t="shared" si="12"/>
        <v>14</v>
      </c>
      <c r="B744" s="1906" t="s">
        <v>599</v>
      </c>
      <c r="C744" s="1907" t="s">
        <v>524</v>
      </c>
      <c r="D744" s="1906" t="s">
        <v>595</v>
      </c>
      <c r="E744" s="1907" t="s">
        <v>271</v>
      </c>
      <c r="F744" s="1906">
        <v>10000</v>
      </c>
      <c r="G744" s="1897">
        <v>1.9488000000000001</v>
      </c>
      <c r="H744" s="1897">
        <v>1.9588800000000004</v>
      </c>
      <c r="I744" s="1897">
        <v>1.9296</v>
      </c>
      <c r="J744" s="1897">
        <v>1.9259999999999999</v>
      </c>
      <c r="K744" s="1897">
        <v>1.8984000000000001</v>
      </c>
      <c r="L744" s="1897">
        <v>1.9463999999999999</v>
      </c>
      <c r="M744" s="1897">
        <v>1.9346800000000002</v>
      </c>
    </row>
    <row r="745" spans="1:13" ht="15">
      <c r="A745" s="1894">
        <f t="shared" si="12"/>
        <v>15</v>
      </c>
      <c r="B745" s="1906" t="s">
        <v>554</v>
      </c>
      <c r="C745" s="1907" t="s">
        <v>524</v>
      </c>
      <c r="D745" s="1906" t="s">
        <v>541</v>
      </c>
      <c r="E745" s="1907" t="s">
        <v>271</v>
      </c>
      <c r="F745" s="1906">
        <v>10000</v>
      </c>
      <c r="G745" s="1897">
        <v>1.0680000000000001</v>
      </c>
      <c r="H745" s="1897">
        <v>1.0860000000000001</v>
      </c>
      <c r="I745" s="1897">
        <v>0.996</v>
      </c>
      <c r="J745" s="1897">
        <v>0.96599999999999997</v>
      </c>
      <c r="K745" s="1897">
        <v>0.97199999999999998</v>
      </c>
      <c r="L745" s="1897">
        <v>0.98399999999999999</v>
      </c>
      <c r="M745" s="1897">
        <v>1.0119999999999998</v>
      </c>
    </row>
    <row r="746" spans="1:13" ht="15">
      <c r="A746" s="1894">
        <f t="shared" si="12"/>
        <v>16</v>
      </c>
      <c r="B746" s="1906" t="s">
        <v>597</v>
      </c>
      <c r="C746" s="1907" t="s">
        <v>524</v>
      </c>
      <c r="D746" s="1906" t="s">
        <v>595</v>
      </c>
      <c r="E746" s="1907" t="s">
        <v>271</v>
      </c>
      <c r="F746" s="1906">
        <v>12000</v>
      </c>
      <c r="G746" s="1897">
        <v>1.8733333333333333</v>
      </c>
      <c r="H746" s="1897">
        <v>1.9166666666666667</v>
      </c>
      <c r="I746" s="1897">
        <v>1.8933333333333333</v>
      </c>
      <c r="J746" s="1897">
        <v>1.8933333333333333</v>
      </c>
      <c r="K746" s="1897">
        <v>1.96</v>
      </c>
      <c r="L746" s="1897">
        <v>1.8033333333333332</v>
      </c>
      <c r="M746" s="1897">
        <v>1.89</v>
      </c>
    </row>
    <row r="747" spans="1:13" ht="15">
      <c r="A747" s="1894">
        <f t="shared" si="12"/>
        <v>17</v>
      </c>
      <c r="B747" s="1906" t="s">
        <v>686</v>
      </c>
      <c r="C747" s="1907" t="s">
        <v>524</v>
      </c>
      <c r="D747" s="1906" t="s">
        <v>541</v>
      </c>
      <c r="E747" s="1907" t="s">
        <v>259</v>
      </c>
      <c r="F747" s="1906">
        <v>12000</v>
      </c>
      <c r="G747" s="1897">
        <v>0.81200000000000006</v>
      </c>
      <c r="H747" s="1897">
        <v>0.65920000000000001</v>
      </c>
      <c r="I747" s="1897">
        <v>0.77600000000000002</v>
      </c>
      <c r="J747" s="1897">
        <v>0.71120000000000017</v>
      </c>
      <c r="K747" s="1897">
        <v>0.69199999999999995</v>
      </c>
      <c r="L747" s="1897">
        <v>0.68</v>
      </c>
      <c r="M747" s="1897">
        <v>0.72173333333333334</v>
      </c>
    </row>
    <row r="748" spans="1:13" ht="15">
      <c r="A748" s="1894">
        <f t="shared" si="12"/>
        <v>18</v>
      </c>
      <c r="B748" s="1906" t="s">
        <v>688</v>
      </c>
      <c r="C748" s="1907" t="s">
        <v>524</v>
      </c>
      <c r="D748" s="1906" t="s">
        <v>541</v>
      </c>
      <c r="E748" s="1907" t="s">
        <v>259</v>
      </c>
      <c r="F748" s="1906">
        <v>12000</v>
      </c>
      <c r="G748" s="1897">
        <v>1.106021052631579</v>
      </c>
      <c r="H748" s="1897">
        <v>1.1282526315789474</v>
      </c>
      <c r="I748" s="1897">
        <v>1.0696421052631579</v>
      </c>
      <c r="J748" s="1897">
        <v>0.93524210526315776</v>
      </c>
      <c r="K748" s="1897">
        <v>0.9453473684210526</v>
      </c>
      <c r="L748" s="1897">
        <v>1.7472000000000001</v>
      </c>
      <c r="M748" s="1897">
        <v>1.1552842105263159</v>
      </c>
    </row>
    <row r="749" spans="1:13" ht="15">
      <c r="A749" s="1894">
        <f t="shared" si="12"/>
        <v>19</v>
      </c>
      <c r="B749" s="1906" t="s">
        <v>580</v>
      </c>
      <c r="C749" s="1907" t="s">
        <v>524</v>
      </c>
      <c r="D749" s="1906" t="s">
        <v>541</v>
      </c>
      <c r="E749" s="1907" t="s">
        <v>271</v>
      </c>
      <c r="F749" s="1906">
        <v>12500</v>
      </c>
      <c r="G749" s="1897">
        <v>0.85919999999999996</v>
      </c>
      <c r="H749" s="1897">
        <v>0.79103999999999997</v>
      </c>
      <c r="I749" s="1897">
        <v>0.78815999999999997</v>
      </c>
      <c r="J749" s="1897">
        <v>0.80832000000000004</v>
      </c>
      <c r="K749" s="1897">
        <v>0.79296</v>
      </c>
      <c r="L749" s="1897">
        <v>0.82272000000000001</v>
      </c>
      <c r="M749" s="1897">
        <v>0.81040000000000001</v>
      </c>
    </row>
    <row r="750" spans="1:13" ht="15">
      <c r="A750" s="1894">
        <f t="shared" si="12"/>
        <v>20</v>
      </c>
      <c r="B750" s="1906" t="s">
        <v>548</v>
      </c>
      <c r="C750" s="1907" t="s">
        <v>524</v>
      </c>
      <c r="D750" s="1906" t="s">
        <v>541</v>
      </c>
      <c r="E750" s="1907" t="s">
        <v>271</v>
      </c>
      <c r="F750" s="1906">
        <v>13000</v>
      </c>
      <c r="G750" s="1897">
        <v>0.88615384615384618</v>
      </c>
      <c r="H750" s="1897">
        <v>0.87323076923076937</v>
      </c>
      <c r="I750" s="1897">
        <v>0.88153846153846149</v>
      </c>
      <c r="J750" s="1897">
        <v>0.90923076923076918</v>
      </c>
      <c r="K750" s="1897">
        <v>0.89538461538461533</v>
      </c>
      <c r="L750" s="1897">
        <v>0.87230769230769234</v>
      </c>
      <c r="M750" s="1897">
        <v>0.88630769230769235</v>
      </c>
    </row>
    <row r="751" spans="1:13" ht="15">
      <c r="A751" s="1894">
        <f t="shared" si="12"/>
        <v>21</v>
      </c>
      <c r="B751" s="1906" t="s">
        <v>568</v>
      </c>
      <c r="C751" s="1907" t="s">
        <v>524</v>
      </c>
      <c r="D751" s="1906" t="s">
        <v>541</v>
      </c>
      <c r="E751" s="1907" t="s">
        <v>271</v>
      </c>
      <c r="F751" s="1906">
        <v>13000</v>
      </c>
      <c r="G751" s="1897">
        <v>0.80566153846153854</v>
      </c>
      <c r="H751" s="1897">
        <v>0.19384615384615383</v>
      </c>
      <c r="I751" s="1897">
        <v>0.81230769230769229</v>
      </c>
      <c r="J751" s="1897">
        <v>0.79015384615384621</v>
      </c>
      <c r="K751" s="1897">
        <v>0.79753846153846153</v>
      </c>
      <c r="L751" s="1897">
        <v>0.80123076923076919</v>
      </c>
      <c r="M751" s="1897">
        <v>0.70012307692307696</v>
      </c>
    </row>
    <row r="752" spans="1:13" ht="15">
      <c r="A752" s="1894">
        <f t="shared" si="12"/>
        <v>22</v>
      </c>
      <c r="B752" s="1906" t="s">
        <v>576</v>
      </c>
      <c r="C752" s="1907" t="s">
        <v>524</v>
      </c>
      <c r="D752" s="1906" t="s">
        <v>541</v>
      </c>
      <c r="E752" s="1907" t="s">
        <v>271</v>
      </c>
      <c r="F752" s="1906">
        <v>14000</v>
      </c>
      <c r="G752" s="1897">
        <v>0.59142857142857141</v>
      </c>
      <c r="H752" s="1897">
        <v>0.59657142857142853</v>
      </c>
      <c r="I752" s="1897">
        <v>0.61199999999999999</v>
      </c>
      <c r="J752" s="1897">
        <v>0.96599999999999997</v>
      </c>
      <c r="K752" s="1897">
        <v>0.94457142857142862</v>
      </c>
      <c r="L752" s="1897">
        <v>0.95314285714285718</v>
      </c>
      <c r="M752" s="1897">
        <v>0.77728571428571425</v>
      </c>
    </row>
    <row r="753" spans="1:13" ht="15">
      <c r="A753" s="1894">
        <f t="shared" si="12"/>
        <v>23</v>
      </c>
      <c r="B753" s="1906" t="s">
        <v>560</v>
      </c>
      <c r="C753" s="1907" t="s">
        <v>524</v>
      </c>
      <c r="D753" s="1906" t="s">
        <v>538</v>
      </c>
      <c r="E753" s="1907" t="s">
        <v>271</v>
      </c>
      <c r="F753" s="1906">
        <v>15000</v>
      </c>
      <c r="G753" s="1897">
        <v>1.6240000000000001</v>
      </c>
      <c r="H753" s="1897">
        <v>1.6048</v>
      </c>
      <c r="I753" s="1897">
        <v>1.5471999999999999</v>
      </c>
      <c r="J753" s="1897">
        <v>0.9728</v>
      </c>
      <c r="K753" s="1897">
        <v>0.98080000000000001</v>
      </c>
      <c r="L753" s="1897">
        <v>0.98399999999999999</v>
      </c>
      <c r="M753" s="1897">
        <v>1.2856000000000001</v>
      </c>
    </row>
    <row r="754" spans="1:13" ht="15">
      <c r="A754" s="1894">
        <f t="shared" si="12"/>
        <v>24</v>
      </c>
      <c r="B754" s="1906" t="s">
        <v>566</v>
      </c>
      <c r="C754" s="1907" t="s">
        <v>524</v>
      </c>
      <c r="D754" s="1906" t="s">
        <v>541</v>
      </c>
      <c r="E754" s="1907" t="s">
        <v>271</v>
      </c>
      <c r="F754" s="1906">
        <v>16000</v>
      </c>
      <c r="G754" s="1897">
        <v>0.86850000000000005</v>
      </c>
      <c r="H754" s="1897">
        <v>0.87299999999999989</v>
      </c>
      <c r="I754" s="1897">
        <v>0.86624999999999996</v>
      </c>
      <c r="J754" s="1897">
        <v>0.87299999999999989</v>
      </c>
      <c r="K754" s="1897">
        <v>0.88200000000000012</v>
      </c>
      <c r="L754" s="1897">
        <v>0.88649999999999995</v>
      </c>
      <c r="M754" s="1897">
        <v>0.87487499999999996</v>
      </c>
    </row>
    <row r="755" spans="1:13" ht="15">
      <c r="A755" s="1894">
        <f t="shared" si="12"/>
        <v>25</v>
      </c>
      <c r="B755" s="1906" t="s">
        <v>606</v>
      </c>
      <c r="C755" s="1907" t="s">
        <v>524</v>
      </c>
      <c r="D755" s="1906" t="s">
        <v>602</v>
      </c>
      <c r="E755" s="1907" t="s">
        <v>271</v>
      </c>
      <c r="F755" s="1906">
        <v>16500</v>
      </c>
      <c r="G755" s="1897">
        <v>1.0472727272727274</v>
      </c>
      <c r="H755" s="1897">
        <v>1.1752727272727272</v>
      </c>
      <c r="I755" s="1897">
        <v>0.86399999999999999</v>
      </c>
      <c r="J755" s="1897">
        <v>0.96872727272727266</v>
      </c>
      <c r="K755" s="1897">
        <v>1.1418181818181818</v>
      </c>
      <c r="L755" s="1897">
        <v>1.0341818181818181</v>
      </c>
      <c r="M755" s="1897">
        <v>1.0385454545454547</v>
      </c>
    </row>
    <row r="756" spans="1:13" ht="15">
      <c r="A756" s="1894">
        <f t="shared" si="12"/>
        <v>26</v>
      </c>
      <c r="B756" s="1906" t="s">
        <v>537</v>
      </c>
      <c r="C756" s="1907" t="s">
        <v>524</v>
      </c>
      <c r="D756" s="1906" t="s">
        <v>538</v>
      </c>
      <c r="E756" s="1907" t="s">
        <v>271</v>
      </c>
      <c r="F756" s="1906">
        <v>16667</v>
      </c>
      <c r="G756" s="1897">
        <v>3.2903341933161339</v>
      </c>
      <c r="H756" s="1897">
        <v>3.2485750284994301</v>
      </c>
      <c r="I756" s="1897">
        <v>3.232735345293094</v>
      </c>
      <c r="J756" s="1897">
        <v>3.268734625307494</v>
      </c>
      <c r="K756" s="1897">
        <v>3.3407331853362932</v>
      </c>
      <c r="L756" s="1897">
        <v>3.4343313133737325</v>
      </c>
      <c r="M756" s="1897">
        <v>3.3025739485210295</v>
      </c>
    </row>
    <row r="757" spans="1:13" ht="15">
      <c r="A757" s="1894">
        <f t="shared" si="12"/>
        <v>27</v>
      </c>
      <c r="B757" s="1906" t="s">
        <v>601</v>
      </c>
      <c r="C757" s="1907" t="s">
        <v>524</v>
      </c>
      <c r="D757" s="1906" t="s">
        <v>602</v>
      </c>
      <c r="E757" s="1907" t="s">
        <v>271</v>
      </c>
      <c r="F757" s="1906">
        <v>17000</v>
      </c>
      <c r="G757" s="1897">
        <v>1.056</v>
      </c>
      <c r="H757" s="1897">
        <v>1.056</v>
      </c>
      <c r="I757" s="1897">
        <v>0.81882352941176473</v>
      </c>
      <c r="J757" s="1897">
        <v>0.87529411764705878</v>
      </c>
      <c r="K757" s="1897">
        <v>0.87529411764705878</v>
      </c>
      <c r="L757" s="1897">
        <v>0.90352941176470591</v>
      </c>
      <c r="M757" s="1897">
        <v>0.93082352941176472</v>
      </c>
    </row>
    <row r="758" spans="1:13" ht="15">
      <c r="A758" s="1894">
        <f t="shared" si="12"/>
        <v>28</v>
      </c>
      <c r="B758" s="1906" t="s">
        <v>610</v>
      </c>
      <c r="C758" s="1907" t="s">
        <v>524</v>
      </c>
      <c r="D758" s="1906" t="s">
        <v>602</v>
      </c>
      <c r="E758" s="1907" t="s">
        <v>271</v>
      </c>
      <c r="F758" s="1906">
        <v>17500</v>
      </c>
      <c r="G758" s="1897">
        <v>0.84205714285714284</v>
      </c>
      <c r="H758" s="1897">
        <v>0.86948571428571431</v>
      </c>
      <c r="I758" s="1897">
        <v>1.0313142857142856</v>
      </c>
      <c r="J758" s="1897">
        <v>1.0121142857142857</v>
      </c>
      <c r="K758" s="1897">
        <v>0.93805714285714281</v>
      </c>
      <c r="L758" s="1897">
        <v>0.83657142857142852</v>
      </c>
      <c r="M758" s="1897">
        <v>0.92159999999999986</v>
      </c>
    </row>
    <row r="759" spans="1:13" ht="15">
      <c r="A759" s="1894">
        <f t="shared" si="12"/>
        <v>29</v>
      </c>
      <c r="B759" s="1906" t="s">
        <v>604</v>
      </c>
      <c r="C759" s="1907" t="s">
        <v>524</v>
      </c>
      <c r="D759" s="1906" t="s">
        <v>602</v>
      </c>
      <c r="E759" s="1907" t="s">
        <v>271</v>
      </c>
      <c r="F759" s="1906">
        <v>18000</v>
      </c>
      <c r="G759" s="1897">
        <v>0.99333333333333329</v>
      </c>
      <c r="H759" s="1897">
        <v>0.99111111111111116</v>
      </c>
      <c r="I759" s="1897">
        <v>0.87555555555555553</v>
      </c>
      <c r="J759" s="1897">
        <v>0.9177777777777778</v>
      </c>
      <c r="K759" s="1897">
        <v>0.83111111111111113</v>
      </c>
      <c r="L759" s="1897">
        <v>0.92888888888888888</v>
      </c>
      <c r="M759" s="1897">
        <v>0.9229629629629631</v>
      </c>
    </row>
    <row r="760" spans="1:13" ht="15">
      <c r="A760" s="1894">
        <f t="shared" si="12"/>
        <v>30</v>
      </c>
      <c r="B760" s="1906" t="s">
        <v>546</v>
      </c>
      <c r="C760" s="1907" t="s">
        <v>524</v>
      </c>
      <c r="D760" s="1906" t="s">
        <v>541</v>
      </c>
      <c r="E760" s="1907" t="s">
        <v>271</v>
      </c>
      <c r="F760" s="1906">
        <v>18000</v>
      </c>
      <c r="G760" s="1897">
        <v>1.1366666666666667</v>
      </c>
      <c r="H760" s="1897">
        <v>0.95</v>
      </c>
      <c r="I760" s="1897">
        <v>1.1266666666666667</v>
      </c>
      <c r="J760" s="1897">
        <v>1.88</v>
      </c>
      <c r="K760" s="1897">
        <v>0.9</v>
      </c>
      <c r="L760" s="1897">
        <v>0.8833333333333333</v>
      </c>
      <c r="M760" s="1897">
        <v>1.1461111111111111</v>
      </c>
    </row>
    <row r="761" spans="1:13" ht="15">
      <c r="A761" s="1894">
        <f t="shared" si="12"/>
        <v>31</v>
      </c>
      <c r="B761" s="1906" t="s">
        <v>617</v>
      </c>
      <c r="C761" s="1907" t="s">
        <v>524</v>
      </c>
      <c r="D761" s="1906" t="s">
        <v>602</v>
      </c>
      <c r="E761" s="1907" t="s">
        <v>271</v>
      </c>
      <c r="F761" s="1906">
        <v>19000</v>
      </c>
      <c r="G761" s="1897">
        <v>0.95747368421052637</v>
      </c>
      <c r="H761" s="1897">
        <v>0.69978947368421052</v>
      </c>
      <c r="I761" s="1897">
        <v>0.61894736842105258</v>
      </c>
      <c r="J761" s="1897">
        <v>0.60378947368421054</v>
      </c>
      <c r="K761" s="1897">
        <v>0.82610526315789479</v>
      </c>
      <c r="L761" s="1897">
        <v>0.96252631578947367</v>
      </c>
      <c r="M761" s="1897">
        <v>0.77810526315789463</v>
      </c>
    </row>
    <row r="762" spans="1:13" ht="15">
      <c r="A762" s="1894">
        <f t="shared" si="12"/>
        <v>32</v>
      </c>
      <c r="B762" s="1906" t="s">
        <v>594</v>
      </c>
      <c r="C762" s="1907" t="s">
        <v>524</v>
      </c>
      <c r="D762" s="1906" t="s">
        <v>595</v>
      </c>
      <c r="E762" s="1907" t="s">
        <v>271</v>
      </c>
      <c r="F762" s="1906">
        <v>19500</v>
      </c>
      <c r="G762" s="1897">
        <v>1.6984615384615385</v>
      </c>
      <c r="H762" s="1897">
        <v>0.95926153846153839</v>
      </c>
      <c r="I762" s="1897">
        <v>0.81846153846153846</v>
      </c>
      <c r="J762" s="1897">
        <v>1.3686153846153846</v>
      </c>
      <c r="K762" s="1897">
        <v>1.5889230769230769</v>
      </c>
      <c r="L762" s="1897">
        <v>1.952</v>
      </c>
      <c r="M762" s="1897">
        <v>1.3976205128205128</v>
      </c>
    </row>
    <row r="763" spans="1:13" ht="15">
      <c r="A763" s="1894">
        <f t="shared" si="12"/>
        <v>33</v>
      </c>
      <c r="B763" s="1906" t="s">
        <v>531</v>
      </c>
      <c r="C763" s="1907" t="s">
        <v>524</v>
      </c>
      <c r="D763" s="1906" t="s">
        <v>532</v>
      </c>
      <c r="E763" s="1907" t="s">
        <v>271</v>
      </c>
      <c r="F763" s="1906">
        <v>20000</v>
      </c>
      <c r="G763" s="1897">
        <v>1</v>
      </c>
      <c r="H763" s="1897">
        <v>1.09375</v>
      </c>
      <c r="I763" s="1897">
        <v>1.028</v>
      </c>
      <c r="J763" s="1897">
        <v>0.95625000000000004</v>
      </c>
      <c r="K763" s="1897">
        <v>1.0843750000000001</v>
      </c>
      <c r="L763" s="1897">
        <v>1.003125</v>
      </c>
      <c r="M763" s="1897">
        <v>1.0275833333333335</v>
      </c>
    </row>
    <row r="764" spans="1:13" ht="15">
      <c r="A764" s="1894">
        <f t="shared" si="12"/>
        <v>34</v>
      </c>
      <c r="B764" s="1906" t="s">
        <v>608</v>
      </c>
      <c r="C764" s="1907" t="s">
        <v>524</v>
      </c>
      <c r="D764" s="1906" t="s">
        <v>602</v>
      </c>
      <c r="E764" s="1907" t="s">
        <v>271</v>
      </c>
      <c r="F764" s="1906">
        <v>22000</v>
      </c>
      <c r="G764" s="1897">
        <v>0.92727272727272725</v>
      </c>
      <c r="H764" s="1897">
        <v>0.92727272727272725</v>
      </c>
      <c r="I764" s="1897">
        <v>0.98181818181818181</v>
      </c>
      <c r="J764" s="1897">
        <v>1.2363636363636363</v>
      </c>
      <c r="K764" s="1897">
        <v>0.90909090909090906</v>
      </c>
      <c r="L764" s="1897">
        <v>0.96363636363636362</v>
      </c>
      <c r="M764" s="1897">
        <v>0.99090909090909085</v>
      </c>
    </row>
    <row r="765" spans="1:13" ht="15">
      <c r="A765" s="1894">
        <f t="shared" si="12"/>
        <v>35</v>
      </c>
      <c r="B765" s="1906" t="s">
        <v>568</v>
      </c>
      <c r="C765" s="1907" t="s">
        <v>524</v>
      </c>
      <c r="D765" s="1906" t="s">
        <v>541</v>
      </c>
      <c r="E765" s="1907" t="s">
        <v>271</v>
      </c>
      <c r="F765" s="1906">
        <v>22222</v>
      </c>
      <c r="G765" s="1897">
        <v>0.84672846728467288</v>
      </c>
      <c r="H765" s="1897">
        <v>4.7520475204752048E-2</v>
      </c>
      <c r="I765" s="1897">
        <v>0.73656736567365677</v>
      </c>
      <c r="J765" s="1897">
        <v>0.86184861848618488</v>
      </c>
      <c r="K765" s="1897">
        <v>0.81648816488164877</v>
      </c>
      <c r="L765" s="1897">
        <v>0.76680766807668077</v>
      </c>
      <c r="M765" s="1897">
        <v>0.67932679326793266</v>
      </c>
    </row>
    <row r="766" spans="1:13" ht="15">
      <c r="A766" s="1894">
        <f t="shared" si="12"/>
        <v>36</v>
      </c>
      <c r="B766" s="1906" t="s">
        <v>619</v>
      </c>
      <c r="C766" s="1907" t="s">
        <v>524</v>
      </c>
      <c r="D766" s="1906" t="s">
        <v>602</v>
      </c>
      <c r="E766" s="1907" t="s">
        <v>271</v>
      </c>
      <c r="F766" s="1906">
        <v>22500</v>
      </c>
      <c r="G766" s="1897">
        <v>0.90880000000000005</v>
      </c>
      <c r="H766" s="1897">
        <v>0.91520000000000001</v>
      </c>
      <c r="I766" s="1897">
        <v>0.8746666666666667</v>
      </c>
      <c r="J766" s="1897">
        <v>1.0047999999999999</v>
      </c>
      <c r="K766" s="1897">
        <v>0.84053333333333335</v>
      </c>
      <c r="L766" s="1897">
        <v>0.86613333333333331</v>
      </c>
      <c r="M766" s="1897">
        <v>0.90168888888888887</v>
      </c>
    </row>
    <row r="767" spans="1:13" ht="15">
      <c r="A767" s="1894">
        <f t="shared" si="12"/>
        <v>37</v>
      </c>
      <c r="B767" s="1906" t="s">
        <v>615</v>
      </c>
      <c r="C767" s="1907" t="s">
        <v>524</v>
      </c>
      <c r="D767" s="1906" t="s">
        <v>602</v>
      </c>
      <c r="E767" s="1907" t="s">
        <v>271</v>
      </c>
      <c r="F767" s="1906">
        <v>26000</v>
      </c>
      <c r="G767" s="1897">
        <v>1.1160000000000001</v>
      </c>
      <c r="H767" s="1897">
        <v>1.012</v>
      </c>
      <c r="I767" s="1897">
        <v>1.012</v>
      </c>
      <c r="J767" s="1897">
        <v>0.96199999999999997</v>
      </c>
      <c r="K767" s="1897">
        <v>0.99692307692307691</v>
      </c>
      <c r="L767" s="1897">
        <v>0.84553846153846157</v>
      </c>
      <c r="M767" s="1897">
        <v>0.99074358974358978</v>
      </c>
    </row>
    <row r="768" spans="1:13" ht="15">
      <c r="A768" s="1894">
        <f t="shared" si="12"/>
        <v>38</v>
      </c>
      <c r="B768" s="1906" t="s">
        <v>585</v>
      </c>
      <c r="C768" s="1907" t="s">
        <v>524</v>
      </c>
      <c r="D768" s="1906" t="s">
        <v>541</v>
      </c>
      <c r="E768" s="1907" t="s">
        <v>271</v>
      </c>
      <c r="F768" s="1906">
        <v>27000</v>
      </c>
      <c r="G768" s="1897">
        <v>0.82275555555555557</v>
      </c>
      <c r="H768" s="1897">
        <v>0.83733333333333337</v>
      </c>
      <c r="I768" s="1897">
        <v>0.81688888888888889</v>
      </c>
      <c r="J768" s="1897">
        <v>0.86133333333333328</v>
      </c>
      <c r="K768" s="1897">
        <v>0.88177777777777777</v>
      </c>
      <c r="L768" s="1897">
        <v>0.84888888888888892</v>
      </c>
      <c r="M768" s="1897">
        <v>0.84482962962962971</v>
      </c>
    </row>
    <row r="769" spans="1:13" ht="15">
      <c r="A769" s="1894">
        <f t="shared" si="12"/>
        <v>39</v>
      </c>
      <c r="B769" s="1906" t="s">
        <v>544</v>
      </c>
      <c r="C769" s="1907" t="s">
        <v>524</v>
      </c>
      <c r="D769" s="1906" t="s">
        <v>541</v>
      </c>
      <c r="E769" s="1907" t="s">
        <v>271</v>
      </c>
      <c r="F769" s="1906">
        <v>35000</v>
      </c>
      <c r="G769" s="1897">
        <v>0.95485714285714285</v>
      </c>
      <c r="H769" s="1897">
        <v>0.94114285714285717</v>
      </c>
      <c r="I769" s="1897">
        <v>0.74742857142857144</v>
      </c>
      <c r="J769" s="1897">
        <v>0.75942857142857145</v>
      </c>
      <c r="K769" s="1897">
        <v>0.74399999999999999</v>
      </c>
      <c r="L769" s="1897">
        <v>0.8194285714285714</v>
      </c>
      <c r="M769" s="1897">
        <v>0.82771428571428574</v>
      </c>
    </row>
    <row r="770" spans="1:13" ht="15">
      <c r="A770" s="1894">
        <f t="shared" si="12"/>
        <v>40</v>
      </c>
      <c r="B770" s="1906" t="s">
        <v>534</v>
      </c>
      <c r="C770" s="1907" t="s">
        <v>524</v>
      </c>
      <c r="D770" s="1906" t="s">
        <v>535</v>
      </c>
      <c r="E770" s="1907" t="s">
        <v>271</v>
      </c>
      <c r="F770" s="1906">
        <v>44000</v>
      </c>
      <c r="G770" s="1897">
        <v>0.94744318181818177</v>
      </c>
      <c r="H770" s="1897">
        <v>3.5994772727272726</v>
      </c>
      <c r="I770" s="1897">
        <v>2.4921636363636361</v>
      </c>
      <c r="J770" s="1897">
        <v>1.2223181818181819</v>
      </c>
      <c r="K770" s="1897">
        <v>1.5191818181818182</v>
      </c>
      <c r="L770" s="1897">
        <v>1.9379181818181817</v>
      </c>
      <c r="M770" s="1897">
        <v>1.9530837121212121</v>
      </c>
    </row>
    <row r="771" spans="1:13" ht="15">
      <c r="A771" s="1894">
        <f t="shared" si="12"/>
        <v>41</v>
      </c>
      <c r="B771" s="1906" t="s">
        <v>552</v>
      </c>
      <c r="C771" s="1907" t="s">
        <v>524</v>
      </c>
      <c r="D771" s="1906" t="s">
        <v>541</v>
      </c>
      <c r="E771" s="1907" t="s">
        <v>271</v>
      </c>
      <c r="F771" s="1906">
        <v>50000</v>
      </c>
      <c r="G771" s="1897">
        <v>0.82079999999999997</v>
      </c>
      <c r="H771" s="1897">
        <v>0.7944</v>
      </c>
      <c r="I771" s="1897">
        <v>0.87960000000000005</v>
      </c>
      <c r="J771" s="1897">
        <v>0.76319999999999999</v>
      </c>
      <c r="K771" s="1897">
        <v>0.53039999999999998</v>
      </c>
      <c r="L771" s="1897">
        <v>0.89400000000000002</v>
      </c>
      <c r="M771" s="1897">
        <v>0.78040000000000009</v>
      </c>
    </row>
    <row r="772" spans="1:13" ht="15">
      <c r="A772" s="1894">
        <f t="shared" si="12"/>
        <v>42</v>
      </c>
      <c r="B772" s="1906" t="s">
        <v>562</v>
      </c>
      <c r="C772" s="1907" t="s">
        <v>524</v>
      </c>
      <c r="D772" s="1906" t="s">
        <v>541</v>
      </c>
      <c r="E772" s="1907" t="s">
        <v>271</v>
      </c>
      <c r="F772" s="1906">
        <v>56000</v>
      </c>
      <c r="G772" s="1897">
        <v>1.1648000000000001</v>
      </c>
      <c r="H772" s="1897">
        <v>1.1299999999999999</v>
      </c>
      <c r="I772" s="1897">
        <v>1.1507142857142858</v>
      </c>
      <c r="J772" s="1897">
        <v>1.1535428571428572</v>
      </c>
      <c r="K772" s="1897">
        <v>1.1494285714285715</v>
      </c>
      <c r="L772" s="1897">
        <v>0.99428571428571433</v>
      </c>
      <c r="M772" s="1897">
        <v>1.1237952380952383</v>
      </c>
    </row>
    <row r="773" spans="1:13" ht="15">
      <c r="A773" s="1894">
        <f t="shared" si="12"/>
        <v>43</v>
      </c>
      <c r="B773" s="1906" t="s">
        <v>540</v>
      </c>
      <c r="C773" s="1907" t="s">
        <v>524</v>
      </c>
      <c r="D773" s="1906" t="s">
        <v>541</v>
      </c>
      <c r="E773" s="1907" t="s">
        <v>271</v>
      </c>
      <c r="F773" s="1906">
        <v>110000</v>
      </c>
      <c r="G773" s="1897">
        <v>1.96</v>
      </c>
      <c r="H773" s="1897">
        <v>1.6964636363636363</v>
      </c>
      <c r="I773" s="1897">
        <v>1.7971163636363636</v>
      </c>
      <c r="J773" s="1897">
        <v>1.6270145454545455</v>
      </c>
      <c r="K773" s="1897">
        <v>1.6345781818181817</v>
      </c>
      <c r="L773" s="1897">
        <v>1.7047272727272726</v>
      </c>
      <c r="M773" s="1897">
        <v>1.7366499999999998</v>
      </c>
    </row>
    <row r="774" spans="1:13" ht="15">
      <c r="A774" s="1899">
        <f>+A773</f>
        <v>43</v>
      </c>
      <c r="B774" s="1900" t="s">
        <v>3531</v>
      </c>
      <c r="C774" s="1894"/>
      <c r="D774" s="1895"/>
      <c r="E774" s="1894"/>
      <c r="F774" s="1901">
        <f>SUM(F732:F773)</f>
        <v>810418</v>
      </c>
      <c r="G774" s="1902">
        <f>AVERAGE(G731:G773)</f>
        <v>0.99713250884384041</v>
      </c>
      <c r="H774" s="1902">
        <f t="shared" ref="H774:M774" si="14">AVERAGE(H731:H773)</f>
        <v>0.98907720101496199</v>
      </c>
      <c r="I774" s="1902">
        <f t="shared" si="14"/>
        <v>0.96572131283197737</v>
      </c>
      <c r="J774" s="1902">
        <f t="shared" si="14"/>
        <v>0.97569483592301098</v>
      </c>
      <c r="K774" s="1902">
        <f t="shared" si="14"/>
        <v>0.98955614868925534</v>
      </c>
      <c r="L774" s="1902">
        <f t="shared" si="14"/>
        <v>0.96708701045151391</v>
      </c>
      <c r="M774" s="1902">
        <f t="shared" si="14"/>
        <v>0.98071150295909337</v>
      </c>
    </row>
    <row r="775" spans="1:13" ht="15">
      <c r="A775" s="1899">
        <f>+A688+A730+A774</f>
        <v>46</v>
      </c>
      <c r="B775" s="1900" t="s">
        <v>282</v>
      </c>
      <c r="C775" s="1894"/>
      <c r="D775" s="1895"/>
      <c r="E775" s="1894"/>
      <c r="F775" s="1901">
        <f>+F684+F729+F774</f>
        <v>1121272.3900000001</v>
      </c>
      <c r="G775" s="1902">
        <f>AVERAGE(G731:G773,G686:G728,G8:G683)</f>
        <v>0.5961524206339669</v>
      </c>
      <c r="H775" s="1902">
        <f t="shared" ref="H775:M775" si="15">AVERAGE(H731:H773,H686:H728,H8:H683)</f>
        <v>0.62650351777073732</v>
      </c>
      <c r="I775" s="1902">
        <f t="shared" si="15"/>
        <v>0.616452297223677</v>
      </c>
      <c r="J775" s="1902">
        <f t="shared" si="15"/>
        <v>0.61419452881486702</v>
      </c>
      <c r="K775" s="1902">
        <f t="shared" si="15"/>
        <v>0.60582278891398489</v>
      </c>
      <c r="L775" s="1902">
        <f t="shared" si="15"/>
        <v>0.5833396988521129</v>
      </c>
      <c r="M775" s="1902">
        <f t="shared" si="15"/>
        <v>0.60707754203489084</v>
      </c>
    </row>
  </sheetData>
  <mergeCells count="7">
    <mergeCell ref="M5:M6"/>
    <mergeCell ref="A5:A6"/>
    <mergeCell ref="B5:B6"/>
    <mergeCell ref="C5:C6"/>
    <mergeCell ref="D5:D6"/>
    <mergeCell ref="E5:E6"/>
    <mergeCell ref="F5:F6"/>
  </mergeCells>
  <printOptions horizontalCentered="1" verticalCentered="1"/>
  <pageMargins left="0" right="0.11811023622047245" top="0.19685039370078741" bottom="0" header="0" footer="0"/>
  <pageSetup paperSize="9" scale="81"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8000"/>
  </sheetPr>
  <dimension ref="A1:DA742"/>
  <sheetViews>
    <sheetView view="pageBreakPreview" topLeftCell="CG1" zoomScale="80" zoomScaleNormal="100" zoomScaleSheetLayoutView="80" workbookViewId="0">
      <selection activeCell="DA14" sqref="DA14"/>
    </sheetView>
  </sheetViews>
  <sheetFormatPr defaultColWidth="9.140625" defaultRowHeight="12.75"/>
  <cols>
    <col min="1" max="1" width="13.140625" style="517" hidden="1" customWidth="1"/>
    <col min="2" max="2" width="7.7109375" style="1793" customWidth="1"/>
    <col min="3" max="3" width="39" style="517" customWidth="1"/>
    <col min="4" max="4" width="9.42578125" style="1793" customWidth="1"/>
    <col min="5" max="5" width="8.42578125" style="517" customWidth="1"/>
    <col min="6" max="6" width="9.42578125" style="1793" customWidth="1"/>
    <col min="7" max="7" width="11.140625" style="1793" customWidth="1"/>
    <col min="8" max="8" width="7" style="1793" customWidth="1"/>
    <col min="9" max="9" width="10.42578125" style="1793" customWidth="1"/>
    <col min="10" max="10" width="10.5703125" style="1793" customWidth="1"/>
    <col min="11" max="11" width="8.140625" style="1793" customWidth="1"/>
    <col min="12" max="12" width="9.85546875" style="1793" customWidth="1"/>
    <col min="13" max="15" width="11.140625" style="1793" customWidth="1"/>
    <col min="16" max="16" width="7.42578125" style="1793" customWidth="1"/>
    <col min="17" max="17" width="11.140625" style="1793" customWidth="1"/>
    <col min="18" max="18" width="10.28515625" style="1793" customWidth="1"/>
    <col min="19" max="19" width="9.7109375" style="1793" customWidth="1"/>
    <col min="20" max="20" width="10.28515625" style="1793" customWidth="1"/>
    <col min="21" max="23" width="11.140625" style="1793" customWidth="1"/>
    <col min="24" max="24" width="8.5703125" style="1793" customWidth="1"/>
    <col min="25" max="25" width="11.5703125" style="1793" customWidth="1"/>
    <col min="26" max="26" width="10.85546875" style="1793" customWidth="1"/>
    <col min="27" max="31" width="11.140625" style="1793" customWidth="1"/>
    <col min="32" max="32" width="8.5703125" style="1793" customWidth="1"/>
    <col min="33" max="33" width="11.140625" style="1793" customWidth="1"/>
    <col min="34" max="34" width="13" style="1793" customWidth="1"/>
    <col min="35" max="35" width="9.7109375" style="1793" customWidth="1"/>
    <col min="36" max="36" width="10.5703125" style="1793" customWidth="1"/>
    <col min="37" max="39" width="11.140625" style="1793" customWidth="1"/>
    <col min="40" max="40" width="8.42578125" style="1793" customWidth="1"/>
    <col min="41" max="41" width="13.42578125" style="1793" customWidth="1"/>
    <col min="42" max="42" width="12.140625" style="1793" customWidth="1"/>
    <col min="43" max="47" width="11.140625" style="1793" customWidth="1"/>
    <col min="48" max="48" width="8.5703125" style="1793" customWidth="1"/>
    <col min="49" max="49" width="13" style="1793" customWidth="1"/>
    <col min="50" max="50" width="12.5703125" style="1793" customWidth="1"/>
    <col min="51" max="55" width="11.140625" style="1793" customWidth="1"/>
    <col min="56" max="56" width="8.5703125" style="1793" customWidth="1"/>
    <col min="57" max="63" width="11.140625" style="1793" customWidth="1"/>
    <col min="64" max="64" width="8.140625" style="1793" customWidth="1"/>
    <col min="65" max="71" width="11.140625" style="1793" customWidth="1"/>
    <col min="72" max="72" width="7.7109375" style="1793" customWidth="1"/>
    <col min="73" max="79" width="11.140625" style="1793" customWidth="1"/>
    <col min="80" max="80" width="7.140625" style="1793" customWidth="1"/>
    <col min="81" max="87" width="11.140625" style="1793" customWidth="1"/>
    <col min="88" max="88" width="7" style="1793" customWidth="1"/>
    <col min="89" max="95" width="11.140625" style="1793" customWidth="1"/>
    <col min="96" max="96" width="7.140625" style="1793" customWidth="1"/>
    <col min="97" max="103" width="11.140625" style="1793" customWidth="1"/>
    <col min="104" max="16384" width="9.140625" style="517"/>
  </cols>
  <sheetData>
    <row r="1" spans="1:105" ht="15">
      <c r="A1" s="1908"/>
      <c r="B1" s="1909" t="s">
        <v>506</v>
      </c>
      <c r="C1" s="1910"/>
      <c r="D1" s="1911"/>
      <c r="E1" s="1910"/>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c r="AR1" s="1911"/>
      <c r="AS1" s="1911"/>
      <c r="AT1" s="1911"/>
      <c r="AU1" s="1911"/>
      <c r="AV1" s="1911"/>
      <c r="AW1" s="1911"/>
      <c r="AX1" s="1911"/>
      <c r="AY1" s="1911"/>
      <c r="AZ1" s="1911"/>
      <c r="BA1" s="1911"/>
      <c r="BB1" s="1911"/>
      <c r="BC1" s="1911"/>
      <c r="BD1" s="1911"/>
      <c r="BE1" s="1911"/>
      <c r="BF1" s="1911"/>
      <c r="BG1" s="1911"/>
      <c r="BH1" s="1911"/>
      <c r="BI1" s="1911"/>
      <c r="BJ1" s="1911"/>
      <c r="BK1" s="1911"/>
      <c r="BL1" s="1911"/>
      <c r="BM1" s="1911"/>
      <c r="BN1" s="1911"/>
      <c r="BO1" s="1911"/>
      <c r="BP1" s="1911"/>
      <c r="BQ1" s="1911"/>
      <c r="BR1" s="1911"/>
      <c r="BS1" s="1911"/>
      <c r="BT1" s="1911"/>
      <c r="BU1" s="1911"/>
      <c r="BV1" s="1911"/>
      <c r="BW1" s="1911"/>
      <c r="BX1" s="1911"/>
      <c r="BY1" s="1911"/>
      <c r="BZ1" s="1911"/>
      <c r="CA1" s="1911"/>
      <c r="CB1" s="1911"/>
      <c r="CC1" s="1911"/>
      <c r="CD1" s="1911"/>
      <c r="CE1" s="1911"/>
      <c r="CF1" s="1911"/>
      <c r="CG1" s="1911"/>
      <c r="CH1" s="1911"/>
      <c r="CI1" s="1911"/>
      <c r="CJ1" s="1911"/>
      <c r="CK1" s="1911"/>
      <c r="CL1" s="1911"/>
      <c r="CM1" s="1911"/>
      <c r="CN1" s="1911"/>
      <c r="CO1" s="1911"/>
      <c r="CP1" s="1911"/>
      <c r="CQ1" s="1911"/>
      <c r="CR1" s="1911"/>
      <c r="CS1" s="1911"/>
      <c r="CT1" s="1911"/>
      <c r="CU1" s="1911"/>
      <c r="CV1" s="1911"/>
      <c r="CW1" s="1911"/>
      <c r="CX1" s="1911"/>
      <c r="CY1" s="1911"/>
    </row>
    <row r="2" spans="1:105" ht="15">
      <c r="A2" s="1908"/>
      <c r="B2" s="1909" t="s">
        <v>3610</v>
      </c>
      <c r="C2" s="1910"/>
      <c r="D2" s="1911"/>
      <c r="E2" s="1910"/>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c r="AR2" s="1911"/>
      <c r="AS2" s="1911"/>
      <c r="AT2" s="1911"/>
      <c r="AU2" s="1911"/>
      <c r="AV2" s="1911"/>
      <c r="AW2" s="1911"/>
      <c r="AX2" s="1911"/>
      <c r="AY2" s="1911"/>
      <c r="AZ2" s="1911"/>
      <c r="BA2" s="1911"/>
      <c r="BB2" s="1911"/>
      <c r="BC2" s="1911"/>
      <c r="BD2" s="1911"/>
      <c r="BE2" s="1911"/>
      <c r="BF2" s="1911"/>
      <c r="BG2" s="1911"/>
      <c r="BH2" s="1911"/>
      <c r="BI2" s="1911"/>
      <c r="BJ2" s="1911"/>
      <c r="BK2" s="1911"/>
      <c r="BL2" s="1911"/>
      <c r="BM2" s="1911"/>
      <c r="BN2" s="1911"/>
      <c r="BO2" s="1911"/>
      <c r="BP2" s="1911"/>
      <c r="BQ2" s="1911"/>
      <c r="BR2" s="1911"/>
      <c r="BS2" s="1911"/>
      <c r="BT2" s="1911"/>
      <c r="BU2" s="1911"/>
      <c r="BV2" s="1911"/>
      <c r="BW2" s="1911"/>
      <c r="BX2" s="1911"/>
      <c r="BY2" s="1911"/>
      <c r="BZ2" s="1911"/>
      <c r="CA2" s="1911"/>
      <c r="CB2" s="1911"/>
      <c r="CC2" s="1911"/>
      <c r="CD2" s="1911"/>
      <c r="CE2" s="1911"/>
      <c r="CF2" s="1911"/>
      <c r="CG2" s="1911"/>
      <c r="CH2" s="1911"/>
      <c r="CI2" s="1911"/>
      <c r="CJ2" s="1911"/>
      <c r="CK2" s="1911"/>
      <c r="CL2" s="1911"/>
      <c r="CM2" s="1911"/>
      <c r="CN2" s="1911"/>
      <c r="CO2" s="1911"/>
      <c r="CP2" s="1911"/>
      <c r="CQ2" s="1911"/>
      <c r="CR2" s="1911"/>
      <c r="CS2" s="1911"/>
      <c r="CT2" s="1911"/>
      <c r="CU2" s="1911"/>
      <c r="CV2" s="1911"/>
      <c r="CW2" s="1911"/>
      <c r="CX2" s="1911"/>
      <c r="CY2" s="1911"/>
    </row>
    <row r="3" spans="1:105" ht="15">
      <c r="A3" s="1908"/>
      <c r="B3" s="1909" t="s">
        <v>3611</v>
      </c>
      <c r="C3" s="1910"/>
      <c r="D3" s="1911"/>
      <c r="E3" s="1910"/>
      <c r="F3" s="1911"/>
      <c r="G3" s="1911"/>
      <c r="H3" s="1911"/>
      <c r="I3" s="1911"/>
      <c r="J3" s="1911"/>
      <c r="K3" s="1911"/>
      <c r="L3" s="1911"/>
      <c r="M3" s="1911"/>
      <c r="N3" s="1911"/>
      <c r="O3" s="1911"/>
      <c r="P3" s="1911"/>
      <c r="Q3" s="1911"/>
      <c r="R3" s="1911"/>
      <c r="S3" s="1911"/>
      <c r="T3" s="1911"/>
      <c r="U3" s="1911"/>
      <c r="V3" s="1911"/>
      <c r="W3" s="1911"/>
      <c r="X3" s="1911"/>
      <c r="Y3" s="1911"/>
      <c r="Z3" s="1911"/>
      <c r="AA3" s="1911"/>
      <c r="AB3" s="1911"/>
      <c r="AC3" s="1911"/>
      <c r="AD3" s="1911"/>
      <c r="AE3" s="1911"/>
      <c r="AF3" s="1911"/>
      <c r="AG3" s="1911"/>
      <c r="AH3" s="1911"/>
      <c r="AI3" s="1911"/>
      <c r="AJ3" s="1911"/>
      <c r="AK3" s="1911"/>
      <c r="AL3" s="1911"/>
      <c r="AM3" s="1911"/>
      <c r="AN3" s="1911"/>
      <c r="AO3" s="1911"/>
      <c r="AP3" s="1911"/>
      <c r="AQ3" s="1911"/>
      <c r="AR3" s="1911"/>
      <c r="AS3" s="1911"/>
      <c r="AT3" s="1911"/>
      <c r="AU3" s="1911"/>
      <c r="AV3" s="1911"/>
      <c r="AW3" s="1911"/>
      <c r="AX3" s="1911"/>
      <c r="AY3" s="1911"/>
      <c r="AZ3" s="1911"/>
      <c r="BA3" s="1911"/>
      <c r="BB3" s="1911"/>
      <c r="BC3" s="1911"/>
      <c r="BD3" s="1911"/>
      <c r="BE3" s="1911"/>
      <c r="BF3" s="1911"/>
      <c r="BG3" s="1911"/>
      <c r="BH3" s="1911"/>
      <c r="BI3" s="1911"/>
      <c r="BJ3" s="1911"/>
      <c r="BK3" s="1911"/>
      <c r="BL3" s="1911"/>
      <c r="BM3" s="1911"/>
      <c r="BN3" s="1911"/>
      <c r="BO3" s="1911"/>
      <c r="BP3" s="1911"/>
      <c r="BQ3" s="1911"/>
      <c r="BR3" s="1911"/>
      <c r="BS3" s="1911"/>
      <c r="BT3" s="1911"/>
      <c r="BU3" s="1911"/>
      <c r="BV3" s="1911"/>
      <c r="BW3" s="1911"/>
      <c r="BX3" s="1911"/>
      <c r="BY3" s="1911"/>
      <c r="BZ3" s="1911"/>
      <c r="CA3" s="1911"/>
      <c r="CB3" s="1911"/>
      <c r="CC3" s="1911"/>
      <c r="CD3" s="1911"/>
      <c r="CE3" s="1911"/>
      <c r="CF3" s="1911"/>
      <c r="CG3" s="1911"/>
      <c r="CH3" s="1911"/>
      <c r="CI3" s="1911"/>
      <c r="CJ3" s="1911"/>
      <c r="CK3" s="1911"/>
      <c r="CL3" s="1911"/>
      <c r="CM3" s="1911"/>
      <c r="CN3" s="1911"/>
      <c r="CO3" s="1911"/>
      <c r="CP3" s="1911"/>
      <c r="CQ3" s="1911"/>
      <c r="CR3" s="1911"/>
      <c r="CS3" s="1911"/>
      <c r="CT3" s="1911"/>
      <c r="CU3" s="1911"/>
      <c r="CV3" s="1911"/>
      <c r="CW3" s="1911"/>
      <c r="CX3" s="1911"/>
      <c r="CY3" s="1911"/>
    </row>
    <row r="4" spans="1:105" ht="15">
      <c r="A4" s="982"/>
      <c r="B4" s="1912"/>
      <c r="C4" s="1913"/>
      <c r="D4" s="1912"/>
      <c r="E4" s="1913"/>
      <c r="F4" s="1912"/>
      <c r="G4" s="1912"/>
      <c r="H4" s="2783" t="s">
        <v>3612</v>
      </c>
      <c r="I4" s="2784"/>
      <c r="J4" s="2784"/>
      <c r="K4" s="2784"/>
      <c r="L4" s="2784"/>
      <c r="M4" s="2784"/>
      <c r="N4" s="2784"/>
      <c r="O4" s="2784"/>
      <c r="P4" s="2781" t="s">
        <v>3613</v>
      </c>
      <c r="Q4" s="2781"/>
      <c r="R4" s="2781"/>
      <c r="S4" s="2781"/>
      <c r="T4" s="2781"/>
      <c r="U4" s="2781"/>
      <c r="V4" s="2781"/>
      <c r="W4" s="2781"/>
      <c r="X4" s="2781" t="s">
        <v>3614</v>
      </c>
      <c r="Y4" s="2781"/>
      <c r="Z4" s="2781"/>
      <c r="AA4" s="2781"/>
      <c r="AB4" s="2781"/>
      <c r="AC4" s="2781"/>
      <c r="AD4" s="2781"/>
      <c r="AE4" s="2781"/>
      <c r="AF4" s="2781" t="s">
        <v>3615</v>
      </c>
      <c r="AG4" s="2781"/>
      <c r="AH4" s="2781"/>
      <c r="AI4" s="2781"/>
      <c r="AJ4" s="2781"/>
      <c r="AK4" s="2781"/>
      <c r="AL4" s="2781"/>
      <c r="AM4" s="2781"/>
      <c r="AN4" s="2781" t="s">
        <v>3616</v>
      </c>
      <c r="AO4" s="2781"/>
      <c r="AP4" s="2781"/>
      <c r="AQ4" s="2781"/>
      <c r="AR4" s="2781"/>
      <c r="AS4" s="2781"/>
      <c r="AT4" s="2781"/>
      <c r="AU4" s="2781"/>
      <c r="AV4" s="2781" t="s">
        <v>3617</v>
      </c>
      <c r="AW4" s="2781"/>
      <c r="AX4" s="2781"/>
      <c r="AY4" s="2781"/>
      <c r="AZ4" s="2781"/>
      <c r="BA4" s="2781"/>
      <c r="BB4" s="2781"/>
      <c r="BC4" s="2781"/>
      <c r="BD4" s="2781" t="s">
        <v>3618</v>
      </c>
      <c r="BE4" s="2781"/>
      <c r="BF4" s="2781"/>
      <c r="BG4" s="2781"/>
      <c r="BH4" s="2781"/>
      <c r="BI4" s="2781"/>
      <c r="BJ4" s="2781"/>
      <c r="BK4" s="2781"/>
      <c r="BL4" s="2781" t="s">
        <v>3619</v>
      </c>
      <c r="BM4" s="2781"/>
      <c r="BN4" s="2781"/>
      <c r="BO4" s="2781"/>
      <c r="BP4" s="2781"/>
      <c r="BQ4" s="2781"/>
      <c r="BR4" s="2781"/>
      <c r="BS4" s="2781"/>
      <c r="BT4" s="2781" t="s">
        <v>3620</v>
      </c>
      <c r="BU4" s="2781"/>
      <c r="BV4" s="2781"/>
      <c r="BW4" s="2781"/>
      <c r="BX4" s="2781"/>
      <c r="BY4" s="2781"/>
      <c r="BZ4" s="2781"/>
      <c r="CA4" s="2781"/>
      <c r="CB4" s="2781" t="s">
        <v>3621</v>
      </c>
      <c r="CC4" s="2781"/>
      <c r="CD4" s="2781"/>
      <c r="CE4" s="2781"/>
      <c r="CF4" s="2781"/>
      <c r="CG4" s="2781"/>
      <c r="CH4" s="2781"/>
      <c r="CI4" s="2781"/>
      <c r="CJ4" s="2781" t="s">
        <v>3622</v>
      </c>
      <c r="CK4" s="2781"/>
      <c r="CL4" s="2781"/>
      <c r="CM4" s="2781"/>
      <c r="CN4" s="2781"/>
      <c r="CO4" s="2781"/>
      <c r="CP4" s="2781"/>
      <c r="CQ4" s="2781"/>
      <c r="CR4" s="2781" t="s">
        <v>3623</v>
      </c>
      <c r="CS4" s="2781"/>
      <c r="CT4" s="2781"/>
      <c r="CU4" s="2781"/>
      <c r="CV4" s="2781"/>
      <c r="CW4" s="2781"/>
      <c r="CX4" s="2781"/>
      <c r="CY4" s="2782"/>
    </row>
    <row r="5" spans="1:105" ht="45">
      <c r="A5" s="982" t="s">
        <v>3624</v>
      </c>
      <c r="B5" s="1914" t="s">
        <v>376</v>
      </c>
      <c r="C5" s="1915" t="s">
        <v>3625</v>
      </c>
      <c r="D5" s="1916" t="s">
        <v>2900</v>
      </c>
      <c r="E5" s="1916" t="s">
        <v>512</v>
      </c>
      <c r="F5" s="1916" t="s">
        <v>497</v>
      </c>
      <c r="G5" s="1916" t="s">
        <v>3626</v>
      </c>
      <c r="H5" s="1916" t="s">
        <v>3627</v>
      </c>
      <c r="I5" s="1916" t="s">
        <v>3628</v>
      </c>
      <c r="J5" s="1916" t="s">
        <v>3629</v>
      </c>
      <c r="K5" s="1916" t="s">
        <v>1867</v>
      </c>
      <c r="L5" s="1917" t="s">
        <v>3630</v>
      </c>
      <c r="M5" s="1916" t="s">
        <v>3631</v>
      </c>
      <c r="N5" s="1918" t="s">
        <v>3632</v>
      </c>
      <c r="O5" s="1916" t="s">
        <v>3633</v>
      </c>
      <c r="P5" s="1916" t="s">
        <v>3627</v>
      </c>
      <c r="Q5" s="1916" t="s">
        <v>3628</v>
      </c>
      <c r="R5" s="1916" t="s">
        <v>3629</v>
      </c>
      <c r="S5" s="1916" t="s">
        <v>1867</v>
      </c>
      <c r="T5" s="1917" t="s">
        <v>3630</v>
      </c>
      <c r="U5" s="1916" t="s">
        <v>3631</v>
      </c>
      <c r="V5" s="1918" t="s">
        <v>3632</v>
      </c>
      <c r="W5" s="1916" t="s">
        <v>3633</v>
      </c>
      <c r="X5" s="1916" t="s">
        <v>3627</v>
      </c>
      <c r="Y5" s="1916" t="s">
        <v>3628</v>
      </c>
      <c r="Z5" s="1916" t="s">
        <v>3629</v>
      </c>
      <c r="AA5" s="1916" t="s">
        <v>1867</v>
      </c>
      <c r="AB5" s="1917" t="s">
        <v>3630</v>
      </c>
      <c r="AC5" s="1916" t="s">
        <v>3631</v>
      </c>
      <c r="AD5" s="1918" t="s">
        <v>3632</v>
      </c>
      <c r="AE5" s="1916" t="s">
        <v>3633</v>
      </c>
      <c r="AF5" s="1916" t="s">
        <v>3627</v>
      </c>
      <c r="AG5" s="1916" t="s">
        <v>3628</v>
      </c>
      <c r="AH5" s="1916" t="s">
        <v>3629</v>
      </c>
      <c r="AI5" s="1916" t="s">
        <v>1867</v>
      </c>
      <c r="AJ5" s="1917" t="s">
        <v>3630</v>
      </c>
      <c r="AK5" s="1916" t="s">
        <v>3631</v>
      </c>
      <c r="AL5" s="1918" t="s">
        <v>3632</v>
      </c>
      <c r="AM5" s="1916" t="s">
        <v>3633</v>
      </c>
      <c r="AN5" s="1916" t="s">
        <v>3627</v>
      </c>
      <c r="AO5" s="1916" t="s">
        <v>3628</v>
      </c>
      <c r="AP5" s="1916" t="s">
        <v>3629</v>
      </c>
      <c r="AQ5" s="1916" t="s">
        <v>1867</v>
      </c>
      <c r="AR5" s="1917" t="s">
        <v>3630</v>
      </c>
      <c r="AS5" s="1916" t="s">
        <v>3631</v>
      </c>
      <c r="AT5" s="1918" t="s">
        <v>3632</v>
      </c>
      <c r="AU5" s="1916" t="s">
        <v>3633</v>
      </c>
      <c r="AV5" s="1916" t="s">
        <v>3627</v>
      </c>
      <c r="AW5" s="1916" t="s">
        <v>3628</v>
      </c>
      <c r="AX5" s="1916" t="s">
        <v>3629</v>
      </c>
      <c r="AY5" s="1916" t="s">
        <v>1867</v>
      </c>
      <c r="AZ5" s="1917" t="s">
        <v>3630</v>
      </c>
      <c r="BA5" s="1916" t="s">
        <v>3631</v>
      </c>
      <c r="BB5" s="1918" t="s">
        <v>3632</v>
      </c>
      <c r="BC5" s="1916" t="s">
        <v>3633</v>
      </c>
      <c r="BD5" s="1916" t="s">
        <v>3627</v>
      </c>
      <c r="BE5" s="1916" t="s">
        <v>3628</v>
      </c>
      <c r="BF5" s="1916" t="s">
        <v>3629</v>
      </c>
      <c r="BG5" s="1916" t="s">
        <v>1867</v>
      </c>
      <c r="BH5" s="1917" t="s">
        <v>3630</v>
      </c>
      <c r="BI5" s="1916" t="s">
        <v>3631</v>
      </c>
      <c r="BJ5" s="1918" t="s">
        <v>3632</v>
      </c>
      <c r="BK5" s="1916" t="s">
        <v>3633</v>
      </c>
      <c r="BL5" s="1916" t="s">
        <v>3627</v>
      </c>
      <c r="BM5" s="1916" t="s">
        <v>3628</v>
      </c>
      <c r="BN5" s="1916" t="s">
        <v>3629</v>
      </c>
      <c r="BO5" s="1916" t="s">
        <v>1867</v>
      </c>
      <c r="BP5" s="1917" t="s">
        <v>3630</v>
      </c>
      <c r="BQ5" s="1916" t="s">
        <v>3631</v>
      </c>
      <c r="BR5" s="1918" t="s">
        <v>3632</v>
      </c>
      <c r="BS5" s="1916" t="s">
        <v>3633</v>
      </c>
      <c r="BT5" s="1916" t="s">
        <v>3627</v>
      </c>
      <c r="BU5" s="1916" t="s">
        <v>3628</v>
      </c>
      <c r="BV5" s="1916" t="s">
        <v>3629</v>
      </c>
      <c r="BW5" s="1916" t="s">
        <v>1867</v>
      </c>
      <c r="BX5" s="1917" t="s">
        <v>3630</v>
      </c>
      <c r="BY5" s="1916" t="s">
        <v>3631</v>
      </c>
      <c r="BZ5" s="1918" t="s">
        <v>3632</v>
      </c>
      <c r="CA5" s="1916" t="s">
        <v>3633</v>
      </c>
      <c r="CB5" s="1916" t="s">
        <v>3627</v>
      </c>
      <c r="CC5" s="1916" t="s">
        <v>3628</v>
      </c>
      <c r="CD5" s="1916" t="s">
        <v>3629</v>
      </c>
      <c r="CE5" s="1916" t="s">
        <v>1867</v>
      </c>
      <c r="CF5" s="1917" t="s">
        <v>3630</v>
      </c>
      <c r="CG5" s="1916" t="s">
        <v>3631</v>
      </c>
      <c r="CH5" s="1918" t="s">
        <v>3632</v>
      </c>
      <c r="CI5" s="1916" t="s">
        <v>3633</v>
      </c>
      <c r="CJ5" s="1916" t="s">
        <v>3627</v>
      </c>
      <c r="CK5" s="1916" t="s">
        <v>3628</v>
      </c>
      <c r="CL5" s="1916" t="s">
        <v>3629</v>
      </c>
      <c r="CM5" s="1916" t="s">
        <v>1867</v>
      </c>
      <c r="CN5" s="1917" t="s">
        <v>3630</v>
      </c>
      <c r="CO5" s="1916" t="s">
        <v>3631</v>
      </c>
      <c r="CP5" s="1918" t="s">
        <v>3632</v>
      </c>
      <c r="CQ5" s="1916" t="s">
        <v>3633</v>
      </c>
      <c r="CR5" s="1916" t="s">
        <v>3627</v>
      </c>
      <c r="CS5" s="1916" t="s">
        <v>3628</v>
      </c>
      <c r="CT5" s="1916" t="s">
        <v>3629</v>
      </c>
      <c r="CU5" s="1916" t="s">
        <v>1867</v>
      </c>
      <c r="CV5" s="1917" t="s">
        <v>3630</v>
      </c>
      <c r="CW5" s="1916" t="s">
        <v>3631</v>
      </c>
      <c r="CX5" s="1918" t="s">
        <v>3632</v>
      </c>
      <c r="CY5" s="1916" t="s">
        <v>3633</v>
      </c>
    </row>
    <row r="6" spans="1:105" ht="15">
      <c r="A6" s="982"/>
      <c r="B6" s="1919"/>
      <c r="C6" s="1891" t="s">
        <v>2904</v>
      </c>
      <c r="D6" s="1920"/>
      <c r="E6" s="1920"/>
      <c r="F6" s="1920"/>
      <c r="G6" s="1920"/>
      <c r="H6" s="1920"/>
      <c r="I6" s="1920"/>
      <c r="J6" s="1920"/>
      <c r="K6" s="1920"/>
      <c r="L6" s="1921"/>
      <c r="M6" s="1920"/>
      <c r="N6" s="1922"/>
      <c r="O6" s="1920"/>
      <c r="P6" s="1920"/>
      <c r="Q6" s="1920"/>
      <c r="R6" s="1920"/>
      <c r="S6" s="1920"/>
      <c r="T6" s="1921"/>
      <c r="U6" s="1920"/>
      <c r="V6" s="1922"/>
      <c r="W6" s="1920"/>
      <c r="X6" s="1920"/>
      <c r="Y6" s="1920"/>
      <c r="Z6" s="1920"/>
      <c r="AA6" s="1920"/>
      <c r="AB6" s="1921"/>
      <c r="AC6" s="1920"/>
      <c r="AD6" s="1922"/>
      <c r="AE6" s="1920"/>
      <c r="AF6" s="1920"/>
      <c r="AG6" s="1920"/>
      <c r="AH6" s="1920"/>
      <c r="AI6" s="1920"/>
      <c r="AJ6" s="1921"/>
      <c r="AK6" s="1920"/>
      <c r="AL6" s="1922"/>
      <c r="AM6" s="1920"/>
      <c r="AN6" s="1920"/>
      <c r="AO6" s="1920"/>
      <c r="AP6" s="1920"/>
      <c r="AQ6" s="1920"/>
      <c r="AR6" s="1921"/>
      <c r="AS6" s="1920"/>
      <c r="AT6" s="1922"/>
      <c r="AU6" s="1920"/>
      <c r="AV6" s="1920"/>
      <c r="AW6" s="1920"/>
      <c r="AX6" s="1920"/>
      <c r="AY6" s="1920"/>
      <c r="AZ6" s="1921"/>
      <c r="BA6" s="1920"/>
      <c r="BB6" s="1922"/>
      <c r="BC6" s="1920"/>
      <c r="BD6" s="1920"/>
      <c r="BE6" s="1920"/>
      <c r="BF6" s="1920"/>
      <c r="BG6" s="1920"/>
      <c r="BH6" s="1921"/>
      <c r="BI6" s="1920"/>
      <c r="BJ6" s="1922"/>
      <c r="BK6" s="1920"/>
      <c r="BL6" s="1920"/>
      <c r="BM6" s="1920"/>
      <c r="BN6" s="1920"/>
      <c r="BO6" s="1920"/>
      <c r="BP6" s="1921"/>
      <c r="BQ6" s="1920"/>
      <c r="BR6" s="1922"/>
      <c r="BS6" s="1920"/>
      <c r="BT6" s="1920"/>
      <c r="BU6" s="1920"/>
      <c r="BV6" s="1920"/>
      <c r="BW6" s="1920"/>
      <c r="BX6" s="1921"/>
      <c r="BY6" s="1920"/>
      <c r="BZ6" s="1922"/>
      <c r="CA6" s="1920"/>
      <c r="CB6" s="1920"/>
      <c r="CC6" s="1920"/>
      <c r="CD6" s="1920"/>
      <c r="CE6" s="1920"/>
      <c r="CF6" s="1921"/>
      <c r="CG6" s="1920"/>
      <c r="CH6" s="1922"/>
      <c r="CI6" s="1920"/>
      <c r="CJ6" s="1920"/>
      <c r="CK6" s="1920"/>
      <c r="CL6" s="1920"/>
      <c r="CM6" s="1920"/>
      <c r="CN6" s="1921"/>
      <c r="CO6" s="1920"/>
      <c r="CP6" s="1922"/>
      <c r="CQ6" s="1920"/>
      <c r="CR6" s="1920"/>
      <c r="CS6" s="1920"/>
      <c r="CT6" s="1920"/>
      <c r="CU6" s="1920"/>
      <c r="CV6" s="1921"/>
      <c r="CW6" s="1920"/>
      <c r="CX6" s="1922"/>
      <c r="CY6" s="1920"/>
    </row>
    <row r="7" spans="1:105">
      <c r="A7" s="982">
        <v>611000000120</v>
      </c>
      <c r="B7" s="1923">
        <v>1</v>
      </c>
      <c r="C7" s="1895" t="s">
        <v>2905</v>
      </c>
      <c r="D7" s="1894" t="s">
        <v>524</v>
      </c>
      <c r="E7" s="1895" t="s">
        <v>737</v>
      </c>
      <c r="F7" s="1894" t="s">
        <v>232</v>
      </c>
      <c r="G7" s="1924">
        <v>110</v>
      </c>
      <c r="H7" s="1894">
        <v>0</v>
      </c>
      <c r="I7" s="1894">
        <v>0</v>
      </c>
      <c r="J7" s="1894">
        <v>0</v>
      </c>
      <c r="K7" s="1894">
        <v>0</v>
      </c>
      <c r="L7" s="1894">
        <v>0</v>
      </c>
      <c r="M7" s="1894">
        <v>0</v>
      </c>
      <c r="N7" s="1894">
        <f t="shared" ref="N7:N70" si="0">+ROUND((24*30*0.6*I7),0)</f>
        <v>0</v>
      </c>
      <c r="O7" s="1894">
        <f t="shared" ref="O7:O70" si="1">+MAX((M7-N7),0)</f>
        <v>0</v>
      </c>
      <c r="P7" s="1894">
        <v>0</v>
      </c>
      <c r="Q7" s="1894">
        <v>0</v>
      </c>
      <c r="R7" s="1894">
        <v>0</v>
      </c>
      <c r="S7" s="1894">
        <v>0</v>
      </c>
      <c r="T7" s="1894">
        <v>0</v>
      </c>
      <c r="U7" s="1894">
        <v>0</v>
      </c>
      <c r="V7" s="1894">
        <f t="shared" ref="V7:V70" si="2">+ROUND((24*31*0.6*Q7),0)</f>
        <v>0</v>
      </c>
      <c r="W7" s="1894">
        <f t="shared" ref="W7:W70" si="3">+MAX((U7-V7),0)</f>
        <v>0</v>
      </c>
      <c r="X7" s="1894">
        <v>0</v>
      </c>
      <c r="Y7" s="1894">
        <v>0</v>
      </c>
      <c r="Z7" s="1894">
        <v>0</v>
      </c>
      <c r="AA7" s="1894">
        <v>0</v>
      </c>
      <c r="AB7" s="1894">
        <v>0</v>
      </c>
      <c r="AC7" s="1894">
        <v>0</v>
      </c>
      <c r="AD7" s="1894">
        <f t="shared" ref="AD7:AD70" si="4">+ROUND((24*30*0.6*Y7),0)</f>
        <v>0</v>
      </c>
      <c r="AE7" s="1894">
        <f t="shared" ref="AE7:AE70" si="5">+MAX((AC7-AD7),0)</f>
        <v>0</v>
      </c>
      <c r="AF7" s="1894">
        <v>110</v>
      </c>
      <c r="AG7" s="1894">
        <v>73.2</v>
      </c>
      <c r="AH7" s="1894">
        <v>110</v>
      </c>
      <c r="AI7" s="1894">
        <v>0.99709999999999999</v>
      </c>
      <c r="AJ7" s="1894">
        <v>0</v>
      </c>
      <c r="AK7" s="1894">
        <v>31229</v>
      </c>
      <c r="AL7" s="1894">
        <f t="shared" ref="AL7:AL67" si="6">+ROUND((24*31*0.6*AG7),0)</f>
        <v>32676</v>
      </c>
      <c r="AM7" s="1894">
        <f t="shared" ref="AM7:AM67" si="7">+MAX((AK7-AL7),0)</f>
        <v>0</v>
      </c>
      <c r="AN7" s="1894">
        <v>110</v>
      </c>
      <c r="AO7" s="1894">
        <v>64.16</v>
      </c>
      <c r="AP7" s="1894">
        <v>110</v>
      </c>
      <c r="AQ7" s="1894">
        <v>0.99619999999999997</v>
      </c>
      <c r="AR7" s="1894">
        <v>0</v>
      </c>
      <c r="AS7" s="1894">
        <v>21829</v>
      </c>
      <c r="AT7" s="1894">
        <f t="shared" ref="AT7:AT70" si="8">+ROUND((24*31*0.6*AO7),0)</f>
        <v>28641</v>
      </c>
      <c r="AU7" s="1894">
        <f t="shared" ref="AU7:AU70" si="9">+MAX((AS7-AT7),0)</f>
        <v>0</v>
      </c>
      <c r="AV7" s="1894">
        <v>110</v>
      </c>
      <c r="AW7" s="1894">
        <v>70.239999999999995</v>
      </c>
      <c r="AX7" s="1894">
        <v>110</v>
      </c>
      <c r="AY7" s="1894">
        <v>0.99629999999999996</v>
      </c>
      <c r="AZ7" s="1894">
        <v>0</v>
      </c>
      <c r="BA7" s="1894">
        <v>22478</v>
      </c>
      <c r="BB7" s="1894">
        <f t="shared" ref="BB7:BB70" si="10">+ROUND((24*30*0.6*AW7),0)</f>
        <v>30344</v>
      </c>
      <c r="BC7" s="1894">
        <f t="shared" ref="BC7:BC70" si="11">+MAX((BA7-BB7),0)</f>
        <v>0</v>
      </c>
      <c r="BD7" s="1894">
        <v>110</v>
      </c>
      <c r="BE7" s="1894">
        <v>55.04</v>
      </c>
      <c r="BF7" s="1894">
        <v>110</v>
      </c>
      <c r="BG7" s="1894">
        <v>0.99450000000000005</v>
      </c>
      <c r="BH7" s="1894">
        <v>0</v>
      </c>
      <c r="BI7" s="1894">
        <v>15074</v>
      </c>
      <c r="BJ7" s="1894">
        <f t="shared" ref="BJ7:BJ70" si="12">+ROUND((24*31*0.6*BE7),0)</f>
        <v>24570</v>
      </c>
      <c r="BK7" s="1894">
        <f t="shared" ref="BK7:BK70" si="13">+MAX((BI7-BJ7),0)</f>
        <v>0</v>
      </c>
      <c r="BL7" s="1894">
        <v>110</v>
      </c>
      <c r="BM7" s="1894">
        <v>46.16</v>
      </c>
      <c r="BN7" s="1894">
        <v>110</v>
      </c>
      <c r="BO7" s="1894">
        <v>0.99490000000000001</v>
      </c>
      <c r="BP7" s="1894">
        <v>0</v>
      </c>
      <c r="BQ7" s="1894">
        <v>12749</v>
      </c>
      <c r="BR7" s="1894">
        <f t="shared" ref="BR7:BR70" si="14">+ROUND((24*30*0.6*BM7),0)</f>
        <v>19941</v>
      </c>
      <c r="BS7" s="1894">
        <f t="shared" ref="BS7:BS70" si="15">+MAX((BQ7-BR7),0)</f>
        <v>0</v>
      </c>
      <c r="BT7" s="1894">
        <v>110</v>
      </c>
      <c r="BU7" s="1894">
        <v>24.4</v>
      </c>
      <c r="BV7" s="1894">
        <v>110</v>
      </c>
      <c r="BW7" s="1894">
        <v>0.99080000000000001</v>
      </c>
      <c r="BX7" s="1894">
        <v>0</v>
      </c>
      <c r="BY7" s="1894">
        <v>9156</v>
      </c>
      <c r="BZ7" s="1894">
        <f t="shared" ref="BZ7:BZ70" si="16">+ROUND((24*31*0.6*BU7),0)</f>
        <v>10892</v>
      </c>
      <c r="CA7" s="1894">
        <f t="shared" ref="CA7:CA70" si="17">+MAX((BY7-BZ7),0)</f>
        <v>0</v>
      </c>
      <c r="CB7" s="1894">
        <v>110</v>
      </c>
      <c r="CC7" s="1894">
        <v>18.12</v>
      </c>
      <c r="CD7" s="1894">
        <v>110</v>
      </c>
      <c r="CE7" s="1894">
        <v>0.99019999999999997</v>
      </c>
      <c r="CF7" s="1894">
        <v>0</v>
      </c>
      <c r="CG7" s="1894">
        <v>6042</v>
      </c>
      <c r="CH7" s="1894">
        <f t="shared" ref="CH7:CH70" si="18">+ROUND((24*31*0.6*CC7),0)</f>
        <v>8089</v>
      </c>
      <c r="CI7" s="1894">
        <f t="shared" ref="CI7:CI70" si="19">+MAX((CG7-CH7),0)</f>
        <v>0</v>
      </c>
      <c r="CJ7" s="1894">
        <v>110</v>
      </c>
      <c r="CK7" s="1894">
        <v>28.84</v>
      </c>
      <c r="CL7" s="1894">
        <v>110</v>
      </c>
      <c r="CM7" s="1894">
        <v>0.99429999999999996</v>
      </c>
      <c r="CN7" s="1894">
        <v>0</v>
      </c>
      <c r="CO7" s="1894">
        <v>6419</v>
      </c>
      <c r="CP7" s="1894">
        <f t="shared" ref="CP7:CP70" si="20">+ROUND((24*28*0.6*CK7),0)</f>
        <v>11628</v>
      </c>
      <c r="CQ7" s="1894">
        <f t="shared" ref="CQ7:CQ70" si="21">+MAX((CO7-CP7),0)</f>
        <v>0</v>
      </c>
      <c r="CR7" s="1924">
        <v>110</v>
      </c>
      <c r="CS7" s="1924">
        <v>28.751999999999999</v>
      </c>
      <c r="CT7" s="1924">
        <v>110</v>
      </c>
      <c r="CU7" s="1924">
        <v>0.99590000000000001</v>
      </c>
      <c r="CV7" s="1924">
        <v>0</v>
      </c>
      <c r="CW7" s="1924">
        <v>8801</v>
      </c>
      <c r="CX7" s="1894">
        <f t="shared" ref="CX7:CX70" si="22">+ROUND((24*31*0.6*CS7),0)</f>
        <v>12835</v>
      </c>
      <c r="CY7" s="1894">
        <f t="shared" ref="CY7:CY70" si="23">+MAX((CW7-CX7),0)</f>
        <v>0</v>
      </c>
    </row>
    <row r="8" spans="1:105">
      <c r="A8" s="982">
        <v>615000000057</v>
      </c>
      <c r="B8" s="1923">
        <f t="shared" ref="B8:B71" si="24">+B7+1</f>
        <v>2</v>
      </c>
      <c r="C8" s="1895" t="s">
        <v>2906</v>
      </c>
      <c r="D8" s="1894" t="s">
        <v>524</v>
      </c>
      <c r="E8" s="1895" t="s">
        <v>636</v>
      </c>
      <c r="F8" s="1894" t="s">
        <v>259</v>
      </c>
      <c r="G8" s="1924">
        <v>110</v>
      </c>
      <c r="H8" s="1894">
        <v>0</v>
      </c>
      <c r="I8" s="1894">
        <v>0</v>
      </c>
      <c r="J8" s="1894">
        <v>0</v>
      </c>
      <c r="K8" s="1894">
        <v>0</v>
      </c>
      <c r="L8" s="1894">
        <v>0</v>
      </c>
      <c r="M8" s="1894">
        <v>0</v>
      </c>
      <c r="N8" s="1894">
        <f t="shared" si="0"/>
        <v>0</v>
      </c>
      <c r="O8" s="1894">
        <f t="shared" si="1"/>
        <v>0</v>
      </c>
      <c r="P8" s="1894">
        <v>0</v>
      </c>
      <c r="Q8" s="1894">
        <v>0</v>
      </c>
      <c r="R8" s="1894">
        <v>0</v>
      </c>
      <c r="S8" s="1894">
        <v>0</v>
      </c>
      <c r="T8" s="1894">
        <v>0</v>
      </c>
      <c r="U8" s="1894">
        <v>0</v>
      </c>
      <c r="V8" s="1894">
        <f t="shared" si="2"/>
        <v>0</v>
      </c>
      <c r="W8" s="1894">
        <f t="shared" si="3"/>
        <v>0</v>
      </c>
      <c r="X8" s="1894">
        <v>0</v>
      </c>
      <c r="Y8" s="1894">
        <v>0</v>
      </c>
      <c r="Z8" s="1894">
        <v>0</v>
      </c>
      <c r="AA8" s="1894">
        <v>0</v>
      </c>
      <c r="AB8" s="1894">
        <v>0</v>
      </c>
      <c r="AC8" s="1894">
        <v>0</v>
      </c>
      <c r="AD8" s="1894">
        <f t="shared" si="4"/>
        <v>0</v>
      </c>
      <c r="AE8" s="1894">
        <f t="shared" si="5"/>
        <v>0</v>
      </c>
      <c r="AF8" s="1894">
        <v>0</v>
      </c>
      <c r="AG8" s="1894">
        <v>0</v>
      </c>
      <c r="AH8" s="1894">
        <v>0</v>
      </c>
      <c r="AI8" s="1894">
        <v>0</v>
      </c>
      <c r="AJ8" s="1894">
        <v>0</v>
      </c>
      <c r="AK8" s="1894">
        <v>0</v>
      </c>
      <c r="AL8" s="1894">
        <f t="shared" si="6"/>
        <v>0</v>
      </c>
      <c r="AM8" s="1894">
        <f t="shared" si="7"/>
        <v>0</v>
      </c>
      <c r="AN8" s="1894">
        <v>0</v>
      </c>
      <c r="AO8" s="1894">
        <v>0</v>
      </c>
      <c r="AP8" s="1894">
        <v>0</v>
      </c>
      <c r="AQ8" s="1894">
        <v>0</v>
      </c>
      <c r="AR8" s="1894">
        <v>0</v>
      </c>
      <c r="AS8" s="1894">
        <v>0</v>
      </c>
      <c r="AT8" s="1894">
        <f t="shared" si="8"/>
        <v>0</v>
      </c>
      <c r="AU8" s="1894">
        <f t="shared" si="9"/>
        <v>0</v>
      </c>
      <c r="AV8" s="1894">
        <v>0</v>
      </c>
      <c r="AW8" s="1894">
        <v>0</v>
      </c>
      <c r="AX8" s="1894">
        <v>0</v>
      </c>
      <c r="AY8" s="1894">
        <v>0</v>
      </c>
      <c r="AZ8" s="1894">
        <v>0</v>
      </c>
      <c r="BA8" s="1894">
        <v>0</v>
      </c>
      <c r="BB8" s="1894">
        <f t="shared" si="10"/>
        <v>0</v>
      </c>
      <c r="BC8" s="1894">
        <f t="shared" si="11"/>
        <v>0</v>
      </c>
      <c r="BD8" s="1894">
        <v>0</v>
      </c>
      <c r="BE8" s="1894">
        <v>0</v>
      </c>
      <c r="BF8" s="1894">
        <v>0</v>
      </c>
      <c r="BG8" s="1894">
        <v>0</v>
      </c>
      <c r="BH8" s="1894">
        <v>0</v>
      </c>
      <c r="BI8" s="1894">
        <v>0</v>
      </c>
      <c r="BJ8" s="1894">
        <f t="shared" si="12"/>
        <v>0</v>
      </c>
      <c r="BK8" s="1894">
        <f t="shared" si="13"/>
        <v>0</v>
      </c>
      <c r="BL8" s="1894">
        <v>110</v>
      </c>
      <c r="BM8" s="1894">
        <v>29.04</v>
      </c>
      <c r="BN8" s="1894">
        <v>88</v>
      </c>
      <c r="BO8" s="1894">
        <v>0.93200000000000005</v>
      </c>
      <c r="BP8" s="1894">
        <v>25.81</v>
      </c>
      <c r="BQ8" s="1894">
        <v>4677</v>
      </c>
      <c r="BR8" s="1894">
        <f t="shared" si="14"/>
        <v>12545</v>
      </c>
      <c r="BS8" s="1894">
        <f t="shared" si="15"/>
        <v>0</v>
      </c>
      <c r="BT8" s="1894">
        <v>110</v>
      </c>
      <c r="BU8" s="1894">
        <v>26.64</v>
      </c>
      <c r="BV8" s="1894">
        <v>88</v>
      </c>
      <c r="BW8" s="1894">
        <v>0.9244</v>
      </c>
      <c r="BX8" s="1894">
        <v>33.06</v>
      </c>
      <c r="BY8" s="1894">
        <v>6552</v>
      </c>
      <c r="BZ8" s="1894">
        <f t="shared" si="16"/>
        <v>11892</v>
      </c>
      <c r="CA8" s="1894">
        <f t="shared" si="17"/>
        <v>0</v>
      </c>
      <c r="CB8" s="1894">
        <v>110</v>
      </c>
      <c r="CC8" s="1894">
        <v>14.16</v>
      </c>
      <c r="CD8" s="1894">
        <v>88</v>
      </c>
      <c r="CE8" s="1894">
        <v>0.95750000000000002</v>
      </c>
      <c r="CF8" s="1894">
        <v>23.49</v>
      </c>
      <c r="CG8" s="1894">
        <v>2475</v>
      </c>
      <c r="CH8" s="1894">
        <f t="shared" si="18"/>
        <v>6321</v>
      </c>
      <c r="CI8" s="1894">
        <f t="shared" si="19"/>
        <v>0</v>
      </c>
      <c r="CJ8" s="1894">
        <v>110</v>
      </c>
      <c r="CK8" s="1894">
        <v>18.48</v>
      </c>
      <c r="CL8" s="1894">
        <v>88</v>
      </c>
      <c r="CM8" s="1894">
        <v>0.97970000000000002</v>
      </c>
      <c r="CN8" s="1894">
        <v>13.09</v>
      </c>
      <c r="CO8" s="1894">
        <v>1626</v>
      </c>
      <c r="CP8" s="1894">
        <f t="shared" si="20"/>
        <v>7451</v>
      </c>
      <c r="CQ8" s="1894">
        <f t="shared" si="21"/>
        <v>0</v>
      </c>
      <c r="CR8" s="1924">
        <v>110</v>
      </c>
      <c r="CS8" s="1924">
        <v>1.2</v>
      </c>
      <c r="CT8" s="1924">
        <v>88</v>
      </c>
      <c r="CU8" s="1924">
        <v>1</v>
      </c>
      <c r="CV8" s="1924">
        <v>47.38</v>
      </c>
      <c r="CW8" s="1924">
        <v>423</v>
      </c>
      <c r="CX8" s="1894">
        <f t="shared" si="22"/>
        <v>536</v>
      </c>
      <c r="CY8" s="1894">
        <f t="shared" si="23"/>
        <v>0</v>
      </c>
    </row>
    <row r="9" spans="1:105">
      <c r="A9" s="982">
        <v>125000000046</v>
      </c>
      <c r="B9" s="1923">
        <f t="shared" si="24"/>
        <v>3</v>
      </c>
      <c r="C9" s="1895" t="s">
        <v>2907</v>
      </c>
      <c r="D9" s="1894" t="s">
        <v>524</v>
      </c>
      <c r="E9" s="1895" t="s">
        <v>541</v>
      </c>
      <c r="F9" s="1894" t="s">
        <v>259</v>
      </c>
      <c r="G9" s="1924">
        <v>110</v>
      </c>
      <c r="H9" s="1894">
        <v>0</v>
      </c>
      <c r="I9" s="1894">
        <v>0</v>
      </c>
      <c r="J9" s="1894">
        <v>0</v>
      </c>
      <c r="K9" s="1894">
        <v>0</v>
      </c>
      <c r="L9" s="1894">
        <v>0</v>
      </c>
      <c r="M9" s="1894">
        <v>0</v>
      </c>
      <c r="N9" s="1894">
        <f t="shared" si="0"/>
        <v>0</v>
      </c>
      <c r="O9" s="1894">
        <f t="shared" si="1"/>
        <v>0</v>
      </c>
      <c r="P9" s="1894">
        <v>0</v>
      </c>
      <c r="Q9" s="1894">
        <v>0</v>
      </c>
      <c r="R9" s="1894">
        <v>0</v>
      </c>
      <c r="S9" s="1894">
        <v>0</v>
      </c>
      <c r="T9" s="1894">
        <v>0</v>
      </c>
      <c r="U9" s="1894">
        <v>0</v>
      </c>
      <c r="V9" s="1894">
        <f t="shared" si="2"/>
        <v>0</v>
      </c>
      <c r="W9" s="1894">
        <f t="shared" si="3"/>
        <v>0</v>
      </c>
      <c r="X9" s="1894">
        <v>0</v>
      </c>
      <c r="Y9" s="1894">
        <v>0</v>
      </c>
      <c r="Z9" s="1894">
        <v>0</v>
      </c>
      <c r="AA9" s="1894">
        <v>0</v>
      </c>
      <c r="AB9" s="1894">
        <v>0</v>
      </c>
      <c r="AC9" s="1894">
        <v>0</v>
      </c>
      <c r="AD9" s="1894">
        <f t="shared" si="4"/>
        <v>0</v>
      </c>
      <c r="AE9" s="1894">
        <f t="shared" si="5"/>
        <v>0</v>
      </c>
      <c r="AF9" s="1894">
        <v>0</v>
      </c>
      <c r="AG9" s="1894">
        <v>0</v>
      </c>
      <c r="AH9" s="1894">
        <v>0</v>
      </c>
      <c r="AI9" s="1894">
        <v>0</v>
      </c>
      <c r="AJ9" s="1894">
        <v>0</v>
      </c>
      <c r="AK9" s="1894">
        <v>0</v>
      </c>
      <c r="AL9" s="1894">
        <f t="shared" si="6"/>
        <v>0</v>
      </c>
      <c r="AM9" s="1894">
        <f t="shared" si="7"/>
        <v>0</v>
      </c>
      <c r="AN9" s="1894">
        <v>110</v>
      </c>
      <c r="AO9" s="1894">
        <v>204.00000000000003</v>
      </c>
      <c r="AP9" s="1894">
        <v>204</v>
      </c>
      <c r="AQ9" s="1894">
        <v>8.7499999999999994E-2</v>
      </c>
      <c r="AR9" s="1894">
        <v>33.99</v>
      </c>
      <c r="AS9" s="1894">
        <v>39936</v>
      </c>
      <c r="AT9" s="1894">
        <f t="shared" si="8"/>
        <v>91066</v>
      </c>
      <c r="AU9" s="1894">
        <f t="shared" si="9"/>
        <v>0</v>
      </c>
      <c r="AV9" s="1894">
        <v>110</v>
      </c>
      <c r="AW9" s="1894">
        <v>132.24</v>
      </c>
      <c r="AX9" s="1894">
        <v>132.24</v>
      </c>
      <c r="AY9" s="1894">
        <v>0.1263</v>
      </c>
      <c r="AZ9" s="1894">
        <v>47.53</v>
      </c>
      <c r="BA9" s="1894">
        <v>49785</v>
      </c>
      <c r="BB9" s="1894">
        <f t="shared" si="10"/>
        <v>57128</v>
      </c>
      <c r="BC9" s="1894">
        <f t="shared" si="11"/>
        <v>0</v>
      </c>
      <c r="BD9" s="1894">
        <v>110</v>
      </c>
      <c r="BE9" s="1894">
        <v>110.16000000000001</v>
      </c>
      <c r="BF9" s="1894">
        <v>110.16</v>
      </c>
      <c r="BG9" s="1894">
        <v>0.33119999999999999</v>
      </c>
      <c r="BH9" s="1894">
        <v>21.39</v>
      </c>
      <c r="BI9" s="1894">
        <v>18663</v>
      </c>
      <c r="BJ9" s="1894">
        <f t="shared" si="12"/>
        <v>49175</v>
      </c>
      <c r="BK9" s="1894">
        <f t="shared" si="13"/>
        <v>0</v>
      </c>
      <c r="BL9" s="1894">
        <v>110</v>
      </c>
      <c r="BM9" s="1894">
        <v>102.00000000000001</v>
      </c>
      <c r="BN9" s="1894">
        <v>102</v>
      </c>
      <c r="BO9" s="1894">
        <v>0.3876</v>
      </c>
      <c r="BP9" s="1894">
        <v>19.489999999999998</v>
      </c>
      <c r="BQ9" s="1894">
        <v>14310</v>
      </c>
      <c r="BR9" s="1894">
        <f t="shared" si="14"/>
        <v>44064</v>
      </c>
      <c r="BS9" s="1894">
        <f t="shared" si="15"/>
        <v>0</v>
      </c>
      <c r="BT9" s="1894">
        <v>110</v>
      </c>
      <c r="BU9" s="1894">
        <v>133.19999999999999</v>
      </c>
      <c r="BV9" s="1894">
        <v>133.19999999999999</v>
      </c>
      <c r="BW9" s="1894">
        <v>0.34279999999999999</v>
      </c>
      <c r="BX9" s="1894">
        <v>9.9</v>
      </c>
      <c r="BY9" s="1894">
        <v>9810</v>
      </c>
      <c r="BZ9" s="1894">
        <f t="shared" si="16"/>
        <v>59460</v>
      </c>
      <c r="CA9" s="1894">
        <f t="shared" si="17"/>
        <v>0</v>
      </c>
      <c r="CB9" s="1894">
        <v>110</v>
      </c>
      <c r="CC9" s="1894">
        <v>89.04</v>
      </c>
      <c r="CD9" s="1894">
        <v>89.04</v>
      </c>
      <c r="CE9" s="1894">
        <v>0.32200000000000001</v>
      </c>
      <c r="CF9" s="1894">
        <v>10.7</v>
      </c>
      <c r="CG9" s="1894">
        <v>7089</v>
      </c>
      <c r="CH9" s="1894">
        <f t="shared" si="18"/>
        <v>39747</v>
      </c>
      <c r="CI9" s="1894">
        <f t="shared" si="19"/>
        <v>0</v>
      </c>
      <c r="CJ9" s="1894">
        <v>110</v>
      </c>
      <c r="CK9" s="1894">
        <v>26.64</v>
      </c>
      <c r="CL9" s="1894">
        <v>88</v>
      </c>
      <c r="CM9" s="1894">
        <v>0.70930000000000004</v>
      </c>
      <c r="CN9" s="1894">
        <v>34.25</v>
      </c>
      <c r="CO9" s="1894">
        <v>6132</v>
      </c>
      <c r="CP9" s="1894">
        <f t="shared" si="20"/>
        <v>10741</v>
      </c>
      <c r="CQ9" s="1894">
        <f t="shared" si="21"/>
        <v>0</v>
      </c>
      <c r="CR9" s="1924">
        <v>110</v>
      </c>
      <c r="CS9" s="1924">
        <v>87.6</v>
      </c>
      <c r="CT9" s="1924">
        <v>88</v>
      </c>
      <c r="CU9" s="1924">
        <v>0.70499999999999996</v>
      </c>
      <c r="CV9" s="1924">
        <v>11.72</v>
      </c>
      <c r="CW9" s="1924">
        <v>7638</v>
      </c>
      <c r="CX9" s="1894">
        <f t="shared" si="22"/>
        <v>39105</v>
      </c>
      <c r="CY9" s="1894">
        <f t="shared" si="23"/>
        <v>0</v>
      </c>
    </row>
    <row r="10" spans="1:105">
      <c r="A10" s="982">
        <v>123000000140</v>
      </c>
      <c r="B10" s="1923">
        <f t="shared" si="24"/>
        <v>4</v>
      </c>
      <c r="C10" s="1895" t="s">
        <v>2908</v>
      </c>
      <c r="D10" s="1894" t="s">
        <v>524</v>
      </c>
      <c r="E10" s="1895" t="s">
        <v>641</v>
      </c>
      <c r="F10" s="1894" t="s">
        <v>259</v>
      </c>
      <c r="G10" s="1924">
        <v>110</v>
      </c>
      <c r="H10" s="1894">
        <v>0</v>
      </c>
      <c r="I10" s="1894">
        <v>0</v>
      </c>
      <c r="J10" s="1894">
        <v>0</v>
      </c>
      <c r="K10" s="1894">
        <v>0</v>
      </c>
      <c r="L10" s="1894">
        <v>0</v>
      </c>
      <c r="M10" s="1894">
        <v>0</v>
      </c>
      <c r="N10" s="1894">
        <f t="shared" si="0"/>
        <v>0</v>
      </c>
      <c r="O10" s="1894">
        <f t="shared" si="1"/>
        <v>0</v>
      </c>
      <c r="P10" s="1894">
        <v>0</v>
      </c>
      <c r="Q10" s="1894">
        <v>0</v>
      </c>
      <c r="R10" s="1894">
        <v>0</v>
      </c>
      <c r="S10" s="1894">
        <v>0</v>
      </c>
      <c r="T10" s="1894">
        <v>0</v>
      </c>
      <c r="U10" s="1894">
        <v>0</v>
      </c>
      <c r="V10" s="1894">
        <f t="shared" si="2"/>
        <v>0</v>
      </c>
      <c r="W10" s="1894">
        <f t="shared" si="3"/>
        <v>0</v>
      </c>
      <c r="X10" s="1894">
        <v>0</v>
      </c>
      <c r="Y10" s="1894">
        <v>0</v>
      </c>
      <c r="Z10" s="1894">
        <v>0</v>
      </c>
      <c r="AA10" s="1894">
        <v>0</v>
      </c>
      <c r="AB10" s="1894">
        <v>0</v>
      </c>
      <c r="AC10" s="1894">
        <v>0</v>
      </c>
      <c r="AD10" s="1894">
        <f t="shared" si="4"/>
        <v>0</v>
      </c>
      <c r="AE10" s="1894">
        <f t="shared" si="5"/>
        <v>0</v>
      </c>
      <c r="AF10" s="1894">
        <v>0</v>
      </c>
      <c r="AG10" s="1894">
        <v>0</v>
      </c>
      <c r="AH10" s="1894">
        <v>0</v>
      </c>
      <c r="AI10" s="1894">
        <v>0</v>
      </c>
      <c r="AJ10" s="1894">
        <v>0</v>
      </c>
      <c r="AK10" s="1894">
        <v>0</v>
      </c>
      <c r="AL10" s="1894">
        <f t="shared" si="6"/>
        <v>0</v>
      </c>
      <c r="AM10" s="1894">
        <f t="shared" si="7"/>
        <v>0</v>
      </c>
      <c r="AN10" s="1894">
        <v>0</v>
      </c>
      <c r="AO10" s="1894">
        <v>0</v>
      </c>
      <c r="AP10" s="1894">
        <v>0</v>
      </c>
      <c r="AQ10" s="1894">
        <v>0</v>
      </c>
      <c r="AR10" s="1894">
        <v>0</v>
      </c>
      <c r="AS10" s="1894">
        <v>0</v>
      </c>
      <c r="AT10" s="1894">
        <f t="shared" si="8"/>
        <v>0</v>
      </c>
      <c r="AU10" s="1894">
        <f t="shared" si="9"/>
        <v>0</v>
      </c>
      <c r="AV10" s="1894">
        <v>0</v>
      </c>
      <c r="AW10" s="1894">
        <v>0</v>
      </c>
      <c r="AX10" s="1894">
        <v>0</v>
      </c>
      <c r="AY10" s="1894">
        <v>0</v>
      </c>
      <c r="AZ10" s="1894">
        <v>0</v>
      </c>
      <c r="BA10" s="1894">
        <v>0</v>
      </c>
      <c r="BB10" s="1894">
        <f t="shared" si="10"/>
        <v>0</v>
      </c>
      <c r="BC10" s="1894">
        <f t="shared" si="11"/>
        <v>0</v>
      </c>
      <c r="BD10" s="1894">
        <v>0</v>
      </c>
      <c r="BE10" s="1894">
        <v>0</v>
      </c>
      <c r="BF10" s="1894">
        <v>0</v>
      </c>
      <c r="BG10" s="1894">
        <v>0</v>
      </c>
      <c r="BH10" s="1894">
        <v>0</v>
      </c>
      <c r="BI10" s="1894">
        <v>0</v>
      </c>
      <c r="BJ10" s="1894">
        <f t="shared" si="12"/>
        <v>0</v>
      </c>
      <c r="BK10" s="1894">
        <f t="shared" si="13"/>
        <v>0</v>
      </c>
      <c r="BL10" s="1894">
        <v>0</v>
      </c>
      <c r="BM10" s="1894">
        <v>0</v>
      </c>
      <c r="BN10" s="1894">
        <v>0</v>
      </c>
      <c r="BO10" s="1894">
        <v>0</v>
      </c>
      <c r="BP10" s="1894">
        <v>0</v>
      </c>
      <c r="BQ10" s="1894">
        <v>0</v>
      </c>
      <c r="BR10" s="1894">
        <f t="shared" si="14"/>
        <v>0</v>
      </c>
      <c r="BS10" s="1894">
        <f t="shared" si="15"/>
        <v>0</v>
      </c>
      <c r="BT10" s="1894">
        <v>0</v>
      </c>
      <c r="BU10" s="1894">
        <v>0</v>
      </c>
      <c r="BV10" s="1894">
        <v>0</v>
      </c>
      <c r="BW10" s="1894">
        <v>0</v>
      </c>
      <c r="BX10" s="1894">
        <v>0</v>
      </c>
      <c r="BY10" s="1894">
        <v>0</v>
      </c>
      <c r="BZ10" s="1894">
        <f t="shared" si="16"/>
        <v>0</v>
      </c>
      <c r="CA10" s="1894">
        <f t="shared" si="17"/>
        <v>0</v>
      </c>
      <c r="CB10" s="1894">
        <v>110</v>
      </c>
      <c r="CC10" s="1894">
        <v>86.76</v>
      </c>
      <c r="CD10" s="1894">
        <v>88</v>
      </c>
      <c r="CE10" s="1894">
        <v>0.83850000000000002</v>
      </c>
      <c r="CF10" s="1894">
        <v>18.93</v>
      </c>
      <c r="CG10" s="1894">
        <v>11430</v>
      </c>
      <c r="CH10" s="1894">
        <f t="shared" si="18"/>
        <v>38730</v>
      </c>
      <c r="CI10" s="1894">
        <f t="shared" si="19"/>
        <v>0</v>
      </c>
      <c r="CJ10" s="1894">
        <v>110</v>
      </c>
      <c r="CK10" s="1894">
        <v>94.68</v>
      </c>
      <c r="CL10" s="1894">
        <v>94.68</v>
      </c>
      <c r="CM10" s="1894">
        <v>0.92490000000000006</v>
      </c>
      <c r="CN10" s="1894">
        <v>30.54</v>
      </c>
      <c r="CO10" s="1894">
        <v>19431</v>
      </c>
      <c r="CP10" s="1894">
        <f t="shared" si="20"/>
        <v>38175</v>
      </c>
      <c r="CQ10" s="1894">
        <f t="shared" si="21"/>
        <v>0</v>
      </c>
      <c r="CR10" s="1924">
        <v>110</v>
      </c>
      <c r="CS10" s="1924">
        <v>101.88</v>
      </c>
      <c r="CT10" s="1924">
        <v>101.88</v>
      </c>
      <c r="CU10" s="1924">
        <v>0.95689999999999997</v>
      </c>
      <c r="CV10" s="1924">
        <v>20.64</v>
      </c>
      <c r="CW10" s="1924">
        <v>15646</v>
      </c>
      <c r="CX10" s="1894">
        <f t="shared" si="22"/>
        <v>45479</v>
      </c>
      <c r="CY10" s="1894">
        <f t="shared" si="23"/>
        <v>0</v>
      </c>
    </row>
    <row r="11" spans="1:105">
      <c r="A11" s="982">
        <v>122000000021</v>
      </c>
      <c r="B11" s="1923">
        <f t="shared" si="24"/>
        <v>5</v>
      </c>
      <c r="C11" s="1895" t="s">
        <v>2909</v>
      </c>
      <c r="D11" s="1894" t="s">
        <v>524</v>
      </c>
      <c r="E11" s="1895" t="s">
        <v>541</v>
      </c>
      <c r="F11" s="1894" t="s">
        <v>259</v>
      </c>
      <c r="G11" s="1924">
        <v>110</v>
      </c>
      <c r="H11" s="1894">
        <v>110</v>
      </c>
      <c r="I11" s="1894">
        <v>92.88</v>
      </c>
      <c r="J11" s="1894">
        <v>92.88</v>
      </c>
      <c r="K11" s="1894">
        <v>0.72599999999999998</v>
      </c>
      <c r="L11" s="1894">
        <v>24.99</v>
      </c>
      <c r="M11" s="1894">
        <v>16710</v>
      </c>
      <c r="N11" s="1894">
        <f t="shared" si="0"/>
        <v>40124</v>
      </c>
      <c r="O11" s="1894">
        <f t="shared" si="1"/>
        <v>0</v>
      </c>
      <c r="P11" s="1894">
        <v>110</v>
      </c>
      <c r="Q11" s="1894">
        <v>78</v>
      </c>
      <c r="R11" s="1894">
        <v>88</v>
      </c>
      <c r="S11" s="1894">
        <v>0.72440000000000004</v>
      </c>
      <c r="T11" s="1894">
        <v>20.57</v>
      </c>
      <c r="U11" s="1894">
        <v>9243</v>
      </c>
      <c r="V11" s="1894">
        <f t="shared" si="2"/>
        <v>34819</v>
      </c>
      <c r="W11" s="1894">
        <f t="shared" si="3"/>
        <v>0</v>
      </c>
      <c r="X11" s="1894">
        <v>110</v>
      </c>
      <c r="Y11" s="1894">
        <v>32.4</v>
      </c>
      <c r="Z11" s="1894">
        <v>88</v>
      </c>
      <c r="AA11" s="1894">
        <v>0.68759999999999999</v>
      </c>
      <c r="AB11" s="1894">
        <v>23.73</v>
      </c>
      <c r="AC11" s="1894">
        <v>6828</v>
      </c>
      <c r="AD11" s="1894">
        <f t="shared" si="4"/>
        <v>13997</v>
      </c>
      <c r="AE11" s="1894">
        <f t="shared" si="5"/>
        <v>0</v>
      </c>
      <c r="AF11" s="1894">
        <v>110</v>
      </c>
      <c r="AG11" s="1894">
        <v>24.72</v>
      </c>
      <c r="AH11" s="1894">
        <v>88</v>
      </c>
      <c r="AI11" s="1894">
        <v>0.66800000000000004</v>
      </c>
      <c r="AJ11" s="1894">
        <v>28.01</v>
      </c>
      <c r="AK11" s="1894">
        <v>5151</v>
      </c>
      <c r="AL11" s="1894">
        <f t="shared" si="6"/>
        <v>11035</v>
      </c>
      <c r="AM11" s="1894">
        <f t="shared" si="7"/>
        <v>0</v>
      </c>
      <c r="AN11" s="1894">
        <v>110</v>
      </c>
      <c r="AO11" s="1894">
        <v>26.88</v>
      </c>
      <c r="AP11" s="1894">
        <v>88</v>
      </c>
      <c r="AQ11" s="1894">
        <v>0.62209999999999999</v>
      </c>
      <c r="AR11" s="1894">
        <v>23.34</v>
      </c>
      <c r="AS11" s="1894">
        <v>4668</v>
      </c>
      <c r="AT11" s="1894">
        <f t="shared" si="8"/>
        <v>11999</v>
      </c>
      <c r="AU11" s="1894">
        <f t="shared" si="9"/>
        <v>0</v>
      </c>
      <c r="AV11" s="1894">
        <v>110</v>
      </c>
      <c r="AW11" s="1894">
        <v>57.6</v>
      </c>
      <c r="AX11" s="1894">
        <v>88</v>
      </c>
      <c r="AY11" s="1894">
        <v>0.59809999999999997</v>
      </c>
      <c r="AZ11" s="1894">
        <v>10.32</v>
      </c>
      <c r="BA11" s="1894">
        <v>4278</v>
      </c>
      <c r="BB11" s="1894">
        <f t="shared" si="10"/>
        <v>24883</v>
      </c>
      <c r="BC11" s="1894">
        <f t="shared" si="11"/>
        <v>0</v>
      </c>
      <c r="BD11" s="1894">
        <v>110</v>
      </c>
      <c r="BE11" s="1894">
        <v>21.12</v>
      </c>
      <c r="BF11" s="1894">
        <v>88</v>
      </c>
      <c r="BG11" s="1894">
        <v>0.56259999999999999</v>
      </c>
      <c r="BH11" s="1894">
        <v>23.92</v>
      </c>
      <c r="BI11" s="1894">
        <v>3759</v>
      </c>
      <c r="BJ11" s="1894">
        <f t="shared" si="12"/>
        <v>9428</v>
      </c>
      <c r="BK11" s="1894">
        <f t="shared" si="13"/>
        <v>0</v>
      </c>
      <c r="BL11" s="1894">
        <v>110</v>
      </c>
      <c r="BM11" s="1894">
        <v>16.559999999999999</v>
      </c>
      <c r="BN11" s="1894">
        <v>88</v>
      </c>
      <c r="BO11" s="1894">
        <v>0.49930000000000002</v>
      </c>
      <c r="BP11" s="1894">
        <v>36.229999999999997</v>
      </c>
      <c r="BQ11" s="1894">
        <v>4320</v>
      </c>
      <c r="BR11" s="1894">
        <f t="shared" si="14"/>
        <v>7154</v>
      </c>
      <c r="BS11" s="1894">
        <f t="shared" si="15"/>
        <v>0</v>
      </c>
      <c r="BT11" s="1894">
        <v>110</v>
      </c>
      <c r="BU11" s="1894">
        <v>18.48</v>
      </c>
      <c r="BV11" s="1894">
        <v>88</v>
      </c>
      <c r="BW11" s="1894">
        <v>0.43590000000000001</v>
      </c>
      <c r="BX11" s="1894">
        <v>32.18</v>
      </c>
      <c r="BY11" s="1894">
        <v>4425</v>
      </c>
      <c r="BZ11" s="1894">
        <f t="shared" si="16"/>
        <v>8249</v>
      </c>
      <c r="CA11" s="1894">
        <f t="shared" si="17"/>
        <v>0</v>
      </c>
      <c r="CB11" s="1894">
        <v>110</v>
      </c>
      <c r="CC11" s="1894">
        <v>19.920000000000002</v>
      </c>
      <c r="CD11" s="1894">
        <v>88</v>
      </c>
      <c r="CE11" s="1894">
        <v>0.52959999999999996</v>
      </c>
      <c r="CF11" s="1894">
        <v>26.25</v>
      </c>
      <c r="CG11" s="1894">
        <v>3891</v>
      </c>
      <c r="CH11" s="1894">
        <f t="shared" si="18"/>
        <v>8892</v>
      </c>
      <c r="CI11" s="1894">
        <f t="shared" si="19"/>
        <v>0</v>
      </c>
      <c r="CJ11" s="1894">
        <v>110</v>
      </c>
      <c r="CK11" s="1894">
        <v>15.120000000000001</v>
      </c>
      <c r="CL11" s="1894">
        <v>88</v>
      </c>
      <c r="CM11" s="1894">
        <v>0.55269999999999997</v>
      </c>
      <c r="CN11" s="1894">
        <v>31.89</v>
      </c>
      <c r="CO11" s="1894">
        <v>3240</v>
      </c>
      <c r="CP11" s="1894">
        <f t="shared" si="20"/>
        <v>6096</v>
      </c>
      <c r="CQ11" s="1894">
        <f t="shared" si="21"/>
        <v>0</v>
      </c>
      <c r="CR11" s="1924">
        <v>110</v>
      </c>
      <c r="CS11" s="1924">
        <v>13.919999999999998</v>
      </c>
      <c r="CT11" s="1924">
        <v>88</v>
      </c>
      <c r="CU11" s="1924">
        <v>0.59940000000000004</v>
      </c>
      <c r="CV11" s="1924">
        <v>32.18</v>
      </c>
      <c r="CW11" s="1924">
        <v>3333</v>
      </c>
      <c r="CX11" s="1894">
        <f t="shared" si="22"/>
        <v>6214</v>
      </c>
      <c r="CY11" s="1894">
        <f t="shared" si="23"/>
        <v>0</v>
      </c>
    </row>
    <row r="12" spans="1:105">
      <c r="A12" s="982">
        <v>123000000078</v>
      </c>
      <c r="B12" s="1923">
        <f t="shared" si="24"/>
        <v>6</v>
      </c>
      <c r="C12" s="1895" t="s">
        <v>2910</v>
      </c>
      <c r="D12" s="1894" t="s">
        <v>524</v>
      </c>
      <c r="E12" s="1895" t="s">
        <v>541</v>
      </c>
      <c r="F12" s="1894" t="s">
        <v>259</v>
      </c>
      <c r="G12" s="1924">
        <v>110</v>
      </c>
      <c r="H12" s="1894">
        <v>110</v>
      </c>
      <c r="I12" s="1894">
        <v>103.03999999999999</v>
      </c>
      <c r="J12" s="1894">
        <v>103.04</v>
      </c>
      <c r="K12" s="1894">
        <v>0.98109999999999997</v>
      </c>
      <c r="L12" s="1894">
        <v>23.77</v>
      </c>
      <c r="M12" s="1894">
        <v>17632</v>
      </c>
      <c r="N12" s="1894">
        <f t="shared" si="0"/>
        <v>44513</v>
      </c>
      <c r="O12" s="1894">
        <f t="shared" si="1"/>
        <v>0</v>
      </c>
      <c r="P12" s="1894">
        <v>110</v>
      </c>
      <c r="Q12" s="1894">
        <v>113.44000000000001</v>
      </c>
      <c r="R12" s="1894">
        <v>113.44</v>
      </c>
      <c r="S12" s="1894">
        <v>0.99619999999999997</v>
      </c>
      <c r="T12" s="1894">
        <v>18.73</v>
      </c>
      <c r="U12" s="1894">
        <v>15810</v>
      </c>
      <c r="V12" s="1894">
        <f t="shared" si="2"/>
        <v>50640</v>
      </c>
      <c r="W12" s="1894">
        <f t="shared" si="3"/>
        <v>0</v>
      </c>
      <c r="X12" s="1894">
        <v>110</v>
      </c>
      <c r="Y12" s="1894">
        <v>102.24</v>
      </c>
      <c r="Z12" s="1894">
        <v>102.24</v>
      </c>
      <c r="AA12" s="1894">
        <v>0.99609999999999999</v>
      </c>
      <c r="AB12" s="1894">
        <v>20.56</v>
      </c>
      <c r="AC12" s="1894">
        <v>15133</v>
      </c>
      <c r="AD12" s="1894">
        <f t="shared" si="4"/>
        <v>44168</v>
      </c>
      <c r="AE12" s="1894">
        <f t="shared" si="5"/>
        <v>0</v>
      </c>
      <c r="AF12" s="1894">
        <v>110</v>
      </c>
      <c r="AG12" s="1894">
        <v>106.47999999999999</v>
      </c>
      <c r="AH12" s="1894">
        <v>106.48</v>
      </c>
      <c r="AI12" s="1894">
        <v>0.98719999999999997</v>
      </c>
      <c r="AJ12" s="1894">
        <v>27.03</v>
      </c>
      <c r="AK12" s="1894">
        <v>21412</v>
      </c>
      <c r="AL12" s="1894">
        <f t="shared" si="6"/>
        <v>47533</v>
      </c>
      <c r="AM12" s="1894">
        <f t="shared" si="7"/>
        <v>0</v>
      </c>
      <c r="AN12" s="1894">
        <v>110</v>
      </c>
      <c r="AO12" s="1894">
        <v>132.64000000000001</v>
      </c>
      <c r="AP12" s="1894">
        <v>132.63999999999999</v>
      </c>
      <c r="AQ12" s="1894">
        <v>0.92400000000000004</v>
      </c>
      <c r="AR12" s="1894">
        <v>20.58</v>
      </c>
      <c r="AS12" s="1894">
        <v>20313</v>
      </c>
      <c r="AT12" s="1894">
        <f t="shared" si="8"/>
        <v>59210</v>
      </c>
      <c r="AU12" s="1894">
        <f t="shared" si="9"/>
        <v>0</v>
      </c>
      <c r="AV12" s="1894">
        <v>110</v>
      </c>
      <c r="AW12" s="1894">
        <v>107.36000000000001</v>
      </c>
      <c r="AX12" s="1894">
        <v>107.36</v>
      </c>
      <c r="AY12" s="1894">
        <v>0.94799999999999995</v>
      </c>
      <c r="AZ12" s="1894">
        <v>28.51</v>
      </c>
      <c r="BA12" s="1894">
        <v>22037</v>
      </c>
      <c r="BB12" s="1894">
        <f t="shared" si="10"/>
        <v>46380</v>
      </c>
      <c r="BC12" s="1894">
        <f t="shared" si="11"/>
        <v>0</v>
      </c>
      <c r="BD12" s="1894">
        <v>110</v>
      </c>
      <c r="BE12" s="1894">
        <v>101.92000000000002</v>
      </c>
      <c r="BF12" s="1894">
        <v>101.92</v>
      </c>
      <c r="BG12" s="1894">
        <v>0.99509999999999998</v>
      </c>
      <c r="BH12" s="1894">
        <v>22.14</v>
      </c>
      <c r="BI12" s="1894">
        <v>16790</v>
      </c>
      <c r="BJ12" s="1894">
        <f t="shared" si="12"/>
        <v>45497</v>
      </c>
      <c r="BK12" s="1894">
        <f t="shared" si="13"/>
        <v>0</v>
      </c>
      <c r="BL12" s="1894">
        <v>110</v>
      </c>
      <c r="BM12" s="1894">
        <v>106.4</v>
      </c>
      <c r="BN12" s="1894">
        <v>106.4</v>
      </c>
      <c r="BO12" s="1894">
        <v>0.99309999999999998</v>
      </c>
      <c r="BP12" s="1894">
        <v>28.22</v>
      </c>
      <c r="BQ12" s="1894">
        <v>21622</v>
      </c>
      <c r="BR12" s="1894">
        <f t="shared" si="14"/>
        <v>45965</v>
      </c>
      <c r="BS12" s="1894">
        <f t="shared" si="15"/>
        <v>0</v>
      </c>
      <c r="BT12" s="1894">
        <v>110</v>
      </c>
      <c r="BU12" s="1894">
        <v>107.75999999999999</v>
      </c>
      <c r="BV12" s="1894">
        <v>107.76</v>
      </c>
      <c r="BW12" s="1894">
        <v>0.99299999999999999</v>
      </c>
      <c r="BX12" s="1894">
        <v>19.25</v>
      </c>
      <c r="BY12" s="1894">
        <v>15432</v>
      </c>
      <c r="BZ12" s="1894">
        <f t="shared" si="16"/>
        <v>48104</v>
      </c>
      <c r="CA12" s="1894">
        <f t="shared" si="17"/>
        <v>0</v>
      </c>
      <c r="CB12" s="1894">
        <v>110</v>
      </c>
      <c r="CC12" s="1894">
        <v>109.28</v>
      </c>
      <c r="CD12" s="1894">
        <v>109.28</v>
      </c>
      <c r="CE12" s="1894">
        <v>0.99350000000000005</v>
      </c>
      <c r="CF12" s="1894">
        <v>18.559999999999999</v>
      </c>
      <c r="CG12" s="1894">
        <v>15090</v>
      </c>
      <c r="CH12" s="1894">
        <f t="shared" si="18"/>
        <v>48783</v>
      </c>
      <c r="CI12" s="1894">
        <f t="shared" si="19"/>
        <v>0</v>
      </c>
      <c r="CJ12" s="1894">
        <v>110</v>
      </c>
      <c r="CK12" s="1894">
        <v>114.48</v>
      </c>
      <c r="CL12" s="1894">
        <v>114.48</v>
      </c>
      <c r="CM12" s="1894">
        <v>0.99229999999999996</v>
      </c>
      <c r="CN12" s="1894">
        <v>22.1</v>
      </c>
      <c r="CO12" s="1894">
        <v>17005</v>
      </c>
      <c r="CP12" s="1894">
        <f t="shared" si="20"/>
        <v>46158</v>
      </c>
      <c r="CQ12" s="1894">
        <f t="shared" si="21"/>
        <v>0</v>
      </c>
      <c r="CR12" s="1924">
        <v>110</v>
      </c>
      <c r="CS12" s="1924">
        <v>113.68</v>
      </c>
      <c r="CT12" s="1924">
        <v>113.68</v>
      </c>
      <c r="CU12" s="1924">
        <v>0.98950000000000005</v>
      </c>
      <c r="CV12" s="1924">
        <v>21.7</v>
      </c>
      <c r="CW12" s="1924">
        <v>18353</v>
      </c>
      <c r="CX12" s="1894">
        <f t="shared" si="22"/>
        <v>50747</v>
      </c>
      <c r="CY12" s="1894">
        <f t="shared" si="23"/>
        <v>0</v>
      </c>
    </row>
    <row r="13" spans="1:105">
      <c r="A13" s="982">
        <v>123000000109</v>
      </c>
      <c r="B13" s="1923">
        <f t="shared" si="24"/>
        <v>7</v>
      </c>
      <c r="C13" s="1895" t="s">
        <v>2911</v>
      </c>
      <c r="D13" s="1894" t="s">
        <v>524</v>
      </c>
      <c r="E13" s="1895" t="s">
        <v>636</v>
      </c>
      <c r="F13" s="1894" t="s">
        <v>259</v>
      </c>
      <c r="G13" s="1924">
        <v>110</v>
      </c>
      <c r="H13" s="1894">
        <v>110</v>
      </c>
      <c r="I13" s="1894">
        <v>88.44</v>
      </c>
      <c r="J13" s="1894">
        <v>88.44</v>
      </c>
      <c r="K13" s="1894">
        <v>0.99160000000000004</v>
      </c>
      <c r="L13" s="1894">
        <v>11.88</v>
      </c>
      <c r="M13" s="1894">
        <v>7562</v>
      </c>
      <c r="N13" s="1894">
        <f t="shared" si="0"/>
        <v>38206</v>
      </c>
      <c r="O13" s="1894">
        <f t="shared" si="1"/>
        <v>0</v>
      </c>
      <c r="P13" s="1894">
        <v>110</v>
      </c>
      <c r="Q13" s="1894">
        <v>58.800000000000004</v>
      </c>
      <c r="R13" s="1894">
        <v>88</v>
      </c>
      <c r="S13" s="1894">
        <v>0.99160000000000004</v>
      </c>
      <c r="T13" s="1894">
        <v>18.91</v>
      </c>
      <c r="U13" s="1894">
        <v>8274</v>
      </c>
      <c r="V13" s="1894">
        <f t="shared" si="2"/>
        <v>26248</v>
      </c>
      <c r="W13" s="1894">
        <f t="shared" si="3"/>
        <v>0</v>
      </c>
      <c r="X13" s="1894">
        <v>110</v>
      </c>
      <c r="Y13" s="1894">
        <v>61.8</v>
      </c>
      <c r="Z13" s="1894">
        <v>88</v>
      </c>
      <c r="AA13" s="1894">
        <v>0.9889</v>
      </c>
      <c r="AB13" s="1894">
        <v>18.28</v>
      </c>
      <c r="AC13" s="1894">
        <v>8136</v>
      </c>
      <c r="AD13" s="1894">
        <f t="shared" si="4"/>
        <v>26698</v>
      </c>
      <c r="AE13" s="1894">
        <f t="shared" si="5"/>
        <v>0</v>
      </c>
      <c r="AF13" s="1894">
        <v>110</v>
      </c>
      <c r="AG13" s="1894">
        <v>68.88</v>
      </c>
      <c r="AH13" s="1894">
        <v>88</v>
      </c>
      <c r="AI13" s="1894">
        <v>0.99080000000000001</v>
      </c>
      <c r="AJ13" s="1894">
        <v>15.56</v>
      </c>
      <c r="AK13" s="1894">
        <v>7975</v>
      </c>
      <c r="AL13" s="1894">
        <f t="shared" si="6"/>
        <v>30748</v>
      </c>
      <c r="AM13" s="1894">
        <f t="shared" si="7"/>
        <v>0</v>
      </c>
      <c r="AN13" s="1894">
        <v>110</v>
      </c>
      <c r="AO13" s="1894">
        <v>62.040000000000006</v>
      </c>
      <c r="AP13" s="1894">
        <v>88</v>
      </c>
      <c r="AQ13" s="1894">
        <v>0.9909</v>
      </c>
      <c r="AR13" s="1894">
        <v>17.38</v>
      </c>
      <c r="AS13" s="1894">
        <v>8024</v>
      </c>
      <c r="AT13" s="1894">
        <f t="shared" si="8"/>
        <v>27695</v>
      </c>
      <c r="AU13" s="1894">
        <f t="shared" si="9"/>
        <v>0</v>
      </c>
      <c r="AV13" s="1894">
        <v>110</v>
      </c>
      <c r="AW13" s="1894">
        <v>55.92</v>
      </c>
      <c r="AX13" s="1894">
        <v>88</v>
      </c>
      <c r="AY13" s="1894">
        <v>0.99160000000000004</v>
      </c>
      <c r="AZ13" s="1894">
        <v>21.34</v>
      </c>
      <c r="BA13" s="1894">
        <v>8592</v>
      </c>
      <c r="BB13" s="1894">
        <f t="shared" si="10"/>
        <v>24157</v>
      </c>
      <c r="BC13" s="1894">
        <f t="shared" si="11"/>
        <v>0</v>
      </c>
      <c r="BD13" s="1894">
        <v>110</v>
      </c>
      <c r="BE13" s="1894">
        <v>92.64</v>
      </c>
      <c r="BF13" s="1894">
        <v>92.64</v>
      </c>
      <c r="BG13" s="1894">
        <v>0.99050000000000005</v>
      </c>
      <c r="BH13" s="1894">
        <v>15.4</v>
      </c>
      <c r="BI13" s="1894">
        <v>10614</v>
      </c>
      <c r="BJ13" s="1894">
        <f t="shared" si="12"/>
        <v>41354</v>
      </c>
      <c r="BK13" s="1894">
        <f t="shared" si="13"/>
        <v>0</v>
      </c>
      <c r="BL13" s="1894">
        <v>110</v>
      </c>
      <c r="BM13" s="1894">
        <v>67.319999999999993</v>
      </c>
      <c r="BN13" s="1894">
        <v>88</v>
      </c>
      <c r="BO13" s="1894">
        <v>0.99709999999999999</v>
      </c>
      <c r="BP13" s="1894">
        <v>20.6</v>
      </c>
      <c r="BQ13" s="1894">
        <v>9986</v>
      </c>
      <c r="BR13" s="1894">
        <f t="shared" si="14"/>
        <v>29082</v>
      </c>
      <c r="BS13" s="1894">
        <f t="shared" si="15"/>
        <v>0</v>
      </c>
      <c r="BT13" s="1894">
        <v>110</v>
      </c>
      <c r="BU13" s="1894">
        <v>44.52</v>
      </c>
      <c r="BV13" s="1894">
        <v>88</v>
      </c>
      <c r="BW13" s="1894">
        <v>0.99890000000000001</v>
      </c>
      <c r="BX13" s="1894">
        <v>28.31</v>
      </c>
      <c r="BY13" s="1894">
        <v>9378</v>
      </c>
      <c r="BZ13" s="1894">
        <f t="shared" si="16"/>
        <v>19874</v>
      </c>
      <c r="CA13" s="1894">
        <f t="shared" si="17"/>
        <v>0</v>
      </c>
      <c r="CB13" s="1894">
        <v>110</v>
      </c>
      <c r="CC13" s="1894">
        <v>53.88</v>
      </c>
      <c r="CD13" s="1894">
        <v>88</v>
      </c>
      <c r="CE13" s="1894">
        <v>0.99880000000000002</v>
      </c>
      <c r="CF13" s="1894">
        <v>22.37</v>
      </c>
      <c r="CG13" s="1894">
        <v>8968</v>
      </c>
      <c r="CH13" s="1894">
        <f t="shared" si="18"/>
        <v>24052</v>
      </c>
      <c r="CI13" s="1894">
        <f t="shared" si="19"/>
        <v>0</v>
      </c>
      <c r="CJ13" s="1894">
        <v>110</v>
      </c>
      <c r="CK13" s="1894">
        <v>56.52</v>
      </c>
      <c r="CL13" s="1894">
        <v>88</v>
      </c>
      <c r="CM13" s="1894">
        <v>0.99790000000000001</v>
      </c>
      <c r="CN13" s="1894">
        <v>26.93</v>
      </c>
      <c r="CO13" s="1894">
        <v>10230</v>
      </c>
      <c r="CP13" s="1894">
        <f t="shared" si="20"/>
        <v>22789</v>
      </c>
      <c r="CQ13" s="1894">
        <f t="shared" si="21"/>
        <v>0</v>
      </c>
      <c r="CR13" s="1924">
        <v>110</v>
      </c>
      <c r="CS13" s="1924">
        <v>65.88</v>
      </c>
      <c r="CT13" s="1924">
        <v>88</v>
      </c>
      <c r="CU13" s="1924">
        <v>0.99770000000000003</v>
      </c>
      <c r="CV13" s="1924">
        <v>26.32</v>
      </c>
      <c r="CW13" s="1924">
        <v>12903</v>
      </c>
      <c r="CX13" s="1894">
        <f t="shared" si="22"/>
        <v>29409</v>
      </c>
      <c r="CY13" s="1894">
        <f t="shared" si="23"/>
        <v>0</v>
      </c>
      <c r="DA13" s="517">
        <f>59+238</f>
        <v>297</v>
      </c>
    </row>
    <row r="14" spans="1:105">
      <c r="A14" s="982">
        <v>124000000008</v>
      </c>
      <c r="B14" s="1923">
        <f t="shared" si="24"/>
        <v>8</v>
      </c>
      <c r="C14" s="1895" t="s">
        <v>2912</v>
      </c>
      <c r="D14" s="1894" t="s">
        <v>524</v>
      </c>
      <c r="E14" s="1895" t="s">
        <v>636</v>
      </c>
      <c r="F14" s="1894" t="s">
        <v>259</v>
      </c>
      <c r="G14" s="1924">
        <v>110</v>
      </c>
      <c r="H14" s="1894">
        <v>110</v>
      </c>
      <c r="I14" s="1894">
        <v>24.25</v>
      </c>
      <c r="J14" s="1894">
        <v>88</v>
      </c>
      <c r="K14" s="1894">
        <v>0.97719999999999996</v>
      </c>
      <c r="L14" s="1894">
        <v>39.619999999999997</v>
      </c>
      <c r="M14" s="1894">
        <v>6226</v>
      </c>
      <c r="N14" s="1894">
        <f t="shared" si="0"/>
        <v>10476</v>
      </c>
      <c r="O14" s="1894">
        <f t="shared" si="1"/>
        <v>0</v>
      </c>
      <c r="P14" s="1894">
        <v>110</v>
      </c>
      <c r="Q14" s="1894">
        <v>32.25</v>
      </c>
      <c r="R14" s="1894">
        <v>88</v>
      </c>
      <c r="S14" s="1894">
        <v>0.97019999999999995</v>
      </c>
      <c r="T14" s="1894">
        <v>23.89</v>
      </c>
      <c r="U14" s="1894">
        <v>5916</v>
      </c>
      <c r="V14" s="1894">
        <f t="shared" si="2"/>
        <v>14396</v>
      </c>
      <c r="W14" s="1894">
        <f t="shared" si="3"/>
        <v>0</v>
      </c>
      <c r="X14" s="1894">
        <v>110</v>
      </c>
      <c r="Y14" s="1894">
        <v>25.25</v>
      </c>
      <c r="Z14" s="1894">
        <v>88</v>
      </c>
      <c r="AA14" s="1894">
        <v>0.96540000000000004</v>
      </c>
      <c r="AB14" s="1894">
        <v>32.909999999999997</v>
      </c>
      <c r="AC14" s="1894">
        <v>6581</v>
      </c>
      <c r="AD14" s="1894">
        <f t="shared" si="4"/>
        <v>10908</v>
      </c>
      <c r="AE14" s="1894">
        <f t="shared" si="5"/>
        <v>0</v>
      </c>
      <c r="AF14" s="1894">
        <v>110</v>
      </c>
      <c r="AG14" s="1894">
        <v>27.85</v>
      </c>
      <c r="AH14" s="1894">
        <v>88</v>
      </c>
      <c r="AI14" s="1894">
        <v>0.96609999999999996</v>
      </c>
      <c r="AJ14" s="1894">
        <v>8.23</v>
      </c>
      <c r="AK14" s="1894">
        <v>6518</v>
      </c>
      <c r="AL14" s="1894">
        <f t="shared" si="6"/>
        <v>12432</v>
      </c>
      <c r="AM14" s="1894">
        <f t="shared" si="7"/>
        <v>0</v>
      </c>
      <c r="AN14" s="1894">
        <v>110</v>
      </c>
      <c r="AO14" s="1894">
        <v>25.8</v>
      </c>
      <c r="AP14" s="1894">
        <v>88</v>
      </c>
      <c r="AQ14" s="1894">
        <v>0.96960000000000002</v>
      </c>
      <c r="AR14" s="1894">
        <v>31.34</v>
      </c>
      <c r="AS14" s="1894">
        <v>5627</v>
      </c>
      <c r="AT14" s="1894">
        <f t="shared" si="8"/>
        <v>11517</v>
      </c>
      <c r="AU14" s="1894">
        <f t="shared" si="9"/>
        <v>0</v>
      </c>
      <c r="AV14" s="1894">
        <v>110</v>
      </c>
      <c r="AW14" s="1894">
        <v>28.560000000000002</v>
      </c>
      <c r="AX14" s="1894">
        <v>88</v>
      </c>
      <c r="AY14" s="1894">
        <v>0.9728</v>
      </c>
      <c r="AZ14" s="1894">
        <v>30.13</v>
      </c>
      <c r="BA14" s="1894">
        <v>6403</v>
      </c>
      <c r="BB14" s="1894">
        <f t="shared" si="10"/>
        <v>12338</v>
      </c>
      <c r="BC14" s="1894">
        <f t="shared" si="11"/>
        <v>0</v>
      </c>
      <c r="BD14" s="1894">
        <v>110</v>
      </c>
      <c r="BE14" s="1894">
        <v>26</v>
      </c>
      <c r="BF14" s="1894">
        <v>88</v>
      </c>
      <c r="BG14" s="1894">
        <v>0.96660000000000001</v>
      </c>
      <c r="BH14" s="1894">
        <v>27.44</v>
      </c>
      <c r="BI14" s="1894">
        <v>5308</v>
      </c>
      <c r="BJ14" s="1894">
        <f t="shared" si="12"/>
        <v>11606</v>
      </c>
      <c r="BK14" s="1894">
        <f t="shared" si="13"/>
        <v>0</v>
      </c>
      <c r="BL14" s="1894">
        <v>110</v>
      </c>
      <c r="BM14" s="1894">
        <v>26.840000000000003</v>
      </c>
      <c r="BN14" s="1894">
        <v>88</v>
      </c>
      <c r="BO14" s="1894">
        <v>0.95309999999999995</v>
      </c>
      <c r="BP14" s="1894">
        <v>24.66</v>
      </c>
      <c r="BQ14" s="1894">
        <v>4607</v>
      </c>
      <c r="BR14" s="1894">
        <f t="shared" si="14"/>
        <v>11595</v>
      </c>
      <c r="BS14" s="1894">
        <f t="shared" si="15"/>
        <v>0</v>
      </c>
      <c r="BT14" s="1894">
        <v>110</v>
      </c>
      <c r="BU14" s="1894">
        <v>27.08</v>
      </c>
      <c r="BV14" s="1894">
        <v>88</v>
      </c>
      <c r="BW14" s="1894">
        <v>0.95830000000000004</v>
      </c>
      <c r="BX14" s="1894">
        <v>25.96</v>
      </c>
      <c r="BY14" s="1894">
        <v>6074</v>
      </c>
      <c r="BZ14" s="1894">
        <f t="shared" si="16"/>
        <v>12089</v>
      </c>
      <c r="CA14" s="1894">
        <f t="shared" si="17"/>
        <v>0</v>
      </c>
      <c r="CB14" s="1894">
        <v>110</v>
      </c>
      <c r="CC14" s="1894">
        <v>28.52</v>
      </c>
      <c r="CD14" s="1894">
        <v>88</v>
      </c>
      <c r="CE14" s="1894">
        <v>0.96530000000000005</v>
      </c>
      <c r="CF14" s="1894">
        <v>25.43</v>
      </c>
      <c r="CG14" s="1894">
        <v>5397</v>
      </c>
      <c r="CH14" s="1894">
        <f t="shared" si="18"/>
        <v>12731</v>
      </c>
      <c r="CI14" s="1894">
        <f t="shared" si="19"/>
        <v>0</v>
      </c>
      <c r="CJ14" s="1894">
        <v>110</v>
      </c>
      <c r="CK14" s="1894">
        <v>26.8</v>
      </c>
      <c r="CL14" s="1894">
        <v>88</v>
      </c>
      <c r="CM14" s="1894">
        <v>0.96919999999999995</v>
      </c>
      <c r="CN14" s="1894">
        <v>27.59</v>
      </c>
      <c r="CO14" s="1894">
        <v>4969</v>
      </c>
      <c r="CP14" s="1894">
        <f t="shared" si="20"/>
        <v>10806</v>
      </c>
      <c r="CQ14" s="1894">
        <f t="shared" si="21"/>
        <v>0</v>
      </c>
      <c r="CR14" s="1924">
        <v>110</v>
      </c>
      <c r="CS14" s="1924">
        <v>31.16</v>
      </c>
      <c r="CT14" s="1924">
        <v>88</v>
      </c>
      <c r="CU14" s="1924">
        <v>0.96689999999999998</v>
      </c>
      <c r="CV14" s="1924">
        <v>22.71</v>
      </c>
      <c r="CW14" s="1924">
        <v>5265</v>
      </c>
      <c r="CX14" s="1894">
        <f t="shared" si="22"/>
        <v>13910</v>
      </c>
      <c r="CY14" s="1894">
        <f t="shared" si="23"/>
        <v>0</v>
      </c>
    </row>
    <row r="15" spans="1:105">
      <c r="A15" s="982">
        <v>126000000013</v>
      </c>
      <c r="B15" s="1923">
        <f t="shared" si="24"/>
        <v>9</v>
      </c>
      <c r="C15" s="1895" t="s">
        <v>2913</v>
      </c>
      <c r="D15" s="1894" t="s">
        <v>524</v>
      </c>
      <c r="E15" s="1895" t="s">
        <v>541</v>
      </c>
      <c r="F15" s="1894" t="s">
        <v>259</v>
      </c>
      <c r="G15" s="1924">
        <v>110</v>
      </c>
      <c r="H15" s="1894">
        <v>110</v>
      </c>
      <c r="I15" s="1894">
        <v>15</v>
      </c>
      <c r="J15" s="1894">
        <v>88</v>
      </c>
      <c r="K15" s="1894">
        <v>0.96519999999999995</v>
      </c>
      <c r="L15" s="1894">
        <v>17.61</v>
      </c>
      <c r="M15" s="1894">
        <v>1902</v>
      </c>
      <c r="N15" s="1894">
        <f t="shared" si="0"/>
        <v>6480</v>
      </c>
      <c r="O15" s="1894">
        <f t="shared" si="1"/>
        <v>0</v>
      </c>
      <c r="P15" s="1894">
        <v>110</v>
      </c>
      <c r="Q15" s="1894">
        <v>10.200000000000001</v>
      </c>
      <c r="R15" s="1894">
        <v>88</v>
      </c>
      <c r="S15" s="1894">
        <v>0.99050000000000005</v>
      </c>
      <c r="T15" s="1894">
        <v>25.02</v>
      </c>
      <c r="U15" s="1894">
        <v>1899</v>
      </c>
      <c r="V15" s="1894">
        <f t="shared" si="2"/>
        <v>4553</v>
      </c>
      <c r="W15" s="1894">
        <f t="shared" si="3"/>
        <v>0</v>
      </c>
      <c r="X15" s="1894">
        <v>110</v>
      </c>
      <c r="Y15" s="1894">
        <v>10.200000000000001</v>
      </c>
      <c r="Z15" s="1894">
        <v>88</v>
      </c>
      <c r="AA15" s="1894">
        <v>0.99609999999999999</v>
      </c>
      <c r="AB15" s="1894">
        <v>20.96</v>
      </c>
      <c r="AC15" s="1894">
        <v>1539</v>
      </c>
      <c r="AD15" s="1894">
        <f t="shared" si="4"/>
        <v>4406</v>
      </c>
      <c r="AE15" s="1894">
        <f t="shared" si="5"/>
        <v>0</v>
      </c>
      <c r="AF15" s="1894">
        <v>110</v>
      </c>
      <c r="AG15" s="1894">
        <v>10.200000000000001</v>
      </c>
      <c r="AH15" s="1894">
        <v>88</v>
      </c>
      <c r="AI15" s="1894">
        <v>0.98780000000000001</v>
      </c>
      <c r="AJ15" s="1894">
        <v>26.05</v>
      </c>
      <c r="AK15" s="1894">
        <v>1977</v>
      </c>
      <c r="AL15" s="1894">
        <f t="shared" si="6"/>
        <v>4553</v>
      </c>
      <c r="AM15" s="1894">
        <f t="shared" si="7"/>
        <v>0</v>
      </c>
      <c r="AN15" s="1894">
        <v>110</v>
      </c>
      <c r="AO15" s="1894">
        <v>66.599999999999994</v>
      </c>
      <c r="AP15" s="1894">
        <v>88</v>
      </c>
      <c r="AQ15" s="1894">
        <v>0.98170000000000002</v>
      </c>
      <c r="AR15" s="1894">
        <v>3.98</v>
      </c>
      <c r="AS15" s="1894">
        <v>1971</v>
      </c>
      <c r="AT15" s="1894">
        <f t="shared" si="8"/>
        <v>29730</v>
      </c>
      <c r="AU15" s="1894">
        <f t="shared" si="9"/>
        <v>0</v>
      </c>
      <c r="AV15" s="1894">
        <v>110</v>
      </c>
      <c r="AW15" s="1894">
        <v>20.400000000000002</v>
      </c>
      <c r="AX15" s="1894">
        <v>88</v>
      </c>
      <c r="AY15" s="1894">
        <v>0.96460000000000001</v>
      </c>
      <c r="AZ15" s="1894">
        <v>14.22</v>
      </c>
      <c r="BA15" s="1894">
        <v>1950</v>
      </c>
      <c r="BB15" s="1894">
        <f t="shared" si="10"/>
        <v>8813</v>
      </c>
      <c r="BC15" s="1894">
        <f t="shared" si="11"/>
        <v>0</v>
      </c>
      <c r="BD15" s="1894">
        <v>110</v>
      </c>
      <c r="BE15" s="1894">
        <v>13.799999999999999</v>
      </c>
      <c r="BF15" s="1894">
        <v>88</v>
      </c>
      <c r="BG15" s="1894">
        <v>0.9536</v>
      </c>
      <c r="BH15" s="1894">
        <v>20.25</v>
      </c>
      <c r="BI15" s="1894">
        <v>1878</v>
      </c>
      <c r="BJ15" s="1894">
        <f t="shared" si="12"/>
        <v>6160</v>
      </c>
      <c r="BK15" s="1894">
        <f t="shared" si="13"/>
        <v>0</v>
      </c>
      <c r="BL15" s="1894">
        <v>110</v>
      </c>
      <c r="BM15" s="1894">
        <v>28.8</v>
      </c>
      <c r="BN15" s="1894">
        <v>88</v>
      </c>
      <c r="BO15" s="1894">
        <v>0.97099999999999997</v>
      </c>
      <c r="BP15" s="1894">
        <v>12.44</v>
      </c>
      <c r="BQ15" s="1894">
        <v>3009</v>
      </c>
      <c r="BR15" s="1894">
        <f t="shared" si="14"/>
        <v>12442</v>
      </c>
      <c r="BS15" s="1894">
        <f t="shared" si="15"/>
        <v>0</v>
      </c>
      <c r="BT15" s="1894">
        <v>110</v>
      </c>
      <c r="BU15" s="1894">
        <v>18</v>
      </c>
      <c r="BV15" s="1894">
        <v>88</v>
      </c>
      <c r="BW15" s="1894">
        <v>0.9446</v>
      </c>
      <c r="BX15" s="1894">
        <v>14.96</v>
      </c>
      <c r="BY15" s="1894">
        <v>2004</v>
      </c>
      <c r="BZ15" s="1894">
        <f t="shared" si="16"/>
        <v>8035</v>
      </c>
      <c r="CA15" s="1894">
        <f t="shared" si="17"/>
        <v>0</v>
      </c>
      <c r="CB15" s="1894">
        <v>110</v>
      </c>
      <c r="CC15" s="1894">
        <v>12.600000000000001</v>
      </c>
      <c r="CD15" s="1894">
        <v>88</v>
      </c>
      <c r="CE15" s="1894">
        <v>0.91869999999999996</v>
      </c>
      <c r="CF15" s="1894">
        <v>19.3</v>
      </c>
      <c r="CG15" s="1894">
        <v>1809</v>
      </c>
      <c r="CH15" s="1894">
        <f t="shared" si="18"/>
        <v>5625</v>
      </c>
      <c r="CI15" s="1894">
        <f t="shared" si="19"/>
        <v>0</v>
      </c>
      <c r="CJ15" s="1894">
        <v>110</v>
      </c>
      <c r="CK15" s="1894">
        <v>15.6</v>
      </c>
      <c r="CL15" s="1894">
        <v>88</v>
      </c>
      <c r="CM15" s="1894">
        <v>0.94599999999999995</v>
      </c>
      <c r="CN15" s="1894">
        <v>14.85</v>
      </c>
      <c r="CO15" s="1894">
        <v>1557</v>
      </c>
      <c r="CP15" s="1894">
        <f t="shared" si="20"/>
        <v>6290</v>
      </c>
      <c r="CQ15" s="1894">
        <f t="shared" si="21"/>
        <v>0</v>
      </c>
      <c r="CR15" s="1924">
        <v>110</v>
      </c>
      <c r="CS15" s="1924">
        <v>13.2</v>
      </c>
      <c r="CT15" s="1924">
        <v>88</v>
      </c>
      <c r="CU15" s="1924">
        <v>0.97099999999999997</v>
      </c>
      <c r="CV15" s="1924">
        <v>17.96</v>
      </c>
      <c r="CW15" s="1924">
        <v>1764</v>
      </c>
      <c r="CX15" s="1894">
        <f t="shared" si="22"/>
        <v>5892</v>
      </c>
      <c r="CY15" s="1894">
        <f t="shared" si="23"/>
        <v>0</v>
      </c>
    </row>
    <row r="16" spans="1:105">
      <c r="A16" s="982">
        <v>129000000001</v>
      </c>
      <c r="B16" s="1923">
        <f t="shared" si="24"/>
        <v>10</v>
      </c>
      <c r="C16" s="1895" t="s">
        <v>2914</v>
      </c>
      <c r="D16" s="1894" t="s">
        <v>524</v>
      </c>
      <c r="E16" s="1895" t="s">
        <v>737</v>
      </c>
      <c r="F16" s="1894" t="s">
        <v>259</v>
      </c>
      <c r="G16" s="1924">
        <v>110</v>
      </c>
      <c r="H16" s="1894">
        <v>110</v>
      </c>
      <c r="I16" s="1894">
        <v>28.599999999999998</v>
      </c>
      <c r="J16" s="1894">
        <v>88</v>
      </c>
      <c r="K16" s="1894">
        <v>0.9536</v>
      </c>
      <c r="L16" s="1894">
        <v>52.58</v>
      </c>
      <c r="M16" s="1894">
        <v>11911</v>
      </c>
      <c r="N16" s="1894">
        <f t="shared" si="0"/>
        <v>12355</v>
      </c>
      <c r="O16" s="1894">
        <f t="shared" si="1"/>
        <v>0</v>
      </c>
      <c r="P16" s="1894">
        <v>110</v>
      </c>
      <c r="Q16" s="1894">
        <v>29.4</v>
      </c>
      <c r="R16" s="1894">
        <v>88</v>
      </c>
      <c r="S16" s="1894">
        <v>0.95469999999999999</v>
      </c>
      <c r="T16" s="1894">
        <v>50.15</v>
      </c>
      <c r="U16" s="1894">
        <v>10969</v>
      </c>
      <c r="V16" s="1894">
        <f t="shared" si="2"/>
        <v>13124</v>
      </c>
      <c r="W16" s="1894">
        <f t="shared" si="3"/>
        <v>0</v>
      </c>
      <c r="X16" s="1894">
        <v>110</v>
      </c>
      <c r="Y16" s="1894">
        <v>34.799999999999997</v>
      </c>
      <c r="Z16" s="1894">
        <v>88</v>
      </c>
      <c r="AA16" s="1894">
        <v>0.91080000000000005</v>
      </c>
      <c r="AB16" s="1894">
        <v>29.81</v>
      </c>
      <c r="AC16" s="1894">
        <v>7469</v>
      </c>
      <c r="AD16" s="1894">
        <f t="shared" si="4"/>
        <v>15034</v>
      </c>
      <c r="AE16" s="1894">
        <f t="shared" si="5"/>
        <v>0</v>
      </c>
      <c r="AF16" s="1894">
        <v>110</v>
      </c>
      <c r="AG16" s="1894">
        <v>26.479999999999997</v>
      </c>
      <c r="AH16" s="1894">
        <v>88</v>
      </c>
      <c r="AI16" s="1894">
        <v>0.94710000000000005</v>
      </c>
      <c r="AJ16" s="1894">
        <v>49.7</v>
      </c>
      <c r="AK16" s="1894">
        <v>7896</v>
      </c>
      <c r="AL16" s="1894">
        <f t="shared" si="6"/>
        <v>11821</v>
      </c>
      <c r="AM16" s="1894">
        <f t="shared" si="7"/>
        <v>0</v>
      </c>
      <c r="AN16" s="1894">
        <v>110</v>
      </c>
      <c r="AO16" s="1894">
        <v>27.200000000000003</v>
      </c>
      <c r="AP16" s="1894">
        <v>88</v>
      </c>
      <c r="AQ16" s="1894">
        <v>0.95409999999999995</v>
      </c>
      <c r="AR16" s="1894">
        <v>56.53</v>
      </c>
      <c r="AS16" s="1894">
        <v>12546</v>
      </c>
      <c r="AT16" s="1894">
        <f t="shared" si="8"/>
        <v>12142</v>
      </c>
      <c r="AU16" s="1894">
        <f t="shared" si="9"/>
        <v>404</v>
      </c>
      <c r="AV16" s="1894">
        <v>110</v>
      </c>
      <c r="AW16" s="1894">
        <v>27.200000000000003</v>
      </c>
      <c r="AX16" s="1894">
        <v>88</v>
      </c>
      <c r="AY16" s="1894">
        <v>0.95860000000000001</v>
      </c>
      <c r="AZ16" s="1894">
        <v>67.739999999999995</v>
      </c>
      <c r="BA16" s="1894">
        <v>11498</v>
      </c>
      <c r="BB16" s="1894">
        <f t="shared" si="10"/>
        <v>11750</v>
      </c>
      <c r="BC16" s="1894">
        <f t="shared" si="11"/>
        <v>0</v>
      </c>
      <c r="BD16" s="1894">
        <v>110</v>
      </c>
      <c r="BE16" s="1894">
        <v>25.759999999999998</v>
      </c>
      <c r="BF16" s="1894">
        <v>88</v>
      </c>
      <c r="BG16" s="1894">
        <v>0.93130000000000002</v>
      </c>
      <c r="BH16" s="1894">
        <v>48.63</v>
      </c>
      <c r="BI16" s="1894">
        <v>9320</v>
      </c>
      <c r="BJ16" s="1894">
        <f t="shared" si="12"/>
        <v>11499</v>
      </c>
      <c r="BK16" s="1894">
        <f t="shared" si="13"/>
        <v>0</v>
      </c>
      <c r="BL16" s="1894">
        <v>110</v>
      </c>
      <c r="BM16" s="1894">
        <v>23.68</v>
      </c>
      <c r="BN16" s="1894">
        <v>88</v>
      </c>
      <c r="BO16" s="1894">
        <v>0.89900000000000002</v>
      </c>
      <c r="BP16" s="1894">
        <v>57.91</v>
      </c>
      <c r="BQ16" s="1894">
        <v>9544</v>
      </c>
      <c r="BR16" s="1894">
        <f t="shared" si="14"/>
        <v>10230</v>
      </c>
      <c r="BS16" s="1894">
        <f t="shared" si="15"/>
        <v>0</v>
      </c>
      <c r="BT16" s="1894">
        <v>110</v>
      </c>
      <c r="BU16" s="1894">
        <v>21.12</v>
      </c>
      <c r="BV16" s="1894">
        <v>88</v>
      </c>
      <c r="BW16" s="1894">
        <v>0.85729999999999995</v>
      </c>
      <c r="BX16" s="1894">
        <v>57.33</v>
      </c>
      <c r="BY16" s="1894">
        <v>8136</v>
      </c>
      <c r="BZ16" s="1894">
        <f t="shared" si="16"/>
        <v>9428</v>
      </c>
      <c r="CA16" s="1894">
        <f t="shared" si="17"/>
        <v>0</v>
      </c>
      <c r="CB16" s="1894">
        <v>110</v>
      </c>
      <c r="CC16" s="1894">
        <v>21.6</v>
      </c>
      <c r="CD16" s="1894">
        <v>88</v>
      </c>
      <c r="CE16" s="1894">
        <v>0.84499999999999997</v>
      </c>
      <c r="CF16" s="1894">
        <v>50.59</v>
      </c>
      <c r="CG16" s="1894">
        <v>11014</v>
      </c>
      <c r="CH16" s="1894">
        <f t="shared" si="18"/>
        <v>9642</v>
      </c>
      <c r="CI16" s="1894">
        <f t="shared" si="19"/>
        <v>1372</v>
      </c>
      <c r="CJ16" s="1894">
        <v>110</v>
      </c>
      <c r="CK16" s="1894">
        <v>25.119999999999997</v>
      </c>
      <c r="CL16" s="1894">
        <v>88</v>
      </c>
      <c r="CM16" s="1894">
        <v>0.92679999999999996</v>
      </c>
      <c r="CN16" s="1894">
        <v>59.52</v>
      </c>
      <c r="CO16" s="1894">
        <v>10048</v>
      </c>
      <c r="CP16" s="1894">
        <f t="shared" si="20"/>
        <v>10128</v>
      </c>
      <c r="CQ16" s="1894">
        <f t="shared" si="21"/>
        <v>0</v>
      </c>
      <c r="CR16" s="1924">
        <v>110</v>
      </c>
      <c r="CS16" s="1924">
        <v>28.16</v>
      </c>
      <c r="CT16" s="1924">
        <v>88</v>
      </c>
      <c r="CU16" s="1924">
        <v>0.94740000000000002</v>
      </c>
      <c r="CV16" s="1924">
        <v>58.29</v>
      </c>
      <c r="CW16" s="1924">
        <v>12213</v>
      </c>
      <c r="CX16" s="1894">
        <f t="shared" si="22"/>
        <v>12571</v>
      </c>
      <c r="CY16" s="1894">
        <f t="shared" si="23"/>
        <v>0</v>
      </c>
    </row>
    <row r="17" spans="1:103">
      <c r="A17" s="982">
        <v>615000000005</v>
      </c>
      <c r="B17" s="1923">
        <f t="shared" si="24"/>
        <v>11</v>
      </c>
      <c r="C17" s="1895" t="s">
        <v>2915</v>
      </c>
      <c r="D17" s="1894" t="s">
        <v>524</v>
      </c>
      <c r="E17" s="1895" t="s">
        <v>541</v>
      </c>
      <c r="F17" s="1894" t="s">
        <v>259</v>
      </c>
      <c r="G17" s="1924">
        <v>110</v>
      </c>
      <c r="H17" s="1894">
        <v>110</v>
      </c>
      <c r="I17" s="1894">
        <v>7.08</v>
      </c>
      <c r="J17" s="1894">
        <v>88</v>
      </c>
      <c r="K17" s="1894">
        <v>1</v>
      </c>
      <c r="L17" s="1894">
        <v>34.549999999999997</v>
      </c>
      <c r="M17" s="1894">
        <v>1761</v>
      </c>
      <c r="N17" s="1894">
        <f t="shared" si="0"/>
        <v>3059</v>
      </c>
      <c r="O17" s="1894">
        <f t="shared" si="1"/>
        <v>0</v>
      </c>
      <c r="P17" s="1894">
        <v>110</v>
      </c>
      <c r="Q17" s="1894">
        <v>7.25</v>
      </c>
      <c r="R17" s="1894">
        <v>88</v>
      </c>
      <c r="S17" s="1894">
        <v>0.99890000000000001</v>
      </c>
      <c r="T17" s="1894">
        <v>42.74</v>
      </c>
      <c r="U17" s="1894">
        <v>1859</v>
      </c>
      <c r="V17" s="1894">
        <f t="shared" si="2"/>
        <v>3236</v>
      </c>
      <c r="W17" s="1894">
        <f t="shared" si="3"/>
        <v>0</v>
      </c>
      <c r="X17" s="1894">
        <v>110</v>
      </c>
      <c r="Y17" s="1894">
        <v>7.13</v>
      </c>
      <c r="Z17" s="1894">
        <v>88</v>
      </c>
      <c r="AA17" s="1894">
        <v>1</v>
      </c>
      <c r="AB17" s="1894">
        <v>41.81</v>
      </c>
      <c r="AC17" s="1894">
        <v>2218</v>
      </c>
      <c r="AD17" s="1894">
        <f t="shared" si="4"/>
        <v>3080</v>
      </c>
      <c r="AE17" s="1894">
        <f t="shared" si="5"/>
        <v>0</v>
      </c>
      <c r="AF17" s="1894">
        <v>110</v>
      </c>
      <c r="AG17" s="1894">
        <v>8.17</v>
      </c>
      <c r="AH17" s="1894">
        <v>88</v>
      </c>
      <c r="AI17" s="1894">
        <v>1</v>
      </c>
      <c r="AJ17" s="1894">
        <v>2.0699999999999998</v>
      </c>
      <c r="AK17" s="1894">
        <v>1964</v>
      </c>
      <c r="AL17" s="1894">
        <f t="shared" si="6"/>
        <v>3647</v>
      </c>
      <c r="AM17" s="1894">
        <f t="shared" si="7"/>
        <v>0</v>
      </c>
      <c r="AN17" s="1894">
        <v>110</v>
      </c>
      <c r="AO17" s="1894">
        <v>6.29</v>
      </c>
      <c r="AP17" s="1894">
        <v>88</v>
      </c>
      <c r="AQ17" s="1894">
        <v>1</v>
      </c>
      <c r="AR17" s="1894">
        <v>2.12</v>
      </c>
      <c r="AS17" s="1894">
        <v>1732</v>
      </c>
      <c r="AT17" s="1894">
        <f t="shared" si="8"/>
        <v>2808</v>
      </c>
      <c r="AU17" s="1894">
        <f t="shared" si="9"/>
        <v>0</v>
      </c>
      <c r="AV17" s="1894">
        <v>110</v>
      </c>
      <c r="AW17" s="1894">
        <v>6.01</v>
      </c>
      <c r="AX17" s="1894">
        <v>88</v>
      </c>
      <c r="AY17" s="1894">
        <v>1</v>
      </c>
      <c r="AZ17" s="1894">
        <v>39.1</v>
      </c>
      <c r="BA17" s="1894">
        <v>1692</v>
      </c>
      <c r="BB17" s="1894">
        <f t="shared" si="10"/>
        <v>2596</v>
      </c>
      <c r="BC17" s="1894">
        <f t="shared" si="11"/>
        <v>0</v>
      </c>
      <c r="BD17" s="1894">
        <v>110</v>
      </c>
      <c r="BE17" s="1894">
        <v>4.33</v>
      </c>
      <c r="BF17" s="1894">
        <v>88</v>
      </c>
      <c r="BG17" s="1894">
        <v>1</v>
      </c>
      <c r="BH17" s="1894">
        <v>48.46</v>
      </c>
      <c r="BI17" s="1894">
        <v>1561</v>
      </c>
      <c r="BJ17" s="1894">
        <f t="shared" si="12"/>
        <v>1933</v>
      </c>
      <c r="BK17" s="1894">
        <f t="shared" si="13"/>
        <v>0</v>
      </c>
      <c r="BL17" s="1894">
        <v>110</v>
      </c>
      <c r="BM17" s="1894">
        <v>4.6099999999999994</v>
      </c>
      <c r="BN17" s="1894">
        <v>88</v>
      </c>
      <c r="BO17" s="1894">
        <v>1</v>
      </c>
      <c r="BP17" s="1894">
        <v>44.2</v>
      </c>
      <c r="BQ17" s="1894">
        <v>1467</v>
      </c>
      <c r="BR17" s="1894">
        <f t="shared" si="14"/>
        <v>1992</v>
      </c>
      <c r="BS17" s="1894">
        <f t="shared" si="15"/>
        <v>0</v>
      </c>
      <c r="BT17" s="1894">
        <v>110</v>
      </c>
      <c r="BU17" s="1894">
        <v>5.73</v>
      </c>
      <c r="BV17" s="1894">
        <v>88</v>
      </c>
      <c r="BW17" s="1894">
        <v>1</v>
      </c>
      <c r="BX17" s="1894">
        <v>34.15</v>
      </c>
      <c r="BY17" s="1894">
        <v>1268</v>
      </c>
      <c r="BZ17" s="1894">
        <f t="shared" si="16"/>
        <v>2558</v>
      </c>
      <c r="CA17" s="1894">
        <f t="shared" si="17"/>
        <v>0</v>
      </c>
      <c r="CB17" s="1894">
        <v>110</v>
      </c>
      <c r="CC17" s="1894">
        <v>5.49</v>
      </c>
      <c r="CD17" s="1894">
        <v>88</v>
      </c>
      <c r="CE17" s="1894">
        <v>1</v>
      </c>
      <c r="CF17" s="1894">
        <v>33.369999999999997</v>
      </c>
      <c r="CG17" s="1894">
        <v>1539</v>
      </c>
      <c r="CH17" s="1894">
        <f t="shared" si="18"/>
        <v>2451</v>
      </c>
      <c r="CI17" s="1894">
        <f t="shared" si="19"/>
        <v>0</v>
      </c>
      <c r="CJ17" s="1894">
        <v>110</v>
      </c>
      <c r="CK17" s="1894">
        <v>5.61</v>
      </c>
      <c r="CL17" s="1894">
        <v>88</v>
      </c>
      <c r="CM17" s="1894">
        <v>1</v>
      </c>
      <c r="CN17" s="1894">
        <v>39.82</v>
      </c>
      <c r="CO17" s="1894">
        <v>1501</v>
      </c>
      <c r="CP17" s="1894">
        <f t="shared" si="20"/>
        <v>2262</v>
      </c>
      <c r="CQ17" s="1894">
        <f t="shared" si="21"/>
        <v>0</v>
      </c>
      <c r="CR17" s="1924">
        <v>110</v>
      </c>
      <c r="CS17" s="1924">
        <v>5.93</v>
      </c>
      <c r="CT17" s="1924">
        <v>88</v>
      </c>
      <c r="CU17" s="1924">
        <v>1</v>
      </c>
      <c r="CV17" s="1924">
        <v>37.44</v>
      </c>
      <c r="CW17" s="1924">
        <v>1652</v>
      </c>
      <c r="CX17" s="1894">
        <f t="shared" si="22"/>
        <v>2647</v>
      </c>
      <c r="CY17" s="1894">
        <f t="shared" si="23"/>
        <v>0</v>
      </c>
    </row>
    <row r="18" spans="1:103">
      <c r="A18" s="982">
        <v>621000000002</v>
      </c>
      <c r="B18" s="1923">
        <f t="shared" si="24"/>
        <v>12</v>
      </c>
      <c r="C18" s="1895" t="s">
        <v>2916</v>
      </c>
      <c r="D18" s="1894" t="s">
        <v>524</v>
      </c>
      <c r="E18" s="1895" t="s">
        <v>636</v>
      </c>
      <c r="F18" s="1894" t="s">
        <v>259</v>
      </c>
      <c r="G18" s="1924">
        <v>110</v>
      </c>
      <c r="H18" s="1894">
        <v>110</v>
      </c>
      <c r="I18" s="1894">
        <v>119.92</v>
      </c>
      <c r="J18" s="1894">
        <v>119.92</v>
      </c>
      <c r="K18" s="1894">
        <v>0.99939999999999996</v>
      </c>
      <c r="L18" s="1894">
        <v>53.2</v>
      </c>
      <c r="M18" s="1894">
        <v>45937</v>
      </c>
      <c r="N18" s="1894">
        <f t="shared" si="0"/>
        <v>51805</v>
      </c>
      <c r="O18" s="1894">
        <f t="shared" si="1"/>
        <v>0</v>
      </c>
      <c r="P18" s="1894">
        <v>110</v>
      </c>
      <c r="Q18" s="1894">
        <v>105.84</v>
      </c>
      <c r="R18" s="1894">
        <v>105.84</v>
      </c>
      <c r="S18" s="1894">
        <v>0.99909999999999999</v>
      </c>
      <c r="T18" s="1894">
        <v>61.84</v>
      </c>
      <c r="U18" s="1894">
        <v>45556</v>
      </c>
      <c r="V18" s="1894">
        <f t="shared" si="2"/>
        <v>47247</v>
      </c>
      <c r="W18" s="1894">
        <f t="shared" si="3"/>
        <v>0</v>
      </c>
      <c r="X18" s="1894">
        <v>110</v>
      </c>
      <c r="Y18" s="1894">
        <v>123.27999999999999</v>
      </c>
      <c r="Z18" s="1894">
        <v>123.28</v>
      </c>
      <c r="AA18" s="1894">
        <v>0.999</v>
      </c>
      <c r="AB18" s="1894">
        <v>53.3</v>
      </c>
      <c r="AC18" s="1894">
        <v>44154</v>
      </c>
      <c r="AD18" s="1894">
        <f t="shared" si="4"/>
        <v>53257</v>
      </c>
      <c r="AE18" s="1894">
        <f t="shared" si="5"/>
        <v>0</v>
      </c>
      <c r="AF18" s="1894">
        <v>110</v>
      </c>
      <c r="AG18" s="1894">
        <v>92.800000000000011</v>
      </c>
      <c r="AH18" s="1894">
        <v>92.8</v>
      </c>
      <c r="AI18" s="1894">
        <v>0.99880000000000002</v>
      </c>
      <c r="AJ18" s="1894">
        <v>56.62</v>
      </c>
      <c r="AK18" s="1894">
        <v>35307</v>
      </c>
      <c r="AL18" s="1894">
        <f t="shared" si="6"/>
        <v>41426</v>
      </c>
      <c r="AM18" s="1894">
        <f t="shared" si="7"/>
        <v>0</v>
      </c>
      <c r="AN18" s="1894">
        <v>110</v>
      </c>
      <c r="AO18" s="1894">
        <v>90.24</v>
      </c>
      <c r="AP18" s="1894">
        <v>90.24</v>
      </c>
      <c r="AQ18" s="1894">
        <v>0.99909999999999999</v>
      </c>
      <c r="AR18" s="1894">
        <v>57.55</v>
      </c>
      <c r="AS18" s="1894">
        <v>46120</v>
      </c>
      <c r="AT18" s="1894">
        <f t="shared" si="8"/>
        <v>40283</v>
      </c>
      <c r="AU18" s="1894">
        <f t="shared" si="9"/>
        <v>5837</v>
      </c>
      <c r="AV18" s="1894">
        <v>110</v>
      </c>
      <c r="AW18" s="1894">
        <v>98.16</v>
      </c>
      <c r="AX18" s="1894">
        <v>98.16</v>
      </c>
      <c r="AY18" s="1894">
        <v>0.99950000000000006</v>
      </c>
      <c r="AZ18" s="1894">
        <v>56.04</v>
      </c>
      <c r="BA18" s="1894">
        <v>39608</v>
      </c>
      <c r="BB18" s="1894">
        <f t="shared" si="10"/>
        <v>42405</v>
      </c>
      <c r="BC18" s="1894">
        <f t="shared" si="11"/>
        <v>0</v>
      </c>
      <c r="BD18" s="1894">
        <v>110</v>
      </c>
      <c r="BE18" s="1894">
        <v>92.320000000000007</v>
      </c>
      <c r="BF18" s="1894">
        <v>92.32</v>
      </c>
      <c r="BG18" s="1894">
        <v>0.99960000000000004</v>
      </c>
      <c r="BH18" s="1894">
        <v>53.47</v>
      </c>
      <c r="BI18" s="1894">
        <v>35542</v>
      </c>
      <c r="BJ18" s="1894">
        <f t="shared" si="12"/>
        <v>41212</v>
      </c>
      <c r="BK18" s="1894">
        <f t="shared" si="13"/>
        <v>0</v>
      </c>
      <c r="BL18" s="1894">
        <v>110</v>
      </c>
      <c r="BM18" s="1894">
        <v>81.599999999999994</v>
      </c>
      <c r="BN18" s="1894">
        <v>88</v>
      </c>
      <c r="BO18" s="1894">
        <v>0.99960000000000004</v>
      </c>
      <c r="BP18" s="1894">
        <v>58.01</v>
      </c>
      <c r="BQ18" s="1894">
        <v>36355</v>
      </c>
      <c r="BR18" s="1894">
        <f t="shared" si="14"/>
        <v>35251</v>
      </c>
      <c r="BS18" s="1894">
        <f t="shared" si="15"/>
        <v>1104</v>
      </c>
      <c r="BT18" s="1894">
        <v>110</v>
      </c>
      <c r="BU18" s="1894">
        <v>101.84</v>
      </c>
      <c r="BV18" s="1894">
        <v>101.84</v>
      </c>
      <c r="BW18" s="1894">
        <v>0.99970000000000003</v>
      </c>
      <c r="BX18" s="1894">
        <v>52.01</v>
      </c>
      <c r="BY18" s="1894">
        <v>39408</v>
      </c>
      <c r="BZ18" s="1894">
        <f t="shared" si="16"/>
        <v>45461</v>
      </c>
      <c r="CA18" s="1894">
        <f t="shared" si="17"/>
        <v>0</v>
      </c>
      <c r="CB18" s="1894">
        <v>110</v>
      </c>
      <c r="CC18" s="1894">
        <v>89.44</v>
      </c>
      <c r="CD18" s="1894">
        <v>89.44</v>
      </c>
      <c r="CE18" s="1894">
        <v>0.99970000000000003</v>
      </c>
      <c r="CF18" s="1894">
        <v>59.4</v>
      </c>
      <c r="CG18" s="1894">
        <v>39529</v>
      </c>
      <c r="CH18" s="1894">
        <f t="shared" si="18"/>
        <v>39926</v>
      </c>
      <c r="CI18" s="1894">
        <f t="shared" si="19"/>
        <v>0</v>
      </c>
      <c r="CJ18" s="1894">
        <v>110</v>
      </c>
      <c r="CK18" s="1894">
        <v>91.92</v>
      </c>
      <c r="CL18" s="1894">
        <v>91.92</v>
      </c>
      <c r="CM18" s="1894">
        <v>0.99960000000000004</v>
      </c>
      <c r="CN18" s="1894">
        <v>48.05</v>
      </c>
      <c r="CO18" s="1894">
        <v>29678</v>
      </c>
      <c r="CP18" s="1894">
        <f t="shared" si="20"/>
        <v>37062</v>
      </c>
      <c r="CQ18" s="1894">
        <f t="shared" si="21"/>
        <v>0</v>
      </c>
      <c r="CR18" s="1924">
        <v>110</v>
      </c>
      <c r="CS18" s="1924">
        <v>75.039999999999992</v>
      </c>
      <c r="CT18" s="1924">
        <v>88</v>
      </c>
      <c r="CU18" s="1924">
        <v>0.99970000000000003</v>
      </c>
      <c r="CV18" s="1924">
        <v>61.05</v>
      </c>
      <c r="CW18" s="1924">
        <v>34083</v>
      </c>
      <c r="CX18" s="1894">
        <f t="shared" si="22"/>
        <v>33498</v>
      </c>
      <c r="CY18" s="1894">
        <f t="shared" si="23"/>
        <v>585</v>
      </c>
    </row>
    <row r="19" spans="1:103">
      <c r="A19" s="982">
        <v>123000000071</v>
      </c>
      <c r="B19" s="1923">
        <f t="shared" si="24"/>
        <v>13</v>
      </c>
      <c r="C19" s="1895" t="s">
        <v>2917</v>
      </c>
      <c r="D19" s="1894" t="s">
        <v>524</v>
      </c>
      <c r="E19" s="1895" t="s">
        <v>636</v>
      </c>
      <c r="F19" s="1894" t="s">
        <v>259</v>
      </c>
      <c r="G19" s="1924">
        <v>110.2</v>
      </c>
      <c r="H19" s="1894">
        <v>110.2</v>
      </c>
      <c r="I19" s="1894">
        <v>30.72</v>
      </c>
      <c r="J19" s="1894">
        <v>88.16</v>
      </c>
      <c r="K19" s="1894">
        <v>0.95009999999999994</v>
      </c>
      <c r="L19" s="1894">
        <v>0</v>
      </c>
      <c r="M19" s="1894">
        <v>3147</v>
      </c>
      <c r="N19" s="1894">
        <f t="shared" si="0"/>
        <v>13271</v>
      </c>
      <c r="O19" s="1894">
        <f t="shared" si="1"/>
        <v>0</v>
      </c>
      <c r="P19" s="1894">
        <v>110.2</v>
      </c>
      <c r="Q19" s="1894">
        <v>42</v>
      </c>
      <c r="R19" s="1894">
        <v>88.16</v>
      </c>
      <c r="S19" s="1894">
        <v>0.8891</v>
      </c>
      <c r="T19" s="1894">
        <v>0</v>
      </c>
      <c r="U19" s="1894">
        <v>1516</v>
      </c>
      <c r="V19" s="1894">
        <f t="shared" si="2"/>
        <v>18749</v>
      </c>
      <c r="W19" s="1894">
        <f t="shared" si="3"/>
        <v>0</v>
      </c>
      <c r="X19" s="1894">
        <v>110.2</v>
      </c>
      <c r="Y19" s="1894">
        <v>41.760000000000005</v>
      </c>
      <c r="Z19" s="1894">
        <v>88.16</v>
      </c>
      <c r="AA19" s="1894">
        <v>0.90669999999999995</v>
      </c>
      <c r="AB19" s="1894">
        <v>7.53</v>
      </c>
      <c r="AC19" s="1894">
        <v>5364</v>
      </c>
      <c r="AD19" s="1894">
        <f t="shared" si="4"/>
        <v>18040</v>
      </c>
      <c r="AE19" s="1894">
        <f t="shared" si="5"/>
        <v>0</v>
      </c>
      <c r="AF19" s="1894">
        <v>110.2</v>
      </c>
      <c r="AG19" s="1894">
        <v>44.16</v>
      </c>
      <c r="AH19" s="1894">
        <v>88.16</v>
      </c>
      <c r="AI19" s="1894">
        <v>0.88390000000000002</v>
      </c>
      <c r="AJ19" s="1894">
        <v>9.25</v>
      </c>
      <c r="AK19" s="1894">
        <v>5573</v>
      </c>
      <c r="AL19" s="1894">
        <f t="shared" si="6"/>
        <v>19713</v>
      </c>
      <c r="AM19" s="1894">
        <f t="shared" si="7"/>
        <v>0</v>
      </c>
      <c r="AN19" s="1894">
        <v>110.2</v>
      </c>
      <c r="AO19" s="1894">
        <v>46.239999999999995</v>
      </c>
      <c r="AP19" s="1894">
        <v>88.16</v>
      </c>
      <c r="AQ19" s="1894">
        <v>0.84889999999999999</v>
      </c>
      <c r="AR19" s="1894">
        <v>15.62</v>
      </c>
      <c r="AS19" s="1894">
        <v>6010</v>
      </c>
      <c r="AT19" s="1894">
        <f t="shared" si="8"/>
        <v>20642</v>
      </c>
      <c r="AU19" s="1894">
        <f t="shared" si="9"/>
        <v>0</v>
      </c>
      <c r="AV19" s="1894">
        <v>110.2</v>
      </c>
      <c r="AW19" s="1894">
        <v>42.199999999999996</v>
      </c>
      <c r="AX19" s="1894">
        <v>88.16</v>
      </c>
      <c r="AY19" s="1894">
        <v>0.8639</v>
      </c>
      <c r="AZ19" s="1894">
        <v>13.87</v>
      </c>
      <c r="BA19" s="1894">
        <v>6298</v>
      </c>
      <c r="BB19" s="1894">
        <f t="shared" si="10"/>
        <v>18230</v>
      </c>
      <c r="BC19" s="1894">
        <f t="shared" si="11"/>
        <v>0</v>
      </c>
      <c r="BD19" s="1894">
        <v>110.2</v>
      </c>
      <c r="BE19" s="1894">
        <v>45.36</v>
      </c>
      <c r="BF19" s="1894">
        <v>88.16</v>
      </c>
      <c r="BG19" s="1894">
        <v>0.80379999999999996</v>
      </c>
      <c r="BH19" s="1894">
        <v>4.57</v>
      </c>
      <c r="BI19" s="1894">
        <v>1642.0091000000002</v>
      </c>
      <c r="BJ19" s="1894">
        <f t="shared" si="12"/>
        <v>20249</v>
      </c>
      <c r="BK19" s="1894">
        <f t="shared" si="13"/>
        <v>0</v>
      </c>
      <c r="BL19" s="1894">
        <v>110.2</v>
      </c>
      <c r="BM19" s="1894">
        <v>31.840000000000003</v>
      </c>
      <c r="BN19" s="1894">
        <v>88.16</v>
      </c>
      <c r="BO19" s="1894">
        <v>0.77080000000000004</v>
      </c>
      <c r="BP19" s="1894">
        <v>1.96</v>
      </c>
      <c r="BQ19" s="1894">
        <v>450.34220000000005</v>
      </c>
      <c r="BR19" s="1894">
        <f t="shared" si="14"/>
        <v>13755</v>
      </c>
      <c r="BS19" s="1894">
        <f t="shared" si="15"/>
        <v>0</v>
      </c>
      <c r="BT19" s="1894">
        <v>110.2</v>
      </c>
      <c r="BU19" s="1894">
        <v>20</v>
      </c>
      <c r="BV19" s="1894">
        <v>88.16</v>
      </c>
      <c r="BW19" s="1894">
        <v>0.75529999999999997</v>
      </c>
      <c r="BX19" s="1894">
        <v>9.0299999999999994</v>
      </c>
      <c r="BY19" s="1894">
        <v>1344</v>
      </c>
      <c r="BZ19" s="1894">
        <f t="shared" si="16"/>
        <v>8928</v>
      </c>
      <c r="CA19" s="1894">
        <f t="shared" si="17"/>
        <v>0</v>
      </c>
      <c r="CB19" s="1894">
        <v>110.2</v>
      </c>
      <c r="CC19" s="1894">
        <v>17.68</v>
      </c>
      <c r="CD19" s="1894">
        <v>88.16</v>
      </c>
      <c r="CE19" s="1894">
        <v>0.71630000000000005</v>
      </c>
      <c r="CF19" s="1894">
        <v>0</v>
      </c>
      <c r="CG19" s="1894">
        <v>0</v>
      </c>
      <c r="CH19" s="1894">
        <f t="shared" si="18"/>
        <v>7892</v>
      </c>
      <c r="CI19" s="1894">
        <f t="shared" si="19"/>
        <v>0</v>
      </c>
      <c r="CJ19" s="1894">
        <v>110.2</v>
      </c>
      <c r="CK19" s="1894">
        <v>16.64</v>
      </c>
      <c r="CL19" s="1894">
        <v>88.16</v>
      </c>
      <c r="CM19" s="1894">
        <v>0.77049999999999996</v>
      </c>
      <c r="CN19" s="1894">
        <v>0</v>
      </c>
      <c r="CO19" s="1894">
        <v>0</v>
      </c>
      <c r="CP19" s="1894">
        <f t="shared" si="20"/>
        <v>6709</v>
      </c>
      <c r="CQ19" s="1894">
        <f t="shared" si="21"/>
        <v>0</v>
      </c>
      <c r="CR19" s="1924">
        <v>110.2</v>
      </c>
      <c r="CS19" s="1924">
        <v>21.44</v>
      </c>
      <c r="CT19" s="1924">
        <v>88.16</v>
      </c>
      <c r="CU19" s="1924">
        <v>0.8034</v>
      </c>
      <c r="CV19" s="1924">
        <v>4.57</v>
      </c>
      <c r="CW19" s="1924">
        <v>2169.4897000000001</v>
      </c>
      <c r="CX19" s="1894">
        <f t="shared" si="22"/>
        <v>9571</v>
      </c>
      <c r="CY19" s="1894">
        <f t="shared" si="23"/>
        <v>0</v>
      </c>
    </row>
    <row r="20" spans="1:103">
      <c r="A20" s="982">
        <v>622000000216</v>
      </c>
      <c r="B20" s="1923">
        <f t="shared" si="24"/>
        <v>14</v>
      </c>
      <c r="C20" s="1895" t="s">
        <v>2918</v>
      </c>
      <c r="D20" s="1894" t="s">
        <v>613</v>
      </c>
      <c r="E20" s="1895" t="s">
        <v>636</v>
      </c>
      <c r="F20" s="1894" t="s">
        <v>259</v>
      </c>
      <c r="G20" s="1924">
        <v>111</v>
      </c>
      <c r="H20" s="1894">
        <v>0</v>
      </c>
      <c r="I20" s="1894">
        <v>0</v>
      </c>
      <c r="J20" s="1894">
        <v>0</v>
      </c>
      <c r="K20" s="1894">
        <v>0</v>
      </c>
      <c r="L20" s="1894">
        <v>0</v>
      </c>
      <c r="M20" s="1894">
        <v>0</v>
      </c>
      <c r="N20" s="1894">
        <f t="shared" si="0"/>
        <v>0</v>
      </c>
      <c r="O20" s="1894">
        <f t="shared" si="1"/>
        <v>0</v>
      </c>
      <c r="P20" s="1894">
        <v>0</v>
      </c>
      <c r="Q20" s="1894">
        <v>0</v>
      </c>
      <c r="R20" s="1894">
        <v>0</v>
      </c>
      <c r="S20" s="1894">
        <v>0</v>
      </c>
      <c r="T20" s="1894">
        <v>0</v>
      </c>
      <c r="U20" s="1894">
        <v>0</v>
      </c>
      <c r="V20" s="1894">
        <f t="shared" si="2"/>
        <v>0</v>
      </c>
      <c r="W20" s="1894">
        <f t="shared" si="3"/>
        <v>0</v>
      </c>
      <c r="X20" s="1894">
        <v>0</v>
      </c>
      <c r="Y20" s="1894">
        <v>0</v>
      </c>
      <c r="Z20" s="1894">
        <v>0</v>
      </c>
      <c r="AA20" s="1894">
        <v>0</v>
      </c>
      <c r="AB20" s="1894">
        <v>0</v>
      </c>
      <c r="AC20" s="1894">
        <v>0</v>
      </c>
      <c r="AD20" s="1894">
        <f t="shared" si="4"/>
        <v>0</v>
      </c>
      <c r="AE20" s="1894">
        <f t="shared" si="5"/>
        <v>0</v>
      </c>
      <c r="AF20" s="1894">
        <v>0</v>
      </c>
      <c r="AG20" s="1894">
        <v>0</v>
      </c>
      <c r="AH20" s="1894">
        <v>0</v>
      </c>
      <c r="AI20" s="1894">
        <v>0</v>
      </c>
      <c r="AJ20" s="1894">
        <v>0</v>
      </c>
      <c r="AK20" s="1894">
        <v>0</v>
      </c>
      <c r="AL20" s="1894">
        <f t="shared" si="6"/>
        <v>0</v>
      </c>
      <c r="AM20" s="1894">
        <f t="shared" si="7"/>
        <v>0</v>
      </c>
      <c r="AN20" s="1894">
        <v>0</v>
      </c>
      <c r="AO20" s="1894">
        <v>0</v>
      </c>
      <c r="AP20" s="1894">
        <v>0</v>
      </c>
      <c r="AQ20" s="1894">
        <v>0</v>
      </c>
      <c r="AR20" s="1894">
        <v>0</v>
      </c>
      <c r="AS20" s="1894">
        <v>0</v>
      </c>
      <c r="AT20" s="1894">
        <f t="shared" si="8"/>
        <v>0</v>
      </c>
      <c r="AU20" s="1894">
        <f t="shared" si="9"/>
        <v>0</v>
      </c>
      <c r="AV20" s="1894">
        <v>0</v>
      </c>
      <c r="AW20" s="1894">
        <v>0</v>
      </c>
      <c r="AX20" s="1894">
        <v>0</v>
      </c>
      <c r="AY20" s="1894">
        <v>0</v>
      </c>
      <c r="AZ20" s="1894">
        <v>0</v>
      </c>
      <c r="BA20" s="1894">
        <v>0</v>
      </c>
      <c r="BB20" s="1894">
        <f t="shared" si="10"/>
        <v>0</v>
      </c>
      <c r="BC20" s="1894">
        <f t="shared" si="11"/>
        <v>0</v>
      </c>
      <c r="BD20" s="1894">
        <v>0</v>
      </c>
      <c r="BE20" s="1894">
        <v>0</v>
      </c>
      <c r="BF20" s="1894">
        <v>0</v>
      </c>
      <c r="BG20" s="1894">
        <v>0</v>
      </c>
      <c r="BH20" s="1894">
        <v>0</v>
      </c>
      <c r="BI20" s="1894">
        <v>0</v>
      </c>
      <c r="BJ20" s="1894">
        <f t="shared" si="12"/>
        <v>0</v>
      </c>
      <c r="BK20" s="1894">
        <f t="shared" si="13"/>
        <v>0</v>
      </c>
      <c r="BL20" s="1894">
        <v>0</v>
      </c>
      <c r="BM20" s="1894">
        <v>0</v>
      </c>
      <c r="BN20" s="1894">
        <v>0</v>
      </c>
      <c r="BO20" s="1894">
        <v>0</v>
      </c>
      <c r="BP20" s="1894">
        <v>0</v>
      </c>
      <c r="BQ20" s="1894">
        <v>0</v>
      </c>
      <c r="BR20" s="1894">
        <f t="shared" si="14"/>
        <v>0</v>
      </c>
      <c r="BS20" s="1894">
        <f t="shared" si="15"/>
        <v>0</v>
      </c>
      <c r="BT20" s="1894">
        <v>0</v>
      </c>
      <c r="BU20" s="1894">
        <v>0</v>
      </c>
      <c r="BV20" s="1894">
        <v>0</v>
      </c>
      <c r="BW20" s="1894">
        <v>0</v>
      </c>
      <c r="BX20" s="1894">
        <v>0</v>
      </c>
      <c r="BY20" s="1894">
        <v>0</v>
      </c>
      <c r="BZ20" s="1894">
        <f t="shared" si="16"/>
        <v>0</v>
      </c>
      <c r="CA20" s="1894">
        <f t="shared" si="17"/>
        <v>0</v>
      </c>
      <c r="CB20" s="1894">
        <v>0</v>
      </c>
      <c r="CC20" s="1894">
        <v>0</v>
      </c>
      <c r="CD20" s="1894">
        <v>0</v>
      </c>
      <c r="CE20" s="1894">
        <v>0</v>
      </c>
      <c r="CF20" s="1894">
        <v>0</v>
      </c>
      <c r="CG20" s="1894">
        <v>0</v>
      </c>
      <c r="CH20" s="1894">
        <f t="shared" si="18"/>
        <v>0</v>
      </c>
      <c r="CI20" s="1894">
        <f t="shared" si="19"/>
        <v>0</v>
      </c>
      <c r="CJ20" s="1894">
        <v>0</v>
      </c>
      <c r="CK20" s="1894">
        <v>0</v>
      </c>
      <c r="CL20" s="1894">
        <v>0</v>
      </c>
      <c r="CM20" s="1894">
        <v>0</v>
      </c>
      <c r="CN20" s="1894">
        <v>0</v>
      </c>
      <c r="CO20" s="1894">
        <v>0</v>
      </c>
      <c r="CP20" s="1894">
        <f t="shared" si="20"/>
        <v>0</v>
      </c>
      <c r="CQ20" s="1894">
        <f t="shared" si="21"/>
        <v>0</v>
      </c>
      <c r="CR20" s="1924">
        <v>111</v>
      </c>
      <c r="CS20" s="1924">
        <v>94.8</v>
      </c>
      <c r="CT20" s="1924">
        <v>94.8</v>
      </c>
      <c r="CU20" s="1924">
        <v>0.78029999999999999</v>
      </c>
      <c r="CV20" s="1924">
        <v>20.36</v>
      </c>
      <c r="CW20" s="1924">
        <v>5095</v>
      </c>
      <c r="CX20" s="1894">
        <f t="shared" si="22"/>
        <v>42319</v>
      </c>
      <c r="CY20" s="1894">
        <f t="shared" si="23"/>
        <v>0</v>
      </c>
    </row>
    <row r="21" spans="1:103">
      <c r="A21" s="982">
        <v>615000000045</v>
      </c>
      <c r="B21" s="1923">
        <f t="shared" si="24"/>
        <v>15</v>
      </c>
      <c r="C21" s="1895" t="s">
        <v>2919</v>
      </c>
      <c r="D21" s="1894" t="s">
        <v>524</v>
      </c>
      <c r="E21" s="1895" t="s">
        <v>636</v>
      </c>
      <c r="F21" s="1894" t="s">
        <v>259</v>
      </c>
      <c r="G21" s="1924">
        <v>111</v>
      </c>
      <c r="H21" s="1894">
        <v>111</v>
      </c>
      <c r="I21" s="1894">
        <v>27.12</v>
      </c>
      <c r="J21" s="1894">
        <v>88.8</v>
      </c>
      <c r="K21" s="1894">
        <v>0.995</v>
      </c>
      <c r="L21" s="1894">
        <v>15.61</v>
      </c>
      <c r="M21" s="1894">
        <v>3049</v>
      </c>
      <c r="N21" s="1894">
        <f t="shared" si="0"/>
        <v>11716</v>
      </c>
      <c r="O21" s="1894">
        <f t="shared" si="1"/>
        <v>0</v>
      </c>
      <c r="P21" s="1894">
        <v>111</v>
      </c>
      <c r="Q21" s="1894">
        <v>26.08</v>
      </c>
      <c r="R21" s="1894">
        <v>88.8</v>
      </c>
      <c r="S21" s="1894">
        <v>0.96809999999999996</v>
      </c>
      <c r="T21" s="1894">
        <v>23.47</v>
      </c>
      <c r="U21" s="1894">
        <v>4554</v>
      </c>
      <c r="V21" s="1894">
        <f t="shared" si="2"/>
        <v>11642</v>
      </c>
      <c r="W21" s="1894">
        <f t="shared" si="3"/>
        <v>0</v>
      </c>
      <c r="X21" s="1894">
        <v>111</v>
      </c>
      <c r="Y21" s="1894">
        <v>28.4</v>
      </c>
      <c r="Z21" s="1894">
        <v>88.8</v>
      </c>
      <c r="AA21" s="1894">
        <v>0.96899999999999997</v>
      </c>
      <c r="AB21" s="1894">
        <v>23.36</v>
      </c>
      <c r="AC21" s="1894">
        <v>4777</v>
      </c>
      <c r="AD21" s="1894">
        <f t="shared" si="4"/>
        <v>12269</v>
      </c>
      <c r="AE21" s="1894">
        <f t="shared" si="5"/>
        <v>0</v>
      </c>
      <c r="AF21" s="1894">
        <v>111</v>
      </c>
      <c r="AG21" s="1894">
        <v>23.68</v>
      </c>
      <c r="AH21" s="1894">
        <v>88.8</v>
      </c>
      <c r="AI21" s="1894">
        <v>0.93230000000000002</v>
      </c>
      <c r="AJ21" s="1894">
        <v>23.84</v>
      </c>
      <c r="AK21" s="1894">
        <v>4200</v>
      </c>
      <c r="AL21" s="1894">
        <f t="shared" si="6"/>
        <v>10571</v>
      </c>
      <c r="AM21" s="1894">
        <f t="shared" si="7"/>
        <v>0</v>
      </c>
      <c r="AN21" s="1894">
        <v>111</v>
      </c>
      <c r="AO21" s="1894">
        <v>24.4</v>
      </c>
      <c r="AP21" s="1894">
        <v>88.8</v>
      </c>
      <c r="AQ21" s="1894">
        <v>0.93540000000000001</v>
      </c>
      <c r="AR21" s="1894">
        <v>26.79</v>
      </c>
      <c r="AS21" s="1894">
        <v>4863</v>
      </c>
      <c r="AT21" s="1894">
        <f t="shared" si="8"/>
        <v>10892</v>
      </c>
      <c r="AU21" s="1894">
        <f t="shared" si="9"/>
        <v>0</v>
      </c>
      <c r="AV21" s="1894">
        <v>111</v>
      </c>
      <c r="AW21" s="1894">
        <v>13.600000000000001</v>
      </c>
      <c r="AX21" s="1894">
        <v>88.8</v>
      </c>
      <c r="AY21" s="1894">
        <v>0.93600000000000005</v>
      </c>
      <c r="AZ21" s="1894">
        <v>38.479999999999997</v>
      </c>
      <c r="BA21" s="1894">
        <v>3768</v>
      </c>
      <c r="BB21" s="1894">
        <f t="shared" si="10"/>
        <v>5875</v>
      </c>
      <c r="BC21" s="1894">
        <f t="shared" si="11"/>
        <v>0</v>
      </c>
      <c r="BD21" s="1894">
        <v>111</v>
      </c>
      <c r="BE21" s="1894">
        <v>27.279999999999998</v>
      </c>
      <c r="BF21" s="1894">
        <v>88.8</v>
      </c>
      <c r="BG21" s="1894">
        <v>0.89229999999999998</v>
      </c>
      <c r="BH21" s="1894">
        <v>25.81</v>
      </c>
      <c r="BI21" s="1894">
        <v>5239</v>
      </c>
      <c r="BJ21" s="1894">
        <f t="shared" si="12"/>
        <v>12178</v>
      </c>
      <c r="BK21" s="1894">
        <f t="shared" si="13"/>
        <v>0</v>
      </c>
      <c r="BL21" s="1894">
        <v>111</v>
      </c>
      <c r="BM21" s="1894">
        <v>15.76</v>
      </c>
      <c r="BN21" s="1894">
        <v>88.8</v>
      </c>
      <c r="BO21" s="1894">
        <v>0.74409999999999998</v>
      </c>
      <c r="BP21" s="1894">
        <v>43.89</v>
      </c>
      <c r="BQ21" s="1894">
        <v>4980</v>
      </c>
      <c r="BR21" s="1894">
        <f t="shared" si="14"/>
        <v>6808</v>
      </c>
      <c r="BS21" s="1894">
        <f t="shared" si="15"/>
        <v>0</v>
      </c>
      <c r="BT21" s="1894">
        <v>111</v>
      </c>
      <c r="BU21" s="1894">
        <v>21.36</v>
      </c>
      <c r="BV21" s="1894">
        <v>88.8</v>
      </c>
      <c r="BW21" s="1894">
        <v>0.78490000000000004</v>
      </c>
      <c r="BX21" s="1894">
        <v>25.84</v>
      </c>
      <c r="BY21" s="1894">
        <v>4106</v>
      </c>
      <c r="BZ21" s="1894">
        <f t="shared" si="16"/>
        <v>9535</v>
      </c>
      <c r="CA21" s="1894">
        <f t="shared" si="17"/>
        <v>0</v>
      </c>
      <c r="CB21" s="1894">
        <v>111</v>
      </c>
      <c r="CC21" s="1894">
        <v>10.16</v>
      </c>
      <c r="CD21" s="1894">
        <v>88.8</v>
      </c>
      <c r="CE21" s="1894">
        <v>0.93979999999999997</v>
      </c>
      <c r="CF21" s="1894">
        <v>41.37</v>
      </c>
      <c r="CG21" s="1894">
        <v>3127</v>
      </c>
      <c r="CH21" s="1894">
        <f t="shared" si="18"/>
        <v>4535</v>
      </c>
      <c r="CI21" s="1894">
        <f t="shared" si="19"/>
        <v>0</v>
      </c>
      <c r="CJ21" s="1894">
        <v>111</v>
      </c>
      <c r="CK21" s="1894">
        <v>15.28</v>
      </c>
      <c r="CL21" s="1894">
        <v>88.8</v>
      </c>
      <c r="CM21" s="1894">
        <v>0.96850000000000003</v>
      </c>
      <c r="CN21" s="1894">
        <v>33.119999999999997</v>
      </c>
      <c r="CO21" s="1894">
        <v>3401</v>
      </c>
      <c r="CP21" s="1894">
        <f t="shared" si="20"/>
        <v>6161</v>
      </c>
      <c r="CQ21" s="1894">
        <f t="shared" si="21"/>
        <v>0</v>
      </c>
      <c r="CR21" s="1924">
        <v>111</v>
      </c>
      <c r="CS21" s="1924">
        <v>25.36</v>
      </c>
      <c r="CT21" s="1924">
        <v>88.8</v>
      </c>
      <c r="CU21" s="1924">
        <v>0.97760000000000002</v>
      </c>
      <c r="CV21" s="1924">
        <v>21.78</v>
      </c>
      <c r="CW21" s="1924">
        <v>4110</v>
      </c>
      <c r="CX21" s="1894">
        <f t="shared" si="22"/>
        <v>11321</v>
      </c>
      <c r="CY21" s="1894">
        <f t="shared" si="23"/>
        <v>0</v>
      </c>
    </row>
    <row r="22" spans="1:103">
      <c r="A22" s="982">
        <v>123000000063</v>
      </c>
      <c r="B22" s="1923">
        <f t="shared" si="24"/>
        <v>16</v>
      </c>
      <c r="C22" s="1895" t="s">
        <v>2920</v>
      </c>
      <c r="D22" s="1894" t="s">
        <v>524</v>
      </c>
      <c r="E22" s="1895" t="s">
        <v>541</v>
      </c>
      <c r="F22" s="1894" t="s">
        <v>259</v>
      </c>
      <c r="G22" s="1924">
        <v>111</v>
      </c>
      <c r="H22" s="1894">
        <v>111</v>
      </c>
      <c r="I22" s="1894">
        <v>145.15</v>
      </c>
      <c r="J22" s="1894">
        <v>145.15</v>
      </c>
      <c r="K22" s="1894">
        <v>0.83950000000000002</v>
      </c>
      <c r="L22" s="1894">
        <v>12.5</v>
      </c>
      <c r="M22" s="1894">
        <v>13060</v>
      </c>
      <c r="N22" s="1894">
        <f t="shared" si="0"/>
        <v>62705</v>
      </c>
      <c r="O22" s="1894">
        <f t="shared" si="1"/>
        <v>0</v>
      </c>
      <c r="P22" s="1894">
        <v>111</v>
      </c>
      <c r="Q22" s="1894">
        <v>147.79999999999998</v>
      </c>
      <c r="R22" s="1894">
        <v>147.80000000000001</v>
      </c>
      <c r="S22" s="1894">
        <v>0.84289999999999998</v>
      </c>
      <c r="T22" s="1894">
        <v>11.38</v>
      </c>
      <c r="U22" s="1894">
        <v>12510</v>
      </c>
      <c r="V22" s="1894">
        <f t="shared" si="2"/>
        <v>65978</v>
      </c>
      <c r="W22" s="1894">
        <f t="shared" si="3"/>
        <v>0</v>
      </c>
      <c r="X22" s="1894">
        <v>111</v>
      </c>
      <c r="Y22" s="1894">
        <v>145.94999999999999</v>
      </c>
      <c r="Z22" s="1894">
        <v>145.94999999999999</v>
      </c>
      <c r="AA22" s="1894">
        <v>0.83860000000000001</v>
      </c>
      <c r="AB22" s="1894">
        <v>11.62</v>
      </c>
      <c r="AC22" s="1894">
        <v>12210</v>
      </c>
      <c r="AD22" s="1894">
        <f t="shared" si="4"/>
        <v>63050</v>
      </c>
      <c r="AE22" s="1894">
        <f t="shared" si="5"/>
        <v>0</v>
      </c>
      <c r="AF22" s="1894">
        <v>111</v>
      </c>
      <c r="AG22" s="1894">
        <v>146.6</v>
      </c>
      <c r="AH22" s="1894">
        <v>146.6</v>
      </c>
      <c r="AI22" s="1894">
        <v>0.82830000000000004</v>
      </c>
      <c r="AJ22" s="1894">
        <v>11.98</v>
      </c>
      <c r="AK22" s="1894">
        <v>13068</v>
      </c>
      <c r="AL22" s="1894">
        <f t="shared" si="6"/>
        <v>65442</v>
      </c>
      <c r="AM22" s="1894">
        <f t="shared" si="7"/>
        <v>0</v>
      </c>
      <c r="AN22" s="1894">
        <v>111</v>
      </c>
      <c r="AO22" s="1894">
        <v>129.6</v>
      </c>
      <c r="AP22" s="1894">
        <v>129.6</v>
      </c>
      <c r="AQ22" s="1894">
        <v>0.8226</v>
      </c>
      <c r="AR22" s="1894">
        <v>12.8</v>
      </c>
      <c r="AS22" s="1894">
        <v>12345</v>
      </c>
      <c r="AT22" s="1894">
        <f t="shared" si="8"/>
        <v>57853</v>
      </c>
      <c r="AU22" s="1894">
        <f t="shared" si="9"/>
        <v>0</v>
      </c>
      <c r="AV22" s="1894">
        <v>111</v>
      </c>
      <c r="AW22" s="1894">
        <v>139.6</v>
      </c>
      <c r="AX22" s="1894">
        <v>139.6</v>
      </c>
      <c r="AY22" s="1894">
        <v>0.82950000000000002</v>
      </c>
      <c r="AZ22" s="1894">
        <v>11.97</v>
      </c>
      <c r="BA22" s="1894">
        <v>12030</v>
      </c>
      <c r="BB22" s="1894">
        <f t="shared" si="10"/>
        <v>60307</v>
      </c>
      <c r="BC22" s="1894">
        <f t="shared" si="11"/>
        <v>0</v>
      </c>
      <c r="BD22" s="1894">
        <v>111</v>
      </c>
      <c r="BE22" s="1894">
        <v>158.6</v>
      </c>
      <c r="BF22" s="1894">
        <v>158.6</v>
      </c>
      <c r="BG22" s="1894">
        <v>0.81230000000000002</v>
      </c>
      <c r="BH22" s="1894">
        <v>11.95</v>
      </c>
      <c r="BI22" s="1894">
        <v>14095</v>
      </c>
      <c r="BJ22" s="1894">
        <f t="shared" si="12"/>
        <v>70799</v>
      </c>
      <c r="BK22" s="1894">
        <f t="shared" si="13"/>
        <v>0</v>
      </c>
      <c r="BL22" s="1894">
        <v>111</v>
      </c>
      <c r="BM22" s="1894">
        <v>170.6</v>
      </c>
      <c r="BN22" s="1894">
        <v>170.6</v>
      </c>
      <c r="BO22" s="1894">
        <v>0.75960000000000005</v>
      </c>
      <c r="BP22" s="1894">
        <v>10.96</v>
      </c>
      <c r="BQ22" s="1894">
        <v>13467</v>
      </c>
      <c r="BR22" s="1894">
        <f t="shared" si="14"/>
        <v>73699</v>
      </c>
      <c r="BS22" s="1894">
        <f t="shared" si="15"/>
        <v>0</v>
      </c>
      <c r="BT22" s="1894">
        <v>111</v>
      </c>
      <c r="BU22" s="1894">
        <v>193</v>
      </c>
      <c r="BV22" s="1894">
        <v>193</v>
      </c>
      <c r="BW22" s="1894">
        <v>0.72589999999999999</v>
      </c>
      <c r="BX22" s="1894">
        <v>10.51</v>
      </c>
      <c r="BY22" s="1894">
        <v>15090</v>
      </c>
      <c r="BZ22" s="1894">
        <f t="shared" si="16"/>
        <v>86155</v>
      </c>
      <c r="CA22" s="1894">
        <f t="shared" si="17"/>
        <v>0</v>
      </c>
      <c r="CB22" s="1894">
        <v>111</v>
      </c>
      <c r="CC22" s="1894">
        <v>181.60000000000002</v>
      </c>
      <c r="CD22" s="1894">
        <v>181.6</v>
      </c>
      <c r="CE22" s="1894">
        <v>0.73699999999999999</v>
      </c>
      <c r="CF22" s="1894">
        <v>11.15</v>
      </c>
      <c r="CG22" s="1894">
        <v>15060</v>
      </c>
      <c r="CH22" s="1894">
        <f t="shared" si="18"/>
        <v>81066</v>
      </c>
      <c r="CI22" s="1894">
        <f t="shared" si="19"/>
        <v>0</v>
      </c>
      <c r="CJ22" s="1894">
        <v>111</v>
      </c>
      <c r="CK22" s="1894">
        <v>165.39999999999998</v>
      </c>
      <c r="CL22" s="1894">
        <v>165.4</v>
      </c>
      <c r="CM22" s="1894">
        <v>0.7702</v>
      </c>
      <c r="CN22" s="1894">
        <v>11.34</v>
      </c>
      <c r="CO22" s="1894">
        <v>12603</v>
      </c>
      <c r="CP22" s="1894">
        <f t="shared" si="20"/>
        <v>66689</v>
      </c>
      <c r="CQ22" s="1894">
        <f t="shared" si="21"/>
        <v>0</v>
      </c>
      <c r="CR22" s="1924">
        <v>111</v>
      </c>
      <c r="CS22" s="1924">
        <v>162.80000000000001</v>
      </c>
      <c r="CT22" s="1924">
        <v>162.80000000000001</v>
      </c>
      <c r="CU22" s="1924">
        <v>0.79300000000000004</v>
      </c>
      <c r="CV22" s="1924">
        <v>11</v>
      </c>
      <c r="CW22" s="1924">
        <v>13320</v>
      </c>
      <c r="CX22" s="1894">
        <f t="shared" si="22"/>
        <v>72674</v>
      </c>
      <c r="CY22" s="1894">
        <f t="shared" si="23"/>
        <v>0</v>
      </c>
    </row>
    <row r="23" spans="1:103">
      <c r="A23" s="982">
        <v>125000000035</v>
      </c>
      <c r="B23" s="1923">
        <f t="shared" si="24"/>
        <v>17</v>
      </c>
      <c r="C23" s="1895" t="s">
        <v>2921</v>
      </c>
      <c r="D23" s="1894" t="s">
        <v>524</v>
      </c>
      <c r="E23" s="1895" t="s">
        <v>737</v>
      </c>
      <c r="F23" s="1894" t="s">
        <v>259</v>
      </c>
      <c r="G23" s="1924">
        <v>111</v>
      </c>
      <c r="H23" s="1894">
        <v>111</v>
      </c>
      <c r="I23" s="1894">
        <v>13.200000000000001</v>
      </c>
      <c r="J23" s="1894">
        <v>88.8</v>
      </c>
      <c r="K23" s="1894">
        <v>0.99909999999999999</v>
      </c>
      <c r="L23" s="1894">
        <v>51.52</v>
      </c>
      <c r="M23" s="1894">
        <v>5712</v>
      </c>
      <c r="N23" s="1894">
        <f t="shared" si="0"/>
        <v>5702</v>
      </c>
      <c r="O23" s="1894">
        <f t="shared" si="1"/>
        <v>10</v>
      </c>
      <c r="P23" s="1894">
        <v>111</v>
      </c>
      <c r="Q23" s="1894">
        <v>14.000000000000002</v>
      </c>
      <c r="R23" s="1894">
        <v>88.8</v>
      </c>
      <c r="S23" s="1894">
        <v>0.99909999999999999</v>
      </c>
      <c r="T23" s="1894">
        <v>45.31</v>
      </c>
      <c r="U23" s="1894">
        <v>4719</v>
      </c>
      <c r="V23" s="1894">
        <f t="shared" si="2"/>
        <v>6250</v>
      </c>
      <c r="W23" s="1894">
        <f t="shared" si="3"/>
        <v>0</v>
      </c>
      <c r="X23" s="1894">
        <v>111</v>
      </c>
      <c r="Y23" s="1894">
        <v>13.600000000000001</v>
      </c>
      <c r="Z23" s="1894">
        <v>88.8</v>
      </c>
      <c r="AA23" s="1894">
        <v>0.99060000000000004</v>
      </c>
      <c r="AB23" s="1894">
        <v>24.35</v>
      </c>
      <c r="AC23" s="1894">
        <v>2146</v>
      </c>
      <c r="AD23" s="1894">
        <f t="shared" si="4"/>
        <v>5875</v>
      </c>
      <c r="AE23" s="1894">
        <f t="shared" si="5"/>
        <v>0</v>
      </c>
      <c r="AF23" s="1894">
        <v>111</v>
      </c>
      <c r="AG23" s="1894">
        <v>14.799999999999999</v>
      </c>
      <c r="AH23" s="1894">
        <v>88.8</v>
      </c>
      <c r="AI23" s="1894">
        <v>0.99870000000000003</v>
      </c>
      <c r="AJ23" s="1894">
        <v>47.17</v>
      </c>
      <c r="AK23" s="1894">
        <v>5697</v>
      </c>
      <c r="AL23" s="1894">
        <f t="shared" si="6"/>
        <v>6607</v>
      </c>
      <c r="AM23" s="1894">
        <f t="shared" si="7"/>
        <v>0</v>
      </c>
      <c r="AN23" s="1894">
        <v>111</v>
      </c>
      <c r="AO23" s="1894">
        <v>14.08</v>
      </c>
      <c r="AP23" s="1894">
        <v>88.8</v>
      </c>
      <c r="AQ23" s="1894">
        <v>0.99909999999999999</v>
      </c>
      <c r="AR23" s="1894">
        <v>43.02</v>
      </c>
      <c r="AS23" s="1894">
        <v>3634</v>
      </c>
      <c r="AT23" s="1894">
        <f t="shared" si="8"/>
        <v>6285</v>
      </c>
      <c r="AU23" s="1894">
        <f t="shared" si="9"/>
        <v>0</v>
      </c>
      <c r="AV23" s="1894">
        <v>111</v>
      </c>
      <c r="AW23" s="1894">
        <v>24.72</v>
      </c>
      <c r="AX23" s="1894">
        <v>88.8</v>
      </c>
      <c r="AY23" s="1894">
        <v>0.99870000000000003</v>
      </c>
      <c r="AZ23" s="1894">
        <v>29.63</v>
      </c>
      <c r="BA23" s="1894">
        <v>5449</v>
      </c>
      <c r="BB23" s="1894">
        <f t="shared" si="10"/>
        <v>10679</v>
      </c>
      <c r="BC23" s="1894">
        <f t="shared" si="11"/>
        <v>0</v>
      </c>
      <c r="BD23" s="1894">
        <v>111</v>
      </c>
      <c r="BE23" s="1894">
        <v>13.4</v>
      </c>
      <c r="BF23" s="1894">
        <v>88.8</v>
      </c>
      <c r="BG23" s="1894">
        <v>0.9859</v>
      </c>
      <c r="BH23" s="1894">
        <v>34.450000000000003</v>
      </c>
      <c r="BI23" s="1894">
        <v>3988</v>
      </c>
      <c r="BJ23" s="1894">
        <f t="shared" si="12"/>
        <v>5982</v>
      </c>
      <c r="BK23" s="1894">
        <f t="shared" si="13"/>
        <v>0</v>
      </c>
      <c r="BL23" s="1894">
        <v>111</v>
      </c>
      <c r="BM23" s="1894">
        <v>11.799999999999999</v>
      </c>
      <c r="BN23" s="1894">
        <v>88.8</v>
      </c>
      <c r="BO23" s="1894">
        <v>0.99229999999999996</v>
      </c>
      <c r="BP23" s="1894">
        <v>47.62</v>
      </c>
      <c r="BQ23" s="1894">
        <v>4046</v>
      </c>
      <c r="BR23" s="1894">
        <f t="shared" si="14"/>
        <v>5098</v>
      </c>
      <c r="BS23" s="1894">
        <f t="shared" si="15"/>
        <v>0</v>
      </c>
      <c r="BT23" s="1894">
        <v>111</v>
      </c>
      <c r="BU23" s="1894">
        <v>16.559999999999999</v>
      </c>
      <c r="BV23" s="1894">
        <v>88.8</v>
      </c>
      <c r="BW23" s="1894">
        <v>0.99339999999999995</v>
      </c>
      <c r="BX23" s="1894">
        <v>34.68</v>
      </c>
      <c r="BY23" s="1894">
        <v>4273</v>
      </c>
      <c r="BZ23" s="1894">
        <f t="shared" si="16"/>
        <v>7392</v>
      </c>
      <c r="CA23" s="1894">
        <f t="shared" si="17"/>
        <v>0</v>
      </c>
      <c r="CB23" s="1894">
        <v>111</v>
      </c>
      <c r="CC23" s="1894">
        <v>13.04</v>
      </c>
      <c r="CD23" s="1894">
        <v>88.8</v>
      </c>
      <c r="CE23" s="1894">
        <v>0.98719999999999997</v>
      </c>
      <c r="CF23" s="1894">
        <v>37.880000000000003</v>
      </c>
      <c r="CG23" s="1894">
        <v>3675</v>
      </c>
      <c r="CH23" s="1894">
        <f t="shared" si="18"/>
        <v>5821</v>
      </c>
      <c r="CI23" s="1894">
        <f t="shared" si="19"/>
        <v>0</v>
      </c>
      <c r="CJ23" s="1894">
        <v>111</v>
      </c>
      <c r="CK23" s="1894">
        <v>14.399999999999999</v>
      </c>
      <c r="CL23" s="1894">
        <v>88.8</v>
      </c>
      <c r="CM23" s="1894">
        <v>0.99760000000000004</v>
      </c>
      <c r="CN23" s="1894">
        <v>43.1</v>
      </c>
      <c r="CO23" s="1894">
        <v>4171</v>
      </c>
      <c r="CP23" s="1894">
        <f t="shared" si="20"/>
        <v>5806</v>
      </c>
      <c r="CQ23" s="1894">
        <f t="shared" si="21"/>
        <v>0</v>
      </c>
      <c r="CR23" s="1924">
        <v>111</v>
      </c>
      <c r="CS23" s="1924">
        <v>16</v>
      </c>
      <c r="CT23" s="1924">
        <v>88.8</v>
      </c>
      <c r="CU23" s="1924">
        <v>0.99880000000000002</v>
      </c>
      <c r="CV23" s="1924">
        <v>43.46</v>
      </c>
      <c r="CW23" s="1924">
        <v>5173</v>
      </c>
      <c r="CX23" s="1894">
        <f t="shared" si="22"/>
        <v>7142</v>
      </c>
      <c r="CY23" s="1894">
        <f t="shared" si="23"/>
        <v>0</v>
      </c>
    </row>
    <row r="24" spans="1:103">
      <c r="A24" s="982">
        <v>125000000039</v>
      </c>
      <c r="B24" s="1923">
        <f t="shared" si="24"/>
        <v>18</v>
      </c>
      <c r="C24" s="1895" t="s">
        <v>2922</v>
      </c>
      <c r="D24" s="1894" t="s">
        <v>524</v>
      </c>
      <c r="E24" s="1895" t="s">
        <v>636</v>
      </c>
      <c r="F24" s="1894" t="s">
        <v>259</v>
      </c>
      <c r="G24" s="1924">
        <v>111</v>
      </c>
      <c r="H24" s="1894">
        <v>111</v>
      </c>
      <c r="I24" s="1894">
        <v>43.120000000000005</v>
      </c>
      <c r="J24" s="1894">
        <v>88.8</v>
      </c>
      <c r="K24" s="1894">
        <v>0.99629999999999996</v>
      </c>
      <c r="L24" s="1894">
        <v>49.07</v>
      </c>
      <c r="M24" s="1894">
        <v>15234</v>
      </c>
      <c r="N24" s="1894">
        <f t="shared" si="0"/>
        <v>18628</v>
      </c>
      <c r="O24" s="1894">
        <f t="shared" si="1"/>
        <v>0</v>
      </c>
      <c r="P24" s="1894">
        <v>111</v>
      </c>
      <c r="Q24" s="1894">
        <v>42.32</v>
      </c>
      <c r="R24" s="1894">
        <v>88.8</v>
      </c>
      <c r="S24" s="1894">
        <v>0.99890000000000001</v>
      </c>
      <c r="T24" s="1894">
        <v>47.48</v>
      </c>
      <c r="U24" s="1894">
        <v>14951</v>
      </c>
      <c r="V24" s="1894">
        <f t="shared" si="2"/>
        <v>18892</v>
      </c>
      <c r="W24" s="1894">
        <f t="shared" si="3"/>
        <v>0</v>
      </c>
      <c r="X24" s="1894">
        <v>111</v>
      </c>
      <c r="Y24" s="1894">
        <v>32.800000000000004</v>
      </c>
      <c r="Z24" s="1894">
        <v>88.8</v>
      </c>
      <c r="AA24" s="1894">
        <v>0.99880000000000002</v>
      </c>
      <c r="AB24" s="1894">
        <v>58.47</v>
      </c>
      <c r="AC24" s="1894">
        <v>13809</v>
      </c>
      <c r="AD24" s="1894">
        <f t="shared" si="4"/>
        <v>14170</v>
      </c>
      <c r="AE24" s="1894">
        <f t="shared" si="5"/>
        <v>0</v>
      </c>
      <c r="AF24" s="1894">
        <v>111</v>
      </c>
      <c r="AG24" s="1894">
        <v>34.96</v>
      </c>
      <c r="AH24" s="1894">
        <v>88.8</v>
      </c>
      <c r="AI24" s="1894">
        <v>0.99809999999999999</v>
      </c>
      <c r="AJ24" s="1894">
        <v>53.48</v>
      </c>
      <c r="AK24" s="1894">
        <v>13910</v>
      </c>
      <c r="AL24" s="1894">
        <f t="shared" si="6"/>
        <v>15606</v>
      </c>
      <c r="AM24" s="1894">
        <f t="shared" si="7"/>
        <v>0</v>
      </c>
      <c r="AN24" s="1894">
        <v>111</v>
      </c>
      <c r="AO24" s="1894">
        <v>27.04</v>
      </c>
      <c r="AP24" s="1894">
        <v>88.8</v>
      </c>
      <c r="AQ24" s="1894">
        <v>0.99929999999999997</v>
      </c>
      <c r="AR24" s="1894">
        <v>70.069999999999993</v>
      </c>
      <c r="AS24" s="1894">
        <v>14097</v>
      </c>
      <c r="AT24" s="1894">
        <f t="shared" si="8"/>
        <v>12071</v>
      </c>
      <c r="AU24" s="1894">
        <f t="shared" si="9"/>
        <v>2026</v>
      </c>
      <c r="AV24" s="1894">
        <v>111</v>
      </c>
      <c r="AW24" s="1894">
        <v>31.2</v>
      </c>
      <c r="AX24" s="1894">
        <v>88.8</v>
      </c>
      <c r="AY24" s="1894">
        <v>0.99570000000000003</v>
      </c>
      <c r="AZ24" s="1894">
        <v>66.23</v>
      </c>
      <c r="BA24" s="1894">
        <v>14878</v>
      </c>
      <c r="BB24" s="1894">
        <f t="shared" si="10"/>
        <v>13478</v>
      </c>
      <c r="BC24" s="1894">
        <f t="shared" si="11"/>
        <v>1400</v>
      </c>
      <c r="BD24" s="1894">
        <v>111</v>
      </c>
      <c r="BE24" s="1894">
        <v>29.2</v>
      </c>
      <c r="BF24" s="1894">
        <v>88.8</v>
      </c>
      <c r="BG24" s="1894">
        <v>0.99480000000000002</v>
      </c>
      <c r="BH24" s="1894">
        <v>68.86</v>
      </c>
      <c r="BI24" s="1894">
        <v>14960</v>
      </c>
      <c r="BJ24" s="1894">
        <f t="shared" si="12"/>
        <v>13035</v>
      </c>
      <c r="BK24" s="1894">
        <f t="shared" si="13"/>
        <v>1925</v>
      </c>
      <c r="BL24" s="1894">
        <v>111</v>
      </c>
      <c r="BM24" s="1894">
        <v>27.12</v>
      </c>
      <c r="BN24" s="1894">
        <v>88.8</v>
      </c>
      <c r="BO24" s="1894">
        <v>0.99429999999999996</v>
      </c>
      <c r="BP24" s="1894">
        <v>73.58</v>
      </c>
      <c r="BQ24" s="1894">
        <v>14368</v>
      </c>
      <c r="BR24" s="1894">
        <f t="shared" si="14"/>
        <v>11716</v>
      </c>
      <c r="BS24" s="1894">
        <f t="shared" si="15"/>
        <v>2652</v>
      </c>
      <c r="BT24" s="1894">
        <v>111</v>
      </c>
      <c r="BU24" s="1894">
        <v>25.679999999999996</v>
      </c>
      <c r="BV24" s="1894">
        <v>88.8</v>
      </c>
      <c r="BW24" s="1894">
        <v>0.99429999999999996</v>
      </c>
      <c r="BX24" s="1894">
        <v>77.150000000000006</v>
      </c>
      <c r="BY24" s="1894">
        <v>14741</v>
      </c>
      <c r="BZ24" s="1894">
        <f t="shared" si="16"/>
        <v>11464</v>
      </c>
      <c r="CA24" s="1894">
        <f t="shared" si="17"/>
        <v>3277</v>
      </c>
      <c r="CB24" s="1894">
        <v>111</v>
      </c>
      <c r="CC24" s="1894">
        <v>28.560000000000002</v>
      </c>
      <c r="CD24" s="1894">
        <v>88.8</v>
      </c>
      <c r="CE24" s="1894">
        <v>0.99519999999999997</v>
      </c>
      <c r="CF24" s="1894">
        <v>68.900000000000006</v>
      </c>
      <c r="CG24" s="1894">
        <v>14641</v>
      </c>
      <c r="CH24" s="1894">
        <f t="shared" si="18"/>
        <v>12749</v>
      </c>
      <c r="CI24" s="1894">
        <f t="shared" si="19"/>
        <v>1892</v>
      </c>
      <c r="CJ24" s="1894">
        <v>111</v>
      </c>
      <c r="CK24" s="1894">
        <v>27.6</v>
      </c>
      <c r="CL24" s="1894">
        <v>88.8</v>
      </c>
      <c r="CM24" s="1894">
        <v>0.99890000000000001</v>
      </c>
      <c r="CN24" s="1894">
        <v>69.489999999999995</v>
      </c>
      <c r="CO24" s="1894">
        <v>12888</v>
      </c>
      <c r="CP24" s="1894">
        <f t="shared" si="20"/>
        <v>11128</v>
      </c>
      <c r="CQ24" s="1894">
        <f t="shared" si="21"/>
        <v>1760</v>
      </c>
      <c r="CR24" s="1924">
        <v>111</v>
      </c>
      <c r="CS24" s="1924">
        <v>26.8</v>
      </c>
      <c r="CT24" s="1924">
        <v>88.8</v>
      </c>
      <c r="CU24" s="1924">
        <v>0.998</v>
      </c>
      <c r="CV24" s="1924">
        <v>73.31</v>
      </c>
      <c r="CW24" s="1924">
        <v>14618</v>
      </c>
      <c r="CX24" s="1894">
        <f t="shared" si="22"/>
        <v>11964</v>
      </c>
      <c r="CY24" s="1894">
        <f t="shared" si="23"/>
        <v>2654</v>
      </c>
    </row>
    <row r="25" spans="1:103">
      <c r="A25" s="982">
        <v>126000000022</v>
      </c>
      <c r="B25" s="1923">
        <f t="shared" si="24"/>
        <v>19</v>
      </c>
      <c r="C25" s="1895" t="s">
        <v>2923</v>
      </c>
      <c r="D25" s="1894" t="s">
        <v>524</v>
      </c>
      <c r="E25" s="1895" t="s">
        <v>541</v>
      </c>
      <c r="F25" s="1894" t="s">
        <v>259</v>
      </c>
      <c r="G25" s="1924">
        <v>111</v>
      </c>
      <c r="H25" s="1894">
        <v>111</v>
      </c>
      <c r="I25" s="1894">
        <v>2</v>
      </c>
      <c r="J25" s="1894">
        <v>88.8</v>
      </c>
      <c r="K25" s="1894">
        <v>0.99360000000000004</v>
      </c>
      <c r="L25" s="1894">
        <v>21.81</v>
      </c>
      <c r="M25" s="1894">
        <v>314</v>
      </c>
      <c r="N25" s="1894">
        <f t="shared" si="0"/>
        <v>864</v>
      </c>
      <c r="O25" s="1894">
        <f t="shared" si="1"/>
        <v>0</v>
      </c>
      <c r="P25" s="1894">
        <v>111</v>
      </c>
      <c r="Q25" s="1894">
        <v>0</v>
      </c>
      <c r="R25" s="1894">
        <v>88.8</v>
      </c>
      <c r="S25" s="1894">
        <v>0</v>
      </c>
      <c r="T25" s="1894">
        <v>0</v>
      </c>
      <c r="U25" s="1894">
        <v>0</v>
      </c>
      <c r="V25" s="1894">
        <f t="shared" si="2"/>
        <v>0</v>
      </c>
      <c r="W25" s="1894">
        <f t="shared" si="3"/>
        <v>0</v>
      </c>
      <c r="X25" s="1894">
        <v>111</v>
      </c>
      <c r="Y25" s="1894">
        <v>0</v>
      </c>
      <c r="Z25" s="1894">
        <v>88.8</v>
      </c>
      <c r="AA25" s="1894">
        <v>0</v>
      </c>
      <c r="AB25" s="1894">
        <v>0</v>
      </c>
      <c r="AC25" s="1894">
        <v>0</v>
      </c>
      <c r="AD25" s="1894">
        <f t="shared" si="4"/>
        <v>0</v>
      </c>
      <c r="AE25" s="1894">
        <f t="shared" si="5"/>
        <v>0</v>
      </c>
      <c r="AF25" s="1894">
        <v>111</v>
      </c>
      <c r="AG25" s="1894">
        <v>0</v>
      </c>
      <c r="AH25" s="1894">
        <v>88.8</v>
      </c>
      <c r="AI25" s="1894">
        <v>0</v>
      </c>
      <c r="AJ25" s="1894">
        <v>0</v>
      </c>
      <c r="AK25" s="1894">
        <v>0</v>
      </c>
      <c r="AL25" s="1894">
        <f t="shared" si="6"/>
        <v>0</v>
      </c>
      <c r="AM25" s="1894">
        <f t="shared" si="7"/>
        <v>0</v>
      </c>
      <c r="AN25" s="1894">
        <v>111</v>
      </c>
      <c r="AO25" s="1894">
        <v>0</v>
      </c>
      <c r="AP25" s="1894">
        <v>88.8</v>
      </c>
      <c r="AQ25" s="1894">
        <v>0</v>
      </c>
      <c r="AR25" s="1894">
        <v>0</v>
      </c>
      <c r="AS25" s="1894">
        <v>0</v>
      </c>
      <c r="AT25" s="1894">
        <f t="shared" si="8"/>
        <v>0</v>
      </c>
      <c r="AU25" s="1894">
        <f t="shared" si="9"/>
        <v>0</v>
      </c>
      <c r="AV25" s="1894">
        <v>111</v>
      </c>
      <c r="AW25" s="1894">
        <v>96.08</v>
      </c>
      <c r="AX25" s="1894">
        <v>96.08</v>
      </c>
      <c r="AY25" s="1894">
        <v>0.65569999999999995</v>
      </c>
      <c r="AZ25" s="1894">
        <v>2.39</v>
      </c>
      <c r="BA25" s="1894">
        <v>1650</v>
      </c>
      <c r="BB25" s="1894">
        <f t="shared" si="10"/>
        <v>41507</v>
      </c>
      <c r="BC25" s="1894">
        <f t="shared" si="11"/>
        <v>0</v>
      </c>
      <c r="BD25" s="1894">
        <v>111</v>
      </c>
      <c r="BE25" s="1894">
        <v>6.16</v>
      </c>
      <c r="BF25" s="1894">
        <v>88.8</v>
      </c>
      <c r="BG25" s="1894">
        <v>0.99860000000000004</v>
      </c>
      <c r="BH25" s="1894">
        <v>15.93</v>
      </c>
      <c r="BI25" s="1894">
        <v>730</v>
      </c>
      <c r="BJ25" s="1894">
        <f t="shared" si="12"/>
        <v>2750</v>
      </c>
      <c r="BK25" s="1894">
        <f t="shared" si="13"/>
        <v>0</v>
      </c>
      <c r="BL25" s="1894">
        <v>111</v>
      </c>
      <c r="BM25" s="1894">
        <v>8.5599999999999987</v>
      </c>
      <c r="BN25" s="1894">
        <v>88.8</v>
      </c>
      <c r="BO25" s="1894">
        <v>0.99470000000000003</v>
      </c>
      <c r="BP25" s="1894">
        <v>12.43</v>
      </c>
      <c r="BQ25" s="1894">
        <v>766</v>
      </c>
      <c r="BR25" s="1894">
        <f t="shared" si="14"/>
        <v>3698</v>
      </c>
      <c r="BS25" s="1894">
        <f t="shared" si="15"/>
        <v>0</v>
      </c>
      <c r="BT25" s="1894">
        <v>111</v>
      </c>
      <c r="BU25" s="1894">
        <v>7.84</v>
      </c>
      <c r="BV25" s="1894">
        <v>88.8</v>
      </c>
      <c r="BW25" s="1894">
        <v>0.99519999999999997</v>
      </c>
      <c r="BX25" s="1894">
        <v>10.89</v>
      </c>
      <c r="BY25" s="1894">
        <v>635</v>
      </c>
      <c r="BZ25" s="1894">
        <f t="shared" si="16"/>
        <v>3500</v>
      </c>
      <c r="CA25" s="1894">
        <f t="shared" si="17"/>
        <v>0</v>
      </c>
      <c r="CB25" s="1894">
        <v>111</v>
      </c>
      <c r="CC25" s="1894">
        <v>4.96</v>
      </c>
      <c r="CD25" s="1894">
        <v>88.8</v>
      </c>
      <c r="CE25" s="1894">
        <v>0.99739999999999995</v>
      </c>
      <c r="CF25" s="1894">
        <v>10.65</v>
      </c>
      <c r="CG25" s="1894">
        <v>393</v>
      </c>
      <c r="CH25" s="1894">
        <f t="shared" si="18"/>
        <v>2214</v>
      </c>
      <c r="CI25" s="1894">
        <f t="shared" si="19"/>
        <v>0</v>
      </c>
      <c r="CJ25" s="1894">
        <v>111</v>
      </c>
      <c r="CK25" s="1894">
        <v>190.08</v>
      </c>
      <c r="CL25" s="1894">
        <v>190.08</v>
      </c>
      <c r="CM25" s="1894">
        <v>0.6603</v>
      </c>
      <c r="CN25" s="1894">
        <v>2.96</v>
      </c>
      <c r="CO25" s="1894">
        <v>3786</v>
      </c>
      <c r="CP25" s="1894">
        <f t="shared" si="20"/>
        <v>76640</v>
      </c>
      <c r="CQ25" s="1894">
        <f t="shared" si="21"/>
        <v>0</v>
      </c>
      <c r="CR25" s="1924">
        <v>111</v>
      </c>
      <c r="CS25" s="1924">
        <v>186.64000000000001</v>
      </c>
      <c r="CT25" s="1924">
        <v>186.64</v>
      </c>
      <c r="CU25" s="1924">
        <v>0.64190000000000003</v>
      </c>
      <c r="CV25" s="1924">
        <v>13.88</v>
      </c>
      <c r="CW25" s="1924">
        <v>19279</v>
      </c>
      <c r="CX25" s="1894">
        <f t="shared" si="22"/>
        <v>83316</v>
      </c>
      <c r="CY25" s="1894">
        <f t="shared" si="23"/>
        <v>0</v>
      </c>
    </row>
    <row r="26" spans="1:103">
      <c r="A26" s="982">
        <v>125000000043</v>
      </c>
      <c r="B26" s="1923">
        <f t="shared" si="24"/>
        <v>20</v>
      </c>
      <c r="C26" s="1895" t="s">
        <v>2924</v>
      </c>
      <c r="D26" s="1894" t="s">
        <v>524</v>
      </c>
      <c r="E26" s="1895" t="s">
        <v>737</v>
      </c>
      <c r="F26" s="1894" t="s">
        <v>259</v>
      </c>
      <c r="G26" s="1924">
        <v>111</v>
      </c>
      <c r="H26" s="1894">
        <v>111</v>
      </c>
      <c r="I26" s="1894">
        <v>9.4</v>
      </c>
      <c r="J26" s="1894">
        <v>88.8</v>
      </c>
      <c r="K26" s="1894">
        <v>0.99460000000000004</v>
      </c>
      <c r="L26" s="1894">
        <v>36</v>
      </c>
      <c r="M26" s="1894">
        <v>2599</v>
      </c>
      <c r="N26" s="1894">
        <f t="shared" si="0"/>
        <v>4061</v>
      </c>
      <c r="O26" s="1894">
        <f t="shared" si="1"/>
        <v>0</v>
      </c>
      <c r="P26" s="1894">
        <v>111</v>
      </c>
      <c r="Q26" s="1894">
        <v>10</v>
      </c>
      <c r="R26" s="1894">
        <v>88.8</v>
      </c>
      <c r="S26" s="1894">
        <v>0.99360000000000004</v>
      </c>
      <c r="T26" s="1894">
        <v>37.43</v>
      </c>
      <c r="U26" s="1894">
        <v>2515</v>
      </c>
      <c r="V26" s="1894">
        <f t="shared" si="2"/>
        <v>4464</v>
      </c>
      <c r="W26" s="1894">
        <f t="shared" si="3"/>
        <v>0</v>
      </c>
      <c r="X26" s="1894">
        <v>111</v>
      </c>
      <c r="Y26" s="1894">
        <v>9.44</v>
      </c>
      <c r="Z26" s="1894">
        <v>88.8</v>
      </c>
      <c r="AA26" s="1894">
        <v>0.98280000000000001</v>
      </c>
      <c r="AB26" s="1894">
        <v>27.35</v>
      </c>
      <c r="AC26" s="1894">
        <v>1921</v>
      </c>
      <c r="AD26" s="1894">
        <f t="shared" si="4"/>
        <v>4078</v>
      </c>
      <c r="AE26" s="1894">
        <f t="shared" si="5"/>
        <v>0</v>
      </c>
      <c r="AF26" s="1894">
        <v>111</v>
      </c>
      <c r="AG26" s="1894">
        <v>33.92</v>
      </c>
      <c r="AH26" s="1894">
        <v>88.8</v>
      </c>
      <c r="AI26" s="1894">
        <v>0.9869</v>
      </c>
      <c r="AJ26" s="1894">
        <v>9.41</v>
      </c>
      <c r="AK26" s="1894">
        <v>2222</v>
      </c>
      <c r="AL26" s="1894">
        <f t="shared" si="6"/>
        <v>15142</v>
      </c>
      <c r="AM26" s="1894">
        <f t="shared" si="7"/>
        <v>0</v>
      </c>
      <c r="AN26" s="1894">
        <v>111</v>
      </c>
      <c r="AO26" s="1894">
        <v>10</v>
      </c>
      <c r="AP26" s="1894">
        <v>88.8</v>
      </c>
      <c r="AQ26" s="1894">
        <v>0.99239999999999995</v>
      </c>
      <c r="AR26" s="1894">
        <v>37.99</v>
      </c>
      <c r="AS26" s="1894">
        <v>3191</v>
      </c>
      <c r="AT26" s="1894">
        <f t="shared" si="8"/>
        <v>4464</v>
      </c>
      <c r="AU26" s="1894">
        <f t="shared" si="9"/>
        <v>0</v>
      </c>
      <c r="AV26" s="1894">
        <v>111</v>
      </c>
      <c r="AW26" s="1894">
        <v>11.200000000000001</v>
      </c>
      <c r="AX26" s="1894">
        <v>88.8</v>
      </c>
      <c r="AY26" s="1894">
        <v>0.995</v>
      </c>
      <c r="AZ26" s="1894">
        <v>40.43</v>
      </c>
      <c r="BA26" s="1894">
        <v>2608</v>
      </c>
      <c r="BB26" s="1894">
        <f t="shared" si="10"/>
        <v>4838</v>
      </c>
      <c r="BC26" s="1894">
        <f t="shared" si="11"/>
        <v>0</v>
      </c>
      <c r="BD26" s="1894">
        <v>111</v>
      </c>
      <c r="BE26" s="1894">
        <v>11.799999999999999</v>
      </c>
      <c r="BF26" s="1894">
        <v>88.8</v>
      </c>
      <c r="BG26" s="1894">
        <v>0.97099999999999997</v>
      </c>
      <c r="BH26" s="1894">
        <v>27.01</v>
      </c>
      <c r="BI26" s="1894">
        <v>2830</v>
      </c>
      <c r="BJ26" s="1894">
        <f t="shared" si="12"/>
        <v>5268</v>
      </c>
      <c r="BK26" s="1894">
        <f t="shared" si="13"/>
        <v>0</v>
      </c>
      <c r="BL26" s="1894">
        <v>111</v>
      </c>
      <c r="BM26" s="1894">
        <v>11</v>
      </c>
      <c r="BN26" s="1894">
        <v>88.8</v>
      </c>
      <c r="BO26" s="1894">
        <v>0.98370000000000002</v>
      </c>
      <c r="BP26" s="1894">
        <v>38.51</v>
      </c>
      <c r="BQ26" s="1894">
        <v>2948</v>
      </c>
      <c r="BR26" s="1894">
        <f t="shared" si="14"/>
        <v>4752</v>
      </c>
      <c r="BS26" s="1894">
        <f t="shared" si="15"/>
        <v>0</v>
      </c>
      <c r="BT26" s="1894">
        <v>111</v>
      </c>
      <c r="BU26" s="1894">
        <v>11.200000000000001</v>
      </c>
      <c r="BV26" s="1894">
        <v>88.8</v>
      </c>
      <c r="BW26" s="1894">
        <v>0.98760000000000003</v>
      </c>
      <c r="BX26" s="1894">
        <v>43.45</v>
      </c>
      <c r="BY26" s="1894">
        <v>3737</v>
      </c>
      <c r="BZ26" s="1894">
        <f t="shared" si="16"/>
        <v>5000</v>
      </c>
      <c r="CA26" s="1894">
        <f t="shared" si="17"/>
        <v>0</v>
      </c>
      <c r="CB26" s="1894">
        <v>111</v>
      </c>
      <c r="CC26" s="1894">
        <v>12.24</v>
      </c>
      <c r="CD26" s="1894">
        <v>88.8</v>
      </c>
      <c r="CE26" s="1894">
        <v>0.9758</v>
      </c>
      <c r="CF26" s="1894">
        <v>29.04</v>
      </c>
      <c r="CG26" s="1894">
        <v>2645</v>
      </c>
      <c r="CH26" s="1894">
        <f t="shared" si="18"/>
        <v>5464</v>
      </c>
      <c r="CI26" s="1894">
        <f t="shared" si="19"/>
        <v>0</v>
      </c>
      <c r="CJ26" s="1894">
        <v>111</v>
      </c>
      <c r="CK26" s="1894">
        <v>10.08</v>
      </c>
      <c r="CL26" s="1894">
        <v>88.8</v>
      </c>
      <c r="CM26" s="1894">
        <v>0.99250000000000005</v>
      </c>
      <c r="CN26" s="1894">
        <v>37.47</v>
      </c>
      <c r="CO26" s="1894">
        <v>2538</v>
      </c>
      <c r="CP26" s="1894">
        <f t="shared" si="20"/>
        <v>4064</v>
      </c>
      <c r="CQ26" s="1894">
        <f t="shared" si="21"/>
        <v>0</v>
      </c>
      <c r="CR26" s="1924">
        <v>111</v>
      </c>
      <c r="CS26" s="1924">
        <v>9.44</v>
      </c>
      <c r="CT26" s="1924">
        <v>88.8</v>
      </c>
      <c r="CU26" s="1924">
        <v>0.99439999999999995</v>
      </c>
      <c r="CV26" s="1924">
        <v>41.05</v>
      </c>
      <c r="CW26" s="1924">
        <v>2883</v>
      </c>
      <c r="CX26" s="1894">
        <f t="shared" si="22"/>
        <v>4214</v>
      </c>
      <c r="CY26" s="1894">
        <f t="shared" si="23"/>
        <v>0</v>
      </c>
    </row>
    <row r="27" spans="1:103">
      <c r="A27" s="982">
        <v>421000000012</v>
      </c>
      <c r="B27" s="1923">
        <f t="shared" si="24"/>
        <v>21</v>
      </c>
      <c r="C27" s="1895" t="s">
        <v>2925</v>
      </c>
      <c r="D27" s="1894" t="s">
        <v>524</v>
      </c>
      <c r="E27" s="1895" t="s">
        <v>636</v>
      </c>
      <c r="F27" s="1894" t="s">
        <v>259</v>
      </c>
      <c r="G27" s="1924">
        <v>111</v>
      </c>
      <c r="H27" s="1894">
        <v>111</v>
      </c>
      <c r="I27" s="1894">
        <v>4.8</v>
      </c>
      <c r="J27" s="1894">
        <v>88.8</v>
      </c>
      <c r="K27" s="1894">
        <v>1</v>
      </c>
      <c r="L27" s="1894">
        <v>36.81</v>
      </c>
      <c r="M27" s="1894">
        <v>1272</v>
      </c>
      <c r="N27" s="1894">
        <f t="shared" si="0"/>
        <v>2074</v>
      </c>
      <c r="O27" s="1894">
        <f t="shared" si="1"/>
        <v>0</v>
      </c>
      <c r="P27" s="1894">
        <v>111</v>
      </c>
      <c r="Q27" s="1894">
        <v>25.28</v>
      </c>
      <c r="R27" s="1894">
        <v>88.8</v>
      </c>
      <c r="S27" s="1894">
        <v>0.9889</v>
      </c>
      <c r="T27" s="1894">
        <v>7.67</v>
      </c>
      <c r="U27" s="1894">
        <v>1442</v>
      </c>
      <c r="V27" s="1894">
        <f t="shared" si="2"/>
        <v>11285</v>
      </c>
      <c r="W27" s="1894">
        <f t="shared" si="3"/>
        <v>0</v>
      </c>
      <c r="X27" s="1894">
        <v>111</v>
      </c>
      <c r="Y27" s="1894">
        <v>9.92</v>
      </c>
      <c r="Z27" s="1894">
        <v>88.8</v>
      </c>
      <c r="AA27" s="1894">
        <v>0.99750000000000005</v>
      </c>
      <c r="AB27" s="1894">
        <v>29.01</v>
      </c>
      <c r="AC27" s="1894">
        <v>2072</v>
      </c>
      <c r="AD27" s="1894">
        <f t="shared" si="4"/>
        <v>4285</v>
      </c>
      <c r="AE27" s="1894">
        <f t="shared" si="5"/>
        <v>0</v>
      </c>
      <c r="AF27" s="1894">
        <v>111</v>
      </c>
      <c r="AG27" s="1894">
        <v>9.84</v>
      </c>
      <c r="AH27" s="1894">
        <v>88.8</v>
      </c>
      <c r="AI27" s="1894">
        <v>0.99850000000000005</v>
      </c>
      <c r="AJ27" s="1894">
        <v>18.95</v>
      </c>
      <c r="AK27" s="1894">
        <v>1387</v>
      </c>
      <c r="AL27" s="1894">
        <f t="shared" si="6"/>
        <v>4393</v>
      </c>
      <c r="AM27" s="1894">
        <f t="shared" si="7"/>
        <v>0</v>
      </c>
      <c r="AN27" s="1894">
        <v>111</v>
      </c>
      <c r="AO27" s="1894">
        <v>8.48</v>
      </c>
      <c r="AP27" s="1894">
        <v>88.8</v>
      </c>
      <c r="AQ27" s="1894">
        <v>1</v>
      </c>
      <c r="AR27" s="1894">
        <v>28.72</v>
      </c>
      <c r="AS27" s="1894">
        <v>1812</v>
      </c>
      <c r="AT27" s="1894">
        <f t="shared" si="8"/>
        <v>3785</v>
      </c>
      <c r="AU27" s="1894">
        <f t="shared" si="9"/>
        <v>0</v>
      </c>
      <c r="AV27" s="1894">
        <v>111</v>
      </c>
      <c r="AW27" s="1894">
        <v>12.879999999999999</v>
      </c>
      <c r="AX27" s="1894">
        <v>88.8</v>
      </c>
      <c r="AY27" s="1894">
        <v>0.99860000000000004</v>
      </c>
      <c r="AZ27" s="1894">
        <v>23.96</v>
      </c>
      <c r="BA27" s="1894">
        <v>2222</v>
      </c>
      <c r="BB27" s="1894">
        <f t="shared" si="10"/>
        <v>5564</v>
      </c>
      <c r="BC27" s="1894">
        <f t="shared" si="11"/>
        <v>0</v>
      </c>
      <c r="BD27" s="1894">
        <v>111</v>
      </c>
      <c r="BE27" s="1894">
        <v>8.64</v>
      </c>
      <c r="BF27" s="1894">
        <v>88.8</v>
      </c>
      <c r="BG27" s="1894">
        <v>1</v>
      </c>
      <c r="BH27" s="1894">
        <v>30.8</v>
      </c>
      <c r="BI27" s="1894">
        <v>1980</v>
      </c>
      <c r="BJ27" s="1894">
        <f t="shared" si="12"/>
        <v>3857</v>
      </c>
      <c r="BK27" s="1894">
        <f t="shared" si="13"/>
        <v>0</v>
      </c>
      <c r="BL27" s="1894">
        <v>111</v>
      </c>
      <c r="BM27" s="1894">
        <v>11.76</v>
      </c>
      <c r="BN27" s="1894">
        <v>88.8</v>
      </c>
      <c r="BO27" s="1894">
        <v>0.99929999999999997</v>
      </c>
      <c r="BP27" s="1894">
        <v>18.71</v>
      </c>
      <c r="BQ27" s="1894">
        <v>1584</v>
      </c>
      <c r="BR27" s="1894">
        <f t="shared" si="14"/>
        <v>5080</v>
      </c>
      <c r="BS27" s="1894">
        <f t="shared" si="15"/>
        <v>0</v>
      </c>
      <c r="BT27" s="1894">
        <v>111</v>
      </c>
      <c r="BU27" s="1894">
        <v>7.6</v>
      </c>
      <c r="BV27" s="1894">
        <v>88.8</v>
      </c>
      <c r="BW27" s="1894">
        <v>0.99870000000000003</v>
      </c>
      <c r="BX27" s="1894">
        <v>27.75</v>
      </c>
      <c r="BY27" s="1894">
        <v>1569</v>
      </c>
      <c r="BZ27" s="1894">
        <f t="shared" si="16"/>
        <v>3393</v>
      </c>
      <c r="CA27" s="1894">
        <f t="shared" si="17"/>
        <v>0</v>
      </c>
      <c r="CB27" s="1894">
        <v>111</v>
      </c>
      <c r="CC27" s="1894">
        <v>9.120000000000001</v>
      </c>
      <c r="CD27" s="1894">
        <v>88.8</v>
      </c>
      <c r="CE27" s="1894">
        <v>0.99929999999999997</v>
      </c>
      <c r="CF27" s="1894">
        <v>22.68</v>
      </c>
      <c r="CG27" s="1894">
        <v>1539</v>
      </c>
      <c r="CH27" s="1894">
        <f t="shared" si="18"/>
        <v>4071</v>
      </c>
      <c r="CI27" s="1894">
        <f t="shared" si="19"/>
        <v>0</v>
      </c>
      <c r="CJ27" s="1894">
        <v>111</v>
      </c>
      <c r="CK27" s="1894">
        <v>9.76</v>
      </c>
      <c r="CL27" s="1894">
        <v>88.8</v>
      </c>
      <c r="CM27" s="1894">
        <v>0.99929999999999997</v>
      </c>
      <c r="CN27" s="1894">
        <v>24.27</v>
      </c>
      <c r="CO27" s="1894">
        <v>1592</v>
      </c>
      <c r="CP27" s="1894">
        <f t="shared" si="20"/>
        <v>3935</v>
      </c>
      <c r="CQ27" s="1894">
        <f t="shared" si="21"/>
        <v>0</v>
      </c>
      <c r="CR27" s="1924">
        <v>111</v>
      </c>
      <c r="CS27" s="1924">
        <v>11.04</v>
      </c>
      <c r="CT27" s="1924">
        <v>88.8</v>
      </c>
      <c r="CU27" s="1924">
        <v>1</v>
      </c>
      <c r="CV27" s="1924">
        <v>19.190000000000001</v>
      </c>
      <c r="CW27" s="1924">
        <v>1576</v>
      </c>
      <c r="CX27" s="1894">
        <f t="shared" si="22"/>
        <v>4928</v>
      </c>
      <c r="CY27" s="1894">
        <f t="shared" si="23"/>
        <v>0</v>
      </c>
    </row>
    <row r="28" spans="1:103">
      <c r="A28" s="982">
        <v>421000000014</v>
      </c>
      <c r="B28" s="1923">
        <f t="shared" si="24"/>
        <v>22</v>
      </c>
      <c r="C28" s="1895" t="s">
        <v>2926</v>
      </c>
      <c r="D28" s="1894" t="s">
        <v>524</v>
      </c>
      <c r="E28" s="1895" t="s">
        <v>737</v>
      </c>
      <c r="F28" s="1894" t="s">
        <v>259</v>
      </c>
      <c r="G28" s="1924">
        <v>111</v>
      </c>
      <c r="H28" s="1894">
        <v>111</v>
      </c>
      <c r="I28" s="1894">
        <v>47.599999999999994</v>
      </c>
      <c r="J28" s="1894">
        <v>88.8</v>
      </c>
      <c r="K28" s="1894">
        <v>1</v>
      </c>
      <c r="L28" s="1894">
        <v>18.23</v>
      </c>
      <c r="M28" s="1894">
        <v>6249</v>
      </c>
      <c r="N28" s="1894">
        <f t="shared" si="0"/>
        <v>20563</v>
      </c>
      <c r="O28" s="1894">
        <f t="shared" si="1"/>
        <v>0</v>
      </c>
      <c r="P28" s="1894">
        <v>111</v>
      </c>
      <c r="Q28" s="1894">
        <v>63.800000000000004</v>
      </c>
      <c r="R28" s="1894">
        <v>88.8</v>
      </c>
      <c r="S28" s="1894">
        <v>0.99950000000000006</v>
      </c>
      <c r="T28" s="1894">
        <v>13.86</v>
      </c>
      <c r="U28" s="1894">
        <v>6581</v>
      </c>
      <c r="V28" s="1894">
        <f t="shared" si="2"/>
        <v>28480</v>
      </c>
      <c r="W28" s="1894">
        <f t="shared" si="3"/>
        <v>0</v>
      </c>
      <c r="X28" s="1894">
        <v>111</v>
      </c>
      <c r="Y28" s="1894">
        <v>61.28</v>
      </c>
      <c r="Z28" s="1894">
        <v>88.8</v>
      </c>
      <c r="AA28" s="1894">
        <v>0.99980000000000002</v>
      </c>
      <c r="AB28" s="1894">
        <v>15.22</v>
      </c>
      <c r="AC28" s="1894">
        <v>6715</v>
      </c>
      <c r="AD28" s="1894">
        <f t="shared" si="4"/>
        <v>26473</v>
      </c>
      <c r="AE28" s="1894">
        <f t="shared" si="5"/>
        <v>0</v>
      </c>
      <c r="AF28" s="1894">
        <v>111</v>
      </c>
      <c r="AG28" s="1894">
        <v>53.92</v>
      </c>
      <c r="AH28" s="1894">
        <v>88.8</v>
      </c>
      <c r="AI28" s="1894">
        <v>0.99980000000000002</v>
      </c>
      <c r="AJ28" s="1894">
        <v>19.059999999999999</v>
      </c>
      <c r="AK28" s="1894">
        <v>7645</v>
      </c>
      <c r="AL28" s="1894">
        <f t="shared" si="6"/>
        <v>24070</v>
      </c>
      <c r="AM28" s="1894">
        <f t="shared" si="7"/>
        <v>0</v>
      </c>
      <c r="AN28" s="1894">
        <v>111</v>
      </c>
      <c r="AO28" s="1894">
        <v>32.96</v>
      </c>
      <c r="AP28" s="1894">
        <v>88.8</v>
      </c>
      <c r="AQ28" s="1894">
        <v>0.99970000000000003</v>
      </c>
      <c r="AR28" s="1894">
        <v>31.82</v>
      </c>
      <c r="AS28" s="1894">
        <v>7802</v>
      </c>
      <c r="AT28" s="1894">
        <f t="shared" si="8"/>
        <v>14713</v>
      </c>
      <c r="AU28" s="1894">
        <f t="shared" si="9"/>
        <v>0</v>
      </c>
      <c r="AV28" s="1894">
        <v>111</v>
      </c>
      <c r="AW28" s="1894">
        <v>39.36</v>
      </c>
      <c r="AX28" s="1894">
        <v>88.8</v>
      </c>
      <c r="AY28" s="1894">
        <v>0.99950000000000006</v>
      </c>
      <c r="AZ28" s="1894">
        <v>29.53</v>
      </c>
      <c r="BA28" s="1894">
        <v>8369</v>
      </c>
      <c r="BB28" s="1894">
        <f t="shared" si="10"/>
        <v>17004</v>
      </c>
      <c r="BC28" s="1894">
        <f t="shared" si="11"/>
        <v>0</v>
      </c>
      <c r="BD28" s="1894">
        <v>111</v>
      </c>
      <c r="BE28" s="1894">
        <v>39.68</v>
      </c>
      <c r="BF28" s="1894">
        <v>88.8</v>
      </c>
      <c r="BG28" s="1894">
        <v>1</v>
      </c>
      <c r="BH28" s="1894">
        <v>25.19</v>
      </c>
      <c r="BI28" s="1894">
        <v>7436</v>
      </c>
      <c r="BJ28" s="1894">
        <f t="shared" si="12"/>
        <v>17713</v>
      </c>
      <c r="BK28" s="1894">
        <f t="shared" si="13"/>
        <v>0</v>
      </c>
      <c r="BL28" s="1894">
        <v>111</v>
      </c>
      <c r="BM28" s="1894">
        <v>29.12</v>
      </c>
      <c r="BN28" s="1894">
        <v>88.8</v>
      </c>
      <c r="BO28" s="1894">
        <v>0.99980000000000002</v>
      </c>
      <c r="BP28" s="1894">
        <v>30.51</v>
      </c>
      <c r="BQ28" s="1894">
        <v>6396</v>
      </c>
      <c r="BR28" s="1894">
        <f t="shared" si="14"/>
        <v>12580</v>
      </c>
      <c r="BS28" s="1894">
        <f t="shared" si="15"/>
        <v>0</v>
      </c>
      <c r="BT28" s="1894">
        <v>111</v>
      </c>
      <c r="BU28" s="1894">
        <v>13.84</v>
      </c>
      <c r="BV28" s="1894">
        <v>88.8</v>
      </c>
      <c r="BW28" s="1894">
        <v>0.99880000000000002</v>
      </c>
      <c r="BX28" s="1894">
        <v>41.25</v>
      </c>
      <c r="BY28" s="1894">
        <v>4247</v>
      </c>
      <c r="BZ28" s="1894">
        <f t="shared" si="16"/>
        <v>6178</v>
      </c>
      <c r="CA28" s="1894">
        <f t="shared" si="17"/>
        <v>0</v>
      </c>
      <c r="CB28" s="1894">
        <v>111</v>
      </c>
      <c r="CC28" s="1894">
        <v>16.64</v>
      </c>
      <c r="CD28" s="1894">
        <v>88.8</v>
      </c>
      <c r="CE28" s="1894">
        <v>0.999</v>
      </c>
      <c r="CF28" s="1894">
        <v>32.74</v>
      </c>
      <c r="CG28" s="1894">
        <v>4053</v>
      </c>
      <c r="CH28" s="1894">
        <f t="shared" si="18"/>
        <v>7428</v>
      </c>
      <c r="CI28" s="1894">
        <f t="shared" si="19"/>
        <v>0</v>
      </c>
      <c r="CJ28" s="1894">
        <v>111</v>
      </c>
      <c r="CK28" s="1894">
        <v>31.759999999999998</v>
      </c>
      <c r="CL28" s="1894">
        <v>88.8</v>
      </c>
      <c r="CM28" s="1894">
        <v>0.99950000000000006</v>
      </c>
      <c r="CN28" s="1894">
        <v>20.04</v>
      </c>
      <c r="CO28" s="1894">
        <v>4277</v>
      </c>
      <c r="CP28" s="1894">
        <f t="shared" si="20"/>
        <v>12806</v>
      </c>
      <c r="CQ28" s="1894">
        <f t="shared" si="21"/>
        <v>0</v>
      </c>
      <c r="CR28" s="1924">
        <v>111</v>
      </c>
      <c r="CS28" s="1924">
        <v>40.400000000000006</v>
      </c>
      <c r="CT28" s="1924">
        <v>88.8</v>
      </c>
      <c r="CU28" s="1924">
        <v>0.99960000000000004</v>
      </c>
      <c r="CV28" s="1924">
        <v>19.23</v>
      </c>
      <c r="CW28" s="1924">
        <v>5779</v>
      </c>
      <c r="CX28" s="1894">
        <f t="shared" si="22"/>
        <v>18035</v>
      </c>
      <c r="CY28" s="1894">
        <f t="shared" si="23"/>
        <v>0</v>
      </c>
    </row>
    <row r="29" spans="1:103">
      <c r="A29" s="982">
        <v>615000000028</v>
      </c>
      <c r="B29" s="1923">
        <f t="shared" si="24"/>
        <v>23</v>
      </c>
      <c r="C29" s="1895" t="s">
        <v>2927</v>
      </c>
      <c r="D29" s="1894" t="s">
        <v>524</v>
      </c>
      <c r="E29" s="1895" t="s">
        <v>737</v>
      </c>
      <c r="F29" s="1894" t="s">
        <v>259</v>
      </c>
      <c r="G29" s="1924">
        <v>111</v>
      </c>
      <c r="H29" s="1894">
        <v>111</v>
      </c>
      <c r="I29" s="1894">
        <v>10.32</v>
      </c>
      <c r="J29" s="1894">
        <v>88.8</v>
      </c>
      <c r="K29" s="1894">
        <v>0.92259999999999998</v>
      </c>
      <c r="L29" s="1894">
        <v>26.97</v>
      </c>
      <c r="M29" s="1894">
        <v>2004</v>
      </c>
      <c r="N29" s="1894">
        <f t="shared" si="0"/>
        <v>4458</v>
      </c>
      <c r="O29" s="1894">
        <f t="shared" si="1"/>
        <v>0</v>
      </c>
      <c r="P29" s="1894">
        <v>111</v>
      </c>
      <c r="Q29" s="1894">
        <v>13.84</v>
      </c>
      <c r="R29" s="1894">
        <v>88.8</v>
      </c>
      <c r="S29" s="1894">
        <v>0.95440000000000003</v>
      </c>
      <c r="T29" s="1894">
        <v>29.22</v>
      </c>
      <c r="U29" s="1894">
        <v>3009</v>
      </c>
      <c r="V29" s="1894">
        <f t="shared" si="2"/>
        <v>6178</v>
      </c>
      <c r="W29" s="1894">
        <f t="shared" si="3"/>
        <v>0</v>
      </c>
      <c r="X29" s="1894">
        <v>111</v>
      </c>
      <c r="Y29" s="1894">
        <v>9.5200000000000014</v>
      </c>
      <c r="Z29" s="1894">
        <v>88.8</v>
      </c>
      <c r="AA29" s="1894">
        <v>0.88770000000000004</v>
      </c>
      <c r="AB29" s="1894">
        <v>29.24</v>
      </c>
      <c r="AC29" s="1894">
        <v>2004</v>
      </c>
      <c r="AD29" s="1894">
        <f t="shared" si="4"/>
        <v>4113</v>
      </c>
      <c r="AE29" s="1894">
        <f t="shared" si="5"/>
        <v>0</v>
      </c>
      <c r="AF29" s="1894">
        <v>111</v>
      </c>
      <c r="AG29" s="1894">
        <v>5.12</v>
      </c>
      <c r="AH29" s="1894">
        <v>88.8</v>
      </c>
      <c r="AI29" s="1894">
        <v>0.84119999999999995</v>
      </c>
      <c r="AJ29" s="1894">
        <v>49.43</v>
      </c>
      <c r="AK29" s="1894">
        <v>1883</v>
      </c>
      <c r="AL29" s="1894">
        <f t="shared" si="6"/>
        <v>2286</v>
      </c>
      <c r="AM29" s="1894">
        <f t="shared" si="7"/>
        <v>0</v>
      </c>
      <c r="AN29" s="1894">
        <v>111</v>
      </c>
      <c r="AO29" s="1894">
        <v>5.36</v>
      </c>
      <c r="AP29" s="1894">
        <v>88.8</v>
      </c>
      <c r="AQ29" s="1894">
        <v>0.85740000000000005</v>
      </c>
      <c r="AR29" s="1894">
        <v>51.56</v>
      </c>
      <c r="AS29" s="1894">
        <v>2056</v>
      </c>
      <c r="AT29" s="1894">
        <f t="shared" si="8"/>
        <v>2393</v>
      </c>
      <c r="AU29" s="1894">
        <f t="shared" si="9"/>
        <v>0</v>
      </c>
      <c r="AV29" s="1894">
        <v>111</v>
      </c>
      <c r="AW29" s="1894">
        <v>5.6000000000000005</v>
      </c>
      <c r="AX29" s="1894">
        <v>88.8</v>
      </c>
      <c r="AY29" s="1894">
        <v>0.84389999999999998</v>
      </c>
      <c r="AZ29" s="1894">
        <v>50.07</v>
      </c>
      <c r="BA29" s="1894">
        <v>2019</v>
      </c>
      <c r="BB29" s="1894">
        <f t="shared" si="10"/>
        <v>2419</v>
      </c>
      <c r="BC29" s="1894">
        <f t="shared" si="11"/>
        <v>0</v>
      </c>
      <c r="BD29" s="1894">
        <v>111</v>
      </c>
      <c r="BE29" s="1894">
        <v>5.36</v>
      </c>
      <c r="BF29" s="1894">
        <v>88.8</v>
      </c>
      <c r="BG29" s="1894">
        <v>0.74860000000000004</v>
      </c>
      <c r="BH29" s="1894">
        <v>46.39</v>
      </c>
      <c r="BI29" s="1894">
        <v>1850</v>
      </c>
      <c r="BJ29" s="1894">
        <f t="shared" si="12"/>
        <v>2393</v>
      </c>
      <c r="BK29" s="1894">
        <f t="shared" si="13"/>
        <v>0</v>
      </c>
      <c r="BL29" s="1894">
        <v>111</v>
      </c>
      <c r="BM29" s="1894">
        <v>25.28</v>
      </c>
      <c r="BN29" s="1894">
        <v>88.8</v>
      </c>
      <c r="BO29" s="1894">
        <v>0.71760000000000002</v>
      </c>
      <c r="BP29" s="1894">
        <v>10.27</v>
      </c>
      <c r="BQ29" s="1894">
        <v>1870</v>
      </c>
      <c r="BR29" s="1894">
        <f t="shared" si="14"/>
        <v>10921</v>
      </c>
      <c r="BS29" s="1894">
        <f t="shared" si="15"/>
        <v>0</v>
      </c>
      <c r="BT29" s="1894">
        <v>111</v>
      </c>
      <c r="BU29" s="1894">
        <v>4.96</v>
      </c>
      <c r="BV29" s="1894">
        <v>88.8</v>
      </c>
      <c r="BW29" s="1894">
        <v>0.72560000000000002</v>
      </c>
      <c r="BX29" s="1894">
        <v>52.35</v>
      </c>
      <c r="BY29" s="1894">
        <v>1932</v>
      </c>
      <c r="BZ29" s="1894">
        <f t="shared" si="16"/>
        <v>2214</v>
      </c>
      <c r="CA29" s="1894">
        <f t="shared" si="17"/>
        <v>0</v>
      </c>
      <c r="CB29" s="1894">
        <v>111</v>
      </c>
      <c r="CC29" s="1894">
        <v>4.88</v>
      </c>
      <c r="CD29" s="1894">
        <v>88.8</v>
      </c>
      <c r="CE29" s="1894">
        <v>0.74680000000000002</v>
      </c>
      <c r="CF29" s="1894">
        <v>50.6</v>
      </c>
      <c r="CG29" s="1894">
        <v>1837</v>
      </c>
      <c r="CH29" s="1894">
        <f t="shared" si="18"/>
        <v>2178</v>
      </c>
      <c r="CI29" s="1894">
        <f t="shared" si="19"/>
        <v>0</v>
      </c>
      <c r="CJ29" s="1894">
        <v>111</v>
      </c>
      <c r="CK29" s="1894">
        <v>4.4799999999999995</v>
      </c>
      <c r="CL29" s="1894">
        <v>88.8</v>
      </c>
      <c r="CM29" s="1894">
        <v>0.67130000000000001</v>
      </c>
      <c r="CN29" s="1894">
        <v>61.45</v>
      </c>
      <c r="CO29" s="1894">
        <v>1850</v>
      </c>
      <c r="CP29" s="1894">
        <f t="shared" si="20"/>
        <v>1806</v>
      </c>
      <c r="CQ29" s="1894">
        <f t="shared" si="21"/>
        <v>44</v>
      </c>
      <c r="CR29" s="1924">
        <v>111</v>
      </c>
      <c r="CS29" s="1924">
        <v>5.6800000000000006</v>
      </c>
      <c r="CT29" s="1924">
        <v>88.8</v>
      </c>
      <c r="CU29" s="1924">
        <v>0.72499999999999998</v>
      </c>
      <c r="CV29" s="1924">
        <v>53.46</v>
      </c>
      <c r="CW29" s="1924">
        <v>2259</v>
      </c>
      <c r="CX29" s="1894">
        <f t="shared" si="22"/>
        <v>2536</v>
      </c>
      <c r="CY29" s="1894">
        <f t="shared" si="23"/>
        <v>0</v>
      </c>
    </row>
    <row r="30" spans="1:103">
      <c r="A30" s="982">
        <v>611000000126</v>
      </c>
      <c r="B30" s="1923">
        <f t="shared" si="24"/>
        <v>24</v>
      </c>
      <c r="C30" s="1895" t="s">
        <v>2928</v>
      </c>
      <c r="D30" s="1894" t="s">
        <v>524</v>
      </c>
      <c r="E30" s="1895" t="s">
        <v>737</v>
      </c>
      <c r="F30" s="1894" t="s">
        <v>259</v>
      </c>
      <c r="G30" s="1924">
        <v>111.1</v>
      </c>
      <c r="H30" s="1894">
        <v>0</v>
      </c>
      <c r="I30" s="1894">
        <v>0</v>
      </c>
      <c r="J30" s="1894">
        <v>0</v>
      </c>
      <c r="K30" s="1894">
        <v>0</v>
      </c>
      <c r="L30" s="1894">
        <v>0</v>
      </c>
      <c r="M30" s="1894">
        <v>0</v>
      </c>
      <c r="N30" s="1894">
        <f t="shared" si="0"/>
        <v>0</v>
      </c>
      <c r="O30" s="1894">
        <f t="shared" si="1"/>
        <v>0</v>
      </c>
      <c r="P30" s="1894">
        <v>0</v>
      </c>
      <c r="Q30" s="1894">
        <v>0</v>
      </c>
      <c r="R30" s="1894">
        <v>0</v>
      </c>
      <c r="S30" s="1894">
        <v>0</v>
      </c>
      <c r="T30" s="1894">
        <v>0</v>
      </c>
      <c r="U30" s="1894">
        <v>0</v>
      </c>
      <c r="V30" s="1894">
        <f t="shared" si="2"/>
        <v>0</v>
      </c>
      <c r="W30" s="1894">
        <f t="shared" si="3"/>
        <v>0</v>
      </c>
      <c r="X30" s="1894">
        <v>0</v>
      </c>
      <c r="Y30" s="1894">
        <v>0</v>
      </c>
      <c r="Z30" s="1894">
        <v>0</v>
      </c>
      <c r="AA30" s="1894">
        <v>0</v>
      </c>
      <c r="AB30" s="1894">
        <v>0</v>
      </c>
      <c r="AC30" s="1894">
        <v>0</v>
      </c>
      <c r="AD30" s="1894">
        <f t="shared" si="4"/>
        <v>0</v>
      </c>
      <c r="AE30" s="1894">
        <f t="shared" si="5"/>
        <v>0</v>
      </c>
      <c r="AF30" s="1894">
        <v>0</v>
      </c>
      <c r="AG30" s="1894">
        <v>0</v>
      </c>
      <c r="AH30" s="1894">
        <v>0</v>
      </c>
      <c r="AI30" s="1894">
        <v>0</v>
      </c>
      <c r="AJ30" s="1894">
        <v>0</v>
      </c>
      <c r="AK30" s="1894">
        <v>0</v>
      </c>
      <c r="AL30" s="1894">
        <f t="shared" si="6"/>
        <v>0</v>
      </c>
      <c r="AM30" s="1894">
        <f t="shared" si="7"/>
        <v>0</v>
      </c>
      <c r="AN30" s="1894">
        <v>0</v>
      </c>
      <c r="AO30" s="1894">
        <v>0</v>
      </c>
      <c r="AP30" s="1894">
        <v>0</v>
      </c>
      <c r="AQ30" s="1894">
        <v>0</v>
      </c>
      <c r="AR30" s="1894">
        <v>0</v>
      </c>
      <c r="AS30" s="1894">
        <v>0</v>
      </c>
      <c r="AT30" s="1894">
        <f t="shared" si="8"/>
        <v>0</v>
      </c>
      <c r="AU30" s="1894">
        <f t="shared" si="9"/>
        <v>0</v>
      </c>
      <c r="AV30" s="1894">
        <v>0</v>
      </c>
      <c r="AW30" s="1894">
        <v>0</v>
      </c>
      <c r="AX30" s="1894">
        <v>0</v>
      </c>
      <c r="AY30" s="1894">
        <v>0</v>
      </c>
      <c r="AZ30" s="1894">
        <v>0</v>
      </c>
      <c r="BA30" s="1894">
        <v>0</v>
      </c>
      <c r="BB30" s="1894">
        <f t="shared" si="10"/>
        <v>0</v>
      </c>
      <c r="BC30" s="1894">
        <f t="shared" si="11"/>
        <v>0</v>
      </c>
      <c r="BD30" s="1894">
        <v>0</v>
      </c>
      <c r="BE30" s="1894">
        <v>0</v>
      </c>
      <c r="BF30" s="1894">
        <v>0</v>
      </c>
      <c r="BG30" s="1894">
        <v>0</v>
      </c>
      <c r="BH30" s="1894">
        <v>0</v>
      </c>
      <c r="BI30" s="1894">
        <v>0</v>
      </c>
      <c r="BJ30" s="1894">
        <f t="shared" si="12"/>
        <v>0</v>
      </c>
      <c r="BK30" s="1894">
        <f t="shared" si="13"/>
        <v>0</v>
      </c>
      <c r="BL30" s="1894">
        <v>0</v>
      </c>
      <c r="BM30" s="1894">
        <v>0</v>
      </c>
      <c r="BN30" s="1894">
        <v>0</v>
      </c>
      <c r="BO30" s="1894">
        <v>0</v>
      </c>
      <c r="BP30" s="1894">
        <v>0</v>
      </c>
      <c r="BQ30" s="1894">
        <v>0</v>
      </c>
      <c r="BR30" s="1894">
        <f t="shared" si="14"/>
        <v>0</v>
      </c>
      <c r="BS30" s="1894">
        <f t="shared" si="15"/>
        <v>0</v>
      </c>
      <c r="BT30" s="1894">
        <v>0</v>
      </c>
      <c r="BU30" s="1894">
        <v>0</v>
      </c>
      <c r="BV30" s="1894">
        <v>0</v>
      </c>
      <c r="BW30" s="1894">
        <v>0</v>
      </c>
      <c r="BX30" s="1894">
        <v>0</v>
      </c>
      <c r="BY30" s="1894">
        <v>0</v>
      </c>
      <c r="BZ30" s="1894">
        <f t="shared" si="16"/>
        <v>0</v>
      </c>
      <c r="CA30" s="1894">
        <f t="shared" si="17"/>
        <v>0</v>
      </c>
      <c r="CB30" s="1894">
        <v>0</v>
      </c>
      <c r="CC30" s="1894">
        <v>0</v>
      </c>
      <c r="CD30" s="1894">
        <v>0</v>
      </c>
      <c r="CE30" s="1894">
        <v>0</v>
      </c>
      <c r="CF30" s="1894">
        <v>0</v>
      </c>
      <c r="CG30" s="1894">
        <v>0</v>
      </c>
      <c r="CH30" s="1894">
        <f t="shared" si="18"/>
        <v>0</v>
      </c>
      <c r="CI30" s="1894">
        <f t="shared" si="19"/>
        <v>0</v>
      </c>
      <c r="CJ30" s="1894">
        <v>111.1</v>
      </c>
      <c r="CK30" s="1894">
        <v>33.040000000000006</v>
      </c>
      <c r="CL30" s="1894">
        <v>88.88</v>
      </c>
      <c r="CM30" s="1894">
        <v>0.25059999999999999</v>
      </c>
      <c r="CN30" s="1894">
        <v>13.91</v>
      </c>
      <c r="CO30" s="1894">
        <v>1213</v>
      </c>
      <c r="CP30" s="1894">
        <f t="shared" si="20"/>
        <v>13322</v>
      </c>
      <c r="CQ30" s="1894">
        <f t="shared" si="21"/>
        <v>0</v>
      </c>
      <c r="CR30" s="1924">
        <v>111.1</v>
      </c>
      <c r="CS30" s="1924">
        <v>44.16</v>
      </c>
      <c r="CT30" s="1924">
        <v>88.88</v>
      </c>
      <c r="CU30" s="1924">
        <v>0.46810000000000002</v>
      </c>
      <c r="CV30" s="1924">
        <v>13.2</v>
      </c>
      <c r="CW30" s="1924">
        <v>4336</v>
      </c>
      <c r="CX30" s="1894">
        <f t="shared" si="22"/>
        <v>19713</v>
      </c>
      <c r="CY30" s="1894">
        <f t="shared" si="23"/>
        <v>0</v>
      </c>
    </row>
    <row r="31" spans="1:103">
      <c r="A31" s="982">
        <v>121000000014</v>
      </c>
      <c r="B31" s="1923">
        <f t="shared" si="24"/>
        <v>25</v>
      </c>
      <c r="C31" s="1895" t="s">
        <v>2929</v>
      </c>
      <c r="D31" s="1894" t="s">
        <v>2930</v>
      </c>
      <c r="E31" s="1895" t="s">
        <v>541</v>
      </c>
      <c r="F31" s="1894" t="s">
        <v>259</v>
      </c>
      <c r="G31" s="1924">
        <v>112</v>
      </c>
      <c r="H31" s="1894">
        <v>112</v>
      </c>
      <c r="I31" s="1894">
        <v>0</v>
      </c>
      <c r="J31" s="1894">
        <v>89.6</v>
      </c>
      <c r="K31" s="1894">
        <v>0</v>
      </c>
      <c r="L31" s="1894">
        <v>0</v>
      </c>
      <c r="M31" s="1894">
        <v>0</v>
      </c>
      <c r="N31" s="1894">
        <f t="shared" si="0"/>
        <v>0</v>
      </c>
      <c r="O31" s="1894">
        <f t="shared" si="1"/>
        <v>0</v>
      </c>
      <c r="P31" s="1894">
        <v>112</v>
      </c>
      <c r="Q31" s="1894">
        <v>0</v>
      </c>
      <c r="R31" s="1894">
        <v>89.6</v>
      </c>
      <c r="S31" s="1894">
        <v>0</v>
      </c>
      <c r="T31" s="1894">
        <v>0</v>
      </c>
      <c r="U31" s="1894">
        <v>0</v>
      </c>
      <c r="V31" s="1894">
        <f t="shared" si="2"/>
        <v>0</v>
      </c>
      <c r="W31" s="1894">
        <f t="shared" si="3"/>
        <v>0</v>
      </c>
      <c r="X31" s="1894">
        <v>112</v>
      </c>
      <c r="Y31" s="1894">
        <v>0</v>
      </c>
      <c r="Z31" s="1894">
        <v>89.6</v>
      </c>
      <c r="AA31" s="1894">
        <v>0</v>
      </c>
      <c r="AB31" s="1894">
        <v>0</v>
      </c>
      <c r="AC31" s="1894">
        <v>0</v>
      </c>
      <c r="AD31" s="1894">
        <f t="shared" si="4"/>
        <v>0</v>
      </c>
      <c r="AE31" s="1894">
        <f t="shared" si="5"/>
        <v>0</v>
      </c>
      <c r="AF31" s="1894">
        <v>112</v>
      </c>
      <c r="AG31" s="1894">
        <v>0</v>
      </c>
      <c r="AH31" s="1894">
        <v>89.6</v>
      </c>
      <c r="AI31" s="1894">
        <v>0</v>
      </c>
      <c r="AJ31" s="1894">
        <v>0</v>
      </c>
      <c r="AK31" s="1894">
        <v>0</v>
      </c>
      <c r="AL31" s="1894">
        <f t="shared" si="6"/>
        <v>0</v>
      </c>
      <c r="AM31" s="1894">
        <f t="shared" si="7"/>
        <v>0</v>
      </c>
      <c r="AN31" s="1894">
        <v>112</v>
      </c>
      <c r="AO31" s="1894">
        <v>0</v>
      </c>
      <c r="AP31" s="1894">
        <v>89.6</v>
      </c>
      <c r="AQ31" s="1894">
        <v>0</v>
      </c>
      <c r="AR31" s="1894">
        <v>0</v>
      </c>
      <c r="AS31" s="1894">
        <v>0</v>
      </c>
      <c r="AT31" s="1894">
        <f t="shared" si="8"/>
        <v>0</v>
      </c>
      <c r="AU31" s="1894">
        <f t="shared" si="9"/>
        <v>0</v>
      </c>
      <c r="AV31" s="1894">
        <v>112</v>
      </c>
      <c r="AW31" s="1894">
        <v>0</v>
      </c>
      <c r="AX31" s="1894">
        <v>89.6</v>
      </c>
      <c r="AY31" s="1894">
        <v>0</v>
      </c>
      <c r="AZ31" s="1894">
        <v>0</v>
      </c>
      <c r="BA31" s="1894">
        <v>0</v>
      </c>
      <c r="BB31" s="1894">
        <f t="shared" si="10"/>
        <v>0</v>
      </c>
      <c r="BC31" s="1894">
        <f t="shared" si="11"/>
        <v>0</v>
      </c>
      <c r="BD31" s="1894">
        <v>112</v>
      </c>
      <c r="BE31" s="1894">
        <v>0</v>
      </c>
      <c r="BF31" s="1894">
        <v>89.6</v>
      </c>
      <c r="BG31" s="1894">
        <v>0</v>
      </c>
      <c r="BH31" s="1894">
        <v>0</v>
      </c>
      <c r="BI31" s="1894">
        <v>0</v>
      </c>
      <c r="BJ31" s="1894">
        <f t="shared" si="12"/>
        <v>0</v>
      </c>
      <c r="BK31" s="1894">
        <f t="shared" si="13"/>
        <v>0</v>
      </c>
      <c r="BL31" s="1894">
        <v>112</v>
      </c>
      <c r="BM31" s="1894">
        <v>0</v>
      </c>
      <c r="BN31" s="1894">
        <v>89.6</v>
      </c>
      <c r="BO31" s="1894">
        <v>0</v>
      </c>
      <c r="BP31" s="1894">
        <v>0</v>
      </c>
      <c r="BQ31" s="1894">
        <v>0</v>
      </c>
      <c r="BR31" s="1894">
        <f t="shared" si="14"/>
        <v>0</v>
      </c>
      <c r="BS31" s="1894">
        <f t="shared" si="15"/>
        <v>0</v>
      </c>
      <c r="BT31" s="1894">
        <v>112</v>
      </c>
      <c r="BU31" s="1894">
        <v>0</v>
      </c>
      <c r="BV31" s="1894">
        <v>89.6</v>
      </c>
      <c r="BW31" s="1894">
        <v>0</v>
      </c>
      <c r="BX31" s="1894">
        <v>0</v>
      </c>
      <c r="BY31" s="1894">
        <v>0</v>
      </c>
      <c r="BZ31" s="1894">
        <f t="shared" si="16"/>
        <v>0</v>
      </c>
      <c r="CA31" s="1894">
        <f t="shared" si="17"/>
        <v>0</v>
      </c>
      <c r="CB31" s="1894">
        <v>112</v>
      </c>
      <c r="CC31" s="1894">
        <v>0</v>
      </c>
      <c r="CD31" s="1894">
        <v>89.6</v>
      </c>
      <c r="CE31" s="1894">
        <v>0</v>
      </c>
      <c r="CF31" s="1894">
        <v>0</v>
      </c>
      <c r="CG31" s="1894">
        <v>0</v>
      </c>
      <c r="CH31" s="1894">
        <f t="shared" si="18"/>
        <v>0</v>
      </c>
      <c r="CI31" s="1894">
        <f t="shared" si="19"/>
        <v>0</v>
      </c>
      <c r="CJ31" s="1894">
        <v>112</v>
      </c>
      <c r="CK31" s="1894">
        <v>0</v>
      </c>
      <c r="CL31" s="1894">
        <v>89.6</v>
      </c>
      <c r="CM31" s="1894">
        <v>0</v>
      </c>
      <c r="CN31" s="1894">
        <v>0</v>
      </c>
      <c r="CO31" s="1894">
        <v>0</v>
      </c>
      <c r="CP31" s="1894">
        <f t="shared" si="20"/>
        <v>0</v>
      </c>
      <c r="CQ31" s="1894">
        <f t="shared" si="21"/>
        <v>0</v>
      </c>
      <c r="CR31" s="1924">
        <v>112</v>
      </c>
      <c r="CS31" s="1924">
        <v>0</v>
      </c>
      <c r="CT31" s="1924">
        <v>89.6</v>
      </c>
      <c r="CU31" s="1924">
        <v>0</v>
      </c>
      <c r="CV31" s="1924">
        <v>0</v>
      </c>
      <c r="CW31" s="1924">
        <v>0</v>
      </c>
      <c r="CX31" s="1894">
        <f t="shared" si="22"/>
        <v>0</v>
      </c>
      <c r="CY31" s="1894">
        <f t="shared" si="23"/>
        <v>0</v>
      </c>
    </row>
    <row r="32" spans="1:103">
      <c r="A32" s="982">
        <v>124000000056</v>
      </c>
      <c r="B32" s="1923">
        <f t="shared" si="24"/>
        <v>26</v>
      </c>
      <c r="C32" s="1895" t="s">
        <v>2931</v>
      </c>
      <c r="D32" s="1894" t="s">
        <v>524</v>
      </c>
      <c r="E32" s="1895" t="s">
        <v>737</v>
      </c>
      <c r="F32" s="1894" t="s">
        <v>259</v>
      </c>
      <c r="G32" s="1924">
        <v>112</v>
      </c>
      <c r="H32" s="1894">
        <v>112</v>
      </c>
      <c r="I32" s="1894">
        <v>20.72</v>
      </c>
      <c r="J32" s="1894">
        <v>89.6</v>
      </c>
      <c r="K32" s="1894">
        <v>0.94710000000000005</v>
      </c>
      <c r="L32" s="1894">
        <v>55.42</v>
      </c>
      <c r="M32" s="1894">
        <v>8268</v>
      </c>
      <c r="N32" s="1894">
        <f t="shared" si="0"/>
        <v>8951</v>
      </c>
      <c r="O32" s="1894">
        <f t="shared" si="1"/>
        <v>0</v>
      </c>
      <c r="P32" s="1894">
        <v>112</v>
      </c>
      <c r="Q32" s="1894">
        <v>21.44</v>
      </c>
      <c r="R32" s="1894">
        <v>89.6</v>
      </c>
      <c r="S32" s="1894">
        <v>0.93589999999999995</v>
      </c>
      <c r="T32" s="1894">
        <v>48.57</v>
      </c>
      <c r="U32" s="1894">
        <v>7747</v>
      </c>
      <c r="V32" s="1894">
        <f t="shared" si="2"/>
        <v>9571</v>
      </c>
      <c r="W32" s="1894">
        <f t="shared" si="3"/>
        <v>0</v>
      </c>
      <c r="X32" s="1894">
        <v>112</v>
      </c>
      <c r="Y32" s="1894">
        <v>32.32</v>
      </c>
      <c r="Z32" s="1894">
        <v>89.6</v>
      </c>
      <c r="AA32" s="1894">
        <v>0.82650000000000001</v>
      </c>
      <c r="AB32" s="1894">
        <v>20.260000000000002</v>
      </c>
      <c r="AC32" s="1894">
        <v>4243</v>
      </c>
      <c r="AD32" s="1894">
        <f t="shared" si="4"/>
        <v>13962</v>
      </c>
      <c r="AE32" s="1894">
        <f t="shared" si="5"/>
        <v>0</v>
      </c>
      <c r="AF32" s="1894">
        <v>112</v>
      </c>
      <c r="AG32" s="1894">
        <v>23.52</v>
      </c>
      <c r="AH32" s="1894">
        <v>89.6</v>
      </c>
      <c r="AI32" s="1894">
        <v>0.93610000000000004</v>
      </c>
      <c r="AJ32" s="1894">
        <v>46.48</v>
      </c>
      <c r="AK32" s="1894">
        <v>7609</v>
      </c>
      <c r="AL32" s="1894">
        <f t="shared" si="6"/>
        <v>10499</v>
      </c>
      <c r="AM32" s="1894">
        <f t="shared" si="7"/>
        <v>0</v>
      </c>
      <c r="AN32" s="1894">
        <v>112</v>
      </c>
      <c r="AO32" s="1894">
        <v>24.959999999999997</v>
      </c>
      <c r="AP32" s="1894">
        <v>89.6</v>
      </c>
      <c r="AQ32" s="1894">
        <v>0.94259999999999999</v>
      </c>
      <c r="AR32" s="1894">
        <v>42.39</v>
      </c>
      <c r="AS32" s="1894">
        <v>9142</v>
      </c>
      <c r="AT32" s="1894">
        <f t="shared" si="8"/>
        <v>11142</v>
      </c>
      <c r="AU32" s="1894">
        <f t="shared" si="9"/>
        <v>0</v>
      </c>
      <c r="AV32" s="1894">
        <v>112</v>
      </c>
      <c r="AW32" s="1894">
        <v>26.16</v>
      </c>
      <c r="AX32" s="1894">
        <v>89.6</v>
      </c>
      <c r="AY32" s="1894">
        <v>0.94779999999999998</v>
      </c>
      <c r="AZ32" s="1894">
        <v>48.39</v>
      </c>
      <c r="BA32" s="1894">
        <v>9115</v>
      </c>
      <c r="BB32" s="1894">
        <f t="shared" si="10"/>
        <v>11301</v>
      </c>
      <c r="BC32" s="1894">
        <f t="shared" si="11"/>
        <v>0</v>
      </c>
      <c r="BD32" s="1894">
        <v>112</v>
      </c>
      <c r="BE32" s="1894">
        <v>23.84</v>
      </c>
      <c r="BF32" s="1894">
        <v>89.6</v>
      </c>
      <c r="BG32" s="1894">
        <v>0.91080000000000005</v>
      </c>
      <c r="BH32" s="1894">
        <v>44.16</v>
      </c>
      <c r="BI32" s="1894">
        <v>7580</v>
      </c>
      <c r="BJ32" s="1894">
        <f t="shared" si="12"/>
        <v>10642</v>
      </c>
      <c r="BK32" s="1894">
        <f t="shared" si="13"/>
        <v>0</v>
      </c>
      <c r="BL32" s="1894">
        <v>112</v>
      </c>
      <c r="BM32" s="1894">
        <v>21.279999999999998</v>
      </c>
      <c r="BN32" s="1894">
        <v>89.6</v>
      </c>
      <c r="BO32" s="1894">
        <v>0.89270000000000005</v>
      </c>
      <c r="BP32" s="1894">
        <v>50.37</v>
      </c>
      <c r="BQ32" s="1894">
        <v>6688</v>
      </c>
      <c r="BR32" s="1894">
        <f t="shared" si="14"/>
        <v>9193</v>
      </c>
      <c r="BS32" s="1894">
        <f t="shared" si="15"/>
        <v>0</v>
      </c>
      <c r="BT32" s="1894">
        <v>112</v>
      </c>
      <c r="BU32" s="1894">
        <v>18.8</v>
      </c>
      <c r="BV32" s="1894">
        <v>89.6</v>
      </c>
      <c r="BW32" s="1894">
        <v>0.85</v>
      </c>
      <c r="BX32" s="1894">
        <v>52.48</v>
      </c>
      <c r="BY32" s="1894">
        <v>7340</v>
      </c>
      <c r="BZ32" s="1894">
        <f t="shared" si="16"/>
        <v>8392</v>
      </c>
      <c r="CA32" s="1894">
        <f t="shared" si="17"/>
        <v>0</v>
      </c>
      <c r="CB32" s="1894">
        <v>112</v>
      </c>
      <c r="CC32" s="1894">
        <v>18.96</v>
      </c>
      <c r="CD32" s="1894">
        <v>89.6</v>
      </c>
      <c r="CE32" s="1894">
        <v>0.7913</v>
      </c>
      <c r="CF32" s="1894">
        <v>44.29</v>
      </c>
      <c r="CG32" s="1894">
        <v>7256</v>
      </c>
      <c r="CH32" s="1894">
        <f t="shared" si="18"/>
        <v>8464</v>
      </c>
      <c r="CI32" s="1894">
        <f t="shared" si="19"/>
        <v>0</v>
      </c>
      <c r="CJ32" s="1894">
        <v>112</v>
      </c>
      <c r="CK32" s="1894">
        <v>22.720000000000002</v>
      </c>
      <c r="CL32" s="1894">
        <v>89.6</v>
      </c>
      <c r="CM32" s="1894">
        <v>0.88539999999999996</v>
      </c>
      <c r="CN32" s="1894">
        <v>42.84</v>
      </c>
      <c r="CO32" s="1894">
        <v>6541</v>
      </c>
      <c r="CP32" s="1894">
        <f t="shared" si="20"/>
        <v>9161</v>
      </c>
      <c r="CQ32" s="1894">
        <f t="shared" si="21"/>
        <v>0</v>
      </c>
      <c r="CR32" s="1924">
        <v>112</v>
      </c>
      <c r="CS32" s="1924">
        <v>23.04</v>
      </c>
      <c r="CT32" s="1924">
        <v>89.6</v>
      </c>
      <c r="CU32" s="1924">
        <v>0.92700000000000005</v>
      </c>
      <c r="CV32" s="1924">
        <v>44.78</v>
      </c>
      <c r="CW32" s="1924">
        <v>7676</v>
      </c>
      <c r="CX32" s="1894">
        <f t="shared" si="22"/>
        <v>10285</v>
      </c>
      <c r="CY32" s="1894">
        <f t="shared" si="23"/>
        <v>0</v>
      </c>
    </row>
    <row r="33" spans="1:103">
      <c r="A33" s="982">
        <v>124000000059</v>
      </c>
      <c r="B33" s="1923">
        <f t="shared" si="24"/>
        <v>27</v>
      </c>
      <c r="C33" s="1895" t="s">
        <v>2932</v>
      </c>
      <c r="D33" s="1894" t="s">
        <v>524</v>
      </c>
      <c r="E33" s="1895" t="s">
        <v>636</v>
      </c>
      <c r="F33" s="1894" t="s">
        <v>259</v>
      </c>
      <c r="G33" s="1924">
        <v>112</v>
      </c>
      <c r="H33" s="1894">
        <v>112</v>
      </c>
      <c r="I33" s="1894">
        <v>71</v>
      </c>
      <c r="J33" s="1894">
        <v>89.6</v>
      </c>
      <c r="K33" s="1894">
        <v>0.9</v>
      </c>
      <c r="L33" s="1894">
        <v>111.17</v>
      </c>
      <c r="M33" s="1894">
        <v>56831</v>
      </c>
      <c r="N33" s="1894">
        <f t="shared" si="0"/>
        <v>30672</v>
      </c>
      <c r="O33" s="1894">
        <f t="shared" si="1"/>
        <v>26159</v>
      </c>
      <c r="P33" s="1894">
        <v>112</v>
      </c>
      <c r="Q33" s="1894">
        <v>83</v>
      </c>
      <c r="R33" s="1894">
        <v>89.6</v>
      </c>
      <c r="S33" s="1894">
        <v>0.9</v>
      </c>
      <c r="T33" s="1894">
        <v>111.61</v>
      </c>
      <c r="U33" s="1894">
        <v>68923</v>
      </c>
      <c r="V33" s="1894">
        <f t="shared" si="2"/>
        <v>37051</v>
      </c>
      <c r="W33" s="1894">
        <f t="shared" si="3"/>
        <v>31872</v>
      </c>
      <c r="X33" s="1894">
        <v>112</v>
      </c>
      <c r="Y33" s="1894">
        <v>84.45</v>
      </c>
      <c r="Z33" s="1894">
        <v>89.6</v>
      </c>
      <c r="AA33" s="1894">
        <v>0.9</v>
      </c>
      <c r="AB33" s="1894">
        <v>111.11</v>
      </c>
      <c r="AC33" s="1894">
        <v>67557</v>
      </c>
      <c r="AD33" s="1894">
        <f t="shared" si="4"/>
        <v>36482</v>
      </c>
      <c r="AE33" s="1894">
        <f t="shared" si="5"/>
        <v>31075</v>
      </c>
      <c r="AF33" s="1894">
        <v>112</v>
      </c>
      <c r="AG33" s="1894">
        <v>68</v>
      </c>
      <c r="AH33" s="1894">
        <v>89.6</v>
      </c>
      <c r="AI33" s="1894">
        <v>0.9</v>
      </c>
      <c r="AJ33" s="1894">
        <v>111.38</v>
      </c>
      <c r="AK33" s="1894">
        <v>56348</v>
      </c>
      <c r="AL33" s="1894">
        <f t="shared" si="6"/>
        <v>30355</v>
      </c>
      <c r="AM33" s="1894">
        <f t="shared" si="7"/>
        <v>25993</v>
      </c>
      <c r="AN33" s="1894">
        <v>112</v>
      </c>
      <c r="AO33" s="1894">
        <v>69</v>
      </c>
      <c r="AP33" s="1894">
        <v>89.6</v>
      </c>
      <c r="AQ33" s="1894">
        <v>0.9</v>
      </c>
      <c r="AR33" s="1894">
        <v>110.31</v>
      </c>
      <c r="AS33" s="1894">
        <v>56630</v>
      </c>
      <c r="AT33" s="1894">
        <f t="shared" si="8"/>
        <v>30802</v>
      </c>
      <c r="AU33" s="1894">
        <f t="shared" si="9"/>
        <v>25828</v>
      </c>
      <c r="AV33" s="1894">
        <v>112</v>
      </c>
      <c r="AW33" s="1894">
        <v>70</v>
      </c>
      <c r="AX33" s="1894">
        <v>89.6</v>
      </c>
      <c r="AY33" s="1894">
        <v>0.9</v>
      </c>
      <c r="AZ33" s="1894">
        <v>110.72</v>
      </c>
      <c r="BA33" s="1894">
        <v>55801</v>
      </c>
      <c r="BB33" s="1894">
        <f t="shared" si="10"/>
        <v>30240</v>
      </c>
      <c r="BC33" s="1894">
        <f t="shared" si="11"/>
        <v>25561</v>
      </c>
      <c r="BD33" s="1894">
        <v>112</v>
      </c>
      <c r="BE33" s="1894">
        <v>58</v>
      </c>
      <c r="BF33" s="1894">
        <v>89.6</v>
      </c>
      <c r="BG33" s="1894">
        <v>0.9</v>
      </c>
      <c r="BH33" s="1894">
        <v>110.75</v>
      </c>
      <c r="BI33" s="1894">
        <v>47791</v>
      </c>
      <c r="BJ33" s="1894">
        <f t="shared" si="12"/>
        <v>25891</v>
      </c>
      <c r="BK33" s="1894">
        <f t="shared" si="13"/>
        <v>21900</v>
      </c>
      <c r="BL33" s="1894">
        <v>112</v>
      </c>
      <c r="BM33" s="1894">
        <v>54</v>
      </c>
      <c r="BN33" s="1894">
        <v>89.6</v>
      </c>
      <c r="BO33" s="1894">
        <v>0.9</v>
      </c>
      <c r="BP33" s="1894">
        <v>111.14</v>
      </c>
      <c r="BQ33" s="1894">
        <v>43212</v>
      </c>
      <c r="BR33" s="1894">
        <f t="shared" si="14"/>
        <v>23328</v>
      </c>
      <c r="BS33" s="1894">
        <f t="shared" si="15"/>
        <v>19884</v>
      </c>
      <c r="BT33" s="1894">
        <v>112</v>
      </c>
      <c r="BU33" s="1894">
        <v>47</v>
      </c>
      <c r="BV33" s="1894">
        <v>89.6</v>
      </c>
      <c r="BW33" s="1894">
        <v>0.9</v>
      </c>
      <c r="BX33" s="1894">
        <v>111.72</v>
      </c>
      <c r="BY33" s="1894">
        <v>39066</v>
      </c>
      <c r="BZ33" s="1894">
        <f t="shared" si="16"/>
        <v>20981</v>
      </c>
      <c r="CA33" s="1894">
        <f t="shared" si="17"/>
        <v>18085</v>
      </c>
      <c r="CB33" s="1894">
        <v>112</v>
      </c>
      <c r="CC33" s="1894">
        <v>56</v>
      </c>
      <c r="CD33" s="1894">
        <v>89.6</v>
      </c>
      <c r="CE33" s="1894">
        <v>0.9</v>
      </c>
      <c r="CF33" s="1894">
        <v>111.04</v>
      </c>
      <c r="CG33" s="1894">
        <v>46262</v>
      </c>
      <c r="CH33" s="1894">
        <f t="shared" si="18"/>
        <v>24998</v>
      </c>
      <c r="CI33" s="1894">
        <f t="shared" si="19"/>
        <v>21264</v>
      </c>
      <c r="CJ33" s="1894">
        <v>112</v>
      </c>
      <c r="CK33" s="1894">
        <v>56</v>
      </c>
      <c r="CL33" s="1894">
        <v>89.6</v>
      </c>
      <c r="CM33" s="1894">
        <v>0.9</v>
      </c>
      <c r="CN33" s="1894">
        <v>110.23</v>
      </c>
      <c r="CO33" s="1894">
        <v>41482</v>
      </c>
      <c r="CP33" s="1894">
        <f t="shared" si="20"/>
        <v>22579</v>
      </c>
      <c r="CQ33" s="1894">
        <f t="shared" si="21"/>
        <v>18903</v>
      </c>
      <c r="CR33" s="1924">
        <v>112</v>
      </c>
      <c r="CS33" s="1924">
        <v>65</v>
      </c>
      <c r="CT33" s="1924">
        <v>89.6</v>
      </c>
      <c r="CU33" s="1924">
        <v>0.9153</v>
      </c>
      <c r="CV33" s="1924">
        <v>108.84</v>
      </c>
      <c r="CW33" s="1924">
        <v>52633</v>
      </c>
      <c r="CX33" s="1894">
        <f t="shared" si="22"/>
        <v>29016</v>
      </c>
      <c r="CY33" s="1894">
        <f t="shared" si="23"/>
        <v>23617</v>
      </c>
    </row>
    <row r="34" spans="1:103">
      <c r="A34" s="982">
        <v>126000000026</v>
      </c>
      <c r="B34" s="1923">
        <f t="shared" si="24"/>
        <v>28</v>
      </c>
      <c r="C34" s="1895" t="s">
        <v>2933</v>
      </c>
      <c r="D34" s="1894" t="s">
        <v>524</v>
      </c>
      <c r="E34" s="1895" t="s">
        <v>541</v>
      </c>
      <c r="F34" s="1894" t="s">
        <v>259</v>
      </c>
      <c r="G34" s="1924">
        <v>114.5</v>
      </c>
      <c r="H34" s="1894">
        <v>114.5</v>
      </c>
      <c r="I34" s="1894">
        <v>4.6399999999999997</v>
      </c>
      <c r="J34" s="1894">
        <v>91.6</v>
      </c>
      <c r="K34" s="1894">
        <v>0.99470000000000003</v>
      </c>
      <c r="L34" s="1894">
        <v>34</v>
      </c>
      <c r="M34" s="1894">
        <v>1136</v>
      </c>
      <c r="N34" s="1894">
        <f t="shared" si="0"/>
        <v>2004</v>
      </c>
      <c r="O34" s="1894">
        <f t="shared" si="1"/>
        <v>0</v>
      </c>
      <c r="P34" s="1894">
        <v>114.5</v>
      </c>
      <c r="Q34" s="1894">
        <v>20.32</v>
      </c>
      <c r="R34" s="1894">
        <v>91.6</v>
      </c>
      <c r="S34" s="1894">
        <v>0.92530000000000001</v>
      </c>
      <c r="T34" s="1894">
        <v>16.7</v>
      </c>
      <c r="U34" s="1894">
        <v>2036</v>
      </c>
      <c r="V34" s="1894">
        <f t="shared" si="2"/>
        <v>9071</v>
      </c>
      <c r="W34" s="1894">
        <f t="shared" si="3"/>
        <v>0</v>
      </c>
      <c r="X34" s="1894">
        <v>114.5</v>
      </c>
      <c r="Y34" s="1894">
        <v>19.84</v>
      </c>
      <c r="Z34" s="1894">
        <v>91.6</v>
      </c>
      <c r="AA34" s="1894">
        <v>0.9345</v>
      </c>
      <c r="AB34" s="1894">
        <v>14.26</v>
      </c>
      <c r="AC34" s="1894">
        <v>2444</v>
      </c>
      <c r="AD34" s="1894">
        <f t="shared" si="4"/>
        <v>8571</v>
      </c>
      <c r="AE34" s="1894">
        <f t="shared" si="5"/>
        <v>0</v>
      </c>
      <c r="AF34" s="1894">
        <v>114.5</v>
      </c>
      <c r="AG34" s="1894">
        <v>4.4799999999999995</v>
      </c>
      <c r="AH34" s="1894">
        <v>91.6</v>
      </c>
      <c r="AI34" s="1894">
        <v>0.96699999999999997</v>
      </c>
      <c r="AJ34" s="1894">
        <v>27.21</v>
      </c>
      <c r="AK34" s="1894">
        <v>790</v>
      </c>
      <c r="AL34" s="1894">
        <f t="shared" si="6"/>
        <v>2000</v>
      </c>
      <c r="AM34" s="1894">
        <f t="shared" si="7"/>
        <v>0</v>
      </c>
      <c r="AN34" s="1894">
        <v>114.5</v>
      </c>
      <c r="AO34" s="1894">
        <v>4.96</v>
      </c>
      <c r="AP34" s="1894">
        <v>91.6</v>
      </c>
      <c r="AQ34" s="1894">
        <v>0.93059999999999998</v>
      </c>
      <c r="AR34" s="1894">
        <v>25.03</v>
      </c>
      <c r="AS34" s="1894">
        <v>894</v>
      </c>
      <c r="AT34" s="1894">
        <f t="shared" si="8"/>
        <v>2214</v>
      </c>
      <c r="AU34" s="1894">
        <f t="shared" si="9"/>
        <v>0</v>
      </c>
      <c r="AV34" s="1894">
        <v>114.5</v>
      </c>
      <c r="AW34" s="1894">
        <v>5.6000000000000005</v>
      </c>
      <c r="AX34" s="1894">
        <v>91.6</v>
      </c>
      <c r="AY34" s="1894">
        <v>0.95830000000000004</v>
      </c>
      <c r="AZ34" s="1894">
        <v>23.04</v>
      </c>
      <c r="BA34" s="1894">
        <v>960</v>
      </c>
      <c r="BB34" s="1894">
        <f t="shared" si="10"/>
        <v>2419</v>
      </c>
      <c r="BC34" s="1894">
        <f t="shared" si="11"/>
        <v>0</v>
      </c>
      <c r="BD34" s="1894">
        <v>114.5</v>
      </c>
      <c r="BE34" s="1894">
        <v>35.36</v>
      </c>
      <c r="BF34" s="1894">
        <v>91.6</v>
      </c>
      <c r="BG34" s="1894">
        <v>0.91590000000000005</v>
      </c>
      <c r="BH34" s="1894">
        <v>3.76</v>
      </c>
      <c r="BI34" s="1894">
        <v>1118</v>
      </c>
      <c r="BJ34" s="1894">
        <f t="shared" si="12"/>
        <v>15785</v>
      </c>
      <c r="BK34" s="1894">
        <f t="shared" si="13"/>
        <v>0</v>
      </c>
      <c r="BL34" s="1894">
        <v>114.5</v>
      </c>
      <c r="BM34" s="1894">
        <v>3.04</v>
      </c>
      <c r="BN34" s="1894">
        <v>91.6</v>
      </c>
      <c r="BO34" s="1894">
        <v>0.79249999999999998</v>
      </c>
      <c r="BP34" s="1894">
        <v>48.89</v>
      </c>
      <c r="BQ34" s="1894">
        <v>1070</v>
      </c>
      <c r="BR34" s="1894">
        <f t="shared" si="14"/>
        <v>1313</v>
      </c>
      <c r="BS34" s="1894">
        <f t="shared" si="15"/>
        <v>0</v>
      </c>
      <c r="BT34" s="1894">
        <v>114.5</v>
      </c>
      <c r="BU34" s="1894">
        <v>19.68</v>
      </c>
      <c r="BV34" s="1894">
        <v>91.6</v>
      </c>
      <c r="BW34" s="1894">
        <v>0.78239999999999998</v>
      </c>
      <c r="BX34" s="1894">
        <v>11.53</v>
      </c>
      <c r="BY34" s="1894">
        <v>1416</v>
      </c>
      <c r="BZ34" s="1894">
        <f t="shared" si="16"/>
        <v>8785</v>
      </c>
      <c r="CA34" s="1894">
        <f t="shared" si="17"/>
        <v>0</v>
      </c>
      <c r="CB34" s="1894">
        <v>114.5</v>
      </c>
      <c r="CC34" s="1894">
        <v>19.84</v>
      </c>
      <c r="CD34" s="1894">
        <v>91.6</v>
      </c>
      <c r="CE34" s="1894">
        <v>0.87690000000000001</v>
      </c>
      <c r="CF34" s="1894">
        <v>15.07</v>
      </c>
      <c r="CG34" s="1894">
        <v>2584</v>
      </c>
      <c r="CH34" s="1894">
        <f t="shared" si="18"/>
        <v>8857</v>
      </c>
      <c r="CI34" s="1894">
        <f t="shared" si="19"/>
        <v>0</v>
      </c>
      <c r="CJ34" s="1894">
        <v>114.5</v>
      </c>
      <c r="CK34" s="1894">
        <v>20.96</v>
      </c>
      <c r="CL34" s="1894">
        <v>91.6</v>
      </c>
      <c r="CM34" s="1894">
        <v>0.88190000000000002</v>
      </c>
      <c r="CN34" s="1894">
        <v>15.15</v>
      </c>
      <c r="CO34" s="1894">
        <v>2134</v>
      </c>
      <c r="CP34" s="1894">
        <f t="shared" si="20"/>
        <v>8451</v>
      </c>
      <c r="CQ34" s="1894">
        <f t="shared" si="21"/>
        <v>0</v>
      </c>
      <c r="CR34" s="1924">
        <v>114.5</v>
      </c>
      <c r="CS34" s="1924">
        <v>20.32</v>
      </c>
      <c r="CT34" s="1924">
        <v>91.6</v>
      </c>
      <c r="CU34" s="1924">
        <v>0.90369999999999995</v>
      </c>
      <c r="CV34" s="1924">
        <v>11.27</v>
      </c>
      <c r="CW34" s="1924">
        <v>1704</v>
      </c>
      <c r="CX34" s="1894">
        <f t="shared" si="22"/>
        <v>9071</v>
      </c>
      <c r="CY34" s="1894">
        <f t="shared" si="23"/>
        <v>0</v>
      </c>
    </row>
    <row r="35" spans="1:103">
      <c r="A35" s="982">
        <v>122000000099</v>
      </c>
      <c r="B35" s="1923">
        <f t="shared" si="24"/>
        <v>29</v>
      </c>
      <c r="C35" s="1895" t="s">
        <v>2934</v>
      </c>
      <c r="D35" s="1894" t="s">
        <v>524</v>
      </c>
      <c r="E35" s="1895" t="s">
        <v>636</v>
      </c>
      <c r="F35" s="1894" t="s">
        <v>259</v>
      </c>
      <c r="G35" s="1924">
        <v>115</v>
      </c>
      <c r="H35" s="1894">
        <v>0</v>
      </c>
      <c r="I35" s="1894">
        <v>0</v>
      </c>
      <c r="J35" s="1894">
        <v>0</v>
      </c>
      <c r="K35" s="1894">
        <v>0</v>
      </c>
      <c r="L35" s="1894">
        <v>0</v>
      </c>
      <c r="M35" s="1894">
        <v>0</v>
      </c>
      <c r="N35" s="1894">
        <f t="shared" si="0"/>
        <v>0</v>
      </c>
      <c r="O35" s="1894">
        <f t="shared" si="1"/>
        <v>0</v>
      </c>
      <c r="P35" s="1894">
        <v>0</v>
      </c>
      <c r="Q35" s="1894">
        <v>0</v>
      </c>
      <c r="R35" s="1894">
        <v>0</v>
      </c>
      <c r="S35" s="1894">
        <v>0</v>
      </c>
      <c r="T35" s="1894">
        <v>0</v>
      </c>
      <c r="U35" s="1894">
        <v>0</v>
      </c>
      <c r="V35" s="1894">
        <f t="shared" si="2"/>
        <v>0</v>
      </c>
      <c r="W35" s="1894">
        <f t="shared" si="3"/>
        <v>0</v>
      </c>
      <c r="X35" s="1894">
        <v>115</v>
      </c>
      <c r="Y35" s="1894">
        <v>52.8</v>
      </c>
      <c r="Z35" s="1894">
        <v>92</v>
      </c>
      <c r="AA35" s="1894">
        <v>0.98409999999999997</v>
      </c>
      <c r="AB35" s="1894">
        <v>4.49</v>
      </c>
      <c r="AC35" s="1894">
        <v>1137</v>
      </c>
      <c r="AD35" s="1894">
        <f t="shared" si="4"/>
        <v>22810</v>
      </c>
      <c r="AE35" s="1894">
        <f t="shared" si="5"/>
        <v>0</v>
      </c>
      <c r="AF35" s="1894">
        <v>115</v>
      </c>
      <c r="AG35" s="1894">
        <v>11.76</v>
      </c>
      <c r="AH35" s="1894">
        <v>92</v>
      </c>
      <c r="AI35" s="1894">
        <v>0.996</v>
      </c>
      <c r="AJ35" s="1894">
        <v>24.32</v>
      </c>
      <c r="AK35" s="1894">
        <v>2265</v>
      </c>
      <c r="AL35" s="1894">
        <f t="shared" si="6"/>
        <v>5250</v>
      </c>
      <c r="AM35" s="1894">
        <f t="shared" si="7"/>
        <v>0</v>
      </c>
      <c r="AN35" s="1894">
        <v>115</v>
      </c>
      <c r="AO35" s="1894">
        <v>7.6800000000000006</v>
      </c>
      <c r="AP35" s="1894">
        <v>92</v>
      </c>
      <c r="AQ35" s="1894">
        <v>0.99409999999999998</v>
      </c>
      <c r="AR35" s="1894">
        <v>44.58</v>
      </c>
      <c r="AS35" s="1894">
        <v>2547</v>
      </c>
      <c r="AT35" s="1894">
        <f t="shared" si="8"/>
        <v>3428</v>
      </c>
      <c r="AU35" s="1894">
        <f t="shared" si="9"/>
        <v>0</v>
      </c>
      <c r="AV35" s="1894">
        <v>115</v>
      </c>
      <c r="AW35" s="1894">
        <v>10.56</v>
      </c>
      <c r="AX35" s="1894">
        <v>92</v>
      </c>
      <c r="AY35" s="1894">
        <v>0.98850000000000005</v>
      </c>
      <c r="AZ35" s="1894">
        <v>34.369999999999997</v>
      </c>
      <c r="BA35" s="1894">
        <v>2613</v>
      </c>
      <c r="BB35" s="1894">
        <f t="shared" si="10"/>
        <v>4562</v>
      </c>
      <c r="BC35" s="1894">
        <f t="shared" si="11"/>
        <v>0</v>
      </c>
      <c r="BD35" s="1894">
        <v>115</v>
      </c>
      <c r="BE35" s="1894">
        <v>9.6</v>
      </c>
      <c r="BF35" s="1894">
        <v>92</v>
      </c>
      <c r="BG35" s="1894">
        <v>0.98919999999999997</v>
      </c>
      <c r="BH35" s="1894">
        <v>31.29</v>
      </c>
      <c r="BI35" s="1894">
        <v>2235</v>
      </c>
      <c r="BJ35" s="1894">
        <f t="shared" si="12"/>
        <v>4285</v>
      </c>
      <c r="BK35" s="1894">
        <f t="shared" si="13"/>
        <v>0</v>
      </c>
      <c r="BL35" s="1894">
        <v>115</v>
      </c>
      <c r="BM35" s="1894">
        <v>8.4</v>
      </c>
      <c r="BN35" s="1894">
        <v>92</v>
      </c>
      <c r="BO35" s="1894">
        <v>0.97650000000000003</v>
      </c>
      <c r="BP35" s="1894">
        <v>21.18</v>
      </c>
      <c r="BQ35" s="1894">
        <v>1281</v>
      </c>
      <c r="BR35" s="1894">
        <f t="shared" si="14"/>
        <v>3629</v>
      </c>
      <c r="BS35" s="1894">
        <f t="shared" si="15"/>
        <v>0</v>
      </c>
      <c r="BT35" s="1894">
        <v>115</v>
      </c>
      <c r="BU35" s="1894">
        <v>6.2399999999999993</v>
      </c>
      <c r="BV35" s="1894">
        <v>92</v>
      </c>
      <c r="BW35" s="1894">
        <v>0.96279999999999999</v>
      </c>
      <c r="BX35" s="1894">
        <v>26.11</v>
      </c>
      <c r="BY35" s="1894">
        <v>1212</v>
      </c>
      <c r="BZ35" s="1894">
        <f t="shared" si="16"/>
        <v>2786</v>
      </c>
      <c r="CA35" s="1894">
        <f t="shared" si="17"/>
        <v>0</v>
      </c>
      <c r="CB35" s="1894">
        <v>115</v>
      </c>
      <c r="CC35" s="1894">
        <v>6.2399999999999993</v>
      </c>
      <c r="CD35" s="1894">
        <v>92</v>
      </c>
      <c r="CE35" s="1894">
        <v>0.98370000000000002</v>
      </c>
      <c r="CF35" s="1894">
        <v>31.86</v>
      </c>
      <c r="CG35" s="1894">
        <v>1479</v>
      </c>
      <c r="CH35" s="1894">
        <f t="shared" si="18"/>
        <v>2786</v>
      </c>
      <c r="CI35" s="1894">
        <f t="shared" si="19"/>
        <v>0</v>
      </c>
      <c r="CJ35" s="1894">
        <v>115</v>
      </c>
      <c r="CK35" s="1894">
        <v>11.04</v>
      </c>
      <c r="CL35" s="1894">
        <v>92</v>
      </c>
      <c r="CM35" s="1894">
        <v>0.98799999999999999</v>
      </c>
      <c r="CN35" s="1894">
        <v>20.38</v>
      </c>
      <c r="CO35" s="1894">
        <v>1512</v>
      </c>
      <c r="CP35" s="1894">
        <f t="shared" si="20"/>
        <v>4451</v>
      </c>
      <c r="CQ35" s="1894">
        <f t="shared" si="21"/>
        <v>0</v>
      </c>
      <c r="CR35" s="1924">
        <v>115</v>
      </c>
      <c r="CS35" s="1924">
        <v>8.4</v>
      </c>
      <c r="CT35" s="1924">
        <v>92</v>
      </c>
      <c r="CU35" s="1924">
        <v>0.99039999999999995</v>
      </c>
      <c r="CV35" s="1924">
        <v>30.19</v>
      </c>
      <c r="CW35" s="1924">
        <v>1887</v>
      </c>
      <c r="CX35" s="1894">
        <f t="shared" si="22"/>
        <v>3750</v>
      </c>
      <c r="CY35" s="1894">
        <f t="shared" si="23"/>
        <v>0</v>
      </c>
    </row>
    <row r="36" spans="1:103">
      <c r="A36" s="982">
        <v>615000000019</v>
      </c>
      <c r="B36" s="1923">
        <f t="shared" si="24"/>
        <v>30</v>
      </c>
      <c r="C36" s="1895" t="s">
        <v>2935</v>
      </c>
      <c r="D36" s="1894" t="s">
        <v>524</v>
      </c>
      <c r="E36" s="1895" t="s">
        <v>541</v>
      </c>
      <c r="F36" s="1894" t="s">
        <v>259</v>
      </c>
      <c r="G36" s="1924">
        <v>115</v>
      </c>
      <c r="H36" s="1894">
        <v>115</v>
      </c>
      <c r="I36" s="1894">
        <v>73.680000000000007</v>
      </c>
      <c r="J36" s="1894">
        <v>92</v>
      </c>
      <c r="K36" s="1894">
        <v>0.69510000000000005</v>
      </c>
      <c r="L36" s="1894">
        <v>11.01</v>
      </c>
      <c r="M36" s="1894">
        <v>6816</v>
      </c>
      <c r="N36" s="1894">
        <f t="shared" si="0"/>
        <v>31830</v>
      </c>
      <c r="O36" s="1894">
        <f t="shared" si="1"/>
        <v>0</v>
      </c>
      <c r="P36" s="1894">
        <v>115</v>
      </c>
      <c r="Q36" s="1894">
        <v>66.959999999999994</v>
      </c>
      <c r="R36" s="1894">
        <v>92</v>
      </c>
      <c r="S36" s="1894">
        <v>0.70489999999999997</v>
      </c>
      <c r="T36" s="1894">
        <v>7.88</v>
      </c>
      <c r="U36" s="1894">
        <v>4050</v>
      </c>
      <c r="V36" s="1894">
        <f t="shared" si="2"/>
        <v>29891</v>
      </c>
      <c r="W36" s="1894">
        <f t="shared" si="3"/>
        <v>0</v>
      </c>
      <c r="X36" s="1894">
        <v>115</v>
      </c>
      <c r="Y36" s="1894">
        <v>85.28</v>
      </c>
      <c r="Z36" s="1894">
        <v>92</v>
      </c>
      <c r="AA36" s="1894">
        <v>0.67749999999999999</v>
      </c>
      <c r="AB36" s="1894">
        <v>10.14</v>
      </c>
      <c r="AC36" s="1894">
        <v>6224</v>
      </c>
      <c r="AD36" s="1894">
        <f t="shared" si="4"/>
        <v>36841</v>
      </c>
      <c r="AE36" s="1894">
        <f t="shared" si="5"/>
        <v>0</v>
      </c>
      <c r="AF36" s="1894">
        <v>115</v>
      </c>
      <c r="AG36" s="1894">
        <v>83.919999999999987</v>
      </c>
      <c r="AH36" s="1894">
        <v>92</v>
      </c>
      <c r="AI36" s="1894">
        <v>0.78420000000000001</v>
      </c>
      <c r="AJ36" s="1894">
        <v>6.87</v>
      </c>
      <c r="AK36" s="1894">
        <v>4013</v>
      </c>
      <c r="AL36" s="1894">
        <f t="shared" si="6"/>
        <v>37462</v>
      </c>
      <c r="AM36" s="1894">
        <f t="shared" si="7"/>
        <v>0</v>
      </c>
      <c r="AN36" s="1894">
        <v>115</v>
      </c>
      <c r="AO36" s="1894">
        <v>1.6</v>
      </c>
      <c r="AP36" s="1894">
        <v>92</v>
      </c>
      <c r="AQ36" s="1894">
        <v>0.9123</v>
      </c>
      <c r="AR36" s="1894">
        <v>177.4</v>
      </c>
      <c r="AS36" s="1894">
        <v>2248</v>
      </c>
      <c r="AT36" s="1894">
        <f t="shared" si="8"/>
        <v>714</v>
      </c>
      <c r="AU36" s="1894">
        <f t="shared" si="9"/>
        <v>1534</v>
      </c>
      <c r="AV36" s="1894">
        <v>115</v>
      </c>
      <c r="AW36" s="1894">
        <v>82.16</v>
      </c>
      <c r="AX36" s="1894">
        <v>92</v>
      </c>
      <c r="AY36" s="1894">
        <v>0.6401</v>
      </c>
      <c r="AZ36" s="1894">
        <v>4.1500000000000004</v>
      </c>
      <c r="BA36" s="1894">
        <v>2454</v>
      </c>
      <c r="BB36" s="1894">
        <f t="shared" si="10"/>
        <v>35493</v>
      </c>
      <c r="BC36" s="1894">
        <f t="shared" si="11"/>
        <v>0</v>
      </c>
      <c r="BD36" s="1894">
        <v>115</v>
      </c>
      <c r="BE36" s="1894">
        <v>10</v>
      </c>
      <c r="BF36" s="1894">
        <v>92</v>
      </c>
      <c r="BG36" s="1894">
        <v>0.35110000000000002</v>
      </c>
      <c r="BH36" s="1894">
        <v>29.89</v>
      </c>
      <c r="BI36" s="1894">
        <v>2224</v>
      </c>
      <c r="BJ36" s="1894">
        <f t="shared" si="12"/>
        <v>4464</v>
      </c>
      <c r="BK36" s="1894">
        <f t="shared" si="13"/>
        <v>0</v>
      </c>
      <c r="BL36" s="1894">
        <v>115</v>
      </c>
      <c r="BM36" s="1894">
        <v>95.6</v>
      </c>
      <c r="BN36" s="1894">
        <v>95.6</v>
      </c>
      <c r="BO36" s="1894">
        <v>0.38869999999999999</v>
      </c>
      <c r="BP36" s="1894">
        <v>6.57</v>
      </c>
      <c r="BQ36" s="1894">
        <v>4525</v>
      </c>
      <c r="BR36" s="1894">
        <f t="shared" si="14"/>
        <v>41299</v>
      </c>
      <c r="BS36" s="1894">
        <f t="shared" si="15"/>
        <v>0</v>
      </c>
      <c r="BT36" s="1894">
        <v>115</v>
      </c>
      <c r="BU36" s="1894">
        <v>100.32000000000001</v>
      </c>
      <c r="BV36" s="1894">
        <v>100.32</v>
      </c>
      <c r="BW36" s="1894">
        <v>0.42930000000000001</v>
      </c>
      <c r="BX36" s="1894">
        <v>15.53</v>
      </c>
      <c r="BY36" s="1894">
        <v>9719</v>
      </c>
      <c r="BZ36" s="1894">
        <f t="shared" si="16"/>
        <v>44783</v>
      </c>
      <c r="CA36" s="1894">
        <f t="shared" si="17"/>
        <v>0</v>
      </c>
      <c r="CB36" s="1894">
        <v>115</v>
      </c>
      <c r="CC36" s="1894">
        <v>96</v>
      </c>
      <c r="CD36" s="1894">
        <v>96</v>
      </c>
      <c r="CE36" s="1894">
        <v>0.46660000000000001</v>
      </c>
      <c r="CF36" s="1894">
        <v>16.02</v>
      </c>
      <c r="CG36" s="1894">
        <v>13288</v>
      </c>
      <c r="CH36" s="1894">
        <f t="shared" si="18"/>
        <v>42854</v>
      </c>
      <c r="CI36" s="1894">
        <f t="shared" si="19"/>
        <v>0</v>
      </c>
      <c r="CJ36" s="1894">
        <v>115</v>
      </c>
      <c r="CK36" s="1894">
        <v>92.16</v>
      </c>
      <c r="CL36" s="1894">
        <v>92.16</v>
      </c>
      <c r="CM36" s="1894">
        <v>0.60360000000000003</v>
      </c>
      <c r="CN36" s="1894">
        <v>14.81</v>
      </c>
      <c r="CO36" s="1894">
        <v>9173</v>
      </c>
      <c r="CP36" s="1894">
        <f t="shared" si="20"/>
        <v>37159</v>
      </c>
      <c r="CQ36" s="1894">
        <f t="shared" si="21"/>
        <v>0</v>
      </c>
      <c r="CR36" s="1924">
        <v>115</v>
      </c>
      <c r="CS36" s="1924">
        <v>85.04</v>
      </c>
      <c r="CT36" s="1924">
        <v>92</v>
      </c>
      <c r="CU36" s="1924">
        <v>0.62970000000000004</v>
      </c>
      <c r="CV36" s="1924">
        <v>12.69</v>
      </c>
      <c r="CW36" s="1924">
        <v>8027</v>
      </c>
      <c r="CX36" s="1894">
        <f t="shared" si="22"/>
        <v>37962</v>
      </c>
      <c r="CY36" s="1894">
        <f t="shared" si="23"/>
        <v>0</v>
      </c>
    </row>
    <row r="37" spans="1:103">
      <c r="A37" s="982">
        <v>126000000010</v>
      </c>
      <c r="B37" s="1923">
        <f t="shared" si="24"/>
        <v>31</v>
      </c>
      <c r="C37" s="1895" t="s">
        <v>2936</v>
      </c>
      <c r="D37" s="1894" t="s">
        <v>524</v>
      </c>
      <c r="E37" s="1895" t="s">
        <v>541</v>
      </c>
      <c r="F37" s="1894" t="s">
        <v>259</v>
      </c>
      <c r="G37" s="1924">
        <v>116</v>
      </c>
      <c r="H37" s="1894">
        <v>116</v>
      </c>
      <c r="I37" s="1894">
        <v>156</v>
      </c>
      <c r="J37" s="1894">
        <v>156</v>
      </c>
      <c r="K37" s="1894">
        <v>0.72230000000000005</v>
      </c>
      <c r="L37" s="1894">
        <v>49</v>
      </c>
      <c r="M37" s="1894">
        <v>55036</v>
      </c>
      <c r="N37" s="1894">
        <f t="shared" si="0"/>
        <v>67392</v>
      </c>
      <c r="O37" s="1894">
        <f t="shared" si="1"/>
        <v>0</v>
      </c>
      <c r="P37" s="1894">
        <v>116</v>
      </c>
      <c r="Q37" s="1894">
        <v>158.47999999999999</v>
      </c>
      <c r="R37" s="1894">
        <v>158.47999999999999</v>
      </c>
      <c r="S37" s="1894">
        <v>0.71960000000000002</v>
      </c>
      <c r="T37" s="1894">
        <v>45.1</v>
      </c>
      <c r="U37" s="1894">
        <v>54891</v>
      </c>
      <c r="V37" s="1894">
        <f t="shared" si="2"/>
        <v>70745</v>
      </c>
      <c r="W37" s="1894">
        <f t="shared" si="3"/>
        <v>0</v>
      </c>
      <c r="X37" s="1894">
        <v>116</v>
      </c>
      <c r="Y37" s="1894">
        <v>153.36000000000001</v>
      </c>
      <c r="Z37" s="1894">
        <v>153.36000000000001</v>
      </c>
      <c r="AA37" s="1894">
        <v>0.7248</v>
      </c>
      <c r="AB37" s="1894">
        <v>34.409999999999997</v>
      </c>
      <c r="AC37" s="1894">
        <v>37997</v>
      </c>
      <c r="AD37" s="1894">
        <f t="shared" si="4"/>
        <v>66252</v>
      </c>
      <c r="AE37" s="1894">
        <f t="shared" si="5"/>
        <v>0</v>
      </c>
      <c r="AF37" s="1894">
        <v>116</v>
      </c>
      <c r="AG37" s="1894">
        <v>145.19999999999999</v>
      </c>
      <c r="AH37" s="1894">
        <v>145.19999999999999</v>
      </c>
      <c r="AI37" s="1894">
        <v>0.71179999999999999</v>
      </c>
      <c r="AJ37" s="1894">
        <v>31.84</v>
      </c>
      <c r="AK37" s="1894">
        <v>34398</v>
      </c>
      <c r="AL37" s="1894">
        <f t="shared" si="6"/>
        <v>64817</v>
      </c>
      <c r="AM37" s="1894">
        <f t="shared" si="7"/>
        <v>0</v>
      </c>
      <c r="AN37" s="1894">
        <v>116</v>
      </c>
      <c r="AO37" s="1894">
        <v>4.5600000000000005</v>
      </c>
      <c r="AP37" s="1894">
        <v>92.8</v>
      </c>
      <c r="AQ37" s="1894">
        <v>0.72030000000000005</v>
      </c>
      <c r="AR37" s="1894">
        <v>809.99</v>
      </c>
      <c r="AS37" s="1894">
        <v>27480</v>
      </c>
      <c r="AT37" s="1894">
        <f t="shared" si="8"/>
        <v>2036</v>
      </c>
      <c r="AU37" s="1894">
        <f t="shared" si="9"/>
        <v>25444</v>
      </c>
      <c r="AV37" s="1894">
        <v>116</v>
      </c>
      <c r="AW37" s="1894">
        <v>61.760000000000005</v>
      </c>
      <c r="AX37" s="1894">
        <v>92.8</v>
      </c>
      <c r="AY37" s="1894">
        <v>0.97589999999999999</v>
      </c>
      <c r="AZ37" s="1894">
        <v>5.99</v>
      </c>
      <c r="BA37" s="1894">
        <v>2665</v>
      </c>
      <c r="BB37" s="1894">
        <f t="shared" si="10"/>
        <v>26680</v>
      </c>
      <c r="BC37" s="1894">
        <f t="shared" si="11"/>
        <v>0</v>
      </c>
      <c r="BD37" s="1894">
        <v>116</v>
      </c>
      <c r="BE37" s="1894">
        <v>9.0399999999999991</v>
      </c>
      <c r="BF37" s="1894">
        <v>92.8</v>
      </c>
      <c r="BG37" s="1894">
        <v>1</v>
      </c>
      <c r="BH37" s="1894">
        <v>30.53</v>
      </c>
      <c r="BI37" s="1894">
        <v>1722</v>
      </c>
      <c r="BJ37" s="1894">
        <f t="shared" si="12"/>
        <v>4035</v>
      </c>
      <c r="BK37" s="1894">
        <f t="shared" si="13"/>
        <v>0</v>
      </c>
      <c r="BL37" s="1894">
        <v>116</v>
      </c>
      <c r="BM37" s="1894">
        <v>12.72</v>
      </c>
      <c r="BN37" s="1894">
        <v>92.8</v>
      </c>
      <c r="BO37" s="1894">
        <v>0.99950000000000006</v>
      </c>
      <c r="BP37" s="1894">
        <v>19.649999999999999</v>
      </c>
      <c r="BQ37" s="1894">
        <v>2040</v>
      </c>
      <c r="BR37" s="1894">
        <f t="shared" si="14"/>
        <v>5495</v>
      </c>
      <c r="BS37" s="1894">
        <f t="shared" si="15"/>
        <v>0</v>
      </c>
      <c r="BT37" s="1894">
        <v>116</v>
      </c>
      <c r="BU37" s="1894">
        <v>107.52</v>
      </c>
      <c r="BV37" s="1894">
        <v>107.52</v>
      </c>
      <c r="BW37" s="1894">
        <v>0.84630000000000005</v>
      </c>
      <c r="BX37" s="1894">
        <v>5.07</v>
      </c>
      <c r="BY37" s="1894">
        <v>4185</v>
      </c>
      <c r="BZ37" s="1894">
        <f t="shared" si="16"/>
        <v>47997</v>
      </c>
      <c r="CA37" s="1894">
        <f t="shared" si="17"/>
        <v>0</v>
      </c>
      <c r="CB37" s="1894">
        <v>116</v>
      </c>
      <c r="CC37" s="1894">
        <v>149.44</v>
      </c>
      <c r="CD37" s="1894">
        <v>149.44</v>
      </c>
      <c r="CE37" s="1894">
        <v>0.68369999999999997</v>
      </c>
      <c r="CF37" s="1894">
        <v>42.76</v>
      </c>
      <c r="CG37" s="1894">
        <v>47543</v>
      </c>
      <c r="CH37" s="1894">
        <f t="shared" si="18"/>
        <v>66710</v>
      </c>
      <c r="CI37" s="1894">
        <f t="shared" si="19"/>
        <v>0</v>
      </c>
      <c r="CJ37" s="1894">
        <v>116</v>
      </c>
      <c r="CK37" s="1894">
        <v>173.04</v>
      </c>
      <c r="CL37" s="1894">
        <v>173.04</v>
      </c>
      <c r="CM37" s="1894">
        <v>0.71699999999999997</v>
      </c>
      <c r="CN37" s="1894">
        <v>49.91</v>
      </c>
      <c r="CO37" s="1894">
        <v>58038</v>
      </c>
      <c r="CP37" s="1894">
        <f t="shared" si="20"/>
        <v>69770</v>
      </c>
      <c r="CQ37" s="1894">
        <f t="shared" si="21"/>
        <v>0</v>
      </c>
      <c r="CR37" s="1924">
        <v>116</v>
      </c>
      <c r="CS37" s="1924">
        <v>188.39999999999998</v>
      </c>
      <c r="CT37" s="1924">
        <v>188.4</v>
      </c>
      <c r="CU37" s="1924">
        <v>0.73899999999999999</v>
      </c>
      <c r="CV37" s="1924">
        <v>39.950000000000003</v>
      </c>
      <c r="CW37" s="1924">
        <v>56004</v>
      </c>
      <c r="CX37" s="1894">
        <f t="shared" si="22"/>
        <v>84102</v>
      </c>
      <c r="CY37" s="1894">
        <f t="shared" si="23"/>
        <v>0</v>
      </c>
    </row>
    <row r="38" spans="1:103">
      <c r="A38" s="982">
        <v>615000000022</v>
      </c>
      <c r="B38" s="1923">
        <f t="shared" si="24"/>
        <v>32</v>
      </c>
      <c r="C38" s="1895" t="s">
        <v>2937</v>
      </c>
      <c r="D38" s="1894" t="s">
        <v>524</v>
      </c>
      <c r="E38" s="1895" t="s">
        <v>541</v>
      </c>
      <c r="F38" s="1894" t="s">
        <v>259</v>
      </c>
      <c r="G38" s="1924">
        <v>116</v>
      </c>
      <c r="H38" s="1894">
        <v>116</v>
      </c>
      <c r="I38" s="1894">
        <v>135.04</v>
      </c>
      <c r="J38" s="1894">
        <v>135.04</v>
      </c>
      <c r="K38" s="1894">
        <v>0.72440000000000004</v>
      </c>
      <c r="L38" s="1894">
        <v>7.23</v>
      </c>
      <c r="M38" s="1894">
        <v>7025</v>
      </c>
      <c r="N38" s="1894">
        <f t="shared" si="0"/>
        <v>58337</v>
      </c>
      <c r="O38" s="1894">
        <f t="shared" si="1"/>
        <v>0</v>
      </c>
      <c r="P38" s="1894">
        <v>116</v>
      </c>
      <c r="Q38" s="1894">
        <v>129.04</v>
      </c>
      <c r="R38" s="1894">
        <v>129.04</v>
      </c>
      <c r="S38" s="1894">
        <v>0.72009999999999996</v>
      </c>
      <c r="T38" s="1894">
        <v>5.71</v>
      </c>
      <c r="U38" s="1894">
        <v>5482</v>
      </c>
      <c r="V38" s="1894">
        <f t="shared" si="2"/>
        <v>57603</v>
      </c>
      <c r="W38" s="1894">
        <f t="shared" si="3"/>
        <v>0</v>
      </c>
      <c r="X38" s="1894">
        <v>116</v>
      </c>
      <c r="Y38" s="1894">
        <v>117.52</v>
      </c>
      <c r="Z38" s="1894">
        <v>117.52</v>
      </c>
      <c r="AA38" s="1894">
        <v>0.72050000000000003</v>
      </c>
      <c r="AB38" s="1894">
        <v>11.2</v>
      </c>
      <c r="AC38" s="1894">
        <v>7898</v>
      </c>
      <c r="AD38" s="1894">
        <f t="shared" si="4"/>
        <v>50769</v>
      </c>
      <c r="AE38" s="1894">
        <f t="shared" si="5"/>
        <v>0</v>
      </c>
      <c r="AF38" s="1894">
        <v>116</v>
      </c>
      <c r="AG38" s="1894">
        <v>118.96</v>
      </c>
      <c r="AH38" s="1894">
        <v>118.96</v>
      </c>
      <c r="AI38" s="1894">
        <v>0.68820000000000003</v>
      </c>
      <c r="AJ38" s="1894">
        <v>10.89</v>
      </c>
      <c r="AK38" s="1894">
        <v>9634</v>
      </c>
      <c r="AL38" s="1894">
        <f t="shared" si="6"/>
        <v>53104</v>
      </c>
      <c r="AM38" s="1894">
        <f t="shared" si="7"/>
        <v>0</v>
      </c>
      <c r="AN38" s="1894">
        <v>116</v>
      </c>
      <c r="AO38" s="1894">
        <v>3.5999999999999996</v>
      </c>
      <c r="AP38" s="1894">
        <v>92.8</v>
      </c>
      <c r="AQ38" s="1894">
        <v>0.69779999999999998</v>
      </c>
      <c r="AR38" s="1894">
        <v>32.950000000000003</v>
      </c>
      <c r="AS38" s="1894">
        <v>854</v>
      </c>
      <c r="AT38" s="1894">
        <f t="shared" si="8"/>
        <v>1607</v>
      </c>
      <c r="AU38" s="1894">
        <f t="shared" si="9"/>
        <v>0</v>
      </c>
      <c r="AV38" s="1894">
        <v>116</v>
      </c>
      <c r="AW38" s="1894">
        <v>2.88</v>
      </c>
      <c r="AX38" s="1894">
        <v>92.8</v>
      </c>
      <c r="AY38" s="1894">
        <v>0.7722</v>
      </c>
      <c r="AZ38" s="1894">
        <v>48.16</v>
      </c>
      <c r="BA38" s="1894">
        <v>1032</v>
      </c>
      <c r="BB38" s="1894">
        <f t="shared" si="10"/>
        <v>1244</v>
      </c>
      <c r="BC38" s="1894">
        <f t="shared" si="11"/>
        <v>0</v>
      </c>
      <c r="BD38" s="1894">
        <v>116</v>
      </c>
      <c r="BE38" s="1894">
        <v>26.400000000000002</v>
      </c>
      <c r="BF38" s="1894">
        <v>92.8</v>
      </c>
      <c r="BG38" s="1894">
        <v>0.71240000000000003</v>
      </c>
      <c r="BH38" s="1894">
        <v>5.4</v>
      </c>
      <c r="BI38" s="1894">
        <v>1231</v>
      </c>
      <c r="BJ38" s="1894">
        <f t="shared" si="12"/>
        <v>11785</v>
      </c>
      <c r="BK38" s="1894">
        <f t="shared" si="13"/>
        <v>0</v>
      </c>
      <c r="BL38" s="1894">
        <v>116</v>
      </c>
      <c r="BM38" s="1894">
        <v>5.84</v>
      </c>
      <c r="BN38" s="1894">
        <v>92.8</v>
      </c>
      <c r="BO38" s="1894">
        <v>0.62960000000000005</v>
      </c>
      <c r="BP38" s="1894">
        <v>25.3</v>
      </c>
      <c r="BQ38" s="1894">
        <v>1064</v>
      </c>
      <c r="BR38" s="1894">
        <f t="shared" si="14"/>
        <v>2523</v>
      </c>
      <c r="BS38" s="1894">
        <f t="shared" si="15"/>
        <v>0</v>
      </c>
      <c r="BT38" s="1894">
        <v>116</v>
      </c>
      <c r="BU38" s="1894">
        <v>3.92</v>
      </c>
      <c r="BV38" s="1894">
        <v>92.8</v>
      </c>
      <c r="BW38" s="1894">
        <v>0.56530000000000002</v>
      </c>
      <c r="BX38" s="1894">
        <v>30.69</v>
      </c>
      <c r="BY38" s="1894">
        <v>895</v>
      </c>
      <c r="BZ38" s="1894">
        <f t="shared" si="16"/>
        <v>1750</v>
      </c>
      <c r="CA38" s="1894">
        <f t="shared" si="17"/>
        <v>0</v>
      </c>
      <c r="CB38" s="1894">
        <v>116</v>
      </c>
      <c r="CC38" s="1894">
        <v>3.84</v>
      </c>
      <c r="CD38" s="1894">
        <v>92.8</v>
      </c>
      <c r="CE38" s="1894">
        <v>0.58750000000000002</v>
      </c>
      <c r="CF38" s="1894">
        <v>30.38</v>
      </c>
      <c r="CG38" s="1894">
        <v>868</v>
      </c>
      <c r="CH38" s="1894">
        <f t="shared" si="18"/>
        <v>1714</v>
      </c>
      <c r="CI38" s="1894">
        <f t="shared" si="19"/>
        <v>0</v>
      </c>
      <c r="CJ38" s="1894">
        <v>116</v>
      </c>
      <c r="CK38" s="1894">
        <v>3.52</v>
      </c>
      <c r="CL38" s="1894">
        <v>92.8</v>
      </c>
      <c r="CM38" s="1894">
        <v>0.66320000000000001</v>
      </c>
      <c r="CN38" s="1894">
        <v>36.78</v>
      </c>
      <c r="CO38" s="1894">
        <v>870</v>
      </c>
      <c r="CP38" s="1894">
        <f t="shared" si="20"/>
        <v>1419</v>
      </c>
      <c r="CQ38" s="1894">
        <f t="shared" si="21"/>
        <v>0</v>
      </c>
      <c r="CR38" s="1924">
        <v>116</v>
      </c>
      <c r="CS38" s="1924">
        <v>3.7600000000000002</v>
      </c>
      <c r="CT38" s="1924">
        <v>92.8</v>
      </c>
      <c r="CU38" s="1924">
        <v>0.66180000000000005</v>
      </c>
      <c r="CV38" s="1924">
        <v>29.71</v>
      </c>
      <c r="CW38" s="1924">
        <v>831</v>
      </c>
      <c r="CX38" s="1894">
        <f t="shared" si="22"/>
        <v>1678</v>
      </c>
      <c r="CY38" s="1894">
        <f t="shared" si="23"/>
        <v>0</v>
      </c>
    </row>
    <row r="39" spans="1:103">
      <c r="A39" s="982">
        <v>615000000026</v>
      </c>
      <c r="B39" s="1923">
        <f t="shared" si="24"/>
        <v>33</v>
      </c>
      <c r="C39" s="1895" t="s">
        <v>2938</v>
      </c>
      <c r="D39" s="1894" t="s">
        <v>524</v>
      </c>
      <c r="E39" s="1895" t="s">
        <v>541</v>
      </c>
      <c r="F39" s="1894" t="s">
        <v>259</v>
      </c>
      <c r="G39" s="1924">
        <v>116</v>
      </c>
      <c r="H39" s="1894">
        <v>116</v>
      </c>
      <c r="I39" s="1894">
        <v>30.4</v>
      </c>
      <c r="J39" s="1894">
        <v>92.8</v>
      </c>
      <c r="K39" s="1894">
        <v>0.95899999999999996</v>
      </c>
      <c r="L39" s="1894">
        <v>43.99</v>
      </c>
      <c r="M39" s="1894">
        <v>9629</v>
      </c>
      <c r="N39" s="1894">
        <f t="shared" si="0"/>
        <v>13133</v>
      </c>
      <c r="O39" s="1894">
        <f t="shared" si="1"/>
        <v>0</v>
      </c>
      <c r="P39" s="1894">
        <v>116</v>
      </c>
      <c r="Q39" s="1894">
        <v>34.56</v>
      </c>
      <c r="R39" s="1894">
        <v>92.8</v>
      </c>
      <c r="S39" s="1894">
        <v>0.94820000000000004</v>
      </c>
      <c r="T39" s="1894">
        <v>34.01</v>
      </c>
      <c r="U39" s="1894">
        <v>8746</v>
      </c>
      <c r="V39" s="1894">
        <f t="shared" si="2"/>
        <v>15428</v>
      </c>
      <c r="W39" s="1894">
        <f t="shared" si="3"/>
        <v>0</v>
      </c>
      <c r="X39" s="1894">
        <v>116</v>
      </c>
      <c r="Y39" s="1894">
        <v>29.2</v>
      </c>
      <c r="Z39" s="1894">
        <v>92.8</v>
      </c>
      <c r="AA39" s="1894">
        <v>0.94130000000000003</v>
      </c>
      <c r="AB39" s="1894">
        <v>38.69</v>
      </c>
      <c r="AC39" s="1894">
        <v>8135</v>
      </c>
      <c r="AD39" s="1894">
        <f t="shared" si="4"/>
        <v>12614</v>
      </c>
      <c r="AE39" s="1894">
        <f t="shared" si="5"/>
        <v>0</v>
      </c>
      <c r="AF39" s="1894">
        <v>116</v>
      </c>
      <c r="AG39" s="1894">
        <v>30.240000000000002</v>
      </c>
      <c r="AH39" s="1894">
        <v>92.8</v>
      </c>
      <c r="AI39" s="1894">
        <v>0.92130000000000001</v>
      </c>
      <c r="AJ39" s="1894">
        <v>35.83</v>
      </c>
      <c r="AK39" s="1894">
        <v>8062</v>
      </c>
      <c r="AL39" s="1894">
        <f t="shared" si="6"/>
        <v>13499</v>
      </c>
      <c r="AM39" s="1894">
        <f t="shared" si="7"/>
        <v>0</v>
      </c>
      <c r="AN39" s="1894">
        <v>116</v>
      </c>
      <c r="AO39" s="1894">
        <v>33.28</v>
      </c>
      <c r="AP39" s="1894">
        <v>92.8</v>
      </c>
      <c r="AQ39" s="1894">
        <v>0.91400000000000003</v>
      </c>
      <c r="AR39" s="1894">
        <v>33.79</v>
      </c>
      <c r="AS39" s="1894">
        <v>8366</v>
      </c>
      <c r="AT39" s="1894">
        <f t="shared" si="8"/>
        <v>14856</v>
      </c>
      <c r="AU39" s="1894">
        <f t="shared" si="9"/>
        <v>0</v>
      </c>
      <c r="AV39" s="1894">
        <v>116</v>
      </c>
      <c r="AW39" s="1894">
        <v>28.32</v>
      </c>
      <c r="AX39" s="1894">
        <v>92.8</v>
      </c>
      <c r="AY39" s="1894">
        <v>0.92379999999999995</v>
      </c>
      <c r="AZ39" s="1894">
        <v>42.95</v>
      </c>
      <c r="BA39" s="1894">
        <v>8758</v>
      </c>
      <c r="BB39" s="1894">
        <f t="shared" si="10"/>
        <v>12234</v>
      </c>
      <c r="BC39" s="1894">
        <f t="shared" si="11"/>
        <v>0</v>
      </c>
      <c r="BD39" s="1894">
        <v>116</v>
      </c>
      <c r="BE39" s="1894">
        <v>21.6</v>
      </c>
      <c r="BF39" s="1894">
        <v>92.8</v>
      </c>
      <c r="BG39" s="1894">
        <v>0.89410000000000001</v>
      </c>
      <c r="BH39" s="1894">
        <v>42.39</v>
      </c>
      <c r="BI39" s="1894">
        <v>6813</v>
      </c>
      <c r="BJ39" s="1894">
        <f t="shared" si="12"/>
        <v>9642</v>
      </c>
      <c r="BK39" s="1894">
        <f t="shared" si="13"/>
        <v>0</v>
      </c>
      <c r="BL39" s="1894">
        <v>116</v>
      </c>
      <c r="BM39" s="1894">
        <v>21.84</v>
      </c>
      <c r="BN39" s="1894">
        <v>92.8</v>
      </c>
      <c r="BO39" s="1894">
        <v>0.79300000000000004</v>
      </c>
      <c r="BP39" s="1894">
        <v>35.19</v>
      </c>
      <c r="BQ39" s="1894">
        <v>5534</v>
      </c>
      <c r="BR39" s="1894">
        <f t="shared" si="14"/>
        <v>9435</v>
      </c>
      <c r="BS39" s="1894">
        <f t="shared" si="15"/>
        <v>0</v>
      </c>
      <c r="BT39" s="1894">
        <v>116</v>
      </c>
      <c r="BU39" s="1894">
        <v>25.52</v>
      </c>
      <c r="BV39" s="1894">
        <v>92.8</v>
      </c>
      <c r="BW39" s="1894">
        <v>0.71009999999999995</v>
      </c>
      <c r="BX39" s="1894">
        <v>29.95</v>
      </c>
      <c r="BY39" s="1894">
        <v>5686</v>
      </c>
      <c r="BZ39" s="1894">
        <f t="shared" si="16"/>
        <v>11392</v>
      </c>
      <c r="CA39" s="1894">
        <f t="shared" si="17"/>
        <v>0</v>
      </c>
      <c r="CB39" s="1894">
        <v>116</v>
      </c>
      <c r="CC39" s="1894">
        <v>20.72</v>
      </c>
      <c r="CD39" s="1894">
        <v>92.8</v>
      </c>
      <c r="CE39" s="1894">
        <v>0.77200000000000002</v>
      </c>
      <c r="CF39" s="1894">
        <v>30.11</v>
      </c>
      <c r="CG39" s="1894">
        <v>4641</v>
      </c>
      <c r="CH39" s="1894">
        <f t="shared" si="18"/>
        <v>9249</v>
      </c>
      <c r="CI39" s="1894">
        <f t="shared" si="19"/>
        <v>0</v>
      </c>
      <c r="CJ39" s="1894">
        <v>116</v>
      </c>
      <c r="CK39" s="1894">
        <v>21.2</v>
      </c>
      <c r="CL39" s="1894">
        <v>92.8</v>
      </c>
      <c r="CM39" s="1894">
        <v>0.84660000000000002</v>
      </c>
      <c r="CN39" s="1894">
        <v>37.25</v>
      </c>
      <c r="CO39" s="1894">
        <v>5307</v>
      </c>
      <c r="CP39" s="1894">
        <f t="shared" si="20"/>
        <v>8548</v>
      </c>
      <c r="CQ39" s="1894">
        <f t="shared" si="21"/>
        <v>0</v>
      </c>
      <c r="CR39" s="1924">
        <v>116</v>
      </c>
      <c r="CS39" s="1924">
        <v>21.52</v>
      </c>
      <c r="CT39" s="1924">
        <v>92.8</v>
      </c>
      <c r="CU39" s="1924">
        <v>0.89149999999999996</v>
      </c>
      <c r="CV39" s="1924">
        <v>43.83</v>
      </c>
      <c r="CW39" s="1924">
        <v>7017</v>
      </c>
      <c r="CX39" s="1894">
        <f t="shared" si="22"/>
        <v>9607</v>
      </c>
      <c r="CY39" s="1894">
        <f t="shared" si="23"/>
        <v>0</v>
      </c>
    </row>
    <row r="40" spans="1:103">
      <c r="A40" s="982">
        <v>611000000005</v>
      </c>
      <c r="B40" s="1923">
        <f t="shared" si="24"/>
        <v>34</v>
      </c>
      <c r="C40" s="1895" t="s">
        <v>2939</v>
      </c>
      <c r="D40" s="1894" t="s">
        <v>524</v>
      </c>
      <c r="E40" s="1895" t="s">
        <v>629</v>
      </c>
      <c r="F40" s="1894" t="s">
        <v>259</v>
      </c>
      <c r="G40" s="1924">
        <v>116.67</v>
      </c>
      <c r="H40" s="1894">
        <v>116.67</v>
      </c>
      <c r="I40" s="1894">
        <v>139.20000000000002</v>
      </c>
      <c r="J40" s="1894">
        <v>139.19999999999999</v>
      </c>
      <c r="K40" s="1894">
        <v>0.99690000000000001</v>
      </c>
      <c r="L40" s="1894">
        <v>0</v>
      </c>
      <c r="M40" s="1894">
        <v>39264</v>
      </c>
      <c r="N40" s="1894">
        <f t="shared" si="0"/>
        <v>60134</v>
      </c>
      <c r="O40" s="1894">
        <f t="shared" si="1"/>
        <v>0</v>
      </c>
      <c r="P40" s="1894">
        <v>116.67</v>
      </c>
      <c r="Q40" s="1894">
        <v>235.6</v>
      </c>
      <c r="R40" s="1894">
        <v>235.6</v>
      </c>
      <c r="S40" s="1894">
        <v>0.95220000000000005</v>
      </c>
      <c r="T40" s="1894">
        <v>0</v>
      </c>
      <c r="U40" s="1894">
        <v>85444</v>
      </c>
      <c r="V40" s="1894">
        <f t="shared" si="2"/>
        <v>105172</v>
      </c>
      <c r="W40" s="1894">
        <f t="shared" si="3"/>
        <v>0</v>
      </c>
      <c r="X40" s="1894">
        <v>116.67</v>
      </c>
      <c r="Y40" s="1894">
        <v>272.16000000000003</v>
      </c>
      <c r="Z40" s="1894">
        <v>272.16000000000003</v>
      </c>
      <c r="AA40" s="1894">
        <v>0.94359999999999999</v>
      </c>
      <c r="AB40" s="1894">
        <v>0</v>
      </c>
      <c r="AC40" s="1894">
        <v>75119</v>
      </c>
      <c r="AD40" s="1894">
        <f t="shared" si="4"/>
        <v>117573</v>
      </c>
      <c r="AE40" s="1894">
        <f t="shared" si="5"/>
        <v>0</v>
      </c>
      <c r="AF40" s="1894">
        <v>116.67</v>
      </c>
      <c r="AG40" s="1894">
        <v>218.23999999999998</v>
      </c>
      <c r="AH40" s="1894">
        <v>218.24</v>
      </c>
      <c r="AI40" s="1894">
        <v>0.93130000000000002</v>
      </c>
      <c r="AJ40" s="1894">
        <v>0</v>
      </c>
      <c r="AK40" s="1894">
        <v>70539</v>
      </c>
      <c r="AL40" s="1894">
        <f t="shared" si="6"/>
        <v>97422</v>
      </c>
      <c r="AM40" s="1894">
        <f t="shared" si="7"/>
        <v>0</v>
      </c>
      <c r="AN40" s="1894">
        <v>116.67</v>
      </c>
      <c r="AO40" s="1894">
        <v>226.79999999999998</v>
      </c>
      <c r="AP40" s="1894">
        <v>226.8</v>
      </c>
      <c r="AQ40" s="1894">
        <v>0.93520000000000003</v>
      </c>
      <c r="AR40" s="1894">
        <v>0</v>
      </c>
      <c r="AS40" s="1894">
        <v>67490</v>
      </c>
      <c r="AT40" s="1894">
        <f t="shared" si="8"/>
        <v>101244</v>
      </c>
      <c r="AU40" s="1894">
        <f t="shared" si="9"/>
        <v>0</v>
      </c>
      <c r="AV40" s="1894">
        <v>116.67</v>
      </c>
      <c r="AW40" s="1894">
        <v>224.96</v>
      </c>
      <c r="AX40" s="1894">
        <v>224.96</v>
      </c>
      <c r="AY40" s="1894">
        <v>0.93940000000000001</v>
      </c>
      <c r="AZ40" s="1894">
        <v>0</v>
      </c>
      <c r="BA40" s="1894">
        <v>70831</v>
      </c>
      <c r="BB40" s="1894">
        <f t="shared" si="10"/>
        <v>97183</v>
      </c>
      <c r="BC40" s="1894">
        <f t="shared" si="11"/>
        <v>0</v>
      </c>
      <c r="BD40" s="1894">
        <v>116.67</v>
      </c>
      <c r="BE40" s="1894">
        <v>172.56</v>
      </c>
      <c r="BF40" s="1894">
        <v>172.56</v>
      </c>
      <c r="BG40" s="1894">
        <v>0.9345</v>
      </c>
      <c r="BH40" s="1894">
        <v>0</v>
      </c>
      <c r="BI40" s="1894">
        <v>67317</v>
      </c>
      <c r="BJ40" s="1894">
        <f t="shared" si="12"/>
        <v>77031</v>
      </c>
      <c r="BK40" s="1894">
        <f t="shared" si="13"/>
        <v>0</v>
      </c>
      <c r="BL40" s="1894">
        <v>116.67</v>
      </c>
      <c r="BM40" s="1894">
        <v>129.6</v>
      </c>
      <c r="BN40" s="1894">
        <v>129.6</v>
      </c>
      <c r="BO40" s="1894">
        <v>0.91890000000000005</v>
      </c>
      <c r="BP40" s="1894">
        <v>0</v>
      </c>
      <c r="BQ40" s="1894">
        <v>50826</v>
      </c>
      <c r="BR40" s="1894">
        <f t="shared" si="14"/>
        <v>55987</v>
      </c>
      <c r="BS40" s="1894">
        <f t="shared" si="15"/>
        <v>0</v>
      </c>
      <c r="BT40" s="1894">
        <v>116.67</v>
      </c>
      <c r="BU40" s="1894">
        <v>139.84</v>
      </c>
      <c r="BV40" s="1894">
        <v>139.84</v>
      </c>
      <c r="BW40" s="1894">
        <v>0.94879999999999998</v>
      </c>
      <c r="BX40" s="1894">
        <v>0</v>
      </c>
      <c r="BY40" s="1894">
        <v>46610</v>
      </c>
      <c r="BZ40" s="1894">
        <f t="shared" si="16"/>
        <v>62425</v>
      </c>
      <c r="CA40" s="1894">
        <f t="shared" si="17"/>
        <v>0</v>
      </c>
      <c r="CB40" s="1894">
        <v>116.67</v>
      </c>
      <c r="CC40" s="1894">
        <v>136.24</v>
      </c>
      <c r="CD40" s="1894">
        <v>136.24</v>
      </c>
      <c r="CE40" s="1894">
        <v>0.96909999999999996</v>
      </c>
      <c r="CF40" s="1894">
        <v>0</v>
      </c>
      <c r="CG40" s="1894">
        <v>47211</v>
      </c>
      <c r="CH40" s="1894">
        <f t="shared" si="18"/>
        <v>60818</v>
      </c>
      <c r="CI40" s="1894">
        <f t="shared" si="19"/>
        <v>0</v>
      </c>
      <c r="CJ40" s="1894">
        <v>116.67</v>
      </c>
      <c r="CK40" s="1894">
        <v>142.08000000000001</v>
      </c>
      <c r="CL40" s="1894">
        <v>142.08000000000001</v>
      </c>
      <c r="CM40" s="1894">
        <v>0.9667</v>
      </c>
      <c r="CN40" s="1894">
        <v>0</v>
      </c>
      <c r="CO40" s="1894">
        <v>44722</v>
      </c>
      <c r="CP40" s="1894">
        <f t="shared" si="20"/>
        <v>57287</v>
      </c>
      <c r="CQ40" s="1894">
        <f t="shared" si="21"/>
        <v>0</v>
      </c>
      <c r="CR40" s="1924">
        <v>116.67</v>
      </c>
      <c r="CS40" s="1924">
        <v>148.63999999999999</v>
      </c>
      <c r="CT40" s="1924">
        <v>148.63999999999999</v>
      </c>
      <c r="CU40" s="1924">
        <v>0.97099999999999997</v>
      </c>
      <c r="CV40" s="1924">
        <v>0</v>
      </c>
      <c r="CW40" s="1924">
        <v>58022</v>
      </c>
      <c r="CX40" s="1894">
        <f t="shared" si="22"/>
        <v>66353</v>
      </c>
      <c r="CY40" s="1894">
        <f t="shared" si="23"/>
        <v>0</v>
      </c>
    </row>
    <row r="41" spans="1:103">
      <c r="A41" s="982">
        <v>123000000110</v>
      </c>
      <c r="B41" s="1923">
        <f t="shared" si="24"/>
        <v>35</v>
      </c>
      <c r="C41" s="1895" t="s">
        <v>2940</v>
      </c>
      <c r="D41" s="1894" t="s">
        <v>524</v>
      </c>
      <c r="E41" s="1895" t="s">
        <v>541</v>
      </c>
      <c r="F41" s="1894" t="s">
        <v>259</v>
      </c>
      <c r="G41" s="1924">
        <v>117</v>
      </c>
      <c r="H41" s="1894">
        <v>117</v>
      </c>
      <c r="I41" s="1894">
        <v>111.35999999999999</v>
      </c>
      <c r="J41" s="1894">
        <v>111.36</v>
      </c>
      <c r="K41" s="1894">
        <v>0.9647</v>
      </c>
      <c r="L41" s="1894">
        <v>44.47</v>
      </c>
      <c r="M41" s="1894">
        <v>35657</v>
      </c>
      <c r="N41" s="1894">
        <f t="shared" si="0"/>
        <v>48108</v>
      </c>
      <c r="O41" s="1894">
        <f t="shared" si="1"/>
        <v>0</v>
      </c>
      <c r="P41" s="1894">
        <v>117</v>
      </c>
      <c r="Q41" s="1894">
        <v>109.68</v>
      </c>
      <c r="R41" s="1894">
        <v>109.68</v>
      </c>
      <c r="S41" s="1894">
        <v>0.96220000000000006</v>
      </c>
      <c r="T41" s="1894">
        <v>61.06</v>
      </c>
      <c r="U41" s="1894">
        <v>49830</v>
      </c>
      <c r="V41" s="1894">
        <f t="shared" si="2"/>
        <v>48961</v>
      </c>
      <c r="W41" s="1894">
        <f t="shared" si="3"/>
        <v>869</v>
      </c>
      <c r="X41" s="1894">
        <v>117</v>
      </c>
      <c r="Y41" s="1894">
        <v>110.55999999999999</v>
      </c>
      <c r="Z41" s="1894">
        <v>110.56</v>
      </c>
      <c r="AA41" s="1894">
        <v>0.95889999999999997</v>
      </c>
      <c r="AB41" s="1894">
        <v>74.760000000000005</v>
      </c>
      <c r="AC41" s="1894">
        <v>47610</v>
      </c>
      <c r="AD41" s="1894">
        <f t="shared" si="4"/>
        <v>47762</v>
      </c>
      <c r="AE41" s="1894">
        <f t="shared" si="5"/>
        <v>0</v>
      </c>
      <c r="AF41" s="1894">
        <v>117</v>
      </c>
      <c r="AG41" s="1894">
        <v>112.16</v>
      </c>
      <c r="AH41" s="1894">
        <v>112.16</v>
      </c>
      <c r="AI41" s="1894">
        <v>0.95489999999999997</v>
      </c>
      <c r="AJ41" s="1894">
        <v>69.31</v>
      </c>
      <c r="AK41" s="1894">
        <v>69036</v>
      </c>
      <c r="AL41" s="1894">
        <f t="shared" si="6"/>
        <v>50068</v>
      </c>
      <c r="AM41" s="1894">
        <f t="shared" si="7"/>
        <v>18968</v>
      </c>
      <c r="AN41" s="1894">
        <v>117</v>
      </c>
      <c r="AO41" s="1894">
        <v>127.27999999999999</v>
      </c>
      <c r="AP41" s="1894">
        <v>127.28</v>
      </c>
      <c r="AQ41" s="1894">
        <v>0.91890000000000005</v>
      </c>
      <c r="AR41" s="1894">
        <v>48.37</v>
      </c>
      <c r="AS41" s="1894">
        <v>45809</v>
      </c>
      <c r="AT41" s="1894">
        <f t="shared" si="8"/>
        <v>56818</v>
      </c>
      <c r="AU41" s="1894">
        <f t="shared" si="9"/>
        <v>0</v>
      </c>
      <c r="AV41" s="1894">
        <v>117</v>
      </c>
      <c r="AW41" s="1894">
        <v>112.32</v>
      </c>
      <c r="AX41" s="1894">
        <v>112.32</v>
      </c>
      <c r="AY41" s="1894">
        <v>0.95409999999999995</v>
      </c>
      <c r="AZ41" s="1894">
        <v>62.87</v>
      </c>
      <c r="BA41" s="1894">
        <v>50844</v>
      </c>
      <c r="BB41" s="1894">
        <f t="shared" si="10"/>
        <v>48522</v>
      </c>
      <c r="BC41" s="1894">
        <f t="shared" si="11"/>
        <v>2322</v>
      </c>
      <c r="BD41" s="1894">
        <v>117</v>
      </c>
      <c r="BE41" s="1894">
        <v>127.76</v>
      </c>
      <c r="BF41" s="1894">
        <v>127.76</v>
      </c>
      <c r="BG41" s="1894">
        <v>0.89500000000000002</v>
      </c>
      <c r="BH41" s="1894">
        <v>47.18</v>
      </c>
      <c r="BI41" s="1894">
        <v>44848</v>
      </c>
      <c r="BJ41" s="1894">
        <f t="shared" si="12"/>
        <v>57032</v>
      </c>
      <c r="BK41" s="1894">
        <f t="shared" si="13"/>
        <v>0</v>
      </c>
      <c r="BL41" s="1894">
        <v>117</v>
      </c>
      <c r="BM41" s="1894">
        <v>124.8</v>
      </c>
      <c r="BN41" s="1894">
        <v>124.8</v>
      </c>
      <c r="BO41" s="1894">
        <v>0.71699999999999997</v>
      </c>
      <c r="BP41" s="1894">
        <v>35.33</v>
      </c>
      <c r="BQ41" s="1894">
        <v>30689</v>
      </c>
      <c r="BR41" s="1894">
        <f t="shared" si="14"/>
        <v>53914</v>
      </c>
      <c r="BS41" s="1894">
        <f t="shared" si="15"/>
        <v>0</v>
      </c>
      <c r="BT41" s="1894">
        <v>117</v>
      </c>
      <c r="BU41" s="1894">
        <v>121.44</v>
      </c>
      <c r="BV41" s="1894">
        <v>121.44</v>
      </c>
      <c r="BW41" s="1894">
        <v>0.75129999999999997</v>
      </c>
      <c r="BX41" s="1894">
        <v>34.950000000000003</v>
      </c>
      <c r="BY41" s="1894">
        <v>32594</v>
      </c>
      <c r="BZ41" s="1894">
        <f t="shared" si="16"/>
        <v>54211</v>
      </c>
      <c r="CA41" s="1894">
        <f t="shared" si="17"/>
        <v>0</v>
      </c>
      <c r="CB41" s="1894">
        <v>117</v>
      </c>
      <c r="CC41" s="1894">
        <v>117.6</v>
      </c>
      <c r="CD41" s="1894">
        <v>117.6</v>
      </c>
      <c r="CE41" s="1894">
        <v>0.71509999999999996</v>
      </c>
      <c r="CF41" s="1894">
        <v>15.01</v>
      </c>
      <c r="CG41" s="1894">
        <v>13134</v>
      </c>
      <c r="CH41" s="1894">
        <f t="shared" si="18"/>
        <v>52497</v>
      </c>
      <c r="CI41" s="1894">
        <f t="shared" si="19"/>
        <v>0</v>
      </c>
      <c r="CJ41" s="1894">
        <v>117</v>
      </c>
      <c r="CK41" s="1894">
        <v>111.68</v>
      </c>
      <c r="CL41" s="1894">
        <v>111.68</v>
      </c>
      <c r="CM41" s="1894">
        <v>0.76429999999999998</v>
      </c>
      <c r="CN41" s="1894">
        <v>21.48</v>
      </c>
      <c r="CO41" s="1894">
        <v>16119</v>
      </c>
      <c r="CP41" s="1894">
        <f t="shared" si="20"/>
        <v>45029</v>
      </c>
      <c r="CQ41" s="1894">
        <f t="shared" si="21"/>
        <v>0</v>
      </c>
      <c r="CR41" s="1924">
        <v>117</v>
      </c>
      <c r="CS41" s="1924">
        <v>110.55999999999999</v>
      </c>
      <c r="CT41" s="1924">
        <v>110.56</v>
      </c>
      <c r="CU41" s="1924">
        <v>0.77929999999999999</v>
      </c>
      <c r="CV41" s="1924">
        <v>28.45</v>
      </c>
      <c r="CW41" s="1924">
        <v>23399</v>
      </c>
      <c r="CX41" s="1894">
        <f t="shared" si="22"/>
        <v>49354</v>
      </c>
      <c r="CY41" s="1894">
        <f t="shared" si="23"/>
        <v>0</v>
      </c>
    </row>
    <row r="42" spans="1:103">
      <c r="A42" s="982">
        <v>611000000068</v>
      </c>
      <c r="B42" s="1923">
        <f t="shared" si="24"/>
        <v>36</v>
      </c>
      <c r="C42" s="1895" t="s">
        <v>2941</v>
      </c>
      <c r="D42" s="1894" t="s">
        <v>524</v>
      </c>
      <c r="E42" s="1895" t="s">
        <v>636</v>
      </c>
      <c r="F42" s="1894" t="s">
        <v>259</v>
      </c>
      <c r="G42" s="1924">
        <v>117.2</v>
      </c>
      <c r="H42" s="1894">
        <v>117.2</v>
      </c>
      <c r="I42" s="1894">
        <v>167.35999999999999</v>
      </c>
      <c r="J42" s="1894">
        <v>167.36</v>
      </c>
      <c r="K42" s="1894">
        <v>0.9022</v>
      </c>
      <c r="L42" s="1894">
        <v>38.9</v>
      </c>
      <c r="M42" s="1894">
        <v>46874</v>
      </c>
      <c r="N42" s="1894">
        <f t="shared" si="0"/>
        <v>72300</v>
      </c>
      <c r="O42" s="1894">
        <f t="shared" si="1"/>
        <v>0</v>
      </c>
      <c r="P42" s="1894">
        <v>117.2</v>
      </c>
      <c r="Q42" s="1894">
        <v>179.44</v>
      </c>
      <c r="R42" s="1894">
        <v>179.44</v>
      </c>
      <c r="S42" s="1894">
        <v>0.90080000000000005</v>
      </c>
      <c r="T42" s="1894">
        <v>38.979999999999997</v>
      </c>
      <c r="U42" s="1894">
        <v>52035</v>
      </c>
      <c r="V42" s="1894">
        <f t="shared" si="2"/>
        <v>80102</v>
      </c>
      <c r="W42" s="1894">
        <f t="shared" si="3"/>
        <v>0</v>
      </c>
      <c r="X42" s="1894">
        <v>117.2</v>
      </c>
      <c r="Y42" s="1894">
        <v>202.88</v>
      </c>
      <c r="Z42" s="1894">
        <v>202.88</v>
      </c>
      <c r="AA42" s="1894">
        <v>0.89190000000000003</v>
      </c>
      <c r="AB42" s="1894">
        <v>35.93</v>
      </c>
      <c r="AC42" s="1894">
        <v>52486</v>
      </c>
      <c r="AD42" s="1894">
        <f t="shared" si="4"/>
        <v>87644</v>
      </c>
      <c r="AE42" s="1894">
        <f t="shared" si="5"/>
        <v>0</v>
      </c>
      <c r="AF42" s="1894">
        <v>117.2</v>
      </c>
      <c r="AG42" s="1894">
        <v>154.4</v>
      </c>
      <c r="AH42" s="1894">
        <v>154.4</v>
      </c>
      <c r="AI42" s="1894">
        <v>0.90990000000000004</v>
      </c>
      <c r="AJ42" s="1894">
        <v>41.68</v>
      </c>
      <c r="AK42" s="1894">
        <v>47882</v>
      </c>
      <c r="AL42" s="1894">
        <f t="shared" si="6"/>
        <v>68924</v>
      </c>
      <c r="AM42" s="1894">
        <f t="shared" si="7"/>
        <v>0</v>
      </c>
      <c r="AN42" s="1894">
        <v>117.2</v>
      </c>
      <c r="AO42" s="1894">
        <v>153.19999999999999</v>
      </c>
      <c r="AP42" s="1894">
        <v>153.19999999999999</v>
      </c>
      <c r="AQ42" s="1894">
        <v>0.9254</v>
      </c>
      <c r="AR42" s="1894">
        <v>38.119999999999997</v>
      </c>
      <c r="AS42" s="1894">
        <v>43448</v>
      </c>
      <c r="AT42" s="1894">
        <f t="shared" si="8"/>
        <v>68388</v>
      </c>
      <c r="AU42" s="1894">
        <f t="shared" si="9"/>
        <v>0</v>
      </c>
      <c r="AV42" s="1894">
        <v>117.2</v>
      </c>
      <c r="AW42" s="1894">
        <v>171.92000000000002</v>
      </c>
      <c r="AX42" s="1894">
        <v>171.92</v>
      </c>
      <c r="AY42" s="1894">
        <v>0.91220000000000001</v>
      </c>
      <c r="AZ42" s="1894">
        <v>40.64</v>
      </c>
      <c r="BA42" s="1894">
        <v>50302</v>
      </c>
      <c r="BB42" s="1894">
        <f t="shared" si="10"/>
        <v>74269</v>
      </c>
      <c r="BC42" s="1894">
        <f t="shared" si="11"/>
        <v>0</v>
      </c>
      <c r="BD42" s="1894">
        <v>117.2</v>
      </c>
      <c r="BE42" s="1894">
        <v>175.2</v>
      </c>
      <c r="BF42" s="1894">
        <v>175.2</v>
      </c>
      <c r="BG42" s="1894">
        <v>0.89280000000000004</v>
      </c>
      <c r="BH42" s="1894">
        <v>36.409999999999997</v>
      </c>
      <c r="BI42" s="1894">
        <v>47464</v>
      </c>
      <c r="BJ42" s="1894">
        <f t="shared" si="12"/>
        <v>78209</v>
      </c>
      <c r="BK42" s="1894">
        <f t="shared" si="13"/>
        <v>0</v>
      </c>
      <c r="BL42" s="1894">
        <v>117.2</v>
      </c>
      <c r="BM42" s="1894">
        <v>129.04</v>
      </c>
      <c r="BN42" s="1894">
        <v>129.04</v>
      </c>
      <c r="BO42" s="1894">
        <v>0.88349999999999995</v>
      </c>
      <c r="BP42" s="1894">
        <v>39.81</v>
      </c>
      <c r="BQ42" s="1894">
        <v>36984</v>
      </c>
      <c r="BR42" s="1894">
        <f t="shared" si="14"/>
        <v>55745</v>
      </c>
      <c r="BS42" s="1894">
        <f t="shared" si="15"/>
        <v>0</v>
      </c>
      <c r="BT42" s="1894">
        <v>117.2</v>
      </c>
      <c r="BU42" s="1894">
        <v>122.48000000000002</v>
      </c>
      <c r="BV42" s="1894">
        <v>122.48</v>
      </c>
      <c r="BW42" s="1894">
        <v>0.88349999999999995</v>
      </c>
      <c r="BX42" s="1894">
        <v>33.119999999999997</v>
      </c>
      <c r="BY42" s="1894">
        <v>30181</v>
      </c>
      <c r="BZ42" s="1894">
        <f t="shared" si="16"/>
        <v>54675</v>
      </c>
      <c r="CA42" s="1894">
        <f t="shared" si="17"/>
        <v>0</v>
      </c>
      <c r="CB42" s="1894">
        <v>117.2</v>
      </c>
      <c r="CC42" s="1894">
        <v>84.32</v>
      </c>
      <c r="CD42" s="1894">
        <v>93.76</v>
      </c>
      <c r="CE42" s="1894">
        <v>0.89429999999999998</v>
      </c>
      <c r="CF42" s="1894">
        <v>42.88</v>
      </c>
      <c r="CG42" s="1894">
        <v>26900</v>
      </c>
      <c r="CH42" s="1894">
        <f t="shared" si="18"/>
        <v>37640</v>
      </c>
      <c r="CI42" s="1894">
        <f t="shared" si="19"/>
        <v>0</v>
      </c>
      <c r="CJ42" s="1894">
        <v>117.2</v>
      </c>
      <c r="CK42" s="1894">
        <v>164.64000000000001</v>
      </c>
      <c r="CL42" s="1894">
        <v>164.64</v>
      </c>
      <c r="CM42" s="1894">
        <v>0.90300000000000002</v>
      </c>
      <c r="CN42" s="1894">
        <v>29.75</v>
      </c>
      <c r="CO42" s="1894">
        <v>32912</v>
      </c>
      <c r="CP42" s="1894">
        <f t="shared" si="20"/>
        <v>66383</v>
      </c>
      <c r="CQ42" s="1894">
        <f t="shared" si="21"/>
        <v>0</v>
      </c>
      <c r="CR42" s="1924">
        <v>117.2</v>
      </c>
      <c r="CS42" s="1924">
        <v>169.76</v>
      </c>
      <c r="CT42" s="1924">
        <v>169.76</v>
      </c>
      <c r="CU42" s="1924">
        <v>0.91969999999999996</v>
      </c>
      <c r="CV42" s="1924">
        <v>31.78</v>
      </c>
      <c r="CW42" s="1924">
        <v>36256</v>
      </c>
      <c r="CX42" s="1894">
        <f t="shared" si="22"/>
        <v>75781</v>
      </c>
      <c r="CY42" s="1894">
        <f t="shared" si="23"/>
        <v>0</v>
      </c>
    </row>
    <row r="43" spans="1:103">
      <c r="A43" s="982">
        <v>622000000018</v>
      </c>
      <c r="B43" s="1923">
        <f t="shared" si="24"/>
        <v>37</v>
      </c>
      <c r="C43" s="1895" t="s">
        <v>2942</v>
      </c>
      <c r="D43" s="1894" t="s">
        <v>524</v>
      </c>
      <c r="E43" s="1895" t="s">
        <v>629</v>
      </c>
      <c r="F43" s="1894" t="s">
        <v>259</v>
      </c>
      <c r="G43" s="1924">
        <v>117.78</v>
      </c>
      <c r="H43" s="1894">
        <v>117.78</v>
      </c>
      <c r="I43" s="1894">
        <v>56.85</v>
      </c>
      <c r="J43" s="1894">
        <v>117.78</v>
      </c>
      <c r="K43" s="1894">
        <v>0.97270000000000001</v>
      </c>
      <c r="L43" s="1894">
        <v>0</v>
      </c>
      <c r="M43" s="1894">
        <v>19575</v>
      </c>
      <c r="N43" s="1894">
        <f t="shared" si="0"/>
        <v>24559</v>
      </c>
      <c r="O43" s="1894">
        <f t="shared" si="1"/>
        <v>0</v>
      </c>
      <c r="P43" s="1894">
        <v>117.78</v>
      </c>
      <c r="Q43" s="1894">
        <v>63.89</v>
      </c>
      <c r="R43" s="1894">
        <v>117.78</v>
      </c>
      <c r="S43" s="1894">
        <v>0.9728</v>
      </c>
      <c r="T43" s="1894">
        <v>0</v>
      </c>
      <c r="U43" s="1894">
        <v>15752</v>
      </c>
      <c r="V43" s="1894">
        <f t="shared" si="2"/>
        <v>28520</v>
      </c>
      <c r="W43" s="1894">
        <f t="shared" si="3"/>
        <v>0</v>
      </c>
      <c r="X43" s="1894">
        <v>117.78</v>
      </c>
      <c r="Y43" s="1894">
        <v>55.73</v>
      </c>
      <c r="Z43" s="1894">
        <v>117.78</v>
      </c>
      <c r="AA43" s="1894">
        <v>0.97919999999999996</v>
      </c>
      <c r="AB43" s="1894">
        <v>0</v>
      </c>
      <c r="AC43" s="1894">
        <v>17125</v>
      </c>
      <c r="AD43" s="1894">
        <f t="shared" si="4"/>
        <v>24075</v>
      </c>
      <c r="AE43" s="1894">
        <f t="shared" si="5"/>
        <v>0</v>
      </c>
      <c r="AF43" s="1894">
        <v>117.78</v>
      </c>
      <c r="AG43" s="1894">
        <v>57.17</v>
      </c>
      <c r="AH43" s="1894">
        <v>117.78</v>
      </c>
      <c r="AI43" s="1894">
        <v>0.97529999999999994</v>
      </c>
      <c r="AJ43" s="1894">
        <v>0</v>
      </c>
      <c r="AK43" s="1894">
        <v>14394</v>
      </c>
      <c r="AL43" s="1894">
        <f t="shared" si="6"/>
        <v>25521</v>
      </c>
      <c r="AM43" s="1894">
        <f t="shared" si="7"/>
        <v>0</v>
      </c>
      <c r="AN43" s="1894">
        <v>117.78</v>
      </c>
      <c r="AO43" s="1894">
        <v>49.09</v>
      </c>
      <c r="AP43" s="1894">
        <v>117.78</v>
      </c>
      <c r="AQ43" s="1894">
        <v>0.98709999999999998</v>
      </c>
      <c r="AR43" s="1894">
        <v>0</v>
      </c>
      <c r="AS43" s="1894">
        <v>13496</v>
      </c>
      <c r="AT43" s="1894">
        <f t="shared" si="8"/>
        <v>21914</v>
      </c>
      <c r="AU43" s="1894">
        <f t="shared" si="9"/>
        <v>0</v>
      </c>
      <c r="AV43" s="1894">
        <v>117.78</v>
      </c>
      <c r="AW43" s="1894">
        <v>50.93</v>
      </c>
      <c r="AX43" s="1894">
        <v>117.78</v>
      </c>
      <c r="AY43" s="1894">
        <v>0.99119999999999997</v>
      </c>
      <c r="AZ43" s="1894">
        <v>0</v>
      </c>
      <c r="BA43" s="1894">
        <v>14690</v>
      </c>
      <c r="BB43" s="1894">
        <f t="shared" si="10"/>
        <v>22002</v>
      </c>
      <c r="BC43" s="1894">
        <f t="shared" si="11"/>
        <v>0</v>
      </c>
      <c r="BD43" s="1894">
        <v>117.78</v>
      </c>
      <c r="BE43" s="1894">
        <v>54.13</v>
      </c>
      <c r="BF43" s="1894">
        <v>117.78</v>
      </c>
      <c r="BG43" s="1894">
        <v>0.98499999999999999</v>
      </c>
      <c r="BH43" s="1894">
        <v>0</v>
      </c>
      <c r="BI43" s="1894">
        <v>11973</v>
      </c>
      <c r="BJ43" s="1894">
        <f t="shared" si="12"/>
        <v>24164</v>
      </c>
      <c r="BK43" s="1894">
        <f t="shared" si="13"/>
        <v>0</v>
      </c>
      <c r="BL43" s="1894">
        <v>117.78</v>
      </c>
      <c r="BM43" s="1894">
        <v>59.97</v>
      </c>
      <c r="BN43" s="1894">
        <v>117.78</v>
      </c>
      <c r="BO43" s="1894">
        <v>0.9819</v>
      </c>
      <c r="BP43" s="1894">
        <v>0</v>
      </c>
      <c r="BQ43" s="1894">
        <v>16590</v>
      </c>
      <c r="BR43" s="1894">
        <f t="shared" si="14"/>
        <v>25907</v>
      </c>
      <c r="BS43" s="1894">
        <f t="shared" si="15"/>
        <v>0</v>
      </c>
      <c r="BT43" s="1894">
        <v>117.78</v>
      </c>
      <c r="BU43" s="1894">
        <v>74.77</v>
      </c>
      <c r="BV43" s="1894">
        <v>117.78</v>
      </c>
      <c r="BW43" s="1894">
        <v>0.98060000000000003</v>
      </c>
      <c r="BX43" s="1894">
        <v>0</v>
      </c>
      <c r="BY43" s="1894">
        <v>21370</v>
      </c>
      <c r="BZ43" s="1894">
        <f t="shared" si="16"/>
        <v>33377</v>
      </c>
      <c r="CA43" s="1894">
        <f t="shared" si="17"/>
        <v>0</v>
      </c>
      <c r="CB43" s="1894">
        <v>117.78</v>
      </c>
      <c r="CC43" s="1894">
        <v>83.09</v>
      </c>
      <c r="CD43" s="1894">
        <v>117.78</v>
      </c>
      <c r="CE43" s="1894">
        <v>0.98540000000000005</v>
      </c>
      <c r="CF43" s="1894">
        <v>0</v>
      </c>
      <c r="CG43" s="1894">
        <v>21747</v>
      </c>
      <c r="CH43" s="1894">
        <f t="shared" si="18"/>
        <v>37091</v>
      </c>
      <c r="CI43" s="1894">
        <f t="shared" si="19"/>
        <v>0</v>
      </c>
      <c r="CJ43" s="1894">
        <v>117.78</v>
      </c>
      <c r="CK43" s="1894">
        <v>70.209999999999994</v>
      </c>
      <c r="CL43" s="1894">
        <v>117.78</v>
      </c>
      <c r="CM43" s="1894">
        <v>0.97850000000000004</v>
      </c>
      <c r="CN43" s="1894">
        <v>0</v>
      </c>
      <c r="CO43" s="1894">
        <v>17954</v>
      </c>
      <c r="CP43" s="1894">
        <f t="shared" si="20"/>
        <v>28309</v>
      </c>
      <c r="CQ43" s="1894">
        <f t="shared" si="21"/>
        <v>0</v>
      </c>
      <c r="CR43" s="1924">
        <v>117.78</v>
      </c>
      <c r="CS43" s="1924">
        <v>64.930000000000007</v>
      </c>
      <c r="CT43" s="1924">
        <v>117.78</v>
      </c>
      <c r="CU43" s="1924">
        <v>0.9758</v>
      </c>
      <c r="CV43" s="1924">
        <v>0</v>
      </c>
      <c r="CW43" s="1924">
        <v>16923</v>
      </c>
      <c r="CX43" s="1894">
        <f t="shared" si="22"/>
        <v>28985</v>
      </c>
      <c r="CY43" s="1894">
        <f t="shared" si="23"/>
        <v>0</v>
      </c>
    </row>
    <row r="44" spans="1:103">
      <c r="A44" s="982">
        <v>124000000035</v>
      </c>
      <c r="B44" s="1923">
        <f t="shared" si="24"/>
        <v>38</v>
      </c>
      <c r="C44" s="1895" t="s">
        <v>2943</v>
      </c>
      <c r="D44" s="1894" t="s">
        <v>524</v>
      </c>
      <c r="E44" s="1895" t="s">
        <v>541</v>
      </c>
      <c r="F44" s="1894" t="s">
        <v>259</v>
      </c>
      <c r="G44" s="1924">
        <v>118</v>
      </c>
      <c r="H44" s="1894">
        <v>118</v>
      </c>
      <c r="I44" s="1894">
        <v>71.38</v>
      </c>
      <c r="J44" s="1894">
        <v>94.4</v>
      </c>
      <c r="K44" s="1894">
        <v>0.99590000000000001</v>
      </c>
      <c r="L44" s="1894">
        <v>11.45</v>
      </c>
      <c r="M44" s="1894">
        <v>6474</v>
      </c>
      <c r="N44" s="1894">
        <f t="shared" si="0"/>
        <v>30836</v>
      </c>
      <c r="O44" s="1894">
        <f t="shared" si="1"/>
        <v>0</v>
      </c>
      <c r="P44" s="1894">
        <v>118</v>
      </c>
      <c r="Q44" s="1894">
        <v>60.56</v>
      </c>
      <c r="R44" s="1894">
        <v>94.4</v>
      </c>
      <c r="S44" s="1894">
        <v>0.99050000000000005</v>
      </c>
      <c r="T44" s="1894">
        <v>14.08</v>
      </c>
      <c r="U44" s="1894">
        <v>6345</v>
      </c>
      <c r="V44" s="1894">
        <f t="shared" si="2"/>
        <v>27034</v>
      </c>
      <c r="W44" s="1894">
        <f t="shared" si="3"/>
        <v>0</v>
      </c>
      <c r="X44" s="1894">
        <v>118</v>
      </c>
      <c r="Y44" s="1894">
        <v>65.52</v>
      </c>
      <c r="Z44" s="1894">
        <v>94.4</v>
      </c>
      <c r="AA44" s="1894">
        <v>0.99339999999999995</v>
      </c>
      <c r="AB44" s="1894">
        <v>14.67</v>
      </c>
      <c r="AC44" s="1894">
        <v>6922</v>
      </c>
      <c r="AD44" s="1894">
        <f t="shared" si="4"/>
        <v>28305</v>
      </c>
      <c r="AE44" s="1894">
        <f t="shared" si="5"/>
        <v>0</v>
      </c>
      <c r="AF44" s="1894">
        <v>118</v>
      </c>
      <c r="AG44" s="1894">
        <v>75.039999999999992</v>
      </c>
      <c r="AH44" s="1894">
        <v>94.4</v>
      </c>
      <c r="AI44" s="1894">
        <v>0.99519999999999997</v>
      </c>
      <c r="AJ44" s="1894">
        <v>14.71</v>
      </c>
      <c r="AK44" s="1894">
        <v>8213</v>
      </c>
      <c r="AL44" s="1894">
        <f t="shared" si="6"/>
        <v>33498</v>
      </c>
      <c r="AM44" s="1894">
        <f t="shared" si="7"/>
        <v>0</v>
      </c>
      <c r="AN44" s="1894">
        <v>118</v>
      </c>
      <c r="AO44" s="1894">
        <v>78.400000000000006</v>
      </c>
      <c r="AP44" s="1894">
        <v>94.4</v>
      </c>
      <c r="AQ44" s="1894">
        <v>0.99019999999999997</v>
      </c>
      <c r="AR44" s="1894">
        <v>16.68</v>
      </c>
      <c r="AS44" s="1894">
        <v>9728</v>
      </c>
      <c r="AT44" s="1894">
        <f t="shared" si="8"/>
        <v>34998</v>
      </c>
      <c r="AU44" s="1894">
        <f t="shared" si="9"/>
        <v>0</v>
      </c>
      <c r="AV44" s="1894">
        <v>118</v>
      </c>
      <c r="AW44" s="1894">
        <v>82.240000000000009</v>
      </c>
      <c r="AX44" s="1894">
        <v>94.4</v>
      </c>
      <c r="AY44" s="1894">
        <v>0.99409999999999998</v>
      </c>
      <c r="AZ44" s="1894">
        <v>15.97</v>
      </c>
      <c r="BA44" s="1894">
        <v>9454</v>
      </c>
      <c r="BB44" s="1894">
        <f t="shared" si="10"/>
        <v>35528</v>
      </c>
      <c r="BC44" s="1894">
        <f t="shared" si="11"/>
        <v>0</v>
      </c>
      <c r="BD44" s="1894">
        <v>118</v>
      </c>
      <c r="BE44" s="1894">
        <v>83.36</v>
      </c>
      <c r="BF44" s="1894">
        <v>94.4</v>
      </c>
      <c r="BG44" s="1894">
        <v>0.98099999999999998</v>
      </c>
      <c r="BH44" s="1894">
        <v>15.91</v>
      </c>
      <c r="BI44" s="1894">
        <v>9865</v>
      </c>
      <c r="BJ44" s="1894">
        <f t="shared" si="12"/>
        <v>37212</v>
      </c>
      <c r="BK44" s="1894">
        <f t="shared" si="13"/>
        <v>0</v>
      </c>
      <c r="BL44" s="1894">
        <v>118</v>
      </c>
      <c r="BM44" s="1894">
        <v>80.08</v>
      </c>
      <c r="BN44" s="1894">
        <v>94.4</v>
      </c>
      <c r="BO44" s="1894">
        <v>0.97009999999999996</v>
      </c>
      <c r="BP44" s="1894">
        <v>18.07</v>
      </c>
      <c r="BQ44" s="1894">
        <v>10421</v>
      </c>
      <c r="BR44" s="1894">
        <f t="shared" si="14"/>
        <v>34595</v>
      </c>
      <c r="BS44" s="1894">
        <f t="shared" si="15"/>
        <v>0</v>
      </c>
      <c r="BT44" s="1894">
        <v>118</v>
      </c>
      <c r="BU44" s="1894">
        <v>109.11999999999999</v>
      </c>
      <c r="BV44" s="1894">
        <v>109.12</v>
      </c>
      <c r="BW44" s="1894">
        <v>0.73119999999999996</v>
      </c>
      <c r="BX44" s="1894">
        <v>16.420000000000002</v>
      </c>
      <c r="BY44" s="1894">
        <v>13327</v>
      </c>
      <c r="BZ44" s="1894">
        <f t="shared" si="16"/>
        <v>48711</v>
      </c>
      <c r="CA44" s="1894">
        <f t="shared" si="17"/>
        <v>0</v>
      </c>
      <c r="CB44" s="1894">
        <v>118</v>
      </c>
      <c r="CC44" s="1894">
        <v>99.839999999999989</v>
      </c>
      <c r="CD44" s="1894">
        <v>99.84</v>
      </c>
      <c r="CE44" s="1894">
        <v>0.74429999999999996</v>
      </c>
      <c r="CF44" s="1894">
        <v>16.7</v>
      </c>
      <c r="CG44" s="1894">
        <v>12404</v>
      </c>
      <c r="CH44" s="1894">
        <f t="shared" si="18"/>
        <v>44569</v>
      </c>
      <c r="CI44" s="1894">
        <f t="shared" si="19"/>
        <v>0</v>
      </c>
      <c r="CJ44" s="1894">
        <v>118</v>
      </c>
      <c r="CK44" s="1894">
        <v>92.47999999999999</v>
      </c>
      <c r="CL44" s="1894">
        <v>94.4</v>
      </c>
      <c r="CM44" s="1894">
        <v>0.85750000000000004</v>
      </c>
      <c r="CN44" s="1894">
        <v>15.57</v>
      </c>
      <c r="CO44" s="1894">
        <v>9676</v>
      </c>
      <c r="CP44" s="1894">
        <f t="shared" si="20"/>
        <v>37288</v>
      </c>
      <c r="CQ44" s="1894">
        <f t="shared" si="21"/>
        <v>0</v>
      </c>
      <c r="CR44" s="1924">
        <v>118</v>
      </c>
      <c r="CS44" s="1924">
        <v>71.52</v>
      </c>
      <c r="CT44" s="1924">
        <v>94.4</v>
      </c>
      <c r="CU44" s="1924">
        <v>0.98519999999999996</v>
      </c>
      <c r="CV44" s="1924">
        <v>14.48</v>
      </c>
      <c r="CW44" s="1924">
        <v>7705</v>
      </c>
      <c r="CX44" s="1894">
        <f t="shared" si="22"/>
        <v>31927</v>
      </c>
      <c r="CY44" s="1894">
        <f t="shared" si="23"/>
        <v>0</v>
      </c>
    </row>
    <row r="45" spans="1:103">
      <c r="A45" s="982">
        <v>126000000002</v>
      </c>
      <c r="B45" s="1923">
        <f t="shared" si="24"/>
        <v>39</v>
      </c>
      <c r="C45" s="1895" t="s">
        <v>2944</v>
      </c>
      <c r="D45" s="1894" t="s">
        <v>524</v>
      </c>
      <c r="E45" s="1895" t="s">
        <v>636</v>
      </c>
      <c r="F45" s="1894" t="s">
        <v>259</v>
      </c>
      <c r="G45" s="1924">
        <v>118</v>
      </c>
      <c r="H45" s="1894">
        <v>118</v>
      </c>
      <c r="I45" s="1894">
        <v>10.19</v>
      </c>
      <c r="J45" s="1894">
        <v>94.4</v>
      </c>
      <c r="K45" s="1894">
        <v>0.99590000000000001</v>
      </c>
      <c r="L45" s="1894">
        <v>47.76</v>
      </c>
      <c r="M45" s="1894">
        <v>3504</v>
      </c>
      <c r="N45" s="1894">
        <f t="shared" si="0"/>
        <v>4402</v>
      </c>
      <c r="O45" s="1894">
        <f t="shared" si="1"/>
        <v>0</v>
      </c>
      <c r="P45" s="1894">
        <v>118</v>
      </c>
      <c r="Q45" s="1894">
        <v>11.15</v>
      </c>
      <c r="R45" s="1894">
        <v>94.4</v>
      </c>
      <c r="S45" s="1894">
        <v>0.99460000000000004</v>
      </c>
      <c r="T45" s="1894">
        <v>42.91</v>
      </c>
      <c r="U45" s="1894">
        <v>3560</v>
      </c>
      <c r="V45" s="1894">
        <f t="shared" si="2"/>
        <v>4977</v>
      </c>
      <c r="W45" s="1894">
        <f t="shared" si="3"/>
        <v>0</v>
      </c>
      <c r="X45" s="1894">
        <v>118</v>
      </c>
      <c r="Y45" s="1894">
        <v>11.31</v>
      </c>
      <c r="Z45" s="1894">
        <v>94.4</v>
      </c>
      <c r="AA45" s="1894">
        <v>0.99860000000000004</v>
      </c>
      <c r="AB45" s="1894">
        <v>41.95</v>
      </c>
      <c r="AC45" s="1894">
        <v>3416</v>
      </c>
      <c r="AD45" s="1894">
        <f t="shared" si="4"/>
        <v>4886</v>
      </c>
      <c r="AE45" s="1894">
        <f t="shared" si="5"/>
        <v>0</v>
      </c>
      <c r="AF45" s="1894">
        <v>118</v>
      </c>
      <c r="AG45" s="1894">
        <v>9.5500000000000007</v>
      </c>
      <c r="AH45" s="1894">
        <v>94.4</v>
      </c>
      <c r="AI45" s="1894">
        <v>0.99719999999999998</v>
      </c>
      <c r="AJ45" s="1894">
        <v>3.98</v>
      </c>
      <c r="AK45" s="1894">
        <v>3492</v>
      </c>
      <c r="AL45" s="1894">
        <f t="shared" si="6"/>
        <v>4263</v>
      </c>
      <c r="AM45" s="1894">
        <f t="shared" si="7"/>
        <v>0</v>
      </c>
      <c r="AN45" s="1894">
        <v>118</v>
      </c>
      <c r="AO45" s="1894">
        <v>10.030000000000001</v>
      </c>
      <c r="AP45" s="1894">
        <v>94.4</v>
      </c>
      <c r="AQ45" s="1894">
        <v>0.99860000000000004</v>
      </c>
      <c r="AR45" s="1894">
        <v>4</v>
      </c>
      <c r="AS45" s="1894">
        <v>3508</v>
      </c>
      <c r="AT45" s="1894">
        <f t="shared" si="8"/>
        <v>4477</v>
      </c>
      <c r="AU45" s="1894">
        <f t="shared" si="9"/>
        <v>0</v>
      </c>
      <c r="AV45" s="1894">
        <v>118</v>
      </c>
      <c r="AW45" s="1894">
        <v>12.75</v>
      </c>
      <c r="AX45" s="1894">
        <v>94.4</v>
      </c>
      <c r="AY45" s="1894">
        <v>0.99729999999999996</v>
      </c>
      <c r="AZ45" s="1894">
        <v>38.43</v>
      </c>
      <c r="BA45" s="1894">
        <v>3528</v>
      </c>
      <c r="BB45" s="1894">
        <f t="shared" si="10"/>
        <v>5508</v>
      </c>
      <c r="BC45" s="1894">
        <f t="shared" si="11"/>
        <v>0</v>
      </c>
      <c r="BD45" s="1894">
        <v>118</v>
      </c>
      <c r="BE45" s="1894">
        <v>10.51</v>
      </c>
      <c r="BF45" s="1894">
        <v>94.4</v>
      </c>
      <c r="BG45" s="1894">
        <v>0.99709999999999999</v>
      </c>
      <c r="BH45" s="1894">
        <v>42.51</v>
      </c>
      <c r="BI45" s="1894">
        <v>3324</v>
      </c>
      <c r="BJ45" s="1894">
        <f t="shared" si="12"/>
        <v>4692</v>
      </c>
      <c r="BK45" s="1894">
        <f t="shared" si="13"/>
        <v>0</v>
      </c>
      <c r="BL45" s="1894">
        <v>118</v>
      </c>
      <c r="BM45" s="1894">
        <v>10.35</v>
      </c>
      <c r="BN45" s="1894">
        <v>94.4</v>
      </c>
      <c r="BO45" s="1894">
        <v>0.99680000000000002</v>
      </c>
      <c r="BP45" s="1894">
        <v>41.06</v>
      </c>
      <c r="BQ45" s="1894">
        <v>3060</v>
      </c>
      <c r="BR45" s="1894">
        <f t="shared" si="14"/>
        <v>4471</v>
      </c>
      <c r="BS45" s="1894">
        <f t="shared" si="15"/>
        <v>0</v>
      </c>
      <c r="BT45" s="1894">
        <v>118</v>
      </c>
      <c r="BU45" s="1894">
        <v>9.870000000000001</v>
      </c>
      <c r="BV45" s="1894">
        <v>94.4</v>
      </c>
      <c r="BW45" s="1894">
        <v>0.99670000000000003</v>
      </c>
      <c r="BX45" s="1894">
        <v>40.64</v>
      </c>
      <c r="BY45" s="1894">
        <v>2984</v>
      </c>
      <c r="BZ45" s="1894">
        <f t="shared" si="16"/>
        <v>4406</v>
      </c>
      <c r="CA45" s="1894">
        <f t="shared" si="17"/>
        <v>0</v>
      </c>
      <c r="CB45" s="1894">
        <v>118</v>
      </c>
      <c r="CC45" s="1894">
        <v>9.870000000000001</v>
      </c>
      <c r="CD45" s="1894">
        <v>94.4</v>
      </c>
      <c r="CE45" s="1894">
        <v>0.99829999999999997</v>
      </c>
      <c r="CF45" s="1894">
        <v>40.96</v>
      </c>
      <c r="CG45" s="1894">
        <v>3008</v>
      </c>
      <c r="CH45" s="1894">
        <f t="shared" si="18"/>
        <v>4406</v>
      </c>
      <c r="CI45" s="1894">
        <f t="shared" si="19"/>
        <v>0</v>
      </c>
      <c r="CJ45" s="1894">
        <v>118</v>
      </c>
      <c r="CK45" s="1894">
        <v>9.870000000000001</v>
      </c>
      <c r="CL45" s="1894">
        <v>94.4</v>
      </c>
      <c r="CM45" s="1894">
        <v>0.99470000000000003</v>
      </c>
      <c r="CN45" s="1894">
        <v>42.94</v>
      </c>
      <c r="CO45" s="1894">
        <v>2848</v>
      </c>
      <c r="CP45" s="1894">
        <f t="shared" si="20"/>
        <v>3980</v>
      </c>
      <c r="CQ45" s="1894">
        <f t="shared" si="21"/>
        <v>0</v>
      </c>
      <c r="CR45" s="1924">
        <v>118</v>
      </c>
      <c r="CS45" s="1924">
        <v>10.030000000000001</v>
      </c>
      <c r="CT45" s="1924">
        <v>94.4</v>
      </c>
      <c r="CU45" s="1924">
        <v>0.99839999999999995</v>
      </c>
      <c r="CV45" s="1924">
        <v>42.35</v>
      </c>
      <c r="CW45" s="1924">
        <v>3160</v>
      </c>
      <c r="CX45" s="1894">
        <f t="shared" si="22"/>
        <v>4477</v>
      </c>
      <c r="CY45" s="1894">
        <f t="shared" si="23"/>
        <v>0</v>
      </c>
    </row>
    <row r="46" spans="1:103">
      <c r="A46" s="982">
        <v>621000000054</v>
      </c>
      <c r="B46" s="1923">
        <f t="shared" si="24"/>
        <v>40</v>
      </c>
      <c r="C46" s="1895" t="s">
        <v>2922</v>
      </c>
      <c r="D46" s="1894" t="s">
        <v>524</v>
      </c>
      <c r="E46" s="1895" t="s">
        <v>636</v>
      </c>
      <c r="F46" s="1894" t="s">
        <v>259</v>
      </c>
      <c r="G46" s="1924">
        <v>118</v>
      </c>
      <c r="H46" s="1894">
        <v>118</v>
      </c>
      <c r="I46" s="1894">
        <v>62.88</v>
      </c>
      <c r="J46" s="1894">
        <v>94.4</v>
      </c>
      <c r="K46" s="1894">
        <v>0.95620000000000005</v>
      </c>
      <c r="L46" s="1894">
        <v>73.81</v>
      </c>
      <c r="M46" s="1894">
        <v>33415</v>
      </c>
      <c r="N46" s="1894">
        <f t="shared" si="0"/>
        <v>27164</v>
      </c>
      <c r="O46" s="1894">
        <f t="shared" si="1"/>
        <v>6251</v>
      </c>
      <c r="P46" s="1894">
        <v>118</v>
      </c>
      <c r="Q46" s="1894">
        <v>62.32</v>
      </c>
      <c r="R46" s="1894">
        <v>94.4</v>
      </c>
      <c r="S46" s="1894">
        <v>0.95620000000000005</v>
      </c>
      <c r="T46" s="1894">
        <v>69.64</v>
      </c>
      <c r="U46" s="1894">
        <v>32290</v>
      </c>
      <c r="V46" s="1894">
        <f t="shared" si="2"/>
        <v>27820</v>
      </c>
      <c r="W46" s="1894">
        <f t="shared" si="3"/>
        <v>4470</v>
      </c>
      <c r="X46" s="1894">
        <v>118</v>
      </c>
      <c r="Y46" s="1894">
        <v>63.360000000000007</v>
      </c>
      <c r="Z46" s="1894">
        <v>94.4</v>
      </c>
      <c r="AA46" s="1894">
        <v>0.95840000000000003</v>
      </c>
      <c r="AB46" s="1894">
        <v>64.819999999999993</v>
      </c>
      <c r="AC46" s="1894">
        <v>29571</v>
      </c>
      <c r="AD46" s="1894">
        <f t="shared" si="4"/>
        <v>27372</v>
      </c>
      <c r="AE46" s="1894">
        <f t="shared" si="5"/>
        <v>2199</v>
      </c>
      <c r="AF46" s="1894">
        <v>118</v>
      </c>
      <c r="AG46" s="1894">
        <v>52.88</v>
      </c>
      <c r="AH46" s="1894">
        <v>94.4</v>
      </c>
      <c r="AI46" s="1894">
        <v>0.95940000000000003</v>
      </c>
      <c r="AJ46" s="1894">
        <v>70.510000000000005</v>
      </c>
      <c r="AK46" s="1894">
        <v>27739</v>
      </c>
      <c r="AL46" s="1894">
        <f t="shared" si="6"/>
        <v>23606</v>
      </c>
      <c r="AM46" s="1894">
        <f t="shared" si="7"/>
        <v>4133</v>
      </c>
      <c r="AN46" s="1894">
        <v>118</v>
      </c>
      <c r="AO46" s="1894">
        <v>54.08</v>
      </c>
      <c r="AP46" s="1894">
        <v>94.4</v>
      </c>
      <c r="AQ46" s="1894">
        <v>0.95960000000000001</v>
      </c>
      <c r="AR46" s="1894">
        <v>69.72</v>
      </c>
      <c r="AS46" s="1894">
        <v>28054</v>
      </c>
      <c r="AT46" s="1894">
        <f t="shared" si="8"/>
        <v>24141</v>
      </c>
      <c r="AU46" s="1894">
        <f t="shared" si="9"/>
        <v>3913</v>
      </c>
      <c r="AV46" s="1894">
        <v>118</v>
      </c>
      <c r="AW46" s="1894">
        <v>52.959999999999994</v>
      </c>
      <c r="AX46" s="1894">
        <v>94.4</v>
      </c>
      <c r="AY46" s="1894">
        <v>0.9597</v>
      </c>
      <c r="AZ46" s="1894">
        <v>69.63</v>
      </c>
      <c r="BA46" s="1894">
        <v>26551</v>
      </c>
      <c r="BB46" s="1894">
        <f t="shared" si="10"/>
        <v>22879</v>
      </c>
      <c r="BC46" s="1894">
        <f t="shared" si="11"/>
        <v>3672</v>
      </c>
      <c r="BD46" s="1894">
        <v>118</v>
      </c>
      <c r="BE46" s="1894">
        <v>48.64</v>
      </c>
      <c r="BF46" s="1894">
        <v>94.4</v>
      </c>
      <c r="BG46" s="1894">
        <v>0.95850000000000002</v>
      </c>
      <c r="BH46" s="1894">
        <v>73.540000000000006</v>
      </c>
      <c r="BI46" s="1894">
        <v>26613</v>
      </c>
      <c r="BJ46" s="1894">
        <f t="shared" si="12"/>
        <v>21713</v>
      </c>
      <c r="BK46" s="1894">
        <f t="shared" si="13"/>
        <v>4900</v>
      </c>
      <c r="BL46" s="1894">
        <v>118</v>
      </c>
      <c r="BM46" s="1894">
        <v>49.36</v>
      </c>
      <c r="BN46" s="1894">
        <v>94.4</v>
      </c>
      <c r="BO46" s="1894">
        <v>0.9587</v>
      </c>
      <c r="BP46" s="1894">
        <v>68.62</v>
      </c>
      <c r="BQ46" s="1894">
        <v>24388</v>
      </c>
      <c r="BR46" s="1894">
        <f t="shared" si="14"/>
        <v>21324</v>
      </c>
      <c r="BS46" s="1894">
        <f t="shared" si="15"/>
        <v>3064</v>
      </c>
      <c r="BT46" s="1894">
        <v>118</v>
      </c>
      <c r="BU46" s="1894">
        <v>53.280000000000008</v>
      </c>
      <c r="BV46" s="1894">
        <v>94.4</v>
      </c>
      <c r="BW46" s="1894">
        <v>0.95720000000000005</v>
      </c>
      <c r="BX46" s="1894">
        <v>68.849999999999994</v>
      </c>
      <c r="BY46" s="1894">
        <v>27292</v>
      </c>
      <c r="BZ46" s="1894">
        <f t="shared" si="16"/>
        <v>23784</v>
      </c>
      <c r="CA46" s="1894">
        <f t="shared" si="17"/>
        <v>3508</v>
      </c>
      <c r="CB46" s="1894">
        <v>118</v>
      </c>
      <c r="CC46" s="1894">
        <v>53.04</v>
      </c>
      <c r="CD46" s="1894">
        <v>94.4</v>
      </c>
      <c r="CE46" s="1894">
        <v>0.9556</v>
      </c>
      <c r="CF46" s="1894">
        <v>71.39</v>
      </c>
      <c r="CG46" s="1894">
        <v>28173</v>
      </c>
      <c r="CH46" s="1894">
        <f t="shared" si="18"/>
        <v>23677</v>
      </c>
      <c r="CI46" s="1894">
        <f t="shared" si="19"/>
        <v>4496</v>
      </c>
      <c r="CJ46" s="1894">
        <v>118</v>
      </c>
      <c r="CK46" s="1894">
        <v>53.36</v>
      </c>
      <c r="CL46" s="1894">
        <v>94.4</v>
      </c>
      <c r="CM46" s="1894">
        <v>0.95699999999999996</v>
      </c>
      <c r="CN46" s="1894">
        <v>73.64</v>
      </c>
      <c r="CO46" s="1894">
        <v>26405</v>
      </c>
      <c r="CP46" s="1894">
        <f t="shared" si="20"/>
        <v>21515</v>
      </c>
      <c r="CQ46" s="1894">
        <f t="shared" si="21"/>
        <v>4890</v>
      </c>
      <c r="CR46" s="1924">
        <v>118</v>
      </c>
      <c r="CS46" s="1924">
        <v>54.72</v>
      </c>
      <c r="CT46" s="1924">
        <v>94.4</v>
      </c>
      <c r="CU46" s="1924">
        <v>0.95920000000000005</v>
      </c>
      <c r="CV46" s="1924">
        <v>68.95</v>
      </c>
      <c r="CW46" s="1924">
        <v>28069</v>
      </c>
      <c r="CX46" s="1894">
        <f t="shared" si="22"/>
        <v>24427</v>
      </c>
      <c r="CY46" s="1894">
        <f t="shared" si="23"/>
        <v>3642</v>
      </c>
    </row>
    <row r="47" spans="1:103">
      <c r="A47" s="982">
        <v>121000000029</v>
      </c>
      <c r="B47" s="1923">
        <f t="shared" si="24"/>
        <v>41</v>
      </c>
      <c r="C47" s="1895" t="s">
        <v>2945</v>
      </c>
      <c r="D47" s="1894" t="s">
        <v>524</v>
      </c>
      <c r="E47" s="1895" t="s">
        <v>541</v>
      </c>
      <c r="F47" s="1894" t="s">
        <v>259</v>
      </c>
      <c r="G47" s="1924">
        <v>119</v>
      </c>
      <c r="H47" s="1894">
        <v>119</v>
      </c>
      <c r="I47" s="1894">
        <v>176.4</v>
      </c>
      <c r="J47" s="1894">
        <v>176.4</v>
      </c>
      <c r="K47" s="1894">
        <v>0.99309999999999998</v>
      </c>
      <c r="L47" s="1894">
        <v>49.11</v>
      </c>
      <c r="M47" s="1894">
        <v>62376</v>
      </c>
      <c r="N47" s="1894">
        <f t="shared" si="0"/>
        <v>76205</v>
      </c>
      <c r="O47" s="1894">
        <f t="shared" si="1"/>
        <v>0</v>
      </c>
      <c r="P47" s="1894">
        <v>119</v>
      </c>
      <c r="Q47" s="1894">
        <v>161.20000000000002</v>
      </c>
      <c r="R47" s="1894">
        <v>161.19999999999999</v>
      </c>
      <c r="S47" s="1894">
        <v>0.99309999999999998</v>
      </c>
      <c r="T47" s="1894">
        <v>52.74</v>
      </c>
      <c r="U47" s="1894">
        <v>63247</v>
      </c>
      <c r="V47" s="1894">
        <f t="shared" si="2"/>
        <v>71960</v>
      </c>
      <c r="W47" s="1894">
        <f t="shared" si="3"/>
        <v>0</v>
      </c>
      <c r="X47" s="1894">
        <v>119</v>
      </c>
      <c r="Y47" s="1894">
        <v>179.6</v>
      </c>
      <c r="Z47" s="1894">
        <v>179.6</v>
      </c>
      <c r="AA47" s="1894">
        <v>0.98529999999999995</v>
      </c>
      <c r="AB47" s="1894">
        <v>51.67</v>
      </c>
      <c r="AC47" s="1894">
        <v>66816</v>
      </c>
      <c r="AD47" s="1894">
        <f t="shared" si="4"/>
        <v>77587</v>
      </c>
      <c r="AE47" s="1894">
        <f t="shared" si="5"/>
        <v>0</v>
      </c>
      <c r="AF47" s="1894">
        <v>119</v>
      </c>
      <c r="AG47" s="1894">
        <v>187.20000000000002</v>
      </c>
      <c r="AH47" s="1894">
        <v>187.2</v>
      </c>
      <c r="AI47" s="1894">
        <v>0.9738</v>
      </c>
      <c r="AJ47" s="1894">
        <v>56.33</v>
      </c>
      <c r="AK47" s="1894">
        <v>78452</v>
      </c>
      <c r="AL47" s="1894">
        <f t="shared" si="6"/>
        <v>83566</v>
      </c>
      <c r="AM47" s="1894">
        <f t="shared" si="7"/>
        <v>0</v>
      </c>
      <c r="AN47" s="1894">
        <v>119</v>
      </c>
      <c r="AO47" s="1894">
        <v>178.24</v>
      </c>
      <c r="AP47" s="1894">
        <v>178.24</v>
      </c>
      <c r="AQ47" s="1894">
        <v>0.97740000000000005</v>
      </c>
      <c r="AR47" s="1894">
        <v>57.74</v>
      </c>
      <c r="AS47" s="1894">
        <v>76566</v>
      </c>
      <c r="AT47" s="1894">
        <f t="shared" si="8"/>
        <v>79566</v>
      </c>
      <c r="AU47" s="1894">
        <f t="shared" si="9"/>
        <v>0</v>
      </c>
      <c r="AV47" s="1894">
        <v>119</v>
      </c>
      <c r="AW47" s="1894">
        <v>171.76</v>
      </c>
      <c r="AX47" s="1894">
        <v>171.76</v>
      </c>
      <c r="AY47" s="1894">
        <v>0.98729999999999996</v>
      </c>
      <c r="AZ47" s="1894">
        <v>52.98</v>
      </c>
      <c r="BA47" s="1894">
        <v>65523</v>
      </c>
      <c r="BB47" s="1894">
        <f t="shared" si="10"/>
        <v>74200</v>
      </c>
      <c r="BC47" s="1894">
        <f t="shared" si="11"/>
        <v>0</v>
      </c>
      <c r="BD47" s="1894">
        <v>119</v>
      </c>
      <c r="BE47" s="1894">
        <v>157.44</v>
      </c>
      <c r="BF47" s="1894">
        <v>157.44</v>
      </c>
      <c r="BG47" s="1894">
        <v>0.98980000000000001</v>
      </c>
      <c r="BH47" s="1894">
        <v>22.19</v>
      </c>
      <c r="BI47" s="1894">
        <v>25993</v>
      </c>
      <c r="BJ47" s="1894">
        <f t="shared" si="12"/>
        <v>70281</v>
      </c>
      <c r="BK47" s="1894">
        <f t="shared" si="13"/>
        <v>0</v>
      </c>
      <c r="BL47" s="1894">
        <v>119</v>
      </c>
      <c r="BM47" s="1894">
        <v>17.28</v>
      </c>
      <c r="BN47" s="1894">
        <v>95.2</v>
      </c>
      <c r="BO47" s="1894">
        <v>0.93079999999999996</v>
      </c>
      <c r="BP47" s="1894">
        <v>19.190000000000001</v>
      </c>
      <c r="BQ47" s="1894">
        <v>2387</v>
      </c>
      <c r="BR47" s="1894">
        <f t="shared" si="14"/>
        <v>7465</v>
      </c>
      <c r="BS47" s="1894">
        <f t="shared" si="15"/>
        <v>0</v>
      </c>
      <c r="BT47" s="1894">
        <v>119</v>
      </c>
      <c r="BU47" s="1894">
        <v>67.28</v>
      </c>
      <c r="BV47" s="1894">
        <v>95.2</v>
      </c>
      <c r="BW47" s="1894">
        <v>0.79769999999999996</v>
      </c>
      <c r="BX47" s="1894">
        <v>5.23</v>
      </c>
      <c r="BY47" s="1894">
        <v>2616</v>
      </c>
      <c r="BZ47" s="1894">
        <f t="shared" si="16"/>
        <v>30034</v>
      </c>
      <c r="CA47" s="1894">
        <f t="shared" si="17"/>
        <v>0</v>
      </c>
      <c r="CB47" s="1894">
        <v>119</v>
      </c>
      <c r="CC47" s="1894">
        <v>166.72</v>
      </c>
      <c r="CD47" s="1894">
        <v>166.72</v>
      </c>
      <c r="CE47" s="1894">
        <v>0.99790000000000001</v>
      </c>
      <c r="CF47" s="1894">
        <v>49.06</v>
      </c>
      <c r="CG47" s="1894">
        <v>60853</v>
      </c>
      <c r="CH47" s="1894">
        <f t="shared" si="18"/>
        <v>74424</v>
      </c>
      <c r="CI47" s="1894">
        <f t="shared" si="19"/>
        <v>0</v>
      </c>
      <c r="CJ47" s="1894">
        <v>119</v>
      </c>
      <c r="CK47" s="1894">
        <v>159.04</v>
      </c>
      <c r="CL47" s="1894">
        <v>159.04</v>
      </c>
      <c r="CM47" s="1894">
        <v>0.99390000000000001</v>
      </c>
      <c r="CN47" s="1894">
        <v>28.32</v>
      </c>
      <c r="CO47" s="1894">
        <v>30272</v>
      </c>
      <c r="CP47" s="1894">
        <f t="shared" si="20"/>
        <v>64125</v>
      </c>
      <c r="CQ47" s="1894">
        <f t="shared" si="21"/>
        <v>0</v>
      </c>
      <c r="CR47" s="1924">
        <v>119</v>
      </c>
      <c r="CS47" s="1924">
        <v>166.48000000000002</v>
      </c>
      <c r="CT47" s="1924">
        <v>166.48</v>
      </c>
      <c r="CU47" s="1924">
        <v>0.99209999999999998</v>
      </c>
      <c r="CV47" s="1924">
        <v>47.78</v>
      </c>
      <c r="CW47" s="1924">
        <v>59182</v>
      </c>
      <c r="CX47" s="1894">
        <f t="shared" si="22"/>
        <v>74317</v>
      </c>
      <c r="CY47" s="1894">
        <f t="shared" si="23"/>
        <v>0</v>
      </c>
    </row>
    <row r="48" spans="1:103">
      <c r="A48" s="982">
        <v>124000000041</v>
      </c>
      <c r="B48" s="1923">
        <f t="shared" si="24"/>
        <v>42</v>
      </c>
      <c r="C48" s="1895" t="s">
        <v>2946</v>
      </c>
      <c r="D48" s="1894" t="s">
        <v>2930</v>
      </c>
      <c r="E48" s="1895" t="s">
        <v>541</v>
      </c>
      <c r="F48" s="1894" t="s">
        <v>259</v>
      </c>
      <c r="G48" s="1924">
        <v>119</v>
      </c>
      <c r="H48" s="1894">
        <v>119</v>
      </c>
      <c r="I48" s="1894">
        <v>0</v>
      </c>
      <c r="J48" s="1894">
        <v>95.2</v>
      </c>
      <c r="K48" s="1894">
        <v>0</v>
      </c>
      <c r="L48" s="1894">
        <v>0</v>
      </c>
      <c r="M48" s="1894">
        <v>0</v>
      </c>
      <c r="N48" s="1894">
        <f t="shared" si="0"/>
        <v>0</v>
      </c>
      <c r="O48" s="1894">
        <f t="shared" si="1"/>
        <v>0</v>
      </c>
      <c r="P48" s="1894">
        <v>119</v>
      </c>
      <c r="Q48" s="1894">
        <v>0</v>
      </c>
      <c r="R48" s="1894">
        <v>95.2</v>
      </c>
      <c r="S48" s="1894">
        <v>0</v>
      </c>
      <c r="T48" s="1894">
        <v>0</v>
      </c>
      <c r="U48" s="1894">
        <v>0</v>
      </c>
      <c r="V48" s="1894">
        <f t="shared" si="2"/>
        <v>0</v>
      </c>
      <c r="W48" s="1894">
        <f t="shared" si="3"/>
        <v>0</v>
      </c>
      <c r="X48" s="1894">
        <v>119</v>
      </c>
      <c r="Y48" s="1894">
        <v>0</v>
      </c>
      <c r="Z48" s="1894">
        <v>95.2</v>
      </c>
      <c r="AA48" s="1894">
        <v>0</v>
      </c>
      <c r="AB48" s="1894">
        <v>0</v>
      </c>
      <c r="AC48" s="1894">
        <v>0</v>
      </c>
      <c r="AD48" s="1894">
        <f t="shared" si="4"/>
        <v>0</v>
      </c>
      <c r="AE48" s="1894">
        <f t="shared" si="5"/>
        <v>0</v>
      </c>
      <c r="AF48" s="1894">
        <v>119</v>
      </c>
      <c r="AG48" s="1894">
        <v>0</v>
      </c>
      <c r="AH48" s="1894">
        <v>95.2</v>
      </c>
      <c r="AI48" s="1894">
        <v>0</v>
      </c>
      <c r="AJ48" s="1894">
        <v>0</v>
      </c>
      <c r="AK48" s="1894">
        <v>0</v>
      </c>
      <c r="AL48" s="1894">
        <f t="shared" si="6"/>
        <v>0</v>
      </c>
      <c r="AM48" s="1894">
        <f t="shared" si="7"/>
        <v>0</v>
      </c>
      <c r="AN48" s="1894">
        <v>119</v>
      </c>
      <c r="AO48" s="1894">
        <v>0</v>
      </c>
      <c r="AP48" s="1894">
        <v>95.2</v>
      </c>
      <c r="AQ48" s="1894">
        <v>0</v>
      </c>
      <c r="AR48" s="1894">
        <v>0</v>
      </c>
      <c r="AS48" s="1894">
        <v>0</v>
      </c>
      <c r="AT48" s="1894">
        <f t="shared" si="8"/>
        <v>0</v>
      </c>
      <c r="AU48" s="1894">
        <f t="shared" si="9"/>
        <v>0</v>
      </c>
      <c r="AV48" s="1894">
        <v>119</v>
      </c>
      <c r="AW48" s="1894">
        <v>0</v>
      </c>
      <c r="AX48" s="1894">
        <v>95.2</v>
      </c>
      <c r="AY48" s="1894">
        <v>0</v>
      </c>
      <c r="AZ48" s="1894">
        <v>0</v>
      </c>
      <c r="BA48" s="1894">
        <v>0</v>
      </c>
      <c r="BB48" s="1894">
        <f t="shared" si="10"/>
        <v>0</v>
      </c>
      <c r="BC48" s="1894">
        <f t="shared" si="11"/>
        <v>0</v>
      </c>
      <c r="BD48" s="1894">
        <v>119</v>
      </c>
      <c r="BE48" s="1894">
        <v>0</v>
      </c>
      <c r="BF48" s="1894">
        <v>95.2</v>
      </c>
      <c r="BG48" s="1894">
        <v>0</v>
      </c>
      <c r="BH48" s="1894">
        <v>0</v>
      </c>
      <c r="BI48" s="1894">
        <v>0</v>
      </c>
      <c r="BJ48" s="1894">
        <f t="shared" si="12"/>
        <v>0</v>
      </c>
      <c r="BK48" s="1894">
        <f t="shared" si="13"/>
        <v>0</v>
      </c>
      <c r="BL48" s="1894">
        <v>119</v>
      </c>
      <c r="BM48" s="1894">
        <v>0</v>
      </c>
      <c r="BN48" s="1894">
        <v>95.2</v>
      </c>
      <c r="BO48" s="1894">
        <v>0</v>
      </c>
      <c r="BP48" s="1894">
        <v>0</v>
      </c>
      <c r="BQ48" s="1894">
        <v>0</v>
      </c>
      <c r="BR48" s="1894">
        <f t="shared" si="14"/>
        <v>0</v>
      </c>
      <c r="BS48" s="1894">
        <f t="shared" si="15"/>
        <v>0</v>
      </c>
      <c r="BT48" s="1894">
        <v>119</v>
      </c>
      <c r="BU48" s="1894">
        <v>0</v>
      </c>
      <c r="BV48" s="1894">
        <v>95.2</v>
      </c>
      <c r="BW48" s="1894">
        <v>0</v>
      </c>
      <c r="BX48" s="1894">
        <v>0</v>
      </c>
      <c r="BY48" s="1894">
        <v>0</v>
      </c>
      <c r="BZ48" s="1894">
        <f t="shared" si="16"/>
        <v>0</v>
      </c>
      <c r="CA48" s="1894">
        <f t="shared" si="17"/>
        <v>0</v>
      </c>
      <c r="CB48" s="1894">
        <v>119</v>
      </c>
      <c r="CC48" s="1894">
        <v>0</v>
      </c>
      <c r="CD48" s="1894">
        <v>95.2</v>
      </c>
      <c r="CE48" s="1894">
        <v>0</v>
      </c>
      <c r="CF48" s="1894">
        <v>0</v>
      </c>
      <c r="CG48" s="1894">
        <v>0</v>
      </c>
      <c r="CH48" s="1894">
        <f t="shared" si="18"/>
        <v>0</v>
      </c>
      <c r="CI48" s="1894">
        <f t="shared" si="19"/>
        <v>0</v>
      </c>
      <c r="CJ48" s="1894">
        <v>119</v>
      </c>
      <c r="CK48" s="1894">
        <v>0</v>
      </c>
      <c r="CL48" s="1894">
        <v>95.2</v>
      </c>
      <c r="CM48" s="1894">
        <v>0</v>
      </c>
      <c r="CN48" s="1894">
        <v>0</v>
      </c>
      <c r="CO48" s="1894">
        <v>0</v>
      </c>
      <c r="CP48" s="1894">
        <f t="shared" si="20"/>
        <v>0</v>
      </c>
      <c r="CQ48" s="1894">
        <f t="shared" si="21"/>
        <v>0</v>
      </c>
      <c r="CR48" s="1924">
        <v>119</v>
      </c>
      <c r="CS48" s="1924">
        <v>0</v>
      </c>
      <c r="CT48" s="1924">
        <v>95.2</v>
      </c>
      <c r="CU48" s="1924">
        <v>0</v>
      </c>
      <c r="CV48" s="1924">
        <v>0</v>
      </c>
      <c r="CW48" s="1924">
        <v>0</v>
      </c>
      <c r="CX48" s="1894">
        <f t="shared" si="22"/>
        <v>0</v>
      </c>
      <c r="CY48" s="1894">
        <f t="shared" si="23"/>
        <v>0</v>
      </c>
    </row>
    <row r="49" spans="1:103">
      <c r="A49" s="982">
        <v>611000000090</v>
      </c>
      <c r="B49" s="1923">
        <f t="shared" si="24"/>
        <v>43</v>
      </c>
      <c r="C49" s="1895" t="s">
        <v>2947</v>
      </c>
      <c r="D49" s="1894" t="s">
        <v>524</v>
      </c>
      <c r="E49" s="1895" t="s">
        <v>730</v>
      </c>
      <c r="F49" s="1894" t="s">
        <v>259</v>
      </c>
      <c r="G49" s="1924">
        <v>119</v>
      </c>
      <c r="H49" s="1894">
        <v>119</v>
      </c>
      <c r="I49" s="1894">
        <v>109.11999999999999</v>
      </c>
      <c r="J49" s="1894">
        <v>109.12</v>
      </c>
      <c r="K49" s="1894">
        <v>0.81630000000000003</v>
      </c>
      <c r="L49" s="1894">
        <v>64.73</v>
      </c>
      <c r="M49" s="1894">
        <v>50854</v>
      </c>
      <c r="N49" s="1894">
        <f t="shared" si="0"/>
        <v>47140</v>
      </c>
      <c r="O49" s="1894">
        <f t="shared" si="1"/>
        <v>3714</v>
      </c>
      <c r="P49" s="1894">
        <v>119</v>
      </c>
      <c r="Q49" s="1894">
        <v>111.84</v>
      </c>
      <c r="R49" s="1894">
        <v>111.84</v>
      </c>
      <c r="S49" s="1894">
        <v>0.83940000000000003</v>
      </c>
      <c r="T49" s="1894">
        <v>67.36</v>
      </c>
      <c r="U49" s="1894">
        <v>56052</v>
      </c>
      <c r="V49" s="1894">
        <f t="shared" si="2"/>
        <v>49925</v>
      </c>
      <c r="W49" s="1894">
        <f t="shared" si="3"/>
        <v>6127</v>
      </c>
      <c r="X49" s="1894">
        <v>119</v>
      </c>
      <c r="Y49" s="1894">
        <v>111.35999999999999</v>
      </c>
      <c r="Z49" s="1894">
        <v>111.36</v>
      </c>
      <c r="AA49" s="1894">
        <v>0.82079999999999997</v>
      </c>
      <c r="AB49" s="1894">
        <v>59.52</v>
      </c>
      <c r="AC49" s="1894">
        <v>47721</v>
      </c>
      <c r="AD49" s="1894">
        <f t="shared" si="4"/>
        <v>48108</v>
      </c>
      <c r="AE49" s="1894">
        <f t="shared" si="5"/>
        <v>0</v>
      </c>
      <c r="AF49" s="1894">
        <v>119</v>
      </c>
      <c r="AG49" s="1894">
        <v>67.36</v>
      </c>
      <c r="AH49" s="1894">
        <v>95.2</v>
      </c>
      <c r="AI49" s="1894">
        <v>0.78180000000000005</v>
      </c>
      <c r="AJ49" s="1894">
        <v>75.67</v>
      </c>
      <c r="AK49" s="1894">
        <v>37923</v>
      </c>
      <c r="AL49" s="1894">
        <f t="shared" si="6"/>
        <v>30070</v>
      </c>
      <c r="AM49" s="1894">
        <f t="shared" si="7"/>
        <v>7853</v>
      </c>
      <c r="AN49" s="1894">
        <v>119</v>
      </c>
      <c r="AO49" s="1894">
        <v>66.239999999999995</v>
      </c>
      <c r="AP49" s="1894">
        <v>95.2</v>
      </c>
      <c r="AQ49" s="1894">
        <v>0.76419999999999999</v>
      </c>
      <c r="AR49" s="1894">
        <v>73.569999999999993</v>
      </c>
      <c r="AS49" s="1894">
        <v>36257</v>
      </c>
      <c r="AT49" s="1894">
        <f t="shared" si="8"/>
        <v>29570</v>
      </c>
      <c r="AU49" s="1894">
        <f t="shared" si="9"/>
        <v>6687</v>
      </c>
      <c r="AV49" s="1894">
        <v>119</v>
      </c>
      <c r="AW49" s="1894">
        <v>56.8</v>
      </c>
      <c r="AX49" s="1894">
        <v>95.2</v>
      </c>
      <c r="AY49" s="1894">
        <v>0.73560000000000003</v>
      </c>
      <c r="AZ49" s="1894">
        <v>81.55</v>
      </c>
      <c r="BA49" s="1894">
        <v>33352</v>
      </c>
      <c r="BB49" s="1894">
        <f t="shared" si="10"/>
        <v>24538</v>
      </c>
      <c r="BC49" s="1894">
        <f t="shared" si="11"/>
        <v>8814</v>
      </c>
      <c r="BD49" s="1894">
        <v>119</v>
      </c>
      <c r="BE49" s="1894">
        <v>116.16</v>
      </c>
      <c r="BF49" s="1894">
        <v>116.16</v>
      </c>
      <c r="BG49" s="1894">
        <v>0.72319999999999995</v>
      </c>
      <c r="BH49" s="1894">
        <v>40.99</v>
      </c>
      <c r="BI49" s="1894">
        <v>35428</v>
      </c>
      <c r="BJ49" s="1894">
        <f t="shared" si="12"/>
        <v>51854</v>
      </c>
      <c r="BK49" s="1894">
        <f t="shared" si="13"/>
        <v>0</v>
      </c>
      <c r="BL49" s="1894">
        <v>119</v>
      </c>
      <c r="BM49" s="1894">
        <v>112.55999999999999</v>
      </c>
      <c r="BN49" s="1894">
        <v>112.56</v>
      </c>
      <c r="BO49" s="1894">
        <v>0.7268</v>
      </c>
      <c r="BP49" s="1894">
        <v>44.3</v>
      </c>
      <c r="BQ49" s="1894">
        <v>35902</v>
      </c>
      <c r="BR49" s="1894">
        <f t="shared" si="14"/>
        <v>48626</v>
      </c>
      <c r="BS49" s="1894">
        <f t="shared" si="15"/>
        <v>0</v>
      </c>
      <c r="BT49" s="1894">
        <v>119</v>
      </c>
      <c r="BU49" s="1894">
        <v>113.68</v>
      </c>
      <c r="BV49" s="1894">
        <v>113.68</v>
      </c>
      <c r="BW49" s="1894">
        <v>0.71819999999999995</v>
      </c>
      <c r="BX49" s="1894">
        <v>43.32</v>
      </c>
      <c r="BY49" s="1894">
        <v>36635</v>
      </c>
      <c r="BZ49" s="1894">
        <f t="shared" si="16"/>
        <v>50747</v>
      </c>
      <c r="CA49" s="1894">
        <f t="shared" si="17"/>
        <v>0</v>
      </c>
      <c r="CB49" s="1894">
        <v>119</v>
      </c>
      <c r="CC49" s="1894">
        <v>110.80000000000001</v>
      </c>
      <c r="CD49" s="1894">
        <v>110.8</v>
      </c>
      <c r="CE49" s="1894">
        <v>0.75129999999999997</v>
      </c>
      <c r="CF49" s="1894">
        <v>48.88</v>
      </c>
      <c r="CG49" s="1894">
        <v>40293</v>
      </c>
      <c r="CH49" s="1894">
        <f t="shared" si="18"/>
        <v>49461</v>
      </c>
      <c r="CI49" s="1894">
        <f t="shared" si="19"/>
        <v>0</v>
      </c>
      <c r="CJ49" s="1894">
        <v>119</v>
      </c>
      <c r="CK49" s="1894">
        <v>114.56</v>
      </c>
      <c r="CL49" s="1894">
        <v>114.56</v>
      </c>
      <c r="CM49" s="1894">
        <v>0.75929999999999997</v>
      </c>
      <c r="CN49" s="1894">
        <v>78.47</v>
      </c>
      <c r="CO49" s="1894">
        <v>60408</v>
      </c>
      <c r="CP49" s="1894">
        <f t="shared" si="20"/>
        <v>46191</v>
      </c>
      <c r="CQ49" s="1894">
        <f t="shared" si="21"/>
        <v>14217</v>
      </c>
      <c r="CR49" s="1924">
        <v>119</v>
      </c>
      <c r="CS49" s="1924">
        <v>103.52</v>
      </c>
      <c r="CT49" s="1924">
        <v>103.52</v>
      </c>
      <c r="CU49" s="1924">
        <v>0.74199999999999999</v>
      </c>
      <c r="CV49" s="1924">
        <v>80.150000000000006</v>
      </c>
      <c r="CW49" s="1924">
        <v>61732</v>
      </c>
      <c r="CX49" s="1894">
        <f t="shared" si="22"/>
        <v>46211</v>
      </c>
      <c r="CY49" s="1894">
        <f t="shared" si="23"/>
        <v>15521</v>
      </c>
    </row>
    <row r="50" spans="1:103">
      <c r="A50" s="982">
        <v>611000000093</v>
      </c>
      <c r="B50" s="1923">
        <f t="shared" si="24"/>
        <v>44</v>
      </c>
      <c r="C50" s="1895" t="s">
        <v>2947</v>
      </c>
      <c r="D50" s="1894" t="s">
        <v>524</v>
      </c>
      <c r="E50" s="1895" t="s">
        <v>730</v>
      </c>
      <c r="F50" s="1894" t="s">
        <v>259</v>
      </c>
      <c r="G50" s="1924">
        <v>119</v>
      </c>
      <c r="H50" s="1894">
        <v>119</v>
      </c>
      <c r="I50" s="1894">
        <v>81.92</v>
      </c>
      <c r="J50" s="1894">
        <v>95.2</v>
      </c>
      <c r="K50" s="1894">
        <v>0.80059999999999998</v>
      </c>
      <c r="L50" s="1894">
        <v>58.42</v>
      </c>
      <c r="M50" s="1894">
        <v>34458</v>
      </c>
      <c r="N50" s="1894">
        <f t="shared" si="0"/>
        <v>35389</v>
      </c>
      <c r="O50" s="1894">
        <f t="shared" si="1"/>
        <v>0</v>
      </c>
      <c r="P50" s="1894">
        <v>119</v>
      </c>
      <c r="Q50" s="1894">
        <v>120.08000000000001</v>
      </c>
      <c r="R50" s="1894">
        <v>120.08</v>
      </c>
      <c r="S50" s="1894">
        <v>0.84089999999999998</v>
      </c>
      <c r="T50" s="1894">
        <v>41.59</v>
      </c>
      <c r="U50" s="1894">
        <v>37158</v>
      </c>
      <c r="V50" s="1894">
        <f t="shared" si="2"/>
        <v>53604</v>
      </c>
      <c r="W50" s="1894">
        <f t="shared" si="3"/>
        <v>0</v>
      </c>
      <c r="X50" s="1894">
        <v>119</v>
      </c>
      <c r="Y50" s="1894">
        <v>124.56</v>
      </c>
      <c r="Z50" s="1894">
        <v>124.56</v>
      </c>
      <c r="AA50" s="1894">
        <v>0.83530000000000004</v>
      </c>
      <c r="AB50" s="1894">
        <v>36.770000000000003</v>
      </c>
      <c r="AC50" s="1894">
        <v>32973</v>
      </c>
      <c r="AD50" s="1894">
        <f t="shared" si="4"/>
        <v>53810</v>
      </c>
      <c r="AE50" s="1894">
        <f t="shared" si="5"/>
        <v>0</v>
      </c>
      <c r="AF50" s="1894">
        <v>119</v>
      </c>
      <c r="AG50" s="1894">
        <v>127.12</v>
      </c>
      <c r="AH50" s="1894">
        <v>127.12</v>
      </c>
      <c r="AI50" s="1894">
        <v>0.81630000000000003</v>
      </c>
      <c r="AJ50" s="1894">
        <v>32.450000000000003</v>
      </c>
      <c r="AK50" s="1894">
        <v>30686</v>
      </c>
      <c r="AL50" s="1894">
        <f t="shared" si="6"/>
        <v>56746</v>
      </c>
      <c r="AM50" s="1894">
        <f t="shared" si="7"/>
        <v>0</v>
      </c>
      <c r="AN50" s="1894">
        <v>119</v>
      </c>
      <c r="AO50" s="1894">
        <v>108.80000000000001</v>
      </c>
      <c r="AP50" s="1894">
        <v>108.8</v>
      </c>
      <c r="AQ50" s="1894">
        <v>0.80559999999999998</v>
      </c>
      <c r="AR50" s="1894">
        <v>37.82</v>
      </c>
      <c r="AS50" s="1894">
        <v>30613</v>
      </c>
      <c r="AT50" s="1894">
        <f t="shared" si="8"/>
        <v>48568</v>
      </c>
      <c r="AU50" s="1894">
        <f t="shared" si="9"/>
        <v>0</v>
      </c>
      <c r="AV50" s="1894">
        <v>119</v>
      </c>
      <c r="AW50" s="1894">
        <v>133.28</v>
      </c>
      <c r="AX50" s="1894">
        <v>133.28</v>
      </c>
      <c r="AY50" s="1894">
        <v>0.78580000000000005</v>
      </c>
      <c r="AZ50" s="1894">
        <v>30.54</v>
      </c>
      <c r="BA50" s="1894">
        <v>29311</v>
      </c>
      <c r="BB50" s="1894">
        <f t="shared" si="10"/>
        <v>57577</v>
      </c>
      <c r="BC50" s="1894">
        <f t="shared" si="11"/>
        <v>0</v>
      </c>
      <c r="BD50" s="1894">
        <v>119</v>
      </c>
      <c r="BE50" s="1894">
        <v>119.52000000000001</v>
      </c>
      <c r="BF50" s="1894">
        <v>119.52</v>
      </c>
      <c r="BG50" s="1894">
        <v>0.76300000000000001</v>
      </c>
      <c r="BH50" s="1894">
        <v>36.21</v>
      </c>
      <c r="BI50" s="1894">
        <v>32203</v>
      </c>
      <c r="BJ50" s="1894">
        <f t="shared" si="12"/>
        <v>53354</v>
      </c>
      <c r="BK50" s="1894">
        <f t="shared" si="13"/>
        <v>0</v>
      </c>
      <c r="BL50" s="1894">
        <v>119</v>
      </c>
      <c r="BM50" s="1894">
        <v>118.96</v>
      </c>
      <c r="BN50" s="1894">
        <v>118.96</v>
      </c>
      <c r="BO50" s="1894">
        <v>0.72819999999999996</v>
      </c>
      <c r="BP50" s="1894">
        <v>31.92</v>
      </c>
      <c r="BQ50" s="1894">
        <v>27340</v>
      </c>
      <c r="BR50" s="1894">
        <f t="shared" si="14"/>
        <v>51391</v>
      </c>
      <c r="BS50" s="1894">
        <f t="shared" si="15"/>
        <v>0</v>
      </c>
      <c r="BT50" s="1894">
        <v>119</v>
      </c>
      <c r="BU50" s="1894">
        <v>85.04</v>
      </c>
      <c r="BV50" s="1894">
        <v>95.2</v>
      </c>
      <c r="BW50" s="1894">
        <v>0.72560000000000002</v>
      </c>
      <c r="BX50" s="1894">
        <v>46.62</v>
      </c>
      <c r="BY50" s="1894">
        <v>29496</v>
      </c>
      <c r="BZ50" s="1894">
        <f t="shared" si="16"/>
        <v>37962</v>
      </c>
      <c r="CA50" s="1894">
        <f t="shared" si="17"/>
        <v>0</v>
      </c>
      <c r="CB50" s="1894">
        <v>119</v>
      </c>
      <c r="CC50" s="1894">
        <v>84.32</v>
      </c>
      <c r="CD50" s="1894">
        <v>95.2</v>
      </c>
      <c r="CE50" s="1894">
        <v>0.74490000000000001</v>
      </c>
      <c r="CF50" s="1894">
        <v>46.26</v>
      </c>
      <c r="CG50" s="1894">
        <v>29023</v>
      </c>
      <c r="CH50" s="1894">
        <f t="shared" si="18"/>
        <v>37640</v>
      </c>
      <c r="CI50" s="1894">
        <f t="shared" si="19"/>
        <v>0</v>
      </c>
      <c r="CJ50" s="1894">
        <v>119</v>
      </c>
      <c r="CK50" s="1894">
        <v>84.240000000000009</v>
      </c>
      <c r="CL50" s="1894">
        <v>95.2</v>
      </c>
      <c r="CM50" s="1894">
        <v>0.75070000000000003</v>
      </c>
      <c r="CN50" s="1894">
        <v>62.69</v>
      </c>
      <c r="CO50" s="1894">
        <v>35489</v>
      </c>
      <c r="CP50" s="1894">
        <f t="shared" si="20"/>
        <v>33966</v>
      </c>
      <c r="CQ50" s="1894">
        <f t="shared" si="21"/>
        <v>1523</v>
      </c>
      <c r="CR50" s="1924">
        <v>119</v>
      </c>
      <c r="CS50" s="1924">
        <v>87.44</v>
      </c>
      <c r="CT50" s="1924">
        <v>95.2</v>
      </c>
      <c r="CU50" s="1924">
        <v>0.75449999999999995</v>
      </c>
      <c r="CV50" s="1924">
        <v>54.01</v>
      </c>
      <c r="CW50" s="1924">
        <v>28338</v>
      </c>
      <c r="CX50" s="1894">
        <f t="shared" si="22"/>
        <v>39033</v>
      </c>
      <c r="CY50" s="1894">
        <f t="shared" si="23"/>
        <v>0</v>
      </c>
    </row>
    <row r="51" spans="1:103">
      <c r="A51" s="982">
        <v>622000000217</v>
      </c>
      <c r="B51" s="1923">
        <f t="shared" si="24"/>
        <v>45</v>
      </c>
      <c r="C51" s="1895" t="s">
        <v>2948</v>
      </c>
      <c r="D51" s="1894" t="s">
        <v>524</v>
      </c>
      <c r="E51" s="1895" t="s">
        <v>541</v>
      </c>
      <c r="F51" s="1894" t="s">
        <v>259</v>
      </c>
      <c r="G51" s="1924">
        <v>120</v>
      </c>
      <c r="H51" s="1894">
        <v>0</v>
      </c>
      <c r="I51" s="1894">
        <v>0</v>
      </c>
      <c r="J51" s="1894">
        <v>0</v>
      </c>
      <c r="K51" s="1894">
        <v>0</v>
      </c>
      <c r="L51" s="1894">
        <v>0</v>
      </c>
      <c r="M51" s="1894">
        <v>0</v>
      </c>
      <c r="N51" s="1894">
        <f t="shared" si="0"/>
        <v>0</v>
      </c>
      <c r="O51" s="1894">
        <f t="shared" si="1"/>
        <v>0</v>
      </c>
      <c r="P51" s="1894">
        <v>0</v>
      </c>
      <c r="Q51" s="1894">
        <v>0</v>
      </c>
      <c r="R51" s="1894">
        <v>0</v>
      </c>
      <c r="S51" s="1894">
        <v>0</v>
      </c>
      <c r="T51" s="1894">
        <v>0</v>
      </c>
      <c r="U51" s="1894">
        <v>0</v>
      </c>
      <c r="V51" s="1894">
        <f t="shared" si="2"/>
        <v>0</v>
      </c>
      <c r="W51" s="1894">
        <f t="shared" si="3"/>
        <v>0</v>
      </c>
      <c r="X51" s="1894">
        <v>0</v>
      </c>
      <c r="Y51" s="1894">
        <v>0</v>
      </c>
      <c r="Z51" s="1894">
        <v>0</v>
      </c>
      <c r="AA51" s="1894">
        <v>0</v>
      </c>
      <c r="AB51" s="1894">
        <v>0</v>
      </c>
      <c r="AC51" s="1894">
        <v>0</v>
      </c>
      <c r="AD51" s="1894">
        <f t="shared" si="4"/>
        <v>0</v>
      </c>
      <c r="AE51" s="1894">
        <f t="shared" si="5"/>
        <v>0</v>
      </c>
      <c r="AF51" s="1894">
        <v>0</v>
      </c>
      <c r="AG51" s="1894">
        <v>0</v>
      </c>
      <c r="AH51" s="1894">
        <v>0</v>
      </c>
      <c r="AI51" s="1894">
        <v>0</v>
      </c>
      <c r="AJ51" s="1894">
        <v>0</v>
      </c>
      <c r="AK51" s="1894">
        <v>0</v>
      </c>
      <c r="AL51" s="1894">
        <f t="shared" si="6"/>
        <v>0</v>
      </c>
      <c r="AM51" s="1894">
        <f t="shared" si="7"/>
        <v>0</v>
      </c>
      <c r="AN51" s="1894">
        <v>0</v>
      </c>
      <c r="AO51" s="1894">
        <v>0</v>
      </c>
      <c r="AP51" s="1894">
        <v>0</v>
      </c>
      <c r="AQ51" s="1894">
        <v>0</v>
      </c>
      <c r="AR51" s="1894">
        <v>0</v>
      </c>
      <c r="AS51" s="1894">
        <v>0</v>
      </c>
      <c r="AT51" s="1894">
        <f t="shared" si="8"/>
        <v>0</v>
      </c>
      <c r="AU51" s="1894">
        <f t="shared" si="9"/>
        <v>0</v>
      </c>
      <c r="AV51" s="1894">
        <v>0</v>
      </c>
      <c r="AW51" s="1894">
        <v>0</v>
      </c>
      <c r="AX51" s="1894">
        <v>0</v>
      </c>
      <c r="AY51" s="1894">
        <v>0</v>
      </c>
      <c r="AZ51" s="1894">
        <v>0</v>
      </c>
      <c r="BA51" s="1894">
        <v>0</v>
      </c>
      <c r="BB51" s="1894">
        <f t="shared" si="10"/>
        <v>0</v>
      </c>
      <c r="BC51" s="1894">
        <f t="shared" si="11"/>
        <v>0</v>
      </c>
      <c r="BD51" s="1894">
        <v>0</v>
      </c>
      <c r="BE51" s="1894">
        <v>0</v>
      </c>
      <c r="BF51" s="1894">
        <v>0</v>
      </c>
      <c r="BG51" s="1894">
        <v>0</v>
      </c>
      <c r="BH51" s="1894">
        <v>0</v>
      </c>
      <c r="BI51" s="1894">
        <v>0</v>
      </c>
      <c r="BJ51" s="1894">
        <f t="shared" si="12"/>
        <v>0</v>
      </c>
      <c r="BK51" s="1894">
        <f t="shared" si="13"/>
        <v>0</v>
      </c>
      <c r="BL51" s="1894">
        <v>0</v>
      </c>
      <c r="BM51" s="1894">
        <v>0</v>
      </c>
      <c r="BN51" s="1894">
        <v>0</v>
      </c>
      <c r="BO51" s="1894">
        <v>0</v>
      </c>
      <c r="BP51" s="1894">
        <v>0</v>
      </c>
      <c r="BQ51" s="1894">
        <v>0</v>
      </c>
      <c r="BR51" s="1894">
        <f t="shared" si="14"/>
        <v>0</v>
      </c>
      <c r="BS51" s="1894">
        <f t="shared" si="15"/>
        <v>0</v>
      </c>
      <c r="BT51" s="1894">
        <v>0</v>
      </c>
      <c r="BU51" s="1894">
        <v>0</v>
      </c>
      <c r="BV51" s="1894">
        <v>0</v>
      </c>
      <c r="BW51" s="1894">
        <v>0</v>
      </c>
      <c r="BX51" s="1894">
        <v>0</v>
      </c>
      <c r="BY51" s="1894">
        <v>0</v>
      </c>
      <c r="BZ51" s="1894">
        <f t="shared" si="16"/>
        <v>0</v>
      </c>
      <c r="CA51" s="1894">
        <f t="shared" si="17"/>
        <v>0</v>
      </c>
      <c r="CB51" s="1894">
        <v>0</v>
      </c>
      <c r="CC51" s="1894">
        <v>0</v>
      </c>
      <c r="CD51" s="1894">
        <v>0</v>
      </c>
      <c r="CE51" s="1894">
        <v>0</v>
      </c>
      <c r="CF51" s="1894">
        <v>0</v>
      </c>
      <c r="CG51" s="1894">
        <v>0</v>
      </c>
      <c r="CH51" s="1894">
        <f t="shared" si="18"/>
        <v>0</v>
      </c>
      <c r="CI51" s="1894">
        <f t="shared" si="19"/>
        <v>0</v>
      </c>
      <c r="CJ51" s="1894">
        <v>0</v>
      </c>
      <c r="CK51" s="1894">
        <v>0</v>
      </c>
      <c r="CL51" s="1894">
        <v>0</v>
      </c>
      <c r="CM51" s="1894">
        <v>0</v>
      </c>
      <c r="CN51" s="1894">
        <v>0</v>
      </c>
      <c r="CO51" s="1894">
        <v>0</v>
      </c>
      <c r="CP51" s="1894">
        <f t="shared" si="20"/>
        <v>0</v>
      </c>
      <c r="CQ51" s="1894">
        <f t="shared" si="21"/>
        <v>0</v>
      </c>
      <c r="CR51" s="1924">
        <v>120</v>
      </c>
      <c r="CS51" s="1924">
        <v>44.96</v>
      </c>
      <c r="CT51" s="1924">
        <v>96</v>
      </c>
      <c r="CU51" s="1924">
        <v>0.9536</v>
      </c>
      <c r="CV51" s="1924">
        <v>8.34</v>
      </c>
      <c r="CW51" s="1924">
        <v>3148</v>
      </c>
      <c r="CX51" s="1894">
        <f t="shared" si="22"/>
        <v>20070</v>
      </c>
      <c r="CY51" s="1894">
        <f t="shared" si="23"/>
        <v>0</v>
      </c>
    </row>
    <row r="52" spans="1:103">
      <c r="A52" s="982">
        <v>121000000076</v>
      </c>
      <c r="B52" s="1923">
        <f t="shared" si="24"/>
        <v>46</v>
      </c>
      <c r="C52" s="1895" t="s">
        <v>2949</v>
      </c>
      <c r="D52" s="1894" t="s">
        <v>524</v>
      </c>
      <c r="E52" s="1895" t="s">
        <v>541</v>
      </c>
      <c r="F52" s="1894" t="s">
        <v>259</v>
      </c>
      <c r="G52" s="1924">
        <v>120</v>
      </c>
      <c r="H52" s="1894">
        <v>120</v>
      </c>
      <c r="I52" s="1894">
        <v>82.2</v>
      </c>
      <c r="J52" s="1894">
        <v>96</v>
      </c>
      <c r="K52" s="1894">
        <v>0.999</v>
      </c>
      <c r="L52" s="1894">
        <v>25.19</v>
      </c>
      <c r="M52" s="1894">
        <v>16401</v>
      </c>
      <c r="N52" s="1894">
        <f t="shared" si="0"/>
        <v>35510</v>
      </c>
      <c r="O52" s="1894">
        <f t="shared" si="1"/>
        <v>0</v>
      </c>
      <c r="P52" s="1894">
        <v>120</v>
      </c>
      <c r="Q52" s="1894">
        <v>119.03999999999999</v>
      </c>
      <c r="R52" s="1894">
        <v>119.04</v>
      </c>
      <c r="S52" s="1894">
        <v>0.99670000000000003</v>
      </c>
      <c r="T52" s="1894">
        <v>31.26</v>
      </c>
      <c r="U52" s="1894">
        <v>25010</v>
      </c>
      <c r="V52" s="1894">
        <f t="shared" si="2"/>
        <v>53139</v>
      </c>
      <c r="W52" s="1894">
        <f t="shared" si="3"/>
        <v>0</v>
      </c>
      <c r="X52" s="1894">
        <v>120</v>
      </c>
      <c r="Y52" s="1894">
        <v>142.56</v>
      </c>
      <c r="Z52" s="1894">
        <v>142.56</v>
      </c>
      <c r="AA52" s="1894">
        <v>0.97499999999999998</v>
      </c>
      <c r="AB52" s="1894">
        <v>45.06</v>
      </c>
      <c r="AC52" s="1894">
        <v>50874</v>
      </c>
      <c r="AD52" s="1894">
        <f t="shared" si="4"/>
        <v>61586</v>
      </c>
      <c r="AE52" s="1894">
        <f t="shared" si="5"/>
        <v>0</v>
      </c>
      <c r="AF52" s="1894">
        <v>120</v>
      </c>
      <c r="AG52" s="1894">
        <v>164.4</v>
      </c>
      <c r="AH52" s="1894">
        <v>164.4</v>
      </c>
      <c r="AI52" s="1894">
        <v>0.96830000000000005</v>
      </c>
      <c r="AJ52" s="1894">
        <v>34.67</v>
      </c>
      <c r="AK52" s="1894">
        <v>39669</v>
      </c>
      <c r="AL52" s="1894">
        <f t="shared" si="6"/>
        <v>73388</v>
      </c>
      <c r="AM52" s="1894">
        <f t="shared" si="7"/>
        <v>0</v>
      </c>
      <c r="AN52" s="1894">
        <v>120</v>
      </c>
      <c r="AO52" s="1894">
        <v>105.48</v>
      </c>
      <c r="AP52" s="1894">
        <v>105.48</v>
      </c>
      <c r="AQ52" s="1894">
        <v>0.95789999999999997</v>
      </c>
      <c r="AR52" s="1894">
        <v>31.19</v>
      </c>
      <c r="AS52" s="1894">
        <v>24475</v>
      </c>
      <c r="AT52" s="1894">
        <f t="shared" si="8"/>
        <v>47086</v>
      </c>
      <c r="AU52" s="1894">
        <f t="shared" si="9"/>
        <v>0</v>
      </c>
      <c r="AV52" s="1894">
        <v>120</v>
      </c>
      <c r="AW52" s="1894">
        <v>108.12</v>
      </c>
      <c r="AX52" s="1894">
        <v>108.12</v>
      </c>
      <c r="AY52" s="1894">
        <v>0.98009999999999997</v>
      </c>
      <c r="AZ52" s="1894">
        <v>35.380000000000003</v>
      </c>
      <c r="BA52" s="1894">
        <v>28463</v>
      </c>
      <c r="BB52" s="1894">
        <f t="shared" si="10"/>
        <v>46708</v>
      </c>
      <c r="BC52" s="1894">
        <f t="shared" si="11"/>
        <v>0</v>
      </c>
      <c r="BD52" s="1894">
        <v>120</v>
      </c>
      <c r="BE52" s="1894">
        <v>94.2</v>
      </c>
      <c r="BF52" s="1894">
        <v>96</v>
      </c>
      <c r="BG52" s="1894">
        <v>0.96140000000000003</v>
      </c>
      <c r="BH52" s="1894">
        <v>33.26</v>
      </c>
      <c r="BI52" s="1894">
        <v>23313</v>
      </c>
      <c r="BJ52" s="1894">
        <f t="shared" si="12"/>
        <v>42051</v>
      </c>
      <c r="BK52" s="1894">
        <f t="shared" si="13"/>
        <v>0</v>
      </c>
      <c r="BL52" s="1894">
        <v>120</v>
      </c>
      <c r="BM52" s="1894">
        <v>82.68</v>
      </c>
      <c r="BN52" s="1894">
        <v>96</v>
      </c>
      <c r="BO52" s="1894">
        <v>0.92100000000000004</v>
      </c>
      <c r="BP52" s="1894">
        <v>45.3</v>
      </c>
      <c r="BQ52" s="1894">
        <v>28767</v>
      </c>
      <c r="BR52" s="1894">
        <f t="shared" si="14"/>
        <v>35718</v>
      </c>
      <c r="BS52" s="1894">
        <f t="shared" si="15"/>
        <v>0</v>
      </c>
      <c r="BT52" s="1894">
        <v>120</v>
      </c>
      <c r="BU52" s="1894">
        <v>79.44</v>
      </c>
      <c r="BV52" s="1894">
        <v>96</v>
      </c>
      <c r="BW52" s="1894">
        <v>0.79490000000000005</v>
      </c>
      <c r="BX52" s="1894">
        <v>30.92</v>
      </c>
      <c r="BY52" s="1894">
        <v>18276</v>
      </c>
      <c r="BZ52" s="1894">
        <f t="shared" si="16"/>
        <v>35462</v>
      </c>
      <c r="CA52" s="1894">
        <f t="shared" si="17"/>
        <v>0</v>
      </c>
      <c r="CB52" s="1894">
        <v>120</v>
      </c>
      <c r="CC52" s="1894">
        <v>76.08</v>
      </c>
      <c r="CD52" s="1894">
        <v>96</v>
      </c>
      <c r="CE52" s="1894">
        <v>0.86850000000000005</v>
      </c>
      <c r="CF52" s="1894">
        <v>5.46</v>
      </c>
      <c r="CG52" s="1894">
        <v>2890</v>
      </c>
      <c r="CH52" s="1894">
        <f t="shared" si="18"/>
        <v>33962</v>
      </c>
      <c r="CI52" s="1894">
        <f t="shared" si="19"/>
        <v>0</v>
      </c>
      <c r="CJ52" s="1894">
        <v>120</v>
      </c>
      <c r="CK52" s="1894">
        <v>55.679999999999993</v>
      </c>
      <c r="CL52" s="1894">
        <v>96</v>
      </c>
      <c r="CM52" s="1894">
        <v>0.9829</v>
      </c>
      <c r="CN52" s="1894">
        <v>1.72</v>
      </c>
      <c r="CO52" s="1894">
        <v>645</v>
      </c>
      <c r="CP52" s="1894">
        <f t="shared" si="20"/>
        <v>22450</v>
      </c>
      <c r="CQ52" s="1894">
        <f t="shared" si="21"/>
        <v>0</v>
      </c>
      <c r="CR52" s="1924">
        <v>120</v>
      </c>
      <c r="CS52" s="1924">
        <v>48</v>
      </c>
      <c r="CT52" s="1924">
        <v>96</v>
      </c>
      <c r="CU52" s="1924">
        <v>0.98929999999999996</v>
      </c>
      <c r="CV52" s="1924">
        <v>1.9</v>
      </c>
      <c r="CW52" s="1924">
        <v>655</v>
      </c>
      <c r="CX52" s="1894">
        <f t="shared" si="22"/>
        <v>21427</v>
      </c>
      <c r="CY52" s="1894">
        <f t="shared" si="23"/>
        <v>0</v>
      </c>
    </row>
    <row r="53" spans="1:103">
      <c r="A53" s="982">
        <v>123000000077</v>
      </c>
      <c r="B53" s="1923">
        <f t="shared" si="24"/>
        <v>47</v>
      </c>
      <c r="C53" s="1895" t="s">
        <v>2950</v>
      </c>
      <c r="D53" s="1894" t="s">
        <v>524</v>
      </c>
      <c r="E53" s="1895" t="s">
        <v>541</v>
      </c>
      <c r="F53" s="1894" t="s">
        <v>259</v>
      </c>
      <c r="G53" s="1924">
        <v>120</v>
      </c>
      <c r="H53" s="1894">
        <v>120</v>
      </c>
      <c r="I53" s="1894">
        <v>13.84</v>
      </c>
      <c r="J53" s="1894">
        <v>96</v>
      </c>
      <c r="K53" s="1894">
        <v>0.98560000000000003</v>
      </c>
      <c r="L53" s="1894">
        <v>30.16</v>
      </c>
      <c r="M53" s="1894">
        <v>3005</v>
      </c>
      <c r="N53" s="1894">
        <f t="shared" si="0"/>
        <v>5979</v>
      </c>
      <c r="O53" s="1894">
        <f t="shared" si="1"/>
        <v>0</v>
      </c>
      <c r="P53" s="1894">
        <v>120</v>
      </c>
      <c r="Q53" s="1894">
        <v>158</v>
      </c>
      <c r="R53" s="1894">
        <v>158</v>
      </c>
      <c r="S53" s="1894">
        <v>0.93959999999999999</v>
      </c>
      <c r="T53" s="1894">
        <v>12.83</v>
      </c>
      <c r="U53" s="1894">
        <v>15085</v>
      </c>
      <c r="V53" s="1894">
        <f t="shared" si="2"/>
        <v>70531</v>
      </c>
      <c r="W53" s="1894">
        <f t="shared" si="3"/>
        <v>0</v>
      </c>
      <c r="X53" s="1894">
        <v>120</v>
      </c>
      <c r="Y53" s="1894">
        <v>161.12</v>
      </c>
      <c r="Z53" s="1894">
        <v>161.12</v>
      </c>
      <c r="AA53" s="1894">
        <v>0.98599999999999999</v>
      </c>
      <c r="AB53" s="1894">
        <v>41.83</v>
      </c>
      <c r="AC53" s="1894">
        <v>48529</v>
      </c>
      <c r="AD53" s="1894">
        <f t="shared" si="4"/>
        <v>69604</v>
      </c>
      <c r="AE53" s="1894">
        <f t="shared" si="5"/>
        <v>0</v>
      </c>
      <c r="AF53" s="1894">
        <v>120</v>
      </c>
      <c r="AG53" s="1894">
        <v>143.52000000000001</v>
      </c>
      <c r="AH53" s="1894">
        <v>143.52000000000001</v>
      </c>
      <c r="AI53" s="1894">
        <v>0.97689999999999999</v>
      </c>
      <c r="AJ53" s="1894">
        <v>31.75</v>
      </c>
      <c r="AK53" s="1894">
        <v>33906</v>
      </c>
      <c r="AL53" s="1894">
        <f t="shared" si="6"/>
        <v>64067</v>
      </c>
      <c r="AM53" s="1894">
        <f t="shared" si="7"/>
        <v>0</v>
      </c>
      <c r="AN53" s="1894">
        <v>120</v>
      </c>
      <c r="AO53" s="1894">
        <v>143.35999999999999</v>
      </c>
      <c r="AP53" s="1894">
        <v>143.36000000000001</v>
      </c>
      <c r="AQ53" s="1894">
        <v>0.98839999999999995</v>
      </c>
      <c r="AR53" s="1894">
        <v>22.72</v>
      </c>
      <c r="AS53" s="1894">
        <v>24237</v>
      </c>
      <c r="AT53" s="1894">
        <f t="shared" si="8"/>
        <v>63996</v>
      </c>
      <c r="AU53" s="1894">
        <f t="shared" si="9"/>
        <v>0</v>
      </c>
      <c r="AV53" s="1894">
        <v>120</v>
      </c>
      <c r="AW53" s="1894">
        <v>123.12</v>
      </c>
      <c r="AX53" s="1894">
        <v>123.12</v>
      </c>
      <c r="AY53" s="1894">
        <v>0.99870000000000003</v>
      </c>
      <c r="AZ53" s="1894">
        <v>25.86</v>
      </c>
      <c r="BA53" s="1894">
        <v>22921</v>
      </c>
      <c r="BB53" s="1894">
        <f t="shared" si="10"/>
        <v>53188</v>
      </c>
      <c r="BC53" s="1894">
        <f t="shared" si="11"/>
        <v>0</v>
      </c>
      <c r="BD53" s="1894">
        <v>120</v>
      </c>
      <c r="BE53" s="1894">
        <v>111.52</v>
      </c>
      <c r="BF53" s="1894">
        <v>111.52</v>
      </c>
      <c r="BG53" s="1894">
        <v>0.96760000000000002</v>
      </c>
      <c r="BH53" s="1894">
        <v>27.24</v>
      </c>
      <c r="BI53" s="1894">
        <v>22604</v>
      </c>
      <c r="BJ53" s="1894">
        <f t="shared" si="12"/>
        <v>49783</v>
      </c>
      <c r="BK53" s="1894">
        <f t="shared" si="13"/>
        <v>0</v>
      </c>
      <c r="BL53" s="1894">
        <v>120</v>
      </c>
      <c r="BM53" s="1894">
        <v>108.16</v>
      </c>
      <c r="BN53" s="1894">
        <v>108.16</v>
      </c>
      <c r="BO53" s="1894">
        <v>0.98929999999999996</v>
      </c>
      <c r="BP53" s="1894">
        <v>13.12</v>
      </c>
      <c r="BQ53" s="1894">
        <v>10214</v>
      </c>
      <c r="BR53" s="1894">
        <f t="shared" si="14"/>
        <v>46725</v>
      </c>
      <c r="BS53" s="1894">
        <f t="shared" si="15"/>
        <v>0</v>
      </c>
      <c r="BT53" s="1894">
        <v>120</v>
      </c>
      <c r="BU53" s="1894">
        <v>11.68</v>
      </c>
      <c r="BV53" s="1894">
        <v>96</v>
      </c>
      <c r="BW53" s="1894">
        <v>0.9768</v>
      </c>
      <c r="BX53" s="1894">
        <v>38.299999999999997</v>
      </c>
      <c r="BY53" s="1894">
        <v>3328</v>
      </c>
      <c r="BZ53" s="1894">
        <f t="shared" si="16"/>
        <v>5214</v>
      </c>
      <c r="CA53" s="1894">
        <f t="shared" si="17"/>
        <v>0</v>
      </c>
      <c r="CB53" s="1894">
        <v>120</v>
      </c>
      <c r="CC53" s="1894">
        <v>11.600000000000001</v>
      </c>
      <c r="CD53" s="1894">
        <v>96</v>
      </c>
      <c r="CE53" s="1894">
        <v>0.98</v>
      </c>
      <c r="CF53" s="1894">
        <v>35.51</v>
      </c>
      <c r="CG53" s="1894">
        <v>3065</v>
      </c>
      <c r="CH53" s="1894">
        <f t="shared" si="18"/>
        <v>5178</v>
      </c>
      <c r="CI53" s="1894">
        <f t="shared" si="19"/>
        <v>0</v>
      </c>
      <c r="CJ53" s="1894">
        <v>120</v>
      </c>
      <c r="CK53" s="1894">
        <v>11.52</v>
      </c>
      <c r="CL53" s="1894">
        <v>96</v>
      </c>
      <c r="CM53" s="1894">
        <v>0.99009999999999998</v>
      </c>
      <c r="CN53" s="1894">
        <v>39.51</v>
      </c>
      <c r="CO53" s="1894">
        <v>3059</v>
      </c>
      <c r="CP53" s="1894">
        <f t="shared" si="20"/>
        <v>4645</v>
      </c>
      <c r="CQ53" s="1894">
        <f t="shared" si="21"/>
        <v>0</v>
      </c>
      <c r="CR53" s="1924">
        <v>120</v>
      </c>
      <c r="CS53" s="1924">
        <v>12.559999999999999</v>
      </c>
      <c r="CT53" s="1924">
        <v>96</v>
      </c>
      <c r="CU53" s="1924">
        <v>0.99450000000000005</v>
      </c>
      <c r="CV53" s="1924">
        <v>39.31</v>
      </c>
      <c r="CW53" s="1924">
        <v>3673</v>
      </c>
      <c r="CX53" s="1894">
        <f t="shared" si="22"/>
        <v>5607</v>
      </c>
      <c r="CY53" s="1894">
        <f t="shared" si="23"/>
        <v>0</v>
      </c>
    </row>
    <row r="54" spans="1:103">
      <c r="A54" s="982">
        <v>124000000053</v>
      </c>
      <c r="B54" s="1923">
        <f t="shared" si="24"/>
        <v>48</v>
      </c>
      <c r="C54" s="1895" t="s">
        <v>2951</v>
      </c>
      <c r="D54" s="1894" t="s">
        <v>524</v>
      </c>
      <c r="E54" s="1895" t="s">
        <v>636</v>
      </c>
      <c r="F54" s="1894" t="s">
        <v>259</v>
      </c>
      <c r="G54" s="1924">
        <v>120</v>
      </c>
      <c r="H54" s="1894">
        <v>120</v>
      </c>
      <c r="I54" s="1894">
        <v>66.84</v>
      </c>
      <c r="J54" s="1894">
        <v>96</v>
      </c>
      <c r="K54" s="1894">
        <v>0.98699999999999999</v>
      </c>
      <c r="L54" s="1894">
        <v>30.62</v>
      </c>
      <c r="M54" s="1894">
        <v>14738</v>
      </c>
      <c r="N54" s="1894">
        <f t="shared" si="0"/>
        <v>28875</v>
      </c>
      <c r="O54" s="1894">
        <f t="shared" si="1"/>
        <v>0</v>
      </c>
      <c r="P54" s="1894">
        <v>120</v>
      </c>
      <c r="Q54" s="1894">
        <v>62.4</v>
      </c>
      <c r="R54" s="1894">
        <v>96</v>
      </c>
      <c r="S54" s="1894">
        <v>0.98460000000000003</v>
      </c>
      <c r="T54" s="1894">
        <v>31.95</v>
      </c>
      <c r="U54" s="1894">
        <v>14831</v>
      </c>
      <c r="V54" s="1894">
        <f t="shared" si="2"/>
        <v>27855</v>
      </c>
      <c r="W54" s="1894">
        <f t="shared" si="3"/>
        <v>0</v>
      </c>
      <c r="X54" s="1894">
        <v>120</v>
      </c>
      <c r="Y54" s="1894">
        <v>44.52</v>
      </c>
      <c r="Z54" s="1894">
        <v>96</v>
      </c>
      <c r="AA54" s="1894">
        <v>0.95379999999999998</v>
      </c>
      <c r="AB54" s="1894">
        <v>24.16</v>
      </c>
      <c r="AC54" s="1894">
        <v>7743</v>
      </c>
      <c r="AD54" s="1894">
        <f t="shared" si="4"/>
        <v>19233</v>
      </c>
      <c r="AE54" s="1894">
        <f t="shared" si="5"/>
        <v>0</v>
      </c>
      <c r="AF54" s="1894">
        <v>120</v>
      </c>
      <c r="AG54" s="1894">
        <v>44.040000000000006</v>
      </c>
      <c r="AH54" s="1894">
        <v>96</v>
      </c>
      <c r="AI54" s="1894">
        <v>0.98109999999999997</v>
      </c>
      <c r="AJ54" s="1894">
        <v>38.549999999999997</v>
      </c>
      <c r="AK54" s="1894">
        <v>12630</v>
      </c>
      <c r="AL54" s="1894">
        <f t="shared" si="6"/>
        <v>19659</v>
      </c>
      <c r="AM54" s="1894">
        <f t="shared" si="7"/>
        <v>0</v>
      </c>
      <c r="AN54" s="1894">
        <v>120</v>
      </c>
      <c r="AO54" s="1894">
        <v>39.24</v>
      </c>
      <c r="AP54" s="1894">
        <v>96</v>
      </c>
      <c r="AQ54" s="1894">
        <v>0.98219999999999996</v>
      </c>
      <c r="AR54" s="1894">
        <v>46.23</v>
      </c>
      <c r="AS54" s="1894">
        <v>13496</v>
      </c>
      <c r="AT54" s="1894">
        <f t="shared" si="8"/>
        <v>17517</v>
      </c>
      <c r="AU54" s="1894">
        <f t="shared" si="9"/>
        <v>0</v>
      </c>
      <c r="AV54" s="1894">
        <v>120</v>
      </c>
      <c r="AW54" s="1894">
        <v>45.36</v>
      </c>
      <c r="AX54" s="1894">
        <v>96</v>
      </c>
      <c r="AY54" s="1894">
        <v>0.98460000000000003</v>
      </c>
      <c r="AZ54" s="1894">
        <v>42.18</v>
      </c>
      <c r="BA54" s="1894">
        <v>13775</v>
      </c>
      <c r="BB54" s="1894">
        <f t="shared" si="10"/>
        <v>19596</v>
      </c>
      <c r="BC54" s="1894">
        <f t="shared" si="11"/>
        <v>0</v>
      </c>
      <c r="BD54" s="1894">
        <v>120</v>
      </c>
      <c r="BE54" s="1894">
        <v>30</v>
      </c>
      <c r="BF54" s="1894">
        <v>96</v>
      </c>
      <c r="BG54" s="1894">
        <v>0.96089999999999998</v>
      </c>
      <c r="BH54" s="1894">
        <v>38.19</v>
      </c>
      <c r="BI54" s="1894">
        <v>8524</v>
      </c>
      <c r="BJ54" s="1894">
        <f t="shared" si="12"/>
        <v>13392</v>
      </c>
      <c r="BK54" s="1894">
        <f t="shared" si="13"/>
        <v>0</v>
      </c>
      <c r="BL54" s="1894">
        <v>120</v>
      </c>
      <c r="BM54" s="1894">
        <v>19.920000000000002</v>
      </c>
      <c r="BN54" s="1894">
        <v>96</v>
      </c>
      <c r="BO54" s="1894">
        <v>0.95520000000000005</v>
      </c>
      <c r="BP54" s="1894">
        <v>49.43</v>
      </c>
      <c r="BQ54" s="1894">
        <v>7090</v>
      </c>
      <c r="BR54" s="1894">
        <f t="shared" si="14"/>
        <v>8605</v>
      </c>
      <c r="BS54" s="1894">
        <f t="shared" si="15"/>
        <v>0</v>
      </c>
      <c r="BT54" s="1894">
        <v>120</v>
      </c>
      <c r="BU54" s="1894">
        <v>18.12</v>
      </c>
      <c r="BV54" s="1894">
        <v>96</v>
      </c>
      <c r="BW54" s="1894">
        <v>0.91659999999999997</v>
      </c>
      <c r="BX54" s="1894">
        <v>33.909999999999997</v>
      </c>
      <c r="BY54" s="1894">
        <v>4572</v>
      </c>
      <c r="BZ54" s="1894">
        <f t="shared" si="16"/>
        <v>8089</v>
      </c>
      <c r="CA54" s="1894">
        <f t="shared" si="17"/>
        <v>0</v>
      </c>
      <c r="CB54" s="1894">
        <v>120</v>
      </c>
      <c r="CC54" s="1894">
        <v>18.84</v>
      </c>
      <c r="CD54" s="1894">
        <v>96</v>
      </c>
      <c r="CE54" s="1894">
        <v>0.9425</v>
      </c>
      <c r="CF54" s="1894">
        <v>36.25</v>
      </c>
      <c r="CG54" s="1894">
        <v>5081</v>
      </c>
      <c r="CH54" s="1894">
        <f t="shared" si="18"/>
        <v>8410</v>
      </c>
      <c r="CI54" s="1894">
        <f t="shared" si="19"/>
        <v>0</v>
      </c>
      <c r="CJ54" s="1894">
        <v>120</v>
      </c>
      <c r="CK54" s="1894">
        <v>25.200000000000003</v>
      </c>
      <c r="CL54" s="1894">
        <v>96</v>
      </c>
      <c r="CM54" s="1894">
        <v>0.96299999999999997</v>
      </c>
      <c r="CN54" s="1894">
        <v>43.96</v>
      </c>
      <c r="CO54" s="1894">
        <v>7444</v>
      </c>
      <c r="CP54" s="1894">
        <f t="shared" si="20"/>
        <v>10161</v>
      </c>
      <c r="CQ54" s="1894">
        <f t="shared" si="21"/>
        <v>0</v>
      </c>
      <c r="CR54" s="1924">
        <v>120</v>
      </c>
      <c r="CS54" s="1924">
        <v>25.56</v>
      </c>
      <c r="CT54" s="1924">
        <v>96</v>
      </c>
      <c r="CU54" s="1924">
        <v>0.96779999999999999</v>
      </c>
      <c r="CV54" s="1924">
        <v>46.22</v>
      </c>
      <c r="CW54" s="1924">
        <v>8789</v>
      </c>
      <c r="CX54" s="1894">
        <f t="shared" si="22"/>
        <v>11410</v>
      </c>
      <c r="CY54" s="1894">
        <f t="shared" si="23"/>
        <v>0</v>
      </c>
    </row>
    <row r="55" spans="1:103">
      <c r="A55" s="982">
        <v>125000000031</v>
      </c>
      <c r="B55" s="1923">
        <f t="shared" si="24"/>
        <v>49</v>
      </c>
      <c r="C55" s="1895" t="s">
        <v>2952</v>
      </c>
      <c r="D55" s="1894" t="s">
        <v>524</v>
      </c>
      <c r="E55" s="1895" t="s">
        <v>541</v>
      </c>
      <c r="F55" s="1894" t="s">
        <v>259</v>
      </c>
      <c r="G55" s="1924">
        <v>120</v>
      </c>
      <c r="H55" s="1894">
        <v>120</v>
      </c>
      <c r="I55" s="1894">
        <v>99.92</v>
      </c>
      <c r="J55" s="1894">
        <v>99.92</v>
      </c>
      <c r="K55" s="1894">
        <v>0.94299999999999995</v>
      </c>
      <c r="L55" s="1894">
        <v>9.1999999999999993</v>
      </c>
      <c r="M55" s="1894">
        <v>6618</v>
      </c>
      <c r="N55" s="1894">
        <f t="shared" si="0"/>
        <v>43165</v>
      </c>
      <c r="O55" s="1894">
        <f t="shared" si="1"/>
        <v>0</v>
      </c>
      <c r="P55" s="1894">
        <v>120</v>
      </c>
      <c r="Q55" s="1894">
        <v>100.4</v>
      </c>
      <c r="R55" s="1894">
        <v>100.4</v>
      </c>
      <c r="S55" s="1894">
        <v>0.95240000000000002</v>
      </c>
      <c r="T55" s="1894">
        <v>12.64</v>
      </c>
      <c r="U55" s="1894">
        <v>9441</v>
      </c>
      <c r="V55" s="1894">
        <f t="shared" si="2"/>
        <v>44819</v>
      </c>
      <c r="W55" s="1894">
        <f t="shared" si="3"/>
        <v>0</v>
      </c>
      <c r="X55" s="1894">
        <v>120</v>
      </c>
      <c r="Y55" s="1894">
        <v>100.16000000000001</v>
      </c>
      <c r="Z55" s="1894">
        <v>100.16</v>
      </c>
      <c r="AA55" s="1894">
        <v>0.94879999999999998</v>
      </c>
      <c r="AB55" s="1894">
        <v>13.33</v>
      </c>
      <c r="AC55" s="1894">
        <v>9616</v>
      </c>
      <c r="AD55" s="1894">
        <f t="shared" si="4"/>
        <v>43269</v>
      </c>
      <c r="AE55" s="1894">
        <f t="shared" si="5"/>
        <v>0</v>
      </c>
      <c r="AF55" s="1894">
        <v>120</v>
      </c>
      <c r="AG55" s="1894">
        <v>73.599999999999994</v>
      </c>
      <c r="AH55" s="1894">
        <v>96</v>
      </c>
      <c r="AI55" s="1894">
        <v>0.88680000000000003</v>
      </c>
      <c r="AJ55" s="1894">
        <v>11.12</v>
      </c>
      <c r="AK55" s="1894">
        <v>6091</v>
      </c>
      <c r="AL55" s="1894">
        <f t="shared" si="6"/>
        <v>32855</v>
      </c>
      <c r="AM55" s="1894">
        <f t="shared" si="7"/>
        <v>0</v>
      </c>
      <c r="AN55" s="1894">
        <v>120</v>
      </c>
      <c r="AO55" s="1894">
        <v>87.68</v>
      </c>
      <c r="AP55" s="1894">
        <v>96</v>
      </c>
      <c r="AQ55" s="1894">
        <v>0.82709999999999995</v>
      </c>
      <c r="AR55" s="1894">
        <v>3.49</v>
      </c>
      <c r="AS55" s="1894">
        <v>2279</v>
      </c>
      <c r="AT55" s="1894">
        <f t="shared" si="8"/>
        <v>39140</v>
      </c>
      <c r="AU55" s="1894">
        <f t="shared" si="9"/>
        <v>0</v>
      </c>
      <c r="AV55" s="1894">
        <v>120</v>
      </c>
      <c r="AW55" s="1894">
        <v>91.2</v>
      </c>
      <c r="AX55" s="1894">
        <v>96</v>
      </c>
      <c r="AY55" s="1894">
        <v>0.93179999999999996</v>
      </c>
      <c r="AZ55" s="1894">
        <v>13.69</v>
      </c>
      <c r="BA55" s="1894">
        <v>8989</v>
      </c>
      <c r="BB55" s="1894">
        <f t="shared" si="10"/>
        <v>39398</v>
      </c>
      <c r="BC55" s="1894">
        <f t="shared" si="11"/>
        <v>0</v>
      </c>
      <c r="BD55" s="1894">
        <v>120</v>
      </c>
      <c r="BE55" s="1894">
        <v>87.52</v>
      </c>
      <c r="BF55" s="1894">
        <v>96</v>
      </c>
      <c r="BG55" s="1894">
        <v>0.91320000000000001</v>
      </c>
      <c r="BH55" s="1894">
        <v>13.83</v>
      </c>
      <c r="BI55" s="1894">
        <v>9005</v>
      </c>
      <c r="BJ55" s="1894">
        <f t="shared" si="12"/>
        <v>39069</v>
      </c>
      <c r="BK55" s="1894">
        <f t="shared" si="13"/>
        <v>0</v>
      </c>
      <c r="BL55" s="1894">
        <v>120</v>
      </c>
      <c r="BM55" s="1894">
        <v>93.28</v>
      </c>
      <c r="BN55" s="1894">
        <v>96</v>
      </c>
      <c r="BO55" s="1894">
        <v>0.75329999999999997</v>
      </c>
      <c r="BP55" s="1894">
        <v>12.54</v>
      </c>
      <c r="BQ55" s="1894">
        <v>8421</v>
      </c>
      <c r="BR55" s="1894">
        <f t="shared" si="14"/>
        <v>40297</v>
      </c>
      <c r="BS55" s="1894">
        <f t="shared" si="15"/>
        <v>0</v>
      </c>
      <c r="BT55" s="1894">
        <v>120</v>
      </c>
      <c r="BU55" s="1894">
        <v>102</v>
      </c>
      <c r="BV55" s="1894">
        <v>102</v>
      </c>
      <c r="BW55" s="1894">
        <v>0.91479999999999995</v>
      </c>
      <c r="BX55" s="1894">
        <v>13.63</v>
      </c>
      <c r="BY55" s="1894">
        <v>10346</v>
      </c>
      <c r="BZ55" s="1894">
        <f t="shared" si="16"/>
        <v>45533</v>
      </c>
      <c r="CA55" s="1894">
        <f t="shared" si="17"/>
        <v>0</v>
      </c>
      <c r="CB55" s="1894">
        <v>120</v>
      </c>
      <c r="CC55" s="1894">
        <v>95.6</v>
      </c>
      <c r="CD55" s="1894">
        <v>96</v>
      </c>
      <c r="CE55" s="1894">
        <v>0.92010000000000003</v>
      </c>
      <c r="CF55" s="1894">
        <v>14.55</v>
      </c>
      <c r="CG55" s="1894">
        <v>10352</v>
      </c>
      <c r="CH55" s="1894">
        <f t="shared" si="18"/>
        <v>42676</v>
      </c>
      <c r="CI55" s="1894">
        <f t="shared" si="19"/>
        <v>0</v>
      </c>
      <c r="CJ55" s="1894">
        <v>120</v>
      </c>
      <c r="CK55" s="1894">
        <v>94.320000000000007</v>
      </c>
      <c r="CL55" s="1894">
        <v>96</v>
      </c>
      <c r="CM55" s="1894">
        <v>0.95369999999999999</v>
      </c>
      <c r="CN55" s="1894">
        <v>18.88</v>
      </c>
      <c r="CO55" s="1894">
        <v>11965</v>
      </c>
      <c r="CP55" s="1894">
        <f t="shared" si="20"/>
        <v>38030</v>
      </c>
      <c r="CQ55" s="1894">
        <f t="shared" si="21"/>
        <v>0</v>
      </c>
      <c r="CR55" s="1924">
        <v>120</v>
      </c>
      <c r="CS55" s="1924">
        <v>87.36</v>
      </c>
      <c r="CT55" s="1924">
        <v>96</v>
      </c>
      <c r="CU55" s="1924">
        <v>0.95489999999999997</v>
      </c>
      <c r="CV55" s="1924">
        <v>19.86</v>
      </c>
      <c r="CW55" s="1924">
        <v>12910</v>
      </c>
      <c r="CX55" s="1894">
        <f t="shared" si="22"/>
        <v>38998</v>
      </c>
      <c r="CY55" s="1894">
        <f t="shared" si="23"/>
        <v>0</v>
      </c>
    </row>
    <row r="56" spans="1:103">
      <c r="A56" s="982">
        <v>615000000006</v>
      </c>
      <c r="B56" s="1923">
        <f t="shared" si="24"/>
        <v>50</v>
      </c>
      <c r="C56" s="1895" t="s">
        <v>2953</v>
      </c>
      <c r="D56" s="1894" t="s">
        <v>524</v>
      </c>
      <c r="E56" s="1895" t="s">
        <v>541</v>
      </c>
      <c r="F56" s="1894" t="s">
        <v>259</v>
      </c>
      <c r="G56" s="1924">
        <v>120</v>
      </c>
      <c r="H56" s="1894">
        <v>120</v>
      </c>
      <c r="I56" s="1894">
        <v>103.44</v>
      </c>
      <c r="J56" s="1894">
        <v>103.44</v>
      </c>
      <c r="K56" s="1894">
        <v>0.74880000000000002</v>
      </c>
      <c r="L56" s="1894">
        <v>14.53</v>
      </c>
      <c r="M56" s="1894">
        <v>10821</v>
      </c>
      <c r="N56" s="1894">
        <f t="shared" si="0"/>
        <v>44686</v>
      </c>
      <c r="O56" s="1894">
        <f t="shared" si="1"/>
        <v>0</v>
      </c>
      <c r="P56" s="1894">
        <v>120</v>
      </c>
      <c r="Q56" s="1894">
        <v>84.72</v>
      </c>
      <c r="R56" s="1894">
        <v>96</v>
      </c>
      <c r="S56" s="1894">
        <v>0.90280000000000005</v>
      </c>
      <c r="T56" s="1894">
        <v>9.26</v>
      </c>
      <c r="U56" s="1894">
        <v>5838</v>
      </c>
      <c r="V56" s="1894">
        <f t="shared" si="2"/>
        <v>37819</v>
      </c>
      <c r="W56" s="1894">
        <f t="shared" si="3"/>
        <v>0</v>
      </c>
      <c r="X56" s="1894">
        <v>120</v>
      </c>
      <c r="Y56" s="1894">
        <v>124.32</v>
      </c>
      <c r="Z56" s="1894">
        <v>124.32</v>
      </c>
      <c r="AA56" s="1894">
        <v>0.73340000000000005</v>
      </c>
      <c r="AB56" s="1894">
        <v>22.58</v>
      </c>
      <c r="AC56" s="1894">
        <v>20214</v>
      </c>
      <c r="AD56" s="1894">
        <f t="shared" si="4"/>
        <v>53706</v>
      </c>
      <c r="AE56" s="1894">
        <f t="shared" si="5"/>
        <v>0</v>
      </c>
      <c r="AF56" s="1894">
        <v>120</v>
      </c>
      <c r="AG56" s="1894">
        <v>129.36000000000001</v>
      </c>
      <c r="AH56" s="1894">
        <v>129.36000000000001</v>
      </c>
      <c r="AI56" s="1894">
        <v>0.74119999999999997</v>
      </c>
      <c r="AJ56" s="1894">
        <v>21.48</v>
      </c>
      <c r="AK56" s="1894">
        <v>20673</v>
      </c>
      <c r="AL56" s="1894">
        <f t="shared" si="6"/>
        <v>57746</v>
      </c>
      <c r="AM56" s="1894">
        <f t="shared" si="7"/>
        <v>0</v>
      </c>
      <c r="AN56" s="1894">
        <v>120</v>
      </c>
      <c r="AO56" s="1894">
        <v>106.32</v>
      </c>
      <c r="AP56" s="1894">
        <v>106.32</v>
      </c>
      <c r="AQ56" s="1894">
        <v>0.63319999999999999</v>
      </c>
      <c r="AR56" s="1894">
        <v>17.489999999999998</v>
      </c>
      <c r="AS56" s="1894">
        <v>13833</v>
      </c>
      <c r="AT56" s="1894">
        <f t="shared" si="8"/>
        <v>47461</v>
      </c>
      <c r="AU56" s="1894">
        <f t="shared" si="9"/>
        <v>0</v>
      </c>
      <c r="AV56" s="1894">
        <v>120</v>
      </c>
      <c r="AW56" s="1894">
        <v>52.32</v>
      </c>
      <c r="AX56" s="1894">
        <v>96</v>
      </c>
      <c r="AY56" s="1894">
        <v>0.50239999999999996</v>
      </c>
      <c r="AZ56" s="1894">
        <v>38.64</v>
      </c>
      <c r="BA56" s="1894">
        <v>14556</v>
      </c>
      <c r="BB56" s="1894">
        <f t="shared" si="10"/>
        <v>22602</v>
      </c>
      <c r="BC56" s="1894">
        <f t="shared" si="11"/>
        <v>0</v>
      </c>
      <c r="BD56" s="1894">
        <v>120</v>
      </c>
      <c r="BE56" s="1894">
        <v>103.68</v>
      </c>
      <c r="BF56" s="1894">
        <v>103.68</v>
      </c>
      <c r="BG56" s="1894">
        <v>0.67379999999999995</v>
      </c>
      <c r="BH56" s="1894">
        <v>17.559999999999999</v>
      </c>
      <c r="BI56" s="1894">
        <v>13548</v>
      </c>
      <c r="BJ56" s="1894">
        <f t="shared" si="12"/>
        <v>46283</v>
      </c>
      <c r="BK56" s="1894">
        <f t="shared" si="13"/>
        <v>0</v>
      </c>
      <c r="BL56" s="1894">
        <v>120</v>
      </c>
      <c r="BM56" s="1894">
        <v>120.72</v>
      </c>
      <c r="BN56" s="1894">
        <v>120.72</v>
      </c>
      <c r="BO56" s="1894">
        <v>0.60580000000000001</v>
      </c>
      <c r="BP56" s="1894">
        <v>30.85</v>
      </c>
      <c r="BQ56" s="1894">
        <v>26814</v>
      </c>
      <c r="BR56" s="1894">
        <f t="shared" si="14"/>
        <v>52151</v>
      </c>
      <c r="BS56" s="1894">
        <f t="shared" si="15"/>
        <v>0</v>
      </c>
      <c r="BT56" s="1894">
        <v>120</v>
      </c>
      <c r="BU56" s="1894">
        <v>119.52</v>
      </c>
      <c r="BV56" s="1894">
        <v>119.52</v>
      </c>
      <c r="BW56" s="1894">
        <v>0.59470000000000001</v>
      </c>
      <c r="BX56" s="1894">
        <v>17.39</v>
      </c>
      <c r="BY56" s="1894">
        <v>15465</v>
      </c>
      <c r="BZ56" s="1894">
        <f t="shared" si="16"/>
        <v>53354</v>
      </c>
      <c r="CA56" s="1894">
        <f t="shared" si="17"/>
        <v>0</v>
      </c>
      <c r="CB56" s="1894">
        <v>120</v>
      </c>
      <c r="CC56" s="1894">
        <v>44.4</v>
      </c>
      <c r="CD56" s="1894">
        <v>96</v>
      </c>
      <c r="CE56" s="1894">
        <v>0.51490000000000002</v>
      </c>
      <c r="CF56" s="1894">
        <v>28.82</v>
      </c>
      <c r="CG56" s="1894">
        <v>9519</v>
      </c>
      <c r="CH56" s="1894">
        <f t="shared" si="18"/>
        <v>19820</v>
      </c>
      <c r="CI56" s="1894">
        <f t="shared" si="19"/>
        <v>0</v>
      </c>
      <c r="CJ56" s="1894">
        <v>120</v>
      </c>
      <c r="CK56" s="1894">
        <v>20.64</v>
      </c>
      <c r="CL56" s="1894">
        <v>96</v>
      </c>
      <c r="CM56" s="1894">
        <v>0.90359999999999996</v>
      </c>
      <c r="CN56" s="1894">
        <v>17.739999999999998</v>
      </c>
      <c r="CO56" s="1894">
        <v>2460</v>
      </c>
      <c r="CP56" s="1894">
        <f t="shared" si="20"/>
        <v>8322</v>
      </c>
      <c r="CQ56" s="1894">
        <f t="shared" si="21"/>
        <v>0</v>
      </c>
      <c r="CR56" s="1924">
        <v>120</v>
      </c>
      <c r="CS56" s="1924">
        <v>34.56</v>
      </c>
      <c r="CT56" s="1924">
        <v>96</v>
      </c>
      <c r="CU56" s="1924">
        <v>0.71960000000000002</v>
      </c>
      <c r="CV56" s="1924">
        <v>16.149999999999999</v>
      </c>
      <c r="CW56" s="1924">
        <v>4152</v>
      </c>
      <c r="CX56" s="1894">
        <f t="shared" si="22"/>
        <v>15428</v>
      </c>
      <c r="CY56" s="1894">
        <f t="shared" si="23"/>
        <v>0</v>
      </c>
    </row>
    <row r="57" spans="1:103">
      <c r="A57" s="982">
        <v>613000000025</v>
      </c>
      <c r="B57" s="1923">
        <f t="shared" si="24"/>
        <v>51</v>
      </c>
      <c r="C57" s="1895" t="s">
        <v>2954</v>
      </c>
      <c r="D57" s="1894" t="s">
        <v>524</v>
      </c>
      <c r="E57" s="1895" t="s">
        <v>636</v>
      </c>
      <c r="F57" s="1894" t="s">
        <v>259</v>
      </c>
      <c r="G57" s="1924">
        <v>120</v>
      </c>
      <c r="H57" s="1894">
        <v>120</v>
      </c>
      <c r="I57" s="1894">
        <v>25.2</v>
      </c>
      <c r="J57" s="1894">
        <v>96</v>
      </c>
      <c r="K57" s="1894">
        <v>0.99670000000000003</v>
      </c>
      <c r="L57" s="1894">
        <v>35.119999999999997</v>
      </c>
      <c r="M57" s="1894">
        <v>6372</v>
      </c>
      <c r="N57" s="1894">
        <f t="shared" si="0"/>
        <v>10886</v>
      </c>
      <c r="O57" s="1894">
        <f t="shared" si="1"/>
        <v>0</v>
      </c>
      <c r="P57" s="1894">
        <v>120</v>
      </c>
      <c r="Q57" s="1894">
        <v>24.72</v>
      </c>
      <c r="R57" s="1894">
        <v>96</v>
      </c>
      <c r="S57" s="1894">
        <v>0.99819999999999998</v>
      </c>
      <c r="T57" s="1894">
        <v>31</v>
      </c>
      <c r="U57" s="1894">
        <v>5701</v>
      </c>
      <c r="V57" s="1894">
        <f t="shared" si="2"/>
        <v>11035</v>
      </c>
      <c r="W57" s="1894">
        <f t="shared" si="3"/>
        <v>0</v>
      </c>
      <c r="X57" s="1894">
        <v>120</v>
      </c>
      <c r="Y57" s="1894">
        <v>24.560000000000002</v>
      </c>
      <c r="Z57" s="1894">
        <v>96</v>
      </c>
      <c r="AA57" s="1894">
        <v>0.99629999999999996</v>
      </c>
      <c r="AB57" s="1894">
        <v>29.78</v>
      </c>
      <c r="AC57" s="1894">
        <v>5266</v>
      </c>
      <c r="AD57" s="1894">
        <f t="shared" si="4"/>
        <v>10610</v>
      </c>
      <c r="AE57" s="1894">
        <f t="shared" si="5"/>
        <v>0</v>
      </c>
      <c r="AF57" s="1894">
        <v>120</v>
      </c>
      <c r="AG57" s="1894">
        <v>40.72</v>
      </c>
      <c r="AH57" s="1894">
        <v>96</v>
      </c>
      <c r="AI57" s="1894">
        <v>0.99450000000000005</v>
      </c>
      <c r="AJ57" s="1894">
        <v>21.36</v>
      </c>
      <c r="AK57" s="1894">
        <v>6471</v>
      </c>
      <c r="AL57" s="1894">
        <f t="shared" si="6"/>
        <v>18177</v>
      </c>
      <c r="AM57" s="1894">
        <f t="shared" si="7"/>
        <v>0</v>
      </c>
      <c r="AN57" s="1894">
        <v>120</v>
      </c>
      <c r="AO57" s="1894">
        <v>22.32</v>
      </c>
      <c r="AP57" s="1894">
        <v>96</v>
      </c>
      <c r="AQ57" s="1894">
        <v>0.99560000000000004</v>
      </c>
      <c r="AR57" s="1894">
        <v>29.17</v>
      </c>
      <c r="AS57" s="1894">
        <v>4844</v>
      </c>
      <c r="AT57" s="1894">
        <f t="shared" si="8"/>
        <v>9964</v>
      </c>
      <c r="AU57" s="1894">
        <f t="shared" si="9"/>
        <v>0</v>
      </c>
      <c r="AV57" s="1894">
        <v>120</v>
      </c>
      <c r="AW57" s="1894">
        <v>19.52</v>
      </c>
      <c r="AX57" s="1894">
        <v>96</v>
      </c>
      <c r="AY57" s="1894">
        <v>0.99670000000000003</v>
      </c>
      <c r="AZ57" s="1894">
        <v>39.89</v>
      </c>
      <c r="BA57" s="1894">
        <v>5607</v>
      </c>
      <c r="BB57" s="1894">
        <f t="shared" si="10"/>
        <v>8433</v>
      </c>
      <c r="BC57" s="1894">
        <f t="shared" si="11"/>
        <v>0</v>
      </c>
      <c r="BD57" s="1894">
        <v>120</v>
      </c>
      <c r="BE57" s="1894">
        <v>15.52</v>
      </c>
      <c r="BF57" s="1894">
        <v>96</v>
      </c>
      <c r="BG57" s="1894">
        <v>0.99170000000000003</v>
      </c>
      <c r="BH57" s="1894">
        <v>33.700000000000003</v>
      </c>
      <c r="BI57" s="1894">
        <v>3891</v>
      </c>
      <c r="BJ57" s="1894">
        <f t="shared" si="12"/>
        <v>6928</v>
      </c>
      <c r="BK57" s="1894">
        <f t="shared" si="13"/>
        <v>0</v>
      </c>
      <c r="BL57" s="1894">
        <v>120</v>
      </c>
      <c r="BM57" s="1894">
        <v>14.24</v>
      </c>
      <c r="BN57" s="1894">
        <v>96</v>
      </c>
      <c r="BO57" s="1894">
        <v>0.98850000000000005</v>
      </c>
      <c r="BP57" s="1894">
        <v>39.020000000000003</v>
      </c>
      <c r="BQ57" s="1894">
        <v>4001</v>
      </c>
      <c r="BR57" s="1894">
        <f t="shared" si="14"/>
        <v>6152</v>
      </c>
      <c r="BS57" s="1894">
        <f t="shared" si="15"/>
        <v>0</v>
      </c>
      <c r="BT57" s="1894">
        <v>120</v>
      </c>
      <c r="BU57" s="1894">
        <v>13.600000000000001</v>
      </c>
      <c r="BV57" s="1894">
        <v>96</v>
      </c>
      <c r="BW57" s="1894">
        <v>0.99180000000000001</v>
      </c>
      <c r="BX57" s="1894">
        <v>39.99</v>
      </c>
      <c r="BY57" s="1894">
        <v>4046</v>
      </c>
      <c r="BZ57" s="1894">
        <f t="shared" si="16"/>
        <v>6071</v>
      </c>
      <c r="CA57" s="1894">
        <f t="shared" si="17"/>
        <v>0</v>
      </c>
      <c r="CB57" s="1894">
        <v>120</v>
      </c>
      <c r="CC57" s="1894">
        <v>11.600000000000001</v>
      </c>
      <c r="CD57" s="1894">
        <v>96</v>
      </c>
      <c r="CE57" s="1894">
        <v>0.99180000000000001</v>
      </c>
      <c r="CF57" s="1894">
        <v>42.45</v>
      </c>
      <c r="CG57" s="1894">
        <v>3664</v>
      </c>
      <c r="CH57" s="1894">
        <f t="shared" si="18"/>
        <v>5178</v>
      </c>
      <c r="CI57" s="1894">
        <f t="shared" si="19"/>
        <v>0</v>
      </c>
      <c r="CJ57" s="1894">
        <v>120</v>
      </c>
      <c r="CK57" s="1894">
        <v>16.559999999999999</v>
      </c>
      <c r="CL57" s="1894">
        <v>96</v>
      </c>
      <c r="CM57" s="1894">
        <v>0.99199999999999999</v>
      </c>
      <c r="CN57" s="1894">
        <v>39.57</v>
      </c>
      <c r="CO57" s="1894">
        <v>4403</v>
      </c>
      <c r="CP57" s="1894">
        <f t="shared" si="20"/>
        <v>6677</v>
      </c>
      <c r="CQ57" s="1894">
        <f t="shared" si="21"/>
        <v>0</v>
      </c>
      <c r="CR57" s="1924">
        <v>120</v>
      </c>
      <c r="CS57" s="1924">
        <v>24.08</v>
      </c>
      <c r="CT57" s="1924">
        <v>96</v>
      </c>
      <c r="CU57" s="1924">
        <v>0.99409999999999998</v>
      </c>
      <c r="CV57" s="1924">
        <v>29.73</v>
      </c>
      <c r="CW57" s="1924">
        <v>5327</v>
      </c>
      <c r="CX57" s="1894">
        <f t="shared" si="22"/>
        <v>10749</v>
      </c>
      <c r="CY57" s="1894">
        <f t="shared" si="23"/>
        <v>0</v>
      </c>
    </row>
    <row r="58" spans="1:103">
      <c r="A58" s="982">
        <v>622000000155</v>
      </c>
      <c r="B58" s="1923">
        <f t="shared" si="24"/>
        <v>52</v>
      </c>
      <c r="C58" s="1895" t="s">
        <v>2955</v>
      </c>
      <c r="D58" s="1894" t="s">
        <v>524</v>
      </c>
      <c r="E58" s="1895" t="s">
        <v>541</v>
      </c>
      <c r="F58" s="1894" t="s">
        <v>259</v>
      </c>
      <c r="G58" s="1924">
        <v>120</v>
      </c>
      <c r="H58" s="1894">
        <v>120</v>
      </c>
      <c r="I58" s="1894">
        <v>118.94</v>
      </c>
      <c r="J58" s="1894">
        <v>118.94</v>
      </c>
      <c r="K58" s="1894">
        <v>0.99490000000000001</v>
      </c>
      <c r="L58" s="1894">
        <v>35.6</v>
      </c>
      <c r="M58" s="1894">
        <v>33532</v>
      </c>
      <c r="N58" s="1894">
        <f t="shared" si="0"/>
        <v>51382</v>
      </c>
      <c r="O58" s="1894">
        <f t="shared" si="1"/>
        <v>0</v>
      </c>
      <c r="P58" s="1894">
        <v>120</v>
      </c>
      <c r="Q58" s="1894">
        <v>92</v>
      </c>
      <c r="R58" s="1894">
        <v>96</v>
      </c>
      <c r="S58" s="1894">
        <v>0.99209999999999998</v>
      </c>
      <c r="T58" s="1894">
        <v>39.54</v>
      </c>
      <c r="U58" s="1894">
        <v>25320</v>
      </c>
      <c r="V58" s="1894">
        <f t="shared" si="2"/>
        <v>41069</v>
      </c>
      <c r="W58" s="1894">
        <f t="shared" si="3"/>
        <v>0</v>
      </c>
      <c r="X58" s="1894">
        <v>120</v>
      </c>
      <c r="Y58" s="1894">
        <v>84.94</v>
      </c>
      <c r="Z58" s="1894">
        <v>96</v>
      </c>
      <c r="AA58" s="1894">
        <v>0.99539999999999995</v>
      </c>
      <c r="AB58" s="1894">
        <v>41.76</v>
      </c>
      <c r="AC58" s="1894">
        <v>26392</v>
      </c>
      <c r="AD58" s="1894">
        <f t="shared" si="4"/>
        <v>36694</v>
      </c>
      <c r="AE58" s="1894">
        <f t="shared" si="5"/>
        <v>0</v>
      </c>
      <c r="AF58" s="1894">
        <v>120</v>
      </c>
      <c r="AG58" s="1894">
        <v>80.739999999999995</v>
      </c>
      <c r="AH58" s="1894">
        <v>96</v>
      </c>
      <c r="AI58" s="1894">
        <v>0.99390000000000001</v>
      </c>
      <c r="AJ58" s="1894">
        <v>35.46</v>
      </c>
      <c r="AK58" s="1894">
        <v>21300</v>
      </c>
      <c r="AL58" s="1894">
        <f t="shared" si="6"/>
        <v>36042</v>
      </c>
      <c r="AM58" s="1894">
        <f t="shared" si="7"/>
        <v>0</v>
      </c>
      <c r="AN58" s="1894">
        <v>120</v>
      </c>
      <c r="AO58" s="1894">
        <v>89.32</v>
      </c>
      <c r="AP58" s="1894">
        <v>96</v>
      </c>
      <c r="AQ58" s="1894">
        <v>0.99429999999999996</v>
      </c>
      <c r="AR58" s="1894">
        <v>33.14</v>
      </c>
      <c r="AS58" s="1894">
        <v>16338</v>
      </c>
      <c r="AT58" s="1894">
        <f t="shared" si="8"/>
        <v>39872</v>
      </c>
      <c r="AU58" s="1894">
        <f t="shared" si="9"/>
        <v>0</v>
      </c>
      <c r="AV58" s="1894">
        <v>120</v>
      </c>
      <c r="AW58" s="1894">
        <v>0</v>
      </c>
      <c r="AX58" s="1894">
        <v>96</v>
      </c>
      <c r="AY58" s="1894">
        <v>0</v>
      </c>
      <c r="AZ58" s="1894">
        <v>0</v>
      </c>
      <c r="BA58" s="1894">
        <v>0</v>
      </c>
      <c r="BB58" s="1894">
        <f t="shared" si="10"/>
        <v>0</v>
      </c>
      <c r="BC58" s="1894">
        <f t="shared" si="11"/>
        <v>0</v>
      </c>
      <c r="BD58" s="1894">
        <v>120</v>
      </c>
      <c r="BE58" s="1894">
        <v>0</v>
      </c>
      <c r="BF58" s="1894">
        <v>96</v>
      </c>
      <c r="BG58" s="1894">
        <v>0</v>
      </c>
      <c r="BH58" s="1894">
        <v>0</v>
      </c>
      <c r="BI58" s="1894">
        <v>0</v>
      </c>
      <c r="BJ58" s="1894">
        <f t="shared" si="12"/>
        <v>0</v>
      </c>
      <c r="BK58" s="1894">
        <f t="shared" si="13"/>
        <v>0</v>
      </c>
      <c r="BL58" s="1894">
        <v>120</v>
      </c>
      <c r="BM58" s="1894">
        <v>0</v>
      </c>
      <c r="BN58" s="1894">
        <v>96</v>
      </c>
      <c r="BO58" s="1894">
        <v>0</v>
      </c>
      <c r="BP58" s="1894">
        <v>0</v>
      </c>
      <c r="BQ58" s="1894">
        <v>0</v>
      </c>
      <c r="BR58" s="1894">
        <f t="shared" si="14"/>
        <v>0</v>
      </c>
      <c r="BS58" s="1894">
        <f t="shared" si="15"/>
        <v>0</v>
      </c>
      <c r="BT58" s="1894">
        <v>120</v>
      </c>
      <c r="BU58" s="1894">
        <v>0</v>
      </c>
      <c r="BV58" s="1894">
        <v>96</v>
      </c>
      <c r="BW58" s="1894">
        <v>0</v>
      </c>
      <c r="BX58" s="1894">
        <v>0</v>
      </c>
      <c r="BY58" s="1894">
        <v>0</v>
      </c>
      <c r="BZ58" s="1894">
        <f t="shared" si="16"/>
        <v>0</v>
      </c>
      <c r="CA58" s="1894">
        <f t="shared" si="17"/>
        <v>0</v>
      </c>
      <c r="CB58" s="1894">
        <v>120</v>
      </c>
      <c r="CC58" s="1894">
        <v>0</v>
      </c>
      <c r="CD58" s="1894">
        <v>96</v>
      </c>
      <c r="CE58" s="1894">
        <v>0</v>
      </c>
      <c r="CF58" s="1894">
        <v>0</v>
      </c>
      <c r="CG58" s="1894">
        <v>0</v>
      </c>
      <c r="CH58" s="1894">
        <f t="shared" si="18"/>
        <v>0</v>
      </c>
      <c r="CI58" s="1894">
        <f t="shared" si="19"/>
        <v>0</v>
      </c>
      <c r="CJ58" s="1894">
        <v>120</v>
      </c>
      <c r="CK58" s="1894">
        <v>0</v>
      </c>
      <c r="CL58" s="1894">
        <v>96</v>
      </c>
      <c r="CM58" s="1894">
        <v>0</v>
      </c>
      <c r="CN58" s="1894">
        <v>0</v>
      </c>
      <c r="CO58" s="1894">
        <v>0</v>
      </c>
      <c r="CP58" s="1894">
        <f t="shared" si="20"/>
        <v>0</v>
      </c>
      <c r="CQ58" s="1894">
        <f t="shared" si="21"/>
        <v>0</v>
      </c>
      <c r="CR58" s="1924">
        <v>120</v>
      </c>
      <c r="CS58" s="1924">
        <v>0</v>
      </c>
      <c r="CT58" s="1924">
        <v>96</v>
      </c>
      <c r="CU58" s="1924">
        <v>0</v>
      </c>
      <c r="CV58" s="1924">
        <v>0</v>
      </c>
      <c r="CW58" s="1924">
        <v>0</v>
      </c>
      <c r="CX58" s="1894">
        <f t="shared" si="22"/>
        <v>0</v>
      </c>
      <c r="CY58" s="1894">
        <f t="shared" si="23"/>
        <v>0</v>
      </c>
    </row>
    <row r="59" spans="1:103">
      <c r="A59" s="982">
        <v>122000000049</v>
      </c>
      <c r="B59" s="1923">
        <f t="shared" si="24"/>
        <v>53</v>
      </c>
      <c r="C59" s="1895" t="s">
        <v>2956</v>
      </c>
      <c r="D59" s="1894" t="s">
        <v>524</v>
      </c>
      <c r="E59" s="1895" t="s">
        <v>541</v>
      </c>
      <c r="F59" s="1894" t="s">
        <v>259</v>
      </c>
      <c r="G59" s="1924">
        <v>121.4</v>
      </c>
      <c r="H59" s="1894">
        <v>121.4</v>
      </c>
      <c r="I59" s="1894">
        <v>79.600000000000009</v>
      </c>
      <c r="J59" s="1894">
        <v>97.12</v>
      </c>
      <c r="K59" s="1894">
        <v>0.95620000000000005</v>
      </c>
      <c r="L59" s="1894">
        <v>25.69</v>
      </c>
      <c r="M59" s="1894">
        <v>14726</v>
      </c>
      <c r="N59" s="1894">
        <f t="shared" si="0"/>
        <v>34387</v>
      </c>
      <c r="O59" s="1894">
        <f t="shared" si="1"/>
        <v>0</v>
      </c>
      <c r="P59" s="1894">
        <v>121.4</v>
      </c>
      <c r="Q59" s="1894">
        <v>75.2</v>
      </c>
      <c r="R59" s="1894">
        <v>97.12</v>
      </c>
      <c r="S59" s="1894">
        <v>0.95269999999999999</v>
      </c>
      <c r="T59" s="1894">
        <v>23.32</v>
      </c>
      <c r="U59" s="1894">
        <v>13046</v>
      </c>
      <c r="V59" s="1894">
        <f t="shared" si="2"/>
        <v>33569</v>
      </c>
      <c r="W59" s="1894">
        <f t="shared" si="3"/>
        <v>0</v>
      </c>
      <c r="X59" s="1894">
        <v>121.4</v>
      </c>
      <c r="Y59" s="1894">
        <v>80.400000000000006</v>
      </c>
      <c r="Z59" s="1894">
        <v>97.12</v>
      </c>
      <c r="AA59" s="1894">
        <v>0.93820000000000003</v>
      </c>
      <c r="AB59" s="1894">
        <v>42.5</v>
      </c>
      <c r="AC59" s="1894">
        <v>24600</v>
      </c>
      <c r="AD59" s="1894">
        <f t="shared" si="4"/>
        <v>34733</v>
      </c>
      <c r="AE59" s="1894">
        <f t="shared" si="5"/>
        <v>0</v>
      </c>
      <c r="AF59" s="1894">
        <v>121.4</v>
      </c>
      <c r="AG59" s="1894">
        <v>83.6</v>
      </c>
      <c r="AH59" s="1894">
        <v>97.12</v>
      </c>
      <c r="AI59" s="1894">
        <v>0.94450000000000001</v>
      </c>
      <c r="AJ59" s="1894">
        <v>37.72</v>
      </c>
      <c r="AK59" s="1894">
        <v>23460</v>
      </c>
      <c r="AL59" s="1894">
        <f t="shared" si="6"/>
        <v>37319</v>
      </c>
      <c r="AM59" s="1894">
        <f t="shared" si="7"/>
        <v>0</v>
      </c>
      <c r="AN59" s="1894">
        <v>121.4</v>
      </c>
      <c r="AO59" s="1894">
        <v>80.800000000000011</v>
      </c>
      <c r="AP59" s="1894">
        <v>97.12</v>
      </c>
      <c r="AQ59" s="1894">
        <v>0.9405</v>
      </c>
      <c r="AR59" s="1894">
        <v>44.68</v>
      </c>
      <c r="AS59" s="1894">
        <v>26858</v>
      </c>
      <c r="AT59" s="1894">
        <f t="shared" si="8"/>
        <v>36069</v>
      </c>
      <c r="AU59" s="1894">
        <f t="shared" si="9"/>
        <v>0</v>
      </c>
      <c r="AV59" s="1894">
        <v>121.4</v>
      </c>
      <c r="AW59" s="1894">
        <v>81.2</v>
      </c>
      <c r="AX59" s="1894">
        <v>97.12</v>
      </c>
      <c r="AY59" s="1894">
        <v>0.94210000000000005</v>
      </c>
      <c r="AZ59" s="1894">
        <v>31.85</v>
      </c>
      <c r="BA59" s="1894">
        <v>18002</v>
      </c>
      <c r="BB59" s="1894">
        <f t="shared" si="10"/>
        <v>35078</v>
      </c>
      <c r="BC59" s="1894">
        <f t="shared" si="11"/>
        <v>0</v>
      </c>
      <c r="BD59" s="1894">
        <v>121.4</v>
      </c>
      <c r="BE59" s="1894">
        <v>52.400000000000006</v>
      </c>
      <c r="BF59" s="1894">
        <v>97.12</v>
      </c>
      <c r="BG59" s="1894">
        <v>0.97889999999999999</v>
      </c>
      <c r="BH59" s="1894">
        <v>9.4600000000000009</v>
      </c>
      <c r="BI59" s="1894">
        <v>3806</v>
      </c>
      <c r="BJ59" s="1894">
        <f t="shared" si="12"/>
        <v>23391</v>
      </c>
      <c r="BK59" s="1894">
        <f t="shared" si="13"/>
        <v>0</v>
      </c>
      <c r="BL59" s="1894">
        <v>121.4</v>
      </c>
      <c r="BM59" s="1894">
        <v>60.4</v>
      </c>
      <c r="BN59" s="1894">
        <v>97.12</v>
      </c>
      <c r="BO59" s="1894">
        <v>0.95909999999999995</v>
      </c>
      <c r="BP59" s="1894">
        <v>27.45</v>
      </c>
      <c r="BQ59" s="1894">
        <v>11938</v>
      </c>
      <c r="BR59" s="1894">
        <f t="shared" si="14"/>
        <v>26093</v>
      </c>
      <c r="BS59" s="1894">
        <f t="shared" si="15"/>
        <v>0</v>
      </c>
      <c r="BT59" s="1894">
        <v>121.4</v>
      </c>
      <c r="BU59" s="1894">
        <v>74.400000000000006</v>
      </c>
      <c r="BV59" s="1894">
        <v>97.12</v>
      </c>
      <c r="BW59" s="1894">
        <v>0.96479999999999999</v>
      </c>
      <c r="BX59" s="1894">
        <v>26.45</v>
      </c>
      <c r="BY59" s="1894">
        <v>14640</v>
      </c>
      <c r="BZ59" s="1894">
        <f t="shared" si="16"/>
        <v>33212</v>
      </c>
      <c r="CA59" s="1894">
        <f t="shared" si="17"/>
        <v>0</v>
      </c>
      <c r="CB59" s="1894">
        <v>121.4</v>
      </c>
      <c r="CC59" s="1894">
        <v>67.600000000000009</v>
      </c>
      <c r="CD59" s="1894">
        <v>97.12</v>
      </c>
      <c r="CE59" s="1894">
        <v>0.95379999999999998</v>
      </c>
      <c r="CF59" s="1894">
        <v>24.88</v>
      </c>
      <c r="CG59" s="1894">
        <v>12512</v>
      </c>
      <c r="CH59" s="1894">
        <f t="shared" si="18"/>
        <v>30177</v>
      </c>
      <c r="CI59" s="1894">
        <f t="shared" si="19"/>
        <v>0</v>
      </c>
      <c r="CJ59" s="1894">
        <v>121.4</v>
      </c>
      <c r="CK59" s="1894">
        <v>64.400000000000006</v>
      </c>
      <c r="CL59" s="1894">
        <v>97.12</v>
      </c>
      <c r="CM59" s="1894">
        <v>0.97489999999999999</v>
      </c>
      <c r="CN59" s="1894">
        <v>25.66</v>
      </c>
      <c r="CO59" s="1894">
        <v>11104</v>
      </c>
      <c r="CP59" s="1894">
        <f t="shared" si="20"/>
        <v>25966</v>
      </c>
      <c r="CQ59" s="1894">
        <f t="shared" si="21"/>
        <v>0</v>
      </c>
      <c r="CR59" s="1924">
        <v>121.4</v>
      </c>
      <c r="CS59" s="1924">
        <v>62.4</v>
      </c>
      <c r="CT59" s="1924">
        <v>97.12</v>
      </c>
      <c r="CU59" s="1924">
        <v>0.99490000000000001</v>
      </c>
      <c r="CV59" s="1924">
        <v>22.84</v>
      </c>
      <c r="CW59" s="1924">
        <v>10602</v>
      </c>
      <c r="CX59" s="1894">
        <f t="shared" si="22"/>
        <v>27855</v>
      </c>
      <c r="CY59" s="1894">
        <f t="shared" si="23"/>
        <v>0</v>
      </c>
    </row>
    <row r="60" spans="1:103">
      <c r="A60" s="982">
        <v>622000000208</v>
      </c>
      <c r="B60" s="1923">
        <f t="shared" si="24"/>
        <v>54</v>
      </c>
      <c r="C60" s="1895" t="s">
        <v>2957</v>
      </c>
      <c r="D60" s="1894" t="s">
        <v>524</v>
      </c>
      <c r="E60" s="1895" t="s">
        <v>636</v>
      </c>
      <c r="F60" s="1894" t="s">
        <v>259</v>
      </c>
      <c r="G60" s="1924">
        <v>122</v>
      </c>
      <c r="H60" s="1894">
        <v>0</v>
      </c>
      <c r="I60" s="1894">
        <v>0</v>
      </c>
      <c r="J60" s="1894">
        <v>0</v>
      </c>
      <c r="K60" s="1894">
        <v>0</v>
      </c>
      <c r="L60" s="1894">
        <v>0</v>
      </c>
      <c r="M60" s="1894">
        <v>0</v>
      </c>
      <c r="N60" s="1894">
        <f t="shared" si="0"/>
        <v>0</v>
      </c>
      <c r="O60" s="1894">
        <f t="shared" si="1"/>
        <v>0</v>
      </c>
      <c r="P60" s="1894">
        <v>122</v>
      </c>
      <c r="Q60" s="1894">
        <v>95.84</v>
      </c>
      <c r="R60" s="1894">
        <v>97.6</v>
      </c>
      <c r="S60" s="1894">
        <v>0.92300000000000004</v>
      </c>
      <c r="T60" s="1894">
        <v>18.690000000000001</v>
      </c>
      <c r="U60" s="1894">
        <v>10320</v>
      </c>
      <c r="V60" s="1894">
        <f t="shared" si="2"/>
        <v>42783</v>
      </c>
      <c r="W60" s="1894">
        <f t="shared" si="3"/>
        <v>0</v>
      </c>
      <c r="X60" s="1894">
        <v>122</v>
      </c>
      <c r="Y60" s="1894">
        <v>110.55999999999999</v>
      </c>
      <c r="Z60" s="1894">
        <v>110.56</v>
      </c>
      <c r="AA60" s="1894">
        <v>0.8952</v>
      </c>
      <c r="AB60" s="1894">
        <v>21.02</v>
      </c>
      <c r="AC60" s="1894">
        <v>18403</v>
      </c>
      <c r="AD60" s="1894">
        <f t="shared" si="4"/>
        <v>47762</v>
      </c>
      <c r="AE60" s="1894">
        <f t="shared" si="5"/>
        <v>0</v>
      </c>
      <c r="AF60" s="1894">
        <v>122</v>
      </c>
      <c r="AG60" s="1894">
        <v>83.36</v>
      </c>
      <c r="AH60" s="1894">
        <v>97.6</v>
      </c>
      <c r="AI60" s="1894">
        <v>0.91549999999999998</v>
      </c>
      <c r="AJ60" s="1894">
        <v>20.420000000000002</v>
      </c>
      <c r="AK60" s="1894">
        <v>12665</v>
      </c>
      <c r="AL60" s="1894">
        <f t="shared" si="6"/>
        <v>37212</v>
      </c>
      <c r="AM60" s="1894">
        <f t="shared" si="7"/>
        <v>0</v>
      </c>
      <c r="AN60" s="1894">
        <v>122</v>
      </c>
      <c r="AO60" s="1894">
        <v>100.88</v>
      </c>
      <c r="AP60" s="1894">
        <v>100.88</v>
      </c>
      <c r="AQ60" s="1894">
        <v>0.90259999999999996</v>
      </c>
      <c r="AR60" s="1894">
        <v>17.89</v>
      </c>
      <c r="AS60" s="1894">
        <v>13430</v>
      </c>
      <c r="AT60" s="1894">
        <f t="shared" si="8"/>
        <v>45033</v>
      </c>
      <c r="AU60" s="1894">
        <f t="shared" si="9"/>
        <v>0</v>
      </c>
      <c r="AV60" s="1894">
        <v>122</v>
      </c>
      <c r="AW60" s="1894">
        <v>126.56</v>
      </c>
      <c r="AX60" s="1894">
        <v>126.56</v>
      </c>
      <c r="AY60" s="1894">
        <v>0.92369999999999997</v>
      </c>
      <c r="AZ60" s="1894">
        <v>18.489999999999998</v>
      </c>
      <c r="BA60" s="1894">
        <v>16849</v>
      </c>
      <c r="BB60" s="1894">
        <f t="shared" si="10"/>
        <v>54674</v>
      </c>
      <c r="BC60" s="1894">
        <f t="shared" si="11"/>
        <v>0</v>
      </c>
      <c r="BD60" s="1894">
        <v>122</v>
      </c>
      <c r="BE60" s="1894">
        <v>115.68</v>
      </c>
      <c r="BF60" s="1894">
        <v>115.68</v>
      </c>
      <c r="BG60" s="1894">
        <v>0.90429999999999999</v>
      </c>
      <c r="BH60" s="1894">
        <v>18.989999999999998</v>
      </c>
      <c r="BI60" s="1894">
        <v>16346</v>
      </c>
      <c r="BJ60" s="1894">
        <f t="shared" si="12"/>
        <v>51640</v>
      </c>
      <c r="BK60" s="1894">
        <f t="shared" si="13"/>
        <v>0</v>
      </c>
      <c r="BL60" s="1894">
        <v>122</v>
      </c>
      <c r="BM60" s="1894">
        <v>117.75999999999999</v>
      </c>
      <c r="BN60" s="1894">
        <v>117.76</v>
      </c>
      <c r="BO60" s="1894">
        <v>0.88959999999999995</v>
      </c>
      <c r="BP60" s="1894">
        <v>18.91</v>
      </c>
      <c r="BQ60" s="1894">
        <v>16037</v>
      </c>
      <c r="BR60" s="1894">
        <f t="shared" si="14"/>
        <v>50872</v>
      </c>
      <c r="BS60" s="1894">
        <f t="shared" si="15"/>
        <v>0</v>
      </c>
      <c r="BT60" s="1894">
        <v>122</v>
      </c>
      <c r="BU60" s="1894">
        <v>99.11999999999999</v>
      </c>
      <c r="BV60" s="1894">
        <v>99.12</v>
      </c>
      <c r="BW60" s="1894">
        <v>0.89180000000000004</v>
      </c>
      <c r="BX60" s="1894">
        <v>22.1</v>
      </c>
      <c r="BY60" s="1894">
        <v>16300</v>
      </c>
      <c r="BZ60" s="1894">
        <f t="shared" si="16"/>
        <v>44247</v>
      </c>
      <c r="CA60" s="1894">
        <f t="shared" si="17"/>
        <v>0</v>
      </c>
      <c r="CB60" s="1894">
        <v>122</v>
      </c>
      <c r="CC60" s="1894">
        <v>102</v>
      </c>
      <c r="CD60" s="1894">
        <v>102</v>
      </c>
      <c r="CE60" s="1894">
        <v>0.89390000000000003</v>
      </c>
      <c r="CF60" s="1894">
        <v>24.54</v>
      </c>
      <c r="CG60" s="1894">
        <v>18621</v>
      </c>
      <c r="CH60" s="1894">
        <f t="shared" si="18"/>
        <v>45533</v>
      </c>
      <c r="CI60" s="1894">
        <f t="shared" si="19"/>
        <v>0</v>
      </c>
      <c r="CJ60" s="1894">
        <v>122</v>
      </c>
      <c r="CK60" s="1894">
        <v>106.4</v>
      </c>
      <c r="CL60" s="1894">
        <v>106.4</v>
      </c>
      <c r="CM60" s="1894">
        <v>0.88239999999999996</v>
      </c>
      <c r="CN60" s="1894">
        <v>23.58</v>
      </c>
      <c r="CO60" s="1894">
        <v>16862</v>
      </c>
      <c r="CP60" s="1894">
        <f t="shared" si="20"/>
        <v>42900</v>
      </c>
      <c r="CQ60" s="1894">
        <f t="shared" si="21"/>
        <v>0</v>
      </c>
      <c r="CR60" s="1924">
        <v>122</v>
      </c>
      <c r="CS60" s="1924">
        <v>115.28</v>
      </c>
      <c r="CT60" s="1924">
        <v>115.28</v>
      </c>
      <c r="CU60" s="1924">
        <v>0.86809999999999998</v>
      </c>
      <c r="CV60" s="1924">
        <v>21.81</v>
      </c>
      <c r="CW60" s="1924">
        <v>18704</v>
      </c>
      <c r="CX60" s="1894">
        <f t="shared" si="22"/>
        <v>51461</v>
      </c>
      <c r="CY60" s="1894">
        <f t="shared" si="23"/>
        <v>0</v>
      </c>
    </row>
    <row r="61" spans="1:103">
      <c r="A61" s="982">
        <v>611000000108</v>
      </c>
      <c r="B61" s="1923">
        <f t="shared" si="24"/>
        <v>55</v>
      </c>
      <c r="C61" s="1895" t="s">
        <v>2958</v>
      </c>
      <c r="D61" s="1894" t="s">
        <v>524</v>
      </c>
      <c r="E61" s="1895" t="s">
        <v>541</v>
      </c>
      <c r="F61" s="1894" t="s">
        <v>259</v>
      </c>
      <c r="G61" s="1924">
        <v>122</v>
      </c>
      <c r="H61" s="1894">
        <v>122</v>
      </c>
      <c r="I61" s="1894">
        <v>48.36</v>
      </c>
      <c r="J61" s="1894">
        <v>97.6</v>
      </c>
      <c r="K61" s="1894">
        <v>0.95250000000000001</v>
      </c>
      <c r="L61" s="1894">
        <v>24.96</v>
      </c>
      <c r="M61" s="1894">
        <v>8691</v>
      </c>
      <c r="N61" s="1894">
        <f t="shared" si="0"/>
        <v>20892</v>
      </c>
      <c r="O61" s="1894">
        <f t="shared" si="1"/>
        <v>0</v>
      </c>
      <c r="P61" s="1894">
        <v>122</v>
      </c>
      <c r="Q61" s="1894">
        <v>51.000000000000007</v>
      </c>
      <c r="R61" s="1894">
        <v>97.6</v>
      </c>
      <c r="S61" s="1894">
        <v>0.92679999999999996</v>
      </c>
      <c r="T61" s="1894">
        <v>18.05</v>
      </c>
      <c r="U61" s="1894">
        <v>6849</v>
      </c>
      <c r="V61" s="1894">
        <f t="shared" si="2"/>
        <v>22766</v>
      </c>
      <c r="W61" s="1894">
        <f t="shared" si="3"/>
        <v>0</v>
      </c>
      <c r="X61" s="1894">
        <v>122</v>
      </c>
      <c r="Y61" s="1894">
        <v>44.52</v>
      </c>
      <c r="Z61" s="1894">
        <v>97.6</v>
      </c>
      <c r="AA61" s="1894">
        <v>0.94989999999999997</v>
      </c>
      <c r="AB61" s="1894">
        <v>28.6</v>
      </c>
      <c r="AC61" s="1894">
        <v>9168</v>
      </c>
      <c r="AD61" s="1894">
        <f t="shared" si="4"/>
        <v>19233</v>
      </c>
      <c r="AE61" s="1894">
        <f t="shared" si="5"/>
        <v>0</v>
      </c>
      <c r="AF61" s="1894">
        <v>122</v>
      </c>
      <c r="AG61" s="1894">
        <v>50.400000000000006</v>
      </c>
      <c r="AH61" s="1894">
        <v>97.6</v>
      </c>
      <c r="AI61" s="1894">
        <v>0.94330000000000003</v>
      </c>
      <c r="AJ61" s="1894">
        <v>21.72</v>
      </c>
      <c r="AK61" s="1894">
        <v>8143</v>
      </c>
      <c r="AL61" s="1894">
        <f t="shared" si="6"/>
        <v>22499</v>
      </c>
      <c r="AM61" s="1894">
        <f t="shared" si="7"/>
        <v>0</v>
      </c>
      <c r="AN61" s="1894">
        <v>122</v>
      </c>
      <c r="AO61" s="1894">
        <v>36.479999999999997</v>
      </c>
      <c r="AP61" s="1894">
        <v>97.6</v>
      </c>
      <c r="AQ61" s="1894">
        <v>0.62519999999999998</v>
      </c>
      <c r="AR61" s="1894">
        <v>6.4</v>
      </c>
      <c r="AS61" s="1894">
        <v>1737</v>
      </c>
      <c r="AT61" s="1894">
        <f t="shared" si="8"/>
        <v>16285</v>
      </c>
      <c r="AU61" s="1894">
        <f t="shared" si="9"/>
        <v>0</v>
      </c>
      <c r="AV61" s="1894">
        <v>122</v>
      </c>
      <c r="AW61" s="1894">
        <v>50.28</v>
      </c>
      <c r="AX61" s="1894">
        <v>97.6</v>
      </c>
      <c r="AY61" s="1894">
        <v>0.96299999999999997</v>
      </c>
      <c r="AZ61" s="1894">
        <v>25.05</v>
      </c>
      <c r="BA61" s="1894">
        <v>9068</v>
      </c>
      <c r="BB61" s="1894">
        <f t="shared" si="10"/>
        <v>21721</v>
      </c>
      <c r="BC61" s="1894">
        <f t="shared" si="11"/>
        <v>0</v>
      </c>
      <c r="BD61" s="1894">
        <v>122</v>
      </c>
      <c r="BE61" s="1894">
        <v>5.52</v>
      </c>
      <c r="BF61" s="1894">
        <v>97.6</v>
      </c>
      <c r="BG61" s="1894">
        <v>0.54190000000000005</v>
      </c>
      <c r="BH61" s="1894">
        <v>41.2</v>
      </c>
      <c r="BI61" s="1894">
        <v>1692</v>
      </c>
      <c r="BJ61" s="1894">
        <f t="shared" si="12"/>
        <v>2464</v>
      </c>
      <c r="BK61" s="1894">
        <f t="shared" si="13"/>
        <v>0</v>
      </c>
      <c r="BL61" s="1894">
        <v>122</v>
      </c>
      <c r="BM61" s="1894">
        <v>51.000000000000007</v>
      </c>
      <c r="BN61" s="1894">
        <v>97.6</v>
      </c>
      <c r="BO61" s="1894">
        <v>0.96489999999999998</v>
      </c>
      <c r="BP61" s="1894">
        <v>32.72</v>
      </c>
      <c r="BQ61" s="1894">
        <v>12015</v>
      </c>
      <c r="BR61" s="1894">
        <f t="shared" si="14"/>
        <v>22032</v>
      </c>
      <c r="BS61" s="1894">
        <f t="shared" si="15"/>
        <v>0</v>
      </c>
      <c r="BT61" s="1894">
        <v>122</v>
      </c>
      <c r="BU61" s="1894">
        <v>53.4</v>
      </c>
      <c r="BV61" s="1894">
        <v>97.6</v>
      </c>
      <c r="BW61" s="1894">
        <v>0.97519999999999996</v>
      </c>
      <c r="BX61" s="1894">
        <v>38.5</v>
      </c>
      <c r="BY61" s="1894">
        <v>15297</v>
      </c>
      <c r="BZ61" s="1894">
        <f t="shared" si="16"/>
        <v>23838</v>
      </c>
      <c r="CA61" s="1894">
        <f t="shared" si="17"/>
        <v>0</v>
      </c>
      <c r="CB61" s="1894">
        <v>122</v>
      </c>
      <c r="CC61" s="1894">
        <v>49.919999999999995</v>
      </c>
      <c r="CD61" s="1894">
        <v>97.6</v>
      </c>
      <c r="CE61" s="1894">
        <v>0.98089999999999999</v>
      </c>
      <c r="CF61" s="1894">
        <v>39.82</v>
      </c>
      <c r="CG61" s="1894">
        <v>14789</v>
      </c>
      <c r="CH61" s="1894">
        <f t="shared" si="18"/>
        <v>22284</v>
      </c>
      <c r="CI61" s="1894">
        <f t="shared" si="19"/>
        <v>0</v>
      </c>
      <c r="CJ61" s="1894">
        <v>122</v>
      </c>
      <c r="CK61" s="1894">
        <v>49.08</v>
      </c>
      <c r="CL61" s="1894">
        <v>97.6</v>
      </c>
      <c r="CM61" s="1894">
        <v>0.98240000000000005</v>
      </c>
      <c r="CN61" s="1894">
        <v>42.61</v>
      </c>
      <c r="CO61" s="1894">
        <v>14055</v>
      </c>
      <c r="CP61" s="1894">
        <f t="shared" si="20"/>
        <v>19789</v>
      </c>
      <c r="CQ61" s="1894">
        <f t="shared" si="21"/>
        <v>0</v>
      </c>
      <c r="CR61" s="1924">
        <v>122</v>
      </c>
      <c r="CS61" s="1924">
        <v>46.56</v>
      </c>
      <c r="CT61" s="1924">
        <v>97.6</v>
      </c>
      <c r="CU61" s="1924">
        <v>0.98860000000000003</v>
      </c>
      <c r="CV61" s="1924">
        <v>46.62</v>
      </c>
      <c r="CW61" s="1924">
        <v>16150</v>
      </c>
      <c r="CX61" s="1894">
        <f t="shared" si="22"/>
        <v>20784</v>
      </c>
      <c r="CY61" s="1894">
        <f t="shared" si="23"/>
        <v>0</v>
      </c>
    </row>
    <row r="62" spans="1:103">
      <c r="A62" s="982">
        <v>125000000042</v>
      </c>
      <c r="B62" s="1923">
        <f t="shared" si="24"/>
        <v>56</v>
      </c>
      <c r="C62" s="1895" t="s">
        <v>2959</v>
      </c>
      <c r="D62" s="1894" t="s">
        <v>524</v>
      </c>
      <c r="E62" s="1895" t="s">
        <v>636</v>
      </c>
      <c r="F62" s="1894" t="s">
        <v>259</v>
      </c>
      <c r="G62" s="1924">
        <v>122</v>
      </c>
      <c r="H62" s="1894">
        <v>122</v>
      </c>
      <c r="I62" s="1894">
        <v>19.2</v>
      </c>
      <c r="J62" s="1894">
        <v>97.6</v>
      </c>
      <c r="K62" s="1894">
        <v>0.98599999999999999</v>
      </c>
      <c r="L62" s="1894">
        <v>33.17</v>
      </c>
      <c r="M62" s="1894">
        <v>4586</v>
      </c>
      <c r="N62" s="1894">
        <f t="shared" si="0"/>
        <v>8294</v>
      </c>
      <c r="O62" s="1894">
        <f t="shared" si="1"/>
        <v>0</v>
      </c>
      <c r="P62" s="1894">
        <v>122</v>
      </c>
      <c r="Q62" s="1894">
        <v>24</v>
      </c>
      <c r="R62" s="1894">
        <v>97.6</v>
      </c>
      <c r="S62" s="1894">
        <v>0.97940000000000005</v>
      </c>
      <c r="T62" s="1894">
        <v>28.05</v>
      </c>
      <c r="U62" s="1894">
        <v>4039</v>
      </c>
      <c r="V62" s="1894">
        <f t="shared" si="2"/>
        <v>10714</v>
      </c>
      <c r="W62" s="1894">
        <f t="shared" si="3"/>
        <v>0</v>
      </c>
      <c r="X62" s="1894">
        <v>122</v>
      </c>
      <c r="Y62" s="1894">
        <v>23</v>
      </c>
      <c r="Z62" s="1894">
        <v>97.6</v>
      </c>
      <c r="AA62" s="1894">
        <v>0.97489999999999999</v>
      </c>
      <c r="AB62" s="1894">
        <v>31.98</v>
      </c>
      <c r="AC62" s="1894">
        <v>6356</v>
      </c>
      <c r="AD62" s="1894">
        <f t="shared" si="4"/>
        <v>9936</v>
      </c>
      <c r="AE62" s="1894">
        <f t="shared" si="5"/>
        <v>0</v>
      </c>
      <c r="AF62" s="1894">
        <v>122</v>
      </c>
      <c r="AG62" s="1894">
        <v>20.399999999999999</v>
      </c>
      <c r="AH62" s="1894">
        <v>97.6</v>
      </c>
      <c r="AI62" s="1894">
        <v>0.97289999999999999</v>
      </c>
      <c r="AJ62" s="1894">
        <v>34.520000000000003</v>
      </c>
      <c r="AK62" s="1894">
        <v>5240</v>
      </c>
      <c r="AL62" s="1894">
        <f t="shared" si="6"/>
        <v>9107</v>
      </c>
      <c r="AM62" s="1894">
        <f t="shared" si="7"/>
        <v>0</v>
      </c>
      <c r="AN62" s="1894">
        <v>122</v>
      </c>
      <c r="AO62" s="1894">
        <v>21.84</v>
      </c>
      <c r="AP62" s="1894">
        <v>97.6</v>
      </c>
      <c r="AQ62" s="1894">
        <v>0.98019999999999996</v>
      </c>
      <c r="AR62" s="1894">
        <v>33.630000000000003</v>
      </c>
      <c r="AS62" s="1894">
        <v>4407</v>
      </c>
      <c r="AT62" s="1894">
        <f t="shared" si="8"/>
        <v>9749</v>
      </c>
      <c r="AU62" s="1894">
        <f t="shared" si="9"/>
        <v>0</v>
      </c>
      <c r="AV62" s="1894">
        <v>122</v>
      </c>
      <c r="AW62" s="1894">
        <v>27.6</v>
      </c>
      <c r="AX62" s="1894">
        <v>97.6</v>
      </c>
      <c r="AY62" s="1894">
        <v>0.98350000000000004</v>
      </c>
      <c r="AZ62" s="1894">
        <v>35.01</v>
      </c>
      <c r="BA62" s="1894">
        <v>7420</v>
      </c>
      <c r="BB62" s="1894">
        <f t="shared" si="10"/>
        <v>11923</v>
      </c>
      <c r="BC62" s="1894">
        <f t="shared" si="11"/>
        <v>0</v>
      </c>
      <c r="BD62" s="1894">
        <v>122</v>
      </c>
      <c r="BE62" s="1894">
        <v>29.2</v>
      </c>
      <c r="BF62" s="1894">
        <v>97.6</v>
      </c>
      <c r="BG62" s="1894">
        <v>0.98560000000000003</v>
      </c>
      <c r="BH62" s="1894">
        <v>47.09</v>
      </c>
      <c r="BI62" s="1894">
        <v>9901</v>
      </c>
      <c r="BJ62" s="1894">
        <f t="shared" si="12"/>
        <v>13035</v>
      </c>
      <c r="BK62" s="1894">
        <f t="shared" si="13"/>
        <v>0</v>
      </c>
      <c r="BL62" s="1894">
        <v>122</v>
      </c>
      <c r="BM62" s="1894">
        <v>28.32</v>
      </c>
      <c r="BN62" s="1894">
        <v>97.6</v>
      </c>
      <c r="BO62" s="1894">
        <v>0.9819</v>
      </c>
      <c r="BP62" s="1894">
        <v>49.25</v>
      </c>
      <c r="BQ62" s="1894">
        <v>10043</v>
      </c>
      <c r="BR62" s="1894">
        <f t="shared" si="14"/>
        <v>12234</v>
      </c>
      <c r="BS62" s="1894">
        <f t="shared" si="15"/>
        <v>0</v>
      </c>
      <c r="BT62" s="1894">
        <v>122</v>
      </c>
      <c r="BU62" s="1894">
        <v>28.48</v>
      </c>
      <c r="BV62" s="1894">
        <v>97.6</v>
      </c>
      <c r="BW62" s="1894">
        <v>0.98180000000000001</v>
      </c>
      <c r="BX62" s="1894">
        <v>48.34</v>
      </c>
      <c r="BY62" s="1894">
        <v>9913</v>
      </c>
      <c r="BZ62" s="1894">
        <f t="shared" si="16"/>
        <v>12713</v>
      </c>
      <c r="CA62" s="1894">
        <f t="shared" si="17"/>
        <v>0</v>
      </c>
      <c r="CB62" s="1894">
        <v>122</v>
      </c>
      <c r="CC62" s="1894">
        <v>28.96</v>
      </c>
      <c r="CD62" s="1894">
        <v>97.6</v>
      </c>
      <c r="CE62" s="1894">
        <v>0.98240000000000005</v>
      </c>
      <c r="CF62" s="1894">
        <v>49.61</v>
      </c>
      <c r="CG62" s="1894">
        <v>12758</v>
      </c>
      <c r="CH62" s="1894">
        <f t="shared" si="18"/>
        <v>12928</v>
      </c>
      <c r="CI62" s="1894">
        <f t="shared" si="19"/>
        <v>0</v>
      </c>
      <c r="CJ62" s="1894">
        <v>122</v>
      </c>
      <c r="CK62" s="1894">
        <v>28.48</v>
      </c>
      <c r="CL62" s="1894">
        <v>97.6</v>
      </c>
      <c r="CM62" s="1894">
        <v>0.98150000000000004</v>
      </c>
      <c r="CN62" s="1894">
        <v>45.36</v>
      </c>
      <c r="CO62" s="1894">
        <v>7751</v>
      </c>
      <c r="CP62" s="1894">
        <f t="shared" si="20"/>
        <v>11483</v>
      </c>
      <c r="CQ62" s="1894">
        <f t="shared" si="21"/>
        <v>0</v>
      </c>
      <c r="CR62" s="1924">
        <v>122</v>
      </c>
      <c r="CS62" s="1924">
        <v>26.96</v>
      </c>
      <c r="CT62" s="1924">
        <v>97.6</v>
      </c>
      <c r="CU62" s="1924">
        <v>0.98029999999999995</v>
      </c>
      <c r="CV62" s="1924">
        <v>43.97</v>
      </c>
      <c r="CW62" s="1924">
        <v>9674</v>
      </c>
      <c r="CX62" s="1894">
        <f t="shared" si="22"/>
        <v>12035</v>
      </c>
      <c r="CY62" s="1894">
        <f t="shared" si="23"/>
        <v>0</v>
      </c>
    </row>
    <row r="63" spans="1:103">
      <c r="A63" s="982">
        <v>123000000064</v>
      </c>
      <c r="B63" s="1923">
        <f t="shared" si="24"/>
        <v>57</v>
      </c>
      <c r="C63" s="1895" t="s">
        <v>2960</v>
      </c>
      <c r="D63" s="1894" t="s">
        <v>524</v>
      </c>
      <c r="E63" s="1895" t="s">
        <v>636</v>
      </c>
      <c r="F63" s="1894" t="s">
        <v>259</v>
      </c>
      <c r="G63" s="1924">
        <v>122</v>
      </c>
      <c r="H63" s="1894">
        <v>122</v>
      </c>
      <c r="I63" s="1894">
        <v>121.41</v>
      </c>
      <c r="J63" s="1894">
        <v>121.41</v>
      </c>
      <c r="K63" s="1894">
        <v>0.99629999999999996</v>
      </c>
      <c r="L63" s="1894">
        <v>32.72</v>
      </c>
      <c r="M63" s="1894">
        <v>28599</v>
      </c>
      <c r="N63" s="1894">
        <f t="shared" si="0"/>
        <v>52449</v>
      </c>
      <c r="O63" s="1894">
        <f t="shared" si="1"/>
        <v>0</v>
      </c>
      <c r="P63" s="1894">
        <v>122</v>
      </c>
      <c r="Q63" s="1894">
        <v>112.32000000000001</v>
      </c>
      <c r="R63" s="1894">
        <v>112.32</v>
      </c>
      <c r="S63" s="1894">
        <v>0.99570000000000003</v>
      </c>
      <c r="T63" s="1894">
        <v>37.07</v>
      </c>
      <c r="U63" s="1894">
        <v>30981</v>
      </c>
      <c r="V63" s="1894">
        <f t="shared" si="2"/>
        <v>50140</v>
      </c>
      <c r="W63" s="1894">
        <f t="shared" si="3"/>
        <v>0</v>
      </c>
      <c r="X63" s="1894">
        <v>122</v>
      </c>
      <c r="Y63" s="1894">
        <v>115.02000000000001</v>
      </c>
      <c r="Z63" s="1894">
        <v>115.02</v>
      </c>
      <c r="AA63" s="1894">
        <v>0.99270000000000003</v>
      </c>
      <c r="AB63" s="1894">
        <v>31.65</v>
      </c>
      <c r="AC63" s="1894">
        <v>26211</v>
      </c>
      <c r="AD63" s="1894">
        <f t="shared" si="4"/>
        <v>49689</v>
      </c>
      <c r="AE63" s="1894">
        <f t="shared" si="5"/>
        <v>0</v>
      </c>
      <c r="AF63" s="1894">
        <v>122</v>
      </c>
      <c r="AG63" s="1894">
        <v>133.22999999999999</v>
      </c>
      <c r="AH63" s="1894">
        <v>133.22999999999999</v>
      </c>
      <c r="AI63" s="1894">
        <v>0.99029999999999996</v>
      </c>
      <c r="AJ63" s="1894">
        <v>30.07</v>
      </c>
      <c r="AK63" s="1894">
        <v>29808</v>
      </c>
      <c r="AL63" s="1894">
        <f t="shared" si="6"/>
        <v>59474</v>
      </c>
      <c r="AM63" s="1894">
        <f t="shared" si="7"/>
        <v>0</v>
      </c>
      <c r="AN63" s="1894">
        <v>122</v>
      </c>
      <c r="AO63" s="1894">
        <v>136.97999999999999</v>
      </c>
      <c r="AP63" s="1894">
        <v>136.97999999999999</v>
      </c>
      <c r="AQ63" s="1894">
        <v>0.99490000000000001</v>
      </c>
      <c r="AR63" s="1894">
        <v>29.34</v>
      </c>
      <c r="AS63" s="1894">
        <v>29904</v>
      </c>
      <c r="AT63" s="1894">
        <f t="shared" si="8"/>
        <v>61148</v>
      </c>
      <c r="AU63" s="1894">
        <f t="shared" si="9"/>
        <v>0</v>
      </c>
      <c r="AV63" s="1894">
        <v>122</v>
      </c>
      <c r="AW63" s="1894">
        <v>157.01999999999998</v>
      </c>
      <c r="AX63" s="1894">
        <v>157.02000000000001</v>
      </c>
      <c r="AY63" s="1894">
        <v>0.99660000000000004</v>
      </c>
      <c r="AZ63" s="1894">
        <v>34.909999999999997</v>
      </c>
      <c r="BA63" s="1894">
        <v>39462</v>
      </c>
      <c r="BB63" s="1894">
        <f t="shared" si="10"/>
        <v>67833</v>
      </c>
      <c r="BC63" s="1894">
        <f t="shared" si="11"/>
        <v>0</v>
      </c>
      <c r="BD63" s="1894">
        <v>122</v>
      </c>
      <c r="BE63" s="1894">
        <v>116.07000000000001</v>
      </c>
      <c r="BF63" s="1894">
        <v>116.07</v>
      </c>
      <c r="BG63" s="1894">
        <v>0.99439999999999995</v>
      </c>
      <c r="BH63" s="1894">
        <v>24.77</v>
      </c>
      <c r="BI63" s="1894">
        <v>17253</v>
      </c>
      <c r="BJ63" s="1894">
        <f t="shared" si="12"/>
        <v>51814</v>
      </c>
      <c r="BK63" s="1894">
        <f t="shared" si="13"/>
        <v>0</v>
      </c>
      <c r="BL63" s="1894">
        <v>122</v>
      </c>
      <c r="BM63" s="1894">
        <v>79.86</v>
      </c>
      <c r="BN63" s="1894">
        <v>97.6</v>
      </c>
      <c r="BO63" s="1894">
        <v>0.99050000000000005</v>
      </c>
      <c r="BP63" s="1894">
        <v>35.57</v>
      </c>
      <c r="BQ63" s="1894">
        <v>24546</v>
      </c>
      <c r="BR63" s="1894">
        <f t="shared" si="14"/>
        <v>34500</v>
      </c>
      <c r="BS63" s="1894">
        <f t="shared" si="15"/>
        <v>0</v>
      </c>
      <c r="BT63" s="1894">
        <v>122</v>
      </c>
      <c r="BU63" s="1894">
        <v>93.72</v>
      </c>
      <c r="BV63" s="1894">
        <v>97.6</v>
      </c>
      <c r="BW63" s="1894">
        <v>0.9889</v>
      </c>
      <c r="BX63" s="1894">
        <v>20</v>
      </c>
      <c r="BY63" s="1894">
        <v>13947</v>
      </c>
      <c r="BZ63" s="1894">
        <f t="shared" si="16"/>
        <v>41837</v>
      </c>
      <c r="CA63" s="1894">
        <f t="shared" si="17"/>
        <v>0</v>
      </c>
      <c r="CB63" s="1894">
        <v>122</v>
      </c>
      <c r="CC63" s="1894">
        <v>61.68</v>
      </c>
      <c r="CD63" s="1894">
        <v>97.6</v>
      </c>
      <c r="CE63" s="1894">
        <v>0.99450000000000005</v>
      </c>
      <c r="CF63" s="1894">
        <v>34.21</v>
      </c>
      <c r="CG63" s="1894">
        <v>15698</v>
      </c>
      <c r="CH63" s="1894">
        <f t="shared" si="18"/>
        <v>27534</v>
      </c>
      <c r="CI63" s="1894">
        <f t="shared" si="19"/>
        <v>0</v>
      </c>
      <c r="CJ63" s="1894">
        <v>122</v>
      </c>
      <c r="CK63" s="1894">
        <v>91.08</v>
      </c>
      <c r="CL63" s="1894">
        <v>97.6</v>
      </c>
      <c r="CM63" s="1894">
        <v>0.99450000000000005</v>
      </c>
      <c r="CN63" s="1894">
        <v>31.58</v>
      </c>
      <c r="CO63" s="1894">
        <v>19330</v>
      </c>
      <c r="CP63" s="1894">
        <f t="shared" si="20"/>
        <v>36723</v>
      </c>
      <c r="CQ63" s="1894">
        <f t="shared" si="21"/>
        <v>0</v>
      </c>
      <c r="CR63" s="1924">
        <v>122</v>
      </c>
      <c r="CS63" s="1924">
        <v>105.84</v>
      </c>
      <c r="CT63" s="1924">
        <v>105.84</v>
      </c>
      <c r="CU63" s="1924">
        <v>0.99519999999999997</v>
      </c>
      <c r="CV63" s="1924">
        <v>35.979999999999997</v>
      </c>
      <c r="CW63" s="1924">
        <v>28332</v>
      </c>
      <c r="CX63" s="1894">
        <f t="shared" si="22"/>
        <v>47247</v>
      </c>
      <c r="CY63" s="1894">
        <f t="shared" si="23"/>
        <v>0</v>
      </c>
    </row>
    <row r="64" spans="1:103">
      <c r="A64" s="982">
        <v>124000000058</v>
      </c>
      <c r="B64" s="1923">
        <f t="shared" si="24"/>
        <v>58</v>
      </c>
      <c r="C64" s="1895" t="s">
        <v>2961</v>
      </c>
      <c r="D64" s="1894" t="s">
        <v>524</v>
      </c>
      <c r="E64" s="1895" t="s">
        <v>737</v>
      </c>
      <c r="F64" s="1894" t="s">
        <v>259</v>
      </c>
      <c r="G64" s="1924">
        <v>122</v>
      </c>
      <c r="H64" s="1894">
        <v>122</v>
      </c>
      <c r="I64" s="1894">
        <v>76</v>
      </c>
      <c r="J64" s="1894">
        <v>97.6</v>
      </c>
      <c r="K64" s="1894">
        <v>0.99380000000000002</v>
      </c>
      <c r="L64" s="1894">
        <v>18.899999999999999</v>
      </c>
      <c r="M64" s="1894">
        <v>11030</v>
      </c>
      <c r="N64" s="1894">
        <f t="shared" si="0"/>
        <v>32832</v>
      </c>
      <c r="O64" s="1894">
        <f t="shared" si="1"/>
        <v>0</v>
      </c>
      <c r="P64" s="1894">
        <v>122</v>
      </c>
      <c r="Q64" s="1894">
        <v>91.28</v>
      </c>
      <c r="R64" s="1894">
        <v>97.6</v>
      </c>
      <c r="S64" s="1894">
        <v>0.99460000000000004</v>
      </c>
      <c r="T64" s="1894">
        <v>18.350000000000001</v>
      </c>
      <c r="U64" s="1894">
        <v>14072</v>
      </c>
      <c r="V64" s="1894">
        <f t="shared" si="2"/>
        <v>40747</v>
      </c>
      <c r="W64" s="1894">
        <f t="shared" si="3"/>
        <v>0</v>
      </c>
      <c r="X64" s="1894">
        <v>122</v>
      </c>
      <c r="Y64" s="1894">
        <v>85.44</v>
      </c>
      <c r="Z64" s="1894">
        <v>97.6</v>
      </c>
      <c r="AA64" s="1894">
        <v>0.99009999999999998</v>
      </c>
      <c r="AB64" s="1894">
        <v>16.54</v>
      </c>
      <c r="AC64" s="1894">
        <v>10177</v>
      </c>
      <c r="AD64" s="1894">
        <f t="shared" si="4"/>
        <v>36910</v>
      </c>
      <c r="AE64" s="1894">
        <f t="shared" si="5"/>
        <v>0</v>
      </c>
      <c r="AF64" s="1894">
        <v>122</v>
      </c>
      <c r="AG64" s="1894">
        <v>77.52</v>
      </c>
      <c r="AH64" s="1894">
        <v>97.6</v>
      </c>
      <c r="AI64" s="1894">
        <v>0.99119999999999997</v>
      </c>
      <c r="AJ64" s="1894">
        <v>18.52</v>
      </c>
      <c r="AK64" s="1894">
        <v>10682</v>
      </c>
      <c r="AL64" s="1894">
        <f t="shared" si="6"/>
        <v>34605</v>
      </c>
      <c r="AM64" s="1894">
        <f t="shared" si="7"/>
        <v>0</v>
      </c>
      <c r="AN64" s="1894">
        <v>122</v>
      </c>
      <c r="AO64" s="1894">
        <v>72.72</v>
      </c>
      <c r="AP64" s="1894">
        <v>97.6</v>
      </c>
      <c r="AQ64" s="1894">
        <v>0.98809999999999998</v>
      </c>
      <c r="AR64" s="1894">
        <v>20.46</v>
      </c>
      <c r="AS64" s="1894">
        <v>11070</v>
      </c>
      <c r="AT64" s="1894">
        <f t="shared" si="8"/>
        <v>32462</v>
      </c>
      <c r="AU64" s="1894">
        <f t="shared" si="9"/>
        <v>0</v>
      </c>
      <c r="AV64" s="1894">
        <v>122</v>
      </c>
      <c r="AW64" s="1894">
        <v>81.679999999999993</v>
      </c>
      <c r="AX64" s="1894">
        <v>97.6</v>
      </c>
      <c r="AY64" s="1894">
        <v>0.99199999999999999</v>
      </c>
      <c r="AZ64" s="1894">
        <v>20.83</v>
      </c>
      <c r="BA64" s="1894">
        <v>12252</v>
      </c>
      <c r="BB64" s="1894">
        <f t="shared" si="10"/>
        <v>35286</v>
      </c>
      <c r="BC64" s="1894">
        <f t="shared" si="11"/>
        <v>0</v>
      </c>
      <c r="BD64" s="1894">
        <v>122</v>
      </c>
      <c r="BE64" s="1894">
        <v>75.599999999999994</v>
      </c>
      <c r="BF64" s="1894">
        <v>97.6</v>
      </c>
      <c r="BG64" s="1894">
        <v>0.98280000000000001</v>
      </c>
      <c r="BH64" s="1894">
        <v>16.47</v>
      </c>
      <c r="BI64" s="1894">
        <v>9266</v>
      </c>
      <c r="BJ64" s="1894">
        <f t="shared" si="12"/>
        <v>33748</v>
      </c>
      <c r="BK64" s="1894">
        <f t="shared" si="13"/>
        <v>0</v>
      </c>
      <c r="BL64" s="1894">
        <v>122</v>
      </c>
      <c r="BM64" s="1894">
        <v>34.880000000000003</v>
      </c>
      <c r="BN64" s="1894">
        <v>97.6</v>
      </c>
      <c r="BO64" s="1894">
        <v>0.97360000000000002</v>
      </c>
      <c r="BP64" s="1894">
        <v>22.51</v>
      </c>
      <c r="BQ64" s="1894">
        <v>5654</v>
      </c>
      <c r="BR64" s="1894">
        <f t="shared" si="14"/>
        <v>15068</v>
      </c>
      <c r="BS64" s="1894">
        <f t="shared" si="15"/>
        <v>0</v>
      </c>
      <c r="BT64" s="1894">
        <v>122</v>
      </c>
      <c r="BU64" s="1894">
        <v>18.16</v>
      </c>
      <c r="BV64" s="1894">
        <v>97.6</v>
      </c>
      <c r="BW64" s="1894">
        <v>0.95830000000000004</v>
      </c>
      <c r="BX64" s="1894">
        <v>30.56</v>
      </c>
      <c r="BY64" s="1894">
        <v>4129</v>
      </c>
      <c r="BZ64" s="1894">
        <f t="shared" si="16"/>
        <v>8107</v>
      </c>
      <c r="CA64" s="1894">
        <f t="shared" si="17"/>
        <v>0</v>
      </c>
      <c r="CB64" s="1894">
        <v>122</v>
      </c>
      <c r="CC64" s="1894">
        <v>20.8</v>
      </c>
      <c r="CD64" s="1894">
        <v>97.6</v>
      </c>
      <c r="CE64" s="1894">
        <v>0.96840000000000004</v>
      </c>
      <c r="CF64" s="1894">
        <v>27.44</v>
      </c>
      <c r="CG64" s="1894">
        <v>4246</v>
      </c>
      <c r="CH64" s="1894">
        <f t="shared" si="18"/>
        <v>9285</v>
      </c>
      <c r="CI64" s="1894">
        <f t="shared" si="19"/>
        <v>0</v>
      </c>
      <c r="CJ64" s="1894">
        <v>122</v>
      </c>
      <c r="CK64" s="1894">
        <v>36.480000000000004</v>
      </c>
      <c r="CL64" s="1894">
        <v>97.6</v>
      </c>
      <c r="CM64" s="1894">
        <v>0.9778</v>
      </c>
      <c r="CN64" s="1894">
        <v>19.91</v>
      </c>
      <c r="CO64" s="1894">
        <v>4882</v>
      </c>
      <c r="CP64" s="1894">
        <f t="shared" si="20"/>
        <v>14709</v>
      </c>
      <c r="CQ64" s="1894">
        <f t="shared" si="21"/>
        <v>0</v>
      </c>
      <c r="CR64" s="1924">
        <v>122</v>
      </c>
      <c r="CS64" s="1924">
        <v>52.88</v>
      </c>
      <c r="CT64" s="1924">
        <v>97.6</v>
      </c>
      <c r="CU64" s="1924">
        <v>0.98709999999999998</v>
      </c>
      <c r="CV64" s="1924">
        <v>20.420000000000002</v>
      </c>
      <c r="CW64" s="1924">
        <v>8035</v>
      </c>
      <c r="CX64" s="1894">
        <f t="shared" si="22"/>
        <v>23606</v>
      </c>
      <c r="CY64" s="1894">
        <f t="shared" si="23"/>
        <v>0</v>
      </c>
    </row>
    <row r="65" spans="1:103">
      <c r="A65" s="982">
        <v>126000000017</v>
      </c>
      <c r="B65" s="1923">
        <f t="shared" si="24"/>
        <v>59</v>
      </c>
      <c r="C65" s="1895" t="s">
        <v>2962</v>
      </c>
      <c r="D65" s="1894" t="s">
        <v>524</v>
      </c>
      <c r="E65" s="1895" t="s">
        <v>541</v>
      </c>
      <c r="F65" s="1894" t="s">
        <v>259</v>
      </c>
      <c r="G65" s="1924">
        <v>122</v>
      </c>
      <c r="H65" s="1894">
        <v>122</v>
      </c>
      <c r="I65" s="1894">
        <v>2</v>
      </c>
      <c r="J65" s="1894">
        <v>97.6</v>
      </c>
      <c r="K65" s="1894">
        <v>0.30159999999999998</v>
      </c>
      <c r="L65" s="1894">
        <v>53.28</v>
      </c>
      <c r="M65" s="1894">
        <v>716</v>
      </c>
      <c r="N65" s="1894">
        <f t="shared" si="0"/>
        <v>864</v>
      </c>
      <c r="O65" s="1894">
        <f t="shared" si="1"/>
        <v>0</v>
      </c>
      <c r="P65" s="1894">
        <v>122</v>
      </c>
      <c r="Q65" s="1894">
        <v>37.82</v>
      </c>
      <c r="R65" s="1894">
        <v>97.6</v>
      </c>
      <c r="S65" s="1894">
        <v>0.32650000000000001</v>
      </c>
      <c r="T65" s="1894">
        <v>2.54</v>
      </c>
      <c r="U65" s="1894">
        <v>692</v>
      </c>
      <c r="V65" s="1894">
        <f t="shared" si="2"/>
        <v>16883</v>
      </c>
      <c r="W65" s="1894">
        <f t="shared" si="3"/>
        <v>0</v>
      </c>
      <c r="X65" s="1894">
        <v>122</v>
      </c>
      <c r="Y65" s="1894">
        <v>3.06</v>
      </c>
      <c r="Z65" s="1894">
        <v>97.6</v>
      </c>
      <c r="AA65" s="1894">
        <v>0.29780000000000001</v>
      </c>
      <c r="AB65" s="1894">
        <v>32.909999999999997</v>
      </c>
      <c r="AC65" s="1894">
        <v>846</v>
      </c>
      <c r="AD65" s="1894">
        <f t="shared" si="4"/>
        <v>1322</v>
      </c>
      <c r="AE65" s="1894">
        <f t="shared" si="5"/>
        <v>0</v>
      </c>
      <c r="AF65" s="1894">
        <v>122</v>
      </c>
      <c r="AG65" s="1894">
        <v>2.62</v>
      </c>
      <c r="AH65" s="1894">
        <v>97.6</v>
      </c>
      <c r="AI65" s="1894">
        <v>0.27889999999999998</v>
      </c>
      <c r="AJ65" s="1894">
        <v>45.25</v>
      </c>
      <c r="AK65" s="1894">
        <v>882</v>
      </c>
      <c r="AL65" s="1894">
        <f t="shared" si="6"/>
        <v>1170</v>
      </c>
      <c r="AM65" s="1894">
        <f t="shared" si="7"/>
        <v>0</v>
      </c>
      <c r="AN65" s="1894">
        <v>122</v>
      </c>
      <c r="AO65" s="1894">
        <v>3.06</v>
      </c>
      <c r="AP65" s="1894">
        <v>97.6</v>
      </c>
      <c r="AQ65" s="1894">
        <v>0.26369999999999999</v>
      </c>
      <c r="AR65" s="1894">
        <v>46.3</v>
      </c>
      <c r="AS65" s="1894">
        <v>1054</v>
      </c>
      <c r="AT65" s="1894">
        <f t="shared" si="8"/>
        <v>1366</v>
      </c>
      <c r="AU65" s="1894">
        <f t="shared" si="9"/>
        <v>0</v>
      </c>
      <c r="AV65" s="1894">
        <v>122</v>
      </c>
      <c r="AW65" s="1894">
        <v>2.62</v>
      </c>
      <c r="AX65" s="1894">
        <v>97.6</v>
      </c>
      <c r="AY65" s="1894">
        <v>0.27300000000000002</v>
      </c>
      <c r="AZ65" s="1894">
        <v>55.13</v>
      </c>
      <c r="BA65" s="1894">
        <v>1040</v>
      </c>
      <c r="BB65" s="1894">
        <f t="shared" si="10"/>
        <v>1132</v>
      </c>
      <c r="BC65" s="1894">
        <f t="shared" si="11"/>
        <v>0</v>
      </c>
      <c r="BD65" s="1894">
        <v>122</v>
      </c>
      <c r="BE65" s="1894">
        <v>2.76</v>
      </c>
      <c r="BF65" s="1894">
        <v>97.6</v>
      </c>
      <c r="BG65" s="1894">
        <v>0.24560000000000001</v>
      </c>
      <c r="BH65" s="1894">
        <v>61.85</v>
      </c>
      <c r="BI65" s="1894">
        <v>1270</v>
      </c>
      <c r="BJ65" s="1894">
        <f t="shared" si="12"/>
        <v>1232</v>
      </c>
      <c r="BK65" s="1894">
        <f t="shared" si="13"/>
        <v>38</v>
      </c>
      <c r="BL65" s="1894">
        <v>122</v>
      </c>
      <c r="BM65" s="1894">
        <v>3.56</v>
      </c>
      <c r="BN65" s="1894">
        <v>97.6</v>
      </c>
      <c r="BO65" s="1894">
        <v>0.22009999999999999</v>
      </c>
      <c r="BP65" s="1894">
        <v>63.44</v>
      </c>
      <c r="BQ65" s="1894">
        <v>1626</v>
      </c>
      <c r="BR65" s="1894">
        <f t="shared" si="14"/>
        <v>1538</v>
      </c>
      <c r="BS65" s="1894">
        <f t="shared" si="15"/>
        <v>88</v>
      </c>
      <c r="BT65" s="1894">
        <v>122</v>
      </c>
      <c r="BU65" s="1894">
        <v>4.5600000000000005</v>
      </c>
      <c r="BV65" s="1894">
        <v>97.6</v>
      </c>
      <c r="BW65" s="1894">
        <v>0.23380000000000001</v>
      </c>
      <c r="BX65" s="1894">
        <v>44.63</v>
      </c>
      <c r="BY65" s="1894">
        <v>1514</v>
      </c>
      <c r="BZ65" s="1894">
        <f t="shared" si="16"/>
        <v>2036</v>
      </c>
      <c r="CA65" s="1894">
        <f t="shared" si="17"/>
        <v>0</v>
      </c>
      <c r="CB65" s="1894">
        <v>122</v>
      </c>
      <c r="CC65" s="1894">
        <v>32.6</v>
      </c>
      <c r="CD65" s="1894">
        <v>97.6</v>
      </c>
      <c r="CE65" s="1894">
        <v>0.25629999999999997</v>
      </c>
      <c r="CF65" s="1894">
        <v>5.18</v>
      </c>
      <c r="CG65" s="1894">
        <v>1256</v>
      </c>
      <c r="CH65" s="1894">
        <f t="shared" si="18"/>
        <v>14553</v>
      </c>
      <c r="CI65" s="1894">
        <f t="shared" si="19"/>
        <v>0</v>
      </c>
      <c r="CJ65" s="1894">
        <v>122</v>
      </c>
      <c r="CK65" s="1894">
        <v>7.06</v>
      </c>
      <c r="CL65" s="1894">
        <v>97.6</v>
      </c>
      <c r="CM65" s="1894">
        <v>0.29470000000000002</v>
      </c>
      <c r="CN65" s="1894">
        <v>23.31</v>
      </c>
      <c r="CO65" s="1894">
        <v>1106</v>
      </c>
      <c r="CP65" s="1894">
        <f t="shared" si="20"/>
        <v>2847</v>
      </c>
      <c r="CQ65" s="1894">
        <f t="shared" si="21"/>
        <v>0</v>
      </c>
      <c r="CR65" s="1924">
        <v>122</v>
      </c>
      <c r="CS65" s="1924">
        <v>44.379999999999995</v>
      </c>
      <c r="CT65" s="1924">
        <v>97.6</v>
      </c>
      <c r="CU65" s="1924">
        <v>0.31909999999999999</v>
      </c>
      <c r="CV65" s="1924">
        <v>3.42</v>
      </c>
      <c r="CW65" s="1924">
        <v>1128</v>
      </c>
      <c r="CX65" s="1894">
        <f t="shared" si="22"/>
        <v>19811</v>
      </c>
      <c r="CY65" s="1894">
        <f t="shared" si="23"/>
        <v>0</v>
      </c>
    </row>
    <row r="66" spans="1:103">
      <c r="A66" s="982">
        <v>611000000064</v>
      </c>
      <c r="B66" s="1923">
        <f t="shared" si="24"/>
        <v>60</v>
      </c>
      <c r="C66" s="1895" t="s">
        <v>2963</v>
      </c>
      <c r="D66" s="1894" t="s">
        <v>524</v>
      </c>
      <c r="E66" s="1895" t="s">
        <v>541</v>
      </c>
      <c r="F66" s="1894" t="s">
        <v>259</v>
      </c>
      <c r="G66" s="1924">
        <v>122</v>
      </c>
      <c r="H66" s="1894">
        <v>122</v>
      </c>
      <c r="I66" s="1894">
        <v>57.120000000000005</v>
      </c>
      <c r="J66" s="1894">
        <v>97.6</v>
      </c>
      <c r="K66" s="1894">
        <v>0.97340000000000004</v>
      </c>
      <c r="L66" s="1894">
        <v>23.71</v>
      </c>
      <c r="M66" s="1894">
        <v>9751</v>
      </c>
      <c r="N66" s="1894">
        <f t="shared" si="0"/>
        <v>24676</v>
      </c>
      <c r="O66" s="1894">
        <f t="shared" si="1"/>
        <v>0</v>
      </c>
      <c r="P66" s="1894">
        <v>122</v>
      </c>
      <c r="Q66" s="1894">
        <v>57.52</v>
      </c>
      <c r="R66" s="1894">
        <v>97.6</v>
      </c>
      <c r="S66" s="1894">
        <v>0.97560000000000002</v>
      </c>
      <c r="T66" s="1894">
        <v>21.5</v>
      </c>
      <c r="U66" s="1894">
        <v>9202</v>
      </c>
      <c r="V66" s="1894">
        <f t="shared" si="2"/>
        <v>25677</v>
      </c>
      <c r="W66" s="1894">
        <f t="shared" si="3"/>
        <v>0</v>
      </c>
      <c r="X66" s="1894">
        <v>122</v>
      </c>
      <c r="Y66" s="1894">
        <v>64.88000000000001</v>
      </c>
      <c r="Z66" s="1894">
        <v>97.6</v>
      </c>
      <c r="AA66" s="1894">
        <v>0.97240000000000004</v>
      </c>
      <c r="AB66" s="1894">
        <v>20.170000000000002</v>
      </c>
      <c r="AC66" s="1894">
        <v>9424</v>
      </c>
      <c r="AD66" s="1894">
        <f t="shared" si="4"/>
        <v>28028</v>
      </c>
      <c r="AE66" s="1894">
        <f t="shared" si="5"/>
        <v>0</v>
      </c>
      <c r="AF66" s="1894">
        <v>122</v>
      </c>
      <c r="AG66" s="1894">
        <v>57.199999999999996</v>
      </c>
      <c r="AH66" s="1894">
        <v>97.6</v>
      </c>
      <c r="AI66" s="1894">
        <v>0.96850000000000003</v>
      </c>
      <c r="AJ66" s="1894">
        <v>21.62</v>
      </c>
      <c r="AK66" s="1894">
        <v>9201</v>
      </c>
      <c r="AL66" s="1894">
        <f t="shared" si="6"/>
        <v>25534</v>
      </c>
      <c r="AM66" s="1894">
        <f t="shared" si="7"/>
        <v>0</v>
      </c>
      <c r="AN66" s="1894">
        <v>122</v>
      </c>
      <c r="AO66" s="1894">
        <v>70.64</v>
      </c>
      <c r="AP66" s="1894">
        <v>97.6</v>
      </c>
      <c r="AQ66" s="1894">
        <v>0.95709999999999995</v>
      </c>
      <c r="AR66" s="1894">
        <v>20.41</v>
      </c>
      <c r="AS66" s="1894">
        <v>10729</v>
      </c>
      <c r="AT66" s="1894">
        <f t="shared" si="8"/>
        <v>31534</v>
      </c>
      <c r="AU66" s="1894">
        <f t="shared" si="9"/>
        <v>0</v>
      </c>
      <c r="AV66" s="1894">
        <v>122</v>
      </c>
      <c r="AW66" s="1894">
        <v>70.399999999999991</v>
      </c>
      <c r="AX66" s="1894">
        <v>97.6</v>
      </c>
      <c r="AY66" s="1894">
        <v>0.95630000000000004</v>
      </c>
      <c r="AZ66" s="1894">
        <v>23.5</v>
      </c>
      <c r="BA66" s="1894">
        <v>11913</v>
      </c>
      <c r="BB66" s="1894">
        <f t="shared" si="10"/>
        <v>30413</v>
      </c>
      <c r="BC66" s="1894">
        <f t="shared" si="11"/>
        <v>0</v>
      </c>
      <c r="BD66" s="1894">
        <v>122</v>
      </c>
      <c r="BE66" s="1894">
        <v>65.44</v>
      </c>
      <c r="BF66" s="1894">
        <v>97.6</v>
      </c>
      <c r="BG66" s="1894">
        <v>0.95040000000000002</v>
      </c>
      <c r="BH66" s="1894">
        <v>20.46</v>
      </c>
      <c r="BI66" s="1894">
        <v>9959</v>
      </c>
      <c r="BJ66" s="1894">
        <f t="shared" si="12"/>
        <v>29212</v>
      </c>
      <c r="BK66" s="1894">
        <f t="shared" si="13"/>
        <v>0</v>
      </c>
      <c r="BL66" s="1894">
        <v>122</v>
      </c>
      <c r="BM66" s="1894">
        <v>54.400000000000006</v>
      </c>
      <c r="BN66" s="1894">
        <v>97.6</v>
      </c>
      <c r="BO66" s="1894">
        <v>0.92610000000000003</v>
      </c>
      <c r="BP66" s="1894">
        <v>21.12</v>
      </c>
      <c r="BQ66" s="1894">
        <v>8271</v>
      </c>
      <c r="BR66" s="1894">
        <f t="shared" si="14"/>
        <v>23501</v>
      </c>
      <c r="BS66" s="1894">
        <f t="shared" si="15"/>
        <v>0</v>
      </c>
      <c r="BT66" s="1894">
        <v>122</v>
      </c>
      <c r="BU66" s="1894">
        <v>44.48</v>
      </c>
      <c r="BV66" s="1894">
        <v>97.6</v>
      </c>
      <c r="BW66" s="1894">
        <v>0.90159999999999996</v>
      </c>
      <c r="BX66" s="1894">
        <v>23.14</v>
      </c>
      <c r="BY66" s="1894">
        <v>7658</v>
      </c>
      <c r="BZ66" s="1894">
        <f t="shared" si="16"/>
        <v>19856</v>
      </c>
      <c r="CA66" s="1894">
        <f t="shared" si="17"/>
        <v>0</v>
      </c>
      <c r="CB66" s="1894">
        <v>122</v>
      </c>
      <c r="CC66" s="1894">
        <v>40.479999999999997</v>
      </c>
      <c r="CD66" s="1894">
        <v>97.6</v>
      </c>
      <c r="CE66" s="1894">
        <v>0.91890000000000005</v>
      </c>
      <c r="CF66" s="1894">
        <v>20.69</v>
      </c>
      <c r="CG66" s="1894">
        <v>6231</v>
      </c>
      <c r="CH66" s="1894">
        <f t="shared" si="18"/>
        <v>18070</v>
      </c>
      <c r="CI66" s="1894">
        <f t="shared" si="19"/>
        <v>0</v>
      </c>
      <c r="CJ66" s="1894">
        <v>122</v>
      </c>
      <c r="CK66" s="1894">
        <v>58.4</v>
      </c>
      <c r="CL66" s="1894">
        <v>97.6</v>
      </c>
      <c r="CM66" s="1894">
        <v>0.92849999999999999</v>
      </c>
      <c r="CN66" s="1894">
        <v>16.13</v>
      </c>
      <c r="CO66" s="1894">
        <v>6329</v>
      </c>
      <c r="CP66" s="1894">
        <f t="shared" si="20"/>
        <v>23547</v>
      </c>
      <c r="CQ66" s="1894">
        <f t="shared" si="21"/>
        <v>0</v>
      </c>
      <c r="CR66" s="1924">
        <v>122</v>
      </c>
      <c r="CS66" s="1924">
        <v>60.24</v>
      </c>
      <c r="CT66" s="1924">
        <v>97.6</v>
      </c>
      <c r="CU66" s="1924">
        <v>0.93589999999999995</v>
      </c>
      <c r="CV66" s="1924">
        <v>19.05</v>
      </c>
      <c r="CW66" s="1924">
        <v>8538</v>
      </c>
      <c r="CX66" s="1894">
        <f t="shared" si="22"/>
        <v>26891</v>
      </c>
      <c r="CY66" s="1894">
        <f t="shared" si="23"/>
        <v>0</v>
      </c>
    </row>
    <row r="67" spans="1:103">
      <c r="A67" s="982">
        <v>621000000027</v>
      </c>
      <c r="B67" s="1923">
        <f t="shared" si="24"/>
        <v>61</v>
      </c>
      <c r="C67" s="1895" t="s">
        <v>2964</v>
      </c>
      <c r="D67" s="1894" t="s">
        <v>524</v>
      </c>
      <c r="E67" s="1895" t="s">
        <v>737</v>
      </c>
      <c r="F67" s="1894" t="s">
        <v>259</v>
      </c>
      <c r="G67" s="1924">
        <v>122</v>
      </c>
      <c r="H67" s="1894">
        <v>122</v>
      </c>
      <c r="I67" s="1894">
        <v>29.16</v>
      </c>
      <c r="J67" s="1894">
        <v>97.6</v>
      </c>
      <c r="K67" s="1894">
        <v>0.95720000000000005</v>
      </c>
      <c r="L67" s="1894">
        <v>24.41</v>
      </c>
      <c r="M67" s="1894">
        <v>5124</v>
      </c>
      <c r="N67" s="1894">
        <f t="shared" si="0"/>
        <v>12597</v>
      </c>
      <c r="O67" s="1894">
        <f t="shared" si="1"/>
        <v>0</v>
      </c>
      <c r="P67" s="1894">
        <v>122</v>
      </c>
      <c r="Q67" s="1894">
        <v>18</v>
      </c>
      <c r="R67" s="1894">
        <v>97.6</v>
      </c>
      <c r="S67" s="1894">
        <v>0.87450000000000006</v>
      </c>
      <c r="T67" s="1894">
        <v>24.55</v>
      </c>
      <c r="U67" s="1894">
        <v>3288</v>
      </c>
      <c r="V67" s="1894">
        <f t="shared" si="2"/>
        <v>8035</v>
      </c>
      <c r="W67" s="1894">
        <f t="shared" si="3"/>
        <v>0</v>
      </c>
      <c r="X67" s="1894">
        <v>122</v>
      </c>
      <c r="Y67" s="1894">
        <v>29.16</v>
      </c>
      <c r="Z67" s="1894">
        <v>97.6</v>
      </c>
      <c r="AA67" s="1894">
        <v>0.87929999999999997</v>
      </c>
      <c r="AB67" s="1894">
        <v>16.739999999999998</v>
      </c>
      <c r="AC67" s="1894">
        <v>3515</v>
      </c>
      <c r="AD67" s="1894">
        <f t="shared" si="4"/>
        <v>12597</v>
      </c>
      <c r="AE67" s="1894">
        <f t="shared" si="5"/>
        <v>0</v>
      </c>
      <c r="AF67" s="1894">
        <v>122</v>
      </c>
      <c r="AG67" s="1894">
        <v>30.96</v>
      </c>
      <c r="AH67" s="1894">
        <v>97.6</v>
      </c>
      <c r="AI67" s="1894">
        <v>0.94169999999999998</v>
      </c>
      <c r="AJ67" s="1894">
        <v>24.36</v>
      </c>
      <c r="AK67" s="1894">
        <v>5610</v>
      </c>
      <c r="AL67" s="1894">
        <f t="shared" si="6"/>
        <v>13821</v>
      </c>
      <c r="AM67" s="1894">
        <f t="shared" si="7"/>
        <v>0</v>
      </c>
      <c r="AN67" s="1894">
        <v>122</v>
      </c>
      <c r="AO67" s="1894">
        <v>29.64</v>
      </c>
      <c r="AP67" s="1894">
        <v>97.6</v>
      </c>
      <c r="AQ67" s="1894">
        <v>0.93149999999999999</v>
      </c>
      <c r="AR67" s="1894">
        <v>22.73</v>
      </c>
      <c r="AS67" s="1894">
        <v>5013</v>
      </c>
      <c r="AT67" s="1894">
        <f t="shared" si="8"/>
        <v>13231</v>
      </c>
      <c r="AU67" s="1894">
        <f t="shared" si="9"/>
        <v>0</v>
      </c>
      <c r="AV67" s="1894">
        <v>122</v>
      </c>
      <c r="AW67" s="1894">
        <v>29.28</v>
      </c>
      <c r="AX67" s="1894">
        <v>97.6</v>
      </c>
      <c r="AY67" s="1894">
        <v>0.95179999999999998</v>
      </c>
      <c r="AZ67" s="1894">
        <v>24.94</v>
      </c>
      <c r="BA67" s="1894">
        <v>5258</v>
      </c>
      <c r="BB67" s="1894">
        <f t="shared" si="10"/>
        <v>12649</v>
      </c>
      <c r="BC67" s="1894">
        <f t="shared" si="11"/>
        <v>0</v>
      </c>
      <c r="BD67" s="1894">
        <v>122</v>
      </c>
      <c r="BE67" s="1894">
        <v>24</v>
      </c>
      <c r="BF67" s="1894">
        <v>97.6</v>
      </c>
      <c r="BG67" s="1894">
        <v>0.85409999999999997</v>
      </c>
      <c r="BH67" s="1894">
        <v>19.39</v>
      </c>
      <c r="BI67" s="1894">
        <v>3462</v>
      </c>
      <c r="BJ67" s="1894">
        <f t="shared" si="12"/>
        <v>10714</v>
      </c>
      <c r="BK67" s="1894">
        <f t="shared" si="13"/>
        <v>0</v>
      </c>
      <c r="BL67" s="1894">
        <v>122</v>
      </c>
      <c r="BM67" s="1894">
        <v>21.48</v>
      </c>
      <c r="BN67" s="1894">
        <v>97.6</v>
      </c>
      <c r="BO67" s="1894">
        <v>0.8629</v>
      </c>
      <c r="BP67" s="1894">
        <v>23.58</v>
      </c>
      <c r="BQ67" s="1894">
        <v>3647</v>
      </c>
      <c r="BR67" s="1894">
        <f t="shared" si="14"/>
        <v>9279</v>
      </c>
      <c r="BS67" s="1894">
        <f t="shared" si="15"/>
        <v>0</v>
      </c>
      <c r="BT67" s="1894">
        <v>122</v>
      </c>
      <c r="BU67" s="1894">
        <v>17.400000000000002</v>
      </c>
      <c r="BV67" s="1894">
        <v>97.6</v>
      </c>
      <c r="BW67" s="1894">
        <v>0.80179999999999996</v>
      </c>
      <c r="BX67" s="1894">
        <v>23.43</v>
      </c>
      <c r="BY67" s="1894">
        <v>3033</v>
      </c>
      <c r="BZ67" s="1894">
        <f t="shared" si="16"/>
        <v>7767</v>
      </c>
      <c r="CA67" s="1894">
        <f t="shared" si="17"/>
        <v>0</v>
      </c>
      <c r="CB67" s="1894">
        <v>122</v>
      </c>
      <c r="CC67" s="1894">
        <v>17.760000000000002</v>
      </c>
      <c r="CD67" s="1894">
        <v>97.6</v>
      </c>
      <c r="CE67" s="1894">
        <v>0.84740000000000004</v>
      </c>
      <c r="CF67" s="1894">
        <v>27.49</v>
      </c>
      <c r="CG67" s="1894">
        <v>3632</v>
      </c>
      <c r="CH67" s="1894">
        <f t="shared" si="18"/>
        <v>7928</v>
      </c>
      <c r="CI67" s="1894">
        <f t="shared" si="19"/>
        <v>0</v>
      </c>
      <c r="CJ67" s="1894">
        <v>122</v>
      </c>
      <c r="CK67" s="1894">
        <v>16.68</v>
      </c>
      <c r="CL67" s="1894">
        <v>97.6</v>
      </c>
      <c r="CM67" s="1894">
        <v>0.8599</v>
      </c>
      <c r="CN67" s="1894">
        <v>30.38</v>
      </c>
      <c r="CO67" s="1894">
        <v>3405</v>
      </c>
      <c r="CP67" s="1894">
        <f t="shared" si="20"/>
        <v>6725</v>
      </c>
      <c r="CQ67" s="1894">
        <f t="shared" si="21"/>
        <v>0</v>
      </c>
      <c r="CR67" s="1924">
        <v>122</v>
      </c>
      <c r="CS67" s="1924">
        <v>18.48</v>
      </c>
      <c r="CT67" s="1924">
        <v>97.6</v>
      </c>
      <c r="CU67" s="1924">
        <v>0.86060000000000003</v>
      </c>
      <c r="CV67" s="1924">
        <v>24.94</v>
      </c>
      <c r="CW67" s="1924">
        <v>3429</v>
      </c>
      <c r="CX67" s="1894">
        <f t="shared" si="22"/>
        <v>8249</v>
      </c>
      <c r="CY67" s="1894">
        <f t="shared" si="23"/>
        <v>0</v>
      </c>
    </row>
    <row r="68" spans="1:103">
      <c r="A68" s="982">
        <v>122000000022</v>
      </c>
      <c r="B68" s="1923">
        <f t="shared" si="24"/>
        <v>62</v>
      </c>
      <c r="C68" s="1895" t="s">
        <v>3634</v>
      </c>
      <c r="D68" s="1894" t="s">
        <v>2930</v>
      </c>
      <c r="E68" s="1895" t="s">
        <v>636</v>
      </c>
      <c r="F68" s="1894" t="s">
        <v>259</v>
      </c>
      <c r="G68" s="1894">
        <v>122</v>
      </c>
      <c r="H68" s="1894">
        <v>122</v>
      </c>
      <c r="I68" s="1894">
        <v>22.400000000000002</v>
      </c>
      <c r="J68" s="1894">
        <v>97.6</v>
      </c>
      <c r="K68" s="1894">
        <v>0.67249999999999999</v>
      </c>
      <c r="L68" s="1894">
        <v>13.6</v>
      </c>
      <c r="M68" s="1925">
        <v>2266</v>
      </c>
      <c r="N68" s="1894">
        <f t="shared" si="0"/>
        <v>9677</v>
      </c>
      <c r="O68" s="1894">
        <f t="shared" si="1"/>
        <v>0</v>
      </c>
      <c r="P68" s="1894">
        <v>122</v>
      </c>
      <c r="Q68" s="1894">
        <v>20</v>
      </c>
      <c r="R68" s="1894">
        <v>97.6</v>
      </c>
      <c r="S68" s="1894">
        <v>0.66190000000000004</v>
      </c>
      <c r="T68" s="1894">
        <v>15.76</v>
      </c>
      <c r="U68" s="1894">
        <v>2420</v>
      </c>
      <c r="V68" s="1894">
        <f t="shared" si="2"/>
        <v>8928</v>
      </c>
      <c r="W68" s="1894">
        <f t="shared" si="3"/>
        <v>0</v>
      </c>
      <c r="X68" s="1894">
        <v>122</v>
      </c>
      <c r="Y68" s="1894">
        <v>41.28</v>
      </c>
      <c r="Z68" s="1894">
        <v>97.6</v>
      </c>
      <c r="AA68" s="1894">
        <v>0.62990000000000002</v>
      </c>
      <c r="AB68" s="1894">
        <v>6.78</v>
      </c>
      <c r="AC68" s="1894">
        <v>2151</v>
      </c>
      <c r="AD68" s="1894">
        <f t="shared" si="4"/>
        <v>17833</v>
      </c>
      <c r="AE68" s="1894">
        <f t="shared" si="5"/>
        <v>0</v>
      </c>
      <c r="AF68" s="1894">
        <v>122</v>
      </c>
      <c r="AG68" s="1894">
        <v>19.68</v>
      </c>
      <c r="AH68" s="1894">
        <v>97.6</v>
      </c>
      <c r="AI68" s="1894">
        <v>0.60780000000000001</v>
      </c>
      <c r="AJ68" s="1894">
        <v>15.59</v>
      </c>
      <c r="AK68" s="1894">
        <v>2356</v>
      </c>
      <c r="AL68" s="1894">
        <v>8785</v>
      </c>
      <c r="AM68" s="1894">
        <v>0</v>
      </c>
      <c r="AN68" s="1894">
        <v>0</v>
      </c>
      <c r="AO68" s="1894">
        <v>0</v>
      </c>
      <c r="AP68" s="1894">
        <v>0</v>
      </c>
      <c r="AQ68" s="1894">
        <v>0</v>
      </c>
      <c r="AR68" s="1894">
        <v>0</v>
      </c>
      <c r="AS68" s="1894">
        <v>0</v>
      </c>
      <c r="AT68" s="1894">
        <f t="shared" si="8"/>
        <v>0</v>
      </c>
      <c r="AU68" s="1894">
        <f t="shared" si="9"/>
        <v>0</v>
      </c>
      <c r="AV68" s="1894">
        <v>0</v>
      </c>
      <c r="AW68" s="1894">
        <v>0</v>
      </c>
      <c r="AX68" s="1894">
        <v>0</v>
      </c>
      <c r="AY68" s="1894">
        <v>0</v>
      </c>
      <c r="AZ68" s="1894">
        <v>0</v>
      </c>
      <c r="BA68" s="1894">
        <v>0</v>
      </c>
      <c r="BB68" s="1894">
        <f t="shared" si="10"/>
        <v>0</v>
      </c>
      <c r="BC68" s="1894">
        <f t="shared" si="11"/>
        <v>0</v>
      </c>
      <c r="BD68" s="1894">
        <v>0</v>
      </c>
      <c r="BE68" s="1894">
        <v>0</v>
      </c>
      <c r="BF68" s="1894">
        <v>0</v>
      </c>
      <c r="BG68" s="1894">
        <v>0</v>
      </c>
      <c r="BH68" s="1894">
        <v>0</v>
      </c>
      <c r="BI68" s="1894">
        <v>0</v>
      </c>
      <c r="BJ68" s="1894">
        <f t="shared" si="12"/>
        <v>0</v>
      </c>
      <c r="BK68" s="1894">
        <f t="shared" si="13"/>
        <v>0</v>
      </c>
      <c r="BL68" s="1894">
        <v>0</v>
      </c>
      <c r="BM68" s="1894">
        <v>0</v>
      </c>
      <c r="BN68" s="1894">
        <v>0</v>
      </c>
      <c r="BO68" s="1894">
        <v>0</v>
      </c>
      <c r="BP68" s="1894">
        <v>0</v>
      </c>
      <c r="BQ68" s="1894">
        <v>0</v>
      </c>
      <c r="BR68" s="1894">
        <f t="shared" si="14"/>
        <v>0</v>
      </c>
      <c r="BS68" s="1894">
        <f t="shared" si="15"/>
        <v>0</v>
      </c>
      <c r="BT68" s="1894">
        <v>0</v>
      </c>
      <c r="BU68" s="1894">
        <v>0</v>
      </c>
      <c r="BV68" s="1894">
        <v>0</v>
      </c>
      <c r="BW68" s="1894">
        <v>0</v>
      </c>
      <c r="BX68" s="1894">
        <v>0</v>
      </c>
      <c r="BY68" s="1894">
        <v>0</v>
      </c>
      <c r="BZ68" s="1894">
        <f t="shared" si="16"/>
        <v>0</v>
      </c>
      <c r="CA68" s="1894">
        <f t="shared" si="17"/>
        <v>0</v>
      </c>
      <c r="CB68" s="1894">
        <v>0</v>
      </c>
      <c r="CC68" s="1894">
        <v>0</v>
      </c>
      <c r="CD68" s="1894">
        <v>0</v>
      </c>
      <c r="CE68" s="1894">
        <v>0</v>
      </c>
      <c r="CF68" s="1894">
        <v>0</v>
      </c>
      <c r="CG68" s="1894">
        <v>0</v>
      </c>
      <c r="CH68" s="1894">
        <f t="shared" si="18"/>
        <v>0</v>
      </c>
      <c r="CI68" s="1894">
        <f t="shared" si="19"/>
        <v>0</v>
      </c>
      <c r="CJ68" s="1894">
        <v>0</v>
      </c>
      <c r="CK68" s="1894">
        <v>0</v>
      </c>
      <c r="CL68" s="1894">
        <v>0</v>
      </c>
      <c r="CM68" s="1894">
        <v>0</v>
      </c>
      <c r="CN68" s="1894">
        <v>0</v>
      </c>
      <c r="CO68" s="1894">
        <v>0</v>
      </c>
      <c r="CP68" s="1894">
        <f t="shared" si="20"/>
        <v>0</v>
      </c>
      <c r="CQ68" s="1894">
        <f t="shared" si="21"/>
        <v>0</v>
      </c>
      <c r="CR68" s="1894">
        <v>0</v>
      </c>
      <c r="CS68" s="1894">
        <v>0</v>
      </c>
      <c r="CT68" s="1894">
        <v>0</v>
      </c>
      <c r="CU68" s="1894">
        <v>0</v>
      </c>
      <c r="CV68" s="1894">
        <v>0</v>
      </c>
      <c r="CW68" s="1894">
        <v>0</v>
      </c>
      <c r="CX68" s="1894">
        <f t="shared" si="22"/>
        <v>0</v>
      </c>
      <c r="CY68" s="1894">
        <f t="shared" si="23"/>
        <v>0</v>
      </c>
    </row>
    <row r="69" spans="1:103">
      <c r="A69" s="982">
        <v>125000000006</v>
      </c>
      <c r="B69" s="1923">
        <f t="shared" si="24"/>
        <v>63</v>
      </c>
      <c r="C69" s="1895" t="s">
        <v>2965</v>
      </c>
      <c r="D69" s="1894" t="s">
        <v>524</v>
      </c>
      <c r="E69" s="1895" t="s">
        <v>2966</v>
      </c>
      <c r="F69" s="1894" t="s">
        <v>259</v>
      </c>
      <c r="G69" s="1924">
        <v>122.5</v>
      </c>
      <c r="H69" s="1894">
        <v>122.5</v>
      </c>
      <c r="I69" s="1894">
        <v>136.32000000000002</v>
      </c>
      <c r="J69" s="1894">
        <v>136.32</v>
      </c>
      <c r="K69" s="1894">
        <v>0.8831</v>
      </c>
      <c r="L69" s="1894">
        <v>0</v>
      </c>
      <c r="M69" s="1894">
        <v>62322</v>
      </c>
      <c r="N69" s="1894">
        <f t="shared" si="0"/>
        <v>58890</v>
      </c>
      <c r="O69" s="1894">
        <f t="shared" si="1"/>
        <v>3432</v>
      </c>
      <c r="P69" s="1894">
        <v>122.5</v>
      </c>
      <c r="Q69" s="1894">
        <v>141.12</v>
      </c>
      <c r="R69" s="1894">
        <v>141.12</v>
      </c>
      <c r="S69" s="1894">
        <v>0.88780000000000003</v>
      </c>
      <c r="T69" s="1894">
        <v>0</v>
      </c>
      <c r="U69" s="1894">
        <v>57159</v>
      </c>
      <c r="V69" s="1894">
        <f t="shared" si="2"/>
        <v>62996</v>
      </c>
      <c r="W69" s="1894">
        <f t="shared" si="3"/>
        <v>0</v>
      </c>
      <c r="X69" s="1894">
        <v>122.5</v>
      </c>
      <c r="Y69" s="1894">
        <v>127.67999999999999</v>
      </c>
      <c r="Z69" s="1894">
        <v>127.68</v>
      </c>
      <c r="AA69" s="1894">
        <v>0.89780000000000004</v>
      </c>
      <c r="AB69" s="1894">
        <v>0</v>
      </c>
      <c r="AC69" s="1894">
        <v>50514</v>
      </c>
      <c r="AD69" s="1894">
        <f t="shared" si="4"/>
        <v>55158</v>
      </c>
      <c r="AE69" s="1894">
        <f t="shared" si="5"/>
        <v>0</v>
      </c>
      <c r="AF69" s="1894">
        <v>122.5</v>
      </c>
      <c r="AG69" s="1894">
        <v>112.55999999999999</v>
      </c>
      <c r="AH69" s="1894">
        <v>122.5</v>
      </c>
      <c r="AI69" s="1894">
        <v>0.92220000000000002</v>
      </c>
      <c r="AJ69" s="1894">
        <v>0</v>
      </c>
      <c r="AK69" s="1894">
        <v>45207</v>
      </c>
      <c r="AL69" s="1894">
        <f t="shared" ref="AL69:AL83" si="25">+ROUND((24*31*0.6*AG69),0)</f>
        <v>50247</v>
      </c>
      <c r="AM69" s="1894">
        <f t="shared" ref="AM69:AM83" si="26">+MAX((AK69-AL69),0)</f>
        <v>0</v>
      </c>
      <c r="AN69" s="1894">
        <v>122.5</v>
      </c>
      <c r="AO69" s="1894">
        <v>109.92</v>
      </c>
      <c r="AP69" s="1894">
        <v>122.5</v>
      </c>
      <c r="AQ69" s="1894">
        <v>0.97850000000000004</v>
      </c>
      <c r="AR69" s="1894">
        <v>0</v>
      </c>
      <c r="AS69" s="1894">
        <v>31893</v>
      </c>
      <c r="AT69" s="1894">
        <f t="shared" si="8"/>
        <v>49068</v>
      </c>
      <c r="AU69" s="1894">
        <f t="shared" si="9"/>
        <v>0</v>
      </c>
      <c r="AV69" s="1894">
        <v>122.5</v>
      </c>
      <c r="AW69" s="1894">
        <v>116.88</v>
      </c>
      <c r="AX69" s="1894">
        <v>122.5</v>
      </c>
      <c r="AY69" s="1894">
        <v>0.9839</v>
      </c>
      <c r="AZ69" s="1894">
        <v>0</v>
      </c>
      <c r="BA69" s="1894">
        <v>32097</v>
      </c>
      <c r="BB69" s="1894">
        <f t="shared" si="10"/>
        <v>50492</v>
      </c>
      <c r="BC69" s="1894">
        <f t="shared" si="11"/>
        <v>0</v>
      </c>
      <c r="BD69" s="1894">
        <v>122.5</v>
      </c>
      <c r="BE69" s="1894">
        <v>110.88</v>
      </c>
      <c r="BF69" s="1894">
        <v>122.5</v>
      </c>
      <c r="BG69" s="1894">
        <v>0.97819999999999996</v>
      </c>
      <c r="BH69" s="1894">
        <v>0</v>
      </c>
      <c r="BI69" s="1894">
        <v>20370</v>
      </c>
      <c r="BJ69" s="1894">
        <f t="shared" si="12"/>
        <v>49497</v>
      </c>
      <c r="BK69" s="1894">
        <f t="shared" si="13"/>
        <v>0</v>
      </c>
      <c r="BL69" s="1894">
        <v>122.5</v>
      </c>
      <c r="BM69" s="1894">
        <v>41.28</v>
      </c>
      <c r="BN69" s="1894">
        <v>122.5</v>
      </c>
      <c r="BO69" s="1894">
        <v>0.95130000000000003</v>
      </c>
      <c r="BP69" s="1894">
        <v>0</v>
      </c>
      <c r="BQ69" s="1894">
        <v>12693</v>
      </c>
      <c r="BR69" s="1894">
        <f t="shared" si="14"/>
        <v>17833</v>
      </c>
      <c r="BS69" s="1894">
        <f t="shared" si="15"/>
        <v>0</v>
      </c>
      <c r="BT69" s="1894">
        <v>122.5</v>
      </c>
      <c r="BU69" s="1894">
        <v>40.559999999999995</v>
      </c>
      <c r="BV69" s="1894">
        <v>122.5</v>
      </c>
      <c r="BW69" s="1894">
        <v>0.94689999999999996</v>
      </c>
      <c r="BX69" s="1894">
        <v>0</v>
      </c>
      <c r="BY69" s="1894">
        <v>13698</v>
      </c>
      <c r="BZ69" s="1894">
        <f t="shared" si="16"/>
        <v>18106</v>
      </c>
      <c r="CA69" s="1894">
        <f t="shared" si="17"/>
        <v>0</v>
      </c>
      <c r="CB69" s="1894">
        <v>122.5</v>
      </c>
      <c r="CC69" s="1894">
        <v>33.839999999999996</v>
      </c>
      <c r="CD69" s="1894">
        <v>122.5</v>
      </c>
      <c r="CE69" s="1894">
        <v>0.88470000000000004</v>
      </c>
      <c r="CF69" s="1894">
        <v>0</v>
      </c>
      <c r="CG69" s="1894">
        <v>7443</v>
      </c>
      <c r="CH69" s="1894">
        <f t="shared" si="18"/>
        <v>15106</v>
      </c>
      <c r="CI69" s="1894">
        <f t="shared" si="19"/>
        <v>0</v>
      </c>
      <c r="CJ69" s="1894">
        <v>122.5</v>
      </c>
      <c r="CK69" s="1894">
        <v>33.36</v>
      </c>
      <c r="CL69" s="1894">
        <v>122.5</v>
      </c>
      <c r="CM69" s="1894">
        <v>0.82169999999999999</v>
      </c>
      <c r="CN69" s="1894">
        <v>0</v>
      </c>
      <c r="CO69" s="1894">
        <v>5739</v>
      </c>
      <c r="CP69" s="1894">
        <f t="shared" si="20"/>
        <v>13451</v>
      </c>
      <c r="CQ69" s="1894">
        <f t="shared" si="21"/>
        <v>0</v>
      </c>
      <c r="CR69" s="1924">
        <v>122.5</v>
      </c>
      <c r="CS69" s="1924">
        <v>37.200000000000003</v>
      </c>
      <c r="CT69" s="1924">
        <v>122.5</v>
      </c>
      <c r="CU69" s="1924">
        <v>0.83540000000000003</v>
      </c>
      <c r="CV69" s="1924">
        <v>0</v>
      </c>
      <c r="CW69" s="1924">
        <v>6363</v>
      </c>
      <c r="CX69" s="1894">
        <f t="shared" si="22"/>
        <v>16606</v>
      </c>
      <c r="CY69" s="1894">
        <f t="shared" si="23"/>
        <v>0</v>
      </c>
    </row>
    <row r="70" spans="1:103">
      <c r="A70" s="982">
        <v>126000000054</v>
      </c>
      <c r="B70" s="1923">
        <f t="shared" si="24"/>
        <v>64</v>
      </c>
      <c r="C70" s="1895" t="s">
        <v>2967</v>
      </c>
      <c r="D70" s="1894" t="s">
        <v>524</v>
      </c>
      <c r="E70" s="1895" t="s">
        <v>541</v>
      </c>
      <c r="F70" s="1894" t="s">
        <v>259</v>
      </c>
      <c r="G70" s="1924">
        <v>123</v>
      </c>
      <c r="H70" s="1894">
        <v>0</v>
      </c>
      <c r="I70" s="1894">
        <v>0</v>
      </c>
      <c r="J70" s="1894">
        <v>0</v>
      </c>
      <c r="K70" s="1894">
        <v>0</v>
      </c>
      <c r="L70" s="1894">
        <v>0</v>
      </c>
      <c r="M70" s="1894">
        <v>0</v>
      </c>
      <c r="N70" s="1894">
        <f t="shared" si="0"/>
        <v>0</v>
      </c>
      <c r="O70" s="1894">
        <f t="shared" si="1"/>
        <v>0</v>
      </c>
      <c r="P70" s="1894">
        <v>123</v>
      </c>
      <c r="Q70" s="1894">
        <v>88.88000000000001</v>
      </c>
      <c r="R70" s="1894">
        <v>98.4</v>
      </c>
      <c r="S70" s="1894">
        <v>0.70709999999999995</v>
      </c>
      <c r="T70" s="1894">
        <v>9.74</v>
      </c>
      <c r="U70" s="1894">
        <v>8522</v>
      </c>
      <c r="V70" s="1894">
        <f t="shared" si="2"/>
        <v>39676</v>
      </c>
      <c r="W70" s="1894">
        <f t="shared" si="3"/>
        <v>0</v>
      </c>
      <c r="X70" s="1894">
        <v>123</v>
      </c>
      <c r="Y70" s="1894">
        <v>90.8</v>
      </c>
      <c r="Z70" s="1894">
        <v>98.4</v>
      </c>
      <c r="AA70" s="1894">
        <v>0.65249999999999997</v>
      </c>
      <c r="AB70" s="1894">
        <v>11.9</v>
      </c>
      <c r="AC70" s="1894">
        <v>7520</v>
      </c>
      <c r="AD70" s="1894">
        <f t="shared" si="4"/>
        <v>39226</v>
      </c>
      <c r="AE70" s="1894">
        <f t="shared" si="5"/>
        <v>0</v>
      </c>
      <c r="AF70" s="1894">
        <v>123</v>
      </c>
      <c r="AG70" s="1894">
        <v>94</v>
      </c>
      <c r="AH70" s="1894">
        <v>98.4</v>
      </c>
      <c r="AI70" s="1894">
        <v>0.67620000000000002</v>
      </c>
      <c r="AJ70" s="1894">
        <v>21.75</v>
      </c>
      <c r="AK70" s="1894">
        <v>15702</v>
      </c>
      <c r="AL70" s="1894">
        <f t="shared" si="25"/>
        <v>41962</v>
      </c>
      <c r="AM70" s="1894">
        <f t="shared" si="26"/>
        <v>0</v>
      </c>
      <c r="AN70" s="1894">
        <v>123</v>
      </c>
      <c r="AO70" s="1894">
        <v>117.68</v>
      </c>
      <c r="AP70" s="1894">
        <v>117.68</v>
      </c>
      <c r="AQ70" s="1894">
        <v>0.59750000000000003</v>
      </c>
      <c r="AR70" s="1894">
        <v>15.53</v>
      </c>
      <c r="AS70" s="1894">
        <v>13600</v>
      </c>
      <c r="AT70" s="1894">
        <f t="shared" si="8"/>
        <v>52532</v>
      </c>
      <c r="AU70" s="1894">
        <f t="shared" si="9"/>
        <v>0</v>
      </c>
      <c r="AV70" s="1894">
        <v>123</v>
      </c>
      <c r="AW70" s="1894">
        <v>124.32000000000001</v>
      </c>
      <c r="AX70" s="1894">
        <v>124.32</v>
      </c>
      <c r="AY70" s="1894">
        <v>0.63449999999999995</v>
      </c>
      <c r="AZ70" s="1894">
        <v>16.29</v>
      </c>
      <c r="BA70" s="1894">
        <v>14585</v>
      </c>
      <c r="BB70" s="1894">
        <f t="shared" si="10"/>
        <v>53706</v>
      </c>
      <c r="BC70" s="1894">
        <f t="shared" si="11"/>
        <v>0</v>
      </c>
      <c r="BD70" s="1894">
        <v>123</v>
      </c>
      <c r="BE70" s="1894">
        <v>101.52000000000001</v>
      </c>
      <c r="BF70" s="1894">
        <v>101.52</v>
      </c>
      <c r="BG70" s="1894">
        <v>0.59709999999999996</v>
      </c>
      <c r="BH70" s="1894">
        <v>15.13</v>
      </c>
      <c r="BI70" s="1894">
        <v>11431</v>
      </c>
      <c r="BJ70" s="1894">
        <f t="shared" si="12"/>
        <v>45319</v>
      </c>
      <c r="BK70" s="1894">
        <f t="shared" si="13"/>
        <v>0</v>
      </c>
      <c r="BL70" s="1894">
        <v>123</v>
      </c>
      <c r="BM70" s="1894">
        <v>83.76</v>
      </c>
      <c r="BN70" s="1894">
        <v>98.4</v>
      </c>
      <c r="BO70" s="1894">
        <v>0.61260000000000003</v>
      </c>
      <c r="BP70" s="1894">
        <v>21.28</v>
      </c>
      <c r="BQ70" s="1894">
        <v>12404</v>
      </c>
      <c r="BR70" s="1894">
        <f t="shared" si="14"/>
        <v>36184</v>
      </c>
      <c r="BS70" s="1894">
        <f t="shared" si="15"/>
        <v>0</v>
      </c>
      <c r="BT70" s="1894">
        <v>123</v>
      </c>
      <c r="BU70" s="1894">
        <v>110.48</v>
      </c>
      <c r="BV70" s="1894">
        <v>110.48</v>
      </c>
      <c r="BW70" s="1894">
        <v>0.63190000000000002</v>
      </c>
      <c r="BX70" s="1894">
        <v>28.98</v>
      </c>
      <c r="BY70" s="1894">
        <v>24593</v>
      </c>
      <c r="BZ70" s="1894">
        <f t="shared" si="16"/>
        <v>49318</v>
      </c>
      <c r="CA70" s="1894">
        <f t="shared" si="17"/>
        <v>0</v>
      </c>
      <c r="CB70" s="1894">
        <v>123</v>
      </c>
      <c r="CC70" s="1894">
        <v>99.2</v>
      </c>
      <c r="CD70" s="1894">
        <v>99.2</v>
      </c>
      <c r="CE70" s="1894">
        <v>0.65500000000000003</v>
      </c>
      <c r="CF70" s="1894">
        <v>33.18</v>
      </c>
      <c r="CG70" s="1894">
        <v>24491</v>
      </c>
      <c r="CH70" s="1894">
        <f t="shared" si="18"/>
        <v>44283</v>
      </c>
      <c r="CI70" s="1894">
        <f t="shared" si="19"/>
        <v>0</v>
      </c>
      <c r="CJ70" s="1894">
        <v>123</v>
      </c>
      <c r="CK70" s="1894">
        <v>89.52</v>
      </c>
      <c r="CL70" s="1894">
        <v>98.4</v>
      </c>
      <c r="CM70" s="1894">
        <v>0.90080000000000005</v>
      </c>
      <c r="CN70" s="1894">
        <v>23.23</v>
      </c>
      <c r="CO70" s="1894">
        <v>13972</v>
      </c>
      <c r="CP70" s="1894">
        <f t="shared" si="20"/>
        <v>36094</v>
      </c>
      <c r="CQ70" s="1894">
        <f t="shared" si="21"/>
        <v>0</v>
      </c>
      <c r="CR70" s="1924">
        <v>123</v>
      </c>
      <c r="CS70" s="1924">
        <v>67.36</v>
      </c>
      <c r="CT70" s="1924">
        <v>98.4</v>
      </c>
      <c r="CU70" s="1924">
        <v>0.9909</v>
      </c>
      <c r="CV70" s="1924">
        <v>19.3</v>
      </c>
      <c r="CW70" s="1924">
        <v>9671</v>
      </c>
      <c r="CX70" s="1894">
        <f t="shared" si="22"/>
        <v>30070</v>
      </c>
      <c r="CY70" s="1894">
        <f t="shared" si="23"/>
        <v>0</v>
      </c>
    </row>
    <row r="71" spans="1:103">
      <c r="A71" s="982">
        <v>123000000130</v>
      </c>
      <c r="B71" s="1923">
        <f t="shared" si="24"/>
        <v>65</v>
      </c>
      <c r="C71" s="1895" t="s">
        <v>2968</v>
      </c>
      <c r="D71" s="1894" t="s">
        <v>524</v>
      </c>
      <c r="E71" s="1895" t="s">
        <v>636</v>
      </c>
      <c r="F71" s="1894" t="s">
        <v>259</v>
      </c>
      <c r="G71" s="1924">
        <v>123</v>
      </c>
      <c r="H71" s="1894">
        <v>123</v>
      </c>
      <c r="I71" s="1894">
        <v>82.72</v>
      </c>
      <c r="J71" s="1894">
        <v>98.4</v>
      </c>
      <c r="K71" s="1894">
        <v>0.8548</v>
      </c>
      <c r="L71" s="1894">
        <v>20.82</v>
      </c>
      <c r="M71" s="1894">
        <v>4134</v>
      </c>
      <c r="N71" s="1894">
        <f t="shared" ref="N71:N134" si="27">+ROUND((24*30*0.6*I71),0)</f>
        <v>35735</v>
      </c>
      <c r="O71" s="1894">
        <f t="shared" ref="O71:O134" si="28">+MAX((M71-N71),0)</f>
        <v>0</v>
      </c>
      <c r="P71" s="1894">
        <v>123</v>
      </c>
      <c r="Q71" s="1894">
        <v>58.8</v>
      </c>
      <c r="R71" s="1894">
        <v>98.4</v>
      </c>
      <c r="S71" s="1894">
        <v>0.83440000000000003</v>
      </c>
      <c r="T71" s="1894">
        <v>21.24</v>
      </c>
      <c r="U71" s="1894">
        <v>11388</v>
      </c>
      <c r="V71" s="1894">
        <f t="shared" ref="V71:V134" si="29">+ROUND((24*31*0.6*Q71),0)</f>
        <v>26248</v>
      </c>
      <c r="W71" s="1894">
        <f t="shared" ref="W71:W134" si="30">+MAX((U71-V71),0)</f>
        <v>0</v>
      </c>
      <c r="X71" s="1894">
        <v>123</v>
      </c>
      <c r="Y71" s="1894">
        <v>31.759999999999998</v>
      </c>
      <c r="Z71" s="1894">
        <v>98.4</v>
      </c>
      <c r="AA71" s="1894">
        <v>0.87</v>
      </c>
      <c r="AB71" s="1894">
        <v>14.43</v>
      </c>
      <c r="AC71" s="1894">
        <v>3300</v>
      </c>
      <c r="AD71" s="1894">
        <f t="shared" ref="AD71:AD134" si="31">+ROUND((24*30*0.6*Y71),0)</f>
        <v>13720</v>
      </c>
      <c r="AE71" s="1894">
        <f t="shared" ref="AE71:AE134" si="32">+MAX((AC71-AD71),0)</f>
        <v>0</v>
      </c>
      <c r="AF71" s="1894">
        <v>123</v>
      </c>
      <c r="AG71" s="1894">
        <v>72</v>
      </c>
      <c r="AH71" s="1894">
        <v>98.4</v>
      </c>
      <c r="AI71" s="1894">
        <v>0.84230000000000005</v>
      </c>
      <c r="AJ71" s="1894">
        <v>6.52</v>
      </c>
      <c r="AK71" s="1894">
        <v>3494</v>
      </c>
      <c r="AL71" s="1894">
        <f t="shared" si="25"/>
        <v>32141</v>
      </c>
      <c r="AM71" s="1894">
        <f t="shared" si="26"/>
        <v>0</v>
      </c>
      <c r="AN71" s="1894">
        <v>123</v>
      </c>
      <c r="AO71" s="1894">
        <v>95.36</v>
      </c>
      <c r="AP71" s="1894">
        <v>98.4</v>
      </c>
      <c r="AQ71" s="1894">
        <v>0.80979999999999996</v>
      </c>
      <c r="AR71" s="1894">
        <v>30.23</v>
      </c>
      <c r="AS71" s="1894">
        <v>21445</v>
      </c>
      <c r="AT71" s="1894">
        <f t="shared" ref="AT71:AT134" si="33">+ROUND((24*31*0.6*AO71),0)</f>
        <v>42569</v>
      </c>
      <c r="AU71" s="1894">
        <f t="shared" ref="AU71:AU134" si="34">+MAX((AS71-AT71),0)</f>
        <v>0</v>
      </c>
      <c r="AV71" s="1894">
        <v>123</v>
      </c>
      <c r="AW71" s="1894">
        <v>106.56000000000002</v>
      </c>
      <c r="AX71" s="1894">
        <v>106.56</v>
      </c>
      <c r="AY71" s="1894">
        <v>0.80610000000000004</v>
      </c>
      <c r="AZ71" s="1894">
        <v>37.15</v>
      </c>
      <c r="BA71" s="1894">
        <v>28500</v>
      </c>
      <c r="BB71" s="1894">
        <f t="shared" ref="BB71:BB134" si="35">+ROUND((24*30*0.6*AW71),0)</f>
        <v>46034</v>
      </c>
      <c r="BC71" s="1894">
        <f t="shared" ref="BC71:BC134" si="36">+MAX((BA71-BB71),0)</f>
        <v>0</v>
      </c>
      <c r="BD71" s="1894">
        <v>123</v>
      </c>
      <c r="BE71" s="1894">
        <v>38</v>
      </c>
      <c r="BF71" s="1894">
        <v>98.4</v>
      </c>
      <c r="BG71" s="1894">
        <v>0.6956</v>
      </c>
      <c r="BH71" s="1894">
        <v>14.5</v>
      </c>
      <c r="BI71" s="1894">
        <v>4100</v>
      </c>
      <c r="BJ71" s="1894">
        <f t="shared" ref="BJ71:BJ134" si="37">+ROUND((24*31*0.6*BE71),0)</f>
        <v>16963</v>
      </c>
      <c r="BK71" s="1894">
        <f t="shared" ref="BK71:BK134" si="38">+MAX((BI71-BJ71),0)</f>
        <v>0</v>
      </c>
      <c r="BL71" s="1894">
        <v>123</v>
      </c>
      <c r="BM71" s="1894">
        <v>13.76</v>
      </c>
      <c r="BN71" s="1894">
        <v>98.4</v>
      </c>
      <c r="BO71" s="1894">
        <v>0.40739999999999998</v>
      </c>
      <c r="BP71" s="1894">
        <v>27.53</v>
      </c>
      <c r="BQ71" s="1894">
        <v>2727</v>
      </c>
      <c r="BR71" s="1894">
        <f t="shared" ref="BR71:BR134" si="39">+ROUND((24*30*0.6*BM71),0)</f>
        <v>5944</v>
      </c>
      <c r="BS71" s="1894">
        <f t="shared" ref="BS71:BS134" si="40">+MAX((BQ71-BR71),0)</f>
        <v>0</v>
      </c>
      <c r="BT71" s="1894">
        <v>123</v>
      </c>
      <c r="BU71" s="1894">
        <v>12.959999999999999</v>
      </c>
      <c r="BV71" s="1894">
        <v>98.4</v>
      </c>
      <c r="BW71" s="1894">
        <v>0.35389999999999999</v>
      </c>
      <c r="BX71" s="1894">
        <v>28.51</v>
      </c>
      <c r="BY71" s="1894">
        <v>2749</v>
      </c>
      <c r="BZ71" s="1894">
        <f t="shared" ref="BZ71:BZ134" si="41">+ROUND((24*31*0.6*BU71),0)</f>
        <v>5785</v>
      </c>
      <c r="CA71" s="1894">
        <f t="shared" ref="CA71:CA134" si="42">+MAX((BY71-BZ71),0)</f>
        <v>0</v>
      </c>
      <c r="CB71" s="1894">
        <v>123</v>
      </c>
      <c r="CC71" s="1894">
        <v>6</v>
      </c>
      <c r="CD71" s="1894">
        <v>98.4</v>
      </c>
      <c r="CE71" s="1894">
        <v>0.30669999999999997</v>
      </c>
      <c r="CF71" s="1894">
        <v>53.74</v>
      </c>
      <c r="CG71" s="1894">
        <v>2399</v>
      </c>
      <c r="CH71" s="1894">
        <f t="shared" ref="CH71:CH134" si="43">+ROUND((24*31*0.6*CC71),0)</f>
        <v>2678</v>
      </c>
      <c r="CI71" s="1894">
        <f t="shared" ref="CI71:CI134" si="44">+MAX((CG71-CH71),0)</f>
        <v>0</v>
      </c>
      <c r="CJ71" s="1894">
        <v>123</v>
      </c>
      <c r="CK71" s="1894">
        <v>40.32</v>
      </c>
      <c r="CL71" s="1894">
        <v>98.4</v>
      </c>
      <c r="CM71" s="1894">
        <v>0.73019999999999996</v>
      </c>
      <c r="CN71" s="1894">
        <v>18.63</v>
      </c>
      <c r="CO71" s="1894">
        <v>5049</v>
      </c>
      <c r="CP71" s="1894">
        <f t="shared" ref="CP71:CP134" si="45">+ROUND((24*28*0.6*CK71),0)</f>
        <v>16257</v>
      </c>
      <c r="CQ71" s="1894">
        <f t="shared" ref="CQ71:CQ134" si="46">+MAX((CO71-CP71),0)</f>
        <v>0</v>
      </c>
      <c r="CR71" s="1924">
        <v>123</v>
      </c>
      <c r="CS71" s="1924">
        <v>96.72</v>
      </c>
      <c r="CT71" s="1924">
        <v>98.4</v>
      </c>
      <c r="CU71" s="1924">
        <v>0.86280000000000001</v>
      </c>
      <c r="CV71" s="1924">
        <v>20.04</v>
      </c>
      <c r="CW71" s="1924">
        <v>14421</v>
      </c>
      <c r="CX71" s="1894">
        <f t="shared" ref="CX71:CX134" si="47">+ROUND((24*31*0.6*CS71),0)</f>
        <v>43176</v>
      </c>
      <c r="CY71" s="1894">
        <f t="shared" ref="CY71:CY134" si="48">+MAX((CW71-CX71),0)</f>
        <v>0</v>
      </c>
    </row>
    <row r="72" spans="1:103">
      <c r="A72" s="982">
        <v>123000000108</v>
      </c>
      <c r="B72" s="1923">
        <f t="shared" ref="B72:B135" si="49">+B71+1</f>
        <v>66</v>
      </c>
      <c r="C72" s="1895" t="s">
        <v>2969</v>
      </c>
      <c r="D72" s="1894" t="s">
        <v>524</v>
      </c>
      <c r="E72" s="1895" t="s">
        <v>541</v>
      </c>
      <c r="F72" s="1894" t="s">
        <v>259</v>
      </c>
      <c r="G72" s="1924">
        <v>123</v>
      </c>
      <c r="H72" s="1894">
        <v>123</v>
      </c>
      <c r="I72" s="1894">
        <v>11.12</v>
      </c>
      <c r="J72" s="1894">
        <v>98.4</v>
      </c>
      <c r="K72" s="1894">
        <v>0.46600000000000003</v>
      </c>
      <c r="L72" s="1894">
        <v>32.4</v>
      </c>
      <c r="M72" s="1894">
        <v>2594</v>
      </c>
      <c r="N72" s="1894">
        <f t="shared" si="27"/>
        <v>4804</v>
      </c>
      <c r="O72" s="1894">
        <f t="shared" si="28"/>
        <v>0</v>
      </c>
      <c r="P72" s="1894">
        <v>123</v>
      </c>
      <c r="Q72" s="1894">
        <v>9.44</v>
      </c>
      <c r="R72" s="1894">
        <v>98.4</v>
      </c>
      <c r="S72" s="1894">
        <v>0.4118</v>
      </c>
      <c r="T72" s="1894">
        <v>35.369999999999997</v>
      </c>
      <c r="U72" s="1894">
        <v>2484</v>
      </c>
      <c r="V72" s="1894">
        <f t="shared" si="29"/>
        <v>4214</v>
      </c>
      <c r="W72" s="1894">
        <f t="shared" si="30"/>
        <v>0</v>
      </c>
      <c r="X72" s="1894">
        <v>123</v>
      </c>
      <c r="Y72" s="1894">
        <v>235.76000000000002</v>
      </c>
      <c r="Z72" s="1894">
        <v>235.76</v>
      </c>
      <c r="AA72" s="1894">
        <v>0.79090000000000005</v>
      </c>
      <c r="AB72" s="1894">
        <v>3.49</v>
      </c>
      <c r="AC72" s="1894">
        <v>5931</v>
      </c>
      <c r="AD72" s="1894">
        <f t="shared" si="31"/>
        <v>101848</v>
      </c>
      <c r="AE72" s="1894">
        <f t="shared" si="32"/>
        <v>0</v>
      </c>
      <c r="AF72" s="1894">
        <v>123</v>
      </c>
      <c r="AG72" s="1894">
        <v>27.76</v>
      </c>
      <c r="AH72" s="1894">
        <v>98.4</v>
      </c>
      <c r="AI72" s="1894">
        <v>0.38250000000000001</v>
      </c>
      <c r="AJ72" s="1894">
        <v>11.24</v>
      </c>
      <c r="AK72" s="1894">
        <v>2321</v>
      </c>
      <c r="AL72" s="1894">
        <f t="shared" si="25"/>
        <v>12392</v>
      </c>
      <c r="AM72" s="1894">
        <f t="shared" si="26"/>
        <v>0</v>
      </c>
      <c r="AN72" s="1894">
        <v>123</v>
      </c>
      <c r="AO72" s="1894">
        <v>7.6</v>
      </c>
      <c r="AP72" s="1894">
        <v>98.4</v>
      </c>
      <c r="AQ72" s="1894">
        <v>0.3674</v>
      </c>
      <c r="AR72" s="1894">
        <v>44.96</v>
      </c>
      <c r="AS72" s="1894">
        <v>2542</v>
      </c>
      <c r="AT72" s="1894">
        <f t="shared" si="33"/>
        <v>3393</v>
      </c>
      <c r="AU72" s="1894">
        <f t="shared" si="34"/>
        <v>0</v>
      </c>
      <c r="AV72" s="1894">
        <v>123</v>
      </c>
      <c r="AW72" s="1894">
        <v>5.36</v>
      </c>
      <c r="AX72" s="1894">
        <v>98.4</v>
      </c>
      <c r="AY72" s="1894">
        <v>0.84830000000000005</v>
      </c>
      <c r="AZ72" s="1894">
        <v>27</v>
      </c>
      <c r="BA72" s="1894">
        <v>1042</v>
      </c>
      <c r="BB72" s="1894">
        <f t="shared" si="35"/>
        <v>2316</v>
      </c>
      <c r="BC72" s="1894">
        <f t="shared" si="36"/>
        <v>0</v>
      </c>
      <c r="BD72" s="1894">
        <v>123</v>
      </c>
      <c r="BE72" s="1894">
        <v>5.36</v>
      </c>
      <c r="BF72" s="1894">
        <v>98.4</v>
      </c>
      <c r="BG72" s="1894">
        <v>0.92649999999999999</v>
      </c>
      <c r="BH72" s="1894">
        <v>24.22</v>
      </c>
      <c r="BI72" s="1894">
        <v>966</v>
      </c>
      <c r="BJ72" s="1894">
        <f t="shared" si="37"/>
        <v>2393</v>
      </c>
      <c r="BK72" s="1894">
        <f t="shared" si="38"/>
        <v>0</v>
      </c>
      <c r="BL72" s="1894">
        <v>123</v>
      </c>
      <c r="BM72" s="1894">
        <v>249.28</v>
      </c>
      <c r="BN72" s="1894">
        <v>249.28</v>
      </c>
      <c r="BO72" s="1894">
        <v>0.93720000000000003</v>
      </c>
      <c r="BP72" s="1894">
        <v>5.0599999999999996</v>
      </c>
      <c r="BQ72" s="1894">
        <v>9082</v>
      </c>
      <c r="BR72" s="1894">
        <f t="shared" si="39"/>
        <v>107689</v>
      </c>
      <c r="BS72" s="1894">
        <f t="shared" si="40"/>
        <v>0</v>
      </c>
      <c r="BT72" s="1894">
        <v>123</v>
      </c>
      <c r="BU72" s="1894">
        <v>10.48</v>
      </c>
      <c r="BV72" s="1894">
        <v>98.4</v>
      </c>
      <c r="BW72" s="1894">
        <v>0.74350000000000005</v>
      </c>
      <c r="BX72" s="1894">
        <v>24.36</v>
      </c>
      <c r="BY72" s="1894">
        <v>1899</v>
      </c>
      <c r="BZ72" s="1894">
        <f t="shared" si="41"/>
        <v>4678</v>
      </c>
      <c r="CA72" s="1894">
        <f t="shared" si="42"/>
        <v>0</v>
      </c>
      <c r="CB72" s="1894">
        <v>123</v>
      </c>
      <c r="CC72" s="1894">
        <v>295.35999999999996</v>
      </c>
      <c r="CD72" s="1894">
        <v>295.36</v>
      </c>
      <c r="CE72" s="1894">
        <v>0.96220000000000006</v>
      </c>
      <c r="CF72" s="1894">
        <v>3.38</v>
      </c>
      <c r="CG72" s="1894">
        <v>7421</v>
      </c>
      <c r="CH72" s="1894">
        <f t="shared" si="43"/>
        <v>131849</v>
      </c>
      <c r="CI72" s="1894">
        <f t="shared" si="44"/>
        <v>0</v>
      </c>
      <c r="CJ72" s="1894">
        <v>123</v>
      </c>
      <c r="CK72" s="1894">
        <v>254.48</v>
      </c>
      <c r="CL72" s="1894">
        <v>254.48</v>
      </c>
      <c r="CM72" s="1894">
        <v>0.96640000000000004</v>
      </c>
      <c r="CN72" s="1894">
        <v>3.83</v>
      </c>
      <c r="CO72" s="1894">
        <v>6551</v>
      </c>
      <c r="CP72" s="1894">
        <f t="shared" si="45"/>
        <v>102606</v>
      </c>
      <c r="CQ72" s="1894">
        <f t="shared" si="46"/>
        <v>0</v>
      </c>
      <c r="CR72" s="1924">
        <v>123</v>
      </c>
      <c r="CS72" s="1924">
        <v>228.32</v>
      </c>
      <c r="CT72" s="1924">
        <v>228.32</v>
      </c>
      <c r="CU72" s="1924">
        <v>0.98870000000000002</v>
      </c>
      <c r="CV72" s="1924">
        <v>1.1499999999999999</v>
      </c>
      <c r="CW72" s="1924">
        <v>1955</v>
      </c>
      <c r="CX72" s="1894">
        <f t="shared" si="47"/>
        <v>101922</v>
      </c>
      <c r="CY72" s="1894">
        <f t="shared" si="48"/>
        <v>0</v>
      </c>
    </row>
    <row r="73" spans="1:103">
      <c r="A73" s="982">
        <v>126000000036</v>
      </c>
      <c r="B73" s="1923">
        <f t="shared" si="49"/>
        <v>67</v>
      </c>
      <c r="C73" s="1895" t="s">
        <v>2970</v>
      </c>
      <c r="D73" s="1894" t="s">
        <v>524</v>
      </c>
      <c r="E73" s="1895" t="s">
        <v>541</v>
      </c>
      <c r="F73" s="1894" t="s">
        <v>259</v>
      </c>
      <c r="G73" s="1924">
        <v>123</v>
      </c>
      <c r="H73" s="1894">
        <v>123</v>
      </c>
      <c r="I73" s="1894">
        <v>113.92</v>
      </c>
      <c r="J73" s="1894">
        <v>113.92</v>
      </c>
      <c r="K73" s="1894">
        <v>0.9597</v>
      </c>
      <c r="L73" s="1894">
        <v>32.79</v>
      </c>
      <c r="M73" s="1894">
        <v>26892</v>
      </c>
      <c r="N73" s="1894">
        <f t="shared" si="27"/>
        <v>49213</v>
      </c>
      <c r="O73" s="1894">
        <f t="shared" si="28"/>
        <v>0</v>
      </c>
      <c r="P73" s="1894">
        <v>123</v>
      </c>
      <c r="Q73" s="1894">
        <v>120.16</v>
      </c>
      <c r="R73" s="1894">
        <v>120.16</v>
      </c>
      <c r="S73" s="1894">
        <v>0.9909</v>
      </c>
      <c r="T73" s="1894">
        <v>38.86</v>
      </c>
      <c r="U73" s="1894">
        <v>34739</v>
      </c>
      <c r="V73" s="1894">
        <f t="shared" si="29"/>
        <v>53639</v>
      </c>
      <c r="W73" s="1894">
        <f t="shared" si="30"/>
        <v>0</v>
      </c>
      <c r="X73" s="1894">
        <v>123</v>
      </c>
      <c r="Y73" s="1894">
        <v>106.32</v>
      </c>
      <c r="Z73" s="1894">
        <v>106.32</v>
      </c>
      <c r="AA73" s="1894">
        <v>1.0052000000000001</v>
      </c>
      <c r="AB73" s="1894">
        <v>34.64</v>
      </c>
      <c r="AC73" s="1894">
        <v>26517</v>
      </c>
      <c r="AD73" s="1894">
        <f t="shared" si="31"/>
        <v>45930</v>
      </c>
      <c r="AE73" s="1894">
        <f t="shared" si="32"/>
        <v>0</v>
      </c>
      <c r="AF73" s="1894">
        <v>123</v>
      </c>
      <c r="AG73" s="1894">
        <v>123.92</v>
      </c>
      <c r="AH73" s="1894">
        <v>123.92</v>
      </c>
      <c r="AI73" s="1894">
        <v>0.98240000000000005</v>
      </c>
      <c r="AJ73" s="1894">
        <v>40.03</v>
      </c>
      <c r="AK73" s="1894">
        <v>36904</v>
      </c>
      <c r="AL73" s="1894">
        <f t="shared" si="25"/>
        <v>55318</v>
      </c>
      <c r="AM73" s="1894">
        <f t="shared" si="26"/>
        <v>0</v>
      </c>
      <c r="AN73" s="1894">
        <v>123</v>
      </c>
      <c r="AO73" s="1894">
        <v>135.84</v>
      </c>
      <c r="AP73" s="1894">
        <v>135.84</v>
      </c>
      <c r="AQ73" s="1894">
        <v>0.97950000000000004</v>
      </c>
      <c r="AR73" s="1894">
        <v>35.630000000000003</v>
      </c>
      <c r="AS73" s="1894">
        <v>36013</v>
      </c>
      <c r="AT73" s="1894">
        <f t="shared" si="33"/>
        <v>60639</v>
      </c>
      <c r="AU73" s="1894">
        <f t="shared" si="34"/>
        <v>0</v>
      </c>
      <c r="AV73" s="1894">
        <v>123</v>
      </c>
      <c r="AW73" s="1894">
        <v>155.04</v>
      </c>
      <c r="AX73" s="1894">
        <v>155.04</v>
      </c>
      <c r="AY73" s="1894">
        <v>0.97599999999999998</v>
      </c>
      <c r="AZ73" s="1894">
        <v>31.78</v>
      </c>
      <c r="BA73" s="1894">
        <v>35476</v>
      </c>
      <c r="BB73" s="1894">
        <f t="shared" si="35"/>
        <v>66977</v>
      </c>
      <c r="BC73" s="1894">
        <f t="shared" si="36"/>
        <v>0</v>
      </c>
      <c r="BD73" s="1894">
        <v>123</v>
      </c>
      <c r="BE73" s="1894">
        <v>140.79999999999998</v>
      </c>
      <c r="BF73" s="1894">
        <v>140.80000000000001</v>
      </c>
      <c r="BG73" s="1894">
        <v>0.9677</v>
      </c>
      <c r="BH73" s="1894">
        <v>33.479999999999997</v>
      </c>
      <c r="BI73" s="1894">
        <v>35072</v>
      </c>
      <c r="BJ73" s="1894">
        <f t="shared" si="37"/>
        <v>62853</v>
      </c>
      <c r="BK73" s="1894">
        <f t="shared" si="38"/>
        <v>0</v>
      </c>
      <c r="BL73" s="1894">
        <v>123</v>
      </c>
      <c r="BM73" s="1894">
        <v>118.16</v>
      </c>
      <c r="BN73" s="1894">
        <v>118.16</v>
      </c>
      <c r="BO73" s="1894">
        <v>0.96699999999999997</v>
      </c>
      <c r="BP73" s="1894">
        <v>42.08</v>
      </c>
      <c r="BQ73" s="1894">
        <v>35800</v>
      </c>
      <c r="BR73" s="1894">
        <f t="shared" si="39"/>
        <v>51045</v>
      </c>
      <c r="BS73" s="1894">
        <f t="shared" si="40"/>
        <v>0</v>
      </c>
      <c r="BT73" s="1894">
        <v>123</v>
      </c>
      <c r="BU73" s="1894">
        <v>117.12</v>
      </c>
      <c r="BV73" s="1894">
        <v>117.12</v>
      </c>
      <c r="BW73" s="1894">
        <v>0.97140000000000004</v>
      </c>
      <c r="BX73" s="1894">
        <v>43.42</v>
      </c>
      <c r="BY73" s="1894">
        <v>37831</v>
      </c>
      <c r="BZ73" s="1894">
        <f t="shared" si="41"/>
        <v>52282</v>
      </c>
      <c r="CA73" s="1894">
        <f t="shared" si="42"/>
        <v>0</v>
      </c>
      <c r="CB73" s="1894">
        <v>123</v>
      </c>
      <c r="CC73" s="1894">
        <v>120.8</v>
      </c>
      <c r="CD73" s="1894">
        <v>120.8</v>
      </c>
      <c r="CE73" s="1894">
        <v>0.97470000000000001</v>
      </c>
      <c r="CF73" s="1894">
        <v>39.94</v>
      </c>
      <c r="CG73" s="1894">
        <v>35895</v>
      </c>
      <c r="CH73" s="1894">
        <f t="shared" si="43"/>
        <v>53925</v>
      </c>
      <c r="CI73" s="1894">
        <f t="shared" si="44"/>
        <v>0</v>
      </c>
      <c r="CJ73" s="1894">
        <v>123</v>
      </c>
      <c r="CK73" s="1894">
        <v>124.47999999999999</v>
      </c>
      <c r="CL73" s="1894">
        <v>124.48</v>
      </c>
      <c r="CM73" s="1894">
        <v>0.98399999999999999</v>
      </c>
      <c r="CN73" s="1894">
        <v>46.63</v>
      </c>
      <c r="CO73" s="1894">
        <v>39008</v>
      </c>
      <c r="CP73" s="1894">
        <f t="shared" si="45"/>
        <v>50190</v>
      </c>
      <c r="CQ73" s="1894">
        <f t="shared" si="46"/>
        <v>0</v>
      </c>
      <c r="CR73" s="1924">
        <v>123</v>
      </c>
      <c r="CS73" s="1924">
        <v>126.96000000000001</v>
      </c>
      <c r="CT73" s="1924">
        <v>126.96</v>
      </c>
      <c r="CU73" s="1924">
        <v>0.98550000000000004</v>
      </c>
      <c r="CV73" s="1924">
        <v>45.65</v>
      </c>
      <c r="CW73" s="1924">
        <v>43116</v>
      </c>
      <c r="CX73" s="1894">
        <f t="shared" si="47"/>
        <v>56675</v>
      </c>
      <c r="CY73" s="1894">
        <f t="shared" si="48"/>
        <v>0</v>
      </c>
    </row>
    <row r="74" spans="1:103">
      <c r="A74" s="982">
        <v>613000000028</v>
      </c>
      <c r="B74" s="1923">
        <f t="shared" si="49"/>
        <v>68</v>
      </c>
      <c r="C74" s="1895" t="s">
        <v>2971</v>
      </c>
      <c r="D74" s="1894" t="s">
        <v>524</v>
      </c>
      <c r="E74" s="1895" t="s">
        <v>636</v>
      </c>
      <c r="F74" s="1894" t="s">
        <v>259</v>
      </c>
      <c r="G74" s="1924">
        <v>123</v>
      </c>
      <c r="H74" s="1894">
        <v>123</v>
      </c>
      <c r="I74" s="1894">
        <v>33.36</v>
      </c>
      <c r="J74" s="1894">
        <v>98.4</v>
      </c>
      <c r="K74" s="1894">
        <v>1</v>
      </c>
      <c r="L74" s="1894">
        <v>52.6</v>
      </c>
      <c r="M74" s="1894">
        <v>12633</v>
      </c>
      <c r="N74" s="1894">
        <f t="shared" si="27"/>
        <v>14412</v>
      </c>
      <c r="O74" s="1894">
        <f t="shared" si="28"/>
        <v>0</v>
      </c>
      <c r="P74" s="1894">
        <v>123</v>
      </c>
      <c r="Q74" s="1894">
        <v>32.64</v>
      </c>
      <c r="R74" s="1894">
        <v>98.4</v>
      </c>
      <c r="S74" s="1894">
        <v>1</v>
      </c>
      <c r="T74" s="1894">
        <v>55.59</v>
      </c>
      <c r="U74" s="1894">
        <v>13500</v>
      </c>
      <c r="V74" s="1894">
        <f t="shared" si="29"/>
        <v>14570</v>
      </c>
      <c r="W74" s="1894">
        <f t="shared" si="30"/>
        <v>0</v>
      </c>
      <c r="X74" s="1894">
        <v>123</v>
      </c>
      <c r="Y74" s="1894">
        <v>33.6</v>
      </c>
      <c r="Z74" s="1894">
        <v>98.4</v>
      </c>
      <c r="AA74" s="1894">
        <v>1</v>
      </c>
      <c r="AB74" s="1894">
        <v>49.06</v>
      </c>
      <c r="AC74" s="1894">
        <v>11868</v>
      </c>
      <c r="AD74" s="1894">
        <f t="shared" si="31"/>
        <v>14515</v>
      </c>
      <c r="AE74" s="1894">
        <f t="shared" si="32"/>
        <v>0</v>
      </c>
      <c r="AF74" s="1894">
        <v>123</v>
      </c>
      <c r="AG74" s="1894">
        <v>23.76</v>
      </c>
      <c r="AH74" s="1894">
        <v>98.4</v>
      </c>
      <c r="AI74" s="1894">
        <v>1.0002</v>
      </c>
      <c r="AJ74" s="1894">
        <v>61.06</v>
      </c>
      <c r="AK74" s="1894">
        <v>10794</v>
      </c>
      <c r="AL74" s="1894">
        <f t="shared" si="25"/>
        <v>10606</v>
      </c>
      <c r="AM74" s="1894">
        <f t="shared" si="26"/>
        <v>188</v>
      </c>
      <c r="AN74" s="1894">
        <v>123</v>
      </c>
      <c r="AO74" s="1894">
        <v>21.36</v>
      </c>
      <c r="AP74" s="1894">
        <v>98.4</v>
      </c>
      <c r="AQ74" s="1894">
        <v>1</v>
      </c>
      <c r="AR74" s="1894">
        <v>49.12</v>
      </c>
      <c r="AS74" s="1894">
        <v>7806</v>
      </c>
      <c r="AT74" s="1894">
        <f t="shared" si="33"/>
        <v>9535</v>
      </c>
      <c r="AU74" s="1894">
        <f t="shared" si="34"/>
        <v>0</v>
      </c>
      <c r="AV74" s="1894">
        <v>123</v>
      </c>
      <c r="AW74" s="1894">
        <v>20.88</v>
      </c>
      <c r="AX74" s="1894">
        <v>98.4</v>
      </c>
      <c r="AY74" s="1894">
        <v>1</v>
      </c>
      <c r="AZ74" s="1894">
        <v>50.07</v>
      </c>
      <c r="BA74" s="1894">
        <v>7527</v>
      </c>
      <c r="BB74" s="1894">
        <f t="shared" si="35"/>
        <v>9020</v>
      </c>
      <c r="BC74" s="1894">
        <f t="shared" si="36"/>
        <v>0</v>
      </c>
      <c r="BD74" s="1894">
        <v>123</v>
      </c>
      <c r="BE74" s="1894">
        <v>18.239999999999998</v>
      </c>
      <c r="BF74" s="1894">
        <v>98.4</v>
      </c>
      <c r="BG74" s="1894">
        <v>0.99950000000000006</v>
      </c>
      <c r="BH74" s="1894">
        <v>51.27</v>
      </c>
      <c r="BI74" s="1894">
        <v>6957</v>
      </c>
      <c r="BJ74" s="1894">
        <f t="shared" si="37"/>
        <v>8142</v>
      </c>
      <c r="BK74" s="1894">
        <f t="shared" si="38"/>
        <v>0</v>
      </c>
      <c r="BL74" s="1894">
        <v>123</v>
      </c>
      <c r="BM74" s="1894">
        <v>15.120000000000001</v>
      </c>
      <c r="BN74" s="1894">
        <v>98.4</v>
      </c>
      <c r="BO74" s="1894">
        <v>1</v>
      </c>
      <c r="BP74" s="1894">
        <v>51.67</v>
      </c>
      <c r="BQ74" s="1894">
        <v>5625</v>
      </c>
      <c r="BR74" s="1894">
        <f t="shared" si="39"/>
        <v>6532</v>
      </c>
      <c r="BS74" s="1894">
        <f t="shared" si="40"/>
        <v>0</v>
      </c>
      <c r="BT74" s="1894">
        <v>123</v>
      </c>
      <c r="BU74" s="1894">
        <v>16.559999999999999</v>
      </c>
      <c r="BV74" s="1894">
        <v>98.4</v>
      </c>
      <c r="BW74" s="1894">
        <v>0.99850000000000005</v>
      </c>
      <c r="BX74" s="1894">
        <v>51.67</v>
      </c>
      <c r="BY74" s="1894">
        <v>6366</v>
      </c>
      <c r="BZ74" s="1894">
        <f t="shared" si="41"/>
        <v>7392</v>
      </c>
      <c r="CA74" s="1894">
        <f t="shared" si="42"/>
        <v>0</v>
      </c>
      <c r="CB74" s="1894">
        <v>123</v>
      </c>
      <c r="CC74" s="1894">
        <v>20.64</v>
      </c>
      <c r="CD74" s="1894">
        <v>98.4</v>
      </c>
      <c r="CE74" s="1894">
        <v>0.99950000000000006</v>
      </c>
      <c r="CF74" s="1894">
        <v>41.14</v>
      </c>
      <c r="CG74" s="1894">
        <v>6318</v>
      </c>
      <c r="CH74" s="1894">
        <f t="shared" si="43"/>
        <v>9214</v>
      </c>
      <c r="CI74" s="1894">
        <f t="shared" si="44"/>
        <v>0</v>
      </c>
      <c r="CJ74" s="1894">
        <v>123</v>
      </c>
      <c r="CK74" s="1894">
        <v>14.879999999999999</v>
      </c>
      <c r="CL74" s="1894">
        <v>98.4</v>
      </c>
      <c r="CM74" s="1894">
        <v>1</v>
      </c>
      <c r="CN74" s="1894">
        <v>59.01</v>
      </c>
      <c r="CO74" s="1894">
        <v>5901</v>
      </c>
      <c r="CP74" s="1894">
        <f t="shared" si="45"/>
        <v>6000</v>
      </c>
      <c r="CQ74" s="1894">
        <f t="shared" si="46"/>
        <v>0</v>
      </c>
      <c r="CR74" s="1924">
        <v>123</v>
      </c>
      <c r="CS74" s="1924">
        <v>15.360000000000001</v>
      </c>
      <c r="CT74" s="1924">
        <v>98.4</v>
      </c>
      <c r="CU74" s="1924">
        <v>1</v>
      </c>
      <c r="CV74" s="1924">
        <v>57.62</v>
      </c>
      <c r="CW74" s="1924">
        <v>6585</v>
      </c>
      <c r="CX74" s="1894">
        <f t="shared" si="47"/>
        <v>6857</v>
      </c>
      <c r="CY74" s="1894">
        <f t="shared" si="48"/>
        <v>0</v>
      </c>
    </row>
    <row r="75" spans="1:103">
      <c r="A75" s="982">
        <v>622000000158</v>
      </c>
      <c r="B75" s="1923">
        <f t="shared" si="49"/>
        <v>69</v>
      </c>
      <c r="C75" s="1895" t="s">
        <v>2972</v>
      </c>
      <c r="D75" s="1894" t="s">
        <v>524</v>
      </c>
      <c r="E75" s="1895" t="s">
        <v>629</v>
      </c>
      <c r="F75" s="1894" t="s">
        <v>259</v>
      </c>
      <c r="G75" s="1924">
        <v>123</v>
      </c>
      <c r="H75" s="1894">
        <v>123</v>
      </c>
      <c r="I75" s="1894">
        <v>45.06</v>
      </c>
      <c r="J75" s="1894">
        <v>123</v>
      </c>
      <c r="K75" s="1894">
        <v>0.97470000000000001</v>
      </c>
      <c r="L75" s="1894">
        <v>0</v>
      </c>
      <c r="M75" s="1894">
        <v>11306</v>
      </c>
      <c r="N75" s="1894">
        <f t="shared" si="27"/>
        <v>19466</v>
      </c>
      <c r="O75" s="1894">
        <f t="shared" si="28"/>
        <v>0</v>
      </c>
      <c r="P75" s="1894">
        <v>123</v>
      </c>
      <c r="Q75" s="1894">
        <v>57.76</v>
      </c>
      <c r="R75" s="1894">
        <v>123</v>
      </c>
      <c r="S75" s="1894">
        <v>0.9738</v>
      </c>
      <c r="T75" s="1894">
        <v>0</v>
      </c>
      <c r="U75" s="1894">
        <v>18868</v>
      </c>
      <c r="V75" s="1894">
        <f t="shared" si="29"/>
        <v>25784</v>
      </c>
      <c r="W75" s="1894">
        <f t="shared" si="30"/>
        <v>0</v>
      </c>
      <c r="X75" s="1894">
        <v>123</v>
      </c>
      <c r="Y75" s="1894">
        <v>58.4</v>
      </c>
      <c r="Z75" s="1894">
        <v>123</v>
      </c>
      <c r="AA75" s="1894">
        <v>0.97240000000000004</v>
      </c>
      <c r="AB75" s="1894">
        <v>0</v>
      </c>
      <c r="AC75" s="1894">
        <v>14783</v>
      </c>
      <c r="AD75" s="1894">
        <f t="shared" si="31"/>
        <v>25229</v>
      </c>
      <c r="AE75" s="1894">
        <f t="shared" si="32"/>
        <v>0</v>
      </c>
      <c r="AF75" s="1894">
        <v>123</v>
      </c>
      <c r="AG75" s="1894">
        <v>42.08</v>
      </c>
      <c r="AH75" s="1894">
        <v>123</v>
      </c>
      <c r="AI75" s="1894">
        <v>0.96850000000000003</v>
      </c>
      <c r="AJ75" s="1894">
        <v>0</v>
      </c>
      <c r="AK75" s="1894">
        <v>10739</v>
      </c>
      <c r="AL75" s="1894">
        <f t="shared" si="25"/>
        <v>18785</v>
      </c>
      <c r="AM75" s="1894">
        <f t="shared" si="26"/>
        <v>0</v>
      </c>
      <c r="AN75" s="1894">
        <v>123</v>
      </c>
      <c r="AO75" s="1894">
        <v>50.960000000000008</v>
      </c>
      <c r="AP75" s="1894">
        <v>123</v>
      </c>
      <c r="AQ75" s="1894">
        <v>0.96220000000000006</v>
      </c>
      <c r="AR75" s="1894">
        <v>0</v>
      </c>
      <c r="AS75" s="1894">
        <v>10788</v>
      </c>
      <c r="AT75" s="1894">
        <f t="shared" si="33"/>
        <v>22749</v>
      </c>
      <c r="AU75" s="1894">
        <f t="shared" si="34"/>
        <v>0</v>
      </c>
      <c r="AV75" s="1894">
        <v>123</v>
      </c>
      <c r="AW75" s="1894">
        <v>33.92</v>
      </c>
      <c r="AX75" s="1894">
        <v>123</v>
      </c>
      <c r="AY75" s="1894">
        <v>0.96919999999999995</v>
      </c>
      <c r="AZ75" s="1894">
        <v>0</v>
      </c>
      <c r="BA75" s="1894">
        <v>10427</v>
      </c>
      <c r="BB75" s="1894">
        <f t="shared" si="35"/>
        <v>14653</v>
      </c>
      <c r="BC75" s="1894">
        <f t="shared" si="36"/>
        <v>0</v>
      </c>
      <c r="BD75" s="1894">
        <v>123</v>
      </c>
      <c r="BE75" s="1894">
        <v>51.6</v>
      </c>
      <c r="BF75" s="1894">
        <v>123</v>
      </c>
      <c r="BG75" s="1894">
        <v>0.9788</v>
      </c>
      <c r="BH75" s="1894">
        <v>0</v>
      </c>
      <c r="BI75" s="1894">
        <v>10319</v>
      </c>
      <c r="BJ75" s="1894">
        <f t="shared" si="37"/>
        <v>23034</v>
      </c>
      <c r="BK75" s="1894">
        <f t="shared" si="38"/>
        <v>0</v>
      </c>
      <c r="BL75" s="1894">
        <v>123</v>
      </c>
      <c r="BM75" s="1894">
        <v>36.559999999999995</v>
      </c>
      <c r="BN75" s="1894">
        <v>123</v>
      </c>
      <c r="BO75" s="1894">
        <v>0.97199999999999998</v>
      </c>
      <c r="BP75" s="1894">
        <v>0</v>
      </c>
      <c r="BQ75" s="1894">
        <v>9170</v>
      </c>
      <c r="BR75" s="1894">
        <f t="shared" si="39"/>
        <v>15794</v>
      </c>
      <c r="BS75" s="1894">
        <f t="shared" si="40"/>
        <v>0</v>
      </c>
      <c r="BT75" s="1894">
        <v>123</v>
      </c>
      <c r="BU75" s="1894">
        <v>38.479999999999997</v>
      </c>
      <c r="BV75" s="1894">
        <v>123</v>
      </c>
      <c r="BW75" s="1894">
        <v>0.97319999999999995</v>
      </c>
      <c r="BX75" s="1894">
        <v>0</v>
      </c>
      <c r="BY75" s="1894">
        <v>10049</v>
      </c>
      <c r="BZ75" s="1894">
        <f t="shared" si="41"/>
        <v>17177</v>
      </c>
      <c r="CA75" s="1894">
        <f t="shared" si="42"/>
        <v>0</v>
      </c>
      <c r="CB75" s="1894">
        <v>123</v>
      </c>
      <c r="CC75" s="1894">
        <v>53.6</v>
      </c>
      <c r="CD75" s="1894">
        <v>123</v>
      </c>
      <c r="CE75" s="1894">
        <v>0.98199999999999998</v>
      </c>
      <c r="CF75" s="1894">
        <v>0</v>
      </c>
      <c r="CG75" s="1894">
        <v>9859</v>
      </c>
      <c r="CH75" s="1894">
        <f t="shared" si="43"/>
        <v>23927</v>
      </c>
      <c r="CI75" s="1894">
        <f t="shared" si="44"/>
        <v>0</v>
      </c>
      <c r="CJ75" s="1894">
        <v>123</v>
      </c>
      <c r="CK75" s="1894">
        <v>36.799999999999997</v>
      </c>
      <c r="CL75" s="1894">
        <v>123</v>
      </c>
      <c r="CM75" s="1894">
        <v>0.97450000000000003</v>
      </c>
      <c r="CN75" s="1894">
        <v>0</v>
      </c>
      <c r="CO75" s="1894">
        <v>8091</v>
      </c>
      <c r="CP75" s="1894">
        <f t="shared" si="45"/>
        <v>14838</v>
      </c>
      <c r="CQ75" s="1894">
        <f t="shared" si="46"/>
        <v>0</v>
      </c>
      <c r="CR75" s="1924">
        <v>123</v>
      </c>
      <c r="CS75" s="1924">
        <v>48.08</v>
      </c>
      <c r="CT75" s="1924">
        <v>123</v>
      </c>
      <c r="CU75" s="1924">
        <v>0.97499999999999998</v>
      </c>
      <c r="CV75" s="1924">
        <v>0</v>
      </c>
      <c r="CW75" s="1924">
        <v>9226</v>
      </c>
      <c r="CX75" s="1894">
        <f t="shared" si="47"/>
        <v>21463</v>
      </c>
      <c r="CY75" s="1894">
        <f t="shared" si="48"/>
        <v>0</v>
      </c>
    </row>
    <row r="76" spans="1:103">
      <c r="A76" s="982">
        <v>123000000072</v>
      </c>
      <c r="B76" s="1923">
        <f t="shared" si="49"/>
        <v>70</v>
      </c>
      <c r="C76" s="1895" t="s">
        <v>2973</v>
      </c>
      <c r="D76" s="1894" t="s">
        <v>524</v>
      </c>
      <c r="E76" s="1895" t="s">
        <v>541</v>
      </c>
      <c r="F76" s="1894" t="s">
        <v>259</v>
      </c>
      <c r="G76" s="1924">
        <v>123.6</v>
      </c>
      <c r="H76" s="1894">
        <v>123.6</v>
      </c>
      <c r="I76" s="1894">
        <v>111.20000000000002</v>
      </c>
      <c r="J76" s="1894">
        <v>111.2</v>
      </c>
      <c r="K76" s="1894">
        <v>0.56000000000000005</v>
      </c>
      <c r="L76" s="1894">
        <v>9.44</v>
      </c>
      <c r="M76" s="1894">
        <v>7560</v>
      </c>
      <c r="N76" s="1894">
        <f t="shared" si="27"/>
        <v>48038</v>
      </c>
      <c r="O76" s="1894">
        <f t="shared" si="28"/>
        <v>0</v>
      </c>
      <c r="P76" s="1894">
        <v>123.6</v>
      </c>
      <c r="Q76" s="1894">
        <v>126</v>
      </c>
      <c r="R76" s="1894">
        <v>126</v>
      </c>
      <c r="S76" s="1894">
        <v>0.56620000000000004</v>
      </c>
      <c r="T76" s="1894">
        <v>6.18</v>
      </c>
      <c r="U76" s="1894">
        <v>5796</v>
      </c>
      <c r="V76" s="1894">
        <f t="shared" si="29"/>
        <v>56246</v>
      </c>
      <c r="W76" s="1894">
        <f t="shared" si="30"/>
        <v>0</v>
      </c>
      <c r="X76" s="1894">
        <v>123.6</v>
      </c>
      <c r="Y76" s="1894">
        <v>96.960000000000008</v>
      </c>
      <c r="Z76" s="1894">
        <v>98.88</v>
      </c>
      <c r="AA76" s="1894">
        <v>0.56399999999999995</v>
      </c>
      <c r="AB76" s="1894">
        <v>7.31</v>
      </c>
      <c r="AC76" s="1894">
        <v>4936</v>
      </c>
      <c r="AD76" s="1894">
        <f t="shared" si="31"/>
        <v>41887</v>
      </c>
      <c r="AE76" s="1894">
        <f t="shared" si="32"/>
        <v>0</v>
      </c>
      <c r="AF76" s="1894">
        <v>123.6</v>
      </c>
      <c r="AG76" s="1894">
        <v>110.72</v>
      </c>
      <c r="AH76" s="1894">
        <v>110.72</v>
      </c>
      <c r="AI76" s="1894">
        <v>0.51929999999999998</v>
      </c>
      <c r="AJ76" s="1894">
        <v>6.52</v>
      </c>
      <c r="AK76" s="1894">
        <v>5540</v>
      </c>
      <c r="AL76" s="1894">
        <f t="shared" si="25"/>
        <v>49425</v>
      </c>
      <c r="AM76" s="1894">
        <f t="shared" si="26"/>
        <v>0</v>
      </c>
      <c r="AN76" s="1894">
        <v>123.6</v>
      </c>
      <c r="AO76" s="1894">
        <v>2.96</v>
      </c>
      <c r="AP76" s="1894">
        <v>98.88</v>
      </c>
      <c r="AQ76" s="1894">
        <v>0.49680000000000002</v>
      </c>
      <c r="AR76" s="1894">
        <v>206.2</v>
      </c>
      <c r="AS76" s="1894">
        <v>4541</v>
      </c>
      <c r="AT76" s="1894">
        <f t="shared" si="33"/>
        <v>1321</v>
      </c>
      <c r="AU76" s="1894">
        <f t="shared" si="34"/>
        <v>3220</v>
      </c>
      <c r="AV76" s="1894">
        <v>123.6</v>
      </c>
      <c r="AW76" s="1894">
        <v>114.56</v>
      </c>
      <c r="AX76" s="1894">
        <v>114.56</v>
      </c>
      <c r="AY76" s="1894">
        <v>0.53900000000000003</v>
      </c>
      <c r="AZ76" s="1894">
        <v>8.08</v>
      </c>
      <c r="BA76" s="1894">
        <v>6666</v>
      </c>
      <c r="BB76" s="1894">
        <f t="shared" si="35"/>
        <v>49490</v>
      </c>
      <c r="BC76" s="1894">
        <f t="shared" si="36"/>
        <v>0</v>
      </c>
      <c r="BD76" s="1894">
        <v>123.6</v>
      </c>
      <c r="BE76" s="1894">
        <v>124.64</v>
      </c>
      <c r="BF76" s="1894">
        <v>124.64</v>
      </c>
      <c r="BG76" s="1894">
        <v>0.53320000000000001</v>
      </c>
      <c r="BH76" s="1894">
        <v>8.08</v>
      </c>
      <c r="BI76" s="1894">
        <v>7496</v>
      </c>
      <c r="BJ76" s="1894">
        <f t="shared" si="37"/>
        <v>55639</v>
      </c>
      <c r="BK76" s="1894">
        <f t="shared" si="38"/>
        <v>0</v>
      </c>
      <c r="BL76" s="1894">
        <v>123.6</v>
      </c>
      <c r="BM76" s="1894">
        <v>134</v>
      </c>
      <c r="BN76" s="1894">
        <v>134</v>
      </c>
      <c r="BO76" s="1894">
        <v>0.50580000000000003</v>
      </c>
      <c r="BP76" s="1894">
        <v>7.47</v>
      </c>
      <c r="BQ76" s="1894">
        <v>7207</v>
      </c>
      <c r="BR76" s="1894">
        <f t="shared" si="39"/>
        <v>57888</v>
      </c>
      <c r="BS76" s="1894">
        <f t="shared" si="40"/>
        <v>0</v>
      </c>
      <c r="BT76" s="1894">
        <v>123.6</v>
      </c>
      <c r="BU76" s="1894">
        <v>115.6</v>
      </c>
      <c r="BV76" s="1894">
        <v>115.6</v>
      </c>
      <c r="BW76" s="1894">
        <v>0.51119999999999999</v>
      </c>
      <c r="BX76" s="1894">
        <v>9.74</v>
      </c>
      <c r="BY76" s="1894">
        <v>8379</v>
      </c>
      <c r="BZ76" s="1894">
        <f t="shared" si="41"/>
        <v>51604</v>
      </c>
      <c r="CA76" s="1894">
        <f t="shared" si="42"/>
        <v>0</v>
      </c>
      <c r="CB76" s="1894">
        <v>123.6</v>
      </c>
      <c r="CC76" s="1894">
        <v>112.48</v>
      </c>
      <c r="CD76" s="1894">
        <v>112.48</v>
      </c>
      <c r="CE76" s="1894">
        <v>0.56279999999999997</v>
      </c>
      <c r="CF76" s="1894">
        <v>11.63</v>
      </c>
      <c r="CG76" s="1894">
        <v>9729</v>
      </c>
      <c r="CH76" s="1894">
        <f t="shared" si="43"/>
        <v>50211</v>
      </c>
      <c r="CI76" s="1894">
        <f t="shared" si="44"/>
        <v>0</v>
      </c>
      <c r="CJ76" s="1894">
        <v>123.6</v>
      </c>
      <c r="CK76" s="1894">
        <v>106.96000000000001</v>
      </c>
      <c r="CL76" s="1894">
        <v>106.96</v>
      </c>
      <c r="CM76" s="1894">
        <v>0.53400000000000003</v>
      </c>
      <c r="CN76" s="1894">
        <v>9.9</v>
      </c>
      <c r="CO76" s="1894">
        <v>7115</v>
      </c>
      <c r="CP76" s="1894">
        <f t="shared" si="45"/>
        <v>43126</v>
      </c>
      <c r="CQ76" s="1894">
        <f t="shared" si="46"/>
        <v>0</v>
      </c>
      <c r="CR76" s="1924">
        <v>123.6</v>
      </c>
      <c r="CS76" s="1924">
        <v>103.03999999999999</v>
      </c>
      <c r="CT76" s="1924">
        <v>103.04</v>
      </c>
      <c r="CU76" s="1924">
        <v>0.53090000000000004</v>
      </c>
      <c r="CV76" s="1924">
        <v>9.19</v>
      </c>
      <c r="CW76" s="1924">
        <v>6360</v>
      </c>
      <c r="CX76" s="1894">
        <f t="shared" si="47"/>
        <v>45997</v>
      </c>
      <c r="CY76" s="1894">
        <f t="shared" si="48"/>
        <v>0</v>
      </c>
    </row>
    <row r="77" spans="1:103">
      <c r="A77" s="982">
        <v>123000000126</v>
      </c>
      <c r="B77" s="1923">
        <f t="shared" si="49"/>
        <v>71</v>
      </c>
      <c r="C77" s="1895" t="s">
        <v>2974</v>
      </c>
      <c r="D77" s="1894" t="s">
        <v>524</v>
      </c>
      <c r="E77" s="1895" t="s">
        <v>541</v>
      </c>
      <c r="F77" s="1894" t="s">
        <v>259</v>
      </c>
      <c r="G77" s="1924">
        <v>125</v>
      </c>
      <c r="H77" s="1894">
        <v>125</v>
      </c>
      <c r="I77" s="1894">
        <v>126.8</v>
      </c>
      <c r="J77" s="1894">
        <v>126.8</v>
      </c>
      <c r="K77" s="1894">
        <v>0.68640000000000001</v>
      </c>
      <c r="L77" s="1894">
        <v>14.33</v>
      </c>
      <c r="M77" s="1894">
        <v>13081</v>
      </c>
      <c r="N77" s="1894">
        <f t="shared" si="27"/>
        <v>54778</v>
      </c>
      <c r="O77" s="1894">
        <f t="shared" si="28"/>
        <v>0</v>
      </c>
      <c r="P77" s="1894">
        <v>125</v>
      </c>
      <c r="Q77" s="1894">
        <v>122.8</v>
      </c>
      <c r="R77" s="1894">
        <v>122.8</v>
      </c>
      <c r="S77" s="1894">
        <v>0.64629999999999999</v>
      </c>
      <c r="T77" s="1894">
        <v>12.89</v>
      </c>
      <c r="U77" s="1894">
        <v>11776</v>
      </c>
      <c r="V77" s="1894">
        <f t="shared" si="29"/>
        <v>54818</v>
      </c>
      <c r="W77" s="1894">
        <f t="shared" si="30"/>
        <v>0</v>
      </c>
      <c r="X77" s="1894">
        <v>125</v>
      </c>
      <c r="Y77" s="1894">
        <v>126.8</v>
      </c>
      <c r="Z77" s="1894">
        <v>126.8</v>
      </c>
      <c r="AA77" s="1894">
        <v>0.64939999999999998</v>
      </c>
      <c r="AB77" s="1894">
        <v>12.51</v>
      </c>
      <c r="AC77" s="1894">
        <v>11421</v>
      </c>
      <c r="AD77" s="1894">
        <f t="shared" si="31"/>
        <v>54778</v>
      </c>
      <c r="AE77" s="1894">
        <f t="shared" si="32"/>
        <v>0</v>
      </c>
      <c r="AF77" s="1894">
        <v>125</v>
      </c>
      <c r="AG77" s="1894">
        <v>102.8</v>
      </c>
      <c r="AH77" s="1894">
        <v>102.8</v>
      </c>
      <c r="AI77" s="1894">
        <v>0.60960000000000003</v>
      </c>
      <c r="AJ77" s="1894">
        <v>8.4700000000000006</v>
      </c>
      <c r="AK77" s="1894">
        <v>6476</v>
      </c>
      <c r="AL77" s="1894">
        <f t="shared" si="25"/>
        <v>45890</v>
      </c>
      <c r="AM77" s="1894">
        <f t="shared" si="26"/>
        <v>0</v>
      </c>
      <c r="AN77" s="1894">
        <v>125</v>
      </c>
      <c r="AO77" s="1894">
        <v>120</v>
      </c>
      <c r="AP77" s="1894">
        <v>120</v>
      </c>
      <c r="AQ77" s="1894">
        <v>0.62480000000000002</v>
      </c>
      <c r="AR77" s="1894">
        <v>7.21</v>
      </c>
      <c r="AS77" s="1894">
        <v>6022</v>
      </c>
      <c r="AT77" s="1894">
        <f t="shared" si="33"/>
        <v>53568</v>
      </c>
      <c r="AU77" s="1894">
        <f t="shared" si="34"/>
        <v>0</v>
      </c>
      <c r="AV77" s="1894">
        <v>125</v>
      </c>
      <c r="AW77" s="1894">
        <v>117.2</v>
      </c>
      <c r="AX77" s="1894">
        <v>117.2</v>
      </c>
      <c r="AY77" s="1894">
        <v>0.6452</v>
      </c>
      <c r="AZ77" s="1894">
        <v>10.220000000000001</v>
      </c>
      <c r="BA77" s="1894">
        <v>9201</v>
      </c>
      <c r="BB77" s="1894">
        <f t="shared" si="35"/>
        <v>50630</v>
      </c>
      <c r="BC77" s="1894">
        <f t="shared" si="36"/>
        <v>0</v>
      </c>
      <c r="BD77" s="1894">
        <v>125</v>
      </c>
      <c r="BE77" s="1894">
        <v>116.4</v>
      </c>
      <c r="BF77" s="1894">
        <v>116.4</v>
      </c>
      <c r="BG77" s="1894">
        <v>0.60189999999999999</v>
      </c>
      <c r="BH77" s="1894">
        <v>10.44</v>
      </c>
      <c r="BI77" s="1894">
        <v>9041</v>
      </c>
      <c r="BJ77" s="1894">
        <f t="shared" si="37"/>
        <v>51961</v>
      </c>
      <c r="BK77" s="1894">
        <f t="shared" si="38"/>
        <v>0</v>
      </c>
      <c r="BL77" s="1894">
        <v>125</v>
      </c>
      <c r="BM77" s="1894">
        <v>120.4</v>
      </c>
      <c r="BN77" s="1894">
        <v>120.4</v>
      </c>
      <c r="BO77" s="1894">
        <v>0.62050000000000005</v>
      </c>
      <c r="BP77" s="1894">
        <v>13.94</v>
      </c>
      <c r="BQ77" s="1894">
        <v>12083</v>
      </c>
      <c r="BR77" s="1894">
        <f t="shared" si="39"/>
        <v>52013</v>
      </c>
      <c r="BS77" s="1894">
        <f t="shared" si="40"/>
        <v>0</v>
      </c>
      <c r="BT77" s="1894">
        <v>125</v>
      </c>
      <c r="BU77" s="1894">
        <v>129.19999999999999</v>
      </c>
      <c r="BV77" s="1894">
        <v>129.19999999999999</v>
      </c>
      <c r="BW77" s="1894">
        <v>0.66890000000000005</v>
      </c>
      <c r="BX77" s="1894">
        <v>17.239999999999998</v>
      </c>
      <c r="BY77" s="1894">
        <v>16574</v>
      </c>
      <c r="BZ77" s="1894">
        <f t="shared" si="41"/>
        <v>57675</v>
      </c>
      <c r="CA77" s="1894">
        <f t="shared" si="42"/>
        <v>0</v>
      </c>
      <c r="CB77" s="1894">
        <v>125</v>
      </c>
      <c r="CC77" s="1894">
        <v>129.19999999999999</v>
      </c>
      <c r="CD77" s="1894">
        <v>129.19999999999999</v>
      </c>
      <c r="CE77" s="1894">
        <v>0.67659999999999998</v>
      </c>
      <c r="CF77" s="1894">
        <v>15.97</v>
      </c>
      <c r="CG77" s="1894">
        <v>15347</v>
      </c>
      <c r="CH77" s="1894">
        <f t="shared" si="43"/>
        <v>57675</v>
      </c>
      <c r="CI77" s="1894">
        <f t="shared" si="44"/>
        <v>0</v>
      </c>
      <c r="CJ77" s="1894">
        <v>125</v>
      </c>
      <c r="CK77" s="1894">
        <v>124.4</v>
      </c>
      <c r="CL77" s="1894">
        <v>124.4</v>
      </c>
      <c r="CM77" s="1894">
        <v>0.65149999999999997</v>
      </c>
      <c r="CN77" s="1894">
        <v>26.59</v>
      </c>
      <c r="CO77" s="1894">
        <v>22225</v>
      </c>
      <c r="CP77" s="1894">
        <f t="shared" si="45"/>
        <v>50158</v>
      </c>
      <c r="CQ77" s="1894">
        <f t="shared" si="46"/>
        <v>0</v>
      </c>
      <c r="CR77" s="1924">
        <v>125</v>
      </c>
      <c r="CS77" s="1924">
        <v>125.2</v>
      </c>
      <c r="CT77" s="1924">
        <v>125.2</v>
      </c>
      <c r="CU77" s="1924">
        <v>0.70350000000000001</v>
      </c>
      <c r="CV77" s="1924">
        <v>25.48</v>
      </c>
      <c r="CW77" s="1924">
        <v>23736</v>
      </c>
      <c r="CX77" s="1894">
        <f t="shared" si="47"/>
        <v>55889</v>
      </c>
      <c r="CY77" s="1894">
        <f t="shared" si="48"/>
        <v>0</v>
      </c>
    </row>
    <row r="78" spans="1:103">
      <c r="A78" s="982">
        <v>123000000131</v>
      </c>
      <c r="B78" s="1923">
        <f t="shared" si="49"/>
        <v>72</v>
      </c>
      <c r="C78" s="1895" t="s">
        <v>2975</v>
      </c>
      <c r="D78" s="1894" t="s">
        <v>524</v>
      </c>
      <c r="E78" s="1895" t="s">
        <v>2966</v>
      </c>
      <c r="F78" s="1894" t="s">
        <v>259</v>
      </c>
      <c r="G78" s="1924">
        <v>125</v>
      </c>
      <c r="H78" s="1894">
        <v>0</v>
      </c>
      <c r="I78" s="1894">
        <v>0</v>
      </c>
      <c r="J78" s="1894">
        <v>0</v>
      </c>
      <c r="K78" s="1894">
        <v>0</v>
      </c>
      <c r="L78" s="1894">
        <v>0</v>
      </c>
      <c r="M78" s="1894">
        <v>0</v>
      </c>
      <c r="N78" s="1894">
        <f t="shared" si="27"/>
        <v>0</v>
      </c>
      <c r="O78" s="1894">
        <f t="shared" si="28"/>
        <v>0</v>
      </c>
      <c r="P78" s="1894">
        <v>125</v>
      </c>
      <c r="Q78" s="1894">
        <v>64</v>
      </c>
      <c r="R78" s="1894">
        <v>125</v>
      </c>
      <c r="S78" s="1894">
        <v>0.83879999999999999</v>
      </c>
      <c r="T78" s="1894">
        <v>0</v>
      </c>
      <c r="U78" s="1894">
        <v>12024</v>
      </c>
      <c r="V78" s="1894">
        <f t="shared" si="29"/>
        <v>28570</v>
      </c>
      <c r="W78" s="1894">
        <f t="shared" si="30"/>
        <v>0</v>
      </c>
      <c r="X78" s="1894">
        <v>125</v>
      </c>
      <c r="Y78" s="1894">
        <v>74.319999999999993</v>
      </c>
      <c r="Z78" s="1894">
        <v>125</v>
      </c>
      <c r="AA78" s="1894">
        <v>0.63729999999999998</v>
      </c>
      <c r="AB78" s="1894">
        <v>0</v>
      </c>
      <c r="AC78" s="1894">
        <v>13731</v>
      </c>
      <c r="AD78" s="1894">
        <f t="shared" si="31"/>
        <v>32106</v>
      </c>
      <c r="AE78" s="1894">
        <f t="shared" si="32"/>
        <v>0</v>
      </c>
      <c r="AF78" s="1894">
        <v>125</v>
      </c>
      <c r="AG78" s="1894">
        <v>94.96</v>
      </c>
      <c r="AH78" s="1894">
        <v>125</v>
      </c>
      <c r="AI78" s="1894">
        <v>0.5423</v>
      </c>
      <c r="AJ78" s="1894">
        <v>0</v>
      </c>
      <c r="AK78" s="1894">
        <v>17620</v>
      </c>
      <c r="AL78" s="1894">
        <f t="shared" si="25"/>
        <v>42390</v>
      </c>
      <c r="AM78" s="1894">
        <f t="shared" si="26"/>
        <v>0</v>
      </c>
      <c r="AN78" s="1894">
        <v>125</v>
      </c>
      <c r="AO78" s="1894">
        <v>41.92</v>
      </c>
      <c r="AP78" s="1894">
        <v>125</v>
      </c>
      <c r="AQ78" s="1894">
        <v>0.54869999999999997</v>
      </c>
      <c r="AR78" s="1894">
        <v>0</v>
      </c>
      <c r="AS78" s="1894">
        <v>12063</v>
      </c>
      <c r="AT78" s="1894">
        <f t="shared" si="33"/>
        <v>18713</v>
      </c>
      <c r="AU78" s="1894">
        <f t="shared" si="34"/>
        <v>0</v>
      </c>
      <c r="AV78" s="1894">
        <v>125</v>
      </c>
      <c r="AW78" s="1894">
        <v>57.52</v>
      </c>
      <c r="AX78" s="1894">
        <v>125</v>
      </c>
      <c r="AY78" s="1894">
        <v>0.59430000000000005</v>
      </c>
      <c r="AZ78" s="1894">
        <v>0</v>
      </c>
      <c r="BA78" s="1894">
        <v>11786</v>
      </c>
      <c r="BB78" s="1894">
        <f t="shared" si="35"/>
        <v>24849</v>
      </c>
      <c r="BC78" s="1894">
        <f t="shared" si="36"/>
        <v>0</v>
      </c>
      <c r="BD78" s="1894">
        <v>125</v>
      </c>
      <c r="BE78" s="1894">
        <v>51.92</v>
      </c>
      <c r="BF78" s="1894">
        <v>125</v>
      </c>
      <c r="BG78" s="1894">
        <v>0.63800000000000001</v>
      </c>
      <c r="BH78" s="1894">
        <v>0</v>
      </c>
      <c r="BI78" s="1894">
        <v>14459</v>
      </c>
      <c r="BJ78" s="1894">
        <f t="shared" si="37"/>
        <v>23177</v>
      </c>
      <c r="BK78" s="1894">
        <f t="shared" si="38"/>
        <v>0</v>
      </c>
      <c r="BL78" s="1894">
        <v>125</v>
      </c>
      <c r="BM78" s="1894">
        <v>4.32</v>
      </c>
      <c r="BN78" s="1894">
        <v>125</v>
      </c>
      <c r="BO78" s="1894">
        <v>0.92490000000000006</v>
      </c>
      <c r="BP78" s="1894">
        <v>0</v>
      </c>
      <c r="BQ78" s="1894">
        <v>533</v>
      </c>
      <c r="BR78" s="1894">
        <f t="shared" si="39"/>
        <v>1866</v>
      </c>
      <c r="BS78" s="1894">
        <f t="shared" si="40"/>
        <v>0</v>
      </c>
      <c r="BT78" s="1894">
        <v>125</v>
      </c>
      <c r="BU78" s="1894">
        <v>3.2800000000000002</v>
      </c>
      <c r="BV78" s="1894">
        <v>125</v>
      </c>
      <c r="BW78" s="1894">
        <v>0.77039999999999997</v>
      </c>
      <c r="BX78" s="1894">
        <v>0</v>
      </c>
      <c r="BY78" s="1894">
        <v>427</v>
      </c>
      <c r="BZ78" s="1894">
        <f t="shared" si="41"/>
        <v>1464</v>
      </c>
      <c r="CA78" s="1894">
        <f t="shared" si="42"/>
        <v>0</v>
      </c>
      <c r="CB78" s="1894">
        <v>125</v>
      </c>
      <c r="CC78" s="1894">
        <v>53.839999999999996</v>
      </c>
      <c r="CD78" s="1894">
        <v>125</v>
      </c>
      <c r="CE78" s="1894">
        <v>0.83140000000000003</v>
      </c>
      <c r="CF78" s="1894">
        <v>0</v>
      </c>
      <c r="CG78" s="1894">
        <v>2984</v>
      </c>
      <c r="CH78" s="1894">
        <f t="shared" si="43"/>
        <v>24034</v>
      </c>
      <c r="CI78" s="1894">
        <f t="shared" si="44"/>
        <v>0</v>
      </c>
      <c r="CJ78" s="1894">
        <v>125</v>
      </c>
      <c r="CK78" s="1894">
        <v>113.75999999999999</v>
      </c>
      <c r="CL78" s="1894">
        <v>125</v>
      </c>
      <c r="CM78" s="1894">
        <v>0.67679999999999996</v>
      </c>
      <c r="CN78" s="1894">
        <v>0</v>
      </c>
      <c r="CO78" s="1894">
        <v>9943</v>
      </c>
      <c r="CP78" s="1894">
        <f t="shared" si="45"/>
        <v>45868</v>
      </c>
      <c r="CQ78" s="1894">
        <f t="shared" si="46"/>
        <v>0</v>
      </c>
      <c r="CR78" s="1924">
        <v>125</v>
      </c>
      <c r="CS78" s="1924">
        <v>131.36000000000001</v>
      </c>
      <c r="CT78" s="1924">
        <v>131.36000000000001</v>
      </c>
      <c r="CU78" s="1924">
        <v>0.60640000000000005</v>
      </c>
      <c r="CV78" s="1924">
        <v>0</v>
      </c>
      <c r="CW78" s="1924">
        <v>31267</v>
      </c>
      <c r="CX78" s="1894">
        <f t="shared" si="47"/>
        <v>58639</v>
      </c>
      <c r="CY78" s="1894">
        <f t="shared" si="48"/>
        <v>0</v>
      </c>
    </row>
    <row r="79" spans="1:103">
      <c r="A79" s="982">
        <v>121000000055</v>
      </c>
      <c r="B79" s="1923">
        <f t="shared" si="49"/>
        <v>73</v>
      </c>
      <c r="C79" s="1895" t="s">
        <v>2976</v>
      </c>
      <c r="D79" s="1894" t="s">
        <v>524</v>
      </c>
      <c r="E79" s="1895" t="s">
        <v>2966</v>
      </c>
      <c r="F79" s="1894" t="s">
        <v>259</v>
      </c>
      <c r="G79" s="1924">
        <v>125</v>
      </c>
      <c r="H79" s="1894">
        <v>125</v>
      </c>
      <c r="I79" s="1894">
        <v>102.88</v>
      </c>
      <c r="J79" s="1894">
        <v>125</v>
      </c>
      <c r="K79" s="1894">
        <v>0.86539999999999995</v>
      </c>
      <c r="L79" s="1894">
        <v>0</v>
      </c>
      <c r="M79" s="1894">
        <v>27055</v>
      </c>
      <c r="N79" s="1894">
        <f t="shared" si="27"/>
        <v>44444</v>
      </c>
      <c r="O79" s="1894">
        <f t="shared" si="28"/>
        <v>0</v>
      </c>
      <c r="P79" s="1894">
        <v>125</v>
      </c>
      <c r="Q79" s="1894">
        <v>146.08000000000001</v>
      </c>
      <c r="R79" s="1894">
        <v>146.08000000000001</v>
      </c>
      <c r="S79" s="1894">
        <v>0.86129999999999995</v>
      </c>
      <c r="T79" s="1894">
        <v>0</v>
      </c>
      <c r="U79" s="1894">
        <v>36569</v>
      </c>
      <c r="V79" s="1894">
        <f t="shared" si="29"/>
        <v>65210</v>
      </c>
      <c r="W79" s="1894">
        <f t="shared" si="30"/>
        <v>0</v>
      </c>
      <c r="X79" s="1894">
        <v>125</v>
      </c>
      <c r="Y79" s="1894">
        <v>148.63999999999999</v>
      </c>
      <c r="Z79" s="1894">
        <v>148.63999999999999</v>
      </c>
      <c r="AA79" s="1894">
        <v>0.86870000000000003</v>
      </c>
      <c r="AB79" s="1894">
        <v>0</v>
      </c>
      <c r="AC79" s="1894">
        <v>20928</v>
      </c>
      <c r="AD79" s="1894">
        <f t="shared" si="31"/>
        <v>64212</v>
      </c>
      <c r="AE79" s="1894">
        <f t="shared" si="32"/>
        <v>0</v>
      </c>
      <c r="AF79" s="1894">
        <v>125</v>
      </c>
      <c r="AG79" s="1894">
        <v>77.039999999999992</v>
      </c>
      <c r="AH79" s="1894">
        <v>125</v>
      </c>
      <c r="AI79" s="1894">
        <v>0.86109999999999998</v>
      </c>
      <c r="AJ79" s="1894">
        <v>0</v>
      </c>
      <c r="AK79" s="1894">
        <v>14212</v>
      </c>
      <c r="AL79" s="1894">
        <f t="shared" si="25"/>
        <v>34391</v>
      </c>
      <c r="AM79" s="1894">
        <f t="shared" si="26"/>
        <v>0</v>
      </c>
      <c r="AN79" s="1894">
        <v>125</v>
      </c>
      <c r="AO79" s="1894">
        <v>129.84</v>
      </c>
      <c r="AP79" s="1894">
        <v>129.84</v>
      </c>
      <c r="AQ79" s="1894">
        <v>0.83040000000000003</v>
      </c>
      <c r="AR79" s="1894">
        <v>0</v>
      </c>
      <c r="AS79" s="1894">
        <v>32096</v>
      </c>
      <c r="AT79" s="1894">
        <f t="shared" si="33"/>
        <v>57961</v>
      </c>
      <c r="AU79" s="1894">
        <f t="shared" si="34"/>
        <v>0</v>
      </c>
      <c r="AV79" s="1894">
        <v>125</v>
      </c>
      <c r="AW79" s="1894">
        <v>151.68</v>
      </c>
      <c r="AX79" s="1894">
        <v>151.68</v>
      </c>
      <c r="AY79" s="1894">
        <v>0.84340000000000004</v>
      </c>
      <c r="AZ79" s="1894">
        <v>0</v>
      </c>
      <c r="BA79" s="1894">
        <v>39089</v>
      </c>
      <c r="BB79" s="1894">
        <f t="shared" si="35"/>
        <v>65526</v>
      </c>
      <c r="BC79" s="1894">
        <f t="shared" si="36"/>
        <v>0</v>
      </c>
      <c r="BD79" s="1894">
        <v>125</v>
      </c>
      <c r="BE79" s="1894">
        <v>127.67999999999999</v>
      </c>
      <c r="BF79" s="1894">
        <v>127.68</v>
      </c>
      <c r="BG79" s="1894">
        <v>0.84230000000000005</v>
      </c>
      <c r="BH79" s="1894">
        <v>0</v>
      </c>
      <c r="BI79" s="1894">
        <v>19314</v>
      </c>
      <c r="BJ79" s="1894">
        <f t="shared" si="37"/>
        <v>56996</v>
      </c>
      <c r="BK79" s="1894">
        <f t="shared" si="38"/>
        <v>0</v>
      </c>
      <c r="BL79" s="1894">
        <v>125</v>
      </c>
      <c r="BM79" s="1894">
        <v>25.919999999999998</v>
      </c>
      <c r="BN79" s="1894">
        <v>125</v>
      </c>
      <c r="BO79" s="1894">
        <v>0.87319999999999998</v>
      </c>
      <c r="BP79" s="1894">
        <v>0</v>
      </c>
      <c r="BQ79" s="1894">
        <v>1428</v>
      </c>
      <c r="BR79" s="1894">
        <f t="shared" si="39"/>
        <v>11197</v>
      </c>
      <c r="BS79" s="1894">
        <f t="shared" si="40"/>
        <v>0</v>
      </c>
      <c r="BT79" s="1894">
        <v>125</v>
      </c>
      <c r="BU79" s="1894">
        <v>12.479999999999999</v>
      </c>
      <c r="BV79" s="1894">
        <v>125</v>
      </c>
      <c r="BW79" s="1894">
        <v>0.88100000000000001</v>
      </c>
      <c r="BX79" s="1894">
        <v>0</v>
      </c>
      <c r="BY79" s="1894">
        <v>740</v>
      </c>
      <c r="BZ79" s="1894">
        <f t="shared" si="41"/>
        <v>5571</v>
      </c>
      <c r="CA79" s="1894">
        <f t="shared" si="42"/>
        <v>0</v>
      </c>
      <c r="CB79" s="1894">
        <v>125</v>
      </c>
      <c r="CC79" s="1894">
        <v>30.72</v>
      </c>
      <c r="CD79" s="1894">
        <v>125</v>
      </c>
      <c r="CE79" s="1894">
        <v>0.85319999999999996</v>
      </c>
      <c r="CF79" s="1894">
        <v>0</v>
      </c>
      <c r="CG79" s="1894">
        <v>2541</v>
      </c>
      <c r="CH79" s="1894">
        <f t="shared" si="43"/>
        <v>13713</v>
      </c>
      <c r="CI79" s="1894">
        <f t="shared" si="44"/>
        <v>0</v>
      </c>
      <c r="CJ79" s="1894">
        <v>125</v>
      </c>
      <c r="CK79" s="1894">
        <v>36.24</v>
      </c>
      <c r="CL79" s="1894">
        <v>125</v>
      </c>
      <c r="CM79" s="1894">
        <v>0.86509999999999998</v>
      </c>
      <c r="CN79" s="1894">
        <v>0</v>
      </c>
      <c r="CO79" s="1894">
        <v>3197</v>
      </c>
      <c r="CP79" s="1894">
        <f t="shared" si="45"/>
        <v>14612</v>
      </c>
      <c r="CQ79" s="1894">
        <f t="shared" si="46"/>
        <v>0</v>
      </c>
      <c r="CR79" s="1924">
        <v>125</v>
      </c>
      <c r="CS79" s="1924">
        <v>56.56</v>
      </c>
      <c r="CT79" s="1924">
        <v>125</v>
      </c>
      <c r="CU79" s="1924">
        <v>0.85509999999999997</v>
      </c>
      <c r="CV79" s="1924">
        <v>0</v>
      </c>
      <c r="CW79" s="1924">
        <v>10884</v>
      </c>
      <c r="CX79" s="1894">
        <f t="shared" si="47"/>
        <v>25248</v>
      </c>
      <c r="CY79" s="1894">
        <f t="shared" si="48"/>
        <v>0</v>
      </c>
    </row>
    <row r="80" spans="1:103">
      <c r="A80" s="982">
        <v>615000000038</v>
      </c>
      <c r="B80" s="1923">
        <f t="shared" si="49"/>
        <v>74</v>
      </c>
      <c r="C80" s="1895" t="s">
        <v>2977</v>
      </c>
      <c r="D80" s="1894" t="s">
        <v>524</v>
      </c>
      <c r="E80" s="1895" t="s">
        <v>541</v>
      </c>
      <c r="F80" s="1894" t="s">
        <v>259</v>
      </c>
      <c r="G80" s="1924">
        <v>126</v>
      </c>
      <c r="H80" s="1894">
        <v>126</v>
      </c>
      <c r="I80" s="1894">
        <v>124</v>
      </c>
      <c r="J80" s="1894">
        <v>124</v>
      </c>
      <c r="K80" s="1894">
        <v>0.97230000000000005</v>
      </c>
      <c r="L80" s="1894">
        <v>15.33</v>
      </c>
      <c r="M80" s="1894">
        <v>13688</v>
      </c>
      <c r="N80" s="1894">
        <f t="shared" si="27"/>
        <v>53568</v>
      </c>
      <c r="O80" s="1894">
        <f t="shared" si="28"/>
        <v>0</v>
      </c>
      <c r="P80" s="1894">
        <v>126</v>
      </c>
      <c r="Q80" s="1894">
        <v>108.32</v>
      </c>
      <c r="R80" s="1894">
        <v>108.32</v>
      </c>
      <c r="S80" s="1894">
        <v>0.95469999999999999</v>
      </c>
      <c r="T80" s="1894">
        <v>12.25</v>
      </c>
      <c r="U80" s="1894">
        <v>9875</v>
      </c>
      <c r="V80" s="1894">
        <f t="shared" si="29"/>
        <v>48354</v>
      </c>
      <c r="W80" s="1894">
        <f t="shared" si="30"/>
        <v>0</v>
      </c>
      <c r="X80" s="1894">
        <v>126</v>
      </c>
      <c r="Y80" s="1894">
        <v>114.64000000000001</v>
      </c>
      <c r="Z80" s="1894">
        <v>114.64</v>
      </c>
      <c r="AA80" s="1894">
        <v>0.94879999999999998</v>
      </c>
      <c r="AB80" s="1894">
        <v>12.42</v>
      </c>
      <c r="AC80" s="1894">
        <v>10254</v>
      </c>
      <c r="AD80" s="1894">
        <f t="shared" si="31"/>
        <v>49524</v>
      </c>
      <c r="AE80" s="1894">
        <f t="shared" si="32"/>
        <v>0</v>
      </c>
      <c r="AF80" s="1894">
        <v>126</v>
      </c>
      <c r="AG80" s="1894">
        <v>139.28</v>
      </c>
      <c r="AH80" s="1894">
        <v>139.28</v>
      </c>
      <c r="AI80" s="1894">
        <v>0.72440000000000004</v>
      </c>
      <c r="AJ80" s="1894">
        <v>10.43</v>
      </c>
      <c r="AK80" s="1894">
        <v>10805</v>
      </c>
      <c r="AL80" s="1894">
        <f t="shared" si="25"/>
        <v>62175</v>
      </c>
      <c r="AM80" s="1894">
        <f t="shared" si="26"/>
        <v>0</v>
      </c>
      <c r="AN80" s="1894">
        <v>126</v>
      </c>
      <c r="AO80" s="1894">
        <v>99.11999999999999</v>
      </c>
      <c r="AP80" s="1894">
        <v>100.8</v>
      </c>
      <c r="AQ80" s="1894">
        <v>0.52259999999999995</v>
      </c>
      <c r="AR80" s="1894">
        <v>2.31</v>
      </c>
      <c r="AS80" s="1894">
        <v>1703</v>
      </c>
      <c r="AT80" s="1894">
        <f t="shared" si="33"/>
        <v>44247</v>
      </c>
      <c r="AU80" s="1894">
        <f t="shared" si="34"/>
        <v>0</v>
      </c>
      <c r="AV80" s="1894">
        <v>126</v>
      </c>
      <c r="AW80" s="1894">
        <v>3.2800000000000002</v>
      </c>
      <c r="AX80" s="1894">
        <v>100.8</v>
      </c>
      <c r="AY80" s="1894">
        <v>0.39739999999999998</v>
      </c>
      <c r="AZ80" s="1894">
        <v>55.72</v>
      </c>
      <c r="BA80" s="1894">
        <v>1316</v>
      </c>
      <c r="BB80" s="1894">
        <f t="shared" si="35"/>
        <v>1417</v>
      </c>
      <c r="BC80" s="1894">
        <f t="shared" si="36"/>
        <v>0</v>
      </c>
      <c r="BD80" s="1894">
        <v>126</v>
      </c>
      <c r="BE80" s="1894">
        <v>125.27999999999999</v>
      </c>
      <c r="BF80" s="1894">
        <v>125.28</v>
      </c>
      <c r="BG80" s="1894">
        <v>0.7167</v>
      </c>
      <c r="BH80" s="1894">
        <v>3.8</v>
      </c>
      <c r="BI80" s="1894">
        <v>3428</v>
      </c>
      <c r="BJ80" s="1894">
        <f t="shared" si="37"/>
        <v>55925</v>
      </c>
      <c r="BK80" s="1894">
        <f t="shared" si="38"/>
        <v>0</v>
      </c>
      <c r="BL80" s="1894">
        <v>126</v>
      </c>
      <c r="BM80" s="1894">
        <v>125.27999999999999</v>
      </c>
      <c r="BN80" s="1894">
        <v>125.28</v>
      </c>
      <c r="BO80" s="1894">
        <v>0.84099999999999997</v>
      </c>
      <c r="BP80" s="1894">
        <v>8.2799999999999994</v>
      </c>
      <c r="BQ80" s="1894">
        <v>7717</v>
      </c>
      <c r="BR80" s="1894">
        <f t="shared" si="39"/>
        <v>54121</v>
      </c>
      <c r="BS80" s="1894">
        <f t="shared" si="40"/>
        <v>0</v>
      </c>
      <c r="BT80" s="1894">
        <v>126</v>
      </c>
      <c r="BU80" s="1894">
        <v>116.8</v>
      </c>
      <c r="BV80" s="1894">
        <v>116.8</v>
      </c>
      <c r="BW80" s="1894">
        <v>0.87939999999999996</v>
      </c>
      <c r="BX80" s="1894">
        <v>11.59</v>
      </c>
      <c r="BY80" s="1894">
        <v>10072</v>
      </c>
      <c r="BZ80" s="1894">
        <f t="shared" si="41"/>
        <v>52140</v>
      </c>
      <c r="CA80" s="1894">
        <f t="shared" si="42"/>
        <v>0</v>
      </c>
      <c r="CB80" s="1894">
        <v>126</v>
      </c>
      <c r="CC80" s="1894">
        <v>116.16</v>
      </c>
      <c r="CD80" s="1894">
        <v>116.16</v>
      </c>
      <c r="CE80" s="1894">
        <v>0.92210000000000003</v>
      </c>
      <c r="CF80" s="1894">
        <v>16.690000000000001</v>
      </c>
      <c r="CG80" s="1894">
        <v>14427</v>
      </c>
      <c r="CH80" s="1894">
        <f t="shared" si="43"/>
        <v>51854</v>
      </c>
      <c r="CI80" s="1894">
        <f t="shared" si="44"/>
        <v>0</v>
      </c>
      <c r="CJ80" s="1894">
        <v>126</v>
      </c>
      <c r="CK80" s="1894">
        <v>168.16</v>
      </c>
      <c r="CL80" s="1894">
        <v>168.16</v>
      </c>
      <c r="CM80" s="1894">
        <v>0.93269999999999997</v>
      </c>
      <c r="CN80" s="1894">
        <v>13.27</v>
      </c>
      <c r="CO80" s="1894">
        <v>14995</v>
      </c>
      <c r="CP80" s="1894">
        <f t="shared" si="45"/>
        <v>67802</v>
      </c>
      <c r="CQ80" s="1894">
        <f t="shared" si="46"/>
        <v>0</v>
      </c>
      <c r="CR80" s="1924">
        <v>126</v>
      </c>
      <c r="CS80" s="1924">
        <v>121.68</v>
      </c>
      <c r="CT80" s="1924">
        <v>121.68</v>
      </c>
      <c r="CU80" s="1924">
        <v>0.94599999999999995</v>
      </c>
      <c r="CV80" s="1924">
        <v>15.56</v>
      </c>
      <c r="CW80" s="1924">
        <v>14082</v>
      </c>
      <c r="CX80" s="1894">
        <f t="shared" si="47"/>
        <v>54318</v>
      </c>
      <c r="CY80" s="1894">
        <f t="shared" si="48"/>
        <v>0</v>
      </c>
    </row>
    <row r="81" spans="1:103">
      <c r="A81" s="982">
        <v>124000000022</v>
      </c>
      <c r="B81" s="1923">
        <f t="shared" si="49"/>
        <v>75</v>
      </c>
      <c r="C81" s="1895" t="s">
        <v>2978</v>
      </c>
      <c r="D81" s="1894" t="s">
        <v>524</v>
      </c>
      <c r="E81" s="1895" t="s">
        <v>541</v>
      </c>
      <c r="F81" s="1894" t="s">
        <v>259</v>
      </c>
      <c r="G81" s="1924">
        <v>127</v>
      </c>
      <c r="H81" s="1894">
        <v>127</v>
      </c>
      <c r="I81" s="1894">
        <v>151.68</v>
      </c>
      <c r="J81" s="1894">
        <v>151.68</v>
      </c>
      <c r="K81" s="1894">
        <v>0.99439999999999995</v>
      </c>
      <c r="L81" s="1894">
        <v>37.11</v>
      </c>
      <c r="M81" s="1894">
        <v>40532</v>
      </c>
      <c r="N81" s="1894">
        <f t="shared" si="27"/>
        <v>65526</v>
      </c>
      <c r="O81" s="1894">
        <f t="shared" si="28"/>
        <v>0</v>
      </c>
      <c r="P81" s="1894">
        <v>127</v>
      </c>
      <c r="Q81" s="1894">
        <v>147.67999999999998</v>
      </c>
      <c r="R81" s="1894">
        <v>147.68</v>
      </c>
      <c r="S81" s="1894">
        <v>0.99299999999999999</v>
      </c>
      <c r="T81" s="1894">
        <v>31.16</v>
      </c>
      <c r="U81" s="1894">
        <v>34234</v>
      </c>
      <c r="V81" s="1894">
        <f t="shared" si="29"/>
        <v>65924</v>
      </c>
      <c r="W81" s="1894">
        <f t="shared" si="30"/>
        <v>0</v>
      </c>
      <c r="X81" s="1894">
        <v>127</v>
      </c>
      <c r="Y81" s="1894">
        <v>159.60000000000002</v>
      </c>
      <c r="Z81" s="1894">
        <v>159.6</v>
      </c>
      <c r="AA81" s="1894">
        <v>0.97689999999999999</v>
      </c>
      <c r="AB81" s="1894">
        <v>25.89</v>
      </c>
      <c r="AC81" s="1894">
        <v>29754</v>
      </c>
      <c r="AD81" s="1894">
        <f t="shared" si="31"/>
        <v>68947</v>
      </c>
      <c r="AE81" s="1894">
        <f t="shared" si="32"/>
        <v>0</v>
      </c>
      <c r="AF81" s="1894">
        <v>127</v>
      </c>
      <c r="AG81" s="1894">
        <v>170.88</v>
      </c>
      <c r="AH81" s="1894">
        <v>170.88</v>
      </c>
      <c r="AI81" s="1894">
        <v>0.78839999999999999</v>
      </c>
      <c r="AJ81" s="1894">
        <v>4.5199999999999996</v>
      </c>
      <c r="AK81" s="1894">
        <v>5742</v>
      </c>
      <c r="AL81" s="1894">
        <f t="shared" si="25"/>
        <v>76281</v>
      </c>
      <c r="AM81" s="1894">
        <f t="shared" si="26"/>
        <v>0</v>
      </c>
      <c r="AN81" s="1894">
        <v>127</v>
      </c>
      <c r="AO81" s="1894">
        <v>27.6</v>
      </c>
      <c r="AP81" s="1894">
        <v>101.6</v>
      </c>
      <c r="AQ81" s="1894">
        <v>0.97989999999999999</v>
      </c>
      <c r="AR81" s="1894">
        <v>2.91</v>
      </c>
      <c r="AS81" s="1894">
        <v>598</v>
      </c>
      <c r="AT81" s="1894">
        <f t="shared" si="33"/>
        <v>12321</v>
      </c>
      <c r="AU81" s="1894">
        <f t="shared" si="34"/>
        <v>0</v>
      </c>
      <c r="AV81" s="1894">
        <v>127</v>
      </c>
      <c r="AW81" s="1894">
        <v>21.12</v>
      </c>
      <c r="AX81" s="1894">
        <v>101.6</v>
      </c>
      <c r="AY81" s="1894">
        <v>0.99380000000000002</v>
      </c>
      <c r="AZ81" s="1894">
        <v>11.78</v>
      </c>
      <c r="BA81" s="1894">
        <v>1792</v>
      </c>
      <c r="BB81" s="1894">
        <f t="shared" si="35"/>
        <v>9124</v>
      </c>
      <c r="BC81" s="1894">
        <f t="shared" si="36"/>
        <v>0</v>
      </c>
      <c r="BD81" s="1894">
        <v>127</v>
      </c>
      <c r="BE81" s="1894">
        <v>21.759999999999998</v>
      </c>
      <c r="BF81" s="1894">
        <v>101.6</v>
      </c>
      <c r="BG81" s="1894">
        <v>1</v>
      </c>
      <c r="BH81" s="1894">
        <v>11.43</v>
      </c>
      <c r="BI81" s="1894">
        <v>1850</v>
      </c>
      <c r="BJ81" s="1894">
        <f t="shared" si="37"/>
        <v>9714</v>
      </c>
      <c r="BK81" s="1894">
        <f t="shared" si="38"/>
        <v>0</v>
      </c>
      <c r="BL81" s="1894">
        <v>127</v>
      </c>
      <c r="BM81" s="1894">
        <v>11.200000000000001</v>
      </c>
      <c r="BN81" s="1894">
        <v>101.6</v>
      </c>
      <c r="BO81" s="1894">
        <v>0.99919999999999998</v>
      </c>
      <c r="BP81" s="1894">
        <v>17.559999999999999</v>
      </c>
      <c r="BQ81" s="1894">
        <v>1416</v>
      </c>
      <c r="BR81" s="1894">
        <f t="shared" si="39"/>
        <v>4838</v>
      </c>
      <c r="BS81" s="1894">
        <f t="shared" si="40"/>
        <v>0</v>
      </c>
      <c r="BT81" s="1894">
        <v>127</v>
      </c>
      <c r="BU81" s="1894">
        <v>84.56</v>
      </c>
      <c r="BV81" s="1894">
        <v>101.6</v>
      </c>
      <c r="BW81" s="1894">
        <v>0.9768</v>
      </c>
      <c r="BX81" s="1894">
        <v>4.67</v>
      </c>
      <c r="BY81" s="1894">
        <v>2938</v>
      </c>
      <c r="BZ81" s="1894">
        <f t="shared" si="41"/>
        <v>37748</v>
      </c>
      <c r="CA81" s="1894">
        <f t="shared" si="42"/>
        <v>0</v>
      </c>
      <c r="CB81" s="1894">
        <v>127</v>
      </c>
      <c r="CC81" s="1894">
        <v>146</v>
      </c>
      <c r="CD81" s="1894">
        <v>146</v>
      </c>
      <c r="CE81" s="1894">
        <v>0.99029999999999996</v>
      </c>
      <c r="CF81" s="1894">
        <v>32.94</v>
      </c>
      <c r="CG81" s="1894">
        <v>35784</v>
      </c>
      <c r="CH81" s="1894">
        <f t="shared" si="43"/>
        <v>65174</v>
      </c>
      <c r="CI81" s="1894">
        <f t="shared" si="44"/>
        <v>0</v>
      </c>
      <c r="CJ81" s="1894">
        <v>127</v>
      </c>
      <c r="CK81" s="1894">
        <v>160.88</v>
      </c>
      <c r="CL81" s="1894">
        <v>160.88</v>
      </c>
      <c r="CM81" s="1894">
        <v>0.97560000000000002</v>
      </c>
      <c r="CN81" s="1894">
        <v>32.94</v>
      </c>
      <c r="CO81" s="1894">
        <v>35611</v>
      </c>
      <c r="CP81" s="1894">
        <f t="shared" si="45"/>
        <v>64867</v>
      </c>
      <c r="CQ81" s="1894">
        <f t="shared" si="46"/>
        <v>0</v>
      </c>
      <c r="CR81" s="1924">
        <v>127</v>
      </c>
      <c r="CS81" s="1924">
        <v>146.48000000000002</v>
      </c>
      <c r="CT81" s="1924">
        <v>146.47999999999999</v>
      </c>
      <c r="CU81" s="1924">
        <v>0.98860000000000003</v>
      </c>
      <c r="CV81" s="1924">
        <v>35.97</v>
      </c>
      <c r="CW81" s="1924">
        <v>39197</v>
      </c>
      <c r="CX81" s="1894">
        <f t="shared" si="47"/>
        <v>65389</v>
      </c>
      <c r="CY81" s="1894">
        <f t="shared" si="48"/>
        <v>0</v>
      </c>
    </row>
    <row r="82" spans="1:103">
      <c r="A82" s="982">
        <v>615000000014</v>
      </c>
      <c r="B82" s="1923">
        <f t="shared" si="49"/>
        <v>76</v>
      </c>
      <c r="C82" s="1895" t="s">
        <v>2979</v>
      </c>
      <c r="D82" s="1894" t="s">
        <v>524</v>
      </c>
      <c r="E82" s="1895" t="s">
        <v>541</v>
      </c>
      <c r="F82" s="1894" t="s">
        <v>259</v>
      </c>
      <c r="G82" s="1924">
        <v>127.8</v>
      </c>
      <c r="H82" s="1894">
        <v>127.8</v>
      </c>
      <c r="I82" s="1894">
        <v>73</v>
      </c>
      <c r="J82" s="1894">
        <v>102.24</v>
      </c>
      <c r="K82" s="1894">
        <v>0.46129999999999999</v>
      </c>
      <c r="L82" s="1894">
        <v>1.97</v>
      </c>
      <c r="M82" s="1894">
        <v>1035</v>
      </c>
      <c r="N82" s="1894">
        <f t="shared" si="27"/>
        <v>31536</v>
      </c>
      <c r="O82" s="1894">
        <f t="shared" si="28"/>
        <v>0</v>
      </c>
      <c r="P82" s="1894">
        <v>127.8</v>
      </c>
      <c r="Q82" s="1894">
        <v>23.16</v>
      </c>
      <c r="R82" s="1894">
        <v>102.24</v>
      </c>
      <c r="S82" s="1894">
        <v>0.38229999999999997</v>
      </c>
      <c r="T82" s="1894">
        <v>6.83</v>
      </c>
      <c r="U82" s="1894">
        <v>1177</v>
      </c>
      <c r="V82" s="1894">
        <f t="shared" si="29"/>
        <v>10339</v>
      </c>
      <c r="W82" s="1894">
        <f t="shared" si="30"/>
        <v>0</v>
      </c>
      <c r="X82" s="1894">
        <v>127.8</v>
      </c>
      <c r="Y82" s="1894">
        <v>67.28</v>
      </c>
      <c r="Z82" s="1894">
        <v>102.24</v>
      </c>
      <c r="AA82" s="1894">
        <v>0.58160000000000001</v>
      </c>
      <c r="AB82" s="1894">
        <v>3.13</v>
      </c>
      <c r="AC82" s="1894">
        <v>1518</v>
      </c>
      <c r="AD82" s="1894">
        <f t="shared" si="31"/>
        <v>29065</v>
      </c>
      <c r="AE82" s="1894">
        <f t="shared" si="32"/>
        <v>0</v>
      </c>
      <c r="AF82" s="1894">
        <v>127.8</v>
      </c>
      <c r="AG82" s="1894">
        <v>68.2</v>
      </c>
      <c r="AH82" s="1894">
        <v>102.24</v>
      </c>
      <c r="AI82" s="1894">
        <v>0.56789999999999996</v>
      </c>
      <c r="AJ82" s="1894">
        <v>3.54</v>
      </c>
      <c r="AK82" s="1894">
        <v>1736</v>
      </c>
      <c r="AL82" s="1894">
        <f t="shared" si="25"/>
        <v>30444</v>
      </c>
      <c r="AM82" s="1894">
        <f t="shared" si="26"/>
        <v>0</v>
      </c>
      <c r="AN82" s="1894">
        <v>127.8</v>
      </c>
      <c r="AO82" s="1894">
        <v>65.600000000000009</v>
      </c>
      <c r="AP82" s="1894">
        <v>102.24</v>
      </c>
      <c r="AQ82" s="1894">
        <v>0.6643</v>
      </c>
      <c r="AR82" s="1894">
        <v>5.07</v>
      </c>
      <c r="AS82" s="1894">
        <v>2556</v>
      </c>
      <c r="AT82" s="1894">
        <f t="shared" si="33"/>
        <v>29284</v>
      </c>
      <c r="AU82" s="1894">
        <f t="shared" si="34"/>
        <v>0</v>
      </c>
      <c r="AV82" s="1894">
        <v>127.8</v>
      </c>
      <c r="AW82" s="1894">
        <v>56.76</v>
      </c>
      <c r="AX82" s="1894">
        <v>102.24</v>
      </c>
      <c r="AY82" s="1894">
        <v>0.65290000000000004</v>
      </c>
      <c r="AZ82" s="1894">
        <v>4.8099999999999996</v>
      </c>
      <c r="BA82" s="1894">
        <v>1965</v>
      </c>
      <c r="BB82" s="1894">
        <f t="shared" si="35"/>
        <v>24520</v>
      </c>
      <c r="BC82" s="1894">
        <f t="shared" si="36"/>
        <v>0</v>
      </c>
      <c r="BD82" s="1894">
        <v>127.8</v>
      </c>
      <c r="BE82" s="1894">
        <v>151.6</v>
      </c>
      <c r="BF82" s="1894">
        <v>151.6</v>
      </c>
      <c r="BG82" s="1894">
        <v>0.40839999999999999</v>
      </c>
      <c r="BH82" s="1894">
        <v>7.62</v>
      </c>
      <c r="BI82" s="1894">
        <v>8594</v>
      </c>
      <c r="BJ82" s="1894">
        <f t="shared" si="37"/>
        <v>67674</v>
      </c>
      <c r="BK82" s="1894">
        <f t="shared" si="38"/>
        <v>0</v>
      </c>
      <c r="BL82" s="1894">
        <v>127.8</v>
      </c>
      <c r="BM82" s="1894">
        <v>171.72</v>
      </c>
      <c r="BN82" s="1894">
        <v>171.72</v>
      </c>
      <c r="BO82" s="1894">
        <v>0.45279999999999998</v>
      </c>
      <c r="BP82" s="1894">
        <v>10.69</v>
      </c>
      <c r="BQ82" s="1894">
        <v>13211</v>
      </c>
      <c r="BR82" s="1894">
        <f t="shared" si="39"/>
        <v>74183</v>
      </c>
      <c r="BS82" s="1894">
        <f t="shared" si="40"/>
        <v>0</v>
      </c>
      <c r="BT82" s="1894">
        <v>127.8</v>
      </c>
      <c r="BU82" s="1894">
        <v>93.600000000000009</v>
      </c>
      <c r="BV82" s="1894">
        <v>102.24</v>
      </c>
      <c r="BW82" s="1894">
        <v>0.80579999999999996</v>
      </c>
      <c r="BX82" s="1894">
        <v>9.2799999999999994</v>
      </c>
      <c r="BY82" s="1894">
        <v>6463</v>
      </c>
      <c r="BZ82" s="1894">
        <f t="shared" si="41"/>
        <v>41783</v>
      </c>
      <c r="CA82" s="1894">
        <f t="shared" si="42"/>
        <v>0</v>
      </c>
      <c r="CB82" s="1894">
        <v>127.8</v>
      </c>
      <c r="CC82" s="1894">
        <v>98.960000000000008</v>
      </c>
      <c r="CD82" s="1894">
        <v>102.24</v>
      </c>
      <c r="CE82" s="1894">
        <v>0.76090000000000002</v>
      </c>
      <c r="CF82" s="1894">
        <v>5.07</v>
      </c>
      <c r="CG82" s="1894">
        <v>3735</v>
      </c>
      <c r="CH82" s="1894">
        <f t="shared" si="43"/>
        <v>44176</v>
      </c>
      <c r="CI82" s="1894">
        <f t="shared" si="44"/>
        <v>0</v>
      </c>
      <c r="CJ82" s="1894">
        <v>127.8</v>
      </c>
      <c r="CK82" s="1894">
        <v>103.32</v>
      </c>
      <c r="CL82" s="1894">
        <v>103.32</v>
      </c>
      <c r="CM82" s="1894">
        <v>0.75870000000000004</v>
      </c>
      <c r="CN82" s="1894">
        <v>5.95</v>
      </c>
      <c r="CO82" s="1894">
        <v>4129</v>
      </c>
      <c r="CP82" s="1894">
        <f t="shared" si="45"/>
        <v>41659</v>
      </c>
      <c r="CQ82" s="1894">
        <f t="shared" si="46"/>
        <v>0</v>
      </c>
      <c r="CR82" s="1924">
        <v>127.8</v>
      </c>
      <c r="CS82" s="1924">
        <v>107.04</v>
      </c>
      <c r="CT82" s="1924">
        <v>107.04</v>
      </c>
      <c r="CU82" s="1924">
        <v>0.70269999999999999</v>
      </c>
      <c r="CV82" s="1924">
        <v>7.91</v>
      </c>
      <c r="CW82" s="1924">
        <v>6301</v>
      </c>
      <c r="CX82" s="1894">
        <f t="shared" si="47"/>
        <v>47783</v>
      </c>
      <c r="CY82" s="1894">
        <f t="shared" si="48"/>
        <v>0</v>
      </c>
    </row>
    <row r="83" spans="1:103">
      <c r="A83" s="982">
        <v>126000000023</v>
      </c>
      <c r="B83" s="1923">
        <f t="shared" si="49"/>
        <v>77</v>
      </c>
      <c r="C83" s="1895" t="s">
        <v>2980</v>
      </c>
      <c r="D83" s="1894" t="s">
        <v>524</v>
      </c>
      <c r="E83" s="1895" t="s">
        <v>541</v>
      </c>
      <c r="F83" s="1894" t="s">
        <v>259</v>
      </c>
      <c r="G83" s="1924">
        <v>128.80000000000001</v>
      </c>
      <c r="H83" s="1894">
        <v>128.80000000000001</v>
      </c>
      <c r="I83" s="1894">
        <v>143.76</v>
      </c>
      <c r="J83" s="1894">
        <v>143.76</v>
      </c>
      <c r="K83" s="1894">
        <v>0.93069999999999997</v>
      </c>
      <c r="L83" s="1894">
        <v>45.04</v>
      </c>
      <c r="M83" s="1894">
        <v>46624</v>
      </c>
      <c r="N83" s="1894">
        <f t="shared" si="27"/>
        <v>62104</v>
      </c>
      <c r="O83" s="1894">
        <f t="shared" si="28"/>
        <v>0</v>
      </c>
      <c r="P83" s="1894">
        <v>128.80000000000001</v>
      </c>
      <c r="Q83" s="1894">
        <v>145.6</v>
      </c>
      <c r="R83" s="1894">
        <v>145.6</v>
      </c>
      <c r="S83" s="1894">
        <v>0.94779999999999998</v>
      </c>
      <c r="T83" s="1894">
        <v>50.97</v>
      </c>
      <c r="U83" s="1894">
        <v>55212</v>
      </c>
      <c r="V83" s="1894">
        <f t="shared" si="29"/>
        <v>64996</v>
      </c>
      <c r="W83" s="1894">
        <f t="shared" si="30"/>
        <v>0</v>
      </c>
      <c r="X83" s="1894">
        <v>128.80000000000001</v>
      </c>
      <c r="Y83" s="1894">
        <v>143.84</v>
      </c>
      <c r="Z83" s="1894">
        <v>143.84</v>
      </c>
      <c r="AA83" s="1894">
        <v>0.94379999999999997</v>
      </c>
      <c r="AB83" s="1894">
        <v>42.08</v>
      </c>
      <c r="AC83" s="1894">
        <v>43578</v>
      </c>
      <c r="AD83" s="1894">
        <f t="shared" si="31"/>
        <v>62139</v>
      </c>
      <c r="AE83" s="1894">
        <f t="shared" si="32"/>
        <v>0</v>
      </c>
      <c r="AF83" s="1894">
        <v>128.80000000000001</v>
      </c>
      <c r="AG83" s="1894">
        <v>130.07999999999998</v>
      </c>
      <c r="AH83" s="1894">
        <v>130.08000000000001</v>
      </c>
      <c r="AI83" s="1894">
        <v>0.96609999999999996</v>
      </c>
      <c r="AJ83" s="1894">
        <v>49.89</v>
      </c>
      <c r="AK83" s="1894">
        <v>48279</v>
      </c>
      <c r="AL83" s="1894">
        <f t="shared" si="25"/>
        <v>58068</v>
      </c>
      <c r="AM83" s="1894">
        <f t="shared" si="26"/>
        <v>0</v>
      </c>
      <c r="AN83" s="1894">
        <v>128.80000000000001</v>
      </c>
      <c r="AO83" s="1894">
        <v>148.47999999999999</v>
      </c>
      <c r="AP83" s="1894">
        <v>148.47999999999999</v>
      </c>
      <c r="AQ83" s="1894">
        <v>0.98099999999999998</v>
      </c>
      <c r="AR83" s="1894">
        <v>16.920000000000002</v>
      </c>
      <c r="AS83" s="1894">
        <v>18692</v>
      </c>
      <c r="AT83" s="1894">
        <f t="shared" si="33"/>
        <v>66281</v>
      </c>
      <c r="AU83" s="1894">
        <f t="shared" si="34"/>
        <v>0</v>
      </c>
      <c r="AV83" s="1894">
        <v>128.80000000000001</v>
      </c>
      <c r="AW83" s="1894">
        <v>122.56</v>
      </c>
      <c r="AX83" s="1894">
        <v>122.56</v>
      </c>
      <c r="AY83" s="1894">
        <v>0.98329999999999995</v>
      </c>
      <c r="AZ83" s="1894">
        <v>6.21</v>
      </c>
      <c r="BA83" s="1894">
        <v>5479</v>
      </c>
      <c r="BB83" s="1894">
        <f t="shared" si="35"/>
        <v>52946</v>
      </c>
      <c r="BC83" s="1894">
        <f t="shared" si="36"/>
        <v>0</v>
      </c>
      <c r="BD83" s="1894">
        <v>128.80000000000001</v>
      </c>
      <c r="BE83" s="1894">
        <v>12.64</v>
      </c>
      <c r="BF83" s="1894">
        <v>103.04</v>
      </c>
      <c r="BG83" s="1894">
        <v>1</v>
      </c>
      <c r="BH83" s="1894">
        <v>17.04</v>
      </c>
      <c r="BI83" s="1894">
        <v>1602</v>
      </c>
      <c r="BJ83" s="1894">
        <f t="shared" si="37"/>
        <v>5642</v>
      </c>
      <c r="BK83" s="1894">
        <f t="shared" si="38"/>
        <v>0</v>
      </c>
      <c r="BL83" s="1894">
        <v>128.80000000000001</v>
      </c>
      <c r="BM83" s="1894">
        <v>15.76</v>
      </c>
      <c r="BN83" s="1894">
        <v>103.04</v>
      </c>
      <c r="BO83" s="1894">
        <v>0.998</v>
      </c>
      <c r="BP83" s="1894">
        <v>13.39</v>
      </c>
      <c r="BQ83" s="1894">
        <v>1519</v>
      </c>
      <c r="BR83" s="1894">
        <f t="shared" si="39"/>
        <v>6808</v>
      </c>
      <c r="BS83" s="1894">
        <f t="shared" si="40"/>
        <v>0</v>
      </c>
      <c r="BT83" s="1894">
        <v>128.80000000000001</v>
      </c>
      <c r="BU83" s="1894">
        <v>31.840000000000003</v>
      </c>
      <c r="BV83" s="1894">
        <v>103.04</v>
      </c>
      <c r="BW83" s="1894">
        <v>0.9778</v>
      </c>
      <c r="BX83" s="1894">
        <v>7.23</v>
      </c>
      <c r="BY83" s="1894">
        <v>1713</v>
      </c>
      <c r="BZ83" s="1894">
        <f t="shared" si="41"/>
        <v>14213</v>
      </c>
      <c r="CA83" s="1894">
        <f t="shared" si="42"/>
        <v>0</v>
      </c>
      <c r="CB83" s="1894">
        <v>128.80000000000001</v>
      </c>
      <c r="CC83" s="1894">
        <v>126.08</v>
      </c>
      <c r="CD83" s="1894">
        <v>126.08</v>
      </c>
      <c r="CE83" s="1894">
        <v>0.97829999999999995</v>
      </c>
      <c r="CF83" s="1894">
        <v>16.420000000000002</v>
      </c>
      <c r="CG83" s="1894">
        <v>15404</v>
      </c>
      <c r="CH83" s="1894">
        <f t="shared" si="43"/>
        <v>56282</v>
      </c>
      <c r="CI83" s="1894">
        <f t="shared" si="44"/>
        <v>0</v>
      </c>
      <c r="CJ83" s="1894">
        <v>128.80000000000001</v>
      </c>
      <c r="CK83" s="1894">
        <v>147.36000000000001</v>
      </c>
      <c r="CL83" s="1894">
        <v>147.36000000000001</v>
      </c>
      <c r="CM83" s="1894">
        <v>0.97670000000000001</v>
      </c>
      <c r="CN83" s="1894">
        <v>50.63</v>
      </c>
      <c r="CO83" s="1894">
        <v>50133</v>
      </c>
      <c r="CP83" s="1894">
        <f t="shared" si="45"/>
        <v>59416</v>
      </c>
      <c r="CQ83" s="1894">
        <f t="shared" si="46"/>
        <v>0</v>
      </c>
      <c r="CR83" s="1924">
        <v>128.80000000000001</v>
      </c>
      <c r="CS83" s="1924">
        <v>134.24</v>
      </c>
      <c r="CT83" s="1924">
        <v>134.24</v>
      </c>
      <c r="CU83" s="1924">
        <v>0.97199999999999998</v>
      </c>
      <c r="CV83" s="1924">
        <v>50.58</v>
      </c>
      <c r="CW83" s="1924">
        <v>50512</v>
      </c>
      <c r="CX83" s="1894">
        <f t="shared" si="47"/>
        <v>59925</v>
      </c>
      <c r="CY83" s="1894">
        <f t="shared" si="48"/>
        <v>0</v>
      </c>
    </row>
    <row r="84" spans="1:103">
      <c r="A84" s="982">
        <v>615000000016</v>
      </c>
      <c r="B84" s="1923">
        <f t="shared" si="49"/>
        <v>78</v>
      </c>
      <c r="C84" s="1895" t="s">
        <v>3635</v>
      </c>
      <c r="D84" s="1894" t="s">
        <v>2930</v>
      </c>
      <c r="E84" s="1895" t="s">
        <v>541</v>
      </c>
      <c r="F84" s="1894" t="s">
        <v>259</v>
      </c>
      <c r="G84" s="1894">
        <v>129</v>
      </c>
      <c r="H84" s="1894">
        <v>129</v>
      </c>
      <c r="I84" s="1894">
        <v>54.3</v>
      </c>
      <c r="J84" s="1894">
        <v>103.2</v>
      </c>
      <c r="K84" s="1894">
        <v>0.89670000000000005</v>
      </c>
      <c r="L84" s="1894">
        <v>10.35</v>
      </c>
      <c r="M84" s="1925">
        <v>4045</v>
      </c>
      <c r="N84" s="1894">
        <f t="shared" si="27"/>
        <v>23458</v>
      </c>
      <c r="O84" s="1894">
        <f t="shared" si="28"/>
        <v>0</v>
      </c>
      <c r="P84" s="1894">
        <v>129</v>
      </c>
      <c r="Q84" s="1894">
        <v>53.1</v>
      </c>
      <c r="R84" s="1894">
        <v>103.2</v>
      </c>
      <c r="S84" s="1894">
        <v>0.84770000000000001</v>
      </c>
      <c r="T84" s="1894">
        <v>13.23</v>
      </c>
      <c r="U84" s="1894">
        <v>5225</v>
      </c>
      <c r="V84" s="1894">
        <f t="shared" si="29"/>
        <v>23704</v>
      </c>
      <c r="W84" s="1894">
        <f t="shared" si="30"/>
        <v>0</v>
      </c>
      <c r="X84" s="1894">
        <v>0</v>
      </c>
      <c r="Y84" s="1894">
        <v>0</v>
      </c>
      <c r="Z84" s="1894">
        <v>0</v>
      </c>
      <c r="AA84" s="1894">
        <v>0</v>
      </c>
      <c r="AB84" s="1894">
        <v>0</v>
      </c>
      <c r="AC84" s="1894">
        <v>0</v>
      </c>
      <c r="AD84" s="1894">
        <f t="shared" si="31"/>
        <v>0</v>
      </c>
      <c r="AE84" s="1894">
        <f t="shared" si="32"/>
        <v>0</v>
      </c>
      <c r="AF84" s="1894">
        <v>0</v>
      </c>
      <c r="AG84" s="1894">
        <v>0</v>
      </c>
      <c r="AH84" s="1894">
        <v>0</v>
      </c>
      <c r="AI84" s="1894">
        <v>0</v>
      </c>
      <c r="AJ84" s="1894">
        <v>0</v>
      </c>
      <c r="AK84" s="1894">
        <v>0</v>
      </c>
      <c r="AL84" s="1894">
        <v>152455</v>
      </c>
      <c r="AM84" s="1894">
        <v>0</v>
      </c>
      <c r="AN84" s="1894">
        <v>0</v>
      </c>
      <c r="AO84" s="1894">
        <v>0</v>
      </c>
      <c r="AP84" s="1894">
        <v>0</v>
      </c>
      <c r="AQ84" s="1894">
        <v>0</v>
      </c>
      <c r="AR84" s="1894">
        <v>0</v>
      </c>
      <c r="AS84" s="1894">
        <v>0</v>
      </c>
      <c r="AT84" s="1894">
        <f t="shared" si="33"/>
        <v>0</v>
      </c>
      <c r="AU84" s="1894">
        <f t="shared" si="34"/>
        <v>0</v>
      </c>
      <c r="AV84" s="1894">
        <v>0</v>
      </c>
      <c r="AW84" s="1894">
        <v>0</v>
      </c>
      <c r="AX84" s="1894">
        <v>0</v>
      </c>
      <c r="AY84" s="1894">
        <v>0</v>
      </c>
      <c r="AZ84" s="1894">
        <v>0</v>
      </c>
      <c r="BA84" s="1894">
        <v>0</v>
      </c>
      <c r="BB84" s="1894">
        <f t="shared" si="35"/>
        <v>0</v>
      </c>
      <c r="BC84" s="1894">
        <f t="shared" si="36"/>
        <v>0</v>
      </c>
      <c r="BD84" s="1894">
        <v>0</v>
      </c>
      <c r="BE84" s="1894">
        <v>0</v>
      </c>
      <c r="BF84" s="1894">
        <v>0</v>
      </c>
      <c r="BG84" s="1894">
        <v>0</v>
      </c>
      <c r="BH84" s="1894">
        <v>0</v>
      </c>
      <c r="BI84" s="1894">
        <v>0</v>
      </c>
      <c r="BJ84" s="1894">
        <f t="shared" si="37"/>
        <v>0</v>
      </c>
      <c r="BK84" s="1894">
        <f t="shared" si="38"/>
        <v>0</v>
      </c>
      <c r="BL84" s="1894">
        <v>0</v>
      </c>
      <c r="BM84" s="1894">
        <v>0</v>
      </c>
      <c r="BN84" s="1894">
        <v>0</v>
      </c>
      <c r="BO84" s="1894">
        <v>0</v>
      </c>
      <c r="BP84" s="1894">
        <v>0</v>
      </c>
      <c r="BQ84" s="1894">
        <v>0</v>
      </c>
      <c r="BR84" s="1894">
        <f t="shared" si="39"/>
        <v>0</v>
      </c>
      <c r="BS84" s="1894">
        <f t="shared" si="40"/>
        <v>0</v>
      </c>
      <c r="BT84" s="1894">
        <v>0</v>
      </c>
      <c r="BU84" s="1894">
        <v>0</v>
      </c>
      <c r="BV84" s="1894">
        <v>0</v>
      </c>
      <c r="BW84" s="1894">
        <v>0</v>
      </c>
      <c r="BX84" s="1894">
        <v>0</v>
      </c>
      <c r="BY84" s="1894">
        <v>0</v>
      </c>
      <c r="BZ84" s="1894">
        <f t="shared" si="41"/>
        <v>0</v>
      </c>
      <c r="CA84" s="1894">
        <f t="shared" si="42"/>
        <v>0</v>
      </c>
      <c r="CB84" s="1894">
        <v>0</v>
      </c>
      <c r="CC84" s="1894">
        <v>0</v>
      </c>
      <c r="CD84" s="1894">
        <v>0</v>
      </c>
      <c r="CE84" s="1894">
        <v>0</v>
      </c>
      <c r="CF84" s="1894">
        <v>0</v>
      </c>
      <c r="CG84" s="1894">
        <v>0</v>
      </c>
      <c r="CH84" s="1894">
        <f t="shared" si="43"/>
        <v>0</v>
      </c>
      <c r="CI84" s="1894">
        <f t="shared" si="44"/>
        <v>0</v>
      </c>
      <c r="CJ84" s="1894">
        <v>0</v>
      </c>
      <c r="CK84" s="1894">
        <v>0</v>
      </c>
      <c r="CL84" s="1894">
        <v>0</v>
      </c>
      <c r="CM84" s="1894">
        <v>0</v>
      </c>
      <c r="CN84" s="1894">
        <v>0</v>
      </c>
      <c r="CO84" s="1894">
        <v>0</v>
      </c>
      <c r="CP84" s="1894">
        <f t="shared" si="45"/>
        <v>0</v>
      </c>
      <c r="CQ84" s="1894">
        <f t="shared" si="46"/>
        <v>0</v>
      </c>
      <c r="CR84" s="1894">
        <v>0</v>
      </c>
      <c r="CS84" s="1894">
        <v>0</v>
      </c>
      <c r="CT84" s="1894">
        <v>0</v>
      </c>
      <c r="CU84" s="1894">
        <v>0</v>
      </c>
      <c r="CV84" s="1894">
        <v>0</v>
      </c>
      <c r="CW84" s="1894">
        <v>0</v>
      </c>
      <c r="CX84" s="1894">
        <f t="shared" si="47"/>
        <v>0</v>
      </c>
      <c r="CY84" s="1894">
        <f t="shared" si="48"/>
        <v>0</v>
      </c>
    </row>
    <row r="85" spans="1:103">
      <c r="A85" s="982">
        <v>129000000003</v>
      </c>
      <c r="B85" s="1923">
        <f t="shared" si="49"/>
        <v>79</v>
      </c>
      <c r="C85" s="1895" t="s">
        <v>2981</v>
      </c>
      <c r="D85" s="1894" t="s">
        <v>524</v>
      </c>
      <c r="E85" s="1895" t="s">
        <v>541</v>
      </c>
      <c r="F85" s="1894" t="s">
        <v>259</v>
      </c>
      <c r="G85" s="1924">
        <v>130</v>
      </c>
      <c r="H85" s="1894">
        <v>130</v>
      </c>
      <c r="I85" s="1894">
        <v>148.6</v>
      </c>
      <c r="J85" s="1894">
        <v>148.6</v>
      </c>
      <c r="K85" s="1894">
        <v>0.95930000000000004</v>
      </c>
      <c r="L85" s="1894">
        <v>37.72</v>
      </c>
      <c r="M85" s="1894">
        <v>40355</v>
      </c>
      <c r="N85" s="1894">
        <f t="shared" si="27"/>
        <v>64195</v>
      </c>
      <c r="O85" s="1894">
        <f t="shared" si="28"/>
        <v>0</v>
      </c>
      <c r="P85" s="1894">
        <v>130</v>
      </c>
      <c r="Q85" s="1894">
        <v>136.80000000000001</v>
      </c>
      <c r="R85" s="1894">
        <v>136.80000000000001</v>
      </c>
      <c r="S85" s="1894">
        <v>0.98699999999999999</v>
      </c>
      <c r="T85" s="1894">
        <v>35.03</v>
      </c>
      <c r="U85" s="1894">
        <v>35658</v>
      </c>
      <c r="V85" s="1894">
        <f t="shared" si="29"/>
        <v>61068</v>
      </c>
      <c r="W85" s="1894">
        <f t="shared" si="30"/>
        <v>0</v>
      </c>
      <c r="X85" s="1894">
        <v>130</v>
      </c>
      <c r="Y85" s="1894">
        <v>137.6</v>
      </c>
      <c r="Z85" s="1894">
        <v>137.6</v>
      </c>
      <c r="AA85" s="1894">
        <v>0.9788</v>
      </c>
      <c r="AB85" s="1894">
        <v>27.36</v>
      </c>
      <c r="AC85" s="1894">
        <v>27104</v>
      </c>
      <c r="AD85" s="1894">
        <f t="shared" si="31"/>
        <v>59443</v>
      </c>
      <c r="AE85" s="1894">
        <f t="shared" si="32"/>
        <v>0</v>
      </c>
      <c r="AF85" s="1894">
        <v>130</v>
      </c>
      <c r="AG85" s="1894">
        <v>52.6</v>
      </c>
      <c r="AH85" s="1894">
        <v>104</v>
      </c>
      <c r="AI85" s="1894">
        <v>0.67179999999999995</v>
      </c>
      <c r="AJ85" s="1894">
        <v>4.8099999999999996</v>
      </c>
      <c r="AK85" s="1894">
        <v>1883</v>
      </c>
      <c r="AL85" s="1894">
        <f t="shared" ref="AL85:AL90" si="50">+ROUND((24*31*0.6*AG85),0)</f>
        <v>23481</v>
      </c>
      <c r="AM85" s="1894">
        <f t="shared" ref="AM85:AM90" si="51">+MAX((AK85-AL85),0)</f>
        <v>0</v>
      </c>
      <c r="AN85" s="1894">
        <v>130</v>
      </c>
      <c r="AO85" s="1894">
        <v>6.5600000000000005</v>
      </c>
      <c r="AP85" s="1894">
        <v>104</v>
      </c>
      <c r="AQ85" s="1894">
        <v>0.5071</v>
      </c>
      <c r="AR85" s="1894">
        <v>33.46</v>
      </c>
      <c r="AS85" s="1894">
        <v>1475</v>
      </c>
      <c r="AT85" s="1894">
        <f t="shared" si="33"/>
        <v>2928</v>
      </c>
      <c r="AU85" s="1894">
        <f t="shared" si="34"/>
        <v>0</v>
      </c>
      <c r="AV85" s="1894">
        <v>130</v>
      </c>
      <c r="AW85" s="1894">
        <v>9.1999999999999993</v>
      </c>
      <c r="AX85" s="1894">
        <v>104</v>
      </c>
      <c r="AY85" s="1894">
        <v>0.57279999999999998</v>
      </c>
      <c r="AZ85" s="1894">
        <v>24.14</v>
      </c>
      <c r="BA85" s="1894">
        <v>1386</v>
      </c>
      <c r="BB85" s="1894">
        <f t="shared" si="35"/>
        <v>3974</v>
      </c>
      <c r="BC85" s="1894">
        <f t="shared" si="36"/>
        <v>0</v>
      </c>
      <c r="BD85" s="1894">
        <v>130</v>
      </c>
      <c r="BE85" s="1894">
        <v>5.6000000000000005</v>
      </c>
      <c r="BF85" s="1894">
        <v>104</v>
      </c>
      <c r="BG85" s="1894">
        <v>0.4945</v>
      </c>
      <c r="BH85" s="1894">
        <v>44.62</v>
      </c>
      <c r="BI85" s="1894">
        <v>2279</v>
      </c>
      <c r="BJ85" s="1894">
        <f t="shared" si="37"/>
        <v>2500</v>
      </c>
      <c r="BK85" s="1894">
        <f t="shared" si="38"/>
        <v>0</v>
      </c>
      <c r="BL85" s="1894">
        <v>130</v>
      </c>
      <c r="BM85" s="1894">
        <v>13.200000000000001</v>
      </c>
      <c r="BN85" s="1894">
        <v>104</v>
      </c>
      <c r="BO85" s="1894">
        <v>0.39329999999999998</v>
      </c>
      <c r="BP85" s="1894">
        <v>24.32</v>
      </c>
      <c r="BQ85" s="1894">
        <v>2311</v>
      </c>
      <c r="BR85" s="1894">
        <f t="shared" si="39"/>
        <v>5702</v>
      </c>
      <c r="BS85" s="1894">
        <f t="shared" si="40"/>
        <v>0</v>
      </c>
      <c r="BT85" s="1894">
        <v>130</v>
      </c>
      <c r="BU85" s="1894">
        <v>29.4</v>
      </c>
      <c r="BV85" s="1894">
        <v>104</v>
      </c>
      <c r="BW85" s="1894">
        <v>0.47589999999999999</v>
      </c>
      <c r="BX85" s="1894">
        <v>12.14</v>
      </c>
      <c r="BY85" s="1894">
        <v>2656</v>
      </c>
      <c r="BZ85" s="1894">
        <f t="shared" si="41"/>
        <v>13124</v>
      </c>
      <c r="CA85" s="1894">
        <f t="shared" si="42"/>
        <v>0</v>
      </c>
      <c r="CB85" s="1894">
        <v>130</v>
      </c>
      <c r="CC85" s="1894">
        <v>152.56</v>
      </c>
      <c r="CD85" s="1894">
        <v>152.56</v>
      </c>
      <c r="CE85" s="1894">
        <v>0.97629999999999995</v>
      </c>
      <c r="CF85" s="1894">
        <v>32.08</v>
      </c>
      <c r="CG85" s="1894">
        <v>36408</v>
      </c>
      <c r="CH85" s="1894">
        <f t="shared" si="43"/>
        <v>68103</v>
      </c>
      <c r="CI85" s="1894">
        <f t="shared" si="44"/>
        <v>0</v>
      </c>
      <c r="CJ85" s="1894">
        <v>130</v>
      </c>
      <c r="CK85" s="1894">
        <v>163.12</v>
      </c>
      <c r="CL85" s="1894">
        <v>163.12</v>
      </c>
      <c r="CM85" s="1894">
        <v>0.96609999999999996</v>
      </c>
      <c r="CN85" s="1894">
        <v>41.41</v>
      </c>
      <c r="CO85" s="1894">
        <v>45397</v>
      </c>
      <c r="CP85" s="1894">
        <f t="shared" si="45"/>
        <v>65770</v>
      </c>
      <c r="CQ85" s="1894">
        <f t="shared" si="46"/>
        <v>0</v>
      </c>
      <c r="CR85" s="1924">
        <v>130</v>
      </c>
      <c r="CS85" s="1924">
        <v>143.84</v>
      </c>
      <c r="CT85" s="1924">
        <v>143.84</v>
      </c>
      <c r="CU85" s="1924">
        <v>0.97609999999999997</v>
      </c>
      <c r="CV85" s="1924">
        <v>21.18</v>
      </c>
      <c r="CW85" s="1924">
        <v>22668</v>
      </c>
      <c r="CX85" s="1894">
        <f t="shared" si="47"/>
        <v>64210</v>
      </c>
      <c r="CY85" s="1894">
        <f t="shared" si="48"/>
        <v>0</v>
      </c>
    </row>
    <row r="86" spans="1:103">
      <c r="A86" s="982">
        <v>613000000041</v>
      </c>
      <c r="B86" s="1923">
        <f t="shared" si="49"/>
        <v>80</v>
      </c>
      <c r="C86" s="1895" t="s">
        <v>2982</v>
      </c>
      <c r="D86" s="1894" t="s">
        <v>524</v>
      </c>
      <c r="E86" s="1895" t="s">
        <v>541</v>
      </c>
      <c r="F86" s="1894" t="s">
        <v>259</v>
      </c>
      <c r="G86" s="1924">
        <v>130</v>
      </c>
      <c r="H86" s="1894">
        <v>0</v>
      </c>
      <c r="I86" s="1894">
        <v>0</v>
      </c>
      <c r="J86" s="1894">
        <v>0</v>
      </c>
      <c r="K86" s="1894">
        <v>0</v>
      </c>
      <c r="L86" s="1894">
        <v>0</v>
      </c>
      <c r="M86" s="1894">
        <v>0</v>
      </c>
      <c r="N86" s="1894">
        <f t="shared" si="27"/>
        <v>0</v>
      </c>
      <c r="O86" s="1894">
        <f t="shared" si="28"/>
        <v>0</v>
      </c>
      <c r="P86" s="1894">
        <v>0</v>
      </c>
      <c r="Q86" s="1894">
        <v>0</v>
      </c>
      <c r="R86" s="1894">
        <v>0</v>
      </c>
      <c r="S86" s="1894">
        <v>0</v>
      </c>
      <c r="T86" s="1894">
        <v>0</v>
      </c>
      <c r="U86" s="1894">
        <v>0</v>
      </c>
      <c r="V86" s="1894">
        <f t="shared" si="29"/>
        <v>0</v>
      </c>
      <c r="W86" s="1894">
        <f t="shared" si="30"/>
        <v>0</v>
      </c>
      <c r="X86" s="1894">
        <v>0</v>
      </c>
      <c r="Y86" s="1894">
        <v>0</v>
      </c>
      <c r="Z86" s="1894">
        <v>0</v>
      </c>
      <c r="AA86" s="1894">
        <v>0</v>
      </c>
      <c r="AB86" s="1894">
        <v>0</v>
      </c>
      <c r="AC86" s="1894">
        <v>0</v>
      </c>
      <c r="AD86" s="1894">
        <f t="shared" si="31"/>
        <v>0</v>
      </c>
      <c r="AE86" s="1894">
        <f t="shared" si="32"/>
        <v>0</v>
      </c>
      <c r="AF86" s="1894">
        <v>0</v>
      </c>
      <c r="AG86" s="1894">
        <v>0</v>
      </c>
      <c r="AH86" s="1894">
        <v>0</v>
      </c>
      <c r="AI86" s="1894">
        <v>0</v>
      </c>
      <c r="AJ86" s="1894">
        <v>0</v>
      </c>
      <c r="AK86" s="1894">
        <v>0</v>
      </c>
      <c r="AL86" s="1894">
        <f t="shared" si="50"/>
        <v>0</v>
      </c>
      <c r="AM86" s="1894">
        <f t="shared" si="51"/>
        <v>0</v>
      </c>
      <c r="AN86" s="1894">
        <v>0</v>
      </c>
      <c r="AO86" s="1894">
        <v>0</v>
      </c>
      <c r="AP86" s="1894">
        <v>0</v>
      </c>
      <c r="AQ86" s="1894">
        <v>0</v>
      </c>
      <c r="AR86" s="1894">
        <v>0</v>
      </c>
      <c r="AS86" s="1894">
        <v>0</v>
      </c>
      <c r="AT86" s="1894">
        <f t="shared" si="33"/>
        <v>0</v>
      </c>
      <c r="AU86" s="1894">
        <f t="shared" si="34"/>
        <v>0</v>
      </c>
      <c r="AV86" s="1894">
        <v>0</v>
      </c>
      <c r="AW86" s="1894">
        <v>0</v>
      </c>
      <c r="AX86" s="1894">
        <v>0</v>
      </c>
      <c r="AY86" s="1894">
        <v>0</v>
      </c>
      <c r="AZ86" s="1894">
        <v>0</v>
      </c>
      <c r="BA86" s="1894">
        <v>0</v>
      </c>
      <c r="BB86" s="1894">
        <f t="shared" si="35"/>
        <v>0</v>
      </c>
      <c r="BC86" s="1894">
        <f t="shared" si="36"/>
        <v>0</v>
      </c>
      <c r="BD86" s="1894">
        <v>0</v>
      </c>
      <c r="BE86" s="1894">
        <v>0</v>
      </c>
      <c r="BF86" s="1894">
        <v>0</v>
      </c>
      <c r="BG86" s="1894">
        <v>0</v>
      </c>
      <c r="BH86" s="1894">
        <v>0</v>
      </c>
      <c r="BI86" s="1894">
        <v>0</v>
      </c>
      <c r="BJ86" s="1894">
        <f t="shared" si="37"/>
        <v>0</v>
      </c>
      <c r="BK86" s="1894">
        <f t="shared" si="38"/>
        <v>0</v>
      </c>
      <c r="BL86" s="1894">
        <v>0</v>
      </c>
      <c r="BM86" s="1894">
        <v>0</v>
      </c>
      <c r="BN86" s="1894">
        <v>0</v>
      </c>
      <c r="BO86" s="1894">
        <v>0</v>
      </c>
      <c r="BP86" s="1894">
        <v>0</v>
      </c>
      <c r="BQ86" s="1894">
        <v>0</v>
      </c>
      <c r="BR86" s="1894">
        <f t="shared" si="39"/>
        <v>0</v>
      </c>
      <c r="BS86" s="1894">
        <f t="shared" si="40"/>
        <v>0</v>
      </c>
      <c r="BT86" s="1894">
        <v>0</v>
      </c>
      <c r="BU86" s="1894">
        <v>0</v>
      </c>
      <c r="BV86" s="1894">
        <v>0</v>
      </c>
      <c r="BW86" s="1894">
        <v>0</v>
      </c>
      <c r="BX86" s="1894">
        <v>0</v>
      </c>
      <c r="BY86" s="1894">
        <v>0</v>
      </c>
      <c r="BZ86" s="1894">
        <f t="shared" si="41"/>
        <v>0</v>
      </c>
      <c r="CA86" s="1894">
        <f t="shared" si="42"/>
        <v>0</v>
      </c>
      <c r="CB86" s="1894">
        <v>0</v>
      </c>
      <c r="CC86" s="1894">
        <v>0</v>
      </c>
      <c r="CD86" s="1894">
        <v>0</v>
      </c>
      <c r="CE86" s="1894">
        <v>0</v>
      </c>
      <c r="CF86" s="1894">
        <v>0</v>
      </c>
      <c r="CG86" s="1894">
        <v>0</v>
      </c>
      <c r="CH86" s="1894">
        <f t="shared" si="43"/>
        <v>0</v>
      </c>
      <c r="CI86" s="1894">
        <f t="shared" si="44"/>
        <v>0</v>
      </c>
      <c r="CJ86" s="1894">
        <v>0</v>
      </c>
      <c r="CK86" s="1894">
        <v>0</v>
      </c>
      <c r="CL86" s="1894">
        <v>0</v>
      </c>
      <c r="CM86" s="1894">
        <v>0</v>
      </c>
      <c r="CN86" s="1894">
        <v>0</v>
      </c>
      <c r="CO86" s="1894">
        <v>0</v>
      </c>
      <c r="CP86" s="1894">
        <f t="shared" si="45"/>
        <v>0</v>
      </c>
      <c r="CQ86" s="1894">
        <f t="shared" si="46"/>
        <v>0</v>
      </c>
      <c r="CR86" s="1924">
        <v>130</v>
      </c>
      <c r="CS86" s="1924">
        <v>127.8</v>
      </c>
      <c r="CT86" s="1924">
        <v>127.8</v>
      </c>
      <c r="CU86" s="1924">
        <v>0.67020000000000002</v>
      </c>
      <c r="CV86" s="1924">
        <v>10.98</v>
      </c>
      <c r="CW86" s="1924">
        <v>12128</v>
      </c>
      <c r="CX86" s="1894">
        <f t="shared" si="47"/>
        <v>57050</v>
      </c>
      <c r="CY86" s="1894">
        <f t="shared" si="48"/>
        <v>0</v>
      </c>
    </row>
    <row r="87" spans="1:103">
      <c r="A87" s="982">
        <v>621000000040</v>
      </c>
      <c r="B87" s="1923">
        <f t="shared" si="49"/>
        <v>81</v>
      </c>
      <c r="C87" s="1895" t="s">
        <v>2983</v>
      </c>
      <c r="D87" s="1894" t="s">
        <v>524</v>
      </c>
      <c r="E87" s="1895" t="s">
        <v>636</v>
      </c>
      <c r="F87" s="1894" t="s">
        <v>259</v>
      </c>
      <c r="G87" s="1924">
        <v>130</v>
      </c>
      <c r="H87" s="1894">
        <v>130</v>
      </c>
      <c r="I87" s="1894">
        <v>42.32</v>
      </c>
      <c r="J87" s="1894">
        <v>104</v>
      </c>
      <c r="K87" s="1894">
        <v>0.93710000000000004</v>
      </c>
      <c r="L87" s="1894">
        <v>50.57</v>
      </c>
      <c r="M87" s="1894">
        <v>15408</v>
      </c>
      <c r="N87" s="1894">
        <f t="shared" si="27"/>
        <v>18282</v>
      </c>
      <c r="O87" s="1894">
        <f t="shared" si="28"/>
        <v>0</v>
      </c>
      <c r="P87" s="1894">
        <v>130</v>
      </c>
      <c r="Q87" s="1894">
        <v>38.4</v>
      </c>
      <c r="R87" s="1894">
        <v>104</v>
      </c>
      <c r="S87" s="1894">
        <v>0.92220000000000002</v>
      </c>
      <c r="T87" s="1894">
        <v>49.11</v>
      </c>
      <c r="U87" s="1894">
        <v>14031</v>
      </c>
      <c r="V87" s="1894">
        <f t="shared" si="29"/>
        <v>17142</v>
      </c>
      <c r="W87" s="1894">
        <f t="shared" si="30"/>
        <v>0</v>
      </c>
      <c r="X87" s="1894">
        <v>130</v>
      </c>
      <c r="Y87" s="1894">
        <v>41.04</v>
      </c>
      <c r="Z87" s="1894">
        <v>104</v>
      </c>
      <c r="AA87" s="1894">
        <v>0.90129999999999999</v>
      </c>
      <c r="AB87" s="1894">
        <v>45.87</v>
      </c>
      <c r="AC87" s="1894">
        <v>13555</v>
      </c>
      <c r="AD87" s="1894">
        <f t="shared" si="31"/>
        <v>17729</v>
      </c>
      <c r="AE87" s="1894">
        <f t="shared" si="32"/>
        <v>0</v>
      </c>
      <c r="AF87" s="1894">
        <v>130</v>
      </c>
      <c r="AG87" s="1894">
        <v>33.92</v>
      </c>
      <c r="AH87" s="1894">
        <v>104</v>
      </c>
      <c r="AI87" s="1894">
        <v>0.89770000000000005</v>
      </c>
      <c r="AJ87" s="1894">
        <v>46.02</v>
      </c>
      <c r="AK87" s="1894">
        <v>11613</v>
      </c>
      <c r="AL87" s="1894">
        <f t="shared" si="50"/>
        <v>15142</v>
      </c>
      <c r="AM87" s="1894">
        <f t="shared" si="51"/>
        <v>0</v>
      </c>
      <c r="AN87" s="1894">
        <v>130</v>
      </c>
      <c r="AO87" s="1894">
        <v>33.44</v>
      </c>
      <c r="AP87" s="1894">
        <v>104</v>
      </c>
      <c r="AQ87" s="1894">
        <v>0.9073</v>
      </c>
      <c r="AR87" s="1894">
        <v>45.95</v>
      </c>
      <c r="AS87" s="1894">
        <v>11433</v>
      </c>
      <c r="AT87" s="1894">
        <f t="shared" si="33"/>
        <v>14928</v>
      </c>
      <c r="AU87" s="1894">
        <f t="shared" si="34"/>
        <v>0</v>
      </c>
      <c r="AV87" s="1894">
        <v>130</v>
      </c>
      <c r="AW87" s="1894">
        <v>40.08</v>
      </c>
      <c r="AX87" s="1894">
        <v>104</v>
      </c>
      <c r="AY87" s="1894">
        <v>0.91949999999999998</v>
      </c>
      <c r="AZ87" s="1894">
        <v>38.44</v>
      </c>
      <c r="BA87" s="1894">
        <v>11094</v>
      </c>
      <c r="BB87" s="1894">
        <f t="shared" si="35"/>
        <v>17315</v>
      </c>
      <c r="BC87" s="1894">
        <f t="shared" si="36"/>
        <v>0</v>
      </c>
      <c r="BD87" s="1894">
        <v>130</v>
      </c>
      <c r="BE87" s="1894">
        <v>30.72</v>
      </c>
      <c r="BF87" s="1894">
        <v>104</v>
      </c>
      <c r="BG87" s="1894">
        <v>0.91259999999999997</v>
      </c>
      <c r="BH87" s="1894">
        <v>46.27</v>
      </c>
      <c r="BI87" s="1894">
        <v>10575</v>
      </c>
      <c r="BJ87" s="1894">
        <f t="shared" si="37"/>
        <v>13713</v>
      </c>
      <c r="BK87" s="1894">
        <f t="shared" si="38"/>
        <v>0</v>
      </c>
      <c r="BL87" s="1894">
        <v>130</v>
      </c>
      <c r="BM87" s="1894">
        <v>24.4</v>
      </c>
      <c r="BN87" s="1894">
        <v>104</v>
      </c>
      <c r="BO87" s="1894">
        <v>0.91690000000000005</v>
      </c>
      <c r="BP87" s="1894">
        <v>54.31</v>
      </c>
      <c r="BQ87" s="1894">
        <v>9542</v>
      </c>
      <c r="BR87" s="1894">
        <f t="shared" si="39"/>
        <v>10541</v>
      </c>
      <c r="BS87" s="1894">
        <f t="shared" si="40"/>
        <v>0</v>
      </c>
      <c r="BT87" s="1894">
        <v>130</v>
      </c>
      <c r="BU87" s="1894">
        <v>31.04</v>
      </c>
      <c r="BV87" s="1894">
        <v>104</v>
      </c>
      <c r="BW87" s="1894">
        <v>0.92520000000000002</v>
      </c>
      <c r="BX87" s="1894">
        <v>39.5</v>
      </c>
      <c r="BY87" s="1894">
        <v>9122</v>
      </c>
      <c r="BZ87" s="1894">
        <f t="shared" si="41"/>
        <v>13856</v>
      </c>
      <c r="CA87" s="1894">
        <f t="shared" si="42"/>
        <v>0</v>
      </c>
      <c r="CB87" s="1894">
        <v>130</v>
      </c>
      <c r="CC87" s="1894">
        <v>22.08</v>
      </c>
      <c r="CD87" s="1894">
        <v>104</v>
      </c>
      <c r="CE87" s="1894">
        <v>0.92849999999999999</v>
      </c>
      <c r="CF87" s="1894">
        <v>55.22</v>
      </c>
      <c r="CG87" s="1894">
        <v>9072</v>
      </c>
      <c r="CH87" s="1894">
        <f t="shared" si="43"/>
        <v>9857</v>
      </c>
      <c r="CI87" s="1894">
        <f t="shared" si="44"/>
        <v>0</v>
      </c>
      <c r="CJ87" s="1894">
        <v>130</v>
      </c>
      <c r="CK87" s="1894">
        <v>27.92</v>
      </c>
      <c r="CL87" s="1894">
        <v>104</v>
      </c>
      <c r="CM87" s="1894">
        <v>0.92179999999999995</v>
      </c>
      <c r="CN87" s="1894">
        <v>46.8</v>
      </c>
      <c r="CO87" s="1894">
        <v>8781</v>
      </c>
      <c r="CP87" s="1894">
        <f t="shared" si="45"/>
        <v>11257</v>
      </c>
      <c r="CQ87" s="1894">
        <f t="shared" si="46"/>
        <v>0</v>
      </c>
      <c r="CR87" s="1924">
        <v>130</v>
      </c>
      <c r="CS87" s="1924">
        <v>34.160000000000004</v>
      </c>
      <c r="CT87" s="1924">
        <v>104</v>
      </c>
      <c r="CU87" s="1924">
        <v>0.91890000000000005</v>
      </c>
      <c r="CV87" s="1924">
        <v>43.17</v>
      </c>
      <c r="CW87" s="1924">
        <v>10971</v>
      </c>
      <c r="CX87" s="1894">
        <f t="shared" si="47"/>
        <v>15249</v>
      </c>
      <c r="CY87" s="1894">
        <f t="shared" si="48"/>
        <v>0</v>
      </c>
    </row>
    <row r="88" spans="1:103">
      <c r="A88" s="982">
        <v>122000000061</v>
      </c>
      <c r="B88" s="1923">
        <f t="shared" si="49"/>
        <v>82</v>
      </c>
      <c r="C88" s="1895" t="s">
        <v>2984</v>
      </c>
      <c r="D88" s="1894" t="s">
        <v>524</v>
      </c>
      <c r="E88" s="1895" t="s">
        <v>541</v>
      </c>
      <c r="F88" s="1894" t="s">
        <v>259</v>
      </c>
      <c r="G88" s="1924">
        <v>131</v>
      </c>
      <c r="H88" s="1894">
        <v>131</v>
      </c>
      <c r="I88" s="1894">
        <v>107.1</v>
      </c>
      <c r="J88" s="1894">
        <v>107.1</v>
      </c>
      <c r="K88" s="1894">
        <v>0.82469999999999999</v>
      </c>
      <c r="L88" s="1894">
        <v>40.01</v>
      </c>
      <c r="M88" s="1894">
        <v>35997</v>
      </c>
      <c r="N88" s="1894">
        <f t="shared" si="27"/>
        <v>46267</v>
      </c>
      <c r="O88" s="1894">
        <f t="shared" si="28"/>
        <v>0</v>
      </c>
      <c r="P88" s="1894">
        <v>131</v>
      </c>
      <c r="Q88" s="1894">
        <v>92.88</v>
      </c>
      <c r="R88" s="1894">
        <v>104.8</v>
      </c>
      <c r="S88" s="1894">
        <v>0.81899999999999995</v>
      </c>
      <c r="T88" s="1894">
        <v>41.82</v>
      </c>
      <c r="U88" s="1894">
        <v>26101</v>
      </c>
      <c r="V88" s="1894">
        <f t="shared" si="29"/>
        <v>41462</v>
      </c>
      <c r="W88" s="1894">
        <f t="shared" si="30"/>
        <v>0</v>
      </c>
      <c r="X88" s="1894">
        <v>131</v>
      </c>
      <c r="Y88" s="1894">
        <v>85.199999999999989</v>
      </c>
      <c r="Z88" s="1894">
        <v>104.8</v>
      </c>
      <c r="AA88" s="1894">
        <v>0.77739999999999998</v>
      </c>
      <c r="AB88" s="1894">
        <v>41.37</v>
      </c>
      <c r="AC88" s="1894">
        <v>27914</v>
      </c>
      <c r="AD88" s="1894">
        <f t="shared" si="31"/>
        <v>36806</v>
      </c>
      <c r="AE88" s="1894">
        <f t="shared" si="32"/>
        <v>0</v>
      </c>
      <c r="AF88" s="1894">
        <v>131</v>
      </c>
      <c r="AG88" s="1894">
        <v>83.76</v>
      </c>
      <c r="AH88" s="1894">
        <v>104.8</v>
      </c>
      <c r="AI88" s="1894">
        <v>0.74280000000000002</v>
      </c>
      <c r="AJ88" s="1894">
        <v>40</v>
      </c>
      <c r="AK88" s="1894">
        <v>23319</v>
      </c>
      <c r="AL88" s="1894">
        <f t="shared" si="50"/>
        <v>37390</v>
      </c>
      <c r="AM88" s="1894">
        <f t="shared" si="51"/>
        <v>0</v>
      </c>
      <c r="AN88" s="1894">
        <v>131</v>
      </c>
      <c r="AO88" s="1894">
        <v>84.960000000000008</v>
      </c>
      <c r="AP88" s="1894">
        <v>104.8</v>
      </c>
      <c r="AQ88" s="1894">
        <v>0.79720000000000002</v>
      </c>
      <c r="AR88" s="1894">
        <v>34.1</v>
      </c>
      <c r="AS88" s="1894">
        <v>18771</v>
      </c>
      <c r="AT88" s="1894">
        <f t="shared" si="33"/>
        <v>37926</v>
      </c>
      <c r="AU88" s="1894">
        <f t="shared" si="34"/>
        <v>0</v>
      </c>
      <c r="AV88" s="1894">
        <v>131</v>
      </c>
      <c r="AW88" s="1894">
        <v>86.399999999999991</v>
      </c>
      <c r="AX88" s="1894">
        <v>104.8</v>
      </c>
      <c r="AY88" s="1894">
        <v>0.81420000000000003</v>
      </c>
      <c r="AZ88" s="1894">
        <v>33.81</v>
      </c>
      <c r="BA88" s="1894">
        <v>23136</v>
      </c>
      <c r="BB88" s="1894">
        <f t="shared" si="35"/>
        <v>37325</v>
      </c>
      <c r="BC88" s="1894">
        <f t="shared" si="36"/>
        <v>0</v>
      </c>
      <c r="BD88" s="1894">
        <v>131</v>
      </c>
      <c r="BE88" s="1894">
        <v>106.68</v>
      </c>
      <c r="BF88" s="1894">
        <v>106.68</v>
      </c>
      <c r="BG88" s="1894">
        <v>0.76570000000000005</v>
      </c>
      <c r="BH88" s="1894">
        <v>27.61</v>
      </c>
      <c r="BI88" s="1894">
        <v>24034</v>
      </c>
      <c r="BJ88" s="1894">
        <f t="shared" si="37"/>
        <v>47622</v>
      </c>
      <c r="BK88" s="1894">
        <f t="shared" si="38"/>
        <v>0</v>
      </c>
      <c r="BL88" s="1894">
        <v>131</v>
      </c>
      <c r="BM88" s="1894">
        <v>95.88</v>
      </c>
      <c r="BN88" s="1894">
        <v>104.8</v>
      </c>
      <c r="BO88" s="1894">
        <v>0.69510000000000005</v>
      </c>
      <c r="BP88" s="1894">
        <v>36.520000000000003</v>
      </c>
      <c r="BQ88" s="1894">
        <v>25210</v>
      </c>
      <c r="BR88" s="1894">
        <f t="shared" si="39"/>
        <v>41420</v>
      </c>
      <c r="BS88" s="1894">
        <f t="shared" si="40"/>
        <v>0</v>
      </c>
      <c r="BT88" s="1894">
        <v>131</v>
      </c>
      <c r="BU88" s="1894">
        <v>93.6</v>
      </c>
      <c r="BV88" s="1894">
        <v>104.8</v>
      </c>
      <c r="BW88" s="1894">
        <v>0.6976</v>
      </c>
      <c r="BX88" s="1894">
        <v>37.14</v>
      </c>
      <c r="BY88" s="1894">
        <v>25865</v>
      </c>
      <c r="BZ88" s="1894">
        <f t="shared" si="41"/>
        <v>41783</v>
      </c>
      <c r="CA88" s="1894">
        <f t="shared" si="42"/>
        <v>0</v>
      </c>
      <c r="CB88" s="1894">
        <v>131</v>
      </c>
      <c r="CC88" s="1894">
        <v>90</v>
      </c>
      <c r="CD88" s="1894">
        <v>104.8</v>
      </c>
      <c r="CE88" s="1894">
        <v>0.72240000000000004</v>
      </c>
      <c r="CF88" s="1894">
        <v>28.47</v>
      </c>
      <c r="CG88" s="1894">
        <v>19062</v>
      </c>
      <c r="CH88" s="1894">
        <f t="shared" si="43"/>
        <v>40176</v>
      </c>
      <c r="CI88" s="1894">
        <f t="shared" si="44"/>
        <v>0</v>
      </c>
      <c r="CJ88" s="1894">
        <v>131</v>
      </c>
      <c r="CK88" s="1894">
        <v>98.64</v>
      </c>
      <c r="CL88" s="1894">
        <v>104.8</v>
      </c>
      <c r="CM88" s="1894">
        <v>0.72819999999999996</v>
      </c>
      <c r="CN88" s="1894">
        <v>30.72</v>
      </c>
      <c r="CO88" s="1894">
        <v>20361</v>
      </c>
      <c r="CP88" s="1894">
        <f t="shared" si="45"/>
        <v>39772</v>
      </c>
      <c r="CQ88" s="1894">
        <f t="shared" si="46"/>
        <v>0</v>
      </c>
      <c r="CR88" s="1924">
        <v>131</v>
      </c>
      <c r="CS88" s="1924">
        <v>81.239999999999995</v>
      </c>
      <c r="CT88" s="1924">
        <v>104.8</v>
      </c>
      <c r="CU88" s="1924">
        <v>0.75480000000000003</v>
      </c>
      <c r="CV88" s="1924">
        <v>39.78</v>
      </c>
      <c r="CW88" s="1924">
        <v>24042</v>
      </c>
      <c r="CX88" s="1894">
        <f t="shared" si="47"/>
        <v>36266</v>
      </c>
      <c r="CY88" s="1894">
        <f t="shared" si="48"/>
        <v>0</v>
      </c>
    </row>
    <row r="89" spans="1:103">
      <c r="A89" s="982">
        <v>121000000018</v>
      </c>
      <c r="B89" s="1923">
        <f t="shared" si="49"/>
        <v>83</v>
      </c>
      <c r="C89" s="1895" t="s">
        <v>2985</v>
      </c>
      <c r="D89" s="1894" t="s">
        <v>524</v>
      </c>
      <c r="E89" s="1895" t="s">
        <v>541</v>
      </c>
      <c r="F89" s="1894" t="s">
        <v>232</v>
      </c>
      <c r="G89" s="1924">
        <v>132</v>
      </c>
      <c r="H89" s="1894">
        <v>132</v>
      </c>
      <c r="I89" s="1894">
        <v>95.36</v>
      </c>
      <c r="J89" s="1894">
        <v>105.6</v>
      </c>
      <c r="K89" s="1894">
        <v>0.79479999999999995</v>
      </c>
      <c r="L89" s="1894">
        <v>0</v>
      </c>
      <c r="M89" s="1894">
        <v>23320</v>
      </c>
      <c r="N89" s="1894">
        <f t="shared" si="27"/>
        <v>41196</v>
      </c>
      <c r="O89" s="1894">
        <f t="shared" si="28"/>
        <v>0</v>
      </c>
      <c r="P89" s="1894">
        <v>132</v>
      </c>
      <c r="Q89" s="1894">
        <v>152.79999999999998</v>
      </c>
      <c r="R89" s="1894">
        <v>152.80000000000001</v>
      </c>
      <c r="S89" s="1894">
        <v>0.79459999999999997</v>
      </c>
      <c r="T89" s="1894">
        <v>0</v>
      </c>
      <c r="U89" s="1894">
        <v>27676</v>
      </c>
      <c r="V89" s="1894">
        <f t="shared" si="29"/>
        <v>68210</v>
      </c>
      <c r="W89" s="1894">
        <f t="shared" si="30"/>
        <v>0</v>
      </c>
      <c r="X89" s="1894">
        <v>132</v>
      </c>
      <c r="Y89" s="1894">
        <v>118.56</v>
      </c>
      <c r="Z89" s="1894">
        <v>118.56</v>
      </c>
      <c r="AA89" s="1894">
        <v>0.80020000000000002</v>
      </c>
      <c r="AB89" s="1894">
        <v>0</v>
      </c>
      <c r="AC89" s="1894">
        <v>22692</v>
      </c>
      <c r="AD89" s="1894">
        <f t="shared" si="31"/>
        <v>51218</v>
      </c>
      <c r="AE89" s="1894">
        <f t="shared" si="32"/>
        <v>0</v>
      </c>
      <c r="AF89" s="1894">
        <v>132</v>
      </c>
      <c r="AG89" s="1894">
        <v>111.67999999999999</v>
      </c>
      <c r="AH89" s="1894">
        <v>111.68</v>
      </c>
      <c r="AI89" s="1894">
        <v>0.79239999999999999</v>
      </c>
      <c r="AJ89" s="1894">
        <v>0</v>
      </c>
      <c r="AK89" s="1894">
        <v>18768</v>
      </c>
      <c r="AL89" s="1894">
        <f t="shared" si="50"/>
        <v>49854</v>
      </c>
      <c r="AM89" s="1894">
        <f t="shared" si="51"/>
        <v>0</v>
      </c>
      <c r="AN89" s="1894">
        <v>132</v>
      </c>
      <c r="AO89" s="1894">
        <v>20.48</v>
      </c>
      <c r="AP89" s="1894">
        <v>105.6</v>
      </c>
      <c r="AQ89" s="1894">
        <v>0.99419999999999997</v>
      </c>
      <c r="AR89" s="1894">
        <v>0</v>
      </c>
      <c r="AS89" s="1894">
        <v>1384</v>
      </c>
      <c r="AT89" s="1894">
        <f t="shared" si="33"/>
        <v>9142</v>
      </c>
      <c r="AU89" s="1894">
        <f t="shared" si="34"/>
        <v>0</v>
      </c>
      <c r="AV89" s="1894">
        <v>132</v>
      </c>
      <c r="AW89" s="1894">
        <v>6.879999999999999</v>
      </c>
      <c r="AX89" s="1894">
        <v>105.6</v>
      </c>
      <c r="AY89" s="1894">
        <v>0.99380000000000002</v>
      </c>
      <c r="AZ89" s="1894">
        <v>0</v>
      </c>
      <c r="BA89" s="1894">
        <v>1292</v>
      </c>
      <c r="BB89" s="1894">
        <f t="shared" si="35"/>
        <v>2972</v>
      </c>
      <c r="BC89" s="1894">
        <f t="shared" si="36"/>
        <v>0</v>
      </c>
      <c r="BD89" s="1894">
        <v>132</v>
      </c>
      <c r="BE89" s="1894">
        <v>7.84</v>
      </c>
      <c r="BF89" s="1894">
        <v>105.6</v>
      </c>
      <c r="BG89" s="1894">
        <v>0.97840000000000005</v>
      </c>
      <c r="BH89" s="1894">
        <v>0</v>
      </c>
      <c r="BI89" s="1894">
        <v>1116</v>
      </c>
      <c r="BJ89" s="1894">
        <f t="shared" si="37"/>
        <v>3500</v>
      </c>
      <c r="BK89" s="1894">
        <f t="shared" si="38"/>
        <v>0</v>
      </c>
      <c r="BL89" s="1894">
        <v>132</v>
      </c>
      <c r="BM89" s="1894">
        <v>10.4</v>
      </c>
      <c r="BN89" s="1894">
        <v>105.6</v>
      </c>
      <c r="BO89" s="1894">
        <v>0.97770000000000001</v>
      </c>
      <c r="BP89" s="1894">
        <v>0</v>
      </c>
      <c r="BQ89" s="1894">
        <v>900</v>
      </c>
      <c r="BR89" s="1894">
        <f t="shared" si="39"/>
        <v>4493</v>
      </c>
      <c r="BS89" s="1894">
        <f t="shared" si="40"/>
        <v>0</v>
      </c>
      <c r="BT89" s="1894">
        <v>132</v>
      </c>
      <c r="BU89" s="1894">
        <v>61.44</v>
      </c>
      <c r="BV89" s="1894">
        <v>105.6</v>
      </c>
      <c r="BW89" s="1894">
        <v>0.90510000000000002</v>
      </c>
      <c r="BX89" s="1894">
        <v>0</v>
      </c>
      <c r="BY89" s="1894">
        <v>1560</v>
      </c>
      <c r="BZ89" s="1894">
        <f t="shared" si="41"/>
        <v>27427</v>
      </c>
      <c r="CA89" s="1894">
        <f t="shared" si="42"/>
        <v>0</v>
      </c>
      <c r="CB89" s="1894">
        <v>132</v>
      </c>
      <c r="CC89" s="1894">
        <v>137.12</v>
      </c>
      <c r="CD89" s="1894">
        <v>137.12</v>
      </c>
      <c r="CE89" s="1894">
        <v>0.71689999999999998</v>
      </c>
      <c r="CF89" s="1894">
        <v>0</v>
      </c>
      <c r="CG89" s="1894">
        <v>21408</v>
      </c>
      <c r="CH89" s="1894">
        <f t="shared" si="43"/>
        <v>61210</v>
      </c>
      <c r="CI89" s="1894">
        <f t="shared" si="44"/>
        <v>0</v>
      </c>
      <c r="CJ89" s="1894">
        <v>132</v>
      </c>
      <c r="CK89" s="1894">
        <v>133.44</v>
      </c>
      <c r="CL89" s="1894">
        <v>133.44</v>
      </c>
      <c r="CM89" s="1894">
        <v>0.7077</v>
      </c>
      <c r="CN89" s="1894">
        <v>0</v>
      </c>
      <c r="CO89" s="1894">
        <v>19008</v>
      </c>
      <c r="CP89" s="1894">
        <f t="shared" si="45"/>
        <v>53803</v>
      </c>
      <c r="CQ89" s="1894">
        <f t="shared" si="46"/>
        <v>0</v>
      </c>
      <c r="CR89" s="1924">
        <v>132</v>
      </c>
      <c r="CS89" s="1924">
        <v>124.96000000000001</v>
      </c>
      <c r="CT89" s="1924">
        <v>124.96</v>
      </c>
      <c r="CU89" s="1924">
        <v>0.72189999999999999</v>
      </c>
      <c r="CV89" s="1924">
        <v>0</v>
      </c>
      <c r="CW89" s="1924">
        <v>32124</v>
      </c>
      <c r="CX89" s="1894">
        <f t="shared" si="47"/>
        <v>55782</v>
      </c>
      <c r="CY89" s="1894">
        <f t="shared" si="48"/>
        <v>0</v>
      </c>
    </row>
    <row r="90" spans="1:103">
      <c r="A90" s="982">
        <v>121000000033</v>
      </c>
      <c r="B90" s="1923">
        <f t="shared" si="49"/>
        <v>84</v>
      </c>
      <c r="C90" s="1895" t="s">
        <v>2986</v>
      </c>
      <c r="D90" s="1894" t="s">
        <v>524</v>
      </c>
      <c r="E90" s="1895" t="s">
        <v>541</v>
      </c>
      <c r="F90" s="1894" t="s">
        <v>259</v>
      </c>
      <c r="G90" s="1924">
        <v>132</v>
      </c>
      <c r="H90" s="1894">
        <v>132</v>
      </c>
      <c r="I90" s="1894">
        <v>8.16</v>
      </c>
      <c r="J90" s="1894">
        <v>105.6</v>
      </c>
      <c r="K90" s="1894">
        <v>0.99560000000000004</v>
      </c>
      <c r="L90" s="1894">
        <v>7.81</v>
      </c>
      <c r="M90" s="1894">
        <v>459</v>
      </c>
      <c r="N90" s="1894">
        <f t="shared" si="27"/>
        <v>3525</v>
      </c>
      <c r="O90" s="1894">
        <f t="shared" si="28"/>
        <v>0</v>
      </c>
      <c r="P90" s="1894">
        <v>132</v>
      </c>
      <c r="Q90" s="1894">
        <v>81</v>
      </c>
      <c r="R90" s="1894">
        <v>105.6</v>
      </c>
      <c r="S90" s="1894">
        <v>0.99029999999999996</v>
      </c>
      <c r="T90" s="1894">
        <v>29.22</v>
      </c>
      <c r="U90" s="1894">
        <v>14771</v>
      </c>
      <c r="V90" s="1894">
        <f t="shared" si="29"/>
        <v>36158</v>
      </c>
      <c r="W90" s="1894">
        <f t="shared" si="30"/>
        <v>0</v>
      </c>
      <c r="X90" s="1894">
        <v>132</v>
      </c>
      <c r="Y90" s="1894">
        <v>74.28</v>
      </c>
      <c r="Z90" s="1894">
        <v>105.6</v>
      </c>
      <c r="AA90" s="1894">
        <v>0.98970000000000002</v>
      </c>
      <c r="AB90" s="1894">
        <v>69.59</v>
      </c>
      <c r="AC90" s="1894">
        <v>43418</v>
      </c>
      <c r="AD90" s="1894">
        <f t="shared" si="31"/>
        <v>32089</v>
      </c>
      <c r="AE90" s="1894">
        <f t="shared" si="32"/>
        <v>11329</v>
      </c>
      <c r="AF90" s="1894">
        <v>132</v>
      </c>
      <c r="AG90" s="1894">
        <v>141.24</v>
      </c>
      <c r="AH90" s="1894">
        <v>141.24</v>
      </c>
      <c r="AI90" s="1894">
        <v>0.99319999999999997</v>
      </c>
      <c r="AJ90" s="1894">
        <v>32.42</v>
      </c>
      <c r="AK90" s="1894">
        <v>34069</v>
      </c>
      <c r="AL90" s="1894">
        <f t="shared" si="50"/>
        <v>63050</v>
      </c>
      <c r="AM90" s="1894">
        <f t="shared" si="51"/>
        <v>0</v>
      </c>
      <c r="AN90" s="1894">
        <v>132</v>
      </c>
      <c r="AO90" s="1894">
        <v>95.639999999999986</v>
      </c>
      <c r="AP90" s="1894">
        <v>105.6</v>
      </c>
      <c r="AQ90" s="1894">
        <v>0.9788</v>
      </c>
      <c r="AR90" s="1894">
        <v>35.25</v>
      </c>
      <c r="AS90" s="1894">
        <v>19419</v>
      </c>
      <c r="AT90" s="1894">
        <f t="shared" si="33"/>
        <v>42694</v>
      </c>
      <c r="AU90" s="1894">
        <f t="shared" si="34"/>
        <v>0</v>
      </c>
      <c r="AV90" s="1894">
        <v>132</v>
      </c>
      <c r="AW90" s="1894">
        <v>80.16</v>
      </c>
      <c r="AX90" s="1894">
        <v>105.6</v>
      </c>
      <c r="AY90" s="1894">
        <v>0.99060000000000004</v>
      </c>
      <c r="AZ90" s="1894">
        <v>38.67</v>
      </c>
      <c r="BA90" s="1894">
        <v>25295</v>
      </c>
      <c r="BB90" s="1894">
        <f t="shared" si="35"/>
        <v>34629</v>
      </c>
      <c r="BC90" s="1894">
        <f t="shared" si="36"/>
        <v>0</v>
      </c>
      <c r="BD90" s="1894">
        <v>132</v>
      </c>
      <c r="BE90" s="1894">
        <v>89.76</v>
      </c>
      <c r="BF90" s="1894">
        <v>105.6</v>
      </c>
      <c r="BG90" s="1894">
        <v>0.97840000000000005</v>
      </c>
      <c r="BH90" s="1894">
        <v>32.96</v>
      </c>
      <c r="BI90" s="1894">
        <v>22013</v>
      </c>
      <c r="BJ90" s="1894">
        <f t="shared" si="37"/>
        <v>40069</v>
      </c>
      <c r="BK90" s="1894">
        <f t="shared" si="38"/>
        <v>0</v>
      </c>
      <c r="BL90" s="1894">
        <v>132</v>
      </c>
      <c r="BM90" s="1894">
        <v>77.16</v>
      </c>
      <c r="BN90" s="1894">
        <v>105.6</v>
      </c>
      <c r="BO90" s="1894">
        <v>0.9627</v>
      </c>
      <c r="BP90" s="1894">
        <v>24.88</v>
      </c>
      <c r="BQ90" s="1894">
        <v>14742</v>
      </c>
      <c r="BR90" s="1894">
        <f t="shared" si="39"/>
        <v>33333</v>
      </c>
      <c r="BS90" s="1894">
        <f t="shared" si="40"/>
        <v>0</v>
      </c>
      <c r="BT90" s="1894">
        <v>132</v>
      </c>
      <c r="BU90" s="1894">
        <v>78.720000000000013</v>
      </c>
      <c r="BV90" s="1894">
        <v>105.6</v>
      </c>
      <c r="BW90" s="1894">
        <v>0.92379999999999995</v>
      </c>
      <c r="BX90" s="1894">
        <v>13.26</v>
      </c>
      <c r="BY90" s="1894">
        <v>7764</v>
      </c>
      <c r="BZ90" s="1894">
        <f t="shared" si="41"/>
        <v>35141</v>
      </c>
      <c r="CA90" s="1894">
        <f t="shared" si="42"/>
        <v>0</v>
      </c>
      <c r="CB90" s="1894">
        <v>132</v>
      </c>
      <c r="CC90" s="1894">
        <v>60.12</v>
      </c>
      <c r="CD90" s="1894">
        <v>105.6</v>
      </c>
      <c r="CE90" s="1894">
        <v>0.99880000000000002</v>
      </c>
      <c r="CF90" s="1894">
        <v>12.24</v>
      </c>
      <c r="CG90" s="1894">
        <v>5123</v>
      </c>
      <c r="CH90" s="1894">
        <f t="shared" si="43"/>
        <v>26838</v>
      </c>
      <c r="CI90" s="1894">
        <f t="shared" si="44"/>
        <v>0</v>
      </c>
      <c r="CJ90" s="1894">
        <v>132</v>
      </c>
      <c r="CK90" s="1894">
        <v>56.4</v>
      </c>
      <c r="CL90" s="1894">
        <v>105.6</v>
      </c>
      <c r="CM90" s="1894">
        <v>0.99839999999999995</v>
      </c>
      <c r="CN90" s="1894">
        <v>3.36</v>
      </c>
      <c r="CO90" s="1894">
        <v>1275</v>
      </c>
      <c r="CP90" s="1894">
        <f t="shared" si="45"/>
        <v>22740</v>
      </c>
      <c r="CQ90" s="1894">
        <f t="shared" si="46"/>
        <v>0</v>
      </c>
      <c r="CR90" s="1924">
        <v>132</v>
      </c>
      <c r="CS90" s="1924">
        <v>5.28</v>
      </c>
      <c r="CT90" s="1924">
        <v>105.6</v>
      </c>
      <c r="CU90" s="1924">
        <v>0.9879</v>
      </c>
      <c r="CV90" s="1924">
        <v>13.05</v>
      </c>
      <c r="CW90" s="1924">
        <v>496</v>
      </c>
      <c r="CX90" s="1894">
        <f t="shared" si="47"/>
        <v>2357</v>
      </c>
      <c r="CY90" s="1894">
        <f t="shared" si="48"/>
        <v>0</v>
      </c>
    </row>
    <row r="91" spans="1:103">
      <c r="A91" s="982">
        <v>126000000025</v>
      </c>
      <c r="B91" s="1923">
        <f t="shared" si="49"/>
        <v>85</v>
      </c>
      <c r="C91" s="1895" t="s">
        <v>3636</v>
      </c>
      <c r="D91" s="1894" t="s">
        <v>2930</v>
      </c>
      <c r="E91" s="1895" t="s">
        <v>541</v>
      </c>
      <c r="F91" s="1894" t="s">
        <v>259</v>
      </c>
      <c r="G91" s="1894">
        <v>132</v>
      </c>
      <c r="H91" s="1894">
        <v>132</v>
      </c>
      <c r="I91" s="1894">
        <v>0</v>
      </c>
      <c r="J91" s="1894">
        <v>105.6</v>
      </c>
      <c r="K91" s="1894">
        <v>0</v>
      </c>
      <c r="L91" s="1894">
        <v>0</v>
      </c>
      <c r="M91" s="1925">
        <v>0</v>
      </c>
      <c r="N91" s="1894">
        <f t="shared" si="27"/>
        <v>0</v>
      </c>
      <c r="O91" s="1894">
        <f t="shared" si="28"/>
        <v>0</v>
      </c>
      <c r="P91" s="1894">
        <v>132</v>
      </c>
      <c r="Q91" s="1894">
        <v>0</v>
      </c>
      <c r="R91" s="1894">
        <v>105.6</v>
      </c>
      <c r="S91" s="1894">
        <v>0</v>
      </c>
      <c r="T91" s="1894">
        <v>0</v>
      </c>
      <c r="U91" s="1894">
        <v>0</v>
      </c>
      <c r="V91" s="1894">
        <f t="shared" si="29"/>
        <v>0</v>
      </c>
      <c r="W91" s="1894">
        <f t="shared" si="30"/>
        <v>0</v>
      </c>
      <c r="X91" s="1894">
        <v>132</v>
      </c>
      <c r="Y91" s="1894">
        <v>0</v>
      </c>
      <c r="Z91" s="1894">
        <v>105.6</v>
      </c>
      <c r="AA91" s="1894">
        <v>0</v>
      </c>
      <c r="AB91" s="1894">
        <v>0</v>
      </c>
      <c r="AC91" s="1894">
        <v>0</v>
      </c>
      <c r="AD91" s="1894">
        <f t="shared" si="31"/>
        <v>0</v>
      </c>
      <c r="AE91" s="1894">
        <f t="shared" si="32"/>
        <v>0</v>
      </c>
      <c r="AF91" s="1894">
        <v>132</v>
      </c>
      <c r="AG91" s="1894">
        <v>0</v>
      </c>
      <c r="AH91" s="1894">
        <v>105.6</v>
      </c>
      <c r="AI91" s="1894">
        <v>0</v>
      </c>
      <c r="AJ91" s="1894">
        <v>0</v>
      </c>
      <c r="AK91" s="1894">
        <v>0</v>
      </c>
      <c r="AL91" s="1894">
        <v>0</v>
      </c>
      <c r="AM91" s="1894">
        <v>0</v>
      </c>
      <c r="AN91" s="1894">
        <v>132</v>
      </c>
      <c r="AO91" s="1894">
        <v>0</v>
      </c>
      <c r="AP91" s="1894">
        <v>105.6</v>
      </c>
      <c r="AQ91" s="1894">
        <v>0</v>
      </c>
      <c r="AR91" s="1894">
        <v>0</v>
      </c>
      <c r="AS91" s="1894">
        <v>0</v>
      </c>
      <c r="AT91" s="1894">
        <f t="shared" si="33"/>
        <v>0</v>
      </c>
      <c r="AU91" s="1894">
        <f t="shared" si="34"/>
        <v>0</v>
      </c>
      <c r="AV91" s="1894">
        <v>132</v>
      </c>
      <c r="AW91" s="1894">
        <v>0</v>
      </c>
      <c r="AX91" s="1894">
        <v>105.6</v>
      </c>
      <c r="AY91" s="1894">
        <v>0</v>
      </c>
      <c r="AZ91" s="1894">
        <v>0</v>
      </c>
      <c r="BA91" s="1894">
        <v>0</v>
      </c>
      <c r="BB91" s="1894">
        <f t="shared" si="35"/>
        <v>0</v>
      </c>
      <c r="BC91" s="1894">
        <f t="shared" si="36"/>
        <v>0</v>
      </c>
      <c r="BD91" s="1894">
        <v>132</v>
      </c>
      <c r="BE91" s="1894">
        <v>0</v>
      </c>
      <c r="BF91" s="1894">
        <v>105.6</v>
      </c>
      <c r="BG91" s="1894">
        <v>0</v>
      </c>
      <c r="BH91" s="1894">
        <v>0</v>
      </c>
      <c r="BI91" s="1894">
        <v>0</v>
      </c>
      <c r="BJ91" s="1894">
        <f t="shared" si="37"/>
        <v>0</v>
      </c>
      <c r="BK91" s="1894">
        <f t="shared" si="38"/>
        <v>0</v>
      </c>
      <c r="BL91" s="1894">
        <v>132</v>
      </c>
      <c r="BM91" s="1894">
        <v>0</v>
      </c>
      <c r="BN91" s="1894">
        <v>105.6</v>
      </c>
      <c r="BO91" s="1894">
        <v>0</v>
      </c>
      <c r="BP91" s="1894">
        <v>0</v>
      </c>
      <c r="BQ91" s="1894">
        <v>0</v>
      </c>
      <c r="BR91" s="1894">
        <f t="shared" si="39"/>
        <v>0</v>
      </c>
      <c r="BS91" s="1894">
        <f t="shared" si="40"/>
        <v>0</v>
      </c>
      <c r="BT91" s="1894">
        <v>132</v>
      </c>
      <c r="BU91" s="1894">
        <v>0</v>
      </c>
      <c r="BV91" s="1894">
        <v>105.6</v>
      </c>
      <c r="BW91" s="1894">
        <v>0</v>
      </c>
      <c r="BX91" s="1894">
        <v>0</v>
      </c>
      <c r="BY91" s="1894">
        <v>0</v>
      </c>
      <c r="BZ91" s="1894">
        <f t="shared" si="41"/>
        <v>0</v>
      </c>
      <c r="CA91" s="1894">
        <f t="shared" si="42"/>
        <v>0</v>
      </c>
      <c r="CB91" s="1894">
        <v>132</v>
      </c>
      <c r="CC91" s="1894">
        <v>0</v>
      </c>
      <c r="CD91" s="1894">
        <v>105.6</v>
      </c>
      <c r="CE91" s="1894">
        <v>0</v>
      </c>
      <c r="CF91" s="1894">
        <v>0</v>
      </c>
      <c r="CG91" s="1894">
        <v>0</v>
      </c>
      <c r="CH91" s="1894">
        <f t="shared" si="43"/>
        <v>0</v>
      </c>
      <c r="CI91" s="1894">
        <f t="shared" si="44"/>
        <v>0</v>
      </c>
      <c r="CJ91" s="1894">
        <v>132</v>
      </c>
      <c r="CK91" s="1894">
        <v>0</v>
      </c>
      <c r="CL91" s="1894">
        <v>105.6</v>
      </c>
      <c r="CM91" s="1894">
        <v>0</v>
      </c>
      <c r="CN91" s="1894">
        <v>0</v>
      </c>
      <c r="CO91" s="1894">
        <v>0</v>
      </c>
      <c r="CP91" s="1894">
        <f t="shared" si="45"/>
        <v>0</v>
      </c>
      <c r="CQ91" s="1894">
        <f t="shared" si="46"/>
        <v>0</v>
      </c>
      <c r="CR91" s="1894">
        <v>0</v>
      </c>
      <c r="CS91" s="1894">
        <v>0</v>
      </c>
      <c r="CT91" s="1894">
        <v>0</v>
      </c>
      <c r="CU91" s="1894">
        <v>0</v>
      </c>
      <c r="CV91" s="1894">
        <v>0</v>
      </c>
      <c r="CW91" s="1894">
        <v>0</v>
      </c>
      <c r="CX91" s="1894">
        <f t="shared" si="47"/>
        <v>0</v>
      </c>
      <c r="CY91" s="1894">
        <f t="shared" si="48"/>
        <v>0</v>
      </c>
    </row>
    <row r="92" spans="1:103">
      <c r="A92" s="982">
        <v>121000000088</v>
      </c>
      <c r="B92" s="1923">
        <f t="shared" si="49"/>
        <v>86</v>
      </c>
      <c r="C92" s="1895" t="s">
        <v>2987</v>
      </c>
      <c r="D92" s="1894" t="s">
        <v>524</v>
      </c>
      <c r="E92" s="1895" t="s">
        <v>541</v>
      </c>
      <c r="F92" s="1894" t="s">
        <v>259</v>
      </c>
      <c r="G92" s="1924">
        <v>133</v>
      </c>
      <c r="H92" s="1894">
        <v>133</v>
      </c>
      <c r="I92" s="1894">
        <v>69.199999999999989</v>
      </c>
      <c r="J92" s="1894">
        <v>106.4</v>
      </c>
      <c r="K92" s="1894">
        <v>0.94340000000000002</v>
      </c>
      <c r="L92" s="1894">
        <v>11.42</v>
      </c>
      <c r="M92" s="1894">
        <v>5692</v>
      </c>
      <c r="N92" s="1894">
        <f t="shared" si="27"/>
        <v>29894</v>
      </c>
      <c r="O92" s="1894">
        <f t="shared" si="28"/>
        <v>0</v>
      </c>
      <c r="P92" s="1894">
        <v>133</v>
      </c>
      <c r="Q92" s="1894">
        <v>128</v>
      </c>
      <c r="R92" s="1894">
        <v>128</v>
      </c>
      <c r="S92" s="1894">
        <v>0.99129999999999996</v>
      </c>
      <c r="T92" s="1894">
        <v>22.86</v>
      </c>
      <c r="U92" s="1894">
        <v>20362</v>
      </c>
      <c r="V92" s="1894">
        <f t="shared" si="29"/>
        <v>57139</v>
      </c>
      <c r="W92" s="1894">
        <f t="shared" si="30"/>
        <v>0</v>
      </c>
      <c r="X92" s="1894">
        <v>133</v>
      </c>
      <c r="Y92" s="1894">
        <v>132.16000000000003</v>
      </c>
      <c r="Z92" s="1894">
        <v>132.16</v>
      </c>
      <c r="AA92" s="1894">
        <v>0.98750000000000004</v>
      </c>
      <c r="AB92" s="1894">
        <v>55.65</v>
      </c>
      <c r="AC92" s="1894">
        <v>56486</v>
      </c>
      <c r="AD92" s="1894">
        <f t="shared" si="31"/>
        <v>57093</v>
      </c>
      <c r="AE92" s="1894">
        <f t="shared" si="32"/>
        <v>0</v>
      </c>
      <c r="AF92" s="1894">
        <v>133</v>
      </c>
      <c r="AG92" s="1894">
        <v>132.07999999999998</v>
      </c>
      <c r="AH92" s="1894">
        <v>132.08000000000001</v>
      </c>
      <c r="AI92" s="1894">
        <v>0.99539999999999995</v>
      </c>
      <c r="AJ92" s="1894">
        <v>46.44</v>
      </c>
      <c r="AK92" s="1894">
        <v>45640</v>
      </c>
      <c r="AL92" s="1894">
        <f t="shared" ref="AL92:AL115" si="52">+ROUND((24*31*0.6*AG92),0)</f>
        <v>58961</v>
      </c>
      <c r="AM92" s="1894">
        <f t="shared" ref="AM92:AM115" si="53">+MAX((AK92-AL92),0)</f>
        <v>0</v>
      </c>
      <c r="AN92" s="1894">
        <v>133</v>
      </c>
      <c r="AO92" s="1894">
        <v>76.319999999999993</v>
      </c>
      <c r="AP92" s="1894">
        <v>106.4</v>
      </c>
      <c r="AQ92" s="1894">
        <v>0.99339999999999995</v>
      </c>
      <c r="AR92" s="1894">
        <v>38.75</v>
      </c>
      <c r="AS92" s="1894">
        <v>22002</v>
      </c>
      <c r="AT92" s="1894">
        <f t="shared" si="33"/>
        <v>34069</v>
      </c>
      <c r="AU92" s="1894">
        <f t="shared" si="34"/>
        <v>0</v>
      </c>
      <c r="AV92" s="1894">
        <v>133</v>
      </c>
      <c r="AW92" s="1894">
        <v>75.760000000000005</v>
      </c>
      <c r="AX92" s="1894">
        <v>106.4</v>
      </c>
      <c r="AY92" s="1894">
        <v>0.99299999999999999</v>
      </c>
      <c r="AZ92" s="1894">
        <v>35.89</v>
      </c>
      <c r="BA92" s="1894">
        <v>19578</v>
      </c>
      <c r="BB92" s="1894">
        <f t="shared" si="35"/>
        <v>32728</v>
      </c>
      <c r="BC92" s="1894">
        <f t="shared" si="36"/>
        <v>0</v>
      </c>
      <c r="BD92" s="1894">
        <v>133</v>
      </c>
      <c r="BE92" s="1894">
        <v>76.48</v>
      </c>
      <c r="BF92" s="1894">
        <v>106.4</v>
      </c>
      <c r="BG92" s="1894">
        <v>0.98780000000000001</v>
      </c>
      <c r="BH92" s="1894">
        <v>34.46</v>
      </c>
      <c r="BI92" s="1894">
        <v>19610</v>
      </c>
      <c r="BJ92" s="1894">
        <f t="shared" si="37"/>
        <v>34141</v>
      </c>
      <c r="BK92" s="1894">
        <f t="shared" si="38"/>
        <v>0</v>
      </c>
      <c r="BL92" s="1894">
        <v>133</v>
      </c>
      <c r="BM92" s="1894">
        <v>75.36</v>
      </c>
      <c r="BN92" s="1894">
        <v>106.4</v>
      </c>
      <c r="BO92" s="1894">
        <v>0.9718</v>
      </c>
      <c r="BP92" s="1894">
        <v>25.41</v>
      </c>
      <c r="BQ92" s="1894">
        <v>13786</v>
      </c>
      <c r="BR92" s="1894">
        <f t="shared" si="39"/>
        <v>32556</v>
      </c>
      <c r="BS92" s="1894">
        <f t="shared" si="40"/>
        <v>0</v>
      </c>
      <c r="BT92" s="1894">
        <v>133</v>
      </c>
      <c r="BU92" s="1894">
        <v>5.2</v>
      </c>
      <c r="BV92" s="1894">
        <v>106.4</v>
      </c>
      <c r="BW92" s="1894">
        <v>0.54259999999999997</v>
      </c>
      <c r="BX92" s="1894">
        <v>26.05</v>
      </c>
      <c r="BY92" s="1894">
        <v>1008</v>
      </c>
      <c r="BZ92" s="1894">
        <f t="shared" si="41"/>
        <v>2321</v>
      </c>
      <c r="CA92" s="1894">
        <f t="shared" si="42"/>
        <v>0</v>
      </c>
      <c r="CB92" s="1894">
        <v>133</v>
      </c>
      <c r="CC92" s="1894">
        <v>49.2</v>
      </c>
      <c r="CD92" s="1894">
        <v>106.4</v>
      </c>
      <c r="CE92" s="1894">
        <v>0.58260000000000001</v>
      </c>
      <c r="CF92" s="1894">
        <v>2.61</v>
      </c>
      <c r="CG92" s="1894">
        <v>956</v>
      </c>
      <c r="CH92" s="1894">
        <f t="shared" si="43"/>
        <v>21963</v>
      </c>
      <c r="CI92" s="1894">
        <f t="shared" si="44"/>
        <v>0</v>
      </c>
      <c r="CJ92" s="1894">
        <v>133</v>
      </c>
      <c r="CK92" s="1894">
        <v>2.64</v>
      </c>
      <c r="CL92" s="1894">
        <v>106.4</v>
      </c>
      <c r="CM92" s="1894">
        <v>0.53149999999999997</v>
      </c>
      <c r="CN92" s="1894">
        <v>50.05</v>
      </c>
      <c r="CO92" s="1894">
        <v>888</v>
      </c>
      <c r="CP92" s="1894">
        <f t="shared" si="45"/>
        <v>1064</v>
      </c>
      <c r="CQ92" s="1894">
        <f t="shared" si="46"/>
        <v>0</v>
      </c>
      <c r="CR92" s="1924">
        <v>133</v>
      </c>
      <c r="CS92" s="1924">
        <v>4.16</v>
      </c>
      <c r="CT92" s="1924">
        <v>106.4</v>
      </c>
      <c r="CU92" s="1924">
        <v>0.54249999999999998</v>
      </c>
      <c r="CV92" s="1924">
        <v>26.56</v>
      </c>
      <c r="CW92" s="1924">
        <v>822</v>
      </c>
      <c r="CX92" s="1894">
        <f t="shared" si="47"/>
        <v>1857</v>
      </c>
      <c r="CY92" s="1894">
        <f t="shared" si="48"/>
        <v>0</v>
      </c>
    </row>
    <row r="93" spans="1:103">
      <c r="A93" s="982">
        <v>611000000110</v>
      </c>
      <c r="B93" s="1923">
        <f t="shared" si="49"/>
        <v>87</v>
      </c>
      <c r="C93" s="1895" t="s">
        <v>2988</v>
      </c>
      <c r="D93" s="1894" t="s">
        <v>524</v>
      </c>
      <c r="E93" s="1895" t="s">
        <v>730</v>
      </c>
      <c r="F93" s="1894" t="s">
        <v>259</v>
      </c>
      <c r="G93" s="1924">
        <v>133</v>
      </c>
      <c r="H93" s="1894">
        <v>133</v>
      </c>
      <c r="I93" s="1894">
        <v>111.96</v>
      </c>
      <c r="J93" s="1894">
        <v>111.96</v>
      </c>
      <c r="K93" s="1894">
        <v>0.92149999999999999</v>
      </c>
      <c r="L93" s="1894">
        <v>46.49</v>
      </c>
      <c r="M93" s="1894">
        <v>37476</v>
      </c>
      <c r="N93" s="1894">
        <f t="shared" si="27"/>
        <v>48367</v>
      </c>
      <c r="O93" s="1894">
        <f t="shared" si="28"/>
        <v>0</v>
      </c>
      <c r="P93" s="1894">
        <v>133</v>
      </c>
      <c r="Q93" s="1894">
        <v>114.48</v>
      </c>
      <c r="R93" s="1894">
        <v>114.48</v>
      </c>
      <c r="S93" s="1894">
        <v>0.92179999999999995</v>
      </c>
      <c r="T93" s="1894">
        <v>53.74</v>
      </c>
      <c r="U93" s="1894">
        <v>45768</v>
      </c>
      <c r="V93" s="1894">
        <f t="shared" si="29"/>
        <v>51104</v>
      </c>
      <c r="W93" s="1894">
        <f t="shared" si="30"/>
        <v>0</v>
      </c>
      <c r="X93" s="1894">
        <v>133</v>
      </c>
      <c r="Y93" s="1894">
        <v>114.83999999999999</v>
      </c>
      <c r="Z93" s="1894">
        <v>114.84</v>
      </c>
      <c r="AA93" s="1894">
        <v>0.92020000000000002</v>
      </c>
      <c r="AB93" s="1894">
        <v>31.61</v>
      </c>
      <c r="AC93" s="1894">
        <v>26139</v>
      </c>
      <c r="AD93" s="1894">
        <f t="shared" si="31"/>
        <v>49611</v>
      </c>
      <c r="AE93" s="1894">
        <f t="shared" si="32"/>
        <v>0</v>
      </c>
      <c r="AF93" s="1894">
        <v>133</v>
      </c>
      <c r="AG93" s="1894">
        <v>113.4</v>
      </c>
      <c r="AH93" s="1894">
        <v>113.4</v>
      </c>
      <c r="AI93" s="1894">
        <v>0.91620000000000001</v>
      </c>
      <c r="AJ93" s="1894">
        <v>30.66</v>
      </c>
      <c r="AK93" s="1894">
        <v>25869</v>
      </c>
      <c r="AL93" s="1894">
        <f t="shared" si="52"/>
        <v>50622</v>
      </c>
      <c r="AM93" s="1894">
        <f t="shared" si="53"/>
        <v>0</v>
      </c>
      <c r="AN93" s="1894">
        <v>133</v>
      </c>
      <c r="AO93" s="1894">
        <v>121.68</v>
      </c>
      <c r="AP93" s="1894">
        <v>121.68</v>
      </c>
      <c r="AQ93" s="1894">
        <v>0.91790000000000005</v>
      </c>
      <c r="AR93" s="1894">
        <v>40.26</v>
      </c>
      <c r="AS93" s="1894">
        <v>36446</v>
      </c>
      <c r="AT93" s="1894">
        <f t="shared" si="33"/>
        <v>54318</v>
      </c>
      <c r="AU93" s="1894">
        <f t="shared" si="34"/>
        <v>0</v>
      </c>
      <c r="AV93" s="1894">
        <v>133</v>
      </c>
      <c r="AW93" s="1894">
        <v>112.55999999999999</v>
      </c>
      <c r="AX93" s="1894">
        <v>112.56</v>
      </c>
      <c r="AY93" s="1894">
        <v>0.92010000000000003</v>
      </c>
      <c r="AZ93" s="1894">
        <v>44.76</v>
      </c>
      <c r="BA93" s="1894">
        <v>36271</v>
      </c>
      <c r="BB93" s="1894">
        <f t="shared" si="35"/>
        <v>48626</v>
      </c>
      <c r="BC93" s="1894">
        <f t="shared" si="36"/>
        <v>0</v>
      </c>
      <c r="BD93" s="1894">
        <v>133</v>
      </c>
      <c r="BE93" s="1894">
        <v>115.08</v>
      </c>
      <c r="BF93" s="1894">
        <v>115.08</v>
      </c>
      <c r="BG93" s="1894">
        <v>0.91610000000000003</v>
      </c>
      <c r="BH93" s="1894">
        <v>46.65</v>
      </c>
      <c r="BI93" s="1894">
        <v>39945</v>
      </c>
      <c r="BJ93" s="1894">
        <f t="shared" si="37"/>
        <v>51372</v>
      </c>
      <c r="BK93" s="1894">
        <f t="shared" si="38"/>
        <v>0</v>
      </c>
      <c r="BL93" s="1894">
        <v>133</v>
      </c>
      <c r="BM93" s="1894">
        <v>164.16</v>
      </c>
      <c r="BN93" s="1894">
        <v>164.16</v>
      </c>
      <c r="BO93" s="1894">
        <v>0.91090000000000004</v>
      </c>
      <c r="BP93" s="1894">
        <v>23.65</v>
      </c>
      <c r="BQ93" s="1894">
        <v>27950</v>
      </c>
      <c r="BR93" s="1894">
        <f t="shared" si="39"/>
        <v>70917</v>
      </c>
      <c r="BS93" s="1894">
        <f t="shared" si="40"/>
        <v>0</v>
      </c>
      <c r="BT93" s="1894">
        <v>133</v>
      </c>
      <c r="BU93" s="1894">
        <v>115.32000000000001</v>
      </c>
      <c r="BV93" s="1894">
        <v>115.32</v>
      </c>
      <c r="BW93" s="1894">
        <v>0.91310000000000002</v>
      </c>
      <c r="BX93" s="1894">
        <v>46.6</v>
      </c>
      <c r="BY93" s="1894">
        <v>39984</v>
      </c>
      <c r="BZ93" s="1894">
        <f t="shared" si="41"/>
        <v>51479</v>
      </c>
      <c r="CA93" s="1894">
        <f t="shared" si="42"/>
        <v>0</v>
      </c>
      <c r="CB93" s="1894">
        <v>133</v>
      </c>
      <c r="CC93" s="1894">
        <v>116.64</v>
      </c>
      <c r="CD93" s="1894">
        <v>116.64</v>
      </c>
      <c r="CE93" s="1894">
        <v>0.91649999999999998</v>
      </c>
      <c r="CF93" s="1894">
        <v>60.89</v>
      </c>
      <c r="CG93" s="1894">
        <v>52839</v>
      </c>
      <c r="CH93" s="1894">
        <f t="shared" si="43"/>
        <v>52068</v>
      </c>
      <c r="CI93" s="1894">
        <f t="shared" si="44"/>
        <v>771</v>
      </c>
      <c r="CJ93" s="1894">
        <v>133</v>
      </c>
      <c r="CK93" s="1894">
        <v>156.6</v>
      </c>
      <c r="CL93" s="1894">
        <v>156.6</v>
      </c>
      <c r="CM93" s="1894">
        <v>0.91459999999999997</v>
      </c>
      <c r="CN93" s="1894">
        <v>49.4</v>
      </c>
      <c r="CO93" s="1894">
        <v>51989</v>
      </c>
      <c r="CP93" s="1894">
        <f t="shared" si="45"/>
        <v>63141</v>
      </c>
      <c r="CQ93" s="1894">
        <f t="shared" si="46"/>
        <v>0</v>
      </c>
      <c r="CR93" s="1924">
        <v>133</v>
      </c>
      <c r="CS93" s="1924">
        <v>112.32000000000001</v>
      </c>
      <c r="CT93" s="1924">
        <v>112.32</v>
      </c>
      <c r="CU93" s="1924">
        <v>0.91659999999999997</v>
      </c>
      <c r="CV93" s="1924">
        <v>66.89</v>
      </c>
      <c r="CW93" s="1924">
        <v>55901</v>
      </c>
      <c r="CX93" s="1894">
        <f t="shared" si="47"/>
        <v>50140</v>
      </c>
      <c r="CY93" s="1894">
        <f t="shared" si="48"/>
        <v>5761</v>
      </c>
    </row>
    <row r="94" spans="1:103">
      <c r="A94" s="982">
        <v>121000000089</v>
      </c>
      <c r="B94" s="1923">
        <f t="shared" si="49"/>
        <v>88</v>
      </c>
      <c r="C94" s="1895" t="s">
        <v>2989</v>
      </c>
      <c r="D94" s="1894" t="s">
        <v>524</v>
      </c>
      <c r="E94" s="1895" t="s">
        <v>2966</v>
      </c>
      <c r="F94" s="1894" t="s">
        <v>259</v>
      </c>
      <c r="G94" s="1924">
        <v>133</v>
      </c>
      <c r="H94" s="1894">
        <v>133</v>
      </c>
      <c r="I94" s="1894">
        <v>124.8</v>
      </c>
      <c r="J94" s="1894">
        <v>133</v>
      </c>
      <c r="K94" s="1894">
        <v>0.78720000000000001</v>
      </c>
      <c r="L94" s="1894">
        <v>0</v>
      </c>
      <c r="M94" s="1894">
        <v>25428</v>
      </c>
      <c r="N94" s="1894">
        <f t="shared" si="27"/>
        <v>53914</v>
      </c>
      <c r="O94" s="1894">
        <f t="shared" si="28"/>
        <v>0</v>
      </c>
      <c r="P94" s="1894">
        <v>133</v>
      </c>
      <c r="Q94" s="1894">
        <v>172.64</v>
      </c>
      <c r="R94" s="1894">
        <v>172.64</v>
      </c>
      <c r="S94" s="1894">
        <v>0.85319999999999996</v>
      </c>
      <c r="T94" s="1894">
        <v>0</v>
      </c>
      <c r="U94" s="1894">
        <v>41885</v>
      </c>
      <c r="V94" s="1894">
        <f t="shared" si="29"/>
        <v>77066</v>
      </c>
      <c r="W94" s="1894">
        <f t="shared" si="30"/>
        <v>0</v>
      </c>
      <c r="X94" s="1894">
        <v>133</v>
      </c>
      <c r="Y94" s="1894">
        <v>178.4</v>
      </c>
      <c r="Z94" s="1894">
        <v>178.4</v>
      </c>
      <c r="AA94" s="1894">
        <v>0.83940000000000003</v>
      </c>
      <c r="AB94" s="1894">
        <v>0</v>
      </c>
      <c r="AC94" s="1894">
        <v>55945</v>
      </c>
      <c r="AD94" s="1894">
        <f t="shared" si="31"/>
        <v>77069</v>
      </c>
      <c r="AE94" s="1894">
        <f t="shared" si="32"/>
        <v>0</v>
      </c>
      <c r="AF94" s="1894">
        <v>133</v>
      </c>
      <c r="AG94" s="1894">
        <v>157.12</v>
      </c>
      <c r="AH94" s="1894">
        <v>157.12</v>
      </c>
      <c r="AI94" s="1894">
        <v>0.80449999999999999</v>
      </c>
      <c r="AJ94" s="1894">
        <v>0</v>
      </c>
      <c r="AK94" s="1894">
        <v>28285</v>
      </c>
      <c r="AL94" s="1894">
        <f t="shared" si="52"/>
        <v>70138</v>
      </c>
      <c r="AM94" s="1894">
        <f t="shared" si="53"/>
        <v>0</v>
      </c>
      <c r="AN94" s="1894">
        <v>133</v>
      </c>
      <c r="AO94" s="1894">
        <v>29.12</v>
      </c>
      <c r="AP94" s="1894">
        <v>133</v>
      </c>
      <c r="AQ94" s="1894">
        <v>0.54190000000000005</v>
      </c>
      <c r="AR94" s="1894">
        <v>0</v>
      </c>
      <c r="AS94" s="1894">
        <v>8518</v>
      </c>
      <c r="AT94" s="1894">
        <f t="shared" si="33"/>
        <v>12999</v>
      </c>
      <c r="AU94" s="1894">
        <f t="shared" si="34"/>
        <v>0</v>
      </c>
      <c r="AV94" s="1894">
        <v>133</v>
      </c>
      <c r="AW94" s="1894">
        <v>114.08</v>
      </c>
      <c r="AX94" s="1894">
        <v>133</v>
      </c>
      <c r="AY94" s="1894">
        <v>0.76139999999999997</v>
      </c>
      <c r="AZ94" s="1894">
        <v>0</v>
      </c>
      <c r="BA94" s="1894">
        <v>17881</v>
      </c>
      <c r="BB94" s="1894">
        <f t="shared" si="35"/>
        <v>49283</v>
      </c>
      <c r="BC94" s="1894">
        <f t="shared" si="36"/>
        <v>0</v>
      </c>
      <c r="BD94" s="1894">
        <v>133</v>
      </c>
      <c r="BE94" s="1894">
        <v>141.52000000000001</v>
      </c>
      <c r="BF94" s="1894">
        <v>141.52000000000001</v>
      </c>
      <c r="BG94" s="1894">
        <v>0.76539999999999997</v>
      </c>
      <c r="BH94" s="1894">
        <v>0</v>
      </c>
      <c r="BI94" s="1894">
        <v>22977</v>
      </c>
      <c r="BJ94" s="1894">
        <f t="shared" si="37"/>
        <v>63175</v>
      </c>
      <c r="BK94" s="1894">
        <f t="shared" si="38"/>
        <v>0</v>
      </c>
      <c r="BL94" s="1894">
        <v>133</v>
      </c>
      <c r="BM94" s="1894">
        <v>30.72</v>
      </c>
      <c r="BN94" s="1894">
        <v>133</v>
      </c>
      <c r="BO94" s="1894">
        <v>0.47570000000000001</v>
      </c>
      <c r="BP94" s="1894">
        <v>0</v>
      </c>
      <c r="BQ94" s="1894">
        <v>7607</v>
      </c>
      <c r="BR94" s="1894">
        <f t="shared" si="39"/>
        <v>13271</v>
      </c>
      <c r="BS94" s="1894">
        <f t="shared" si="40"/>
        <v>0</v>
      </c>
      <c r="BT94" s="1894">
        <v>133</v>
      </c>
      <c r="BU94" s="1894">
        <v>24.08</v>
      </c>
      <c r="BV94" s="1894">
        <v>133</v>
      </c>
      <c r="BW94" s="1894">
        <v>0.34649999999999997</v>
      </c>
      <c r="BX94" s="1894">
        <v>0</v>
      </c>
      <c r="BY94" s="1894">
        <v>6538</v>
      </c>
      <c r="BZ94" s="1894">
        <f t="shared" si="41"/>
        <v>10749</v>
      </c>
      <c r="CA94" s="1894">
        <f t="shared" si="42"/>
        <v>0</v>
      </c>
      <c r="CB94" s="1894">
        <v>133</v>
      </c>
      <c r="CC94" s="1894">
        <v>32.96</v>
      </c>
      <c r="CD94" s="1894">
        <v>133</v>
      </c>
      <c r="CE94" s="1894">
        <v>0.35220000000000001</v>
      </c>
      <c r="CF94" s="1894">
        <v>0</v>
      </c>
      <c r="CG94" s="1894">
        <v>7433</v>
      </c>
      <c r="CH94" s="1894">
        <f t="shared" si="43"/>
        <v>14713</v>
      </c>
      <c r="CI94" s="1894">
        <f t="shared" si="44"/>
        <v>0</v>
      </c>
      <c r="CJ94" s="1894">
        <v>133</v>
      </c>
      <c r="CK94" s="1894">
        <v>42.08</v>
      </c>
      <c r="CL94" s="1894">
        <v>133</v>
      </c>
      <c r="CM94" s="1894">
        <v>0.59730000000000005</v>
      </c>
      <c r="CN94" s="1894">
        <v>0</v>
      </c>
      <c r="CO94" s="1894">
        <v>6524</v>
      </c>
      <c r="CP94" s="1894">
        <f t="shared" si="45"/>
        <v>16967</v>
      </c>
      <c r="CQ94" s="1894">
        <f t="shared" si="46"/>
        <v>0</v>
      </c>
      <c r="CR94" s="1924">
        <v>133</v>
      </c>
      <c r="CS94" s="1924">
        <v>78.8</v>
      </c>
      <c r="CT94" s="1924">
        <v>133</v>
      </c>
      <c r="CU94" s="1924">
        <v>0.78480000000000005</v>
      </c>
      <c r="CV94" s="1924">
        <v>0</v>
      </c>
      <c r="CW94" s="1924">
        <v>12943</v>
      </c>
      <c r="CX94" s="1894">
        <f t="shared" si="47"/>
        <v>35176</v>
      </c>
      <c r="CY94" s="1894">
        <f t="shared" si="48"/>
        <v>0</v>
      </c>
    </row>
    <row r="95" spans="1:103">
      <c r="A95" s="982">
        <v>121000000037</v>
      </c>
      <c r="B95" s="1923">
        <f t="shared" si="49"/>
        <v>89</v>
      </c>
      <c r="C95" s="1895" t="s">
        <v>2990</v>
      </c>
      <c r="D95" s="1894" t="s">
        <v>524</v>
      </c>
      <c r="E95" s="1895" t="s">
        <v>636</v>
      </c>
      <c r="F95" s="1894" t="s">
        <v>259</v>
      </c>
      <c r="G95" s="1924">
        <v>133</v>
      </c>
      <c r="H95" s="1894">
        <v>133</v>
      </c>
      <c r="I95" s="1894">
        <v>89.92</v>
      </c>
      <c r="J95" s="1894">
        <v>106.4</v>
      </c>
      <c r="K95" s="1894">
        <v>0.99450000000000005</v>
      </c>
      <c r="L95" s="1894">
        <v>32.549999999999997</v>
      </c>
      <c r="M95" s="1894">
        <v>21074</v>
      </c>
      <c r="N95" s="1894">
        <f t="shared" si="27"/>
        <v>38845</v>
      </c>
      <c r="O95" s="1894">
        <f t="shared" si="28"/>
        <v>0</v>
      </c>
      <c r="P95" s="1894">
        <v>133</v>
      </c>
      <c r="Q95" s="1894">
        <v>83.2</v>
      </c>
      <c r="R95" s="1894">
        <v>106.4</v>
      </c>
      <c r="S95" s="1894">
        <v>0.99360000000000004</v>
      </c>
      <c r="T95" s="1894">
        <v>35.83</v>
      </c>
      <c r="U95" s="1894">
        <v>22179</v>
      </c>
      <c r="V95" s="1894">
        <f t="shared" si="29"/>
        <v>37140</v>
      </c>
      <c r="W95" s="1894">
        <f t="shared" si="30"/>
        <v>0</v>
      </c>
      <c r="X95" s="1894">
        <v>133</v>
      </c>
      <c r="Y95" s="1894">
        <v>83.44</v>
      </c>
      <c r="Z95" s="1894">
        <v>106.4</v>
      </c>
      <c r="AA95" s="1894">
        <v>0.99439999999999995</v>
      </c>
      <c r="AB95" s="1894">
        <v>35.06</v>
      </c>
      <c r="AC95" s="1894">
        <v>21063</v>
      </c>
      <c r="AD95" s="1894">
        <f t="shared" si="31"/>
        <v>36046</v>
      </c>
      <c r="AE95" s="1894">
        <f t="shared" si="32"/>
        <v>0</v>
      </c>
      <c r="AF95" s="1894">
        <v>133</v>
      </c>
      <c r="AG95" s="1894">
        <v>74.88</v>
      </c>
      <c r="AH95" s="1894">
        <v>106.4</v>
      </c>
      <c r="AI95" s="1894">
        <v>0.98970000000000002</v>
      </c>
      <c r="AJ95" s="1894">
        <v>34.96</v>
      </c>
      <c r="AK95" s="1894">
        <v>19479</v>
      </c>
      <c r="AL95" s="1894">
        <f t="shared" si="52"/>
        <v>33426</v>
      </c>
      <c r="AM95" s="1894">
        <f t="shared" si="53"/>
        <v>0</v>
      </c>
      <c r="AN95" s="1894">
        <v>133</v>
      </c>
      <c r="AO95" s="1894">
        <v>76.48</v>
      </c>
      <c r="AP95" s="1894">
        <v>106.4</v>
      </c>
      <c r="AQ95" s="1894">
        <v>0.97489999999999999</v>
      </c>
      <c r="AR95" s="1894">
        <v>32.86</v>
      </c>
      <c r="AS95" s="1894">
        <v>18699</v>
      </c>
      <c r="AT95" s="1894">
        <f t="shared" si="33"/>
        <v>34141</v>
      </c>
      <c r="AU95" s="1894">
        <f t="shared" si="34"/>
        <v>0</v>
      </c>
      <c r="AV95" s="1894">
        <v>133</v>
      </c>
      <c r="AW95" s="1894">
        <v>87.2</v>
      </c>
      <c r="AX95" s="1894">
        <v>106.4</v>
      </c>
      <c r="AY95" s="1894">
        <v>0.97150000000000003</v>
      </c>
      <c r="AZ95" s="1894">
        <v>33.630000000000003</v>
      </c>
      <c r="BA95" s="1894">
        <v>21116</v>
      </c>
      <c r="BB95" s="1894">
        <f t="shared" si="35"/>
        <v>37670</v>
      </c>
      <c r="BC95" s="1894">
        <f t="shared" si="36"/>
        <v>0</v>
      </c>
      <c r="BD95" s="1894">
        <v>133</v>
      </c>
      <c r="BE95" s="1894">
        <v>74.08</v>
      </c>
      <c r="BF95" s="1894">
        <v>106.4</v>
      </c>
      <c r="BG95" s="1894">
        <v>0.96640000000000004</v>
      </c>
      <c r="BH95" s="1894">
        <v>33.340000000000003</v>
      </c>
      <c r="BI95" s="1894">
        <v>18378</v>
      </c>
      <c r="BJ95" s="1894">
        <f t="shared" si="37"/>
        <v>33069</v>
      </c>
      <c r="BK95" s="1894">
        <f t="shared" si="38"/>
        <v>0</v>
      </c>
      <c r="BL95" s="1894">
        <v>133</v>
      </c>
      <c r="BM95" s="1894">
        <v>58.08</v>
      </c>
      <c r="BN95" s="1894">
        <v>106.4</v>
      </c>
      <c r="BO95" s="1894">
        <v>0.95450000000000002</v>
      </c>
      <c r="BP95" s="1894">
        <v>31.73</v>
      </c>
      <c r="BQ95" s="1894">
        <v>13267</v>
      </c>
      <c r="BR95" s="1894">
        <f t="shared" si="39"/>
        <v>25091</v>
      </c>
      <c r="BS95" s="1894">
        <f t="shared" si="40"/>
        <v>0</v>
      </c>
      <c r="BT95" s="1894">
        <v>133</v>
      </c>
      <c r="BU95" s="1894">
        <v>40.32</v>
      </c>
      <c r="BV95" s="1894">
        <v>106.4</v>
      </c>
      <c r="BW95" s="1894">
        <v>0.91810000000000003</v>
      </c>
      <c r="BX95" s="1894">
        <v>38.14</v>
      </c>
      <c r="BY95" s="1894">
        <v>11442</v>
      </c>
      <c r="BZ95" s="1894">
        <f t="shared" si="41"/>
        <v>17999</v>
      </c>
      <c r="CA95" s="1894">
        <f t="shared" si="42"/>
        <v>0</v>
      </c>
      <c r="CB95" s="1894">
        <v>133</v>
      </c>
      <c r="CC95" s="1894">
        <v>40.479999999999997</v>
      </c>
      <c r="CD95" s="1894">
        <v>106.4</v>
      </c>
      <c r="CE95" s="1894">
        <v>0.90659999999999996</v>
      </c>
      <c r="CF95" s="1894">
        <v>40.28</v>
      </c>
      <c r="CG95" s="1894">
        <v>12131</v>
      </c>
      <c r="CH95" s="1894">
        <f t="shared" si="43"/>
        <v>18070</v>
      </c>
      <c r="CI95" s="1894">
        <f t="shared" si="44"/>
        <v>0</v>
      </c>
      <c r="CJ95" s="1894">
        <v>133</v>
      </c>
      <c r="CK95" s="1894">
        <v>69.36</v>
      </c>
      <c r="CL95" s="1894">
        <v>106.4</v>
      </c>
      <c r="CM95" s="1894">
        <v>0.9264</v>
      </c>
      <c r="CN95" s="1894">
        <v>30.09</v>
      </c>
      <c r="CO95" s="1894">
        <v>14023</v>
      </c>
      <c r="CP95" s="1894">
        <f t="shared" si="45"/>
        <v>27966</v>
      </c>
      <c r="CQ95" s="1894">
        <f t="shared" si="46"/>
        <v>0</v>
      </c>
      <c r="CR95" s="1924">
        <v>133</v>
      </c>
      <c r="CS95" s="1924">
        <v>76.8</v>
      </c>
      <c r="CT95" s="1924">
        <v>106.4</v>
      </c>
      <c r="CU95" s="1924">
        <v>0.94389999999999996</v>
      </c>
      <c r="CV95" s="1924">
        <v>33.700000000000003</v>
      </c>
      <c r="CW95" s="1924">
        <v>19255</v>
      </c>
      <c r="CX95" s="1894">
        <f t="shared" si="47"/>
        <v>34284</v>
      </c>
      <c r="CY95" s="1894">
        <f t="shared" si="48"/>
        <v>0</v>
      </c>
    </row>
    <row r="96" spans="1:103">
      <c r="A96" s="982">
        <v>124000000023</v>
      </c>
      <c r="B96" s="1923">
        <f t="shared" si="49"/>
        <v>90</v>
      </c>
      <c r="C96" s="1895" t="s">
        <v>2991</v>
      </c>
      <c r="D96" s="1894" t="s">
        <v>524</v>
      </c>
      <c r="E96" s="1895" t="s">
        <v>737</v>
      </c>
      <c r="F96" s="1894" t="s">
        <v>259</v>
      </c>
      <c r="G96" s="1924">
        <v>133</v>
      </c>
      <c r="H96" s="1894">
        <v>133</v>
      </c>
      <c r="I96" s="1894">
        <v>160.24</v>
      </c>
      <c r="J96" s="1894">
        <v>160.24</v>
      </c>
      <c r="K96" s="1894">
        <v>0.99719999999999998</v>
      </c>
      <c r="L96" s="1894">
        <v>40.17</v>
      </c>
      <c r="M96" s="1894">
        <v>46345</v>
      </c>
      <c r="N96" s="1894">
        <f t="shared" si="27"/>
        <v>69224</v>
      </c>
      <c r="O96" s="1894">
        <f t="shared" si="28"/>
        <v>0</v>
      </c>
      <c r="P96" s="1894">
        <v>133</v>
      </c>
      <c r="Q96" s="1894">
        <v>144.4</v>
      </c>
      <c r="R96" s="1894">
        <v>144.4</v>
      </c>
      <c r="S96" s="1894">
        <v>0.997</v>
      </c>
      <c r="T96" s="1894">
        <v>41.67</v>
      </c>
      <c r="U96" s="1894">
        <v>44763</v>
      </c>
      <c r="V96" s="1894">
        <f t="shared" si="29"/>
        <v>64460</v>
      </c>
      <c r="W96" s="1894">
        <f t="shared" si="30"/>
        <v>0</v>
      </c>
      <c r="X96" s="1894">
        <v>133</v>
      </c>
      <c r="Y96" s="1894">
        <v>155.20000000000002</v>
      </c>
      <c r="Z96" s="1894">
        <v>155.19999999999999</v>
      </c>
      <c r="AA96" s="1894">
        <v>0.99660000000000004</v>
      </c>
      <c r="AB96" s="1894">
        <v>38.64</v>
      </c>
      <c r="AC96" s="1894">
        <v>43182</v>
      </c>
      <c r="AD96" s="1894">
        <f t="shared" si="31"/>
        <v>67046</v>
      </c>
      <c r="AE96" s="1894">
        <f t="shared" si="32"/>
        <v>0</v>
      </c>
      <c r="AF96" s="1894">
        <v>133</v>
      </c>
      <c r="AG96" s="1894">
        <v>145.12</v>
      </c>
      <c r="AH96" s="1894">
        <v>145.12</v>
      </c>
      <c r="AI96" s="1894">
        <v>0.99650000000000005</v>
      </c>
      <c r="AJ96" s="1894">
        <v>38.770000000000003</v>
      </c>
      <c r="AK96" s="1894">
        <v>41856</v>
      </c>
      <c r="AL96" s="1894">
        <f t="shared" si="52"/>
        <v>64782</v>
      </c>
      <c r="AM96" s="1894">
        <f t="shared" si="53"/>
        <v>0</v>
      </c>
      <c r="AN96" s="1894">
        <v>133</v>
      </c>
      <c r="AO96" s="1894">
        <v>135.20000000000002</v>
      </c>
      <c r="AP96" s="1894">
        <v>135.19999999999999</v>
      </c>
      <c r="AQ96" s="1894">
        <v>0.99609999999999999</v>
      </c>
      <c r="AR96" s="1894">
        <v>41.03</v>
      </c>
      <c r="AS96" s="1894">
        <v>41273</v>
      </c>
      <c r="AT96" s="1894">
        <f t="shared" si="33"/>
        <v>60353</v>
      </c>
      <c r="AU96" s="1894">
        <f t="shared" si="34"/>
        <v>0</v>
      </c>
      <c r="AV96" s="1894">
        <v>133</v>
      </c>
      <c r="AW96" s="1894">
        <v>154.96</v>
      </c>
      <c r="AX96" s="1894">
        <v>154.96</v>
      </c>
      <c r="AY96" s="1894">
        <v>0.99719999999999998</v>
      </c>
      <c r="AZ96" s="1894">
        <v>37.43</v>
      </c>
      <c r="BA96" s="1894">
        <v>33413</v>
      </c>
      <c r="BB96" s="1894">
        <f t="shared" si="35"/>
        <v>66943</v>
      </c>
      <c r="BC96" s="1894">
        <f t="shared" si="36"/>
        <v>0</v>
      </c>
      <c r="BD96" s="1894">
        <v>133</v>
      </c>
      <c r="BE96" s="1894">
        <v>130</v>
      </c>
      <c r="BF96" s="1894">
        <v>130</v>
      </c>
      <c r="BG96" s="1894">
        <v>0.99609999999999999</v>
      </c>
      <c r="BH96" s="1894">
        <v>38.770000000000003</v>
      </c>
      <c r="BI96" s="1894">
        <v>38708</v>
      </c>
      <c r="BJ96" s="1894">
        <f t="shared" si="37"/>
        <v>58032</v>
      </c>
      <c r="BK96" s="1894">
        <f t="shared" si="38"/>
        <v>0</v>
      </c>
      <c r="BL96" s="1894">
        <v>133</v>
      </c>
      <c r="BM96" s="1894">
        <v>80.47999999999999</v>
      </c>
      <c r="BN96" s="1894">
        <v>106.4</v>
      </c>
      <c r="BO96" s="1894">
        <v>0.99309999999999998</v>
      </c>
      <c r="BP96" s="1894">
        <v>41.8</v>
      </c>
      <c r="BQ96" s="1894">
        <v>25027</v>
      </c>
      <c r="BR96" s="1894">
        <f t="shared" si="39"/>
        <v>34767</v>
      </c>
      <c r="BS96" s="1894">
        <f t="shared" si="40"/>
        <v>0</v>
      </c>
      <c r="BT96" s="1894">
        <v>133</v>
      </c>
      <c r="BU96" s="1894">
        <v>42.4</v>
      </c>
      <c r="BV96" s="1894">
        <v>106.4</v>
      </c>
      <c r="BW96" s="1894">
        <v>0.99250000000000005</v>
      </c>
      <c r="BX96" s="1894">
        <v>55.67</v>
      </c>
      <c r="BY96" s="1894">
        <v>19826</v>
      </c>
      <c r="BZ96" s="1894">
        <f t="shared" si="41"/>
        <v>18927</v>
      </c>
      <c r="CA96" s="1894">
        <f t="shared" si="42"/>
        <v>899</v>
      </c>
      <c r="CB96" s="1894">
        <v>133</v>
      </c>
      <c r="CC96" s="1894">
        <v>37.200000000000003</v>
      </c>
      <c r="CD96" s="1894">
        <v>106.4</v>
      </c>
      <c r="CE96" s="1894">
        <v>0.99429999999999996</v>
      </c>
      <c r="CF96" s="1894">
        <v>60.9</v>
      </c>
      <c r="CG96" s="1894">
        <v>16854</v>
      </c>
      <c r="CH96" s="1894">
        <f t="shared" si="43"/>
        <v>16606</v>
      </c>
      <c r="CI96" s="1894">
        <f t="shared" si="44"/>
        <v>248</v>
      </c>
      <c r="CJ96" s="1894">
        <v>133</v>
      </c>
      <c r="CK96" s="1894">
        <v>80.320000000000007</v>
      </c>
      <c r="CL96" s="1894">
        <v>106.4</v>
      </c>
      <c r="CM96" s="1894">
        <v>0.99809999999999999</v>
      </c>
      <c r="CN96" s="1894">
        <v>40.07</v>
      </c>
      <c r="CO96" s="1894">
        <v>21626</v>
      </c>
      <c r="CP96" s="1894">
        <f t="shared" si="45"/>
        <v>32385</v>
      </c>
      <c r="CQ96" s="1894">
        <f t="shared" si="46"/>
        <v>0</v>
      </c>
      <c r="CR96" s="1924">
        <v>133</v>
      </c>
      <c r="CS96" s="1924">
        <v>104.80000000000001</v>
      </c>
      <c r="CT96" s="1924">
        <v>106.4</v>
      </c>
      <c r="CU96" s="1924">
        <v>0.99919999999999998</v>
      </c>
      <c r="CV96" s="1924">
        <v>39.46</v>
      </c>
      <c r="CW96" s="1924">
        <v>30768</v>
      </c>
      <c r="CX96" s="1894">
        <f t="shared" si="47"/>
        <v>46783</v>
      </c>
      <c r="CY96" s="1894">
        <f t="shared" si="48"/>
        <v>0</v>
      </c>
    </row>
    <row r="97" spans="1:103">
      <c r="A97" s="982">
        <v>615000000003</v>
      </c>
      <c r="B97" s="1923">
        <f t="shared" si="49"/>
        <v>91</v>
      </c>
      <c r="C97" s="1895" t="s">
        <v>2992</v>
      </c>
      <c r="D97" s="1894" t="s">
        <v>524</v>
      </c>
      <c r="E97" s="1895" t="s">
        <v>541</v>
      </c>
      <c r="F97" s="1894" t="s">
        <v>259</v>
      </c>
      <c r="G97" s="1924">
        <v>133</v>
      </c>
      <c r="H97" s="1894">
        <v>133</v>
      </c>
      <c r="I97" s="1894">
        <v>117.12</v>
      </c>
      <c r="J97" s="1894">
        <v>117.12</v>
      </c>
      <c r="K97" s="1894">
        <v>0.81630000000000003</v>
      </c>
      <c r="L97" s="1894">
        <v>25.65</v>
      </c>
      <c r="M97" s="1894">
        <v>21627</v>
      </c>
      <c r="N97" s="1894">
        <f t="shared" si="27"/>
        <v>50596</v>
      </c>
      <c r="O97" s="1894">
        <f t="shared" si="28"/>
        <v>0</v>
      </c>
      <c r="P97" s="1894">
        <v>133</v>
      </c>
      <c r="Q97" s="1894">
        <v>138</v>
      </c>
      <c r="R97" s="1894">
        <v>138</v>
      </c>
      <c r="S97" s="1894">
        <v>0.84730000000000005</v>
      </c>
      <c r="T97" s="1894">
        <v>12.34</v>
      </c>
      <c r="U97" s="1894">
        <v>12672</v>
      </c>
      <c r="V97" s="1894">
        <f t="shared" si="29"/>
        <v>61603</v>
      </c>
      <c r="W97" s="1894">
        <f t="shared" si="30"/>
        <v>0</v>
      </c>
      <c r="X97" s="1894">
        <v>133</v>
      </c>
      <c r="Y97" s="1894">
        <v>108</v>
      </c>
      <c r="Z97" s="1894">
        <v>108</v>
      </c>
      <c r="AA97" s="1894">
        <v>0.82340000000000002</v>
      </c>
      <c r="AB97" s="1894">
        <v>21.24</v>
      </c>
      <c r="AC97" s="1894">
        <v>16515</v>
      </c>
      <c r="AD97" s="1894">
        <f t="shared" si="31"/>
        <v>46656</v>
      </c>
      <c r="AE97" s="1894">
        <f t="shared" si="32"/>
        <v>0</v>
      </c>
      <c r="AF97" s="1894">
        <v>133</v>
      </c>
      <c r="AG97" s="1894">
        <v>126.72</v>
      </c>
      <c r="AH97" s="1894">
        <v>126.72</v>
      </c>
      <c r="AI97" s="1894">
        <v>0.7681</v>
      </c>
      <c r="AJ97" s="1894">
        <v>23.1</v>
      </c>
      <c r="AK97" s="1894">
        <v>21780</v>
      </c>
      <c r="AL97" s="1894">
        <f t="shared" si="52"/>
        <v>56568</v>
      </c>
      <c r="AM97" s="1894">
        <f t="shared" si="53"/>
        <v>0</v>
      </c>
      <c r="AN97" s="1894">
        <v>133</v>
      </c>
      <c r="AO97" s="1894">
        <v>112.55999999999999</v>
      </c>
      <c r="AP97" s="1894">
        <v>112.56</v>
      </c>
      <c r="AQ97" s="1894">
        <v>0.78369999999999995</v>
      </c>
      <c r="AR97" s="1894">
        <v>25.64</v>
      </c>
      <c r="AS97" s="1894">
        <v>21471</v>
      </c>
      <c r="AT97" s="1894">
        <f t="shared" si="33"/>
        <v>50247</v>
      </c>
      <c r="AU97" s="1894">
        <f t="shared" si="34"/>
        <v>0</v>
      </c>
      <c r="AV97" s="1894">
        <v>133</v>
      </c>
      <c r="AW97" s="1894">
        <v>120.72</v>
      </c>
      <c r="AX97" s="1894">
        <v>120.72</v>
      </c>
      <c r="AY97" s="1894">
        <v>0.746</v>
      </c>
      <c r="AZ97" s="1894">
        <v>27.81</v>
      </c>
      <c r="BA97" s="1894">
        <v>24174</v>
      </c>
      <c r="BB97" s="1894">
        <f t="shared" si="35"/>
        <v>52151</v>
      </c>
      <c r="BC97" s="1894">
        <f t="shared" si="36"/>
        <v>0</v>
      </c>
      <c r="BD97" s="1894">
        <v>133</v>
      </c>
      <c r="BE97" s="1894">
        <v>122.64</v>
      </c>
      <c r="BF97" s="1894">
        <v>122.64</v>
      </c>
      <c r="BG97" s="1894">
        <v>0.65</v>
      </c>
      <c r="BH97" s="1894">
        <v>36.79</v>
      </c>
      <c r="BI97" s="1894">
        <v>33573</v>
      </c>
      <c r="BJ97" s="1894">
        <f t="shared" si="37"/>
        <v>54746</v>
      </c>
      <c r="BK97" s="1894">
        <f t="shared" si="38"/>
        <v>0</v>
      </c>
      <c r="BL97" s="1894">
        <v>133</v>
      </c>
      <c r="BM97" s="1894">
        <v>130.56</v>
      </c>
      <c r="BN97" s="1894">
        <v>130.56</v>
      </c>
      <c r="BO97" s="1894">
        <v>0.61650000000000005</v>
      </c>
      <c r="BP97" s="1894">
        <v>32.79</v>
      </c>
      <c r="BQ97" s="1894">
        <v>30825</v>
      </c>
      <c r="BR97" s="1894">
        <f t="shared" si="39"/>
        <v>56402</v>
      </c>
      <c r="BS97" s="1894">
        <f t="shared" si="40"/>
        <v>0</v>
      </c>
      <c r="BT97" s="1894">
        <v>133</v>
      </c>
      <c r="BU97" s="1894">
        <v>132.47999999999999</v>
      </c>
      <c r="BV97" s="1894">
        <v>132.47999999999999</v>
      </c>
      <c r="BW97" s="1894">
        <v>0.56620000000000004</v>
      </c>
      <c r="BX97" s="1894">
        <v>32.96</v>
      </c>
      <c r="BY97" s="1894">
        <v>32484</v>
      </c>
      <c r="BZ97" s="1894">
        <f t="shared" si="41"/>
        <v>59139</v>
      </c>
      <c r="CA97" s="1894">
        <f t="shared" si="42"/>
        <v>0</v>
      </c>
      <c r="CB97" s="1894">
        <v>133</v>
      </c>
      <c r="CC97" s="1894">
        <v>126</v>
      </c>
      <c r="CD97" s="1894">
        <v>126</v>
      </c>
      <c r="CE97" s="1894">
        <v>0.58640000000000003</v>
      </c>
      <c r="CF97" s="1894">
        <v>29.8</v>
      </c>
      <c r="CG97" s="1894">
        <v>27939</v>
      </c>
      <c r="CH97" s="1894">
        <f t="shared" si="43"/>
        <v>56246</v>
      </c>
      <c r="CI97" s="1894">
        <f t="shared" si="44"/>
        <v>0</v>
      </c>
      <c r="CJ97" s="1894">
        <v>133</v>
      </c>
      <c r="CK97" s="1894">
        <v>126.72</v>
      </c>
      <c r="CL97" s="1894">
        <v>126.72</v>
      </c>
      <c r="CM97" s="1894">
        <v>0.60070000000000001</v>
      </c>
      <c r="CN97" s="1894">
        <v>29.29</v>
      </c>
      <c r="CO97" s="1894">
        <v>24945</v>
      </c>
      <c r="CP97" s="1894">
        <f t="shared" si="45"/>
        <v>51094</v>
      </c>
      <c r="CQ97" s="1894">
        <f t="shared" si="46"/>
        <v>0</v>
      </c>
      <c r="CR97" s="1924">
        <v>133</v>
      </c>
      <c r="CS97" s="1924">
        <v>144</v>
      </c>
      <c r="CT97" s="1924">
        <v>144</v>
      </c>
      <c r="CU97" s="1924">
        <v>0.61050000000000004</v>
      </c>
      <c r="CV97" s="1924">
        <v>20.7</v>
      </c>
      <c r="CW97" s="1924">
        <v>22176</v>
      </c>
      <c r="CX97" s="1894">
        <f t="shared" si="47"/>
        <v>64282</v>
      </c>
      <c r="CY97" s="1894">
        <f t="shared" si="48"/>
        <v>0</v>
      </c>
    </row>
    <row r="98" spans="1:103">
      <c r="A98" s="982">
        <v>622000000001</v>
      </c>
      <c r="B98" s="1923">
        <f t="shared" si="49"/>
        <v>92</v>
      </c>
      <c r="C98" s="1895" t="s">
        <v>2993</v>
      </c>
      <c r="D98" s="1894" t="s">
        <v>524</v>
      </c>
      <c r="E98" s="1895" t="s">
        <v>636</v>
      </c>
      <c r="F98" s="1894" t="s">
        <v>259</v>
      </c>
      <c r="G98" s="1924">
        <v>133</v>
      </c>
      <c r="H98" s="1894">
        <v>133</v>
      </c>
      <c r="I98" s="1894">
        <v>107</v>
      </c>
      <c r="J98" s="1894">
        <v>107</v>
      </c>
      <c r="K98" s="1894">
        <v>0.99070000000000003</v>
      </c>
      <c r="L98" s="1894">
        <v>54.38</v>
      </c>
      <c r="M98" s="1894">
        <v>48875</v>
      </c>
      <c r="N98" s="1894">
        <f t="shared" si="27"/>
        <v>46224</v>
      </c>
      <c r="O98" s="1894">
        <f t="shared" si="28"/>
        <v>2651</v>
      </c>
      <c r="P98" s="1894">
        <v>133</v>
      </c>
      <c r="Q98" s="1894">
        <v>104</v>
      </c>
      <c r="R98" s="1894">
        <v>106.4</v>
      </c>
      <c r="S98" s="1894">
        <v>0.9899</v>
      </c>
      <c r="T98" s="1894">
        <v>55.88</v>
      </c>
      <c r="U98" s="1894">
        <v>43240</v>
      </c>
      <c r="V98" s="1894">
        <f t="shared" si="29"/>
        <v>46426</v>
      </c>
      <c r="W98" s="1894">
        <f t="shared" si="30"/>
        <v>0</v>
      </c>
      <c r="X98" s="1894">
        <v>133</v>
      </c>
      <c r="Y98" s="1894">
        <v>106</v>
      </c>
      <c r="Z98" s="1894">
        <v>106.4</v>
      </c>
      <c r="AA98" s="1894">
        <v>0.98939999999999995</v>
      </c>
      <c r="AB98" s="1894">
        <v>54.5</v>
      </c>
      <c r="AC98" s="1894">
        <v>41595</v>
      </c>
      <c r="AD98" s="1894">
        <f t="shared" si="31"/>
        <v>45792</v>
      </c>
      <c r="AE98" s="1894">
        <f t="shared" si="32"/>
        <v>0</v>
      </c>
      <c r="AF98" s="1894">
        <v>133</v>
      </c>
      <c r="AG98" s="1894">
        <v>115</v>
      </c>
      <c r="AH98" s="1894">
        <v>115</v>
      </c>
      <c r="AI98" s="1894">
        <v>0.99039999999999995</v>
      </c>
      <c r="AJ98" s="1894">
        <v>52.72</v>
      </c>
      <c r="AK98" s="1894">
        <v>45110</v>
      </c>
      <c r="AL98" s="1894">
        <f t="shared" si="52"/>
        <v>51336</v>
      </c>
      <c r="AM98" s="1894">
        <f t="shared" si="53"/>
        <v>0</v>
      </c>
      <c r="AN98" s="1894">
        <v>133</v>
      </c>
      <c r="AO98" s="1894">
        <v>115</v>
      </c>
      <c r="AP98" s="1894">
        <v>115</v>
      </c>
      <c r="AQ98" s="1894">
        <v>0.98960000000000004</v>
      </c>
      <c r="AR98" s="1894">
        <v>51.3</v>
      </c>
      <c r="AS98" s="1894">
        <v>33980</v>
      </c>
      <c r="AT98" s="1894">
        <f t="shared" si="33"/>
        <v>51336</v>
      </c>
      <c r="AU98" s="1894">
        <f t="shared" si="34"/>
        <v>0</v>
      </c>
      <c r="AV98" s="1894">
        <v>133</v>
      </c>
      <c r="AW98" s="1894">
        <v>111</v>
      </c>
      <c r="AX98" s="1894">
        <v>111</v>
      </c>
      <c r="AY98" s="1894">
        <v>0.99080000000000001</v>
      </c>
      <c r="AZ98" s="1894">
        <v>58.17</v>
      </c>
      <c r="BA98" s="1894">
        <v>46490</v>
      </c>
      <c r="BB98" s="1894">
        <f t="shared" si="35"/>
        <v>47952</v>
      </c>
      <c r="BC98" s="1894">
        <f t="shared" si="36"/>
        <v>0</v>
      </c>
      <c r="BD98" s="1894">
        <v>133</v>
      </c>
      <c r="BE98" s="1894">
        <v>119</v>
      </c>
      <c r="BF98" s="1894">
        <v>119</v>
      </c>
      <c r="BG98" s="1894">
        <v>0.99150000000000005</v>
      </c>
      <c r="BH98" s="1894">
        <v>49.55</v>
      </c>
      <c r="BI98" s="1894">
        <v>52360</v>
      </c>
      <c r="BJ98" s="1894">
        <f t="shared" si="37"/>
        <v>53122</v>
      </c>
      <c r="BK98" s="1894">
        <f t="shared" si="38"/>
        <v>0</v>
      </c>
      <c r="BL98" s="1894">
        <v>133</v>
      </c>
      <c r="BM98" s="1894">
        <v>119</v>
      </c>
      <c r="BN98" s="1894">
        <v>119</v>
      </c>
      <c r="BO98" s="1894">
        <v>0.99280000000000002</v>
      </c>
      <c r="BP98" s="1894">
        <v>53.71</v>
      </c>
      <c r="BQ98" s="1894">
        <v>39885</v>
      </c>
      <c r="BR98" s="1894">
        <f t="shared" si="39"/>
        <v>51408</v>
      </c>
      <c r="BS98" s="1894">
        <f t="shared" si="40"/>
        <v>0</v>
      </c>
      <c r="BT98" s="1894">
        <v>133</v>
      </c>
      <c r="BU98" s="1894">
        <v>127</v>
      </c>
      <c r="BV98" s="1894">
        <v>127</v>
      </c>
      <c r="BW98" s="1894">
        <v>0.99350000000000005</v>
      </c>
      <c r="BX98" s="1894">
        <v>53.05</v>
      </c>
      <c r="BY98" s="1894">
        <v>50125</v>
      </c>
      <c r="BZ98" s="1894">
        <f t="shared" si="41"/>
        <v>56693</v>
      </c>
      <c r="CA98" s="1894">
        <f t="shared" si="42"/>
        <v>0</v>
      </c>
      <c r="CB98" s="1894">
        <v>133</v>
      </c>
      <c r="CC98" s="1894">
        <v>134</v>
      </c>
      <c r="CD98" s="1894">
        <v>134</v>
      </c>
      <c r="CE98" s="1894">
        <v>0.99380000000000002</v>
      </c>
      <c r="CF98" s="1894">
        <v>48.42</v>
      </c>
      <c r="CG98" s="1894">
        <v>46715</v>
      </c>
      <c r="CH98" s="1894">
        <f t="shared" si="43"/>
        <v>59818</v>
      </c>
      <c r="CI98" s="1894">
        <f t="shared" si="44"/>
        <v>0</v>
      </c>
      <c r="CJ98" s="1894">
        <v>133</v>
      </c>
      <c r="CK98" s="1894">
        <v>129</v>
      </c>
      <c r="CL98" s="1894">
        <v>129</v>
      </c>
      <c r="CM98" s="1894">
        <v>0.99319999999999997</v>
      </c>
      <c r="CN98" s="1894">
        <v>48.93</v>
      </c>
      <c r="CO98" s="1894">
        <v>40900</v>
      </c>
      <c r="CP98" s="1894">
        <f t="shared" si="45"/>
        <v>52013</v>
      </c>
      <c r="CQ98" s="1894">
        <f t="shared" si="46"/>
        <v>0</v>
      </c>
      <c r="CR98" s="1924">
        <v>133</v>
      </c>
      <c r="CS98" s="1924">
        <v>113</v>
      </c>
      <c r="CT98" s="1924">
        <v>113</v>
      </c>
      <c r="CU98" s="1924">
        <v>0.99109999999999998</v>
      </c>
      <c r="CV98" s="1924">
        <v>51.91</v>
      </c>
      <c r="CW98" s="1924">
        <v>46460</v>
      </c>
      <c r="CX98" s="1894">
        <f t="shared" si="47"/>
        <v>50443</v>
      </c>
      <c r="CY98" s="1894">
        <f t="shared" si="48"/>
        <v>0</v>
      </c>
    </row>
    <row r="99" spans="1:103">
      <c r="A99" s="982">
        <v>122000000054</v>
      </c>
      <c r="B99" s="1923">
        <f t="shared" si="49"/>
        <v>93</v>
      </c>
      <c r="C99" s="1895" t="s">
        <v>2994</v>
      </c>
      <c r="D99" s="1894" t="s">
        <v>524</v>
      </c>
      <c r="E99" s="1895" t="s">
        <v>629</v>
      </c>
      <c r="F99" s="1894" t="s">
        <v>259</v>
      </c>
      <c r="G99" s="1924">
        <v>133.33000000000001</v>
      </c>
      <c r="H99" s="1894">
        <v>133.33000000000001</v>
      </c>
      <c r="I99" s="1894">
        <v>88</v>
      </c>
      <c r="J99" s="1894">
        <v>133.33000000000001</v>
      </c>
      <c r="K99" s="1894">
        <v>0.94420000000000004</v>
      </c>
      <c r="L99" s="1894">
        <v>0</v>
      </c>
      <c r="M99" s="1894">
        <v>7674</v>
      </c>
      <c r="N99" s="1894">
        <f t="shared" si="27"/>
        <v>38016</v>
      </c>
      <c r="O99" s="1894">
        <f t="shared" si="28"/>
        <v>0</v>
      </c>
      <c r="P99" s="1894">
        <v>133.33000000000001</v>
      </c>
      <c r="Q99" s="1894">
        <v>46</v>
      </c>
      <c r="R99" s="1894">
        <v>133.33000000000001</v>
      </c>
      <c r="S99" s="1894">
        <v>0.94989999999999997</v>
      </c>
      <c r="T99" s="1894">
        <v>0</v>
      </c>
      <c r="U99" s="1894">
        <v>7312</v>
      </c>
      <c r="V99" s="1894">
        <f t="shared" si="29"/>
        <v>20534</v>
      </c>
      <c r="W99" s="1894">
        <f t="shared" si="30"/>
        <v>0</v>
      </c>
      <c r="X99" s="1894">
        <v>133.33000000000001</v>
      </c>
      <c r="Y99" s="1894">
        <v>48</v>
      </c>
      <c r="Z99" s="1894">
        <v>133.33000000000001</v>
      </c>
      <c r="AA99" s="1894">
        <v>0.94230000000000003</v>
      </c>
      <c r="AB99" s="1894">
        <v>0</v>
      </c>
      <c r="AC99" s="1894">
        <v>6868</v>
      </c>
      <c r="AD99" s="1894">
        <f t="shared" si="31"/>
        <v>20736</v>
      </c>
      <c r="AE99" s="1894">
        <f t="shared" si="32"/>
        <v>0</v>
      </c>
      <c r="AF99" s="1894">
        <v>133.33000000000001</v>
      </c>
      <c r="AG99" s="1894">
        <v>66</v>
      </c>
      <c r="AH99" s="1894">
        <v>133.33000000000001</v>
      </c>
      <c r="AI99" s="1894">
        <v>0.94</v>
      </c>
      <c r="AJ99" s="1894">
        <v>0</v>
      </c>
      <c r="AK99" s="1894">
        <v>6038</v>
      </c>
      <c r="AL99" s="1894">
        <f t="shared" si="52"/>
        <v>29462</v>
      </c>
      <c r="AM99" s="1894">
        <f t="shared" si="53"/>
        <v>0</v>
      </c>
      <c r="AN99" s="1894">
        <v>133.33000000000001</v>
      </c>
      <c r="AO99" s="1894">
        <v>44.24</v>
      </c>
      <c r="AP99" s="1894">
        <v>133.33000000000001</v>
      </c>
      <c r="AQ99" s="1894">
        <v>0.93049999999999999</v>
      </c>
      <c r="AR99" s="1894">
        <v>0</v>
      </c>
      <c r="AS99" s="1894">
        <v>6505</v>
      </c>
      <c r="AT99" s="1894">
        <f t="shared" si="33"/>
        <v>19749</v>
      </c>
      <c r="AU99" s="1894">
        <f t="shared" si="34"/>
        <v>0</v>
      </c>
      <c r="AV99" s="1894">
        <v>133.33000000000001</v>
      </c>
      <c r="AW99" s="1894">
        <v>39.6</v>
      </c>
      <c r="AX99" s="1894">
        <v>133.33000000000001</v>
      </c>
      <c r="AY99" s="1894">
        <v>0.93169999999999997</v>
      </c>
      <c r="AZ99" s="1894">
        <v>0</v>
      </c>
      <c r="BA99" s="1894">
        <v>4979</v>
      </c>
      <c r="BB99" s="1894">
        <f t="shared" si="35"/>
        <v>17107</v>
      </c>
      <c r="BC99" s="1894">
        <f t="shared" si="36"/>
        <v>0</v>
      </c>
      <c r="BD99" s="1894">
        <v>133.33000000000001</v>
      </c>
      <c r="BE99" s="1894">
        <v>42.4</v>
      </c>
      <c r="BF99" s="1894">
        <v>133.33000000000001</v>
      </c>
      <c r="BG99" s="1894">
        <v>0.91859999999999997</v>
      </c>
      <c r="BH99" s="1894">
        <v>0</v>
      </c>
      <c r="BI99" s="1894">
        <v>6702</v>
      </c>
      <c r="BJ99" s="1894">
        <f t="shared" si="37"/>
        <v>18927</v>
      </c>
      <c r="BK99" s="1894">
        <f t="shared" si="38"/>
        <v>0</v>
      </c>
      <c r="BL99" s="1894">
        <v>133.33000000000001</v>
      </c>
      <c r="BM99" s="1894">
        <v>49.2</v>
      </c>
      <c r="BN99" s="1894">
        <v>133.33000000000001</v>
      </c>
      <c r="BO99" s="1894">
        <v>0.85229999999999995</v>
      </c>
      <c r="BP99" s="1894">
        <v>0</v>
      </c>
      <c r="BQ99" s="1894">
        <v>4714</v>
      </c>
      <c r="BR99" s="1894">
        <f t="shared" si="39"/>
        <v>21254</v>
      </c>
      <c r="BS99" s="1894">
        <f t="shared" si="40"/>
        <v>0</v>
      </c>
      <c r="BT99" s="1894">
        <v>133.33000000000001</v>
      </c>
      <c r="BU99" s="1894">
        <v>13.28</v>
      </c>
      <c r="BV99" s="1894">
        <v>133.33000000000001</v>
      </c>
      <c r="BW99" s="1894">
        <v>0.84219999999999995</v>
      </c>
      <c r="BX99" s="1894">
        <v>0</v>
      </c>
      <c r="BY99" s="1894">
        <v>4183</v>
      </c>
      <c r="BZ99" s="1894">
        <f t="shared" si="41"/>
        <v>5928</v>
      </c>
      <c r="CA99" s="1894">
        <f t="shared" si="42"/>
        <v>0</v>
      </c>
      <c r="CB99" s="1894">
        <v>133.33000000000001</v>
      </c>
      <c r="CC99" s="1894">
        <v>13.200000000000001</v>
      </c>
      <c r="CD99" s="1894">
        <v>133.33000000000001</v>
      </c>
      <c r="CE99" s="1894">
        <v>0.88759999999999994</v>
      </c>
      <c r="CF99" s="1894">
        <v>0</v>
      </c>
      <c r="CG99" s="1894">
        <v>4111</v>
      </c>
      <c r="CH99" s="1894">
        <f t="shared" si="43"/>
        <v>5892</v>
      </c>
      <c r="CI99" s="1894">
        <f t="shared" si="44"/>
        <v>0</v>
      </c>
      <c r="CJ99" s="1894">
        <v>133.33000000000001</v>
      </c>
      <c r="CK99" s="1894">
        <v>21.68</v>
      </c>
      <c r="CL99" s="1894">
        <v>133.33000000000001</v>
      </c>
      <c r="CM99" s="1894">
        <v>0.90949999999999998</v>
      </c>
      <c r="CN99" s="1894">
        <v>0</v>
      </c>
      <c r="CO99" s="1894">
        <v>3561</v>
      </c>
      <c r="CP99" s="1894">
        <f t="shared" si="45"/>
        <v>8741</v>
      </c>
      <c r="CQ99" s="1894">
        <f t="shared" si="46"/>
        <v>0</v>
      </c>
      <c r="CR99" s="1924">
        <v>133.33000000000001</v>
      </c>
      <c r="CS99" s="1924">
        <v>24.959999999999997</v>
      </c>
      <c r="CT99" s="1924">
        <v>133.33000000000001</v>
      </c>
      <c r="CU99" s="1924">
        <v>0.92769999999999997</v>
      </c>
      <c r="CV99" s="1924">
        <v>0</v>
      </c>
      <c r="CW99" s="1924">
        <v>4154</v>
      </c>
      <c r="CX99" s="1894">
        <f t="shared" si="47"/>
        <v>11142</v>
      </c>
      <c r="CY99" s="1894">
        <f t="shared" si="48"/>
        <v>0</v>
      </c>
    </row>
    <row r="100" spans="1:103">
      <c r="A100" s="982">
        <v>622000000014</v>
      </c>
      <c r="B100" s="1923">
        <f t="shared" si="49"/>
        <v>94</v>
      </c>
      <c r="C100" s="1895" t="s">
        <v>2995</v>
      </c>
      <c r="D100" s="1894" t="s">
        <v>524</v>
      </c>
      <c r="E100" s="1895" t="s">
        <v>629</v>
      </c>
      <c r="F100" s="1894" t="s">
        <v>259</v>
      </c>
      <c r="G100" s="1924">
        <v>133.33000000000001</v>
      </c>
      <c r="H100" s="1894">
        <v>133.33000000000001</v>
      </c>
      <c r="I100" s="1894">
        <v>86</v>
      </c>
      <c r="J100" s="1894">
        <v>133.33000000000001</v>
      </c>
      <c r="K100" s="1894">
        <v>0.98</v>
      </c>
      <c r="L100" s="1894">
        <v>0</v>
      </c>
      <c r="M100" s="1894">
        <v>32002</v>
      </c>
      <c r="N100" s="1894">
        <f t="shared" si="27"/>
        <v>37152</v>
      </c>
      <c r="O100" s="1894">
        <f t="shared" si="28"/>
        <v>0</v>
      </c>
      <c r="P100" s="1894">
        <v>133.33000000000001</v>
      </c>
      <c r="Q100" s="1894">
        <v>88.4</v>
      </c>
      <c r="R100" s="1894">
        <v>133.33000000000001</v>
      </c>
      <c r="S100" s="1894">
        <v>0.97919999999999996</v>
      </c>
      <c r="T100" s="1894">
        <v>0</v>
      </c>
      <c r="U100" s="1894">
        <v>34454</v>
      </c>
      <c r="V100" s="1894">
        <f t="shared" si="29"/>
        <v>39462</v>
      </c>
      <c r="W100" s="1894">
        <f t="shared" si="30"/>
        <v>0</v>
      </c>
      <c r="X100" s="1894">
        <v>133.33000000000001</v>
      </c>
      <c r="Y100" s="1894">
        <v>83.2</v>
      </c>
      <c r="Z100" s="1894">
        <v>133.33000000000001</v>
      </c>
      <c r="AA100" s="1894">
        <v>0.98080000000000001</v>
      </c>
      <c r="AB100" s="1894">
        <v>0</v>
      </c>
      <c r="AC100" s="1894">
        <v>42118</v>
      </c>
      <c r="AD100" s="1894">
        <f t="shared" si="31"/>
        <v>35942</v>
      </c>
      <c r="AE100" s="1894">
        <f t="shared" si="32"/>
        <v>6176</v>
      </c>
      <c r="AF100" s="1894">
        <v>133.33000000000001</v>
      </c>
      <c r="AG100" s="1894">
        <v>85.6</v>
      </c>
      <c r="AH100" s="1894">
        <v>133.33000000000001</v>
      </c>
      <c r="AI100" s="1894">
        <v>0.98209999999999997</v>
      </c>
      <c r="AJ100" s="1894">
        <v>0</v>
      </c>
      <c r="AK100" s="1894">
        <v>33998</v>
      </c>
      <c r="AL100" s="1894">
        <f t="shared" si="52"/>
        <v>38212</v>
      </c>
      <c r="AM100" s="1894">
        <f t="shared" si="53"/>
        <v>0</v>
      </c>
      <c r="AN100" s="1894">
        <v>133.33000000000001</v>
      </c>
      <c r="AO100" s="1894">
        <v>92</v>
      </c>
      <c r="AP100" s="1894">
        <v>133.33000000000001</v>
      </c>
      <c r="AQ100" s="1894">
        <v>0.98740000000000006</v>
      </c>
      <c r="AR100" s="1894">
        <v>0</v>
      </c>
      <c r="AS100" s="1894">
        <v>37122</v>
      </c>
      <c r="AT100" s="1894">
        <f t="shared" si="33"/>
        <v>41069</v>
      </c>
      <c r="AU100" s="1894">
        <f t="shared" si="34"/>
        <v>0</v>
      </c>
      <c r="AV100" s="1894">
        <v>133.33000000000001</v>
      </c>
      <c r="AW100" s="1894">
        <v>97.6</v>
      </c>
      <c r="AX100" s="1894">
        <v>133.33000000000001</v>
      </c>
      <c r="AY100" s="1894">
        <v>0.99</v>
      </c>
      <c r="AZ100" s="1894">
        <v>0</v>
      </c>
      <c r="BA100" s="1894">
        <v>38614</v>
      </c>
      <c r="BB100" s="1894">
        <f t="shared" si="35"/>
        <v>42163</v>
      </c>
      <c r="BC100" s="1894">
        <f t="shared" si="36"/>
        <v>0</v>
      </c>
      <c r="BD100" s="1894">
        <v>133.33000000000001</v>
      </c>
      <c r="BE100" s="1894">
        <v>90.4</v>
      </c>
      <c r="BF100" s="1894">
        <v>133.33000000000001</v>
      </c>
      <c r="BG100" s="1894">
        <v>0.9839</v>
      </c>
      <c r="BH100" s="1894">
        <v>0</v>
      </c>
      <c r="BI100" s="1894">
        <v>33744</v>
      </c>
      <c r="BJ100" s="1894">
        <f t="shared" si="37"/>
        <v>40355</v>
      </c>
      <c r="BK100" s="1894">
        <f t="shared" si="38"/>
        <v>0</v>
      </c>
      <c r="BL100" s="1894">
        <v>133.33000000000001</v>
      </c>
      <c r="BM100" s="1894">
        <v>101.2</v>
      </c>
      <c r="BN100" s="1894">
        <v>133.33000000000001</v>
      </c>
      <c r="BO100" s="1894">
        <v>0.99270000000000003</v>
      </c>
      <c r="BP100" s="1894">
        <v>0</v>
      </c>
      <c r="BQ100" s="1894">
        <v>38602</v>
      </c>
      <c r="BR100" s="1894">
        <f t="shared" si="39"/>
        <v>43718</v>
      </c>
      <c r="BS100" s="1894">
        <f t="shared" si="40"/>
        <v>0</v>
      </c>
      <c r="BT100" s="1894">
        <v>133.33000000000001</v>
      </c>
      <c r="BU100" s="1894">
        <v>115.19999999999999</v>
      </c>
      <c r="BV100" s="1894">
        <v>133.33000000000001</v>
      </c>
      <c r="BW100" s="1894">
        <v>0.99439999999999995</v>
      </c>
      <c r="BX100" s="1894">
        <v>0</v>
      </c>
      <c r="BY100" s="1894">
        <v>44442</v>
      </c>
      <c r="BZ100" s="1894">
        <f t="shared" si="41"/>
        <v>51425</v>
      </c>
      <c r="CA100" s="1894">
        <f t="shared" si="42"/>
        <v>0</v>
      </c>
      <c r="CB100" s="1894">
        <v>133.33000000000001</v>
      </c>
      <c r="CC100" s="1894">
        <v>113.19999999999999</v>
      </c>
      <c r="CD100" s="1894">
        <v>133.33000000000001</v>
      </c>
      <c r="CE100" s="1894">
        <v>0.99429999999999996</v>
      </c>
      <c r="CF100" s="1894">
        <v>0</v>
      </c>
      <c r="CG100" s="1894">
        <v>42500</v>
      </c>
      <c r="CH100" s="1894">
        <f t="shared" si="43"/>
        <v>50532</v>
      </c>
      <c r="CI100" s="1894">
        <f t="shared" si="44"/>
        <v>0</v>
      </c>
      <c r="CJ100" s="1894">
        <v>133.33000000000001</v>
      </c>
      <c r="CK100" s="1894">
        <v>109.60000000000001</v>
      </c>
      <c r="CL100" s="1894">
        <v>133.33000000000001</v>
      </c>
      <c r="CM100" s="1894">
        <v>0.99019999999999997</v>
      </c>
      <c r="CN100" s="1894">
        <v>0</v>
      </c>
      <c r="CO100" s="1894">
        <v>36810</v>
      </c>
      <c r="CP100" s="1894">
        <f t="shared" si="45"/>
        <v>44191</v>
      </c>
      <c r="CQ100" s="1894">
        <f t="shared" si="46"/>
        <v>0</v>
      </c>
      <c r="CR100" s="1924">
        <v>133.33000000000001</v>
      </c>
      <c r="CS100" s="1924">
        <v>96.399999999999991</v>
      </c>
      <c r="CT100" s="1924">
        <v>133.33000000000001</v>
      </c>
      <c r="CU100" s="1924">
        <v>0.98909999999999998</v>
      </c>
      <c r="CV100" s="1924">
        <v>0</v>
      </c>
      <c r="CW100" s="1924">
        <v>37914</v>
      </c>
      <c r="CX100" s="1894">
        <f t="shared" si="47"/>
        <v>43033</v>
      </c>
      <c r="CY100" s="1894">
        <f t="shared" si="48"/>
        <v>0</v>
      </c>
    </row>
    <row r="101" spans="1:103">
      <c r="A101" s="982">
        <v>127000000022</v>
      </c>
      <c r="B101" s="1923">
        <f t="shared" si="49"/>
        <v>95</v>
      </c>
      <c r="C101" s="1895" t="s">
        <v>2996</v>
      </c>
      <c r="D101" s="1894" t="s">
        <v>524</v>
      </c>
      <c r="E101" s="1895" t="s">
        <v>541</v>
      </c>
      <c r="F101" s="1894" t="s">
        <v>259</v>
      </c>
      <c r="G101" s="1924">
        <v>134</v>
      </c>
      <c r="H101" s="1894">
        <v>134</v>
      </c>
      <c r="I101" s="1894">
        <v>109.60000000000001</v>
      </c>
      <c r="J101" s="1894">
        <v>109.6</v>
      </c>
      <c r="K101" s="1894">
        <v>0.80200000000000005</v>
      </c>
      <c r="L101" s="1894">
        <v>39.659999999999997</v>
      </c>
      <c r="M101" s="1894">
        <v>30257</v>
      </c>
      <c r="N101" s="1894">
        <f t="shared" si="27"/>
        <v>47347</v>
      </c>
      <c r="O101" s="1894">
        <f t="shared" si="28"/>
        <v>0</v>
      </c>
      <c r="P101" s="1894">
        <v>134</v>
      </c>
      <c r="Q101" s="1894">
        <v>198.2</v>
      </c>
      <c r="R101" s="1894">
        <v>198.2</v>
      </c>
      <c r="S101" s="1894">
        <v>0.79990000000000006</v>
      </c>
      <c r="T101" s="1894">
        <v>21.47</v>
      </c>
      <c r="U101" s="1894">
        <v>30644</v>
      </c>
      <c r="V101" s="1894">
        <f t="shared" si="29"/>
        <v>88476</v>
      </c>
      <c r="W101" s="1894">
        <f t="shared" si="30"/>
        <v>0</v>
      </c>
      <c r="X101" s="1894">
        <v>134</v>
      </c>
      <c r="Y101" s="1894">
        <v>194.16</v>
      </c>
      <c r="Z101" s="1894">
        <v>194.16</v>
      </c>
      <c r="AA101" s="1894">
        <v>0.83279999999999998</v>
      </c>
      <c r="AB101" s="1894">
        <v>30.63</v>
      </c>
      <c r="AC101" s="1894">
        <v>45674</v>
      </c>
      <c r="AD101" s="1894">
        <f t="shared" si="31"/>
        <v>83877</v>
      </c>
      <c r="AE101" s="1894">
        <f t="shared" si="32"/>
        <v>0</v>
      </c>
      <c r="AF101" s="1894">
        <v>134</v>
      </c>
      <c r="AG101" s="1894">
        <v>186.16</v>
      </c>
      <c r="AH101" s="1894">
        <v>186.16</v>
      </c>
      <c r="AI101" s="1894">
        <v>0.83409999999999995</v>
      </c>
      <c r="AJ101" s="1894">
        <v>27.51</v>
      </c>
      <c r="AK101" s="1894">
        <v>38106</v>
      </c>
      <c r="AL101" s="1894">
        <f t="shared" si="52"/>
        <v>83102</v>
      </c>
      <c r="AM101" s="1894">
        <f t="shared" si="53"/>
        <v>0</v>
      </c>
      <c r="AN101" s="1894">
        <v>134</v>
      </c>
      <c r="AO101" s="1894">
        <v>186</v>
      </c>
      <c r="AP101" s="1894">
        <v>186</v>
      </c>
      <c r="AQ101" s="1894">
        <v>0.82230000000000003</v>
      </c>
      <c r="AR101" s="1894">
        <v>23.46</v>
      </c>
      <c r="AS101" s="1894">
        <v>31419</v>
      </c>
      <c r="AT101" s="1894">
        <f t="shared" si="33"/>
        <v>83030</v>
      </c>
      <c r="AU101" s="1894">
        <f t="shared" si="34"/>
        <v>0</v>
      </c>
      <c r="AV101" s="1894">
        <v>134</v>
      </c>
      <c r="AW101" s="1894">
        <v>192.64</v>
      </c>
      <c r="AX101" s="1894">
        <v>192.64</v>
      </c>
      <c r="AY101" s="1894">
        <v>0.82830000000000004</v>
      </c>
      <c r="AZ101" s="1894">
        <v>25.98</v>
      </c>
      <c r="BA101" s="1894">
        <v>44434</v>
      </c>
      <c r="BB101" s="1894">
        <f t="shared" si="35"/>
        <v>83220</v>
      </c>
      <c r="BC101" s="1894">
        <f t="shared" si="36"/>
        <v>0</v>
      </c>
      <c r="BD101" s="1894">
        <v>134</v>
      </c>
      <c r="BE101" s="1894">
        <v>195.04</v>
      </c>
      <c r="BF101" s="1894">
        <v>195.04</v>
      </c>
      <c r="BG101" s="1894">
        <v>0.83830000000000005</v>
      </c>
      <c r="BH101" s="1894">
        <v>28.96</v>
      </c>
      <c r="BI101" s="1894">
        <v>42023</v>
      </c>
      <c r="BJ101" s="1894">
        <f t="shared" si="37"/>
        <v>87066</v>
      </c>
      <c r="BK101" s="1894">
        <f t="shared" si="38"/>
        <v>0</v>
      </c>
      <c r="BL101" s="1894">
        <v>134</v>
      </c>
      <c r="BM101" s="1894">
        <v>190.48000000000002</v>
      </c>
      <c r="BN101" s="1894">
        <v>190.48</v>
      </c>
      <c r="BO101" s="1894">
        <v>0.83560000000000001</v>
      </c>
      <c r="BP101" s="1894">
        <v>35.61</v>
      </c>
      <c r="BQ101" s="1894">
        <v>39071</v>
      </c>
      <c r="BR101" s="1894">
        <f t="shared" si="39"/>
        <v>82287</v>
      </c>
      <c r="BS101" s="1894">
        <f t="shared" si="40"/>
        <v>0</v>
      </c>
      <c r="BT101" s="1894">
        <v>134</v>
      </c>
      <c r="BU101" s="1894">
        <v>196.16</v>
      </c>
      <c r="BV101" s="1894">
        <v>196.16</v>
      </c>
      <c r="BW101" s="1894">
        <v>0.84060000000000001</v>
      </c>
      <c r="BX101" s="1894">
        <v>37.4</v>
      </c>
      <c r="BY101" s="1894">
        <v>51058</v>
      </c>
      <c r="BZ101" s="1894">
        <f t="shared" si="41"/>
        <v>87566</v>
      </c>
      <c r="CA101" s="1894">
        <f t="shared" si="42"/>
        <v>0</v>
      </c>
      <c r="CB101" s="1894">
        <v>134</v>
      </c>
      <c r="CC101" s="1894">
        <v>191.52</v>
      </c>
      <c r="CD101" s="1894">
        <v>191.52</v>
      </c>
      <c r="CE101" s="1894">
        <v>0.84219999999999995</v>
      </c>
      <c r="CF101" s="1894">
        <v>30.13</v>
      </c>
      <c r="CG101" s="1894">
        <v>45701</v>
      </c>
      <c r="CH101" s="1894">
        <f t="shared" si="43"/>
        <v>85495</v>
      </c>
      <c r="CI101" s="1894">
        <f t="shared" si="44"/>
        <v>0</v>
      </c>
      <c r="CJ101" s="1894">
        <v>134</v>
      </c>
      <c r="CK101" s="1894">
        <v>212.72000000000003</v>
      </c>
      <c r="CL101" s="1894">
        <v>212.72</v>
      </c>
      <c r="CM101" s="1894">
        <v>0.84440000000000004</v>
      </c>
      <c r="CN101" s="1894">
        <v>35.24</v>
      </c>
      <c r="CO101" s="1894">
        <v>61168</v>
      </c>
      <c r="CP101" s="1894">
        <f t="shared" si="45"/>
        <v>85769</v>
      </c>
      <c r="CQ101" s="1894">
        <f t="shared" si="46"/>
        <v>0</v>
      </c>
      <c r="CR101" s="1924">
        <v>134</v>
      </c>
      <c r="CS101" s="1924">
        <v>201.76</v>
      </c>
      <c r="CT101" s="1924">
        <v>201.76</v>
      </c>
      <c r="CU101" s="1924">
        <v>0.84109999999999996</v>
      </c>
      <c r="CV101" s="1924">
        <v>33.479999999999997</v>
      </c>
      <c r="CW101" s="1924">
        <v>50254</v>
      </c>
      <c r="CX101" s="1894">
        <f t="shared" si="47"/>
        <v>90066</v>
      </c>
      <c r="CY101" s="1894">
        <f t="shared" si="48"/>
        <v>0</v>
      </c>
    </row>
    <row r="102" spans="1:103">
      <c r="A102" s="982">
        <v>121000000084</v>
      </c>
      <c r="B102" s="1923">
        <f t="shared" si="49"/>
        <v>96</v>
      </c>
      <c r="C102" s="1895" t="s">
        <v>2997</v>
      </c>
      <c r="D102" s="1894" t="s">
        <v>524</v>
      </c>
      <c r="E102" s="1895" t="s">
        <v>2966</v>
      </c>
      <c r="F102" s="1894" t="s">
        <v>259</v>
      </c>
      <c r="G102" s="1924">
        <v>134</v>
      </c>
      <c r="H102" s="1894">
        <v>134</v>
      </c>
      <c r="I102" s="1894">
        <v>74.400000000000006</v>
      </c>
      <c r="J102" s="1894">
        <v>134</v>
      </c>
      <c r="K102" s="1894">
        <v>0.8659</v>
      </c>
      <c r="L102" s="1894">
        <v>0</v>
      </c>
      <c r="M102" s="1894">
        <v>11391</v>
      </c>
      <c r="N102" s="1894">
        <f t="shared" si="27"/>
        <v>32141</v>
      </c>
      <c r="O102" s="1894">
        <f t="shared" si="28"/>
        <v>0</v>
      </c>
      <c r="P102" s="1894">
        <v>134</v>
      </c>
      <c r="Q102" s="1894">
        <v>84.24</v>
      </c>
      <c r="R102" s="1894">
        <v>134</v>
      </c>
      <c r="S102" s="1894">
        <v>0.84009999999999996</v>
      </c>
      <c r="T102" s="1894">
        <v>0</v>
      </c>
      <c r="U102" s="1894">
        <v>12066</v>
      </c>
      <c r="V102" s="1894">
        <f t="shared" si="29"/>
        <v>37605</v>
      </c>
      <c r="W102" s="1894">
        <f t="shared" si="30"/>
        <v>0</v>
      </c>
      <c r="X102" s="1894">
        <v>134</v>
      </c>
      <c r="Y102" s="1894">
        <v>109.44</v>
      </c>
      <c r="Z102" s="1894">
        <v>134</v>
      </c>
      <c r="AA102" s="1894">
        <v>0.83530000000000004</v>
      </c>
      <c r="AB102" s="1894">
        <v>0</v>
      </c>
      <c r="AC102" s="1894">
        <v>21093</v>
      </c>
      <c r="AD102" s="1894">
        <f t="shared" si="31"/>
        <v>47278</v>
      </c>
      <c r="AE102" s="1894">
        <f t="shared" si="32"/>
        <v>0</v>
      </c>
      <c r="AF102" s="1894">
        <v>134</v>
      </c>
      <c r="AG102" s="1894">
        <v>110.16000000000001</v>
      </c>
      <c r="AH102" s="1894">
        <v>134</v>
      </c>
      <c r="AI102" s="1894">
        <v>0.80740000000000001</v>
      </c>
      <c r="AJ102" s="1894">
        <v>0</v>
      </c>
      <c r="AK102" s="1894">
        <v>22809</v>
      </c>
      <c r="AL102" s="1894">
        <f t="shared" si="52"/>
        <v>49175</v>
      </c>
      <c r="AM102" s="1894">
        <f t="shared" si="53"/>
        <v>0</v>
      </c>
      <c r="AN102" s="1894">
        <v>134</v>
      </c>
      <c r="AO102" s="1894">
        <v>59.28</v>
      </c>
      <c r="AP102" s="1894">
        <v>134</v>
      </c>
      <c r="AQ102" s="1894">
        <v>0.75490000000000002</v>
      </c>
      <c r="AR102" s="1894">
        <v>0</v>
      </c>
      <c r="AS102" s="1894">
        <v>7113</v>
      </c>
      <c r="AT102" s="1894">
        <f t="shared" si="33"/>
        <v>26463</v>
      </c>
      <c r="AU102" s="1894">
        <f t="shared" si="34"/>
        <v>0</v>
      </c>
      <c r="AV102" s="1894">
        <v>134</v>
      </c>
      <c r="AW102" s="1894">
        <v>31.44</v>
      </c>
      <c r="AX102" s="1894">
        <v>134</v>
      </c>
      <c r="AY102" s="1894">
        <v>0.91790000000000005</v>
      </c>
      <c r="AZ102" s="1894">
        <v>0</v>
      </c>
      <c r="BA102" s="1894">
        <v>402</v>
      </c>
      <c r="BB102" s="1894">
        <f t="shared" si="35"/>
        <v>13582</v>
      </c>
      <c r="BC102" s="1894">
        <f t="shared" si="36"/>
        <v>0</v>
      </c>
      <c r="BD102" s="1894">
        <v>134</v>
      </c>
      <c r="BE102" s="1894">
        <v>42.000000000000007</v>
      </c>
      <c r="BF102" s="1894">
        <v>134</v>
      </c>
      <c r="BG102" s="1894">
        <v>0.90990000000000004</v>
      </c>
      <c r="BH102" s="1894">
        <v>0</v>
      </c>
      <c r="BI102" s="1894">
        <v>333</v>
      </c>
      <c r="BJ102" s="1894">
        <f t="shared" si="37"/>
        <v>18749</v>
      </c>
      <c r="BK102" s="1894">
        <f t="shared" si="38"/>
        <v>0</v>
      </c>
      <c r="BL102" s="1894">
        <v>134</v>
      </c>
      <c r="BM102" s="1894">
        <v>28.080000000000002</v>
      </c>
      <c r="BN102" s="1894">
        <v>134</v>
      </c>
      <c r="BO102" s="1894">
        <v>0.81100000000000005</v>
      </c>
      <c r="BP102" s="1894">
        <v>0</v>
      </c>
      <c r="BQ102" s="1894">
        <v>2604</v>
      </c>
      <c r="BR102" s="1894">
        <f t="shared" si="39"/>
        <v>12131</v>
      </c>
      <c r="BS102" s="1894">
        <f t="shared" si="40"/>
        <v>0</v>
      </c>
      <c r="BT102" s="1894">
        <v>134</v>
      </c>
      <c r="BU102" s="1894">
        <v>19.920000000000002</v>
      </c>
      <c r="BV102" s="1894">
        <v>134</v>
      </c>
      <c r="BW102" s="1894">
        <v>0.76629999999999998</v>
      </c>
      <c r="BX102" s="1894">
        <v>0</v>
      </c>
      <c r="BY102" s="1894">
        <v>552</v>
      </c>
      <c r="BZ102" s="1894">
        <f t="shared" si="41"/>
        <v>8892</v>
      </c>
      <c r="CA102" s="1894">
        <f t="shared" si="42"/>
        <v>0</v>
      </c>
      <c r="CB102" s="1894">
        <v>134</v>
      </c>
      <c r="CC102" s="1894">
        <v>2.4</v>
      </c>
      <c r="CD102" s="1894">
        <v>134</v>
      </c>
      <c r="CE102" s="1894">
        <v>0.85909999999999997</v>
      </c>
      <c r="CF102" s="1894">
        <v>0</v>
      </c>
      <c r="CG102" s="1894">
        <v>213</v>
      </c>
      <c r="CH102" s="1894">
        <f t="shared" si="43"/>
        <v>1071</v>
      </c>
      <c r="CI102" s="1894">
        <f t="shared" si="44"/>
        <v>0</v>
      </c>
      <c r="CJ102" s="1894">
        <v>134</v>
      </c>
      <c r="CK102" s="1894">
        <v>40.559999999999995</v>
      </c>
      <c r="CL102" s="1894">
        <v>134</v>
      </c>
      <c r="CM102" s="1894">
        <v>0.83150000000000002</v>
      </c>
      <c r="CN102" s="1894">
        <v>0</v>
      </c>
      <c r="CO102" s="1894">
        <v>6342</v>
      </c>
      <c r="CP102" s="1894">
        <f t="shared" si="45"/>
        <v>16354</v>
      </c>
      <c r="CQ102" s="1894">
        <f t="shared" si="46"/>
        <v>0</v>
      </c>
      <c r="CR102" s="1924">
        <v>134</v>
      </c>
      <c r="CS102" s="1924">
        <v>55.44</v>
      </c>
      <c r="CT102" s="1924">
        <v>134</v>
      </c>
      <c r="CU102" s="1924">
        <v>0.72170000000000001</v>
      </c>
      <c r="CV102" s="1924">
        <v>0</v>
      </c>
      <c r="CW102" s="1924">
        <v>4851</v>
      </c>
      <c r="CX102" s="1894">
        <f t="shared" si="47"/>
        <v>24748</v>
      </c>
      <c r="CY102" s="1894">
        <f t="shared" si="48"/>
        <v>0</v>
      </c>
    </row>
    <row r="103" spans="1:103">
      <c r="A103" s="982">
        <v>121000000050</v>
      </c>
      <c r="B103" s="1923">
        <f t="shared" si="49"/>
        <v>97</v>
      </c>
      <c r="C103" s="1895" t="s">
        <v>2998</v>
      </c>
      <c r="D103" s="1894" t="s">
        <v>524</v>
      </c>
      <c r="E103" s="1895" t="s">
        <v>636</v>
      </c>
      <c r="F103" s="1894" t="s">
        <v>259</v>
      </c>
      <c r="G103" s="1924">
        <v>134</v>
      </c>
      <c r="H103" s="1894">
        <v>134</v>
      </c>
      <c r="I103" s="1894">
        <v>78.680000000000007</v>
      </c>
      <c r="J103" s="1894">
        <v>107.2</v>
      </c>
      <c r="K103" s="1894">
        <v>0.99209999999999998</v>
      </c>
      <c r="L103" s="1894">
        <v>31.5</v>
      </c>
      <c r="M103" s="1894">
        <v>17843</v>
      </c>
      <c r="N103" s="1894">
        <f t="shared" si="27"/>
        <v>33990</v>
      </c>
      <c r="O103" s="1894">
        <f t="shared" si="28"/>
        <v>0</v>
      </c>
      <c r="P103" s="1894">
        <v>134</v>
      </c>
      <c r="Q103" s="1894">
        <v>64.92</v>
      </c>
      <c r="R103" s="1894">
        <v>107.2</v>
      </c>
      <c r="S103" s="1894">
        <v>0.99099999999999999</v>
      </c>
      <c r="T103" s="1894">
        <v>38.9</v>
      </c>
      <c r="U103" s="1894">
        <v>18788</v>
      </c>
      <c r="V103" s="1894">
        <f t="shared" si="29"/>
        <v>28980</v>
      </c>
      <c r="W103" s="1894">
        <f t="shared" si="30"/>
        <v>0</v>
      </c>
      <c r="X103" s="1894">
        <v>134</v>
      </c>
      <c r="Y103" s="1894">
        <v>71.960000000000008</v>
      </c>
      <c r="Z103" s="1894">
        <v>107.2</v>
      </c>
      <c r="AA103" s="1894">
        <v>0.99239999999999995</v>
      </c>
      <c r="AB103" s="1894">
        <v>35.64</v>
      </c>
      <c r="AC103" s="1894">
        <v>18463</v>
      </c>
      <c r="AD103" s="1894">
        <f t="shared" si="31"/>
        <v>31087</v>
      </c>
      <c r="AE103" s="1894">
        <f t="shared" si="32"/>
        <v>0</v>
      </c>
      <c r="AF103" s="1894">
        <v>134</v>
      </c>
      <c r="AG103" s="1894">
        <v>55.720000000000006</v>
      </c>
      <c r="AH103" s="1894">
        <v>107.2</v>
      </c>
      <c r="AI103" s="1894">
        <v>0.98960000000000004</v>
      </c>
      <c r="AJ103" s="1894">
        <v>41.78</v>
      </c>
      <c r="AK103" s="1894">
        <v>17321</v>
      </c>
      <c r="AL103" s="1894">
        <f t="shared" si="52"/>
        <v>24873</v>
      </c>
      <c r="AM103" s="1894">
        <f t="shared" si="53"/>
        <v>0</v>
      </c>
      <c r="AN103" s="1894">
        <v>134</v>
      </c>
      <c r="AO103" s="1894">
        <v>57.4</v>
      </c>
      <c r="AP103" s="1894">
        <v>107.2</v>
      </c>
      <c r="AQ103" s="1894">
        <v>0.9869</v>
      </c>
      <c r="AR103" s="1894">
        <v>39.57</v>
      </c>
      <c r="AS103" s="1894">
        <v>16898</v>
      </c>
      <c r="AT103" s="1894">
        <f t="shared" si="33"/>
        <v>25623</v>
      </c>
      <c r="AU103" s="1894">
        <f t="shared" si="34"/>
        <v>0</v>
      </c>
      <c r="AV103" s="1894">
        <v>134</v>
      </c>
      <c r="AW103" s="1894">
        <v>60.6</v>
      </c>
      <c r="AX103" s="1894">
        <v>107.2</v>
      </c>
      <c r="AY103" s="1894">
        <v>0.98719999999999997</v>
      </c>
      <c r="AZ103" s="1894">
        <v>39.43</v>
      </c>
      <c r="BA103" s="1894">
        <v>17204</v>
      </c>
      <c r="BB103" s="1894">
        <f t="shared" si="35"/>
        <v>26179</v>
      </c>
      <c r="BC103" s="1894">
        <f t="shared" si="36"/>
        <v>0</v>
      </c>
      <c r="BD103" s="1894">
        <v>134</v>
      </c>
      <c r="BE103" s="1894">
        <v>60.08</v>
      </c>
      <c r="BF103" s="1894">
        <v>107.2</v>
      </c>
      <c r="BG103" s="1894">
        <v>0.98409999999999997</v>
      </c>
      <c r="BH103" s="1894">
        <v>39.43</v>
      </c>
      <c r="BI103" s="1894">
        <v>17625</v>
      </c>
      <c r="BJ103" s="1894">
        <f t="shared" si="37"/>
        <v>26820</v>
      </c>
      <c r="BK103" s="1894">
        <f t="shared" si="38"/>
        <v>0</v>
      </c>
      <c r="BL103" s="1894">
        <v>134</v>
      </c>
      <c r="BM103" s="1894">
        <v>49.72</v>
      </c>
      <c r="BN103" s="1894">
        <v>107.2</v>
      </c>
      <c r="BO103" s="1894">
        <v>0.97289999999999999</v>
      </c>
      <c r="BP103" s="1894">
        <v>37.880000000000003</v>
      </c>
      <c r="BQ103" s="1894">
        <v>13561</v>
      </c>
      <c r="BR103" s="1894">
        <f t="shared" si="39"/>
        <v>21479</v>
      </c>
      <c r="BS103" s="1894">
        <f t="shared" si="40"/>
        <v>0</v>
      </c>
      <c r="BT103" s="1894">
        <v>134</v>
      </c>
      <c r="BU103" s="1894">
        <v>44.04</v>
      </c>
      <c r="BV103" s="1894">
        <v>107.2</v>
      </c>
      <c r="BW103" s="1894">
        <v>0.95430000000000004</v>
      </c>
      <c r="BX103" s="1894">
        <v>36.07</v>
      </c>
      <c r="BY103" s="1894">
        <v>11817</v>
      </c>
      <c r="BZ103" s="1894">
        <f t="shared" si="41"/>
        <v>19659</v>
      </c>
      <c r="CA103" s="1894">
        <f t="shared" si="42"/>
        <v>0</v>
      </c>
      <c r="CB103" s="1894">
        <v>134</v>
      </c>
      <c r="CC103" s="1894">
        <v>42.08</v>
      </c>
      <c r="CD103" s="1894">
        <v>107.2</v>
      </c>
      <c r="CE103" s="1894">
        <v>0.95530000000000004</v>
      </c>
      <c r="CF103" s="1894">
        <v>38.659999999999997</v>
      </c>
      <c r="CG103" s="1894">
        <v>12102</v>
      </c>
      <c r="CH103" s="1894">
        <f t="shared" si="43"/>
        <v>18785</v>
      </c>
      <c r="CI103" s="1894">
        <f t="shared" si="44"/>
        <v>0</v>
      </c>
      <c r="CJ103" s="1894">
        <v>134</v>
      </c>
      <c r="CK103" s="1894">
        <v>47.36</v>
      </c>
      <c r="CL103" s="1894">
        <v>107.2</v>
      </c>
      <c r="CM103" s="1894">
        <v>0.96240000000000003</v>
      </c>
      <c r="CN103" s="1894">
        <v>38.17</v>
      </c>
      <c r="CO103" s="1894">
        <v>12149</v>
      </c>
      <c r="CP103" s="1894">
        <f t="shared" si="45"/>
        <v>19096</v>
      </c>
      <c r="CQ103" s="1894">
        <f t="shared" si="46"/>
        <v>0</v>
      </c>
      <c r="CR103" s="1924">
        <v>134</v>
      </c>
      <c r="CS103" s="1924">
        <v>55.2</v>
      </c>
      <c r="CT103" s="1924">
        <v>107.2</v>
      </c>
      <c r="CU103" s="1924">
        <v>0.97299999999999998</v>
      </c>
      <c r="CV103" s="1924">
        <v>36.65</v>
      </c>
      <c r="CW103" s="1924">
        <v>15052</v>
      </c>
      <c r="CX103" s="1894">
        <f t="shared" si="47"/>
        <v>24641</v>
      </c>
      <c r="CY103" s="1894">
        <f t="shared" si="48"/>
        <v>0</v>
      </c>
    </row>
    <row r="104" spans="1:103">
      <c r="A104" s="982">
        <v>121000000068</v>
      </c>
      <c r="B104" s="1923">
        <f t="shared" si="49"/>
        <v>98</v>
      </c>
      <c r="C104" s="1895" t="s">
        <v>2999</v>
      </c>
      <c r="D104" s="1894" t="s">
        <v>524</v>
      </c>
      <c r="E104" s="1895" t="s">
        <v>541</v>
      </c>
      <c r="F104" s="1894" t="s">
        <v>259</v>
      </c>
      <c r="G104" s="1924">
        <v>134</v>
      </c>
      <c r="H104" s="1894">
        <v>134</v>
      </c>
      <c r="I104" s="1894">
        <v>152.47999999999999</v>
      </c>
      <c r="J104" s="1894">
        <v>152.47999999999999</v>
      </c>
      <c r="K104" s="1894">
        <v>0.85509999999999997</v>
      </c>
      <c r="L104" s="1894">
        <v>43.36</v>
      </c>
      <c r="M104" s="1894">
        <v>49196</v>
      </c>
      <c r="N104" s="1894">
        <f t="shared" si="27"/>
        <v>65871</v>
      </c>
      <c r="O104" s="1894">
        <f t="shared" si="28"/>
        <v>0</v>
      </c>
      <c r="P104" s="1894">
        <v>134</v>
      </c>
      <c r="Q104" s="1894">
        <v>146.23999999999998</v>
      </c>
      <c r="R104" s="1894">
        <v>146.24</v>
      </c>
      <c r="S104" s="1894">
        <v>0.81130000000000002</v>
      </c>
      <c r="T104" s="1894">
        <v>53.15</v>
      </c>
      <c r="U104" s="1894">
        <v>57830</v>
      </c>
      <c r="V104" s="1894">
        <f t="shared" si="29"/>
        <v>65282</v>
      </c>
      <c r="W104" s="1894">
        <f t="shared" si="30"/>
        <v>0</v>
      </c>
      <c r="X104" s="1894">
        <v>134</v>
      </c>
      <c r="Y104" s="1894">
        <v>153.19999999999999</v>
      </c>
      <c r="Z104" s="1894">
        <v>153.19999999999999</v>
      </c>
      <c r="AA104" s="1894">
        <v>0.89219999999999999</v>
      </c>
      <c r="AB104" s="1894">
        <v>40.549999999999997</v>
      </c>
      <c r="AC104" s="1894">
        <v>44731</v>
      </c>
      <c r="AD104" s="1894">
        <f t="shared" si="31"/>
        <v>66182</v>
      </c>
      <c r="AE104" s="1894">
        <f t="shared" si="32"/>
        <v>0</v>
      </c>
      <c r="AF104" s="1894">
        <v>134</v>
      </c>
      <c r="AG104" s="1894">
        <v>141.04000000000002</v>
      </c>
      <c r="AH104" s="1894">
        <v>141.04</v>
      </c>
      <c r="AI104" s="1894">
        <v>0.84619999999999995</v>
      </c>
      <c r="AJ104" s="1894">
        <v>23.72</v>
      </c>
      <c r="AK104" s="1894">
        <v>24895</v>
      </c>
      <c r="AL104" s="1894">
        <f t="shared" si="52"/>
        <v>62960</v>
      </c>
      <c r="AM104" s="1894">
        <f t="shared" si="53"/>
        <v>0</v>
      </c>
      <c r="AN104" s="1894">
        <v>134</v>
      </c>
      <c r="AO104" s="1894">
        <v>21.44</v>
      </c>
      <c r="AP104" s="1894">
        <v>107.2</v>
      </c>
      <c r="AQ104" s="1894">
        <v>0.40189999999999998</v>
      </c>
      <c r="AR104" s="1894">
        <v>29.38</v>
      </c>
      <c r="AS104" s="1894">
        <v>4687</v>
      </c>
      <c r="AT104" s="1894">
        <f t="shared" si="33"/>
        <v>9571</v>
      </c>
      <c r="AU104" s="1894">
        <f t="shared" si="34"/>
        <v>0</v>
      </c>
      <c r="AV104" s="1894">
        <v>134</v>
      </c>
      <c r="AW104" s="1894">
        <v>22.8</v>
      </c>
      <c r="AX104" s="1894">
        <v>107.2</v>
      </c>
      <c r="AY104" s="1894">
        <v>0.49980000000000002</v>
      </c>
      <c r="AZ104" s="1894">
        <v>22.64</v>
      </c>
      <c r="BA104" s="1894">
        <v>3717</v>
      </c>
      <c r="BB104" s="1894">
        <f t="shared" si="35"/>
        <v>9850</v>
      </c>
      <c r="BC104" s="1894">
        <f t="shared" si="36"/>
        <v>0</v>
      </c>
      <c r="BD104" s="1894">
        <v>134</v>
      </c>
      <c r="BE104" s="1894">
        <v>17.919999999999998</v>
      </c>
      <c r="BF104" s="1894">
        <v>107.2</v>
      </c>
      <c r="BG104" s="1894">
        <v>0.83260000000000001</v>
      </c>
      <c r="BH104" s="1894">
        <v>17.88</v>
      </c>
      <c r="BI104" s="1894">
        <v>2384</v>
      </c>
      <c r="BJ104" s="1894">
        <f t="shared" si="37"/>
        <v>7999</v>
      </c>
      <c r="BK104" s="1894">
        <f t="shared" si="38"/>
        <v>0</v>
      </c>
      <c r="BL104" s="1894">
        <v>134</v>
      </c>
      <c r="BM104" s="1894">
        <v>23.52</v>
      </c>
      <c r="BN104" s="1894">
        <v>107.2</v>
      </c>
      <c r="BO104" s="1894">
        <v>0.18140000000000001</v>
      </c>
      <c r="BP104" s="1894">
        <v>44.78</v>
      </c>
      <c r="BQ104" s="1894">
        <v>7583</v>
      </c>
      <c r="BR104" s="1894">
        <f t="shared" si="39"/>
        <v>10161</v>
      </c>
      <c r="BS104" s="1894">
        <f t="shared" si="40"/>
        <v>0</v>
      </c>
      <c r="BT104" s="1894">
        <v>134</v>
      </c>
      <c r="BU104" s="1894">
        <v>143.52000000000001</v>
      </c>
      <c r="BV104" s="1894">
        <v>143.52000000000001</v>
      </c>
      <c r="BW104" s="1894">
        <v>0.66710000000000003</v>
      </c>
      <c r="BX104" s="1894">
        <v>23.29</v>
      </c>
      <c r="BY104" s="1894">
        <v>24864</v>
      </c>
      <c r="BZ104" s="1894">
        <f t="shared" si="41"/>
        <v>64067</v>
      </c>
      <c r="CA104" s="1894">
        <f t="shared" si="42"/>
        <v>0</v>
      </c>
      <c r="CB104" s="1894">
        <v>134</v>
      </c>
      <c r="CC104" s="1894">
        <v>169.2</v>
      </c>
      <c r="CD104" s="1894">
        <v>169.2</v>
      </c>
      <c r="CE104" s="1894">
        <v>0.85429999999999995</v>
      </c>
      <c r="CF104" s="1894">
        <v>46.39</v>
      </c>
      <c r="CG104" s="1894">
        <v>58401</v>
      </c>
      <c r="CH104" s="1894">
        <f t="shared" si="43"/>
        <v>75531</v>
      </c>
      <c r="CI104" s="1894">
        <f t="shared" si="44"/>
        <v>0</v>
      </c>
      <c r="CJ104" s="1894">
        <v>134</v>
      </c>
      <c r="CK104" s="1894">
        <v>144.23999999999998</v>
      </c>
      <c r="CL104" s="1894">
        <v>144.24</v>
      </c>
      <c r="CM104" s="1894">
        <v>0.82779999999999998</v>
      </c>
      <c r="CN104" s="1894">
        <v>32.85</v>
      </c>
      <c r="CO104" s="1894">
        <v>31846</v>
      </c>
      <c r="CP104" s="1894">
        <f t="shared" si="45"/>
        <v>58158</v>
      </c>
      <c r="CQ104" s="1894">
        <f t="shared" si="46"/>
        <v>0</v>
      </c>
      <c r="CR104" s="1924">
        <v>134</v>
      </c>
      <c r="CS104" s="1924">
        <v>164.24</v>
      </c>
      <c r="CT104" s="1924">
        <v>164.24</v>
      </c>
      <c r="CU104" s="1924">
        <v>0.751</v>
      </c>
      <c r="CV104" s="1924">
        <v>51.63</v>
      </c>
      <c r="CW104" s="1924">
        <v>63093</v>
      </c>
      <c r="CX104" s="1894">
        <f t="shared" si="47"/>
        <v>73317</v>
      </c>
      <c r="CY104" s="1894">
        <f t="shared" si="48"/>
        <v>0</v>
      </c>
    </row>
    <row r="105" spans="1:103">
      <c r="A105" s="982">
        <v>122000000010</v>
      </c>
      <c r="B105" s="1923">
        <f t="shared" si="49"/>
        <v>99</v>
      </c>
      <c r="C105" s="1895" t="s">
        <v>3000</v>
      </c>
      <c r="D105" s="1894" t="s">
        <v>524</v>
      </c>
      <c r="E105" s="1895" t="s">
        <v>541</v>
      </c>
      <c r="F105" s="1894" t="s">
        <v>259</v>
      </c>
      <c r="G105" s="1924">
        <v>134</v>
      </c>
      <c r="H105" s="1894">
        <v>134</v>
      </c>
      <c r="I105" s="1894">
        <v>115</v>
      </c>
      <c r="J105" s="1894">
        <v>115</v>
      </c>
      <c r="K105" s="1894">
        <v>0.91500000000000004</v>
      </c>
      <c r="L105" s="1894">
        <v>18.32</v>
      </c>
      <c r="M105" s="1894">
        <v>15672</v>
      </c>
      <c r="N105" s="1894">
        <f t="shared" si="27"/>
        <v>49680</v>
      </c>
      <c r="O105" s="1894">
        <f t="shared" si="28"/>
        <v>0</v>
      </c>
      <c r="P105" s="1894">
        <v>134</v>
      </c>
      <c r="Q105" s="1894">
        <v>114.5</v>
      </c>
      <c r="R105" s="1894">
        <v>114.5</v>
      </c>
      <c r="S105" s="1894">
        <v>0.92249999999999999</v>
      </c>
      <c r="T105" s="1894">
        <v>18.920000000000002</v>
      </c>
      <c r="U105" s="1894">
        <v>17673</v>
      </c>
      <c r="V105" s="1894">
        <f t="shared" si="29"/>
        <v>51113</v>
      </c>
      <c r="W105" s="1894">
        <f t="shared" si="30"/>
        <v>0</v>
      </c>
      <c r="X105" s="1894">
        <v>134</v>
      </c>
      <c r="Y105" s="1894">
        <v>126.4</v>
      </c>
      <c r="Z105" s="1894">
        <v>126.4</v>
      </c>
      <c r="AA105" s="1894">
        <v>0.92149999999999999</v>
      </c>
      <c r="AB105" s="1894">
        <v>25.2</v>
      </c>
      <c r="AC105" s="1894">
        <v>24465</v>
      </c>
      <c r="AD105" s="1894">
        <f t="shared" si="31"/>
        <v>54605</v>
      </c>
      <c r="AE105" s="1894">
        <f t="shared" si="32"/>
        <v>0</v>
      </c>
      <c r="AF105" s="1894">
        <v>134</v>
      </c>
      <c r="AG105" s="1894">
        <v>124.2</v>
      </c>
      <c r="AH105" s="1894">
        <v>124.2</v>
      </c>
      <c r="AI105" s="1894">
        <v>0.91169999999999995</v>
      </c>
      <c r="AJ105" s="1894">
        <v>21.58</v>
      </c>
      <c r="AK105" s="1894">
        <v>19938</v>
      </c>
      <c r="AL105" s="1894">
        <f t="shared" si="52"/>
        <v>55443</v>
      </c>
      <c r="AM105" s="1894">
        <f t="shared" si="53"/>
        <v>0</v>
      </c>
      <c r="AN105" s="1894">
        <v>134</v>
      </c>
      <c r="AO105" s="1894">
        <v>24</v>
      </c>
      <c r="AP105" s="1894">
        <v>107.2</v>
      </c>
      <c r="AQ105" s="1894">
        <v>0.85019999999999996</v>
      </c>
      <c r="AR105" s="1894">
        <v>156.97999999999999</v>
      </c>
      <c r="AS105" s="1894">
        <v>28030</v>
      </c>
      <c r="AT105" s="1894">
        <f t="shared" si="33"/>
        <v>10714</v>
      </c>
      <c r="AU105" s="1894">
        <f t="shared" si="34"/>
        <v>17316</v>
      </c>
      <c r="AV105" s="1894">
        <v>134</v>
      </c>
      <c r="AW105" s="1894">
        <v>129.20000000000002</v>
      </c>
      <c r="AX105" s="1894">
        <v>129.19999999999999</v>
      </c>
      <c r="AY105" s="1894">
        <v>0.89319999999999999</v>
      </c>
      <c r="AZ105" s="1894">
        <v>22.71</v>
      </c>
      <c r="BA105" s="1894">
        <v>21130</v>
      </c>
      <c r="BB105" s="1894">
        <f t="shared" si="35"/>
        <v>55814</v>
      </c>
      <c r="BC105" s="1894">
        <f t="shared" si="36"/>
        <v>0</v>
      </c>
      <c r="BD105" s="1894">
        <v>134</v>
      </c>
      <c r="BE105" s="1894">
        <v>127.40000000000002</v>
      </c>
      <c r="BF105" s="1894">
        <v>127.4</v>
      </c>
      <c r="BG105" s="1894">
        <v>0.90010000000000001</v>
      </c>
      <c r="BH105" s="1894">
        <v>15.24</v>
      </c>
      <c r="BI105" s="1894">
        <v>14445</v>
      </c>
      <c r="BJ105" s="1894">
        <f t="shared" si="37"/>
        <v>56871</v>
      </c>
      <c r="BK105" s="1894">
        <f t="shared" si="38"/>
        <v>0</v>
      </c>
      <c r="BL105" s="1894">
        <v>134</v>
      </c>
      <c r="BM105" s="1894">
        <v>151.79999999999998</v>
      </c>
      <c r="BN105" s="1894">
        <v>151.80000000000001</v>
      </c>
      <c r="BO105" s="1894">
        <v>0.86760000000000004</v>
      </c>
      <c r="BP105" s="1894">
        <v>19.96</v>
      </c>
      <c r="BQ105" s="1894">
        <v>21815</v>
      </c>
      <c r="BR105" s="1894">
        <f t="shared" si="39"/>
        <v>65578</v>
      </c>
      <c r="BS105" s="1894">
        <f t="shared" si="40"/>
        <v>0</v>
      </c>
      <c r="BT105" s="1894">
        <v>134</v>
      </c>
      <c r="BU105" s="1894">
        <v>151.4</v>
      </c>
      <c r="BV105" s="1894">
        <v>151.4</v>
      </c>
      <c r="BW105" s="1894">
        <v>0.9224</v>
      </c>
      <c r="BX105" s="1894">
        <v>25.74</v>
      </c>
      <c r="BY105" s="1894">
        <v>28995</v>
      </c>
      <c r="BZ105" s="1894">
        <f t="shared" si="41"/>
        <v>67585</v>
      </c>
      <c r="CA105" s="1894">
        <f t="shared" si="42"/>
        <v>0</v>
      </c>
      <c r="CB105" s="1894">
        <v>134</v>
      </c>
      <c r="CC105" s="1894">
        <v>159.39999999999998</v>
      </c>
      <c r="CD105" s="1894">
        <v>159.4</v>
      </c>
      <c r="CE105" s="1894">
        <v>0.92520000000000002</v>
      </c>
      <c r="CF105" s="1894">
        <v>27.69</v>
      </c>
      <c r="CG105" s="1894">
        <v>32838</v>
      </c>
      <c r="CH105" s="1894">
        <f t="shared" si="43"/>
        <v>71156</v>
      </c>
      <c r="CI105" s="1894">
        <f t="shared" si="44"/>
        <v>0</v>
      </c>
      <c r="CJ105" s="1894">
        <v>134</v>
      </c>
      <c r="CK105" s="1894">
        <v>153.4</v>
      </c>
      <c r="CL105" s="1894">
        <v>153.4</v>
      </c>
      <c r="CM105" s="1894">
        <v>0.92559999999999998</v>
      </c>
      <c r="CN105" s="1894">
        <v>22.41</v>
      </c>
      <c r="CO105" s="1894">
        <v>23100</v>
      </c>
      <c r="CP105" s="1894">
        <f t="shared" si="45"/>
        <v>61851</v>
      </c>
      <c r="CQ105" s="1894">
        <f t="shared" si="46"/>
        <v>0</v>
      </c>
      <c r="CR105" s="1924">
        <v>134</v>
      </c>
      <c r="CS105" s="1924">
        <v>123.60000000000001</v>
      </c>
      <c r="CT105" s="1924">
        <v>123.6</v>
      </c>
      <c r="CU105" s="1924">
        <v>0.92390000000000005</v>
      </c>
      <c r="CV105" s="1924">
        <v>20</v>
      </c>
      <c r="CW105" s="1924">
        <v>18388</v>
      </c>
      <c r="CX105" s="1894">
        <f t="shared" si="47"/>
        <v>55175</v>
      </c>
      <c r="CY105" s="1894">
        <f t="shared" si="48"/>
        <v>0</v>
      </c>
    </row>
    <row r="106" spans="1:103">
      <c r="A106" s="982">
        <v>123000000007</v>
      </c>
      <c r="B106" s="1923">
        <f t="shared" si="49"/>
        <v>100</v>
      </c>
      <c r="C106" s="1895" t="s">
        <v>3001</v>
      </c>
      <c r="D106" s="1894" t="s">
        <v>524</v>
      </c>
      <c r="E106" s="1895" t="s">
        <v>541</v>
      </c>
      <c r="F106" s="1894" t="s">
        <v>259</v>
      </c>
      <c r="G106" s="1924">
        <v>134</v>
      </c>
      <c r="H106" s="1894">
        <v>134</v>
      </c>
      <c r="I106" s="1894">
        <v>106.08</v>
      </c>
      <c r="J106" s="1894">
        <v>107.2</v>
      </c>
      <c r="K106" s="1894">
        <v>0.99419999999999997</v>
      </c>
      <c r="L106" s="1894">
        <v>16.55</v>
      </c>
      <c r="M106" s="1894">
        <v>12640</v>
      </c>
      <c r="N106" s="1894">
        <f t="shared" si="27"/>
        <v>45827</v>
      </c>
      <c r="O106" s="1894">
        <f t="shared" si="28"/>
        <v>0</v>
      </c>
      <c r="P106" s="1894">
        <v>134</v>
      </c>
      <c r="Q106" s="1894">
        <v>130.72</v>
      </c>
      <c r="R106" s="1894">
        <v>130.72</v>
      </c>
      <c r="S106" s="1894">
        <v>0.99119999999999997</v>
      </c>
      <c r="T106" s="1894">
        <v>32.979999999999997</v>
      </c>
      <c r="U106" s="1894">
        <v>32072</v>
      </c>
      <c r="V106" s="1894">
        <f t="shared" si="29"/>
        <v>58353</v>
      </c>
      <c r="W106" s="1894">
        <f t="shared" si="30"/>
        <v>0</v>
      </c>
      <c r="X106" s="1894">
        <v>134</v>
      </c>
      <c r="Y106" s="1894">
        <v>144</v>
      </c>
      <c r="Z106" s="1894">
        <v>144</v>
      </c>
      <c r="AA106" s="1894">
        <v>0.99719999999999998</v>
      </c>
      <c r="AB106" s="1894">
        <v>48.4</v>
      </c>
      <c r="AC106" s="1894">
        <v>50183</v>
      </c>
      <c r="AD106" s="1894">
        <f t="shared" si="31"/>
        <v>62208</v>
      </c>
      <c r="AE106" s="1894">
        <f t="shared" si="32"/>
        <v>0</v>
      </c>
      <c r="AF106" s="1894">
        <v>134</v>
      </c>
      <c r="AG106" s="1894">
        <v>117.92</v>
      </c>
      <c r="AH106" s="1894">
        <v>117.92</v>
      </c>
      <c r="AI106" s="1894">
        <v>0.99690000000000001</v>
      </c>
      <c r="AJ106" s="1894">
        <v>57.87</v>
      </c>
      <c r="AK106" s="1894">
        <v>50769</v>
      </c>
      <c r="AL106" s="1894">
        <f t="shared" si="52"/>
        <v>52639</v>
      </c>
      <c r="AM106" s="1894">
        <f t="shared" si="53"/>
        <v>0</v>
      </c>
      <c r="AN106" s="1894">
        <v>134</v>
      </c>
      <c r="AO106" s="1894">
        <v>118.63999999999999</v>
      </c>
      <c r="AP106" s="1894">
        <v>118.64</v>
      </c>
      <c r="AQ106" s="1894">
        <v>0.98299999999999998</v>
      </c>
      <c r="AR106" s="1894">
        <v>49.47</v>
      </c>
      <c r="AS106" s="1894">
        <v>43663</v>
      </c>
      <c r="AT106" s="1894">
        <f t="shared" si="33"/>
        <v>52961</v>
      </c>
      <c r="AU106" s="1894">
        <f t="shared" si="34"/>
        <v>0</v>
      </c>
      <c r="AV106" s="1894">
        <v>134</v>
      </c>
      <c r="AW106" s="1894">
        <v>132.47999999999999</v>
      </c>
      <c r="AX106" s="1894">
        <v>132.47999999999999</v>
      </c>
      <c r="AY106" s="1894">
        <v>0.98299999999999998</v>
      </c>
      <c r="AZ106" s="1894">
        <v>48.97</v>
      </c>
      <c r="BA106" s="1894">
        <v>46711</v>
      </c>
      <c r="BB106" s="1894">
        <f t="shared" si="35"/>
        <v>57231</v>
      </c>
      <c r="BC106" s="1894">
        <f t="shared" si="36"/>
        <v>0</v>
      </c>
      <c r="BD106" s="1894">
        <v>134</v>
      </c>
      <c r="BE106" s="1894">
        <v>108.88</v>
      </c>
      <c r="BF106" s="1894">
        <v>108.88</v>
      </c>
      <c r="BG106" s="1894">
        <v>0.98829999999999996</v>
      </c>
      <c r="BH106" s="1894">
        <v>44.13</v>
      </c>
      <c r="BI106" s="1894">
        <v>34599</v>
      </c>
      <c r="BJ106" s="1894">
        <f t="shared" si="37"/>
        <v>48604</v>
      </c>
      <c r="BK106" s="1894">
        <f t="shared" si="38"/>
        <v>0</v>
      </c>
      <c r="BL106" s="1894">
        <v>134</v>
      </c>
      <c r="BM106" s="1894">
        <v>103.28</v>
      </c>
      <c r="BN106" s="1894">
        <v>107.2</v>
      </c>
      <c r="BO106" s="1894">
        <v>0.99750000000000005</v>
      </c>
      <c r="BP106" s="1894">
        <v>48.91</v>
      </c>
      <c r="BQ106" s="1894">
        <v>37583</v>
      </c>
      <c r="BR106" s="1894">
        <f t="shared" si="39"/>
        <v>44617</v>
      </c>
      <c r="BS106" s="1894">
        <f t="shared" si="40"/>
        <v>0</v>
      </c>
      <c r="BT106" s="1894">
        <v>134</v>
      </c>
      <c r="BU106" s="1894">
        <v>92.96</v>
      </c>
      <c r="BV106" s="1894">
        <v>107.2</v>
      </c>
      <c r="BW106" s="1894">
        <v>0.99399999999999999</v>
      </c>
      <c r="BX106" s="1894">
        <v>11.57</v>
      </c>
      <c r="BY106" s="1894">
        <v>8001</v>
      </c>
      <c r="BZ106" s="1894">
        <f t="shared" si="41"/>
        <v>41497</v>
      </c>
      <c r="CA106" s="1894">
        <f t="shared" si="42"/>
        <v>0</v>
      </c>
      <c r="CB106" s="1894">
        <v>134</v>
      </c>
      <c r="CC106" s="1894">
        <v>19.84</v>
      </c>
      <c r="CD106" s="1894">
        <v>107.2</v>
      </c>
      <c r="CE106" s="1894">
        <v>0.99550000000000005</v>
      </c>
      <c r="CF106" s="1894">
        <v>45.74</v>
      </c>
      <c r="CG106" s="1894">
        <v>6752</v>
      </c>
      <c r="CH106" s="1894">
        <f t="shared" si="43"/>
        <v>8857</v>
      </c>
      <c r="CI106" s="1894">
        <f t="shared" si="44"/>
        <v>0</v>
      </c>
      <c r="CJ106" s="1894">
        <v>134</v>
      </c>
      <c r="CK106" s="1894">
        <v>96</v>
      </c>
      <c r="CL106" s="1894">
        <v>107.2</v>
      </c>
      <c r="CM106" s="1894">
        <v>0.99099999999999999</v>
      </c>
      <c r="CN106" s="1894">
        <v>16.53</v>
      </c>
      <c r="CO106" s="1894">
        <v>10661</v>
      </c>
      <c r="CP106" s="1894">
        <f t="shared" si="45"/>
        <v>38707</v>
      </c>
      <c r="CQ106" s="1894">
        <f t="shared" si="46"/>
        <v>0</v>
      </c>
      <c r="CR106" s="1924">
        <v>134</v>
      </c>
      <c r="CS106" s="1924">
        <v>95.44</v>
      </c>
      <c r="CT106" s="1924">
        <v>107.2</v>
      </c>
      <c r="CU106" s="1924">
        <v>0.99909999999999999</v>
      </c>
      <c r="CV106" s="1924">
        <v>28.84</v>
      </c>
      <c r="CW106" s="1924">
        <v>20477</v>
      </c>
      <c r="CX106" s="1894">
        <f t="shared" si="47"/>
        <v>42604</v>
      </c>
      <c r="CY106" s="1894">
        <f t="shared" si="48"/>
        <v>0</v>
      </c>
    </row>
    <row r="107" spans="1:103">
      <c r="A107" s="982">
        <v>124000000002</v>
      </c>
      <c r="B107" s="1923">
        <f t="shared" si="49"/>
        <v>101</v>
      </c>
      <c r="C107" s="1895" t="s">
        <v>3002</v>
      </c>
      <c r="D107" s="1894" t="s">
        <v>524</v>
      </c>
      <c r="E107" s="1895" t="s">
        <v>636</v>
      </c>
      <c r="F107" s="1894" t="s">
        <v>259</v>
      </c>
      <c r="G107" s="1924">
        <v>134</v>
      </c>
      <c r="H107" s="1894">
        <v>134</v>
      </c>
      <c r="I107" s="1894">
        <v>36</v>
      </c>
      <c r="J107" s="1894">
        <v>107.2</v>
      </c>
      <c r="K107" s="1894">
        <v>0.99950000000000006</v>
      </c>
      <c r="L107" s="1894">
        <v>37.19</v>
      </c>
      <c r="M107" s="1894">
        <v>8676</v>
      </c>
      <c r="N107" s="1894">
        <f t="shared" si="27"/>
        <v>15552</v>
      </c>
      <c r="O107" s="1894">
        <f t="shared" si="28"/>
        <v>0</v>
      </c>
      <c r="P107" s="1894">
        <v>134</v>
      </c>
      <c r="Q107" s="1894">
        <v>33.92</v>
      </c>
      <c r="R107" s="1894">
        <v>107.2</v>
      </c>
      <c r="S107" s="1894">
        <v>0.997</v>
      </c>
      <c r="T107" s="1894">
        <v>38.71</v>
      </c>
      <c r="U107" s="1894">
        <v>10715</v>
      </c>
      <c r="V107" s="1894">
        <f t="shared" si="29"/>
        <v>15142</v>
      </c>
      <c r="W107" s="1894">
        <f t="shared" si="30"/>
        <v>0</v>
      </c>
      <c r="X107" s="1894">
        <v>134</v>
      </c>
      <c r="Y107" s="1894">
        <v>39.28</v>
      </c>
      <c r="Z107" s="1894">
        <v>107.2</v>
      </c>
      <c r="AA107" s="1894">
        <v>0.95030000000000003</v>
      </c>
      <c r="AB107" s="1894">
        <v>36</v>
      </c>
      <c r="AC107" s="1894">
        <v>10181</v>
      </c>
      <c r="AD107" s="1894">
        <f t="shared" si="31"/>
        <v>16969</v>
      </c>
      <c r="AE107" s="1894">
        <f t="shared" si="32"/>
        <v>0</v>
      </c>
      <c r="AF107" s="1894">
        <v>134</v>
      </c>
      <c r="AG107" s="1894">
        <v>32.96</v>
      </c>
      <c r="AH107" s="1894">
        <v>107.2</v>
      </c>
      <c r="AI107" s="1894">
        <v>0.93130000000000002</v>
      </c>
      <c r="AJ107" s="1894">
        <v>38.770000000000003</v>
      </c>
      <c r="AK107" s="1894">
        <v>9507</v>
      </c>
      <c r="AL107" s="1894">
        <f t="shared" si="52"/>
        <v>14713</v>
      </c>
      <c r="AM107" s="1894">
        <f t="shared" si="53"/>
        <v>0</v>
      </c>
      <c r="AN107" s="1894">
        <v>134</v>
      </c>
      <c r="AO107" s="1894">
        <v>34.4</v>
      </c>
      <c r="AP107" s="1894">
        <v>107.2</v>
      </c>
      <c r="AQ107" s="1894">
        <v>0.92020000000000002</v>
      </c>
      <c r="AR107" s="1894">
        <v>35.64</v>
      </c>
      <c r="AS107" s="1894">
        <v>7650</v>
      </c>
      <c r="AT107" s="1894">
        <f t="shared" si="33"/>
        <v>15356</v>
      </c>
      <c r="AU107" s="1894">
        <f t="shared" si="34"/>
        <v>0</v>
      </c>
      <c r="AV107" s="1894">
        <v>134</v>
      </c>
      <c r="AW107" s="1894">
        <v>34.56</v>
      </c>
      <c r="AX107" s="1894">
        <v>107.2</v>
      </c>
      <c r="AY107" s="1894">
        <v>0.93359999999999999</v>
      </c>
      <c r="AZ107" s="1894">
        <v>39.11</v>
      </c>
      <c r="BA107" s="1894">
        <v>11354</v>
      </c>
      <c r="BB107" s="1894">
        <f t="shared" si="35"/>
        <v>14930</v>
      </c>
      <c r="BC107" s="1894">
        <f t="shared" si="36"/>
        <v>0</v>
      </c>
      <c r="BD107" s="1894">
        <v>134</v>
      </c>
      <c r="BE107" s="1894">
        <v>33.040000000000006</v>
      </c>
      <c r="BF107" s="1894">
        <v>107.2</v>
      </c>
      <c r="BG107" s="1894">
        <v>0.92600000000000005</v>
      </c>
      <c r="BH107" s="1894">
        <v>37.07</v>
      </c>
      <c r="BI107" s="1894">
        <v>7642</v>
      </c>
      <c r="BJ107" s="1894">
        <f t="shared" si="37"/>
        <v>14749</v>
      </c>
      <c r="BK107" s="1894">
        <f t="shared" si="38"/>
        <v>0</v>
      </c>
      <c r="BL107" s="1894">
        <v>134</v>
      </c>
      <c r="BM107" s="1894">
        <v>28.799999999999997</v>
      </c>
      <c r="BN107" s="1894">
        <v>107.2</v>
      </c>
      <c r="BO107" s="1894">
        <v>0.90529999999999999</v>
      </c>
      <c r="BP107" s="1894">
        <v>38.729999999999997</v>
      </c>
      <c r="BQ107" s="1894">
        <v>8298</v>
      </c>
      <c r="BR107" s="1894">
        <f t="shared" si="39"/>
        <v>12442</v>
      </c>
      <c r="BS107" s="1894">
        <f t="shared" si="40"/>
        <v>0</v>
      </c>
      <c r="BT107" s="1894">
        <v>134</v>
      </c>
      <c r="BU107" s="1894">
        <v>28.32</v>
      </c>
      <c r="BV107" s="1894">
        <v>107.2</v>
      </c>
      <c r="BW107" s="1894">
        <v>0.89439999999999997</v>
      </c>
      <c r="BX107" s="1894">
        <v>38.82</v>
      </c>
      <c r="BY107" s="1894">
        <v>8180</v>
      </c>
      <c r="BZ107" s="1894">
        <f t="shared" si="41"/>
        <v>12642</v>
      </c>
      <c r="CA107" s="1894">
        <f t="shared" si="42"/>
        <v>0</v>
      </c>
      <c r="CB107" s="1894">
        <v>134</v>
      </c>
      <c r="CC107" s="1894">
        <v>27.68</v>
      </c>
      <c r="CD107" s="1894">
        <v>107.2</v>
      </c>
      <c r="CE107" s="1894">
        <v>0.91720000000000002</v>
      </c>
      <c r="CF107" s="1894">
        <v>38.909999999999997</v>
      </c>
      <c r="CG107" s="1894">
        <v>9046</v>
      </c>
      <c r="CH107" s="1894">
        <f t="shared" si="43"/>
        <v>12356</v>
      </c>
      <c r="CI107" s="1894">
        <f t="shared" si="44"/>
        <v>0</v>
      </c>
      <c r="CJ107" s="1894">
        <v>134</v>
      </c>
      <c r="CK107" s="1894">
        <v>30.56</v>
      </c>
      <c r="CL107" s="1894">
        <v>107.2</v>
      </c>
      <c r="CM107" s="1894">
        <v>0.92090000000000005</v>
      </c>
      <c r="CN107" s="1894">
        <v>35.19</v>
      </c>
      <c r="CO107" s="1894">
        <v>7226</v>
      </c>
      <c r="CP107" s="1894">
        <f t="shared" si="45"/>
        <v>12322</v>
      </c>
      <c r="CQ107" s="1894">
        <f t="shared" si="46"/>
        <v>0</v>
      </c>
      <c r="CR107" s="1924">
        <v>134</v>
      </c>
      <c r="CS107" s="1924">
        <v>27.839999999999996</v>
      </c>
      <c r="CT107" s="1924">
        <v>107.2</v>
      </c>
      <c r="CU107" s="1924">
        <v>0.92920000000000003</v>
      </c>
      <c r="CV107" s="1924">
        <v>39.39</v>
      </c>
      <c r="CW107" s="1924">
        <v>8158</v>
      </c>
      <c r="CX107" s="1894">
        <f t="shared" si="47"/>
        <v>12428</v>
      </c>
      <c r="CY107" s="1894">
        <f t="shared" si="48"/>
        <v>0</v>
      </c>
    </row>
    <row r="108" spans="1:103">
      <c r="A108" s="982">
        <v>124000000049</v>
      </c>
      <c r="B108" s="1923">
        <f t="shared" si="49"/>
        <v>102</v>
      </c>
      <c r="C108" s="1895" t="s">
        <v>3003</v>
      </c>
      <c r="D108" s="1894" t="s">
        <v>524</v>
      </c>
      <c r="E108" s="1895" t="s">
        <v>737</v>
      </c>
      <c r="F108" s="1894" t="s">
        <v>259</v>
      </c>
      <c r="G108" s="1924">
        <v>134</v>
      </c>
      <c r="H108" s="1894">
        <v>134</v>
      </c>
      <c r="I108" s="1894">
        <v>54</v>
      </c>
      <c r="J108" s="1894">
        <v>107.2</v>
      </c>
      <c r="K108" s="1894">
        <v>0.99260000000000004</v>
      </c>
      <c r="L108" s="1894">
        <v>26.76</v>
      </c>
      <c r="M108" s="1894">
        <v>10404</v>
      </c>
      <c r="N108" s="1894">
        <f t="shared" si="27"/>
        <v>23328</v>
      </c>
      <c r="O108" s="1894">
        <f t="shared" si="28"/>
        <v>0</v>
      </c>
      <c r="P108" s="1894">
        <v>134</v>
      </c>
      <c r="Q108" s="1894">
        <v>56.8</v>
      </c>
      <c r="R108" s="1894">
        <v>107.2</v>
      </c>
      <c r="S108" s="1894">
        <v>0.99339999999999995</v>
      </c>
      <c r="T108" s="1894">
        <v>26.94</v>
      </c>
      <c r="U108" s="1894">
        <v>13223</v>
      </c>
      <c r="V108" s="1894">
        <f t="shared" si="29"/>
        <v>25356</v>
      </c>
      <c r="W108" s="1894">
        <f t="shared" si="30"/>
        <v>0</v>
      </c>
      <c r="X108" s="1894">
        <v>134</v>
      </c>
      <c r="Y108" s="1894">
        <v>52.96</v>
      </c>
      <c r="Z108" s="1894">
        <v>107.2</v>
      </c>
      <c r="AA108" s="1894">
        <v>0.9929</v>
      </c>
      <c r="AB108" s="1894">
        <v>25.54</v>
      </c>
      <c r="AC108" s="1894">
        <v>9740</v>
      </c>
      <c r="AD108" s="1894">
        <f t="shared" si="31"/>
        <v>22879</v>
      </c>
      <c r="AE108" s="1894">
        <f t="shared" si="32"/>
        <v>0</v>
      </c>
      <c r="AF108" s="1894">
        <v>134</v>
      </c>
      <c r="AG108" s="1894">
        <v>44.8</v>
      </c>
      <c r="AH108" s="1894">
        <v>107.2</v>
      </c>
      <c r="AI108" s="1894">
        <v>0.99509999999999998</v>
      </c>
      <c r="AJ108" s="1894">
        <v>32.49</v>
      </c>
      <c r="AK108" s="1894">
        <v>10828</v>
      </c>
      <c r="AL108" s="1894">
        <f t="shared" si="52"/>
        <v>19999</v>
      </c>
      <c r="AM108" s="1894">
        <f t="shared" si="53"/>
        <v>0</v>
      </c>
      <c r="AN108" s="1894">
        <v>134</v>
      </c>
      <c r="AO108" s="1894">
        <v>42.08</v>
      </c>
      <c r="AP108" s="1894">
        <v>107.2</v>
      </c>
      <c r="AQ108" s="1894">
        <v>0.9919</v>
      </c>
      <c r="AR108" s="1894">
        <v>24.91</v>
      </c>
      <c r="AS108" s="1894">
        <v>7799</v>
      </c>
      <c r="AT108" s="1894">
        <f t="shared" si="33"/>
        <v>18785</v>
      </c>
      <c r="AU108" s="1894">
        <f t="shared" si="34"/>
        <v>0</v>
      </c>
      <c r="AV108" s="1894">
        <v>134</v>
      </c>
      <c r="AW108" s="1894">
        <v>79.36</v>
      </c>
      <c r="AX108" s="1894">
        <v>107.2</v>
      </c>
      <c r="AY108" s="1894">
        <v>0.98839999999999995</v>
      </c>
      <c r="AZ108" s="1894">
        <v>18.27</v>
      </c>
      <c r="BA108" s="1894">
        <v>10441</v>
      </c>
      <c r="BB108" s="1894">
        <f t="shared" si="35"/>
        <v>34284</v>
      </c>
      <c r="BC108" s="1894">
        <f t="shared" si="36"/>
        <v>0</v>
      </c>
      <c r="BD108" s="1894">
        <v>134</v>
      </c>
      <c r="BE108" s="1894">
        <v>49.12</v>
      </c>
      <c r="BF108" s="1894">
        <v>107.2</v>
      </c>
      <c r="BG108" s="1894">
        <v>0.98140000000000005</v>
      </c>
      <c r="BH108" s="1894">
        <v>25.69</v>
      </c>
      <c r="BI108" s="1894">
        <v>9390</v>
      </c>
      <c r="BJ108" s="1894">
        <f t="shared" si="37"/>
        <v>21927</v>
      </c>
      <c r="BK108" s="1894">
        <f t="shared" si="38"/>
        <v>0</v>
      </c>
      <c r="BL108" s="1894">
        <v>134</v>
      </c>
      <c r="BM108" s="1894">
        <v>56</v>
      </c>
      <c r="BN108" s="1894">
        <v>107.2</v>
      </c>
      <c r="BO108" s="1894">
        <v>0.96499999999999997</v>
      </c>
      <c r="BP108" s="1894">
        <v>24.15</v>
      </c>
      <c r="BQ108" s="1894">
        <v>9738</v>
      </c>
      <c r="BR108" s="1894">
        <f t="shared" si="39"/>
        <v>24192</v>
      </c>
      <c r="BS108" s="1894">
        <f t="shared" si="40"/>
        <v>0</v>
      </c>
      <c r="BT108" s="1894">
        <v>134</v>
      </c>
      <c r="BU108" s="1894">
        <v>39.28</v>
      </c>
      <c r="BV108" s="1894">
        <v>107.2</v>
      </c>
      <c r="BW108" s="1894">
        <v>0.97609999999999997</v>
      </c>
      <c r="BX108" s="1894">
        <v>27.15</v>
      </c>
      <c r="BY108" s="1894">
        <v>7933</v>
      </c>
      <c r="BZ108" s="1894">
        <f t="shared" si="41"/>
        <v>17535</v>
      </c>
      <c r="CA108" s="1894">
        <f t="shared" si="42"/>
        <v>0</v>
      </c>
      <c r="CB108" s="1894">
        <v>134</v>
      </c>
      <c r="CC108" s="1894">
        <v>45.92</v>
      </c>
      <c r="CD108" s="1894">
        <v>107.2</v>
      </c>
      <c r="CE108" s="1894">
        <v>0.97230000000000005</v>
      </c>
      <c r="CF108" s="1894">
        <v>22.41</v>
      </c>
      <c r="CG108" s="1894">
        <v>7657</v>
      </c>
      <c r="CH108" s="1894">
        <f t="shared" si="43"/>
        <v>20499</v>
      </c>
      <c r="CI108" s="1894">
        <f t="shared" si="44"/>
        <v>0</v>
      </c>
      <c r="CJ108" s="1894">
        <v>134</v>
      </c>
      <c r="CK108" s="1894">
        <v>48.88</v>
      </c>
      <c r="CL108" s="1894">
        <v>107.2</v>
      </c>
      <c r="CM108" s="1894">
        <v>0.98280000000000001</v>
      </c>
      <c r="CN108" s="1894">
        <v>28.45</v>
      </c>
      <c r="CO108" s="1894">
        <v>9346</v>
      </c>
      <c r="CP108" s="1894">
        <f t="shared" si="45"/>
        <v>19708</v>
      </c>
      <c r="CQ108" s="1894">
        <f t="shared" si="46"/>
        <v>0</v>
      </c>
      <c r="CR108" s="1924">
        <v>134</v>
      </c>
      <c r="CS108" s="1924">
        <v>64</v>
      </c>
      <c r="CT108" s="1924">
        <v>107.2</v>
      </c>
      <c r="CU108" s="1924">
        <v>0.98440000000000005</v>
      </c>
      <c r="CV108" s="1924">
        <v>24.56</v>
      </c>
      <c r="CW108" s="1924">
        <v>11695</v>
      </c>
      <c r="CX108" s="1894">
        <f t="shared" si="47"/>
        <v>28570</v>
      </c>
      <c r="CY108" s="1894">
        <f t="shared" si="48"/>
        <v>0</v>
      </c>
    </row>
    <row r="109" spans="1:103">
      <c r="A109" s="982">
        <v>126000000028</v>
      </c>
      <c r="B109" s="1923">
        <f t="shared" si="49"/>
        <v>103</v>
      </c>
      <c r="C109" s="1895" t="s">
        <v>3004</v>
      </c>
      <c r="D109" s="1894" t="s">
        <v>524</v>
      </c>
      <c r="E109" s="1895" t="s">
        <v>541</v>
      </c>
      <c r="F109" s="1894" t="s">
        <v>259</v>
      </c>
      <c r="G109" s="1924">
        <v>134</v>
      </c>
      <c r="H109" s="1894">
        <v>134</v>
      </c>
      <c r="I109" s="1894">
        <v>8</v>
      </c>
      <c r="J109" s="1894">
        <v>107.2</v>
      </c>
      <c r="K109" s="1894">
        <v>0.96</v>
      </c>
      <c r="L109" s="1894">
        <v>7.81</v>
      </c>
      <c r="M109" s="1894">
        <v>450</v>
      </c>
      <c r="N109" s="1894">
        <f t="shared" si="27"/>
        <v>3456</v>
      </c>
      <c r="O109" s="1894">
        <f t="shared" si="28"/>
        <v>0</v>
      </c>
      <c r="P109" s="1894">
        <v>134</v>
      </c>
      <c r="Q109" s="1894">
        <v>15.6</v>
      </c>
      <c r="R109" s="1894">
        <v>107.2</v>
      </c>
      <c r="S109" s="1894">
        <v>1</v>
      </c>
      <c r="T109" s="1894">
        <v>3.58</v>
      </c>
      <c r="U109" s="1894">
        <v>416</v>
      </c>
      <c r="V109" s="1894">
        <f t="shared" si="29"/>
        <v>6964</v>
      </c>
      <c r="W109" s="1894">
        <f t="shared" si="30"/>
        <v>0</v>
      </c>
      <c r="X109" s="1894">
        <v>134</v>
      </c>
      <c r="Y109" s="1894">
        <v>35.199999999999996</v>
      </c>
      <c r="Z109" s="1894">
        <v>107.2</v>
      </c>
      <c r="AA109" s="1894">
        <v>0.996</v>
      </c>
      <c r="AB109" s="1894">
        <v>1.98</v>
      </c>
      <c r="AC109" s="1894">
        <v>502</v>
      </c>
      <c r="AD109" s="1894">
        <f t="shared" si="31"/>
        <v>15206</v>
      </c>
      <c r="AE109" s="1894">
        <f t="shared" si="32"/>
        <v>0</v>
      </c>
      <c r="AF109" s="1894">
        <v>134</v>
      </c>
      <c r="AG109" s="1894">
        <v>49.2</v>
      </c>
      <c r="AH109" s="1894">
        <v>107.2</v>
      </c>
      <c r="AI109" s="1894">
        <v>0.97699999999999998</v>
      </c>
      <c r="AJ109" s="1894">
        <v>1.43</v>
      </c>
      <c r="AK109" s="1894">
        <v>524</v>
      </c>
      <c r="AL109" s="1894">
        <f t="shared" si="52"/>
        <v>21963</v>
      </c>
      <c r="AM109" s="1894">
        <f t="shared" si="53"/>
        <v>0</v>
      </c>
      <c r="AN109" s="1894">
        <v>134</v>
      </c>
      <c r="AO109" s="1894">
        <v>36.4</v>
      </c>
      <c r="AP109" s="1894">
        <v>107.2</v>
      </c>
      <c r="AQ109" s="1894">
        <v>0.97409999999999997</v>
      </c>
      <c r="AR109" s="1894">
        <v>1.71</v>
      </c>
      <c r="AS109" s="1894">
        <v>464</v>
      </c>
      <c r="AT109" s="1894">
        <f t="shared" si="33"/>
        <v>16249</v>
      </c>
      <c r="AU109" s="1894">
        <f t="shared" si="34"/>
        <v>0</v>
      </c>
      <c r="AV109" s="1894">
        <v>134</v>
      </c>
      <c r="AW109" s="1894">
        <v>63.6</v>
      </c>
      <c r="AX109" s="1894">
        <v>107.2</v>
      </c>
      <c r="AY109" s="1894">
        <v>0.90820000000000001</v>
      </c>
      <c r="AZ109" s="1894">
        <v>2.48</v>
      </c>
      <c r="BA109" s="1894">
        <v>1134</v>
      </c>
      <c r="BB109" s="1894">
        <f t="shared" si="35"/>
        <v>27475</v>
      </c>
      <c r="BC109" s="1894">
        <f t="shared" si="36"/>
        <v>0</v>
      </c>
      <c r="BD109" s="1894">
        <v>134</v>
      </c>
      <c r="BE109" s="1894">
        <v>68.8</v>
      </c>
      <c r="BF109" s="1894">
        <v>107.2</v>
      </c>
      <c r="BG109" s="1894">
        <v>0.89029999999999998</v>
      </c>
      <c r="BH109" s="1894">
        <v>2.46</v>
      </c>
      <c r="BI109" s="1894">
        <v>1258</v>
      </c>
      <c r="BJ109" s="1894">
        <f t="shared" si="37"/>
        <v>30712</v>
      </c>
      <c r="BK109" s="1894">
        <f t="shared" si="38"/>
        <v>0</v>
      </c>
      <c r="BL109" s="1894">
        <v>134</v>
      </c>
      <c r="BM109" s="1894">
        <v>72.399999999999991</v>
      </c>
      <c r="BN109" s="1894">
        <v>107.2</v>
      </c>
      <c r="BO109" s="1894">
        <v>0.80010000000000003</v>
      </c>
      <c r="BP109" s="1894">
        <v>4.21</v>
      </c>
      <c r="BQ109" s="1894">
        <v>2192</v>
      </c>
      <c r="BR109" s="1894">
        <f t="shared" si="39"/>
        <v>31277</v>
      </c>
      <c r="BS109" s="1894">
        <f t="shared" si="40"/>
        <v>0</v>
      </c>
      <c r="BT109" s="1894">
        <v>134</v>
      </c>
      <c r="BU109" s="1894">
        <v>81.599999999999994</v>
      </c>
      <c r="BV109" s="1894">
        <v>107.2</v>
      </c>
      <c r="BW109" s="1894">
        <v>0.87909999999999999</v>
      </c>
      <c r="BX109" s="1894">
        <v>2.7</v>
      </c>
      <c r="BY109" s="1894">
        <v>1638</v>
      </c>
      <c r="BZ109" s="1894">
        <f t="shared" si="41"/>
        <v>36426</v>
      </c>
      <c r="CA109" s="1894">
        <f t="shared" si="42"/>
        <v>0</v>
      </c>
      <c r="CB109" s="1894">
        <v>134</v>
      </c>
      <c r="CC109" s="1894">
        <v>75.2</v>
      </c>
      <c r="CD109" s="1894">
        <v>107.2</v>
      </c>
      <c r="CE109" s="1894">
        <v>0.92669999999999997</v>
      </c>
      <c r="CF109" s="1894">
        <v>2.34</v>
      </c>
      <c r="CG109" s="1894">
        <v>1310</v>
      </c>
      <c r="CH109" s="1894">
        <f t="shared" si="43"/>
        <v>33569</v>
      </c>
      <c r="CI109" s="1894">
        <f t="shared" si="44"/>
        <v>0</v>
      </c>
      <c r="CJ109" s="1894">
        <v>134</v>
      </c>
      <c r="CK109" s="1894">
        <v>78</v>
      </c>
      <c r="CL109" s="1894">
        <v>107.2</v>
      </c>
      <c r="CM109" s="1894">
        <v>0.87419999999999998</v>
      </c>
      <c r="CN109" s="1894">
        <v>5.25</v>
      </c>
      <c r="CO109" s="1894">
        <v>2752</v>
      </c>
      <c r="CP109" s="1894">
        <f t="shared" si="45"/>
        <v>31450</v>
      </c>
      <c r="CQ109" s="1894">
        <f t="shared" si="46"/>
        <v>0</v>
      </c>
      <c r="CR109" s="1924">
        <v>134</v>
      </c>
      <c r="CS109" s="1924">
        <v>79.2</v>
      </c>
      <c r="CT109" s="1924">
        <v>107.2</v>
      </c>
      <c r="CU109" s="1924">
        <v>0.86429999999999996</v>
      </c>
      <c r="CV109" s="1924">
        <v>4.7</v>
      </c>
      <c r="CW109" s="1924">
        <v>2772</v>
      </c>
      <c r="CX109" s="1894">
        <f t="shared" si="47"/>
        <v>35355</v>
      </c>
      <c r="CY109" s="1894">
        <f t="shared" si="48"/>
        <v>0</v>
      </c>
    </row>
    <row r="110" spans="1:103">
      <c r="A110" s="982">
        <v>127000000017</v>
      </c>
      <c r="B110" s="1923">
        <f t="shared" si="49"/>
        <v>104</v>
      </c>
      <c r="C110" s="1895" t="s">
        <v>3005</v>
      </c>
      <c r="D110" s="1894" t="s">
        <v>524</v>
      </c>
      <c r="E110" s="1895" t="s">
        <v>541</v>
      </c>
      <c r="F110" s="1894" t="s">
        <v>259</v>
      </c>
      <c r="G110" s="1924">
        <v>134</v>
      </c>
      <c r="H110" s="1894">
        <v>134</v>
      </c>
      <c r="I110" s="1894">
        <v>124.96</v>
      </c>
      <c r="J110" s="1894">
        <v>124.96</v>
      </c>
      <c r="K110" s="1894">
        <v>0.72060000000000002</v>
      </c>
      <c r="L110" s="1894">
        <v>39.590000000000003</v>
      </c>
      <c r="M110" s="1894">
        <v>36809</v>
      </c>
      <c r="N110" s="1894">
        <f t="shared" si="27"/>
        <v>53983</v>
      </c>
      <c r="O110" s="1894">
        <f t="shared" si="28"/>
        <v>0</v>
      </c>
      <c r="P110" s="1894">
        <v>134</v>
      </c>
      <c r="Q110" s="1894">
        <v>96.4</v>
      </c>
      <c r="R110" s="1894">
        <v>107.2</v>
      </c>
      <c r="S110" s="1894">
        <v>0.72519999999999996</v>
      </c>
      <c r="T110" s="1894">
        <v>42.34</v>
      </c>
      <c r="U110" s="1894">
        <v>29384</v>
      </c>
      <c r="V110" s="1894">
        <f t="shared" si="29"/>
        <v>43033</v>
      </c>
      <c r="W110" s="1894">
        <f t="shared" si="30"/>
        <v>0</v>
      </c>
      <c r="X110" s="1894">
        <v>134</v>
      </c>
      <c r="Y110" s="1894">
        <v>101.6</v>
      </c>
      <c r="Z110" s="1894">
        <v>107.2</v>
      </c>
      <c r="AA110" s="1894">
        <v>0.73760000000000003</v>
      </c>
      <c r="AB110" s="1894">
        <v>37.47</v>
      </c>
      <c r="AC110" s="1894">
        <v>34724</v>
      </c>
      <c r="AD110" s="1894">
        <f t="shared" si="31"/>
        <v>43891</v>
      </c>
      <c r="AE110" s="1894">
        <f t="shared" si="32"/>
        <v>0</v>
      </c>
      <c r="AF110" s="1894">
        <v>134</v>
      </c>
      <c r="AG110" s="1894">
        <v>86</v>
      </c>
      <c r="AH110" s="1894">
        <v>107.2</v>
      </c>
      <c r="AI110" s="1894">
        <v>0.7278</v>
      </c>
      <c r="AJ110" s="1894">
        <v>41.47</v>
      </c>
      <c r="AK110" s="1894">
        <v>21400</v>
      </c>
      <c r="AL110" s="1894">
        <f t="shared" si="52"/>
        <v>38390</v>
      </c>
      <c r="AM110" s="1894">
        <f t="shared" si="53"/>
        <v>0</v>
      </c>
      <c r="AN110" s="1894">
        <v>134</v>
      </c>
      <c r="AO110" s="1894">
        <v>102.24</v>
      </c>
      <c r="AP110" s="1894">
        <v>107.2</v>
      </c>
      <c r="AQ110" s="1894">
        <v>0.73640000000000005</v>
      </c>
      <c r="AR110" s="1894">
        <v>31.97</v>
      </c>
      <c r="AS110" s="1894">
        <v>23533</v>
      </c>
      <c r="AT110" s="1894">
        <f t="shared" si="33"/>
        <v>45640</v>
      </c>
      <c r="AU110" s="1894">
        <f t="shared" si="34"/>
        <v>0</v>
      </c>
      <c r="AV110" s="1894">
        <v>134</v>
      </c>
      <c r="AW110" s="1894">
        <v>115.8</v>
      </c>
      <c r="AX110" s="1894">
        <v>115.8</v>
      </c>
      <c r="AY110" s="1894">
        <v>0.74750000000000005</v>
      </c>
      <c r="AZ110" s="1894">
        <v>33.89</v>
      </c>
      <c r="BA110" s="1894">
        <v>34849</v>
      </c>
      <c r="BB110" s="1894">
        <f t="shared" si="35"/>
        <v>50026</v>
      </c>
      <c r="BC110" s="1894">
        <f t="shared" si="36"/>
        <v>0</v>
      </c>
      <c r="BD110" s="1894">
        <v>134</v>
      </c>
      <c r="BE110" s="1894">
        <v>112</v>
      </c>
      <c r="BF110" s="1894">
        <v>112</v>
      </c>
      <c r="BG110" s="1894">
        <v>0.70199999999999996</v>
      </c>
      <c r="BH110" s="1894">
        <v>37.04</v>
      </c>
      <c r="BI110" s="1894">
        <v>22898</v>
      </c>
      <c r="BJ110" s="1894">
        <f t="shared" si="37"/>
        <v>49997</v>
      </c>
      <c r="BK110" s="1894">
        <f t="shared" si="38"/>
        <v>0</v>
      </c>
      <c r="BL110" s="1894">
        <v>134</v>
      </c>
      <c r="BM110" s="1894">
        <v>110</v>
      </c>
      <c r="BN110" s="1894">
        <v>110</v>
      </c>
      <c r="BO110" s="1894">
        <v>0.69750000000000001</v>
      </c>
      <c r="BP110" s="1894">
        <v>37.33</v>
      </c>
      <c r="BQ110" s="1894">
        <v>31540</v>
      </c>
      <c r="BR110" s="1894">
        <f t="shared" si="39"/>
        <v>47520</v>
      </c>
      <c r="BS110" s="1894">
        <f t="shared" si="40"/>
        <v>0</v>
      </c>
      <c r="BT110" s="1894">
        <v>134</v>
      </c>
      <c r="BU110" s="1894">
        <v>84</v>
      </c>
      <c r="BV110" s="1894">
        <v>107.2</v>
      </c>
      <c r="BW110" s="1894">
        <v>0.66969999999999996</v>
      </c>
      <c r="BX110" s="1894">
        <v>41.15</v>
      </c>
      <c r="BY110" s="1894">
        <v>30693</v>
      </c>
      <c r="BZ110" s="1894">
        <f t="shared" si="41"/>
        <v>37498</v>
      </c>
      <c r="CA110" s="1894">
        <f t="shared" si="42"/>
        <v>0</v>
      </c>
      <c r="CB110" s="1894">
        <v>134</v>
      </c>
      <c r="CC110" s="1894">
        <v>96</v>
      </c>
      <c r="CD110" s="1894">
        <v>107.2</v>
      </c>
      <c r="CE110" s="1894">
        <v>0.69430000000000003</v>
      </c>
      <c r="CF110" s="1894">
        <v>36.71</v>
      </c>
      <c r="CG110" s="1894">
        <v>21147</v>
      </c>
      <c r="CH110" s="1894">
        <f t="shared" si="43"/>
        <v>42854</v>
      </c>
      <c r="CI110" s="1894">
        <f t="shared" si="44"/>
        <v>0</v>
      </c>
      <c r="CJ110" s="1894">
        <v>134</v>
      </c>
      <c r="CK110" s="1894">
        <v>88</v>
      </c>
      <c r="CL110" s="1894">
        <v>107.2</v>
      </c>
      <c r="CM110" s="1894">
        <v>0.71450000000000002</v>
      </c>
      <c r="CN110" s="1894">
        <v>36.49</v>
      </c>
      <c r="CO110" s="1894">
        <v>23120</v>
      </c>
      <c r="CP110" s="1894">
        <f t="shared" si="45"/>
        <v>35482</v>
      </c>
      <c r="CQ110" s="1894">
        <f t="shared" si="46"/>
        <v>0</v>
      </c>
      <c r="CR110" s="1924">
        <v>134</v>
      </c>
      <c r="CS110" s="1924">
        <v>100</v>
      </c>
      <c r="CT110" s="1924">
        <v>107.2</v>
      </c>
      <c r="CU110" s="1924">
        <v>0.73429999999999995</v>
      </c>
      <c r="CV110" s="1924">
        <v>32.28</v>
      </c>
      <c r="CW110" s="1924">
        <v>24020</v>
      </c>
      <c r="CX110" s="1894">
        <f t="shared" si="47"/>
        <v>44640</v>
      </c>
      <c r="CY110" s="1894">
        <f t="shared" si="48"/>
        <v>0</v>
      </c>
    </row>
    <row r="111" spans="1:103">
      <c r="A111" s="982">
        <v>611000000070</v>
      </c>
      <c r="B111" s="1923">
        <f t="shared" si="49"/>
        <v>105</v>
      </c>
      <c r="C111" s="1895" t="s">
        <v>3006</v>
      </c>
      <c r="D111" s="1894" t="s">
        <v>524</v>
      </c>
      <c r="E111" s="1895" t="s">
        <v>636</v>
      </c>
      <c r="F111" s="1894" t="s">
        <v>259</v>
      </c>
      <c r="G111" s="1924">
        <v>134</v>
      </c>
      <c r="H111" s="1894">
        <v>134</v>
      </c>
      <c r="I111" s="1894">
        <v>56.64</v>
      </c>
      <c r="J111" s="1894">
        <v>107.2</v>
      </c>
      <c r="K111" s="1894">
        <v>0.86619999999999997</v>
      </c>
      <c r="L111" s="1894">
        <v>50.27</v>
      </c>
      <c r="M111" s="1894">
        <v>20501</v>
      </c>
      <c r="N111" s="1894">
        <f t="shared" si="27"/>
        <v>24468</v>
      </c>
      <c r="O111" s="1894">
        <f t="shared" si="28"/>
        <v>0</v>
      </c>
      <c r="P111" s="1894">
        <v>134</v>
      </c>
      <c r="Q111" s="1894">
        <v>64.48</v>
      </c>
      <c r="R111" s="1894">
        <v>107.2</v>
      </c>
      <c r="S111" s="1894">
        <v>0.87790000000000001</v>
      </c>
      <c r="T111" s="1894">
        <v>49.38</v>
      </c>
      <c r="U111" s="1894">
        <v>23691</v>
      </c>
      <c r="V111" s="1894">
        <f t="shared" si="29"/>
        <v>28784</v>
      </c>
      <c r="W111" s="1894">
        <f t="shared" si="30"/>
        <v>0</v>
      </c>
      <c r="X111" s="1894">
        <v>134</v>
      </c>
      <c r="Y111" s="1894">
        <v>60.96</v>
      </c>
      <c r="Z111" s="1894">
        <v>107.2</v>
      </c>
      <c r="AA111" s="1894">
        <v>0.86919999999999997</v>
      </c>
      <c r="AB111" s="1894">
        <v>51.96</v>
      </c>
      <c r="AC111" s="1894">
        <v>22807</v>
      </c>
      <c r="AD111" s="1894">
        <f t="shared" si="31"/>
        <v>26335</v>
      </c>
      <c r="AE111" s="1894">
        <f t="shared" si="32"/>
        <v>0</v>
      </c>
      <c r="AF111" s="1894">
        <v>134</v>
      </c>
      <c r="AG111" s="1894">
        <v>60.88</v>
      </c>
      <c r="AH111" s="1894">
        <v>107.2</v>
      </c>
      <c r="AI111" s="1894">
        <v>0.84</v>
      </c>
      <c r="AJ111" s="1894">
        <v>51.35</v>
      </c>
      <c r="AK111" s="1894">
        <v>23257</v>
      </c>
      <c r="AL111" s="1894">
        <f t="shared" si="52"/>
        <v>27177</v>
      </c>
      <c r="AM111" s="1894">
        <f t="shared" si="53"/>
        <v>0</v>
      </c>
      <c r="AN111" s="1894">
        <v>134</v>
      </c>
      <c r="AO111" s="1894">
        <v>58.08</v>
      </c>
      <c r="AP111" s="1894">
        <v>107.2</v>
      </c>
      <c r="AQ111" s="1894">
        <v>0.81510000000000005</v>
      </c>
      <c r="AR111" s="1894">
        <v>47.17</v>
      </c>
      <c r="AS111" s="1894">
        <v>20381</v>
      </c>
      <c r="AT111" s="1894">
        <f t="shared" si="33"/>
        <v>25927</v>
      </c>
      <c r="AU111" s="1894">
        <f t="shared" si="34"/>
        <v>0</v>
      </c>
      <c r="AV111" s="1894">
        <v>134</v>
      </c>
      <c r="AW111" s="1894">
        <v>57.599999999999994</v>
      </c>
      <c r="AX111" s="1894">
        <v>107.2</v>
      </c>
      <c r="AY111" s="1894">
        <v>0.83330000000000004</v>
      </c>
      <c r="AZ111" s="1894">
        <v>53.37</v>
      </c>
      <c r="BA111" s="1894">
        <v>22135</v>
      </c>
      <c r="BB111" s="1894">
        <f t="shared" si="35"/>
        <v>24883</v>
      </c>
      <c r="BC111" s="1894">
        <f t="shared" si="36"/>
        <v>0</v>
      </c>
      <c r="BD111" s="1894">
        <v>134</v>
      </c>
      <c r="BE111" s="1894">
        <v>49.04</v>
      </c>
      <c r="BF111" s="1894">
        <v>107.2</v>
      </c>
      <c r="BG111" s="1894">
        <v>0.77669999999999995</v>
      </c>
      <c r="BH111" s="1894">
        <v>52.28</v>
      </c>
      <c r="BI111" s="1894">
        <v>19075</v>
      </c>
      <c r="BJ111" s="1894">
        <f t="shared" si="37"/>
        <v>21891</v>
      </c>
      <c r="BK111" s="1894">
        <f t="shared" si="38"/>
        <v>0</v>
      </c>
      <c r="BL111" s="1894">
        <v>134</v>
      </c>
      <c r="BM111" s="1894">
        <v>42.24</v>
      </c>
      <c r="BN111" s="1894">
        <v>107.2</v>
      </c>
      <c r="BO111" s="1894">
        <v>0.72060000000000002</v>
      </c>
      <c r="BP111" s="1894">
        <v>54.49</v>
      </c>
      <c r="BQ111" s="1894">
        <v>16572</v>
      </c>
      <c r="BR111" s="1894">
        <f t="shared" si="39"/>
        <v>18248</v>
      </c>
      <c r="BS111" s="1894">
        <f t="shared" si="40"/>
        <v>0</v>
      </c>
      <c r="BT111" s="1894">
        <v>134</v>
      </c>
      <c r="BU111" s="1894">
        <v>33.839999999999996</v>
      </c>
      <c r="BV111" s="1894">
        <v>107.2</v>
      </c>
      <c r="BW111" s="1894">
        <v>0.73209999999999997</v>
      </c>
      <c r="BX111" s="1894">
        <v>63.86</v>
      </c>
      <c r="BY111" s="1894">
        <v>16079</v>
      </c>
      <c r="BZ111" s="1894">
        <f t="shared" si="41"/>
        <v>15106</v>
      </c>
      <c r="CA111" s="1894">
        <f t="shared" si="42"/>
        <v>973</v>
      </c>
      <c r="CB111" s="1894">
        <v>134</v>
      </c>
      <c r="CC111" s="1894">
        <v>35.199999999999996</v>
      </c>
      <c r="CD111" s="1894">
        <v>107.2</v>
      </c>
      <c r="CE111" s="1894">
        <v>0.76559999999999995</v>
      </c>
      <c r="CF111" s="1894">
        <v>56.93</v>
      </c>
      <c r="CG111" s="1894">
        <v>14909</v>
      </c>
      <c r="CH111" s="1894">
        <f t="shared" si="43"/>
        <v>15713</v>
      </c>
      <c r="CI111" s="1894">
        <f t="shared" si="44"/>
        <v>0</v>
      </c>
      <c r="CJ111" s="1894">
        <v>134</v>
      </c>
      <c r="CK111" s="1894">
        <v>43.68</v>
      </c>
      <c r="CL111" s="1894">
        <v>107.2</v>
      </c>
      <c r="CM111" s="1894">
        <v>0.81430000000000002</v>
      </c>
      <c r="CN111" s="1894">
        <v>54.17</v>
      </c>
      <c r="CO111" s="1894">
        <v>15900</v>
      </c>
      <c r="CP111" s="1894">
        <f t="shared" si="45"/>
        <v>17612</v>
      </c>
      <c r="CQ111" s="1894">
        <f t="shared" si="46"/>
        <v>0</v>
      </c>
      <c r="CR111" s="1924">
        <v>134</v>
      </c>
      <c r="CS111" s="1924">
        <v>41.04</v>
      </c>
      <c r="CT111" s="1924">
        <v>107.2</v>
      </c>
      <c r="CU111" s="1924">
        <v>0.79100000000000004</v>
      </c>
      <c r="CV111" s="1924">
        <v>47.75</v>
      </c>
      <c r="CW111" s="1924">
        <v>14580</v>
      </c>
      <c r="CX111" s="1894">
        <f t="shared" si="47"/>
        <v>18320</v>
      </c>
      <c r="CY111" s="1894">
        <f t="shared" si="48"/>
        <v>0</v>
      </c>
    </row>
    <row r="112" spans="1:103">
      <c r="A112" s="982">
        <v>611000000081</v>
      </c>
      <c r="B112" s="1923">
        <f t="shared" si="49"/>
        <v>106</v>
      </c>
      <c r="C112" s="1895" t="s">
        <v>3007</v>
      </c>
      <c r="D112" s="1894" t="s">
        <v>524</v>
      </c>
      <c r="E112" s="1895" t="s">
        <v>636</v>
      </c>
      <c r="F112" s="1894" t="s">
        <v>259</v>
      </c>
      <c r="G112" s="1924">
        <v>134</v>
      </c>
      <c r="H112" s="1894">
        <v>134</v>
      </c>
      <c r="I112" s="1894">
        <v>102.24</v>
      </c>
      <c r="J112" s="1894">
        <v>107.2</v>
      </c>
      <c r="K112" s="1894">
        <v>0.88339999999999996</v>
      </c>
      <c r="L112" s="1894">
        <v>31.05</v>
      </c>
      <c r="M112" s="1894">
        <v>22856</v>
      </c>
      <c r="N112" s="1894">
        <f t="shared" si="27"/>
        <v>44168</v>
      </c>
      <c r="O112" s="1894">
        <f t="shared" si="28"/>
        <v>0</v>
      </c>
      <c r="P112" s="1894">
        <v>134</v>
      </c>
      <c r="Q112" s="1894">
        <v>108</v>
      </c>
      <c r="R112" s="1894">
        <v>108</v>
      </c>
      <c r="S112" s="1894">
        <v>0.87270000000000003</v>
      </c>
      <c r="T112" s="1894">
        <v>28.76</v>
      </c>
      <c r="U112" s="1894">
        <v>23111</v>
      </c>
      <c r="V112" s="1894">
        <f t="shared" si="29"/>
        <v>48211</v>
      </c>
      <c r="W112" s="1894">
        <f t="shared" si="30"/>
        <v>0</v>
      </c>
      <c r="X112" s="1894">
        <v>134</v>
      </c>
      <c r="Y112" s="1894">
        <v>111.60000000000001</v>
      </c>
      <c r="Z112" s="1894">
        <v>111.6</v>
      </c>
      <c r="AA112" s="1894">
        <v>0.85799999999999998</v>
      </c>
      <c r="AB112" s="1894">
        <v>30.79</v>
      </c>
      <c r="AC112" s="1894">
        <v>24738</v>
      </c>
      <c r="AD112" s="1894">
        <f t="shared" si="31"/>
        <v>48211</v>
      </c>
      <c r="AE112" s="1894">
        <f t="shared" si="32"/>
        <v>0</v>
      </c>
      <c r="AF112" s="1894">
        <v>134</v>
      </c>
      <c r="AG112" s="1894">
        <v>97.52</v>
      </c>
      <c r="AH112" s="1894">
        <v>107.2</v>
      </c>
      <c r="AI112" s="1894">
        <v>0.84550000000000003</v>
      </c>
      <c r="AJ112" s="1894">
        <v>27.82</v>
      </c>
      <c r="AK112" s="1894">
        <v>20184</v>
      </c>
      <c r="AL112" s="1894">
        <f t="shared" si="52"/>
        <v>43533</v>
      </c>
      <c r="AM112" s="1894">
        <f t="shared" si="53"/>
        <v>0</v>
      </c>
      <c r="AN112" s="1894">
        <v>134</v>
      </c>
      <c r="AO112" s="1894">
        <v>98.64</v>
      </c>
      <c r="AP112" s="1894">
        <v>107.2</v>
      </c>
      <c r="AQ112" s="1894">
        <v>0.85040000000000004</v>
      </c>
      <c r="AR112" s="1894">
        <v>28.27</v>
      </c>
      <c r="AS112" s="1894">
        <v>20747</v>
      </c>
      <c r="AT112" s="1894">
        <f t="shared" si="33"/>
        <v>44033</v>
      </c>
      <c r="AU112" s="1894">
        <f t="shared" si="34"/>
        <v>0</v>
      </c>
      <c r="AV112" s="1894">
        <v>134</v>
      </c>
      <c r="AW112" s="1894">
        <v>99.039999999999992</v>
      </c>
      <c r="AX112" s="1894">
        <v>107.2</v>
      </c>
      <c r="AY112" s="1894">
        <v>0.84909999999999997</v>
      </c>
      <c r="AZ112" s="1894">
        <v>28.7</v>
      </c>
      <c r="BA112" s="1894">
        <v>20467</v>
      </c>
      <c r="BB112" s="1894">
        <f t="shared" si="35"/>
        <v>42785</v>
      </c>
      <c r="BC112" s="1894">
        <f t="shared" si="36"/>
        <v>0</v>
      </c>
      <c r="BD112" s="1894">
        <v>134</v>
      </c>
      <c r="BE112" s="1894">
        <v>98.32</v>
      </c>
      <c r="BF112" s="1894">
        <v>107.2</v>
      </c>
      <c r="BG112" s="1894">
        <v>0.83679999999999999</v>
      </c>
      <c r="BH112" s="1894">
        <v>23.85</v>
      </c>
      <c r="BI112" s="1894">
        <v>17448</v>
      </c>
      <c r="BJ112" s="1894">
        <f t="shared" si="37"/>
        <v>43890</v>
      </c>
      <c r="BK112" s="1894">
        <f t="shared" si="38"/>
        <v>0</v>
      </c>
      <c r="BL112" s="1894">
        <v>134</v>
      </c>
      <c r="BM112" s="1894">
        <v>88.88000000000001</v>
      </c>
      <c r="BN112" s="1894">
        <v>107.2</v>
      </c>
      <c r="BO112" s="1894">
        <v>0.83179999999999998</v>
      </c>
      <c r="BP112" s="1894">
        <v>22.34</v>
      </c>
      <c r="BQ112" s="1894">
        <v>14295</v>
      </c>
      <c r="BR112" s="1894">
        <f t="shared" si="39"/>
        <v>38396</v>
      </c>
      <c r="BS112" s="1894">
        <f t="shared" si="40"/>
        <v>0</v>
      </c>
      <c r="BT112" s="1894">
        <v>134</v>
      </c>
      <c r="BU112" s="1894">
        <v>73.040000000000006</v>
      </c>
      <c r="BV112" s="1894">
        <v>107.2</v>
      </c>
      <c r="BW112" s="1894">
        <v>0.84830000000000005</v>
      </c>
      <c r="BX112" s="1894">
        <v>21.72</v>
      </c>
      <c r="BY112" s="1894">
        <v>11802</v>
      </c>
      <c r="BZ112" s="1894">
        <f t="shared" si="41"/>
        <v>32605</v>
      </c>
      <c r="CA112" s="1894">
        <f t="shared" si="42"/>
        <v>0</v>
      </c>
      <c r="CB112" s="1894">
        <v>134</v>
      </c>
      <c r="CC112" s="1894">
        <v>64.56</v>
      </c>
      <c r="CD112" s="1894">
        <v>107.2</v>
      </c>
      <c r="CE112" s="1894">
        <v>0.87309999999999999</v>
      </c>
      <c r="CF112" s="1894">
        <v>24.4</v>
      </c>
      <c r="CG112" s="1894">
        <v>11719</v>
      </c>
      <c r="CH112" s="1894">
        <f t="shared" si="43"/>
        <v>28820</v>
      </c>
      <c r="CI112" s="1894">
        <f t="shared" si="44"/>
        <v>0</v>
      </c>
      <c r="CJ112" s="1894">
        <v>134</v>
      </c>
      <c r="CK112" s="1894">
        <v>82.399999999999991</v>
      </c>
      <c r="CL112" s="1894">
        <v>107.2</v>
      </c>
      <c r="CM112" s="1894">
        <v>0.8649</v>
      </c>
      <c r="CN112" s="1894">
        <v>23.2</v>
      </c>
      <c r="CO112" s="1894">
        <v>12844</v>
      </c>
      <c r="CP112" s="1894">
        <f t="shared" si="45"/>
        <v>33224</v>
      </c>
      <c r="CQ112" s="1894">
        <f t="shared" si="46"/>
        <v>0</v>
      </c>
      <c r="CR112" s="1924">
        <v>134</v>
      </c>
      <c r="CS112" s="1924">
        <v>108.08</v>
      </c>
      <c r="CT112" s="1924">
        <v>108.08</v>
      </c>
      <c r="CU112" s="1924">
        <v>0.87219999999999998</v>
      </c>
      <c r="CV112" s="1924">
        <v>21.24</v>
      </c>
      <c r="CW112" s="1924">
        <v>17081</v>
      </c>
      <c r="CX112" s="1894">
        <f t="shared" si="47"/>
        <v>48247</v>
      </c>
      <c r="CY112" s="1894">
        <f t="shared" si="48"/>
        <v>0</v>
      </c>
    </row>
    <row r="113" spans="1:103">
      <c r="A113" s="982">
        <v>615000000033</v>
      </c>
      <c r="B113" s="1923">
        <f t="shared" si="49"/>
        <v>107</v>
      </c>
      <c r="C113" s="1895" t="s">
        <v>3008</v>
      </c>
      <c r="D113" s="1894" t="s">
        <v>524</v>
      </c>
      <c r="E113" s="1895" t="s">
        <v>541</v>
      </c>
      <c r="F113" s="1894" t="s">
        <v>259</v>
      </c>
      <c r="G113" s="1924">
        <v>134</v>
      </c>
      <c r="H113" s="1894">
        <v>134</v>
      </c>
      <c r="I113" s="1894">
        <v>158.08000000000001</v>
      </c>
      <c r="J113" s="1894">
        <v>158.08000000000001</v>
      </c>
      <c r="K113" s="1894">
        <v>0.97250000000000003</v>
      </c>
      <c r="L113" s="1894">
        <v>9.9</v>
      </c>
      <c r="M113" s="1894">
        <v>13524</v>
      </c>
      <c r="N113" s="1894">
        <f t="shared" si="27"/>
        <v>68291</v>
      </c>
      <c r="O113" s="1894">
        <f t="shared" si="28"/>
        <v>0</v>
      </c>
      <c r="P113" s="1894">
        <v>134</v>
      </c>
      <c r="Q113" s="1894">
        <v>162.32</v>
      </c>
      <c r="R113" s="1894">
        <v>162.32</v>
      </c>
      <c r="S113" s="1894">
        <v>0.96599999999999997</v>
      </c>
      <c r="T113" s="1894">
        <v>7.32</v>
      </c>
      <c r="U113" s="1894">
        <v>8835</v>
      </c>
      <c r="V113" s="1894">
        <f t="shared" si="29"/>
        <v>72460</v>
      </c>
      <c r="W113" s="1894">
        <f t="shared" si="30"/>
        <v>0</v>
      </c>
      <c r="X113" s="1894">
        <v>134</v>
      </c>
      <c r="Y113" s="1894">
        <v>146.88</v>
      </c>
      <c r="Z113" s="1894">
        <v>146.88</v>
      </c>
      <c r="AA113" s="1894">
        <v>0.90590000000000004</v>
      </c>
      <c r="AB113" s="1894">
        <v>8.82</v>
      </c>
      <c r="AC113" s="1894">
        <v>9323</v>
      </c>
      <c r="AD113" s="1894">
        <f t="shared" si="31"/>
        <v>63452</v>
      </c>
      <c r="AE113" s="1894">
        <f t="shared" si="32"/>
        <v>0</v>
      </c>
      <c r="AF113" s="1894">
        <v>134</v>
      </c>
      <c r="AG113" s="1894">
        <v>122.16</v>
      </c>
      <c r="AH113" s="1894">
        <v>122.16</v>
      </c>
      <c r="AI113" s="1894">
        <v>0.97070000000000001</v>
      </c>
      <c r="AJ113" s="1894">
        <v>18.170000000000002</v>
      </c>
      <c r="AK113" s="1894">
        <v>16515</v>
      </c>
      <c r="AL113" s="1894">
        <f t="shared" si="52"/>
        <v>54532</v>
      </c>
      <c r="AM113" s="1894">
        <f t="shared" si="53"/>
        <v>0</v>
      </c>
      <c r="AN113" s="1894">
        <v>134</v>
      </c>
      <c r="AO113" s="1894">
        <v>117.52</v>
      </c>
      <c r="AP113" s="1894">
        <v>117.52</v>
      </c>
      <c r="AQ113" s="1894">
        <v>0.88939999999999997</v>
      </c>
      <c r="AR113" s="1894">
        <v>4.62</v>
      </c>
      <c r="AS113" s="1894">
        <v>4036</v>
      </c>
      <c r="AT113" s="1894">
        <f t="shared" si="33"/>
        <v>52461</v>
      </c>
      <c r="AU113" s="1894">
        <f t="shared" si="34"/>
        <v>0</v>
      </c>
      <c r="AV113" s="1894">
        <v>134</v>
      </c>
      <c r="AW113" s="1894">
        <v>84.32</v>
      </c>
      <c r="AX113" s="1894">
        <v>107.2</v>
      </c>
      <c r="AY113" s="1894">
        <v>0.70779999999999998</v>
      </c>
      <c r="AZ113" s="1894">
        <v>2.54</v>
      </c>
      <c r="BA113" s="1894">
        <v>1489</v>
      </c>
      <c r="BB113" s="1894">
        <f t="shared" si="35"/>
        <v>36426</v>
      </c>
      <c r="BC113" s="1894">
        <f t="shared" si="36"/>
        <v>0</v>
      </c>
      <c r="BD113" s="1894">
        <v>134</v>
      </c>
      <c r="BE113" s="1894">
        <v>20.96</v>
      </c>
      <c r="BF113" s="1894">
        <v>107.2</v>
      </c>
      <c r="BG113" s="1894">
        <v>0.51649999999999996</v>
      </c>
      <c r="BH113" s="1894">
        <v>9.0299999999999994</v>
      </c>
      <c r="BI113" s="1894">
        <v>1454</v>
      </c>
      <c r="BJ113" s="1894">
        <f t="shared" si="37"/>
        <v>9357</v>
      </c>
      <c r="BK113" s="1894">
        <f t="shared" si="38"/>
        <v>0</v>
      </c>
      <c r="BL113" s="1894">
        <v>134</v>
      </c>
      <c r="BM113" s="1894">
        <v>4.72</v>
      </c>
      <c r="BN113" s="1894">
        <v>107.2</v>
      </c>
      <c r="BO113" s="1894">
        <v>0.47810000000000002</v>
      </c>
      <c r="BP113" s="1894">
        <v>48.49</v>
      </c>
      <c r="BQ113" s="1894">
        <v>1648</v>
      </c>
      <c r="BR113" s="1894">
        <f t="shared" si="39"/>
        <v>2039</v>
      </c>
      <c r="BS113" s="1894">
        <f t="shared" si="40"/>
        <v>0</v>
      </c>
      <c r="BT113" s="1894">
        <v>134</v>
      </c>
      <c r="BU113" s="1894">
        <v>6.08</v>
      </c>
      <c r="BV113" s="1894">
        <v>107.2</v>
      </c>
      <c r="BW113" s="1894">
        <v>0.47589999999999999</v>
      </c>
      <c r="BX113" s="1894">
        <v>40.04</v>
      </c>
      <c r="BY113" s="1894">
        <v>1811</v>
      </c>
      <c r="BZ113" s="1894">
        <f t="shared" si="41"/>
        <v>2714</v>
      </c>
      <c r="CA113" s="1894">
        <f t="shared" si="42"/>
        <v>0</v>
      </c>
      <c r="CB113" s="1894">
        <v>134</v>
      </c>
      <c r="CC113" s="1894">
        <v>96.8</v>
      </c>
      <c r="CD113" s="1894">
        <v>107.2</v>
      </c>
      <c r="CE113" s="1894">
        <v>0.47710000000000002</v>
      </c>
      <c r="CF113" s="1894">
        <v>1.98</v>
      </c>
      <c r="CG113" s="1894">
        <v>1423</v>
      </c>
      <c r="CH113" s="1894">
        <f t="shared" si="43"/>
        <v>43212</v>
      </c>
      <c r="CI113" s="1894">
        <f t="shared" si="44"/>
        <v>0</v>
      </c>
      <c r="CJ113" s="1894">
        <v>134</v>
      </c>
      <c r="CK113" s="1894">
        <v>122.72</v>
      </c>
      <c r="CL113" s="1894">
        <v>122.72</v>
      </c>
      <c r="CM113" s="1894">
        <v>0.95320000000000005</v>
      </c>
      <c r="CN113" s="1894">
        <v>17.760000000000002</v>
      </c>
      <c r="CO113" s="1894">
        <v>14644</v>
      </c>
      <c r="CP113" s="1894">
        <f t="shared" si="45"/>
        <v>49481</v>
      </c>
      <c r="CQ113" s="1894">
        <f t="shared" si="46"/>
        <v>0</v>
      </c>
      <c r="CR113" s="1924">
        <v>134</v>
      </c>
      <c r="CS113" s="1924">
        <v>149.28</v>
      </c>
      <c r="CT113" s="1924">
        <v>149.28</v>
      </c>
      <c r="CU113" s="1924">
        <v>0.95350000000000001</v>
      </c>
      <c r="CV113" s="1924">
        <v>16.64</v>
      </c>
      <c r="CW113" s="1924">
        <v>18483</v>
      </c>
      <c r="CX113" s="1894">
        <f t="shared" si="47"/>
        <v>66639</v>
      </c>
      <c r="CY113" s="1894">
        <f t="shared" si="48"/>
        <v>0</v>
      </c>
    </row>
    <row r="114" spans="1:103">
      <c r="A114" s="982">
        <v>622000000177</v>
      </c>
      <c r="B114" s="1923">
        <f t="shared" si="49"/>
        <v>108</v>
      </c>
      <c r="C114" s="1895" t="s">
        <v>3009</v>
      </c>
      <c r="D114" s="1894" t="s">
        <v>524</v>
      </c>
      <c r="E114" s="1895" t="s">
        <v>636</v>
      </c>
      <c r="F114" s="1894" t="s">
        <v>259</v>
      </c>
      <c r="G114" s="1924">
        <v>134</v>
      </c>
      <c r="H114" s="1894">
        <v>134</v>
      </c>
      <c r="I114" s="1894">
        <v>38.64</v>
      </c>
      <c r="J114" s="1894">
        <v>107.2</v>
      </c>
      <c r="K114" s="1894">
        <v>0.99260000000000004</v>
      </c>
      <c r="L114" s="1894">
        <v>41.02</v>
      </c>
      <c r="M114" s="1894">
        <v>11412</v>
      </c>
      <c r="N114" s="1894">
        <f t="shared" si="27"/>
        <v>16692</v>
      </c>
      <c r="O114" s="1894">
        <f t="shared" si="28"/>
        <v>0</v>
      </c>
      <c r="P114" s="1894">
        <v>134</v>
      </c>
      <c r="Q114" s="1894">
        <v>36.559999999999995</v>
      </c>
      <c r="R114" s="1894">
        <v>107.2</v>
      </c>
      <c r="S114" s="1894">
        <v>0.98880000000000001</v>
      </c>
      <c r="T114" s="1894">
        <v>33.83</v>
      </c>
      <c r="U114" s="1894">
        <v>9201</v>
      </c>
      <c r="V114" s="1894">
        <f t="shared" si="29"/>
        <v>16320</v>
      </c>
      <c r="W114" s="1894">
        <f t="shared" si="30"/>
        <v>0</v>
      </c>
      <c r="X114" s="1894">
        <v>134</v>
      </c>
      <c r="Y114" s="1894">
        <v>36.720000000000006</v>
      </c>
      <c r="Z114" s="1894">
        <v>107.2</v>
      </c>
      <c r="AA114" s="1894">
        <v>0.98599999999999999</v>
      </c>
      <c r="AB114" s="1894">
        <v>32.770000000000003</v>
      </c>
      <c r="AC114" s="1894">
        <v>8665</v>
      </c>
      <c r="AD114" s="1894">
        <f t="shared" si="31"/>
        <v>15863</v>
      </c>
      <c r="AE114" s="1894">
        <f t="shared" si="32"/>
        <v>0</v>
      </c>
      <c r="AF114" s="1894">
        <v>134</v>
      </c>
      <c r="AG114" s="1894">
        <v>32.72</v>
      </c>
      <c r="AH114" s="1894">
        <v>107.2</v>
      </c>
      <c r="AI114" s="1894">
        <v>0.98740000000000006</v>
      </c>
      <c r="AJ114" s="1894">
        <v>37.299999999999997</v>
      </c>
      <c r="AK114" s="1894">
        <v>9079</v>
      </c>
      <c r="AL114" s="1894">
        <f t="shared" si="52"/>
        <v>14606</v>
      </c>
      <c r="AM114" s="1894">
        <f t="shared" si="53"/>
        <v>0</v>
      </c>
      <c r="AN114" s="1894">
        <v>134</v>
      </c>
      <c r="AO114" s="1894">
        <v>35.76</v>
      </c>
      <c r="AP114" s="1894">
        <v>107.2</v>
      </c>
      <c r="AQ114" s="1894">
        <v>0.98719999999999997</v>
      </c>
      <c r="AR114" s="1894">
        <v>32.18</v>
      </c>
      <c r="AS114" s="1894">
        <v>8561</v>
      </c>
      <c r="AT114" s="1894">
        <f t="shared" si="33"/>
        <v>15963</v>
      </c>
      <c r="AU114" s="1894">
        <f t="shared" si="34"/>
        <v>0</v>
      </c>
      <c r="AV114" s="1894">
        <v>134</v>
      </c>
      <c r="AW114" s="1894">
        <v>34.4</v>
      </c>
      <c r="AX114" s="1894">
        <v>107.2</v>
      </c>
      <c r="AY114" s="1894">
        <v>0.98650000000000004</v>
      </c>
      <c r="AZ114" s="1894">
        <v>24.34</v>
      </c>
      <c r="BA114" s="1894">
        <v>6028</v>
      </c>
      <c r="BB114" s="1894">
        <f t="shared" si="35"/>
        <v>14861</v>
      </c>
      <c r="BC114" s="1894">
        <f t="shared" si="36"/>
        <v>0</v>
      </c>
      <c r="BD114" s="1894">
        <v>134</v>
      </c>
      <c r="BE114" s="1894">
        <v>27.6</v>
      </c>
      <c r="BF114" s="1894">
        <v>107.2</v>
      </c>
      <c r="BG114" s="1894">
        <v>0.98219999999999996</v>
      </c>
      <c r="BH114" s="1894">
        <v>30.13</v>
      </c>
      <c r="BI114" s="1894">
        <v>5987</v>
      </c>
      <c r="BJ114" s="1894">
        <f t="shared" si="37"/>
        <v>12321</v>
      </c>
      <c r="BK114" s="1894">
        <f t="shared" si="38"/>
        <v>0</v>
      </c>
      <c r="BL114" s="1894">
        <v>134</v>
      </c>
      <c r="BM114" s="1894">
        <v>27.92</v>
      </c>
      <c r="BN114" s="1894">
        <v>107.2</v>
      </c>
      <c r="BO114" s="1894">
        <v>0.98050000000000004</v>
      </c>
      <c r="BP114" s="1894">
        <v>36.450000000000003</v>
      </c>
      <c r="BQ114" s="1894">
        <v>7572</v>
      </c>
      <c r="BR114" s="1894">
        <f t="shared" si="39"/>
        <v>12061</v>
      </c>
      <c r="BS114" s="1894">
        <f t="shared" si="40"/>
        <v>0</v>
      </c>
      <c r="BT114" s="1894">
        <v>134</v>
      </c>
      <c r="BU114" s="1894">
        <v>34.08</v>
      </c>
      <c r="BV114" s="1894">
        <v>107.2</v>
      </c>
      <c r="BW114" s="1894">
        <v>0.97819999999999996</v>
      </c>
      <c r="BX114" s="1894">
        <v>26.46</v>
      </c>
      <c r="BY114" s="1894">
        <v>6709</v>
      </c>
      <c r="BZ114" s="1894">
        <f t="shared" si="41"/>
        <v>15213</v>
      </c>
      <c r="CA114" s="1894">
        <f t="shared" si="42"/>
        <v>0</v>
      </c>
      <c r="CB114" s="1894">
        <v>134</v>
      </c>
      <c r="CC114" s="1894">
        <v>31.840000000000003</v>
      </c>
      <c r="CD114" s="1894">
        <v>107.2</v>
      </c>
      <c r="CE114" s="1894">
        <v>0.99170000000000003</v>
      </c>
      <c r="CF114" s="1894">
        <v>50.96</v>
      </c>
      <c r="CG114" s="1894">
        <v>12072</v>
      </c>
      <c r="CH114" s="1894">
        <f t="shared" si="43"/>
        <v>14213</v>
      </c>
      <c r="CI114" s="1894">
        <f t="shared" si="44"/>
        <v>0</v>
      </c>
      <c r="CJ114" s="1894">
        <v>134</v>
      </c>
      <c r="CK114" s="1894">
        <v>32.64</v>
      </c>
      <c r="CL114" s="1894">
        <v>107.2</v>
      </c>
      <c r="CM114" s="1894">
        <v>0.98770000000000002</v>
      </c>
      <c r="CN114" s="1894">
        <v>48.17</v>
      </c>
      <c r="CO114" s="1894">
        <v>10566</v>
      </c>
      <c r="CP114" s="1894">
        <f t="shared" si="45"/>
        <v>13160</v>
      </c>
      <c r="CQ114" s="1894">
        <f t="shared" si="46"/>
        <v>0</v>
      </c>
      <c r="CR114" s="1924">
        <v>134</v>
      </c>
      <c r="CS114" s="1924">
        <v>30.56</v>
      </c>
      <c r="CT114" s="1924">
        <v>107.2</v>
      </c>
      <c r="CU114" s="1924">
        <v>0.9778</v>
      </c>
      <c r="CV114" s="1924">
        <v>38.19</v>
      </c>
      <c r="CW114" s="1924">
        <v>7842</v>
      </c>
      <c r="CX114" s="1894">
        <f t="shared" si="47"/>
        <v>13642</v>
      </c>
      <c r="CY114" s="1894">
        <f t="shared" si="48"/>
        <v>0</v>
      </c>
    </row>
    <row r="115" spans="1:103">
      <c r="A115" s="982">
        <v>622000000186</v>
      </c>
      <c r="B115" s="1923">
        <f t="shared" si="49"/>
        <v>109</v>
      </c>
      <c r="C115" s="1895" t="s">
        <v>3010</v>
      </c>
      <c r="D115" s="1894" t="s">
        <v>524</v>
      </c>
      <c r="E115" s="1895" t="s">
        <v>629</v>
      </c>
      <c r="F115" s="1894" t="s">
        <v>259</v>
      </c>
      <c r="G115" s="1924">
        <v>134</v>
      </c>
      <c r="H115" s="1894">
        <v>134</v>
      </c>
      <c r="I115" s="1894">
        <v>108.08</v>
      </c>
      <c r="J115" s="1894">
        <v>134</v>
      </c>
      <c r="K115" s="1894">
        <v>0.95230000000000004</v>
      </c>
      <c r="L115" s="1894">
        <v>0</v>
      </c>
      <c r="M115" s="1894">
        <v>35221</v>
      </c>
      <c r="N115" s="1894">
        <f t="shared" si="27"/>
        <v>46691</v>
      </c>
      <c r="O115" s="1894">
        <f t="shared" si="28"/>
        <v>0</v>
      </c>
      <c r="P115" s="1894">
        <v>134</v>
      </c>
      <c r="Q115" s="1894">
        <v>112.88</v>
      </c>
      <c r="R115" s="1894">
        <v>134</v>
      </c>
      <c r="S115" s="1894">
        <v>0.94869999999999999</v>
      </c>
      <c r="T115" s="1894">
        <v>0</v>
      </c>
      <c r="U115" s="1894">
        <v>27431</v>
      </c>
      <c r="V115" s="1894">
        <f t="shared" si="29"/>
        <v>50390</v>
      </c>
      <c r="W115" s="1894">
        <f t="shared" si="30"/>
        <v>0</v>
      </c>
      <c r="X115" s="1894">
        <v>134</v>
      </c>
      <c r="Y115" s="1894">
        <v>118.32000000000001</v>
      </c>
      <c r="Z115" s="1894">
        <v>134</v>
      </c>
      <c r="AA115" s="1894">
        <v>0.94710000000000005</v>
      </c>
      <c r="AB115" s="1894">
        <v>0</v>
      </c>
      <c r="AC115" s="1894">
        <v>39143</v>
      </c>
      <c r="AD115" s="1894">
        <f t="shared" si="31"/>
        <v>51114</v>
      </c>
      <c r="AE115" s="1894">
        <f t="shared" si="32"/>
        <v>0</v>
      </c>
      <c r="AF115" s="1894">
        <v>134</v>
      </c>
      <c r="AG115" s="1894">
        <v>92.72</v>
      </c>
      <c r="AH115" s="1894">
        <v>134</v>
      </c>
      <c r="AI115" s="1894">
        <v>0.94320000000000004</v>
      </c>
      <c r="AJ115" s="1894">
        <v>0</v>
      </c>
      <c r="AK115" s="1894">
        <v>25914</v>
      </c>
      <c r="AL115" s="1894">
        <f t="shared" si="52"/>
        <v>41390</v>
      </c>
      <c r="AM115" s="1894">
        <f t="shared" si="53"/>
        <v>0</v>
      </c>
      <c r="AN115" s="1894">
        <v>134</v>
      </c>
      <c r="AO115" s="1894">
        <v>102</v>
      </c>
      <c r="AP115" s="1894">
        <v>134</v>
      </c>
      <c r="AQ115" s="1894">
        <v>0.94430000000000003</v>
      </c>
      <c r="AR115" s="1894">
        <v>0</v>
      </c>
      <c r="AS115" s="1894">
        <v>26777</v>
      </c>
      <c r="AT115" s="1894">
        <f t="shared" si="33"/>
        <v>45533</v>
      </c>
      <c r="AU115" s="1894">
        <f t="shared" si="34"/>
        <v>0</v>
      </c>
      <c r="AV115" s="1894">
        <v>134</v>
      </c>
      <c r="AW115" s="1894">
        <v>95.52000000000001</v>
      </c>
      <c r="AX115" s="1894">
        <v>134</v>
      </c>
      <c r="AY115" s="1894">
        <v>0.95130000000000003</v>
      </c>
      <c r="AZ115" s="1894">
        <v>0</v>
      </c>
      <c r="BA115" s="1894">
        <v>29602</v>
      </c>
      <c r="BB115" s="1894">
        <f t="shared" si="35"/>
        <v>41265</v>
      </c>
      <c r="BC115" s="1894">
        <f t="shared" si="36"/>
        <v>0</v>
      </c>
      <c r="BD115" s="1894">
        <v>134</v>
      </c>
      <c r="BE115" s="1894">
        <v>85.2</v>
      </c>
      <c r="BF115" s="1894">
        <v>134</v>
      </c>
      <c r="BG115" s="1894">
        <v>0.95050000000000001</v>
      </c>
      <c r="BH115" s="1894">
        <v>0</v>
      </c>
      <c r="BI115" s="1894">
        <v>28241</v>
      </c>
      <c r="BJ115" s="1894">
        <f t="shared" si="37"/>
        <v>38033</v>
      </c>
      <c r="BK115" s="1894">
        <f t="shared" si="38"/>
        <v>0</v>
      </c>
      <c r="BL115" s="1894">
        <v>134</v>
      </c>
      <c r="BM115" s="1894">
        <v>92.800000000000011</v>
      </c>
      <c r="BN115" s="1894">
        <v>134</v>
      </c>
      <c r="BO115" s="1894">
        <v>0.95079999999999998</v>
      </c>
      <c r="BP115" s="1894">
        <v>0</v>
      </c>
      <c r="BQ115" s="1894">
        <v>21980</v>
      </c>
      <c r="BR115" s="1894">
        <f t="shared" si="39"/>
        <v>40090</v>
      </c>
      <c r="BS115" s="1894">
        <f t="shared" si="40"/>
        <v>0</v>
      </c>
      <c r="BT115" s="1894">
        <v>134</v>
      </c>
      <c r="BU115" s="1894">
        <v>100.64</v>
      </c>
      <c r="BV115" s="1894">
        <v>134</v>
      </c>
      <c r="BW115" s="1894">
        <v>0.96499999999999997</v>
      </c>
      <c r="BX115" s="1894">
        <v>0</v>
      </c>
      <c r="BY115" s="1894">
        <v>31714</v>
      </c>
      <c r="BZ115" s="1894">
        <f t="shared" si="41"/>
        <v>44926</v>
      </c>
      <c r="CA115" s="1894">
        <f t="shared" si="42"/>
        <v>0</v>
      </c>
      <c r="CB115" s="1894">
        <v>134</v>
      </c>
      <c r="CC115" s="1894">
        <v>102.4</v>
      </c>
      <c r="CD115" s="1894">
        <v>134</v>
      </c>
      <c r="CE115" s="1894">
        <v>0.9667</v>
      </c>
      <c r="CF115" s="1894">
        <v>0</v>
      </c>
      <c r="CG115" s="1894">
        <v>27319</v>
      </c>
      <c r="CH115" s="1894">
        <f t="shared" si="43"/>
        <v>45711</v>
      </c>
      <c r="CI115" s="1894">
        <f t="shared" si="44"/>
        <v>0</v>
      </c>
      <c r="CJ115" s="1894">
        <v>134</v>
      </c>
      <c r="CK115" s="1894">
        <v>104.64</v>
      </c>
      <c r="CL115" s="1894">
        <v>134</v>
      </c>
      <c r="CM115" s="1894">
        <v>0.95579999999999998</v>
      </c>
      <c r="CN115" s="1894">
        <v>0</v>
      </c>
      <c r="CO115" s="1894">
        <v>31581</v>
      </c>
      <c r="CP115" s="1894">
        <f t="shared" si="45"/>
        <v>42191</v>
      </c>
      <c r="CQ115" s="1894">
        <f t="shared" si="46"/>
        <v>0</v>
      </c>
      <c r="CR115" s="1924">
        <v>134</v>
      </c>
      <c r="CS115" s="1924">
        <v>82.64</v>
      </c>
      <c r="CT115" s="1924">
        <v>134</v>
      </c>
      <c r="CU115" s="1924">
        <v>0.94750000000000001</v>
      </c>
      <c r="CV115" s="1924">
        <v>0</v>
      </c>
      <c r="CW115" s="1924">
        <v>18190</v>
      </c>
      <c r="CX115" s="1894">
        <f t="shared" si="47"/>
        <v>36890</v>
      </c>
      <c r="CY115" s="1894">
        <f t="shared" si="48"/>
        <v>0</v>
      </c>
    </row>
    <row r="116" spans="1:103">
      <c r="A116" s="982">
        <v>611000000111</v>
      </c>
      <c r="B116" s="1923">
        <f t="shared" si="49"/>
        <v>110</v>
      </c>
      <c r="C116" s="1895" t="s">
        <v>3637</v>
      </c>
      <c r="D116" s="1894" t="s">
        <v>2930</v>
      </c>
      <c r="E116" s="1895" t="s">
        <v>737</v>
      </c>
      <c r="F116" s="1894" t="s">
        <v>259</v>
      </c>
      <c r="G116" s="1894">
        <v>134</v>
      </c>
      <c r="H116" s="1894">
        <v>134</v>
      </c>
      <c r="I116" s="1894">
        <v>18.16</v>
      </c>
      <c r="J116" s="1894">
        <v>107.2</v>
      </c>
      <c r="K116" s="1894">
        <v>0.99439999999999995</v>
      </c>
      <c r="L116" s="1894">
        <v>21.34</v>
      </c>
      <c r="M116" s="1925">
        <v>2883</v>
      </c>
      <c r="N116" s="1894">
        <f t="shared" si="27"/>
        <v>7845</v>
      </c>
      <c r="O116" s="1894">
        <f t="shared" si="28"/>
        <v>0</v>
      </c>
      <c r="P116" s="1894">
        <v>134</v>
      </c>
      <c r="Q116" s="1894">
        <v>16.88</v>
      </c>
      <c r="R116" s="1894">
        <v>107.2</v>
      </c>
      <c r="S116" s="1894">
        <v>0.99950000000000006</v>
      </c>
      <c r="T116" s="1894">
        <v>19.53</v>
      </c>
      <c r="U116" s="1894">
        <v>2373</v>
      </c>
      <c r="V116" s="1894">
        <f t="shared" si="29"/>
        <v>7535</v>
      </c>
      <c r="W116" s="1894">
        <f t="shared" si="30"/>
        <v>0</v>
      </c>
      <c r="X116" s="1894">
        <v>134</v>
      </c>
      <c r="Y116" s="1894">
        <v>22.24</v>
      </c>
      <c r="Z116" s="1894">
        <v>107.2</v>
      </c>
      <c r="AA116" s="1894">
        <v>1</v>
      </c>
      <c r="AB116" s="1894">
        <v>14.34</v>
      </c>
      <c r="AC116" s="1894">
        <v>2756</v>
      </c>
      <c r="AD116" s="1894">
        <f t="shared" si="31"/>
        <v>9608</v>
      </c>
      <c r="AE116" s="1894">
        <f t="shared" si="32"/>
        <v>0</v>
      </c>
      <c r="AF116" s="1894">
        <v>134</v>
      </c>
      <c r="AG116" s="1894">
        <v>17.440000000000001</v>
      </c>
      <c r="AH116" s="1894">
        <v>107.2</v>
      </c>
      <c r="AI116" s="1894">
        <v>1</v>
      </c>
      <c r="AJ116" s="1894">
        <v>19.05</v>
      </c>
      <c r="AK116" s="1894">
        <v>2472</v>
      </c>
      <c r="AL116" s="1894">
        <v>7785</v>
      </c>
      <c r="AM116" s="1894">
        <v>0</v>
      </c>
      <c r="AN116" s="1894">
        <v>0</v>
      </c>
      <c r="AO116" s="1894">
        <v>0</v>
      </c>
      <c r="AP116" s="1894">
        <v>0</v>
      </c>
      <c r="AQ116" s="1894">
        <v>0</v>
      </c>
      <c r="AR116" s="1894">
        <v>0</v>
      </c>
      <c r="AS116" s="1894">
        <v>0</v>
      </c>
      <c r="AT116" s="1894">
        <f t="shared" si="33"/>
        <v>0</v>
      </c>
      <c r="AU116" s="1894">
        <f t="shared" si="34"/>
        <v>0</v>
      </c>
      <c r="AV116" s="1894">
        <v>0</v>
      </c>
      <c r="AW116" s="1894">
        <v>0</v>
      </c>
      <c r="AX116" s="1894">
        <v>0</v>
      </c>
      <c r="AY116" s="1894">
        <v>0</v>
      </c>
      <c r="AZ116" s="1894">
        <v>0</v>
      </c>
      <c r="BA116" s="1894">
        <v>0</v>
      </c>
      <c r="BB116" s="1894">
        <f t="shared" si="35"/>
        <v>0</v>
      </c>
      <c r="BC116" s="1894">
        <f t="shared" si="36"/>
        <v>0</v>
      </c>
      <c r="BD116" s="1894">
        <v>0</v>
      </c>
      <c r="BE116" s="1894">
        <v>0</v>
      </c>
      <c r="BF116" s="1894">
        <v>0</v>
      </c>
      <c r="BG116" s="1894">
        <v>0</v>
      </c>
      <c r="BH116" s="1894">
        <v>0</v>
      </c>
      <c r="BI116" s="1894">
        <v>0</v>
      </c>
      <c r="BJ116" s="1894">
        <f t="shared" si="37"/>
        <v>0</v>
      </c>
      <c r="BK116" s="1894">
        <f t="shared" si="38"/>
        <v>0</v>
      </c>
      <c r="BL116" s="1894">
        <v>0</v>
      </c>
      <c r="BM116" s="1894">
        <v>0</v>
      </c>
      <c r="BN116" s="1894">
        <v>0</v>
      </c>
      <c r="BO116" s="1894">
        <v>0</v>
      </c>
      <c r="BP116" s="1894">
        <v>0</v>
      </c>
      <c r="BQ116" s="1894">
        <v>0</v>
      </c>
      <c r="BR116" s="1894">
        <f t="shared" si="39"/>
        <v>0</v>
      </c>
      <c r="BS116" s="1894">
        <f t="shared" si="40"/>
        <v>0</v>
      </c>
      <c r="BT116" s="1894">
        <v>0</v>
      </c>
      <c r="BU116" s="1894">
        <v>0</v>
      </c>
      <c r="BV116" s="1894">
        <v>0</v>
      </c>
      <c r="BW116" s="1894">
        <v>0</v>
      </c>
      <c r="BX116" s="1894">
        <v>0</v>
      </c>
      <c r="BY116" s="1894">
        <v>0</v>
      </c>
      <c r="BZ116" s="1894">
        <f t="shared" si="41"/>
        <v>0</v>
      </c>
      <c r="CA116" s="1894">
        <f t="shared" si="42"/>
        <v>0</v>
      </c>
      <c r="CB116" s="1894">
        <v>0</v>
      </c>
      <c r="CC116" s="1894">
        <v>0</v>
      </c>
      <c r="CD116" s="1894">
        <v>0</v>
      </c>
      <c r="CE116" s="1894">
        <v>0</v>
      </c>
      <c r="CF116" s="1894">
        <v>0</v>
      </c>
      <c r="CG116" s="1894">
        <v>0</v>
      </c>
      <c r="CH116" s="1894">
        <f t="shared" si="43"/>
        <v>0</v>
      </c>
      <c r="CI116" s="1894">
        <f t="shared" si="44"/>
        <v>0</v>
      </c>
      <c r="CJ116" s="1894">
        <v>0</v>
      </c>
      <c r="CK116" s="1894">
        <v>0</v>
      </c>
      <c r="CL116" s="1894">
        <v>0</v>
      </c>
      <c r="CM116" s="1894">
        <v>0</v>
      </c>
      <c r="CN116" s="1894">
        <v>0</v>
      </c>
      <c r="CO116" s="1894">
        <v>0</v>
      </c>
      <c r="CP116" s="1894">
        <f t="shared" si="45"/>
        <v>0</v>
      </c>
      <c r="CQ116" s="1894">
        <f t="shared" si="46"/>
        <v>0</v>
      </c>
      <c r="CR116" s="1894">
        <v>0</v>
      </c>
      <c r="CS116" s="1894">
        <v>0</v>
      </c>
      <c r="CT116" s="1894">
        <v>0</v>
      </c>
      <c r="CU116" s="1894">
        <v>0</v>
      </c>
      <c r="CV116" s="1894">
        <v>0</v>
      </c>
      <c r="CW116" s="1894">
        <v>0</v>
      </c>
      <c r="CX116" s="1894">
        <f t="shared" si="47"/>
        <v>0</v>
      </c>
      <c r="CY116" s="1894">
        <f t="shared" si="48"/>
        <v>0</v>
      </c>
    </row>
    <row r="117" spans="1:103">
      <c r="A117" s="982">
        <v>622000000020</v>
      </c>
      <c r="B117" s="1923">
        <f t="shared" si="49"/>
        <v>111</v>
      </c>
      <c r="C117" s="1895" t="s">
        <v>3011</v>
      </c>
      <c r="D117" s="1894" t="s">
        <v>524</v>
      </c>
      <c r="E117" s="1895" t="s">
        <v>636</v>
      </c>
      <c r="F117" s="1894" t="s">
        <v>259</v>
      </c>
      <c r="G117" s="1924">
        <v>136</v>
      </c>
      <c r="H117" s="1894">
        <v>136</v>
      </c>
      <c r="I117" s="1894">
        <v>85.6</v>
      </c>
      <c r="J117" s="1894">
        <v>108.8</v>
      </c>
      <c r="K117" s="1894">
        <v>0.98319999999999996</v>
      </c>
      <c r="L117" s="1894">
        <v>55.25</v>
      </c>
      <c r="M117" s="1894">
        <v>37455</v>
      </c>
      <c r="N117" s="1894">
        <f t="shared" si="27"/>
        <v>36979</v>
      </c>
      <c r="O117" s="1894">
        <f t="shared" si="28"/>
        <v>476</v>
      </c>
      <c r="P117" s="1894">
        <v>136</v>
      </c>
      <c r="Q117" s="1894">
        <v>87.2</v>
      </c>
      <c r="R117" s="1894">
        <v>108.8</v>
      </c>
      <c r="S117" s="1894">
        <v>0.98380000000000001</v>
      </c>
      <c r="T117" s="1894">
        <v>51.95</v>
      </c>
      <c r="U117" s="1894">
        <v>36963</v>
      </c>
      <c r="V117" s="1894">
        <f t="shared" si="29"/>
        <v>38926</v>
      </c>
      <c r="W117" s="1894">
        <f t="shared" si="30"/>
        <v>0</v>
      </c>
      <c r="X117" s="1894">
        <v>136</v>
      </c>
      <c r="Y117" s="1894">
        <v>97.4</v>
      </c>
      <c r="Z117" s="1894">
        <v>108.8</v>
      </c>
      <c r="AA117" s="1894">
        <v>0.98329999999999995</v>
      </c>
      <c r="AB117" s="1894">
        <v>47.67</v>
      </c>
      <c r="AC117" s="1894">
        <v>33430</v>
      </c>
      <c r="AD117" s="1894">
        <f t="shared" si="31"/>
        <v>42077</v>
      </c>
      <c r="AE117" s="1894">
        <f t="shared" si="32"/>
        <v>0</v>
      </c>
      <c r="AF117" s="1894">
        <v>136</v>
      </c>
      <c r="AG117" s="1894">
        <v>93.600000000000009</v>
      </c>
      <c r="AH117" s="1894">
        <v>108.8</v>
      </c>
      <c r="AI117" s="1894">
        <v>0.98419999999999996</v>
      </c>
      <c r="AJ117" s="1894">
        <v>43.35</v>
      </c>
      <c r="AK117" s="1894">
        <v>30190</v>
      </c>
      <c r="AL117" s="1894">
        <f t="shared" ref="AL117:AL127" si="54">+ROUND((24*31*0.6*AG117),0)</f>
        <v>41783</v>
      </c>
      <c r="AM117" s="1894">
        <f t="shared" ref="AM117:AM127" si="55">+MAX((AK117-AL117),0)</f>
        <v>0</v>
      </c>
      <c r="AN117" s="1894">
        <v>136</v>
      </c>
      <c r="AO117" s="1894">
        <v>103.2</v>
      </c>
      <c r="AP117" s="1894">
        <v>108.8</v>
      </c>
      <c r="AQ117" s="1894">
        <v>0.98360000000000003</v>
      </c>
      <c r="AR117" s="1894">
        <v>42.39</v>
      </c>
      <c r="AS117" s="1894">
        <v>32545</v>
      </c>
      <c r="AT117" s="1894">
        <f t="shared" si="33"/>
        <v>46068</v>
      </c>
      <c r="AU117" s="1894">
        <f t="shared" si="34"/>
        <v>0</v>
      </c>
      <c r="AV117" s="1894">
        <v>136</v>
      </c>
      <c r="AW117" s="1894">
        <v>96.8</v>
      </c>
      <c r="AX117" s="1894">
        <v>108.8</v>
      </c>
      <c r="AY117" s="1894">
        <v>0.98560000000000003</v>
      </c>
      <c r="AZ117" s="1894">
        <v>51.91</v>
      </c>
      <c r="BA117" s="1894">
        <v>36180</v>
      </c>
      <c r="BB117" s="1894">
        <f t="shared" si="35"/>
        <v>41818</v>
      </c>
      <c r="BC117" s="1894">
        <f t="shared" si="36"/>
        <v>0</v>
      </c>
      <c r="BD117" s="1894">
        <v>136</v>
      </c>
      <c r="BE117" s="1894">
        <v>94.600000000000009</v>
      </c>
      <c r="BF117" s="1894">
        <v>108.8</v>
      </c>
      <c r="BG117" s="1894">
        <v>0.98470000000000002</v>
      </c>
      <c r="BH117" s="1894">
        <v>50.78</v>
      </c>
      <c r="BI117" s="1894">
        <v>35738</v>
      </c>
      <c r="BJ117" s="1894">
        <f t="shared" si="37"/>
        <v>42229</v>
      </c>
      <c r="BK117" s="1894">
        <f t="shared" si="38"/>
        <v>0</v>
      </c>
      <c r="BL117" s="1894">
        <v>136</v>
      </c>
      <c r="BM117" s="1894">
        <v>104</v>
      </c>
      <c r="BN117" s="1894">
        <v>108.8</v>
      </c>
      <c r="BO117" s="1894">
        <v>0.98509999999999998</v>
      </c>
      <c r="BP117" s="1894">
        <v>51.32</v>
      </c>
      <c r="BQ117" s="1894">
        <v>38430</v>
      </c>
      <c r="BR117" s="1894">
        <f t="shared" si="39"/>
        <v>44928</v>
      </c>
      <c r="BS117" s="1894">
        <f t="shared" si="40"/>
        <v>0</v>
      </c>
      <c r="BT117" s="1894">
        <v>136</v>
      </c>
      <c r="BU117" s="1894">
        <v>100.6</v>
      </c>
      <c r="BV117" s="1894">
        <v>108.8</v>
      </c>
      <c r="BW117" s="1894">
        <v>0.98740000000000006</v>
      </c>
      <c r="BX117" s="1894">
        <v>55.39</v>
      </c>
      <c r="BY117" s="1894">
        <v>41460</v>
      </c>
      <c r="BZ117" s="1894">
        <f t="shared" si="41"/>
        <v>44908</v>
      </c>
      <c r="CA117" s="1894">
        <f t="shared" si="42"/>
        <v>0</v>
      </c>
      <c r="CB117" s="1894">
        <v>136</v>
      </c>
      <c r="CC117" s="1894">
        <v>106</v>
      </c>
      <c r="CD117" s="1894">
        <v>108.8</v>
      </c>
      <c r="CE117" s="1894">
        <v>0.98719999999999997</v>
      </c>
      <c r="CF117" s="1894">
        <v>52.9</v>
      </c>
      <c r="CG117" s="1894">
        <v>41722</v>
      </c>
      <c r="CH117" s="1894">
        <f t="shared" si="43"/>
        <v>47318</v>
      </c>
      <c r="CI117" s="1894">
        <f t="shared" si="44"/>
        <v>0</v>
      </c>
      <c r="CJ117" s="1894">
        <v>136</v>
      </c>
      <c r="CK117" s="1894">
        <v>106.80000000000001</v>
      </c>
      <c r="CL117" s="1894">
        <v>108.8</v>
      </c>
      <c r="CM117" s="1894">
        <v>0.98280000000000001</v>
      </c>
      <c r="CN117" s="1894">
        <v>48.94</v>
      </c>
      <c r="CO117" s="1894">
        <v>35123</v>
      </c>
      <c r="CP117" s="1894">
        <f t="shared" si="45"/>
        <v>43062</v>
      </c>
      <c r="CQ117" s="1894">
        <f t="shared" si="46"/>
        <v>0</v>
      </c>
      <c r="CR117" s="1924">
        <v>136</v>
      </c>
      <c r="CS117" s="1924">
        <v>101.4</v>
      </c>
      <c r="CT117" s="1924">
        <v>108.8</v>
      </c>
      <c r="CU117" s="1924">
        <v>0.98319999999999996</v>
      </c>
      <c r="CV117" s="1924">
        <v>47.41</v>
      </c>
      <c r="CW117" s="1924">
        <v>28847</v>
      </c>
      <c r="CX117" s="1894">
        <f t="shared" si="47"/>
        <v>45265</v>
      </c>
      <c r="CY117" s="1894">
        <f t="shared" si="48"/>
        <v>0</v>
      </c>
    </row>
    <row r="118" spans="1:103">
      <c r="A118" s="982">
        <v>615000000047</v>
      </c>
      <c r="B118" s="1923">
        <f t="shared" si="49"/>
        <v>112</v>
      </c>
      <c r="C118" s="1895" t="s">
        <v>3012</v>
      </c>
      <c r="D118" s="1894" t="s">
        <v>524</v>
      </c>
      <c r="E118" s="1895" t="s">
        <v>541</v>
      </c>
      <c r="F118" s="1894" t="s">
        <v>259</v>
      </c>
      <c r="G118" s="1924">
        <v>137</v>
      </c>
      <c r="H118" s="1894">
        <v>137</v>
      </c>
      <c r="I118" s="1894">
        <v>111.56</v>
      </c>
      <c r="J118" s="1894">
        <v>111.56</v>
      </c>
      <c r="K118" s="1894">
        <v>0.70930000000000004</v>
      </c>
      <c r="L118" s="1894">
        <v>18.38</v>
      </c>
      <c r="M118" s="1894">
        <v>17721</v>
      </c>
      <c r="N118" s="1894">
        <f t="shared" si="27"/>
        <v>48194</v>
      </c>
      <c r="O118" s="1894">
        <f t="shared" si="28"/>
        <v>0</v>
      </c>
      <c r="P118" s="1894">
        <v>137</v>
      </c>
      <c r="Q118" s="1894">
        <v>106.64</v>
      </c>
      <c r="R118" s="1894">
        <v>109.6</v>
      </c>
      <c r="S118" s="1894">
        <v>0.69879999999999998</v>
      </c>
      <c r="T118" s="1894">
        <v>8.2100000000000009</v>
      </c>
      <c r="U118" s="1894">
        <v>6516</v>
      </c>
      <c r="V118" s="1894">
        <f t="shared" si="29"/>
        <v>47604</v>
      </c>
      <c r="W118" s="1894">
        <f t="shared" si="30"/>
        <v>0</v>
      </c>
      <c r="X118" s="1894">
        <v>137</v>
      </c>
      <c r="Y118" s="1894">
        <v>115.88</v>
      </c>
      <c r="Z118" s="1894">
        <v>115.88</v>
      </c>
      <c r="AA118" s="1894">
        <v>0.70430000000000004</v>
      </c>
      <c r="AB118" s="1894">
        <v>15.63</v>
      </c>
      <c r="AC118" s="1894">
        <v>13041</v>
      </c>
      <c r="AD118" s="1894">
        <f t="shared" si="31"/>
        <v>50060</v>
      </c>
      <c r="AE118" s="1894">
        <f t="shared" si="32"/>
        <v>0</v>
      </c>
      <c r="AF118" s="1894">
        <v>137</v>
      </c>
      <c r="AG118" s="1894">
        <v>114.64</v>
      </c>
      <c r="AH118" s="1894">
        <v>114.64</v>
      </c>
      <c r="AI118" s="1894">
        <v>0.67549999999999999</v>
      </c>
      <c r="AJ118" s="1894">
        <v>14.63</v>
      </c>
      <c r="AK118" s="1894">
        <v>12476</v>
      </c>
      <c r="AL118" s="1894">
        <f t="shared" si="54"/>
        <v>51175</v>
      </c>
      <c r="AM118" s="1894">
        <f t="shared" si="55"/>
        <v>0</v>
      </c>
      <c r="AN118" s="1894">
        <v>137</v>
      </c>
      <c r="AO118" s="1894">
        <v>12.2</v>
      </c>
      <c r="AP118" s="1894">
        <v>109.6</v>
      </c>
      <c r="AQ118" s="1894">
        <v>0.98829999999999996</v>
      </c>
      <c r="AR118" s="1894">
        <v>6.6</v>
      </c>
      <c r="AS118" s="1894">
        <v>599</v>
      </c>
      <c r="AT118" s="1894">
        <f t="shared" si="33"/>
        <v>5446</v>
      </c>
      <c r="AU118" s="1894">
        <f t="shared" si="34"/>
        <v>0</v>
      </c>
      <c r="AV118" s="1894">
        <v>137</v>
      </c>
      <c r="AW118" s="1894">
        <v>1.2</v>
      </c>
      <c r="AX118" s="1894">
        <v>109.6</v>
      </c>
      <c r="AY118" s="1894">
        <v>0.9637</v>
      </c>
      <c r="AZ118" s="1894">
        <v>23.11</v>
      </c>
      <c r="BA118" s="1894">
        <v>193</v>
      </c>
      <c r="BB118" s="1894">
        <f t="shared" si="35"/>
        <v>518</v>
      </c>
      <c r="BC118" s="1894">
        <f t="shared" si="36"/>
        <v>0</v>
      </c>
      <c r="BD118" s="1894">
        <v>137</v>
      </c>
      <c r="BE118" s="1894">
        <v>64.239999999999995</v>
      </c>
      <c r="BF118" s="1894">
        <v>109.6</v>
      </c>
      <c r="BG118" s="1894">
        <v>0.99629999999999996</v>
      </c>
      <c r="BH118" s="1894">
        <v>8.36</v>
      </c>
      <c r="BI118" s="1894">
        <v>4125</v>
      </c>
      <c r="BJ118" s="1894">
        <f t="shared" si="37"/>
        <v>28677</v>
      </c>
      <c r="BK118" s="1894">
        <f t="shared" si="38"/>
        <v>0</v>
      </c>
      <c r="BL118" s="1894">
        <v>137</v>
      </c>
      <c r="BM118" s="1894">
        <v>45.32</v>
      </c>
      <c r="BN118" s="1894">
        <v>109.6</v>
      </c>
      <c r="BO118" s="1894">
        <v>0.98799999999999999</v>
      </c>
      <c r="BP118" s="1894">
        <v>1.02</v>
      </c>
      <c r="BQ118" s="1894">
        <v>334</v>
      </c>
      <c r="BR118" s="1894">
        <f t="shared" si="39"/>
        <v>19578</v>
      </c>
      <c r="BS118" s="1894">
        <f t="shared" si="40"/>
        <v>0</v>
      </c>
      <c r="BT118" s="1894">
        <v>137</v>
      </c>
      <c r="BU118" s="1894">
        <v>48.32</v>
      </c>
      <c r="BV118" s="1894">
        <v>109.6</v>
      </c>
      <c r="BW118" s="1894">
        <v>0.99239999999999995</v>
      </c>
      <c r="BX118" s="1894">
        <v>2.21</v>
      </c>
      <c r="BY118" s="1894">
        <v>796</v>
      </c>
      <c r="BZ118" s="1894">
        <f t="shared" si="41"/>
        <v>21570</v>
      </c>
      <c r="CA118" s="1894">
        <f t="shared" si="42"/>
        <v>0</v>
      </c>
      <c r="CB118" s="1894">
        <v>137</v>
      </c>
      <c r="CC118" s="1894">
        <v>52.24</v>
      </c>
      <c r="CD118" s="1894">
        <v>109.6</v>
      </c>
      <c r="CE118" s="1894">
        <v>0.99209999999999998</v>
      </c>
      <c r="CF118" s="1894">
        <v>1.64</v>
      </c>
      <c r="CG118" s="1894">
        <v>636</v>
      </c>
      <c r="CH118" s="1894">
        <f t="shared" si="43"/>
        <v>23320</v>
      </c>
      <c r="CI118" s="1894">
        <f t="shared" si="44"/>
        <v>0</v>
      </c>
      <c r="CJ118" s="1894">
        <v>137</v>
      </c>
      <c r="CK118" s="1894">
        <v>54.44</v>
      </c>
      <c r="CL118" s="1894">
        <v>109.6</v>
      </c>
      <c r="CM118" s="1894">
        <v>0.99709999999999999</v>
      </c>
      <c r="CN118" s="1894">
        <v>7.79</v>
      </c>
      <c r="CO118" s="1894">
        <v>2849</v>
      </c>
      <c r="CP118" s="1894">
        <f t="shared" si="45"/>
        <v>21950</v>
      </c>
      <c r="CQ118" s="1894">
        <f t="shared" si="46"/>
        <v>0</v>
      </c>
      <c r="CR118" s="1924">
        <v>137</v>
      </c>
      <c r="CS118" s="1924">
        <v>58.44</v>
      </c>
      <c r="CT118" s="1924">
        <v>109.6</v>
      </c>
      <c r="CU118" s="1924">
        <v>0.99629999999999996</v>
      </c>
      <c r="CV118" s="1924">
        <v>6.38</v>
      </c>
      <c r="CW118" s="1924">
        <v>2772</v>
      </c>
      <c r="CX118" s="1894">
        <f t="shared" si="47"/>
        <v>26088</v>
      </c>
      <c r="CY118" s="1894">
        <f t="shared" si="48"/>
        <v>0</v>
      </c>
    </row>
    <row r="119" spans="1:103">
      <c r="A119" s="982">
        <v>126000000038</v>
      </c>
      <c r="B119" s="1923">
        <f t="shared" si="49"/>
        <v>113</v>
      </c>
      <c r="C119" s="1895" t="s">
        <v>3013</v>
      </c>
      <c r="D119" s="1894" t="s">
        <v>524</v>
      </c>
      <c r="E119" s="1895" t="s">
        <v>541</v>
      </c>
      <c r="F119" s="1894" t="s">
        <v>259</v>
      </c>
      <c r="G119" s="1924">
        <v>137</v>
      </c>
      <c r="H119" s="1894">
        <v>137</v>
      </c>
      <c r="I119" s="1894">
        <v>2.16</v>
      </c>
      <c r="J119" s="1894">
        <v>109.6</v>
      </c>
      <c r="K119" s="1894">
        <v>0.50990000000000002</v>
      </c>
      <c r="L119" s="1894">
        <v>48.42</v>
      </c>
      <c r="M119" s="1894">
        <v>753</v>
      </c>
      <c r="N119" s="1894">
        <f t="shared" si="27"/>
        <v>933</v>
      </c>
      <c r="O119" s="1894">
        <f t="shared" si="28"/>
        <v>0</v>
      </c>
      <c r="P119" s="1894">
        <v>137</v>
      </c>
      <c r="Q119" s="1894">
        <v>2.52</v>
      </c>
      <c r="R119" s="1894">
        <v>109.6</v>
      </c>
      <c r="S119" s="1894">
        <v>0.74399999999999999</v>
      </c>
      <c r="T119" s="1894">
        <v>20</v>
      </c>
      <c r="U119" s="1894">
        <v>375</v>
      </c>
      <c r="V119" s="1894">
        <f t="shared" si="29"/>
        <v>1125</v>
      </c>
      <c r="W119" s="1894">
        <f t="shared" si="30"/>
        <v>0</v>
      </c>
      <c r="X119" s="1894">
        <v>137</v>
      </c>
      <c r="Y119" s="1894">
        <v>2.76</v>
      </c>
      <c r="Z119" s="1894">
        <v>109.6</v>
      </c>
      <c r="AA119" s="1894">
        <v>0.43969999999999998</v>
      </c>
      <c r="AB119" s="1894">
        <v>37.19</v>
      </c>
      <c r="AC119" s="1894">
        <v>739</v>
      </c>
      <c r="AD119" s="1894">
        <f t="shared" si="31"/>
        <v>1192</v>
      </c>
      <c r="AE119" s="1894">
        <f t="shared" si="32"/>
        <v>0</v>
      </c>
      <c r="AF119" s="1894">
        <v>137</v>
      </c>
      <c r="AG119" s="1894">
        <v>2.88</v>
      </c>
      <c r="AH119" s="1894">
        <v>109.6</v>
      </c>
      <c r="AI119" s="1894">
        <v>0.4153</v>
      </c>
      <c r="AJ119" s="1894">
        <v>46.86</v>
      </c>
      <c r="AK119" s="1894">
        <v>1004</v>
      </c>
      <c r="AL119" s="1894">
        <f t="shared" si="54"/>
        <v>1286</v>
      </c>
      <c r="AM119" s="1894">
        <f t="shared" si="55"/>
        <v>0</v>
      </c>
      <c r="AN119" s="1894">
        <v>137</v>
      </c>
      <c r="AO119" s="1894">
        <v>1.9200000000000002</v>
      </c>
      <c r="AP119" s="1894">
        <v>109.6</v>
      </c>
      <c r="AQ119" s="1894">
        <v>0.3886</v>
      </c>
      <c r="AR119" s="1894">
        <v>81.069999999999993</v>
      </c>
      <c r="AS119" s="1894">
        <v>1158</v>
      </c>
      <c r="AT119" s="1894">
        <f t="shared" si="33"/>
        <v>857</v>
      </c>
      <c r="AU119" s="1894">
        <f t="shared" si="34"/>
        <v>301</v>
      </c>
      <c r="AV119" s="1894">
        <v>137</v>
      </c>
      <c r="AW119" s="1894">
        <v>3</v>
      </c>
      <c r="AX119" s="1894">
        <v>109.6</v>
      </c>
      <c r="AY119" s="1894">
        <v>0.41299999999999998</v>
      </c>
      <c r="AZ119" s="1894">
        <v>46.06</v>
      </c>
      <c r="BA119" s="1894">
        <v>995</v>
      </c>
      <c r="BB119" s="1894">
        <f t="shared" si="35"/>
        <v>1296</v>
      </c>
      <c r="BC119" s="1894">
        <f t="shared" si="36"/>
        <v>0</v>
      </c>
      <c r="BD119" s="1894">
        <v>137</v>
      </c>
      <c r="BE119" s="1894">
        <v>3</v>
      </c>
      <c r="BF119" s="1894">
        <v>109.6</v>
      </c>
      <c r="BG119" s="1894">
        <v>0.34649999999999997</v>
      </c>
      <c r="BH119" s="1894">
        <v>64.25</v>
      </c>
      <c r="BI119" s="1894">
        <v>1434</v>
      </c>
      <c r="BJ119" s="1894">
        <f t="shared" si="37"/>
        <v>1339</v>
      </c>
      <c r="BK119" s="1894">
        <f t="shared" si="38"/>
        <v>95</v>
      </c>
      <c r="BL119" s="1894">
        <v>137</v>
      </c>
      <c r="BM119" s="1894">
        <v>3.6</v>
      </c>
      <c r="BN119" s="1894">
        <v>109.6</v>
      </c>
      <c r="BO119" s="1894">
        <v>0.30320000000000003</v>
      </c>
      <c r="BP119" s="1894">
        <v>64.62</v>
      </c>
      <c r="BQ119" s="1894">
        <v>1675</v>
      </c>
      <c r="BR119" s="1894">
        <f t="shared" si="39"/>
        <v>1555</v>
      </c>
      <c r="BS119" s="1894">
        <f t="shared" si="40"/>
        <v>120</v>
      </c>
      <c r="BT119" s="1894">
        <v>137</v>
      </c>
      <c r="BU119" s="1894">
        <v>3.6</v>
      </c>
      <c r="BV119" s="1894">
        <v>109.6</v>
      </c>
      <c r="BW119" s="1894">
        <v>0.27610000000000001</v>
      </c>
      <c r="BX119" s="1894">
        <v>62.46</v>
      </c>
      <c r="BY119" s="1894">
        <v>1673</v>
      </c>
      <c r="BZ119" s="1894">
        <f t="shared" si="41"/>
        <v>1607</v>
      </c>
      <c r="CA119" s="1894">
        <f t="shared" si="42"/>
        <v>66</v>
      </c>
      <c r="CB119" s="1894">
        <v>137</v>
      </c>
      <c r="CC119" s="1894">
        <v>2.88</v>
      </c>
      <c r="CD119" s="1894">
        <v>109.6</v>
      </c>
      <c r="CE119" s="1894">
        <v>0.2903</v>
      </c>
      <c r="CF119" s="1894">
        <v>62.68</v>
      </c>
      <c r="CG119" s="1894">
        <v>1343</v>
      </c>
      <c r="CH119" s="1894">
        <f t="shared" si="43"/>
        <v>1286</v>
      </c>
      <c r="CI119" s="1894">
        <f t="shared" si="44"/>
        <v>57</v>
      </c>
      <c r="CJ119" s="1894">
        <v>137</v>
      </c>
      <c r="CK119" s="1894">
        <v>2.76</v>
      </c>
      <c r="CL119" s="1894">
        <v>109.6</v>
      </c>
      <c r="CM119" s="1894">
        <v>0.31559999999999999</v>
      </c>
      <c r="CN119" s="1894">
        <v>59.96</v>
      </c>
      <c r="CO119" s="1894">
        <v>1112</v>
      </c>
      <c r="CP119" s="1894">
        <f t="shared" si="45"/>
        <v>1113</v>
      </c>
      <c r="CQ119" s="1894">
        <f t="shared" si="46"/>
        <v>0</v>
      </c>
      <c r="CR119" s="1924">
        <v>137</v>
      </c>
      <c r="CS119" s="1924">
        <v>10.200000000000001</v>
      </c>
      <c r="CT119" s="1924">
        <v>109.6</v>
      </c>
      <c r="CU119" s="1924">
        <v>0.37559999999999999</v>
      </c>
      <c r="CV119" s="1924">
        <v>14.84</v>
      </c>
      <c r="CW119" s="1924">
        <v>1126</v>
      </c>
      <c r="CX119" s="1894">
        <f t="shared" si="47"/>
        <v>4553</v>
      </c>
      <c r="CY119" s="1894">
        <f t="shared" si="48"/>
        <v>0</v>
      </c>
    </row>
    <row r="120" spans="1:103">
      <c r="A120" s="982">
        <v>622000000207</v>
      </c>
      <c r="B120" s="1923">
        <f t="shared" si="49"/>
        <v>114</v>
      </c>
      <c r="C120" s="1895" t="s">
        <v>3014</v>
      </c>
      <c r="D120" s="1894" t="s">
        <v>524</v>
      </c>
      <c r="E120" s="1895" t="s">
        <v>636</v>
      </c>
      <c r="F120" s="1894" t="s">
        <v>259</v>
      </c>
      <c r="G120" s="1924">
        <v>138</v>
      </c>
      <c r="H120" s="1894">
        <v>138</v>
      </c>
      <c r="I120" s="1894">
        <v>44.879999999999995</v>
      </c>
      <c r="J120" s="1894">
        <v>110.4</v>
      </c>
      <c r="K120" s="1894">
        <v>0.99009999999999998</v>
      </c>
      <c r="L120" s="1894">
        <v>49.29</v>
      </c>
      <c r="M120" s="1894">
        <v>12210</v>
      </c>
      <c r="N120" s="1894">
        <f t="shared" si="27"/>
        <v>19388</v>
      </c>
      <c r="O120" s="1894">
        <f t="shared" si="28"/>
        <v>0</v>
      </c>
      <c r="P120" s="1894">
        <v>138</v>
      </c>
      <c r="Q120" s="1894">
        <v>45.04</v>
      </c>
      <c r="R120" s="1894">
        <v>110.4</v>
      </c>
      <c r="S120" s="1894">
        <v>0.98919999999999997</v>
      </c>
      <c r="T120" s="1894">
        <v>49.61</v>
      </c>
      <c r="U120" s="1894">
        <v>15553</v>
      </c>
      <c r="V120" s="1894">
        <f t="shared" si="29"/>
        <v>20106</v>
      </c>
      <c r="W120" s="1894">
        <f t="shared" si="30"/>
        <v>0</v>
      </c>
      <c r="X120" s="1894">
        <v>138</v>
      </c>
      <c r="Y120" s="1894">
        <v>42.16</v>
      </c>
      <c r="Z120" s="1894">
        <v>110.4</v>
      </c>
      <c r="AA120" s="1894">
        <v>0.98880000000000001</v>
      </c>
      <c r="AB120" s="1894">
        <v>51.07</v>
      </c>
      <c r="AC120" s="1894">
        <v>16020</v>
      </c>
      <c r="AD120" s="1894">
        <f t="shared" si="31"/>
        <v>18213</v>
      </c>
      <c r="AE120" s="1894">
        <f t="shared" si="32"/>
        <v>0</v>
      </c>
      <c r="AF120" s="1894">
        <v>138</v>
      </c>
      <c r="AG120" s="1894">
        <v>37.36</v>
      </c>
      <c r="AH120" s="1894">
        <v>110.4</v>
      </c>
      <c r="AI120" s="1894">
        <v>0.97219999999999995</v>
      </c>
      <c r="AJ120" s="1894">
        <v>44.8</v>
      </c>
      <c r="AK120" s="1894">
        <v>11648</v>
      </c>
      <c r="AL120" s="1894">
        <f t="shared" si="54"/>
        <v>16678</v>
      </c>
      <c r="AM120" s="1894">
        <f t="shared" si="55"/>
        <v>0</v>
      </c>
      <c r="AN120" s="1894">
        <v>138</v>
      </c>
      <c r="AO120" s="1894">
        <v>36.159999999999997</v>
      </c>
      <c r="AP120" s="1894">
        <v>110.4</v>
      </c>
      <c r="AQ120" s="1894">
        <v>0.95609999999999995</v>
      </c>
      <c r="AR120" s="1894">
        <v>49.95</v>
      </c>
      <c r="AS120" s="1894">
        <v>14306</v>
      </c>
      <c r="AT120" s="1894">
        <f t="shared" si="33"/>
        <v>16142</v>
      </c>
      <c r="AU120" s="1894">
        <f t="shared" si="34"/>
        <v>0</v>
      </c>
      <c r="AV120" s="1894">
        <v>138</v>
      </c>
      <c r="AW120" s="1894">
        <v>35.76</v>
      </c>
      <c r="AX120" s="1894">
        <v>110.4</v>
      </c>
      <c r="AY120" s="1894">
        <v>0.9859</v>
      </c>
      <c r="AZ120" s="1894">
        <v>48.89</v>
      </c>
      <c r="BA120" s="1894">
        <v>11749</v>
      </c>
      <c r="BB120" s="1894">
        <f t="shared" si="35"/>
        <v>15448</v>
      </c>
      <c r="BC120" s="1894">
        <f t="shared" si="36"/>
        <v>0</v>
      </c>
      <c r="BD120" s="1894">
        <v>138</v>
      </c>
      <c r="BE120" s="1894">
        <v>32.72</v>
      </c>
      <c r="BF120" s="1894">
        <v>110.4</v>
      </c>
      <c r="BG120" s="1894">
        <v>0.98170000000000002</v>
      </c>
      <c r="BH120" s="1894">
        <v>52.82</v>
      </c>
      <c r="BI120" s="1894">
        <v>13687</v>
      </c>
      <c r="BJ120" s="1894">
        <f t="shared" si="37"/>
        <v>14606</v>
      </c>
      <c r="BK120" s="1894">
        <f t="shared" si="38"/>
        <v>0</v>
      </c>
      <c r="BL120" s="1894">
        <v>138</v>
      </c>
      <c r="BM120" s="1894">
        <v>30.4</v>
      </c>
      <c r="BN120" s="1894">
        <v>110.4</v>
      </c>
      <c r="BO120" s="1894">
        <v>0.97099999999999997</v>
      </c>
      <c r="BP120" s="1894">
        <v>56.41</v>
      </c>
      <c r="BQ120" s="1894">
        <v>12759</v>
      </c>
      <c r="BR120" s="1894">
        <f t="shared" si="39"/>
        <v>13133</v>
      </c>
      <c r="BS120" s="1894">
        <f t="shared" si="40"/>
        <v>0</v>
      </c>
      <c r="BT120" s="1894">
        <v>138</v>
      </c>
      <c r="BU120" s="1894">
        <v>38.4</v>
      </c>
      <c r="BV120" s="1894">
        <v>110.4</v>
      </c>
      <c r="BW120" s="1894">
        <v>0.97489999999999999</v>
      </c>
      <c r="BX120" s="1894">
        <v>43.97</v>
      </c>
      <c r="BY120" s="1894">
        <v>12158</v>
      </c>
      <c r="BZ120" s="1894">
        <f t="shared" si="41"/>
        <v>17142</v>
      </c>
      <c r="CA120" s="1894">
        <f t="shared" si="42"/>
        <v>0</v>
      </c>
      <c r="CB120" s="1894">
        <v>138</v>
      </c>
      <c r="CC120" s="1894">
        <v>30.080000000000002</v>
      </c>
      <c r="CD120" s="1894">
        <v>110.4</v>
      </c>
      <c r="CE120" s="1894">
        <v>0.9708</v>
      </c>
      <c r="CF120" s="1894">
        <v>58.95</v>
      </c>
      <c r="CG120" s="1894">
        <v>14044</v>
      </c>
      <c r="CH120" s="1894">
        <f t="shared" si="43"/>
        <v>13428</v>
      </c>
      <c r="CI120" s="1894">
        <f t="shared" si="44"/>
        <v>616</v>
      </c>
      <c r="CJ120" s="1894">
        <v>138</v>
      </c>
      <c r="CK120" s="1894">
        <v>29.84</v>
      </c>
      <c r="CL120" s="1894">
        <v>110.4</v>
      </c>
      <c r="CM120" s="1894">
        <v>0.96789999999999998</v>
      </c>
      <c r="CN120" s="1894">
        <v>57.49</v>
      </c>
      <c r="CO120" s="1894">
        <v>11529</v>
      </c>
      <c r="CP120" s="1894">
        <f t="shared" si="45"/>
        <v>12031</v>
      </c>
      <c r="CQ120" s="1894">
        <f t="shared" si="46"/>
        <v>0</v>
      </c>
      <c r="CR120" s="1924">
        <v>138</v>
      </c>
      <c r="CS120" s="1924">
        <v>33.44</v>
      </c>
      <c r="CT120" s="1924">
        <v>110.4</v>
      </c>
      <c r="CU120" s="1924">
        <v>0.97299999999999998</v>
      </c>
      <c r="CV120" s="1924">
        <v>51.09</v>
      </c>
      <c r="CW120" s="1924">
        <v>12711</v>
      </c>
      <c r="CX120" s="1894">
        <f t="shared" si="47"/>
        <v>14928</v>
      </c>
      <c r="CY120" s="1894">
        <f t="shared" si="48"/>
        <v>0</v>
      </c>
    </row>
    <row r="121" spans="1:103">
      <c r="A121" s="982">
        <v>122000000089</v>
      </c>
      <c r="B121" s="1923">
        <f t="shared" si="49"/>
        <v>115</v>
      </c>
      <c r="C121" s="1895" t="s">
        <v>3015</v>
      </c>
      <c r="D121" s="1894" t="s">
        <v>524</v>
      </c>
      <c r="E121" s="1895" t="s">
        <v>636</v>
      </c>
      <c r="F121" s="1894" t="s">
        <v>259</v>
      </c>
      <c r="G121" s="1924">
        <v>138</v>
      </c>
      <c r="H121" s="1894">
        <v>138</v>
      </c>
      <c r="I121" s="1894">
        <v>164.24</v>
      </c>
      <c r="J121" s="1894">
        <v>164.24</v>
      </c>
      <c r="K121" s="1894">
        <v>0.96419999999999995</v>
      </c>
      <c r="L121" s="1894">
        <v>24.26</v>
      </c>
      <c r="M121" s="1894">
        <v>28688</v>
      </c>
      <c r="N121" s="1894">
        <f t="shared" si="27"/>
        <v>70952</v>
      </c>
      <c r="O121" s="1894">
        <f t="shared" si="28"/>
        <v>0</v>
      </c>
      <c r="P121" s="1894">
        <v>138</v>
      </c>
      <c r="Q121" s="1894">
        <v>163.92</v>
      </c>
      <c r="R121" s="1894">
        <v>163.92</v>
      </c>
      <c r="S121" s="1894">
        <v>0.95609999999999995</v>
      </c>
      <c r="T121" s="1894">
        <v>32.409999999999997</v>
      </c>
      <c r="U121" s="1894">
        <v>39529</v>
      </c>
      <c r="V121" s="1894">
        <f t="shared" si="29"/>
        <v>73174</v>
      </c>
      <c r="W121" s="1894">
        <f t="shared" si="30"/>
        <v>0</v>
      </c>
      <c r="X121" s="1894">
        <v>138</v>
      </c>
      <c r="Y121" s="1894">
        <v>168.08</v>
      </c>
      <c r="Z121" s="1894">
        <v>168.08</v>
      </c>
      <c r="AA121" s="1894">
        <v>0.95</v>
      </c>
      <c r="AB121" s="1894">
        <v>47.04</v>
      </c>
      <c r="AC121" s="1894">
        <v>56924</v>
      </c>
      <c r="AD121" s="1894">
        <f t="shared" si="31"/>
        <v>72611</v>
      </c>
      <c r="AE121" s="1894">
        <f t="shared" si="32"/>
        <v>0</v>
      </c>
      <c r="AF121" s="1894">
        <v>138</v>
      </c>
      <c r="AG121" s="1894">
        <v>163.52000000000001</v>
      </c>
      <c r="AH121" s="1894">
        <v>163.52000000000001</v>
      </c>
      <c r="AI121" s="1894">
        <v>0.95679999999999998</v>
      </c>
      <c r="AJ121" s="1894">
        <v>45.64</v>
      </c>
      <c r="AK121" s="1894">
        <v>55524</v>
      </c>
      <c r="AL121" s="1894">
        <f t="shared" si="54"/>
        <v>72995</v>
      </c>
      <c r="AM121" s="1894">
        <f t="shared" si="55"/>
        <v>0</v>
      </c>
      <c r="AN121" s="1894">
        <v>138</v>
      </c>
      <c r="AO121" s="1894">
        <v>165.04000000000002</v>
      </c>
      <c r="AP121" s="1894">
        <v>165.04</v>
      </c>
      <c r="AQ121" s="1894">
        <v>0.95940000000000003</v>
      </c>
      <c r="AR121" s="1894">
        <v>34.68</v>
      </c>
      <c r="AS121" s="1894">
        <v>42584</v>
      </c>
      <c r="AT121" s="1894">
        <f t="shared" si="33"/>
        <v>73674</v>
      </c>
      <c r="AU121" s="1894">
        <f t="shared" si="34"/>
        <v>0</v>
      </c>
      <c r="AV121" s="1894">
        <v>138</v>
      </c>
      <c r="AW121" s="1894">
        <v>159.28</v>
      </c>
      <c r="AX121" s="1894">
        <v>159.28</v>
      </c>
      <c r="AY121" s="1894">
        <v>0.95720000000000005</v>
      </c>
      <c r="AZ121" s="1894">
        <v>33.6</v>
      </c>
      <c r="BA121" s="1894">
        <v>38530</v>
      </c>
      <c r="BB121" s="1894">
        <f t="shared" si="35"/>
        <v>68809</v>
      </c>
      <c r="BC121" s="1894">
        <f t="shared" si="36"/>
        <v>0</v>
      </c>
      <c r="BD121" s="1894">
        <v>138</v>
      </c>
      <c r="BE121" s="1894">
        <v>155.20000000000002</v>
      </c>
      <c r="BF121" s="1894">
        <v>155.19999999999999</v>
      </c>
      <c r="BG121" s="1894">
        <v>0.95130000000000003</v>
      </c>
      <c r="BH121" s="1894">
        <v>42.42</v>
      </c>
      <c r="BI121" s="1894">
        <v>48987</v>
      </c>
      <c r="BJ121" s="1894">
        <f t="shared" si="37"/>
        <v>69281</v>
      </c>
      <c r="BK121" s="1894">
        <f t="shared" si="38"/>
        <v>0</v>
      </c>
      <c r="BL121" s="1894">
        <v>138</v>
      </c>
      <c r="BM121" s="1894">
        <v>154.16</v>
      </c>
      <c r="BN121" s="1894">
        <v>154.16</v>
      </c>
      <c r="BO121" s="1894">
        <v>0.94120000000000004</v>
      </c>
      <c r="BP121" s="1894">
        <v>47.25</v>
      </c>
      <c r="BQ121" s="1894">
        <v>50694</v>
      </c>
      <c r="BR121" s="1894">
        <f t="shared" si="39"/>
        <v>66597</v>
      </c>
      <c r="BS121" s="1894">
        <f t="shared" si="40"/>
        <v>0</v>
      </c>
      <c r="BT121" s="1894">
        <v>138</v>
      </c>
      <c r="BU121" s="1894">
        <v>150.16</v>
      </c>
      <c r="BV121" s="1894">
        <v>150.16</v>
      </c>
      <c r="BW121" s="1894">
        <v>0.93369999999999997</v>
      </c>
      <c r="BX121" s="1894">
        <v>39.479999999999997</v>
      </c>
      <c r="BY121" s="1894">
        <v>45524</v>
      </c>
      <c r="BZ121" s="1894">
        <f t="shared" si="41"/>
        <v>67031</v>
      </c>
      <c r="CA121" s="1894">
        <f t="shared" si="42"/>
        <v>0</v>
      </c>
      <c r="CB121" s="1894">
        <v>138</v>
      </c>
      <c r="CC121" s="1894">
        <v>161.28</v>
      </c>
      <c r="CD121" s="1894">
        <v>161.28</v>
      </c>
      <c r="CE121" s="1894">
        <v>0.80620000000000003</v>
      </c>
      <c r="CF121" s="1894">
        <v>35.630000000000003</v>
      </c>
      <c r="CG121" s="1894">
        <v>42748</v>
      </c>
      <c r="CH121" s="1894">
        <f t="shared" si="43"/>
        <v>71995</v>
      </c>
      <c r="CI121" s="1894">
        <f t="shared" si="44"/>
        <v>0</v>
      </c>
      <c r="CJ121" s="1894">
        <v>138</v>
      </c>
      <c r="CK121" s="1894">
        <v>160.56</v>
      </c>
      <c r="CL121" s="1894">
        <v>160.56</v>
      </c>
      <c r="CM121" s="1894">
        <v>0.8196</v>
      </c>
      <c r="CN121" s="1894">
        <v>33.96</v>
      </c>
      <c r="CO121" s="1894">
        <v>36643</v>
      </c>
      <c r="CP121" s="1894">
        <f t="shared" si="45"/>
        <v>64738</v>
      </c>
      <c r="CQ121" s="1894">
        <f t="shared" si="46"/>
        <v>0</v>
      </c>
      <c r="CR121" s="1924">
        <v>138</v>
      </c>
      <c r="CS121" s="1924">
        <v>168.88</v>
      </c>
      <c r="CT121" s="1924">
        <v>168.88</v>
      </c>
      <c r="CU121" s="1924">
        <v>0.92049999999999998</v>
      </c>
      <c r="CV121" s="1924">
        <v>25.54</v>
      </c>
      <c r="CW121" s="1924">
        <v>32084</v>
      </c>
      <c r="CX121" s="1894">
        <f t="shared" si="47"/>
        <v>75388</v>
      </c>
      <c r="CY121" s="1894">
        <f t="shared" si="48"/>
        <v>0</v>
      </c>
    </row>
    <row r="122" spans="1:103">
      <c r="A122" s="982">
        <v>124000000037</v>
      </c>
      <c r="B122" s="1923">
        <f t="shared" si="49"/>
        <v>116</v>
      </c>
      <c r="C122" s="1895" t="s">
        <v>3016</v>
      </c>
      <c r="D122" s="1894" t="s">
        <v>524</v>
      </c>
      <c r="E122" s="1895" t="s">
        <v>541</v>
      </c>
      <c r="F122" s="1894" t="s">
        <v>259</v>
      </c>
      <c r="G122" s="1924">
        <v>138</v>
      </c>
      <c r="H122" s="1894">
        <v>138</v>
      </c>
      <c r="I122" s="1894">
        <v>10.8</v>
      </c>
      <c r="J122" s="1894">
        <v>110.4</v>
      </c>
      <c r="K122" s="1894">
        <v>0.99680000000000002</v>
      </c>
      <c r="L122" s="1894">
        <v>8.15</v>
      </c>
      <c r="M122" s="1894">
        <v>634</v>
      </c>
      <c r="N122" s="1894">
        <f t="shared" si="27"/>
        <v>4666</v>
      </c>
      <c r="O122" s="1894">
        <f t="shared" si="28"/>
        <v>0</v>
      </c>
      <c r="P122" s="1894">
        <v>138</v>
      </c>
      <c r="Q122" s="1894">
        <v>88.96</v>
      </c>
      <c r="R122" s="1894">
        <v>110.4</v>
      </c>
      <c r="S122" s="1894">
        <v>0.90620000000000001</v>
      </c>
      <c r="T122" s="1894">
        <v>5</v>
      </c>
      <c r="U122" s="1894">
        <v>3307</v>
      </c>
      <c r="V122" s="1894">
        <f t="shared" si="29"/>
        <v>39712</v>
      </c>
      <c r="W122" s="1894">
        <f t="shared" si="30"/>
        <v>0</v>
      </c>
      <c r="X122" s="1894">
        <v>138</v>
      </c>
      <c r="Y122" s="1894">
        <v>81.36</v>
      </c>
      <c r="Z122" s="1894">
        <v>110.4</v>
      </c>
      <c r="AA122" s="1894">
        <v>0.91310000000000002</v>
      </c>
      <c r="AB122" s="1894">
        <v>2.85</v>
      </c>
      <c r="AC122" s="1894">
        <v>1669</v>
      </c>
      <c r="AD122" s="1894">
        <f t="shared" si="31"/>
        <v>35148</v>
      </c>
      <c r="AE122" s="1894">
        <f t="shared" si="32"/>
        <v>0</v>
      </c>
      <c r="AF122" s="1894">
        <v>138</v>
      </c>
      <c r="AG122" s="1894">
        <v>6.88</v>
      </c>
      <c r="AH122" s="1894">
        <v>110.4</v>
      </c>
      <c r="AI122" s="1894">
        <v>1</v>
      </c>
      <c r="AJ122" s="1894">
        <v>5.16</v>
      </c>
      <c r="AK122" s="1894">
        <v>264</v>
      </c>
      <c r="AL122" s="1894">
        <f t="shared" si="54"/>
        <v>3071</v>
      </c>
      <c r="AM122" s="1894">
        <f t="shared" si="55"/>
        <v>0</v>
      </c>
      <c r="AN122" s="1894">
        <v>138</v>
      </c>
      <c r="AO122" s="1894">
        <v>74.8</v>
      </c>
      <c r="AP122" s="1894">
        <v>110.4</v>
      </c>
      <c r="AQ122" s="1894">
        <v>0.95220000000000005</v>
      </c>
      <c r="AR122" s="1894">
        <v>1.39</v>
      </c>
      <c r="AS122" s="1894">
        <v>775</v>
      </c>
      <c r="AT122" s="1894">
        <f t="shared" si="33"/>
        <v>33391</v>
      </c>
      <c r="AU122" s="1894">
        <f t="shared" si="34"/>
        <v>0</v>
      </c>
      <c r="AV122" s="1894">
        <v>138</v>
      </c>
      <c r="AW122" s="1894">
        <v>11.28</v>
      </c>
      <c r="AX122" s="1894">
        <v>110.4</v>
      </c>
      <c r="AY122" s="1894">
        <v>1</v>
      </c>
      <c r="AZ122" s="1894">
        <v>4.9000000000000004</v>
      </c>
      <c r="BA122" s="1894">
        <v>398</v>
      </c>
      <c r="BB122" s="1894">
        <f t="shared" si="35"/>
        <v>4873</v>
      </c>
      <c r="BC122" s="1894">
        <f t="shared" si="36"/>
        <v>0</v>
      </c>
      <c r="BD122" s="1894">
        <v>138</v>
      </c>
      <c r="BE122" s="1894">
        <v>4.8</v>
      </c>
      <c r="BF122" s="1894">
        <v>110.4</v>
      </c>
      <c r="BG122" s="1894">
        <v>0.99709999999999999</v>
      </c>
      <c r="BH122" s="1894">
        <v>9.9700000000000006</v>
      </c>
      <c r="BI122" s="1894">
        <v>356</v>
      </c>
      <c r="BJ122" s="1894">
        <f t="shared" si="37"/>
        <v>2143</v>
      </c>
      <c r="BK122" s="1894">
        <f t="shared" si="38"/>
        <v>0</v>
      </c>
      <c r="BL122" s="1894">
        <v>138</v>
      </c>
      <c r="BM122" s="1894">
        <v>12</v>
      </c>
      <c r="BN122" s="1894">
        <v>110.4</v>
      </c>
      <c r="BO122" s="1894">
        <v>0.99470000000000003</v>
      </c>
      <c r="BP122" s="1894">
        <v>4.42</v>
      </c>
      <c r="BQ122" s="1894">
        <v>382</v>
      </c>
      <c r="BR122" s="1894">
        <f t="shared" si="39"/>
        <v>5184</v>
      </c>
      <c r="BS122" s="1894">
        <f t="shared" si="40"/>
        <v>0</v>
      </c>
      <c r="BT122" s="1894">
        <v>138</v>
      </c>
      <c r="BU122" s="1894">
        <v>9.2799999999999994</v>
      </c>
      <c r="BV122" s="1894">
        <v>110.4</v>
      </c>
      <c r="BW122" s="1894">
        <v>0.9929</v>
      </c>
      <c r="BX122" s="1894">
        <v>8.26</v>
      </c>
      <c r="BY122" s="1894">
        <v>570</v>
      </c>
      <c r="BZ122" s="1894">
        <f t="shared" si="41"/>
        <v>4143</v>
      </c>
      <c r="CA122" s="1894">
        <f t="shared" si="42"/>
        <v>0</v>
      </c>
      <c r="CB122" s="1894">
        <v>138</v>
      </c>
      <c r="CC122" s="1894">
        <v>9.92</v>
      </c>
      <c r="CD122" s="1894">
        <v>110.4</v>
      </c>
      <c r="CE122" s="1894">
        <v>0.99529999999999996</v>
      </c>
      <c r="CF122" s="1894">
        <v>5.83</v>
      </c>
      <c r="CG122" s="1894">
        <v>430</v>
      </c>
      <c r="CH122" s="1894">
        <f t="shared" si="43"/>
        <v>4428</v>
      </c>
      <c r="CI122" s="1894">
        <f t="shared" si="44"/>
        <v>0</v>
      </c>
      <c r="CJ122" s="1894">
        <v>138</v>
      </c>
      <c r="CK122" s="1894">
        <v>9.76</v>
      </c>
      <c r="CL122" s="1894">
        <v>110.4</v>
      </c>
      <c r="CM122" s="1894">
        <v>0.99560000000000004</v>
      </c>
      <c r="CN122" s="1894">
        <v>7.09</v>
      </c>
      <c r="CO122" s="1894">
        <v>465</v>
      </c>
      <c r="CP122" s="1894">
        <f t="shared" si="45"/>
        <v>3935</v>
      </c>
      <c r="CQ122" s="1894">
        <f t="shared" si="46"/>
        <v>0</v>
      </c>
      <c r="CR122" s="1924">
        <v>138</v>
      </c>
      <c r="CS122" s="1924">
        <v>9.84</v>
      </c>
      <c r="CT122" s="1924">
        <v>110.4</v>
      </c>
      <c r="CU122" s="1924">
        <v>0.99409999999999998</v>
      </c>
      <c r="CV122" s="1924">
        <v>6.95</v>
      </c>
      <c r="CW122" s="1924">
        <v>509</v>
      </c>
      <c r="CX122" s="1894">
        <f t="shared" si="47"/>
        <v>4393</v>
      </c>
      <c r="CY122" s="1894">
        <f t="shared" si="48"/>
        <v>0</v>
      </c>
    </row>
    <row r="123" spans="1:103">
      <c r="A123" s="982">
        <v>123000000132</v>
      </c>
      <c r="B123" s="1923">
        <f t="shared" si="49"/>
        <v>117</v>
      </c>
      <c r="C123" s="1895" t="s">
        <v>3017</v>
      </c>
      <c r="D123" s="1894" t="s">
        <v>524</v>
      </c>
      <c r="E123" s="1895" t="s">
        <v>541</v>
      </c>
      <c r="F123" s="1894" t="s">
        <v>259</v>
      </c>
      <c r="G123" s="1924">
        <v>139</v>
      </c>
      <c r="H123" s="1894">
        <v>0</v>
      </c>
      <c r="I123" s="1894">
        <v>0</v>
      </c>
      <c r="J123" s="1894">
        <v>0</v>
      </c>
      <c r="K123" s="1894">
        <v>0</v>
      </c>
      <c r="L123" s="1894">
        <v>0</v>
      </c>
      <c r="M123" s="1894">
        <v>0</v>
      </c>
      <c r="N123" s="1894">
        <f t="shared" si="27"/>
        <v>0</v>
      </c>
      <c r="O123" s="1894">
        <f t="shared" si="28"/>
        <v>0</v>
      </c>
      <c r="P123" s="1894">
        <v>139</v>
      </c>
      <c r="Q123" s="1894">
        <v>102.16000000000001</v>
      </c>
      <c r="R123" s="1894">
        <v>111.2</v>
      </c>
      <c r="S123" s="1894">
        <v>0.91169999999999995</v>
      </c>
      <c r="T123" s="1894">
        <v>15.27</v>
      </c>
      <c r="U123" s="1894">
        <v>14600</v>
      </c>
      <c r="V123" s="1894">
        <f t="shared" si="29"/>
        <v>45604</v>
      </c>
      <c r="W123" s="1894">
        <f t="shared" si="30"/>
        <v>0</v>
      </c>
      <c r="X123" s="1894">
        <v>139</v>
      </c>
      <c r="Y123" s="1894">
        <v>105.44</v>
      </c>
      <c r="Z123" s="1894">
        <v>111.2</v>
      </c>
      <c r="AA123" s="1894">
        <v>0.91359999999999997</v>
      </c>
      <c r="AB123" s="1894">
        <v>10.210000000000001</v>
      </c>
      <c r="AC123" s="1894">
        <v>7748</v>
      </c>
      <c r="AD123" s="1894">
        <f t="shared" si="31"/>
        <v>45550</v>
      </c>
      <c r="AE123" s="1894">
        <f t="shared" si="32"/>
        <v>0</v>
      </c>
      <c r="AF123" s="1894">
        <v>139</v>
      </c>
      <c r="AG123" s="1894">
        <v>103.28</v>
      </c>
      <c r="AH123" s="1894">
        <v>111.2</v>
      </c>
      <c r="AI123" s="1894">
        <v>0.91610000000000003</v>
      </c>
      <c r="AJ123" s="1894">
        <v>9.4499999999999993</v>
      </c>
      <c r="AK123" s="1894">
        <v>7262</v>
      </c>
      <c r="AL123" s="1894">
        <f t="shared" si="54"/>
        <v>46104</v>
      </c>
      <c r="AM123" s="1894">
        <f t="shared" si="55"/>
        <v>0</v>
      </c>
      <c r="AN123" s="1894">
        <v>139</v>
      </c>
      <c r="AO123" s="1894">
        <v>105.04</v>
      </c>
      <c r="AP123" s="1894">
        <v>111.2</v>
      </c>
      <c r="AQ123" s="1894">
        <v>0.89949999999999997</v>
      </c>
      <c r="AR123" s="1894">
        <v>26.42</v>
      </c>
      <c r="AS123" s="1894">
        <v>20648</v>
      </c>
      <c r="AT123" s="1894">
        <f t="shared" si="33"/>
        <v>46890</v>
      </c>
      <c r="AU123" s="1894">
        <f t="shared" si="34"/>
        <v>0</v>
      </c>
      <c r="AV123" s="1894">
        <v>139</v>
      </c>
      <c r="AW123" s="1894">
        <v>105.04</v>
      </c>
      <c r="AX123" s="1894">
        <v>111.2</v>
      </c>
      <c r="AY123" s="1894">
        <v>0.89910000000000001</v>
      </c>
      <c r="AZ123" s="1894">
        <v>11.64</v>
      </c>
      <c r="BA123" s="1894">
        <v>8802</v>
      </c>
      <c r="BB123" s="1894">
        <f t="shared" si="35"/>
        <v>45377</v>
      </c>
      <c r="BC123" s="1894">
        <f t="shared" si="36"/>
        <v>0</v>
      </c>
      <c r="BD123" s="1894">
        <v>139</v>
      </c>
      <c r="BE123" s="1894">
        <v>119.68</v>
      </c>
      <c r="BF123" s="1894">
        <v>119.68</v>
      </c>
      <c r="BG123" s="1894">
        <v>0.90369999999999995</v>
      </c>
      <c r="BH123" s="1894">
        <v>8.4</v>
      </c>
      <c r="BI123" s="1894">
        <v>7481</v>
      </c>
      <c r="BJ123" s="1894">
        <f t="shared" si="37"/>
        <v>53425</v>
      </c>
      <c r="BK123" s="1894">
        <f t="shared" si="38"/>
        <v>0</v>
      </c>
      <c r="BL123" s="1894">
        <v>139</v>
      </c>
      <c r="BM123" s="1894">
        <v>119.92</v>
      </c>
      <c r="BN123" s="1894">
        <v>119.92</v>
      </c>
      <c r="BO123" s="1894">
        <v>0.91549999999999998</v>
      </c>
      <c r="BP123" s="1894">
        <v>25.82</v>
      </c>
      <c r="BQ123" s="1894">
        <v>22292</v>
      </c>
      <c r="BR123" s="1894">
        <f t="shared" si="39"/>
        <v>51805</v>
      </c>
      <c r="BS123" s="1894">
        <f t="shared" si="40"/>
        <v>0</v>
      </c>
      <c r="BT123" s="1894">
        <v>139</v>
      </c>
      <c r="BU123" s="1894">
        <v>130.07999999999998</v>
      </c>
      <c r="BV123" s="1894">
        <v>130.08000000000001</v>
      </c>
      <c r="BW123" s="1894">
        <v>0.89590000000000003</v>
      </c>
      <c r="BX123" s="1894">
        <v>22.58</v>
      </c>
      <c r="BY123" s="1894">
        <v>21852</v>
      </c>
      <c r="BZ123" s="1894">
        <f t="shared" si="41"/>
        <v>58068</v>
      </c>
      <c r="CA123" s="1894">
        <f t="shared" si="42"/>
        <v>0</v>
      </c>
      <c r="CB123" s="1894">
        <v>139</v>
      </c>
      <c r="CC123" s="1894">
        <v>121.83999999999999</v>
      </c>
      <c r="CD123" s="1894">
        <v>121.84</v>
      </c>
      <c r="CE123" s="1894">
        <v>0.89290000000000003</v>
      </c>
      <c r="CF123" s="1894">
        <v>14.22</v>
      </c>
      <c r="CG123" s="1894">
        <v>12886</v>
      </c>
      <c r="CH123" s="1894">
        <f t="shared" si="43"/>
        <v>54389</v>
      </c>
      <c r="CI123" s="1894">
        <f t="shared" si="44"/>
        <v>0</v>
      </c>
      <c r="CJ123" s="1894">
        <v>139</v>
      </c>
      <c r="CK123" s="1894">
        <v>129.04</v>
      </c>
      <c r="CL123" s="1894">
        <v>129.04</v>
      </c>
      <c r="CM123" s="1894">
        <v>0.90369999999999995</v>
      </c>
      <c r="CN123" s="1894">
        <v>22.76</v>
      </c>
      <c r="CO123" s="1894">
        <v>19733</v>
      </c>
      <c r="CP123" s="1894">
        <f t="shared" si="45"/>
        <v>52029</v>
      </c>
      <c r="CQ123" s="1894">
        <f t="shared" si="46"/>
        <v>0</v>
      </c>
      <c r="CR123" s="1924">
        <v>139</v>
      </c>
      <c r="CS123" s="1924">
        <v>122.72000000000001</v>
      </c>
      <c r="CT123" s="1924">
        <v>122.72</v>
      </c>
      <c r="CU123" s="1924">
        <v>0.89859999999999995</v>
      </c>
      <c r="CV123" s="1924">
        <v>20.23</v>
      </c>
      <c r="CW123" s="1924">
        <v>18467</v>
      </c>
      <c r="CX123" s="1894">
        <f t="shared" si="47"/>
        <v>54782</v>
      </c>
      <c r="CY123" s="1894">
        <f t="shared" si="48"/>
        <v>0</v>
      </c>
    </row>
    <row r="124" spans="1:103">
      <c r="A124" s="982">
        <v>614000000003</v>
      </c>
      <c r="B124" s="1923">
        <f t="shared" si="49"/>
        <v>118</v>
      </c>
      <c r="C124" s="1895" t="s">
        <v>3018</v>
      </c>
      <c r="D124" s="1894" t="s">
        <v>524</v>
      </c>
      <c r="E124" s="1895" t="s">
        <v>636</v>
      </c>
      <c r="F124" s="1894" t="s">
        <v>259</v>
      </c>
      <c r="G124" s="1924">
        <v>139</v>
      </c>
      <c r="H124" s="1894">
        <v>0</v>
      </c>
      <c r="I124" s="1894">
        <v>0</v>
      </c>
      <c r="J124" s="1894">
        <v>0</v>
      </c>
      <c r="K124" s="1894">
        <v>0</v>
      </c>
      <c r="L124" s="1894">
        <v>0</v>
      </c>
      <c r="M124" s="1894">
        <v>0</v>
      </c>
      <c r="N124" s="1894">
        <f t="shared" si="27"/>
        <v>0</v>
      </c>
      <c r="O124" s="1894">
        <f t="shared" si="28"/>
        <v>0</v>
      </c>
      <c r="P124" s="1894">
        <v>139</v>
      </c>
      <c r="Q124" s="1894">
        <v>89.3</v>
      </c>
      <c r="R124" s="1894">
        <v>111.2</v>
      </c>
      <c r="S124" s="1894">
        <v>0.93159999999999998</v>
      </c>
      <c r="T124" s="1894">
        <v>5.82</v>
      </c>
      <c r="U124" s="1894">
        <v>4240</v>
      </c>
      <c r="V124" s="1894">
        <f t="shared" si="29"/>
        <v>39864</v>
      </c>
      <c r="W124" s="1894">
        <f t="shared" si="30"/>
        <v>0</v>
      </c>
      <c r="X124" s="1894">
        <v>139</v>
      </c>
      <c r="Y124" s="1894">
        <v>71.7</v>
      </c>
      <c r="Z124" s="1894">
        <v>111.2</v>
      </c>
      <c r="AA124" s="1894">
        <v>0.92579999999999996</v>
      </c>
      <c r="AB124" s="1894">
        <v>16.05</v>
      </c>
      <c r="AC124" s="1894">
        <v>6629</v>
      </c>
      <c r="AD124" s="1894">
        <f t="shared" si="31"/>
        <v>30974</v>
      </c>
      <c r="AE124" s="1894">
        <f t="shared" si="32"/>
        <v>0</v>
      </c>
      <c r="AF124" s="1894">
        <v>139</v>
      </c>
      <c r="AG124" s="1894">
        <v>60.9</v>
      </c>
      <c r="AH124" s="1894">
        <v>111.2</v>
      </c>
      <c r="AI124" s="1894">
        <v>0.91820000000000002</v>
      </c>
      <c r="AJ124" s="1894">
        <v>3.55</v>
      </c>
      <c r="AK124" s="1894">
        <v>4150</v>
      </c>
      <c r="AL124" s="1894">
        <f t="shared" si="54"/>
        <v>27186</v>
      </c>
      <c r="AM124" s="1894">
        <f t="shared" si="55"/>
        <v>0</v>
      </c>
      <c r="AN124" s="1894">
        <v>139</v>
      </c>
      <c r="AO124" s="1894">
        <v>84.1</v>
      </c>
      <c r="AP124" s="1894">
        <v>111.2</v>
      </c>
      <c r="AQ124" s="1894">
        <v>0.90080000000000005</v>
      </c>
      <c r="AR124" s="1894">
        <v>4.32</v>
      </c>
      <c r="AS124" s="1894">
        <v>4610</v>
      </c>
      <c r="AT124" s="1894">
        <f t="shared" si="33"/>
        <v>37542</v>
      </c>
      <c r="AU124" s="1894">
        <f t="shared" si="34"/>
        <v>0</v>
      </c>
      <c r="AV124" s="1894">
        <v>139</v>
      </c>
      <c r="AW124" s="1894">
        <v>62.9</v>
      </c>
      <c r="AX124" s="1894">
        <v>111.2</v>
      </c>
      <c r="AY124" s="1894">
        <v>0.89739999999999998</v>
      </c>
      <c r="AZ124" s="1894">
        <v>10.11</v>
      </c>
      <c r="BA124" s="1894">
        <v>4428</v>
      </c>
      <c r="BB124" s="1894">
        <f t="shared" si="35"/>
        <v>27173</v>
      </c>
      <c r="BC124" s="1894">
        <f t="shared" si="36"/>
        <v>0</v>
      </c>
      <c r="BD124" s="1894">
        <v>139</v>
      </c>
      <c r="BE124" s="1894">
        <v>65.3</v>
      </c>
      <c r="BF124" s="1894">
        <v>111.2</v>
      </c>
      <c r="BG124" s="1894">
        <v>0.90759999999999996</v>
      </c>
      <c r="BH124" s="1894">
        <v>9.1999999999999993</v>
      </c>
      <c r="BI124" s="1894">
        <v>4325</v>
      </c>
      <c r="BJ124" s="1894">
        <f t="shared" si="37"/>
        <v>29150</v>
      </c>
      <c r="BK124" s="1894">
        <f t="shared" si="38"/>
        <v>0</v>
      </c>
      <c r="BL124" s="1894">
        <v>139</v>
      </c>
      <c r="BM124" s="1894">
        <v>66.099999999999994</v>
      </c>
      <c r="BN124" s="1894">
        <v>111.2</v>
      </c>
      <c r="BO124" s="1894">
        <v>0.9103</v>
      </c>
      <c r="BP124" s="1894">
        <v>6.67</v>
      </c>
      <c r="BQ124" s="1894">
        <v>3386</v>
      </c>
      <c r="BR124" s="1894">
        <f t="shared" si="39"/>
        <v>28555</v>
      </c>
      <c r="BS124" s="1894">
        <f t="shared" si="40"/>
        <v>0</v>
      </c>
      <c r="BT124" s="1894">
        <v>139</v>
      </c>
      <c r="BU124" s="1894">
        <v>28.1</v>
      </c>
      <c r="BV124" s="1894">
        <v>111.2</v>
      </c>
      <c r="BW124" s="1894">
        <v>0.87260000000000004</v>
      </c>
      <c r="BX124" s="1894">
        <v>11.91</v>
      </c>
      <c r="BY124" s="1894">
        <v>2249</v>
      </c>
      <c r="BZ124" s="1894">
        <f t="shared" si="41"/>
        <v>12544</v>
      </c>
      <c r="CA124" s="1894">
        <f t="shared" si="42"/>
        <v>0</v>
      </c>
      <c r="CB124" s="1894">
        <v>139</v>
      </c>
      <c r="CC124" s="1894">
        <v>30.1</v>
      </c>
      <c r="CD124" s="1894">
        <v>111.2</v>
      </c>
      <c r="CE124" s="1894">
        <v>0.81310000000000004</v>
      </c>
      <c r="CF124" s="1894">
        <v>11.11</v>
      </c>
      <c r="CG124" s="1894">
        <v>2569</v>
      </c>
      <c r="CH124" s="1894">
        <f t="shared" si="43"/>
        <v>13437</v>
      </c>
      <c r="CI124" s="1894">
        <f t="shared" si="44"/>
        <v>0</v>
      </c>
      <c r="CJ124" s="1894">
        <v>139</v>
      </c>
      <c r="CK124" s="1894">
        <v>46.5</v>
      </c>
      <c r="CL124" s="1894">
        <v>111.2</v>
      </c>
      <c r="CM124" s="1894">
        <v>0.89170000000000005</v>
      </c>
      <c r="CN124" s="1894">
        <v>10.37</v>
      </c>
      <c r="CO124" s="1894">
        <v>3239</v>
      </c>
      <c r="CP124" s="1894">
        <f t="shared" si="45"/>
        <v>18749</v>
      </c>
      <c r="CQ124" s="1894">
        <f t="shared" si="46"/>
        <v>0</v>
      </c>
      <c r="CR124" s="1924">
        <v>139</v>
      </c>
      <c r="CS124" s="1924">
        <v>57.3</v>
      </c>
      <c r="CT124" s="1924">
        <v>111.2</v>
      </c>
      <c r="CU124" s="1924">
        <v>0.89839999999999998</v>
      </c>
      <c r="CV124" s="1924">
        <v>9.2100000000000009</v>
      </c>
      <c r="CW124" s="1924">
        <v>4051</v>
      </c>
      <c r="CX124" s="1894">
        <f t="shared" si="47"/>
        <v>25579</v>
      </c>
      <c r="CY124" s="1894">
        <f t="shared" si="48"/>
        <v>0</v>
      </c>
    </row>
    <row r="125" spans="1:103">
      <c r="A125" s="982">
        <v>621000000059</v>
      </c>
      <c r="B125" s="1923">
        <f t="shared" si="49"/>
        <v>119</v>
      </c>
      <c r="C125" s="1895" t="s">
        <v>3019</v>
      </c>
      <c r="D125" s="1894" t="s">
        <v>524</v>
      </c>
      <c r="E125" s="1895" t="s">
        <v>636</v>
      </c>
      <c r="F125" s="1894" t="s">
        <v>259</v>
      </c>
      <c r="G125" s="1924">
        <v>139</v>
      </c>
      <c r="H125" s="1894">
        <v>139</v>
      </c>
      <c r="I125" s="1894">
        <v>42.88</v>
      </c>
      <c r="J125" s="1894">
        <v>111.2</v>
      </c>
      <c r="K125" s="1894">
        <v>0.98829999999999996</v>
      </c>
      <c r="L125" s="1894">
        <v>27.32</v>
      </c>
      <c r="M125" s="1894">
        <v>8434</v>
      </c>
      <c r="N125" s="1894">
        <f t="shared" si="27"/>
        <v>18524</v>
      </c>
      <c r="O125" s="1894">
        <f t="shared" si="28"/>
        <v>0</v>
      </c>
      <c r="P125" s="1894">
        <v>139</v>
      </c>
      <c r="Q125" s="1894">
        <v>46.56</v>
      </c>
      <c r="R125" s="1894">
        <v>111.2</v>
      </c>
      <c r="S125" s="1894">
        <v>0.99209999999999998</v>
      </c>
      <c r="T125" s="1894">
        <v>38.44</v>
      </c>
      <c r="U125" s="1894">
        <v>12456</v>
      </c>
      <c r="V125" s="1894">
        <f t="shared" si="29"/>
        <v>20784</v>
      </c>
      <c r="W125" s="1894">
        <f t="shared" si="30"/>
        <v>0</v>
      </c>
      <c r="X125" s="1894">
        <v>139</v>
      </c>
      <c r="Y125" s="1894">
        <v>49.44</v>
      </c>
      <c r="Z125" s="1894">
        <v>111.2</v>
      </c>
      <c r="AA125" s="1894">
        <v>0.98119999999999996</v>
      </c>
      <c r="AB125" s="1894">
        <v>43.5</v>
      </c>
      <c r="AC125" s="1894">
        <v>16000</v>
      </c>
      <c r="AD125" s="1894">
        <f t="shared" si="31"/>
        <v>21358</v>
      </c>
      <c r="AE125" s="1894">
        <f t="shared" si="32"/>
        <v>0</v>
      </c>
      <c r="AF125" s="1894">
        <v>139</v>
      </c>
      <c r="AG125" s="1894">
        <v>52.64</v>
      </c>
      <c r="AH125" s="1894">
        <v>111.2</v>
      </c>
      <c r="AI125" s="1894">
        <v>0.97640000000000005</v>
      </c>
      <c r="AJ125" s="1894">
        <v>36.24</v>
      </c>
      <c r="AK125" s="1894">
        <v>13734</v>
      </c>
      <c r="AL125" s="1894">
        <f t="shared" si="54"/>
        <v>23498</v>
      </c>
      <c r="AM125" s="1894">
        <f t="shared" si="55"/>
        <v>0</v>
      </c>
      <c r="AN125" s="1894">
        <v>139</v>
      </c>
      <c r="AO125" s="1894">
        <v>36.96</v>
      </c>
      <c r="AP125" s="1894">
        <v>111.2</v>
      </c>
      <c r="AQ125" s="1894">
        <v>0.98</v>
      </c>
      <c r="AR125" s="1894">
        <v>51.73</v>
      </c>
      <c r="AS125" s="1894">
        <v>13766</v>
      </c>
      <c r="AT125" s="1894">
        <f t="shared" si="33"/>
        <v>16499</v>
      </c>
      <c r="AU125" s="1894">
        <f t="shared" si="34"/>
        <v>0</v>
      </c>
      <c r="AV125" s="1894">
        <v>139</v>
      </c>
      <c r="AW125" s="1894">
        <v>37.119999999999997</v>
      </c>
      <c r="AX125" s="1894">
        <v>111.2</v>
      </c>
      <c r="AY125" s="1894">
        <v>0.98740000000000006</v>
      </c>
      <c r="AZ125" s="1894">
        <v>47.64</v>
      </c>
      <c r="BA125" s="1894">
        <v>10186</v>
      </c>
      <c r="BB125" s="1894">
        <f t="shared" si="35"/>
        <v>16036</v>
      </c>
      <c r="BC125" s="1894">
        <f t="shared" si="36"/>
        <v>0</v>
      </c>
      <c r="BD125" s="1894">
        <v>139</v>
      </c>
      <c r="BE125" s="1894">
        <v>35.839999999999996</v>
      </c>
      <c r="BF125" s="1894">
        <v>111.2</v>
      </c>
      <c r="BG125" s="1894">
        <v>0.9768</v>
      </c>
      <c r="BH125" s="1894">
        <v>46.95</v>
      </c>
      <c r="BI125" s="1894">
        <v>15750</v>
      </c>
      <c r="BJ125" s="1894">
        <f t="shared" si="37"/>
        <v>15999</v>
      </c>
      <c r="BK125" s="1894">
        <f t="shared" si="38"/>
        <v>0</v>
      </c>
      <c r="BL125" s="1894">
        <v>139</v>
      </c>
      <c r="BM125" s="1894">
        <v>43.04</v>
      </c>
      <c r="BN125" s="1894">
        <v>111.2</v>
      </c>
      <c r="BO125" s="1894">
        <v>0.98219999999999996</v>
      </c>
      <c r="BP125" s="1894">
        <v>39.04</v>
      </c>
      <c r="BQ125" s="1894">
        <v>12502</v>
      </c>
      <c r="BR125" s="1894">
        <f t="shared" si="39"/>
        <v>18593</v>
      </c>
      <c r="BS125" s="1894">
        <f t="shared" si="40"/>
        <v>0</v>
      </c>
      <c r="BT125" s="1894">
        <v>139</v>
      </c>
      <c r="BU125" s="1894">
        <v>50.239999999999995</v>
      </c>
      <c r="BV125" s="1894">
        <v>111.2</v>
      </c>
      <c r="BW125" s="1894">
        <v>0.98680000000000001</v>
      </c>
      <c r="BX125" s="1894">
        <v>48.07</v>
      </c>
      <c r="BY125" s="1894">
        <v>17968</v>
      </c>
      <c r="BZ125" s="1894">
        <f t="shared" si="41"/>
        <v>22427</v>
      </c>
      <c r="CA125" s="1894">
        <f t="shared" si="42"/>
        <v>0</v>
      </c>
      <c r="CB125" s="1894">
        <v>139</v>
      </c>
      <c r="CC125" s="1894">
        <v>45.76</v>
      </c>
      <c r="CD125" s="1894">
        <v>111.2</v>
      </c>
      <c r="CE125" s="1894">
        <v>0.99139999999999995</v>
      </c>
      <c r="CF125" s="1894">
        <v>52.79</v>
      </c>
      <c r="CG125" s="1894">
        <v>17972</v>
      </c>
      <c r="CH125" s="1894">
        <f t="shared" si="43"/>
        <v>20427</v>
      </c>
      <c r="CI125" s="1894">
        <f t="shared" si="44"/>
        <v>0</v>
      </c>
      <c r="CJ125" s="1894">
        <v>139</v>
      </c>
      <c r="CK125" s="1894">
        <v>49.28</v>
      </c>
      <c r="CL125" s="1894">
        <v>111.2</v>
      </c>
      <c r="CM125" s="1894">
        <v>0.99370000000000003</v>
      </c>
      <c r="CN125" s="1894">
        <v>41.36</v>
      </c>
      <c r="CO125" s="1894">
        <v>13696</v>
      </c>
      <c r="CP125" s="1894">
        <f t="shared" si="45"/>
        <v>19870</v>
      </c>
      <c r="CQ125" s="1894">
        <f t="shared" si="46"/>
        <v>0</v>
      </c>
      <c r="CR125" s="1924">
        <v>139</v>
      </c>
      <c r="CS125" s="1924">
        <v>49.120000000000005</v>
      </c>
      <c r="CT125" s="1924">
        <v>111.2</v>
      </c>
      <c r="CU125" s="1924">
        <v>0.99919999999999998</v>
      </c>
      <c r="CV125" s="1924">
        <v>43.8</v>
      </c>
      <c r="CW125" s="1924">
        <v>16008</v>
      </c>
      <c r="CX125" s="1894">
        <f t="shared" si="47"/>
        <v>21927</v>
      </c>
      <c r="CY125" s="1894">
        <f t="shared" si="48"/>
        <v>0</v>
      </c>
    </row>
    <row r="126" spans="1:103">
      <c r="A126" s="982">
        <v>621000000061</v>
      </c>
      <c r="B126" s="1923">
        <f t="shared" si="49"/>
        <v>120</v>
      </c>
      <c r="C126" s="1895" t="s">
        <v>3019</v>
      </c>
      <c r="D126" s="1894" t="s">
        <v>524</v>
      </c>
      <c r="E126" s="1895" t="s">
        <v>636</v>
      </c>
      <c r="F126" s="1894" t="s">
        <v>259</v>
      </c>
      <c r="G126" s="1924">
        <v>139</v>
      </c>
      <c r="H126" s="1894">
        <v>139</v>
      </c>
      <c r="I126" s="1894">
        <v>45.28</v>
      </c>
      <c r="J126" s="1894">
        <v>111.2</v>
      </c>
      <c r="K126" s="1894">
        <v>0.96850000000000003</v>
      </c>
      <c r="L126" s="1894">
        <v>42.16</v>
      </c>
      <c r="M126" s="1894">
        <v>13744</v>
      </c>
      <c r="N126" s="1894">
        <f t="shared" si="27"/>
        <v>19561</v>
      </c>
      <c r="O126" s="1894">
        <f t="shared" si="28"/>
        <v>0</v>
      </c>
      <c r="P126" s="1894">
        <v>139</v>
      </c>
      <c r="Q126" s="1894">
        <v>40.799999999999997</v>
      </c>
      <c r="R126" s="1894">
        <v>111.2</v>
      </c>
      <c r="S126" s="1894">
        <v>0.92820000000000003</v>
      </c>
      <c r="T126" s="1894">
        <v>40.49</v>
      </c>
      <c r="U126" s="1894">
        <v>12290</v>
      </c>
      <c r="V126" s="1894">
        <f t="shared" si="29"/>
        <v>18213</v>
      </c>
      <c r="W126" s="1894">
        <f t="shared" si="30"/>
        <v>0</v>
      </c>
      <c r="X126" s="1894">
        <v>139</v>
      </c>
      <c r="Y126" s="1894">
        <v>58.879999999999995</v>
      </c>
      <c r="Z126" s="1894">
        <v>111.2</v>
      </c>
      <c r="AA126" s="1894">
        <v>0.94499999999999995</v>
      </c>
      <c r="AB126" s="1894">
        <v>36.909999999999997</v>
      </c>
      <c r="AC126" s="1894">
        <v>15648</v>
      </c>
      <c r="AD126" s="1894">
        <f t="shared" si="31"/>
        <v>25436</v>
      </c>
      <c r="AE126" s="1894">
        <f t="shared" si="32"/>
        <v>0</v>
      </c>
      <c r="AF126" s="1894">
        <v>139</v>
      </c>
      <c r="AG126" s="1894">
        <v>53.12</v>
      </c>
      <c r="AH126" s="1894">
        <v>111.2</v>
      </c>
      <c r="AI126" s="1894">
        <v>0.88600000000000001</v>
      </c>
      <c r="AJ126" s="1894">
        <v>31</v>
      </c>
      <c r="AK126" s="1894">
        <v>12252</v>
      </c>
      <c r="AL126" s="1894">
        <f t="shared" si="54"/>
        <v>23713</v>
      </c>
      <c r="AM126" s="1894">
        <f t="shared" si="55"/>
        <v>0</v>
      </c>
      <c r="AN126" s="1894">
        <v>139</v>
      </c>
      <c r="AO126" s="1894">
        <v>39.68</v>
      </c>
      <c r="AP126" s="1894">
        <v>111.2</v>
      </c>
      <c r="AQ126" s="1894">
        <v>0.86660000000000004</v>
      </c>
      <c r="AR126" s="1894">
        <v>40.090000000000003</v>
      </c>
      <c r="AS126" s="1894">
        <v>11836</v>
      </c>
      <c r="AT126" s="1894">
        <f t="shared" si="33"/>
        <v>17713</v>
      </c>
      <c r="AU126" s="1894">
        <f t="shared" si="34"/>
        <v>0</v>
      </c>
      <c r="AV126" s="1894">
        <v>139</v>
      </c>
      <c r="AW126" s="1894">
        <v>48.16</v>
      </c>
      <c r="AX126" s="1894">
        <v>111.2</v>
      </c>
      <c r="AY126" s="1894">
        <v>0.88939999999999997</v>
      </c>
      <c r="AZ126" s="1894">
        <v>31.98</v>
      </c>
      <c r="BA126" s="1894">
        <v>11088</v>
      </c>
      <c r="BB126" s="1894">
        <f t="shared" si="35"/>
        <v>20805</v>
      </c>
      <c r="BC126" s="1894">
        <f t="shared" si="36"/>
        <v>0</v>
      </c>
      <c r="BD126" s="1894">
        <v>139</v>
      </c>
      <c r="BE126" s="1894">
        <v>107.36000000000001</v>
      </c>
      <c r="BF126" s="1894">
        <v>111.2</v>
      </c>
      <c r="BG126" s="1894">
        <v>0.86980000000000002</v>
      </c>
      <c r="BH126" s="1894">
        <v>17.329999999999998</v>
      </c>
      <c r="BI126" s="1894">
        <v>13844</v>
      </c>
      <c r="BJ126" s="1894">
        <f t="shared" si="37"/>
        <v>47926</v>
      </c>
      <c r="BK126" s="1894">
        <f t="shared" si="38"/>
        <v>0</v>
      </c>
      <c r="BL126" s="1894">
        <v>139</v>
      </c>
      <c r="BM126" s="1894">
        <v>45.6</v>
      </c>
      <c r="BN126" s="1894">
        <v>111.2</v>
      </c>
      <c r="BO126" s="1894">
        <v>0.82169999999999999</v>
      </c>
      <c r="BP126" s="1894">
        <v>33.06</v>
      </c>
      <c r="BQ126" s="1894">
        <v>10492</v>
      </c>
      <c r="BR126" s="1894">
        <f t="shared" si="39"/>
        <v>19699</v>
      </c>
      <c r="BS126" s="1894">
        <f t="shared" si="40"/>
        <v>0</v>
      </c>
      <c r="BT126" s="1894">
        <v>139</v>
      </c>
      <c r="BU126" s="1894">
        <v>59.040000000000006</v>
      </c>
      <c r="BV126" s="1894">
        <v>111.2</v>
      </c>
      <c r="BW126" s="1894">
        <v>0.87760000000000005</v>
      </c>
      <c r="BX126" s="1894">
        <v>29.48</v>
      </c>
      <c r="BY126" s="1894">
        <v>13368</v>
      </c>
      <c r="BZ126" s="1894">
        <f t="shared" si="41"/>
        <v>26355</v>
      </c>
      <c r="CA126" s="1894">
        <f t="shared" si="42"/>
        <v>0</v>
      </c>
      <c r="CB126" s="1894">
        <v>139</v>
      </c>
      <c r="CC126" s="1894">
        <v>58.720000000000006</v>
      </c>
      <c r="CD126" s="1894">
        <v>111.2</v>
      </c>
      <c r="CE126" s="1894">
        <v>0.92479999999999996</v>
      </c>
      <c r="CF126" s="1894">
        <v>34.99</v>
      </c>
      <c r="CG126" s="1894">
        <v>15286</v>
      </c>
      <c r="CH126" s="1894">
        <f t="shared" si="43"/>
        <v>26213</v>
      </c>
      <c r="CI126" s="1894">
        <f t="shared" si="44"/>
        <v>0</v>
      </c>
      <c r="CJ126" s="1894">
        <v>139</v>
      </c>
      <c r="CK126" s="1894">
        <v>61.919999999999995</v>
      </c>
      <c r="CL126" s="1894">
        <v>111.2</v>
      </c>
      <c r="CM126" s="1894">
        <v>0.94179999999999997</v>
      </c>
      <c r="CN126" s="1894">
        <v>36.549999999999997</v>
      </c>
      <c r="CO126" s="1894">
        <v>15208</v>
      </c>
      <c r="CP126" s="1894">
        <f t="shared" si="45"/>
        <v>24966</v>
      </c>
      <c r="CQ126" s="1894">
        <f t="shared" si="46"/>
        <v>0</v>
      </c>
      <c r="CR126" s="1924">
        <v>139</v>
      </c>
      <c r="CS126" s="1924">
        <v>61.760000000000005</v>
      </c>
      <c r="CT126" s="1924">
        <v>111.2</v>
      </c>
      <c r="CU126" s="1924">
        <v>0.93020000000000003</v>
      </c>
      <c r="CV126" s="1924">
        <v>29.19</v>
      </c>
      <c r="CW126" s="1924">
        <v>13412</v>
      </c>
      <c r="CX126" s="1894">
        <f t="shared" si="47"/>
        <v>27570</v>
      </c>
      <c r="CY126" s="1894">
        <f t="shared" si="48"/>
        <v>0</v>
      </c>
    </row>
    <row r="127" spans="1:103">
      <c r="A127" s="982">
        <v>127000000023</v>
      </c>
      <c r="B127" s="1923">
        <f t="shared" si="49"/>
        <v>121</v>
      </c>
      <c r="C127" s="1895" t="s">
        <v>3020</v>
      </c>
      <c r="D127" s="1894" t="s">
        <v>524</v>
      </c>
      <c r="E127" s="1895" t="s">
        <v>636</v>
      </c>
      <c r="F127" s="1894" t="s">
        <v>259</v>
      </c>
      <c r="G127" s="1924">
        <v>139</v>
      </c>
      <c r="H127" s="1894">
        <v>0</v>
      </c>
      <c r="I127" s="1894">
        <v>0</v>
      </c>
      <c r="J127" s="1894">
        <v>0</v>
      </c>
      <c r="K127" s="1894">
        <v>0</v>
      </c>
      <c r="L127" s="1894">
        <v>0</v>
      </c>
      <c r="M127" s="1894">
        <v>0</v>
      </c>
      <c r="N127" s="1894">
        <f t="shared" si="27"/>
        <v>0</v>
      </c>
      <c r="O127" s="1894">
        <f t="shared" si="28"/>
        <v>0</v>
      </c>
      <c r="P127" s="1894">
        <v>0</v>
      </c>
      <c r="Q127" s="1894">
        <v>0</v>
      </c>
      <c r="R127" s="1894">
        <v>0</v>
      </c>
      <c r="S127" s="1894">
        <v>0</v>
      </c>
      <c r="T127" s="1894">
        <v>0</v>
      </c>
      <c r="U127" s="1894">
        <v>0</v>
      </c>
      <c r="V127" s="1894">
        <f t="shared" si="29"/>
        <v>0</v>
      </c>
      <c r="W127" s="1894">
        <f t="shared" si="30"/>
        <v>0</v>
      </c>
      <c r="X127" s="1894">
        <v>0</v>
      </c>
      <c r="Y127" s="1894">
        <v>0</v>
      </c>
      <c r="Z127" s="1894">
        <v>0</v>
      </c>
      <c r="AA127" s="1894">
        <v>0</v>
      </c>
      <c r="AB127" s="1894">
        <v>0</v>
      </c>
      <c r="AC127" s="1894">
        <v>0</v>
      </c>
      <c r="AD127" s="1894">
        <f t="shared" si="31"/>
        <v>0</v>
      </c>
      <c r="AE127" s="1894">
        <f t="shared" si="32"/>
        <v>0</v>
      </c>
      <c r="AF127" s="1894">
        <v>0</v>
      </c>
      <c r="AG127" s="1894">
        <v>0</v>
      </c>
      <c r="AH127" s="1894">
        <v>0</v>
      </c>
      <c r="AI127" s="1894">
        <v>0</v>
      </c>
      <c r="AJ127" s="1894">
        <v>0</v>
      </c>
      <c r="AK127" s="1894">
        <v>0</v>
      </c>
      <c r="AL127" s="1894">
        <f t="shared" si="54"/>
        <v>0</v>
      </c>
      <c r="AM127" s="1894">
        <f t="shared" si="55"/>
        <v>0</v>
      </c>
      <c r="AN127" s="1894">
        <v>0</v>
      </c>
      <c r="AO127" s="1894">
        <v>0</v>
      </c>
      <c r="AP127" s="1894">
        <v>0</v>
      </c>
      <c r="AQ127" s="1894">
        <v>0</v>
      </c>
      <c r="AR127" s="1894">
        <v>0</v>
      </c>
      <c r="AS127" s="1894">
        <v>0</v>
      </c>
      <c r="AT127" s="1894">
        <f t="shared" si="33"/>
        <v>0</v>
      </c>
      <c r="AU127" s="1894">
        <f t="shared" si="34"/>
        <v>0</v>
      </c>
      <c r="AV127" s="1894">
        <v>0</v>
      </c>
      <c r="AW127" s="1894">
        <v>0</v>
      </c>
      <c r="AX127" s="1894">
        <v>0</v>
      </c>
      <c r="AY127" s="1894">
        <v>0</v>
      </c>
      <c r="AZ127" s="1894">
        <v>0</v>
      </c>
      <c r="BA127" s="1894">
        <v>0</v>
      </c>
      <c r="BB127" s="1894">
        <f t="shared" si="35"/>
        <v>0</v>
      </c>
      <c r="BC127" s="1894">
        <f t="shared" si="36"/>
        <v>0</v>
      </c>
      <c r="BD127" s="1894">
        <v>0</v>
      </c>
      <c r="BE127" s="1894">
        <v>0</v>
      </c>
      <c r="BF127" s="1894">
        <v>0</v>
      </c>
      <c r="BG127" s="1894">
        <v>0</v>
      </c>
      <c r="BH127" s="1894">
        <v>0</v>
      </c>
      <c r="BI127" s="1894">
        <v>0</v>
      </c>
      <c r="BJ127" s="1894">
        <f t="shared" si="37"/>
        <v>0</v>
      </c>
      <c r="BK127" s="1894">
        <f t="shared" si="38"/>
        <v>0</v>
      </c>
      <c r="BL127" s="1894">
        <v>0</v>
      </c>
      <c r="BM127" s="1894">
        <v>0</v>
      </c>
      <c r="BN127" s="1894">
        <v>0</v>
      </c>
      <c r="BO127" s="1894">
        <v>0</v>
      </c>
      <c r="BP127" s="1894">
        <v>0</v>
      </c>
      <c r="BQ127" s="1894">
        <v>0</v>
      </c>
      <c r="BR127" s="1894">
        <f t="shared" si="39"/>
        <v>0</v>
      </c>
      <c r="BS127" s="1894">
        <f t="shared" si="40"/>
        <v>0</v>
      </c>
      <c r="BT127" s="1894">
        <v>0</v>
      </c>
      <c r="BU127" s="1894">
        <v>0</v>
      </c>
      <c r="BV127" s="1894">
        <v>0</v>
      </c>
      <c r="BW127" s="1894">
        <v>0</v>
      </c>
      <c r="BX127" s="1894">
        <v>0</v>
      </c>
      <c r="BY127" s="1894">
        <v>0</v>
      </c>
      <c r="BZ127" s="1894">
        <f t="shared" si="41"/>
        <v>0</v>
      </c>
      <c r="CA127" s="1894">
        <f t="shared" si="42"/>
        <v>0</v>
      </c>
      <c r="CB127" s="1894">
        <v>139</v>
      </c>
      <c r="CC127" s="1894">
        <v>100.88</v>
      </c>
      <c r="CD127" s="1894">
        <v>111.2</v>
      </c>
      <c r="CE127" s="1894">
        <v>0.86380000000000001</v>
      </c>
      <c r="CF127" s="1894">
        <v>11.99</v>
      </c>
      <c r="CG127" s="1894">
        <v>3194</v>
      </c>
      <c r="CH127" s="1894">
        <f t="shared" si="43"/>
        <v>45033</v>
      </c>
      <c r="CI127" s="1894">
        <f t="shared" si="44"/>
        <v>0</v>
      </c>
      <c r="CJ127" s="1894">
        <v>139</v>
      </c>
      <c r="CK127" s="1894">
        <v>93.04</v>
      </c>
      <c r="CL127" s="1894">
        <v>111.2</v>
      </c>
      <c r="CM127" s="1894">
        <v>0.91290000000000004</v>
      </c>
      <c r="CN127" s="1894">
        <v>12.32</v>
      </c>
      <c r="CO127" s="1894">
        <v>7701</v>
      </c>
      <c r="CP127" s="1894">
        <f t="shared" si="45"/>
        <v>37514</v>
      </c>
      <c r="CQ127" s="1894">
        <f t="shared" si="46"/>
        <v>0</v>
      </c>
      <c r="CR127" s="1924">
        <v>139</v>
      </c>
      <c r="CS127" s="1924">
        <v>92.64</v>
      </c>
      <c r="CT127" s="1924">
        <v>111.2</v>
      </c>
      <c r="CU127" s="1924">
        <v>0.92490000000000006</v>
      </c>
      <c r="CV127" s="1924">
        <v>12.82</v>
      </c>
      <c r="CW127" s="1924">
        <v>8836</v>
      </c>
      <c r="CX127" s="1894">
        <f t="shared" si="47"/>
        <v>41354</v>
      </c>
      <c r="CY127" s="1894">
        <f t="shared" si="48"/>
        <v>0</v>
      </c>
    </row>
    <row r="128" spans="1:103">
      <c r="A128" s="982">
        <v>611000000009</v>
      </c>
      <c r="B128" s="1923">
        <f t="shared" si="49"/>
        <v>122</v>
      </c>
      <c r="C128" s="1895" t="s">
        <v>3638</v>
      </c>
      <c r="D128" s="1894" t="s">
        <v>2930</v>
      </c>
      <c r="E128" s="1895" t="s">
        <v>636</v>
      </c>
      <c r="F128" s="1894" t="s">
        <v>259</v>
      </c>
      <c r="G128" s="1894">
        <v>139</v>
      </c>
      <c r="H128" s="1894">
        <v>139</v>
      </c>
      <c r="I128" s="1894">
        <v>34</v>
      </c>
      <c r="J128" s="1894">
        <v>111.2</v>
      </c>
      <c r="K128" s="1894">
        <v>0.99529999999999996</v>
      </c>
      <c r="L128" s="1894">
        <v>50.72</v>
      </c>
      <c r="M128" s="1925">
        <v>12416</v>
      </c>
      <c r="N128" s="1894">
        <f t="shared" si="27"/>
        <v>14688</v>
      </c>
      <c r="O128" s="1894">
        <f t="shared" si="28"/>
        <v>0</v>
      </c>
      <c r="P128" s="1894">
        <v>139</v>
      </c>
      <c r="Q128" s="1894">
        <v>36.799999999999997</v>
      </c>
      <c r="R128" s="1894">
        <v>111.2</v>
      </c>
      <c r="S128" s="1894">
        <v>0.99650000000000005</v>
      </c>
      <c r="T128" s="1894">
        <v>44.99</v>
      </c>
      <c r="U128" s="1894">
        <v>9934</v>
      </c>
      <c r="V128" s="1894">
        <f t="shared" si="29"/>
        <v>16428</v>
      </c>
      <c r="W128" s="1894">
        <f t="shared" si="30"/>
        <v>0</v>
      </c>
      <c r="X128" s="1894">
        <v>139</v>
      </c>
      <c r="Y128" s="1894">
        <v>32</v>
      </c>
      <c r="Z128" s="1894">
        <v>111.2</v>
      </c>
      <c r="AA128" s="1894">
        <v>0.99650000000000005</v>
      </c>
      <c r="AB128" s="1894">
        <v>51.97</v>
      </c>
      <c r="AC128" s="1894">
        <v>14370</v>
      </c>
      <c r="AD128" s="1894">
        <f t="shared" si="31"/>
        <v>13824</v>
      </c>
      <c r="AE128" s="1894">
        <f t="shared" si="32"/>
        <v>546</v>
      </c>
      <c r="AF128" s="1894">
        <v>139</v>
      </c>
      <c r="AG128" s="1894">
        <v>28.799999999999997</v>
      </c>
      <c r="AH128" s="1894">
        <v>111.2</v>
      </c>
      <c r="AI128" s="1894">
        <v>0.99209999999999998</v>
      </c>
      <c r="AJ128" s="1894">
        <v>50.86</v>
      </c>
      <c r="AK128" s="1894">
        <v>10898</v>
      </c>
      <c r="AL128" s="1894">
        <v>12856</v>
      </c>
      <c r="AM128" s="1894">
        <v>0</v>
      </c>
      <c r="AN128" s="1894">
        <v>139</v>
      </c>
      <c r="AO128" s="1894">
        <v>31.6</v>
      </c>
      <c r="AP128" s="1894">
        <v>111.2</v>
      </c>
      <c r="AQ128" s="1894">
        <v>0.98909999999999998</v>
      </c>
      <c r="AR128" s="1894">
        <v>50.1</v>
      </c>
      <c r="AS128" s="1894">
        <v>11778</v>
      </c>
      <c r="AT128" s="1894">
        <f t="shared" si="33"/>
        <v>14106</v>
      </c>
      <c r="AU128" s="1894">
        <f t="shared" si="34"/>
        <v>0</v>
      </c>
      <c r="AV128" s="1894">
        <v>139</v>
      </c>
      <c r="AW128" s="1894">
        <v>32.4</v>
      </c>
      <c r="AX128" s="1894">
        <v>111.2</v>
      </c>
      <c r="AY128" s="1894">
        <v>0.99329999999999996</v>
      </c>
      <c r="AZ128" s="1894">
        <v>51.43</v>
      </c>
      <c r="BA128" s="1894">
        <v>11998</v>
      </c>
      <c r="BB128" s="1894">
        <f t="shared" si="35"/>
        <v>13997</v>
      </c>
      <c r="BC128" s="1894">
        <f t="shared" si="36"/>
        <v>0</v>
      </c>
      <c r="BD128" s="1894">
        <v>139</v>
      </c>
      <c r="BE128" s="1894">
        <v>0</v>
      </c>
      <c r="BF128" s="1894">
        <v>111.2</v>
      </c>
      <c r="BG128" s="1894">
        <v>0.98709999999999998</v>
      </c>
      <c r="BH128" s="1894">
        <v>53.1</v>
      </c>
      <c r="BI128" s="1894">
        <v>11694</v>
      </c>
      <c r="BJ128" s="1894">
        <f t="shared" si="37"/>
        <v>0</v>
      </c>
      <c r="BK128" s="1894">
        <f t="shared" si="38"/>
        <v>11694</v>
      </c>
      <c r="BL128" s="1894">
        <v>0</v>
      </c>
      <c r="BM128" s="1894">
        <v>0</v>
      </c>
      <c r="BN128" s="1894">
        <v>0</v>
      </c>
      <c r="BO128" s="1894">
        <v>0</v>
      </c>
      <c r="BP128" s="1894">
        <v>0</v>
      </c>
      <c r="BQ128" s="1894">
        <v>0</v>
      </c>
      <c r="BR128" s="1894">
        <f t="shared" si="39"/>
        <v>0</v>
      </c>
      <c r="BS128" s="1894">
        <f t="shared" si="40"/>
        <v>0</v>
      </c>
      <c r="BT128" s="1894">
        <v>139</v>
      </c>
      <c r="BU128" s="1894">
        <v>0</v>
      </c>
      <c r="BV128" s="1894">
        <v>0</v>
      </c>
      <c r="BW128" s="1894">
        <v>0</v>
      </c>
      <c r="BX128" s="1894">
        <v>0</v>
      </c>
      <c r="BY128" s="1894">
        <v>0</v>
      </c>
      <c r="BZ128" s="1894">
        <f t="shared" si="41"/>
        <v>0</v>
      </c>
      <c r="CA128" s="1894">
        <f t="shared" si="42"/>
        <v>0</v>
      </c>
      <c r="CB128" s="1894">
        <v>0</v>
      </c>
      <c r="CC128" s="1894">
        <v>0</v>
      </c>
      <c r="CD128" s="1894">
        <v>0</v>
      </c>
      <c r="CE128" s="1894">
        <v>0</v>
      </c>
      <c r="CF128" s="1894">
        <v>0</v>
      </c>
      <c r="CG128" s="1894">
        <v>0</v>
      </c>
      <c r="CH128" s="1894">
        <f t="shared" si="43"/>
        <v>0</v>
      </c>
      <c r="CI128" s="1894">
        <f t="shared" si="44"/>
        <v>0</v>
      </c>
      <c r="CJ128" s="1894">
        <v>0</v>
      </c>
      <c r="CK128" s="1894">
        <v>0</v>
      </c>
      <c r="CL128" s="1894">
        <v>0</v>
      </c>
      <c r="CM128" s="1894">
        <v>0</v>
      </c>
      <c r="CN128" s="1894">
        <v>0</v>
      </c>
      <c r="CO128" s="1894">
        <v>0</v>
      </c>
      <c r="CP128" s="1894">
        <f t="shared" si="45"/>
        <v>0</v>
      </c>
      <c r="CQ128" s="1894">
        <f t="shared" si="46"/>
        <v>0</v>
      </c>
      <c r="CR128" s="1894">
        <v>0</v>
      </c>
      <c r="CS128" s="1894">
        <v>0</v>
      </c>
      <c r="CT128" s="1894">
        <v>0</v>
      </c>
      <c r="CU128" s="1894">
        <v>0</v>
      </c>
      <c r="CV128" s="1894">
        <v>0</v>
      </c>
      <c r="CW128" s="1894">
        <v>0</v>
      </c>
      <c r="CX128" s="1894">
        <f t="shared" si="47"/>
        <v>0</v>
      </c>
      <c r="CY128" s="1894">
        <f t="shared" si="48"/>
        <v>0</v>
      </c>
    </row>
    <row r="129" spans="1:103">
      <c r="A129" s="982">
        <v>121000000004</v>
      </c>
      <c r="B129" s="1923">
        <f t="shared" si="49"/>
        <v>123</v>
      </c>
      <c r="C129" s="1895" t="s">
        <v>3021</v>
      </c>
      <c r="D129" s="1894" t="s">
        <v>524</v>
      </c>
      <c r="E129" s="1895" t="s">
        <v>541</v>
      </c>
      <c r="F129" s="1894" t="s">
        <v>259</v>
      </c>
      <c r="G129" s="1924">
        <v>140</v>
      </c>
      <c r="H129" s="1894">
        <v>140</v>
      </c>
      <c r="I129" s="1894">
        <v>213.12</v>
      </c>
      <c r="J129" s="1894">
        <v>213.12</v>
      </c>
      <c r="K129" s="1894">
        <v>0.73619999999999997</v>
      </c>
      <c r="L129" s="1894">
        <v>35.700000000000003</v>
      </c>
      <c r="M129" s="1894">
        <v>54788</v>
      </c>
      <c r="N129" s="1894">
        <f t="shared" si="27"/>
        <v>92068</v>
      </c>
      <c r="O129" s="1894">
        <f t="shared" si="28"/>
        <v>0</v>
      </c>
      <c r="P129" s="1894">
        <v>140</v>
      </c>
      <c r="Q129" s="1894">
        <v>241.32</v>
      </c>
      <c r="R129" s="1894">
        <v>241.32</v>
      </c>
      <c r="S129" s="1894">
        <v>0.7389</v>
      </c>
      <c r="T129" s="1894">
        <v>36.44</v>
      </c>
      <c r="U129" s="1894">
        <v>65426</v>
      </c>
      <c r="V129" s="1894">
        <f t="shared" si="29"/>
        <v>107725</v>
      </c>
      <c r="W129" s="1894">
        <f t="shared" si="30"/>
        <v>0</v>
      </c>
      <c r="X129" s="1894">
        <v>140</v>
      </c>
      <c r="Y129" s="1894">
        <v>210.23999999999998</v>
      </c>
      <c r="Z129" s="1894">
        <v>210.24</v>
      </c>
      <c r="AA129" s="1894">
        <v>0.76849999999999996</v>
      </c>
      <c r="AB129" s="1894">
        <v>32.770000000000003</v>
      </c>
      <c r="AC129" s="1894">
        <v>49610</v>
      </c>
      <c r="AD129" s="1894">
        <f t="shared" si="31"/>
        <v>90824</v>
      </c>
      <c r="AE129" s="1894">
        <f t="shared" si="32"/>
        <v>0</v>
      </c>
      <c r="AF129" s="1894">
        <v>140</v>
      </c>
      <c r="AG129" s="1894">
        <v>213.95999999999998</v>
      </c>
      <c r="AH129" s="1894">
        <v>213.96</v>
      </c>
      <c r="AI129" s="1894">
        <v>0.76160000000000005</v>
      </c>
      <c r="AJ129" s="1894">
        <v>18.93</v>
      </c>
      <c r="AK129" s="1894">
        <v>30135</v>
      </c>
      <c r="AL129" s="1894">
        <f t="shared" ref="AL129:AL146" si="56">+ROUND((24*31*0.6*AG129),0)</f>
        <v>95512</v>
      </c>
      <c r="AM129" s="1894">
        <f t="shared" ref="AM129:AM146" si="57">+MAX((AK129-AL129),0)</f>
        <v>0</v>
      </c>
      <c r="AN129" s="1894">
        <v>140</v>
      </c>
      <c r="AO129" s="1894">
        <v>157.07999999999998</v>
      </c>
      <c r="AP129" s="1894">
        <v>157.08000000000001</v>
      </c>
      <c r="AQ129" s="1894">
        <v>0.80710000000000004</v>
      </c>
      <c r="AR129" s="1894">
        <v>8.1999999999999993</v>
      </c>
      <c r="AS129" s="1894">
        <v>9588</v>
      </c>
      <c r="AT129" s="1894">
        <f t="shared" si="33"/>
        <v>70121</v>
      </c>
      <c r="AU129" s="1894">
        <f t="shared" si="34"/>
        <v>0</v>
      </c>
      <c r="AV129" s="1894">
        <v>140</v>
      </c>
      <c r="AW129" s="1894">
        <v>72.12</v>
      </c>
      <c r="AX129" s="1894">
        <v>112</v>
      </c>
      <c r="AY129" s="1894">
        <v>0.92379999999999995</v>
      </c>
      <c r="AZ129" s="1894">
        <v>12.17</v>
      </c>
      <c r="BA129" s="1894">
        <v>6317</v>
      </c>
      <c r="BB129" s="1894">
        <f t="shared" si="35"/>
        <v>31156</v>
      </c>
      <c r="BC129" s="1894">
        <f t="shared" si="36"/>
        <v>0</v>
      </c>
      <c r="BD129" s="1894">
        <v>140</v>
      </c>
      <c r="BE129" s="1894">
        <v>22.44</v>
      </c>
      <c r="BF129" s="1894">
        <v>112</v>
      </c>
      <c r="BG129" s="1894">
        <v>0.96579999999999999</v>
      </c>
      <c r="BH129" s="1894">
        <v>38.24</v>
      </c>
      <c r="BI129" s="1894">
        <v>6385</v>
      </c>
      <c r="BJ129" s="1894">
        <f t="shared" si="37"/>
        <v>10017</v>
      </c>
      <c r="BK129" s="1894">
        <f t="shared" si="38"/>
        <v>0</v>
      </c>
      <c r="BL129" s="1894">
        <v>140</v>
      </c>
      <c r="BM129" s="1894">
        <v>18.96</v>
      </c>
      <c r="BN129" s="1894">
        <v>112</v>
      </c>
      <c r="BO129" s="1894">
        <v>0.94810000000000005</v>
      </c>
      <c r="BP129" s="1894">
        <v>47.89</v>
      </c>
      <c r="BQ129" s="1894">
        <v>6537</v>
      </c>
      <c r="BR129" s="1894">
        <f t="shared" si="39"/>
        <v>8191</v>
      </c>
      <c r="BS129" s="1894">
        <f t="shared" si="40"/>
        <v>0</v>
      </c>
      <c r="BT129" s="1894">
        <v>140</v>
      </c>
      <c r="BU129" s="1894">
        <v>26.279999999999998</v>
      </c>
      <c r="BV129" s="1894">
        <v>112</v>
      </c>
      <c r="BW129" s="1894">
        <v>0.96619999999999995</v>
      </c>
      <c r="BX129" s="1894">
        <v>34.51</v>
      </c>
      <c r="BY129" s="1894">
        <v>6747</v>
      </c>
      <c r="BZ129" s="1894">
        <f t="shared" si="41"/>
        <v>11731</v>
      </c>
      <c r="CA129" s="1894">
        <f t="shared" si="42"/>
        <v>0</v>
      </c>
      <c r="CB129" s="1894">
        <v>140</v>
      </c>
      <c r="CC129" s="1894">
        <v>183.35999999999999</v>
      </c>
      <c r="CD129" s="1894">
        <v>183.36</v>
      </c>
      <c r="CE129" s="1894">
        <v>0.97919999999999996</v>
      </c>
      <c r="CF129" s="1894">
        <v>18.68</v>
      </c>
      <c r="CG129" s="1894">
        <v>25478</v>
      </c>
      <c r="CH129" s="1894">
        <f t="shared" si="43"/>
        <v>81852</v>
      </c>
      <c r="CI129" s="1894">
        <f t="shared" si="44"/>
        <v>0</v>
      </c>
      <c r="CJ129" s="1894">
        <v>140</v>
      </c>
      <c r="CK129" s="1894">
        <v>183.24</v>
      </c>
      <c r="CL129" s="1894">
        <v>183.24</v>
      </c>
      <c r="CM129" s="1894">
        <v>1</v>
      </c>
      <c r="CN129" s="1894">
        <v>21.67</v>
      </c>
      <c r="CO129" s="1894">
        <v>26678</v>
      </c>
      <c r="CP129" s="1894">
        <f t="shared" si="45"/>
        <v>73882</v>
      </c>
      <c r="CQ129" s="1894">
        <f t="shared" si="46"/>
        <v>0</v>
      </c>
      <c r="CR129" s="1924">
        <v>140</v>
      </c>
      <c r="CS129" s="1924">
        <v>172.08</v>
      </c>
      <c r="CT129" s="1924">
        <v>172.08</v>
      </c>
      <c r="CU129" s="1924">
        <v>0.98319999999999996</v>
      </c>
      <c r="CV129" s="1924">
        <v>30.29</v>
      </c>
      <c r="CW129" s="1924">
        <v>38782</v>
      </c>
      <c r="CX129" s="1894">
        <f t="shared" si="47"/>
        <v>76817</v>
      </c>
      <c r="CY129" s="1894">
        <f t="shared" si="48"/>
        <v>0</v>
      </c>
    </row>
    <row r="130" spans="1:103">
      <c r="A130" s="982">
        <v>121000000039</v>
      </c>
      <c r="B130" s="1923">
        <f t="shared" si="49"/>
        <v>124</v>
      </c>
      <c r="C130" s="1895" t="s">
        <v>3022</v>
      </c>
      <c r="D130" s="1894" t="s">
        <v>524</v>
      </c>
      <c r="E130" s="1895" t="s">
        <v>2966</v>
      </c>
      <c r="F130" s="1894" t="s">
        <v>259</v>
      </c>
      <c r="G130" s="1924">
        <v>140</v>
      </c>
      <c r="H130" s="1894">
        <v>140</v>
      </c>
      <c r="I130" s="1894">
        <v>51.599999999999994</v>
      </c>
      <c r="J130" s="1894">
        <v>140</v>
      </c>
      <c r="K130" s="1894">
        <v>0.79490000000000005</v>
      </c>
      <c r="L130" s="1894">
        <v>0</v>
      </c>
      <c r="M130" s="1894">
        <v>8591</v>
      </c>
      <c r="N130" s="1894">
        <f t="shared" si="27"/>
        <v>22291</v>
      </c>
      <c r="O130" s="1894">
        <f t="shared" si="28"/>
        <v>0</v>
      </c>
      <c r="P130" s="1894">
        <v>140</v>
      </c>
      <c r="Q130" s="1894">
        <v>91.56</v>
      </c>
      <c r="R130" s="1894">
        <v>140</v>
      </c>
      <c r="S130" s="1894">
        <v>0.83630000000000004</v>
      </c>
      <c r="T130" s="1894">
        <v>0</v>
      </c>
      <c r="U130" s="1894">
        <v>22185</v>
      </c>
      <c r="V130" s="1894">
        <f t="shared" si="29"/>
        <v>40872</v>
      </c>
      <c r="W130" s="1894">
        <f t="shared" si="30"/>
        <v>0</v>
      </c>
      <c r="X130" s="1894">
        <v>140</v>
      </c>
      <c r="Y130" s="1894">
        <v>79.92</v>
      </c>
      <c r="Z130" s="1894">
        <v>140</v>
      </c>
      <c r="AA130" s="1894">
        <v>0.82440000000000002</v>
      </c>
      <c r="AB130" s="1894">
        <v>0</v>
      </c>
      <c r="AC130" s="1894">
        <v>18981</v>
      </c>
      <c r="AD130" s="1894">
        <f t="shared" si="31"/>
        <v>34525</v>
      </c>
      <c r="AE130" s="1894">
        <f t="shared" si="32"/>
        <v>0</v>
      </c>
      <c r="AF130" s="1894">
        <v>140</v>
      </c>
      <c r="AG130" s="1894">
        <v>83.4</v>
      </c>
      <c r="AH130" s="1894">
        <v>140</v>
      </c>
      <c r="AI130" s="1894">
        <v>0.7762</v>
      </c>
      <c r="AJ130" s="1894">
        <v>0</v>
      </c>
      <c r="AK130" s="1894">
        <v>22397</v>
      </c>
      <c r="AL130" s="1894">
        <f t="shared" si="56"/>
        <v>37230</v>
      </c>
      <c r="AM130" s="1894">
        <f t="shared" si="57"/>
        <v>0</v>
      </c>
      <c r="AN130" s="1894">
        <v>140</v>
      </c>
      <c r="AO130" s="1894">
        <v>58.800000000000004</v>
      </c>
      <c r="AP130" s="1894">
        <v>140</v>
      </c>
      <c r="AQ130" s="1894">
        <v>0.75539999999999996</v>
      </c>
      <c r="AR130" s="1894">
        <v>0</v>
      </c>
      <c r="AS130" s="1894">
        <v>19200</v>
      </c>
      <c r="AT130" s="1894">
        <f t="shared" si="33"/>
        <v>26248</v>
      </c>
      <c r="AU130" s="1894">
        <f t="shared" si="34"/>
        <v>0</v>
      </c>
      <c r="AV130" s="1894">
        <v>140</v>
      </c>
      <c r="AW130" s="1894">
        <v>57.72</v>
      </c>
      <c r="AX130" s="1894">
        <v>140</v>
      </c>
      <c r="AY130" s="1894">
        <v>0.75560000000000005</v>
      </c>
      <c r="AZ130" s="1894">
        <v>0</v>
      </c>
      <c r="BA130" s="1894">
        <v>9622</v>
      </c>
      <c r="BB130" s="1894">
        <f t="shared" si="35"/>
        <v>24935</v>
      </c>
      <c r="BC130" s="1894">
        <f t="shared" si="36"/>
        <v>0</v>
      </c>
      <c r="BD130" s="1894">
        <v>140</v>
      </c>
      <c r="BE130" s="1894">
        <v>17.400000000000002</v>
      </c>
      <c r="BF130" s="1894">
        <v>140</v>
      </c>
      <c r="BG130" s="1894">
        <v>0.51600000000000001</v>
      </c>
      <c r="BH130" s="1894">
        <v>0</v>
      </c>
      <c r="BI130" s="1894">
        <v>2244</v>
      </c>
      <c r="BJ130" s="1894">
        <f t="shared" si="37"/>
        <v>7767</v>
      </c>
      <c r="BK130" s="1894">
        <f t="shared" si="38"/>
        <v>0</v>
      </c>
      <c r="BL130" s="1894">
        <v>140</v>
      </c>
      <c r="BM130" s="1894">
        <v>20.16</v>
      </c>
      <c r="BN130" s="1894">
        <v>140</v>
      </c>
      <c r="BO130" s="1894">
        <v>0.56120000000000003</v>
      </c>
      <c r="BP130" s="1894">
        <v>0</v>
      </c>
      <c r="BQ130" s="1894">
        <v>4023</v>
      </c>
      <c r="BR130" s="1894">
        <f t="shared" si="39"/>
        <v>8709</v>
      </c>
      <c r="BS130" s="1894">
        <f t="shared" si="40"/>
        <v>0</v>
      </c>
      <c r="BT130" s="1894">
        <v>140</v>
      </c>
      <c r="BU130" s="1894">
        <v>7.08</v>
      </c>
      <c r="BV130" s="1894">
        <v>140</v>
      </c>
      <c r="BW130" s="1894">
        <v>0.36480000000000001</v>
      </c>
      <c r="BX130" s="1894">
        <v>0</v>
      </c>
      <c r="BY130" s="1894">
        <v>2993</v>
      </c>
      <c r="BZ130" s="1894">
        <f t="shared" si="41"/>
        <v>3161</v>
      </c>
      <c r="CA130" s="1894">
        <f t="shared" si="42"/>
        <v>0</v>
      </c>
      <c r="CB130" s="1894">
        <v>140</v>
      </c>
      <c r="CC130" s="1894">
        <v>10.200000000000001</v>
      </c>
      <c r="CD130" s="1894">
        <v>140</v>
      </c>
      <c r="CE130" s="1894">
        <v>0.44280000000000003</v>
      </c>
      <c r="CF130" s="1894">
        <v>0</v>
      </c>
      <c r="CG130" s="1894">
        <v>2583</v>
      </c>
      <c r="CH130" s="1894">
        <f t="shared" si="43"/>
        <v>4553</v>
      </c>
      <c r="CI130" s="1894">
        <f t="shared" si="44"/>
        <v>0</v>
      </c>
      <c r="CJ130" s="1894">
        <v>140</v>
      </c>
      <c r="CK130" s="1894">
        <v>22.08</v>
      </c>
      <c r="CL130" s="1894">
        <v>140</v>
      </c>
      <c r="CM130" s="1894">
        <v>0.67810000000000004</v>
      </c>
      <c r="CN130" s="1894">
        <v>0</v>
      </c>
      <c r="CO130" s="1894">
        <v>7613</v>
      </c>
      <c r="CP130" s="1894">
        <f t="shared" si="45"/>
        <v>8903</v>
      </c>
      <c r="CQ130" s="1894">
        <f t="shared" si="46"/>
        <v>0</v>
      </c>
      <c r="CR130" s="1924">
        <v>140</v>
      </c>
      <c r="CS130" s="1924">
        <v>18.239999999999998</v>
      </c>
      <c r="CT130" s="1924">
        <v>140</v>
      </c>
      <c r="CU130" s="1924">
        <v>0.65280000000000005</v>
      </c>
      <c r="CV130" s="1924">
        <v>0</v>
      </c>
      <c r="CW130" s="1924">
        <v>3013</v>
      </c>
      <c r="CX130" s="1894">
        <f t="shared" si="47"/>
        <v>8142</v>
      </c>
      <c r="CY130" s="1894">
        <f t="shared" si="48"/>
        <v>0</v>
      </c>
    </row>
    <row r="131" spans="1:103">
      <c r="A131" s="982">
        <v>121000000075</v>
      </c>
      <c r="B131" s="1923">
        <f t="shared" si="49"/>
        <v>125</v>
      </c>
      <c r="C131" s="1895" t="s">
        <v>3023</v>
      </c>
      <c r="D131" s="1894" t="s">
        <v>524</v>
      </c>
      <c r="E131" s="1895" t="s">
        <v>541</v>
      </c>
      <c r="F131" s="1894" t="s">
        <v>259</v>
      </c>
      <c r="G131" s="1924">
        <v>140</v>
      </c>
      <c r="H131" s="1894">
        <v>140</v>
      </c>
      <c r="I131" s="1894">
        <v>75.12</v>
      </c>
      <c r="J131" s="1894">
        <v>112</v>
      </c>
      <c r="K131" s="1894">
        <v>0.87450000000000006</v>
      </c>
      <c r="L131" s="1894">
        <v>17.190000000000001</v>
      </c>
      <c r="M131" s="1894">
        <v>9297</v>
      </c>
      <c r="N131" s="1894">
        <f t="shared" si="27"/>
        <v>32452</v>
      </c>
      <c r="O131" s="1894">
        <f t="shared" si="28"/>
        <v>0</v>
      </c>
      <c r="P131" s="1894">
        <v>140</v>
      </c>
      <c r="Q131" s="1894">
        <v>142.24</v>
      </c>
      <c r="R131" s="1894">
        <v>142.24</v>
      </c>
      <c r="S131" s="1894">
        <v>0.85960000000000003</v>
      </c>
      <c r="T131" s="1894">
        <v>32.25</v>
      </c>
      <c r="U131" s="1894">
        <v>34134</v>
      </c>
      <c r="V131" s="1894">
        <f t="shared" si="29"/>
        <v>63496</v>
      </c>
      <c r="W131" s="1894">
        <f t="shared" si="30"/>
        <v>0</v>
      </c>
      <c r="X131" s="1894">
        <v>140</v>
      </c>
      <c r="Y131" s="1894">
        <v>138.64000000000001</v>
      </c>
      <c r="Z131" s="1894">
        <v>138.63999999999999</v>
      </c>
      <c r="AA131" s="1894">
        <v>0.97189999999999999</v>
      </c>
      <c r="AB131" s="1894">
        <v>64.95</v>
      </c>
      <c r="AC131" s="1894">
        <v>64838</v>
      </c>
      <c r="AD131" s="1894">
        <f t="shared" si="31"/>
        <v>59892</v>
      </c>
      <c r="AE131" s="1894">
        <f t="shared" si="32"/>
        <v>4946</v>
      </c>
      <c r="AF131" s="1894">
        <v>140</v>
      </c>
      <c r="AG131" s="1894">
        <v>114.08</v>
      </c>
      <c r="AH131" s="1894">
        <v>114.08</v>
      </c>
      <c r="AI131" s="1894">
        <v>0.99880000000000002</v>
      </c>
      <c r="AJ131" s="1894">
        <v>38.22</v>
      </c>
      <c r="AK131" s="1894">
        <v>32436</v>
      </c>
      <c r="AL131" s="1894">
        <f t="shared" si="56"/>
        <v>50925</v>
      </c>
      <c r="AM131" s="1894">
        <f t="shared" si="57"/>
        <v>0</v>
      </c>
      <c r="AN131" s="1894">
        <v>140</v>
      </c>
      <c r="AO131" s="1894">
        <v>112.48</v>
      </c>
      <c r="AP131" s="1894">
        <v>112.48</v>
      </c>
      <c r="AQ131" s="1894">
        <v>0.99680000000000002</v>
      </c>
      <c r="AR131" s="1894">
        <v>18.399999999999999</v>
      </c>
      <c r="AS131" s="1894">
        <v>15396</v>
      </c>
      <c r="AT131" s="1894">
        <f t="shared" si="33"/>
        <v>50211</v>
      </c>
      <c r="AU131" s="1894">
        <f t="shared" si="34"/>
        <v>0</v>
      </c>
      <c r="AV131" s="1894">
        <v>140</v>
      </c>
      <c r="AW131" s="1894">
        <v>68.320000000000007</v>
      </c>
      <c r="AX131" s="1894">
        <v>112</v>
      </c>
      <c r="AY131" s="1894">
        <v>0.99919999999999998</v>
      </c>
      <c r="AZ131" s="1894">
        <v>13.68</v>
      </c>
      <c r="BA131" s="1894">
        <v>6729</v>
      </c>
      <c r="BB131" s="1894">
        <f t="shared" si="35"/>
        <v>29514</v>
      </c>
      <c r="BC131" s="1894">
        <f t="shared" si="36"/>
        <v>0</v>
      </c>
      <c r="BD131" s="1894">
        <v>140</v>
      </c>
      <c r="BE131" s="1894">
        <v>64.88000000000001</v>
      </c>
      <c r="BF131" s="1894">
        <v>112</v>
      </c>
      <c r="BG131" s="1894">
        <v>0.99970000000000003</v>
      </c>
      <c r="BH131" s="1894">
        <v>22.49</v>
      </c>
      <c r="BI131" s="1894">
        <v>10854</v>
      </c>
      <c r="BJ131" s="1894">
        <f t="shared" si="37"/>
        <v>28962</v>
      </c>
      <c r="BK131" s="1894">
        <f t="shared" si="38"/>
        <v>0</v>
      </c>
      <c r="BL131" s="1894">
        <v>140</v>
      </c>
      <c r="BM131" s="1894">
        <v>63.6</v>
      </c>
      <c r="BN131" s="1894">
        <v>112</v>
      </c>
      <c r="BO131" s="1894">
        <v>0.99970000000000003</v>
      </c>
      <c r="BP131" s="1894">
        <v>29.7</v>
      </c>
      <c r="BQ131" s="1894">
        <v>13599</v>
      </c>
      <c r="BR131" s="1894">
        <f t="shared" si="39"/>
        <v>27475</v>
      </c>
      <c r="BS131" s="1894">
        <f t="shared" si="40"/>
        <v>0</v>
      </c>
      <c r="BT131" s="1894">
        <v>140</v>
      </c>
      <c r="BU131" s="1894">
        <v>60.4</v>
      </c>
      <c r="BV131" s="1894">
        <v>112</v>
      </c>
      <c r="BW131" s="1894">
        <v>0.99939999999999996</v>
      </c>
      <c r="BX131" s="1894">
        <v>11.18</v>
      </c>
      <c r="BY131" s="1894">
        <v>5023</v>
      </c>
      <c r="BZ131" s="1894">
        <f t="shared" si="41"/>
        <v>26963</v>
      </c>
      <c r="CA131" s="1894">
        <f t="shared" si="42"/>
        <v>0</v>
      </c>
      <c r="CB131" s="1894">
        <v>140</v>
      </c>
      <c r="CC131" s="1894">
        <v>60.08</v>
      </c>
      <c r="CD131" s="1894">
        <v>112</v>
      </c>
      <c r="CE131" s="1894">
        <v>0.99980000000000002</v>
      </c>
      <c r="CF131" s="1894">
        <v>14.56</v>
      </c>
      <c r="CG131" s="1894">
        <v>6509</v>
      </c>
      <c r="CH131" s="1894">
        <f t="shared" si="43"/>
        <v>26820</v>
      </c>
      <c r="CI131" s="1894">
        <f t="shared" si="44"/>
        <v>0</v>
      </c>
      <c r="CJ131" s="1894">
        <v>140</v>
      </c>
      <c r="CK131" s="1894">
        <v>63.680000000000007</v>
      </c>
      <c r="CL131" s="1894">
        <v>112</v>
      </c>
      <c r="CM131" s="1894">
        <v>0.99970000000000003</v>
      </c>
      <c r="CN131" s="1894">
        <v>19.190000000000001</v>
      </c>
      <c r="CO131" s="1894">
        <v>8214</v>
      </c>
      <c r="CP131" s="1894">
        <f t="shared" si="45"/>
        <v>25676</v>
      </c>
      <c r="CQ131" s="1894">
        <f t="shared" si="46"/>
        <v>0</v>
      </c>
      <c r="CR131" s="1924">
        <v>140</v>
      </c>
      <c r="CS131" s="1924">
        <v>65.28</v>
      </c>
      <c r="CT131" s="1924">
        <v>112</v>
      </c>
      <c r="CU131" s="1924">
        <v>0.99860000000000004</v>
      </c>
      <c r="CV131" s="1924">
        <v>18.649999999999999</v>
      </c>
      <c r="CW131" s="1924">
        <v>9057</v>
      </c>
      <c r="CX131" s="1894">
        <f t="shared" si="47"/>
        <v>29141</v>
      </c>
      <c r="CY131" s="1894">
        <f t="shared" si="48"/>
        <v>0</v>
      </c>
    </row>
    <row r="132" spans="1:103">
      <c r="A132" s="982">
        <v>122000000086</v>
      </c>
      <c r="B132" s="1923">
        <f t="shared" si="49"/>
        <v>126</v>
      </c>
      <c r="C132" s="1895" t="s">
        <v>3024</v>
      </c>
      <c r="D132" s="1894" t="s">
        <v>524</v>
      </c>
      <c r="E132" s="1895" t="s">
        <v>636</v>
      </c>
      <c r="F132" s="1894" t="s">
        <v>259</v>
      </c>
      <c r="G132" s="1924">
        <v>140</v>
      </c>
      <c r="H132" s="1894">
        <v>140</v>
      </c>
      <c r="I132" s="1894">
        <v>134.20000000000002</v>
      </c>
      <c r="J132" s="1894">
        <v>134.19999999999999</v>
      </c>
      <c r="K132" s="1894">
        <v>0.99370000000000003</v>
      </c>
      <c r="L132" s="1894">
        <v>48.98</v>
      </c>
      <c r="M132" s="1894">
        <v>53636</v>
      </c>
      <c r="N132" s="1894">
        <f t="shared" si="27"/>
        <v>57974</v>
      </c>
      <c r="O132" s="1894">
        <f t="shared" si="28"/>
        <v>0</v>
      </c>
      <c r="P132" s="1894">
        <v>140</v>
      </c>
      <c r="Q132" s="1894">
        <v>111.00000000000001</v>
      </c>
      <c r="R132" s="1894">
        <v>112</v>
      </c>
      <c r="S132" s="1894">
        <v>0.99580000000000002</v>
      </c>
      <c r="T132" s="1894">
        <v>54.1</v>
      </c>
      <c r="U132" s="1894">
        <v>44681</v>
      </c>
      <c r="V132" s="1894">
        <f t="shared" si="29"/>
        <v>49550</v>
      </c>
      <c r="W132" s="1894">
        <f t="shared" si="30"/>
        <v>0</v>
      </c>
      <c r="X132" s="1894">
        <v>140</v>
      </c>
      <c r="Y132" s="1894">
        <v>113.19999999999999</v>
      </c>
      <c r="Z132" s="1894">
        <v>113.2</v>
      </c>
      <c r="AA132" s="1894">
        <v>0.99490000000000001</v>
      </c>
      <c r="AB132" s="1894">
        <v>51.74</v>
      </c>
      <c r="AC132" s="1894">
        <v>42167</v>
      </c>
      <c r="AD132" s="1894">
        <f t="shared" si="31"/>
        <v>48902</v>
      </c>
      <c r="AE132" s="1894">
        <f t="shared" si="32"/>
        <v>0</v>
      </c>
      <c r="AF132" s="1894">
        <v>140</v>
      </c>
      <c r="AG132" s="1894">
        <v>86.960000000000008</v>
      </c>
      <c r="AH132" s="1894">
        <v>112</v>
      </c>
      <c r="AI132" s="1894">
        <v>0.99639999999999995</v>
      </c>
      <c r="AJ132" s="1894">
        <v>61.83</v>
      </c>
      <c r="AK132" s="1894">
        <v>40005</v>
      </c>
      <c r="AL132" s="1894">
        <f t="shared" si="56"/>
        <v>38819</v>
      </c>
      <c r="AM132" s="1894">
        <f t="shared" si="57"/>
        <v>1186</v>
      </c>
      <c r="AN132" s="1894">
        <v>140</v>
      </c>
      <c r="AO132" s="1894">
        <v>109.44</v>
      </c>
      <c r="AP132" s="1894">
        <v>112</v>
      </c>
      <c r="AQ132" s="1894">
        <v>0.99690000000000001</v>
      </c>
      <c r="AR132" s="1894">
        <v>53.3</v>
      </c>
      <c r="AS132" s="1894">
        <v>43399</v>
      </c>
      <c r="AT132" s="1894">
        <f t="shared" si="33"/>
        <v>48854</v>
      </c>
      <c r="AU132" s="1894">
        <f t="shared" si="34"/>
        <v>0</v>
      </c>
      <c r="AV132" s="1894">
        <v>140</v>
      </c>
      <c r="AW132" s="1894">
        <v>113.19999999999999</v>
      </c>
      <c r="AX132" s="1894">
        <v>113.2</v>
      </c>
      <c r="AY132" s="1894">
        <v>0.99539999999999995</v>
      </c>
      <c r="AZ132" s="1894">
        <v>48.7</v>
      </c>
      <c r="BA132" s="1894">
        <v>39695</v>
      </c>
      <c r="BB132" s="1894">
        <f t="shared" si="35"/>
        <v>48902</v>
      </c>
      <c r="BC132" s="1894">
        <f t="shared" si="36"/>
        <v>0</v>
      </c>
      <c r="BD132" s="1894">
        <v>140</v>
      </c>
      <c r="BE132" s="1894">
        <v>92.72</v>
      </c>
      <c r="BF132" s="1894">
        <v>112</v>
      </c>
      <c r="BG132" s="1894">
        <v>0.99480000000000002</v>
      </c>
      <c r="BH132" s="1894">
        <v>53.97</v>
      </c>
      <c r="BI132" s="1894">
        <v>37228</v>
      </c>
      <c r="BJ132" s="1894">
        <f t="shared" si="37"/>
        <v>41390</v>
      </c>
      <c r="BK132" s="1894">
        <f t="shared" si="38"/>
        <v>0</v>
      </c>
      <c r="BL132" s="1894">
        <v>140</v>
      </c>
      <c r="BM132" s="1894">
        <v>93.84</v>
      </c>
      <c r="BN132" s="1894">
        <v>112</v>
      </c>
      <c r="BO132" s="1894">
        <v>0.99150000000000005</v>
      </c>
      <c r="BP132" s="1894">
        <v>42.55</v>
      </c>
      <c r="BQ132" s="1894">
        <v>28751</v>
      </c>
      <c r="BR132" s="1894">
        <f t="shared" si="39"/>
        <v>40539</v>
      </c>
      <c r="BS132" s="1894">
        <f t="shared" si="40"/>
        <v>0</v>
      </c>
      <c r="BT132" s="1894">
        <v>140</v>
      </c>
      <c r="BU132" s="1894">
        <v>95.76</v>
      </c>
      <c r="BV132" s="1894">
        <v>112</v>
      </c>
      <c r="BW132" s="1894">
        <v>0.99</v>
      </c>
      <c r="BX132" s="1894">
        <v>35.14</v>
      </c>
      <c r="BY132" s="1894">
        <v>25037</v>
      </c>
      <c r="BZ132" s="1894">
        <f t="shared" si="41"/>
        <v>42747</v>
      </c>
      <c r="CA132" s="1894">
        <f t="shared" si="42"/>
        <v>0</v>
      </c>
      <c r="CB132" s="1894">
        <v>140</v>
      </c>
      <c r="CC132" s="1894">
        <v>88.32</v>
      </c>
      <c r="CD132" s="1894">
        <v>112</v>
      </c>
      <c r="CE132" s="1894">
        <v>0.99590000000000001</v>
      </c>
      <c r="CF132" s="1894">
        <v>40.68</v>
      </c>
      <c r="CG132" s="1894">
        <v>26730</v>
      </c>
      <c r="CH132" s="1894">
        <f t="shared" si="43"/>
        <v>39426</v>
      </c>
      <c r="CI132" s="1894">
        <f t="shared" si="44"/>
        <v>0</v>
      </c>
      <c r="CJ132" s="1894">
        <v>140</v>
      </c>
      <c r="CK132" s="1894">
        <v>113.19999999999999</v>
      </c>
      <c r="CL132" s="1894">
        <v>113.2</v>
      </c>
      <c r="CM132" s="1894">
        <v>0.99660000000000004</v>
      </c>
      <c r="CN132" s="1894">
        <v>37.770000000000003</v>
      </c>
      <c r="CO132" s="1894">
        <v>28733</v>
      </c>
      <c r="CP132" s="1894">
        <f t="shared" si="45"/>
        <v>45642</v>
      </c>
      <c r="CQ132" s="1894">
        <f t="shared" si="46"/>
        <v>0</v>
      </c>
      <c r="CR132" s="1924">
        <v>140</v>
      </c>
      <c r="CS132" s="1924">
        <v>119.52000000000001</v>
      </c>
      <c r="CT132" s="1924">
        <v>119.52</v>
      </c>
      <c r="CU132" s="1924">
        <v>0.99570000000000003</v>
      </c>
      <c r="CV132" s="1924">
        <v>39.57</v>
      </c>
      <c r="CW132" s="1924">
        <v>35186</v>
      </c>
      <c r="CX132" s="1894">
        <f t="shared" si="47"/>
        <v>53354</v>
      </c>
      <c r="CY132" s="1894">
        <f t="shared" si="48"/>
        <v>0</v>
      </c>
    </row>
    <row r="133" spans="1:103">
      <c r="A133" s="982">
        <v>125000000023</v>
      </c>
      <c r="B133" s="1923">
        <f t="shared" si="49"/>
        <v>127</v>
      </c>
      <c r="C133" s="1895" t="s">
        <v>3025</v>
      </c>
      <c r="D133" s="1894" t="s">
        <v>524</v>
      </c>
      <c r="E133" s="1895" t="s">
        <v>541</v>
      </c>
      <c r="F133" s="1894" t="s">
        <v>259</v>
      </c>
      <c r="G133" s="1924">
        <v>140</v>
      </c>
      <c r="H133" s="1894">
        <v>140</v>
      </c>
      <c r="I133" s="1894">
        <v>98.4</v>
      </c>
      <c r="J133" s="1894">
        <v>112</v>
      </c>
      <c r="K133" s="1894">
        <v>0.626</v>
      </c>
      <c r="L133" s="1894">
        <v>9.26</v>
      </c>
      <c r="M133" s="1894">
        <v>6559</v>
      </c>
      <c r="N133" s="1894">
        <f t="shared" si="27"/>
        <v>42509</v>
      </c>
      <c r="O133" s="1894">
        <f t="shared" si="28"/>
        <v>0</v>
      </c>
      <c r="P133" s="1894">
        <v>140</v>
      </c>
      <c r="Q133" s="1894">
        <v>106.64</v>
      </c>
      <c r="R133" s="1894">
        <v>112</v>
      </c>
      <c r="S133" s="1894">
        <v>0.6119</v>
      </c>
      <c r="T133" s="1894">
        <v>11.22</v>
      </c>
      <c r="U133" s="1894">
        <v>8904</v>
      </c>
      <c r="V133" s="1894">
        <f t="shared" si="29"/>
        <v>47604</v>
      </c>
      <c r="W133" s="1894">
        <f t="shared" si="30"/>
        <v>0</v>
      </c>
      <c r="X133" s="1894">
        <v>140</v>
      </c>
      <c r="Y133" s="1894">
        <v>101.12</v>
      </c>
      <c r="Z133" s="1894">
        <v>112</v>
      </c>
      <c r="AA133" s="1894">
        <v>0.61209999999999998</v>
      </c>
      <c r="AB133" s="1894">
        <v>9.57</v>
      </c>
      <c r="AC133" s="1894">
        <v>6971</v>
      </c>
      <c r="AD133" s="1894">
        <f t="shared" si="31"/>
        <v>43684</v>
      </c>
      <c r="AE133" s="1894">
        <f t="shared" si="32"/>
        <v>0</v>
      </c>
      <c r="AF133" s="1894">
        <v>140</v>
      </c>
      <c r="AG133" s="1894">
        <v>71.760000000000005</v>
      </c>
      <c r="AH133" s="1894">
        <v>112</v>
      </c>
      <c r="AI133" s="1894">
        <v>0.68410000000000004</v>
      </c>
      <c r="AJ133" s="1894">
        <v>14.75</v>
      </c>
      <c r="AK133" s="1894">
        <v>7874</v>
      </c>
      <c r="AL133" s="1894">
        <f t="shared" si="56"/>
        <v>32034</v>
      </c>
      <c r="AM133" s="1894">
        <f t="shared" si="57"/>
        <v>0</v>
      </c>
      <c r="AN133" s="1894">
        <v>140</v>
      </c>
      <c r="AO133" s="1894">
        <v>68.64</v>
      </c>
      <c r="AP133" s="1894">
        <v>112</v>
      </c>
      <c r="AQ133" s="1894">
        <v>0.72629999999999995</v>
      </c>
      <c r="AR133" s="1894">
        <v>11.92</v>
      </c>
      <c r="AS133" s="1894">
        <v>6085</v>
      </c>
      <c r="AT133" s="1894">
        <f t="shared" si="33"/>
        <v>30641</v>
      </c>
      <c r="AU133" s="1894">
        <f t="shared" si="34"/>
        <v>0</v>
      </c>
      <c r="AV133" s="1894">
        <v>140</v>
      </c>
      <c r="AW133" s="1894">
        <v>59.040000000000006</v>
      </c>
      <c r="AX133" s="1894">
        <v>112</v>
      </c>
      <c r="AY133" s="1894">
        <v>0.69450000000000001</v>
      </c>
      <c r="AZ133" s="1894">
        <v>14.16</v>
      </c>
      <c r="BA133" s="1894">
        <v>6020</v>
      </c>
      <c r="BB133" s="1894">
        <f t="shared" si="35"/>
        <v>25505</v>
      </c>
      <c r="BC133" s="1894">
        <f t="shared" si="36"/>
        <v>0</v>
      </c>
      <c r="BD133" s="1894">
        <v>140</v>
      </c>
      <c r="BE133" s="1894">
        <v>62.480000000000004</v>
      </c>
      <c r="BF133" s="1894">
        <v>112</v>
      </c>
      <c r="BG133" s="1894">
        <v>0.63370000000000004</v>
      </c>
      <c r="BH133" s="1894">
        <v>9.6199999999999992</v>
      </c>
      <c r="BI133" s="1894">
        <v>4470</v>
      </c>
      <c r="BJ133" s="1894">
        <f t="shared" si="37"/>
        <v>27891</v>
      </c>
      <c r="BK133" s="1894">
        <f t="shared" si="38"/>
        <v>0</v>
      </c>
      <c r="BL133" s="1894">
        <v>140</v>
      </c>
      <c r="BM133" s="1894">
        <v>61.760000000000005</v>
      </c>
      <c r="BN133" s="1894">
        <v>112</v>
      </c>
      <c r="BO133" s="1894">
        <v>0.57720000000000005</v>
      </c>
      <c r="BP133" s="1894">
        <v>13.12</v>
      </c>
      <c r="BQ133" s="1894">
        <v>5833</v>
      </c>
      <c r="BR133" s="1894">
        <f t="shared" si="39"/>
        <v>26680</v>
      </c>
      <c r="BS133" s="1894">
        <f t="shared" si="40"/>
        <v>0</v>
      </c>
      <c r="BT133" s="1894">
        <v>140</v>
      </c>
      <c r="BU133" s="1894">
        <v>60.160000000000004</v>
      </c>
      <c r="BV133" s="1894">
        <v>112</v>
      </c>
      <c r="BW133" s="1894">
        <v>0.67500000000000004</v>
      </c>
      <c r="BX133" s="1894">
        <v>14.89</v>
      </c>
      <c r="BY133" s="1894">
        <v>6665</v>
      </c>
      <c r="BZ133" s="1894">
        <f t="shared" si="41"/>
        <v>26855</v>
      </c>
      <c r="CA133" s="1894">
        <f t="shared" si="42"/>
        <v>0</v>
      </c>
      <c r="CB133" s="1894">
        <v>140</v>
      </c>
      <c r="CC133" s="1894">
        <v>50.4</v>
      </c>
      <c r="CD133" s="1894">
        <v>112</v>
      </c>
      <c r="CE133" s="1894">
        <v>0.70750000000000002</v>
      </c>
      <c r="CF133" s="1894">
        <v>13.27</v>
      </c>
      <c r="CG133" s="1894">
        <v>4976</v>
      </c>
      <c r="CH133" s="1894">
        <f t="shared" si="43"/>
        <v>22499</v>
      </c>
      <c r="CI133" s="1894">
        <f t="shared" si="44"/>
        <v>0</v>
      </c>
      <c r="CJ133" s="1894">
        <v>140</v>
      </c>
      <c r="CK133" s="1894">
        <v>64.319999999999993</v>
      </c>
      <c r="CL133" s="1894">
        <v>112</v>
      </c>
      <c r="CM133" s="1894">
        <v>0.68940000000000001</v>
      </c>
      <c r="CN133" s="1894">
        <v>11.46</v>
      </c>
      <c r="CO133" s="1894">
        <v>4952</v>
      </c>
      <c r="CP133" s="1894">
        <f t="shared" si="45"/>
        <v>25934</v>
      </c>
      <c r="CQ133" s="1894">
        <f t="shared" si="46"/>
        <v>0</v>
      </c>
      <c r="CR133" s="1924">
        <v>140</v>
      </c>
      <c r="CS133" s="1924">
        <v>50.8</v>
      </c>
      <c r="CT133" s="1924">
        <v>112</v>
      </c>
      <c r="CU133" s="1924">
        <v>0.60150000000000003</v>
      </c>
      <c r="CV133" s="1924">
        <v>12.69</v>
      </c>
      <c r="CW133" s="1924">
        <v>3714</v>
      </c>
      <c r="CX133" s="1894">
        <f t="shared" si="47"/>
        <v>22677</v>
      </c>
      <c r="CY133" s="1894">
        <f t="shared" si="48"/>
        <v>0</v>
      </c>
    </row>
    <row r="134" spans="1:103">
      <c r="A134" s="982">
        <v>622000000197</v>
      </c>
      <c r="B134" s="1923">
        <f t="shared" si="49"/>
        <v>128</v>
      </c>
      <c r="C134" s="1895" t="s">
        <v>3026</v>
      </c>
      <c r="D134" s="1894" t="s">
        <v>524</v>
      </c>
      <c r="E134" s="1895" t="s">
        <v>737</v>
      </c>
      <c r="F134" s="1894" t="s">
        <v>259</v>
      </c>
      <c r="G134" s="1924">
        <v>141</v>
      </c>
      <c r="H134" s="1894">
        <v>141</v>
      </c>
      <c r="I134" s="1894">
        <v>24.4</v>
      </c>
      <c r="J134" s="1894">
        <v>112.8</v>
      </c>
      <c r="K134" s="1894">
        <v>0.73909999999999998</v>
      </c>
      <c r="L134" s="1894">
        <v>43.08</v>
      </c>
      <c r="M134" s="1894">
        <v>7568</v>
      </c>
      <c r="N134" s="1894">
        <f t="shared" si="27"/>
        <v>10541</v>
      </c>
      <c r="O134" s="1894">
        <f t="shared" si="28"/>
        <v>0</v>
      </c>
      <c r="P134" s="1894">
        <v>141</v>
      </c>
      <c r="Q134" s="1894">
        <v>28.799999999999997</v>
      </c>
      <c r="R134" s="1894">
        <v>112.8</v>
      </c>
      <c r="S134" s="1894">
        <v>0.75090000000000001</v>
      </c>
      <c r="T134" s="1894">
        <v>35.89</v>
      </c>
      <c r="U134" s="1894">
        <v>6946</v>
      </c>
      <c r="V134" s="1894">
        <f t="shared" si="29"/>
        <v>12856</v>
      </c>
      <c r="W134" s="1894">
        <f t="shared" si="30"/>
        <v>0</v>
      </c>
      <c r="X134" s="1894">
        <v>141</v>
      </c>
      <c r="Y134" s="1894">
        <v>29.759999999999998</v>
      </c>
      <c r="Z134" s="1894">
        <v>112.8</v>
      </c>
      <c r="AA134" s="1894">
        <v>0.70989999999999998</v>
      </c>
      <c r="AB134" s="1894">
        <v>37.28</v>
      </c>
      <c r="AC134" s="1894">
        <v>8254</v>
      </c>
      <c r="AD134" s="1894">
        <f t="shared" si="31"/>
        <v>12856</v>
      </c>
      <c r="AE134" s="1894">
        <f t="shared" si="32"/>
        <v>0</v>
      </c>
      <c r="AF134" s="1894">
        <v>141</v>
      </c>
      <c r="AG134" s="1894">
        <v>19.68</v>
      </c>
      <c r="AH134" s="1894">
        <v>112.8</v>
      </c>
      <c r="AI134" s="1894">
        <v>0.53100000000000003</v>
      </c>
      <c r="AJ134" s="1894">
        <v>53.87</v>
      </c>
      <c r="AK134" s="1894">
        <v>8142</v>
      </c>
      <c r="AL134" s="1894">
        <f t="shared" si="56"/>
        <v>8785</v>
      </c>
      <c r="AM134" s="1894">
        <f t="shared" si="57"/>
        <v>0</v>
      </c>
      <c r="AN134" s="1894">
        <v>141</v>
      </c>
      <c r="AO134" s="1894">
        <v>23.04</v>
      </c>
      <c r="AP134" s="1894">
        <v>112.8</v>
      </c>
      <c r="AQ134" s="1894">
        <v>0.59609999999999996</v>
      </c>
      <c r="AR134" s="1894">
        <v>44.14</v>
      </c>
      <c r="AS134" s="1894">
        <v>7810</v>
      </c>
      <c r="AT134" s="1894">
        <f t="shared" si="33"/>
        <v>10285</v>
      </c>
      <c r="AU134" s="1894">
        <f t="shared" si="34"/>
        <v>0</v>
      </c>
      <c r="AV134" s="1894">
        <v>141</v>
      </c>
      <c r="AW134" s="1894">
        <v>16.48</v>
      </c>
      <c r="AX134" s="1894">
        <v>112.8</v>
      </c>
      <c r="AY134" s="1894">
        <v>0.81259999999999999</v>
      </c>
      <c r="AZ134" s="1894">
        <v>45.08</v>
      </c>
      <c r="BA134" s="1894">
        <v>4814</v>
      </c>
      <c r="BB134" s="1894">
        <f t="shared" si="35"/>
        <v>7119</v>
      </c>
      <c r="BC134" s="1894">
        <f t="shared" si="36"/>
        <v>0</v>
      </c>
      <c r="BD134" s="1894">
        <v>141</v>
      </c>
      <c r="BE134" s="1894">
        <v>15.36</v>
      </c>
      <c r="BF134" s="1894">
        <v>112.8</v>
      </c>
      <c r="BG134" s="1894">
        <v>0.73209999999999997</v>
      </c>
      <c r="BH134" s="1894">
        <v>45.92</v>
      </c>
      <c r="BI134" s="1894">
        <v>5586</v>
      </c>
      <c r="BJ134" s="1894">
        <f t="shared" si="37"/>
        <v>6857</v>
      </c>
      <c r="BK134" s="1894">
        <f t="shared" si="38"/>
        <v>0</v>
      </c>
      <c r="BL134" s="1894">
        <v>141</v>
      </c>
      <c r="BM134" s="1894">
        <v>87.2</v>
      </c>
      <c r="BN134" s="1894">
        <v>112.8</v>
      </c>
      <c r="BO134" s="1894">
        <v>0.55510000000000004</v>
      </c>
      <c r="BP134" s="1894">
        <v>10.91</v>
      </c>
      <c r="BQ134" s="1894">
        <v>6848</v>
      </c>
      <c r="BR134" s="1894">
        <f t="shared" si="39"/>
        <v>37670</v>
      </c>
      <c r="BS134" s="1894">
        <f t="shared" si="40"/>
        <v>0</v>
      </c>
      <c r="BT134" s="1894">
        <v>141</v>
      </c>
      <c r="BU134" s="1894">
        <v>18.72</v>
      </c>
      <c r="BV134" s="1894">
        <v>112.8</v>
      </c>
      <c r="BW134" s="1894">
        <v>0.5514</v>
      </c>
      <c r="BX134" s="1894">
        <v>62.78</v>
      </c>
      <c r="BY134" s="1894">
        <v>8462</v>
      </c>
      <c r="BZ134" s="1894">
        <f t="shared" si="41"/>
        <v>8357</v>
      </c>
      <c r="CA134" s="1894">
        <f t="shared" si="42"/>
        <v>105</v>
      </c>
      <c r="CB134" s="1894">
        <v>141</v>
      </c>
      <c r="CC134" s="1894">
        <v>23.84</v>
      </c>
      <c r="CD134" s="1894">
        <v>112.8</v>
      </c>
      <c r="CE134" s="1894">
        <v>0.51500000000000001</v>
      </c>
      <c r="CF134" s="1894">
        <v>57.75</v>
      </c>
      <c r="CG134" s="1894">
        <v>10904</v>
      </c>
      <c r="CH134" s="1894">
        <f t="shared" si="43"/>
        <v>10642</v>
      </c>
      <c r="CI134" s="1894">
        <f t="shared" si="44"/>
        <v>262</v>
      </c>
      <c r="CJ134" s="1894">
        <v>141</v>
      </c>
      <c r="CK134" s="1894">
        <v>19.040000000000003</v>
      </c>
      <c r="CL134" s="1894">
        <v>112.8</v>
      </c>
      <c r="CM134" s="1894">
        <v>0.45829999999999999</v>
      </c>
      <c r="CN134" s="1894">
        <v>66.84</v>
      </c>
      <c r="CO134" s="1894">
        <v>8552</v>
      </c>
      <c r="CP134" s="1894">
        <f t="shared" si="45"/>
        <v>7677</v>
      </c>
      <c r="CQ134" s="1894">
        <f t="shared" si="46"/>
        <v>875</v>
      </c>
      <c r="CR134" s="1924">
        <v>141</v>
      </c>
      <c r="CS134" s="1924">
        <v>21.759999999999998</v>
      </c>
      <c r="CT134" s="1924">
        <v>112.8</v>
      </c>
      <c r="CU134" s="1924">
        <v>0.498</v>
      </c>
      <c r="CV134" s="1924">
        <v>58.78</v>
      </c>
      <c r="CW134" s="1924">
        <v>8902</v>
      </c>
      <c r="CX134" s="1894">
        <f t="shared" si="47"/>
        <v>9714</v>
      </c>
      <c r="CY134" s="1894">
        <f t="shared" si="48"/>
        <v>0</v>
      </c>
    </row>
    <row r="135" spans="1:103">
      <c r="A135" s="982">
        <v>126000000011</v>
      </c>
      <c r="B135" s="1923">
        <f t="shared" si="49"/>
        <v>129</v>
      </c>
      <c r="C135" s="1895" t="s">
        <v>3013</v>
      </c>
      <c r="D135" s="1894" t="s">
        <v>524</v>
      </c>
      <c r="E135" s="1895" t="s">
        <v>541</v>
      </c>
      <c r="F135" s="1894" t="s">
        <v>259</v>
      </c>
      <c r="G135" s="1924">
        <v>141</v>
      </c>
      <c r="H135" s="1894">
        <v>141</v>
      </c>
      <c r="I135" s="1894">
        <v>264.84000000000003</v>
      </c>
      <c r="J135" s="1894">
        <v>264.83999999999997</v>
      </c>
      <c r="K135" s="1894">
        <v>0.94610000000000005</v>
      </c>
      <c r="L135" s="1894">
        <v>18.760000000000002</v>
      </c>
      <c r="M135" s="1894">
        <v>35766</v>
      </c>
      <c r="N135" s="1894">
        <f t="shared" ref="N135:N198" si="58">+ROUND((24*30*0.6*I135),0)</f>
        <v>114411</v>
      </c>
      <c r="O135" s="1894">
        <f t="shared" ref="O135:O198" si="59">+MAX((M135-N135),0)</f>
        <v>0</v>
      </c>
      <c r="P135" s="1894">
        <v>141</v>
      </c>
      <c r="Q135" s="1894">
        <v>298.08</v>
      </c>
      <c r="R135" s="1894">
        <v>298.08</v>
      </c>
      <c r="S135" s="1894">
        <v>0.92200000000000004</v>
      </c>
      <c r="T135" s="1894">
        <v>17.96</v>
      </c>
      <c r="U135" s="1894">
        <v>39831</v>
      </c>
      <c r="V135" s="1894">
        <f t="shared" ref="V135:V198" si="60">+ROUND((24*31*0.6*Q135),0)</f>
        <v>133063</v>
      </c>
      <c r="W135" s="1894">
        <f t="shared" ref="W135:W198" si="61">+MAX((U135-V135),0)</f>
        <v>0</v>
      </c>
      <c r="X135" s="1894">
        <v>141</v>
      </c>
      <c r="Y135" s="1894">
        <v>254.16</v>
      </c>
      <c r="Z135" s="1894">
        <v>254.16</v>
      </c>
      <c r="AA135" s="1894">
        <v>0.91830000000000001</v>
      </c>
      <c r="AB135" s="1894">
        <v>15.69</v>
      </c>
      <c r="AC135" s="1894">
        <v>28705</v>
      </c>
      <c r="AD135" s="1894">
        <f t="shared" ref="AD135:AD198" si="62">+ROUND((24*30*0.6*Y135),0)</f>
        <v>109797</v>
      </c>
      <c r="AE135" s="1894">
        <f t="shared" ref="AE135:AE198" si="63">+MAX((AC135-AD135),0)</f>
        <v>0</v>
      </c>
      <c r="AF135" s="1894">
        <v>141</v>
      </c>
      <c r="AG135" s="1894">
        <v>208.68</v>
      </c>
      <c r="AH135" s="1894">
        <v>208.68</v>
      </c>
      <c r="AI135" s="1894">
        <v>0.9083</v>
      </c>
      <c r="AJ135" s="1894">
        <v>12.65</v>
      </c>
      <c r="AK135" s="1894">
        <v>19636</v>
      </c>
      <c r="AL135" s="1894">
        <f t="shared" si="56"/>
        <v>93155</v>
      </c>
      <c r="AM135" s="1894">
        <f t="shared" si="57"/>
        <v>0</v>
      </c>
      <c r="AN135" s="1894">
        <v>141</v>
      </c>
      <c r="AO135" s="1894">
        <v>4.8</v>
      </c>
      <c r="AP135" s="1894">
        <v>112.8</v>
      </c>
      <c r="AQ135" s="1894">
        <v>0.66990000000000005</v>
      </c>
      <c r="AR135" s="1894">
        <v>137.01</v>
      </c>
      <c r="AS135" s="1894">
        <v>4893</v>
      </c>
      <c r="AT135" s="1894">
        <f t="shared" ref="AT135:AT198" si="64">+ROUND((24*31*0.6*AO135),0)</f>
        <v>2143</v>
      </c>
      <c r="AU135" s="1894">
        <f t="shared" ref="AU135:AU198" si="65">+MAX((AS135-AT135),0)</f>
        <v>2750</v>
      </c>
      <c r="AV135" s="1894">
        <v>141</v>
      </c>
      <c r="AW135" s="1894">
        <v>166.68</v>
      </c>
      <c r="AX135" s="1894">
        <v>166.68</v>
      </c>
      <c r="AY135" s="1894">
        <v>0.70299999999999996</v>
      </c>
      <c r="AZ135" s="1894">
        <v>5.36</v>
      </c>
      <c r="BA135" s="1894">
        <v>6429</v>
      </c>
      <c r="BB135" s="1894">
        <f t="shared" ref="BB135:BB198" si="66">+ROUND((24*30*0.6*AW135),0)</f>
        <v>72006</v>
      </c>
      <c r="BC135" s="1894">
        <f t="shared" ref="BC135:BC198" si="67">+MAX((BA135-BB135),0)</f>
        <v>0</v>
      </c>
      <c r="BD135" s="1894">
        <v>141</v>
      </c>
      <c r="BE135" s="1894">
        <v>197.16</v>
      </c>
      <c r="BF135" s="1894">
        <v>197.16</v>
      </c>
      <c r="BG135" s="1894">
        <v>0.74739999999999995</v>
      </c>
      <c r="BH135" s="1894">
        <v>7.06</v>
      </c>
      <c r="BI135" s="1894">
        <v>10353</v>
      </c>
      <c r="BJ135" s="1894">
        <f t="shared" ref="BJ135:BJ198" si="68">+ROUND((24*31*0.6*BE135),0)</f>
        <v>88012</v>
      </c>
      <c r="BK135" s="1894">
        <f t="shared" ref="BK135:BK198" si="69">+MAX((BI135-BJ135),0)</f>
        <v>0</v>
      </c>
      <c r="BL135" s="1894">
        <v>141</v>
      </c>
      <c r="BM135" s="1894">
        <v>196.8</v>
      </c>
      <c r="BN135" s="1894">
        <v>196.8</v>
      </c>
      <c r="BO135" s="1894">
        <v>0.93910000000000005</v>
      </c>
      <c r="BP135" s="1894">
        <v>24.6</v>
      </c>
      <c r="BQ135" s="1894">
        <v>34858</v>
      </c>
      <c r="BR135" s="1894">
        <f t="shared" ref="BR135:BR198" si="70">+ROUND((24*30*0.6*BM135),0)</f>
        <v>85018</v>
      </c>
      <c r="BS135" s="1894">
        <f t="shared" ref="BS135:BS198" si="71">+MAX((BQ135-BR135),0)</f>
        <v>0</v>
      </c>
      <c r="BT135" s="1894">
        <v>141</v>
      </c>
      <c r="BU135" s="1894">
        <v>261.95999999999998</v>
      </c>
      <c r="BV135" s="1894">
        <v>261.95999999999998</v>
      </c>
      <c r="BW135" s="1894">
        <v>0.94510000000000005</v>
      </c>
      <c r="BX135" s="1894">
        <v>22.15</v>
      </c>
      <c r="BY135" s="1894">
        <v>43167</v>
      </c>
      <c r="BZ135" s="1894">
        <f t="shared" ref="BZ135:BZ198" si="72">+ROUND((24*31*0.6*BU135),0)</f>
        <v>116939</v>
      </c>
      <c r="CA135" s="1894">
        <f t="shared" ref="CA135:CA198" si="73">+MAX((BY135-BZ135),0)</f>
        <v>0</v>
      </c>
      <c r="CB135" s="1894">
        <v>141</v>
      </c>
      <c r="CC135" s="1894">
        <v>225.35999999999999</v>
      </c>
      <c r="CD135" s="1894">
        <v>225.36</v>
      </c>
      <c r="CE135" s="1894">
        <v>0.93189999999999995</v>
      </c>
      <c r="CF135" s="1894">
        <v>19.54</v>
      </c>
      <c r="CG135" s="1894">
        <v>32758</v>
      </c>
      <c r="CH135" s="1894">
        <f t="shared" ref="CH135:CH198" si="74">+ROUND((24*31*0.6*CC135),0)</f>
        <v>100601</v>
      </c>
      <c r="CI135" s="1894">
        <f t="shared" ref="CI135:CI198" si="75">+MAX((CG135-CH135),0)</f>
        <v>0</v>
      </c>
      <c r="CJ135" s="1894">
        <v>141</v>
      </c>
      <c r="CK135" s="1894">
        <v>275.40000000000003</v>
      </c>
      <c r="CL135" s="1894">
        <v>275.39999999999998</v>
      </c>
      <c r="CM135" s="1894">
        <v>0.87470000000000003</v>
      </c>
      <c r="CN135" s="1894">
        <v>24.3</v>
      </c>
      <c r="CO135" s="1894">
        <v>44976</v>
      </c>
      <c r="CP135" s="1894">
        <f t="shared" ref="CP135:CP198" si="76">+ROUND((24*28*0.6*CK135),0)</f>
        <v>111041</v>
      </c>
      <c r="CQ135" s="1894">
        <f t="shared" ref="CQ135:CQ198" si="77">+MAX((CO135-CP135),0)</f>
        <v>0</v>
      </c>
      <c r="CR135" s="1924">
        <v>141</v>
      </c>
      <c r="CS135" s="1924">
        <v>283.56</v>
      </c>
      <c r="CT135" s="1924">
        <v>283.56</v>
      </c>
      <c r="CU135" s="1924">
        <v>0.85440000000000005</v>
      </c>
      <c r="CV135" s="1924">
        <v>20.61</v>
      </c>
      <c r="CW135" s="1924">
        <v>43486</v>
      </c>
      <c r="CX135" s="1894">
        <f t="shared" ref="CX135:CX198" si="78">+ROUND((24*31*0.6*CS135),0)</f>
        <v>126581</v>
      </c>
      <c r="CY135" s="1894">
        <f t="shared" ref="CY135:CY198" si="79">+MAX((CW135-CX135),0)</f>
        <v>0</v>
      </c>
    </row>
    <row r="136" spans="1:103">
      <c r="A136" s="982">
        <v>126000000016</v>
      </c>
      <c r="B136" s="1923">
        <f t="shared" ref="B136:B199" si="80">+B135+1</f>
        <v>130</v>
      </c>
      <c r="C136" s="1895" t="s">
        <v>3027</v>
      </c>
      <c r="D136" s="1894" t="s">
        <v>524</v>
      </c>
      <c r="E136" s="1895" t="s">
        <v>541</v>
      </c>
      <c r="F136" s="1894" t="s">
        <v>259</v>
      </c>
      <c r="G136" s="1924">
        <v>141</v>
      </c>
      <c r="H136" s="1894">
        <v>141</v>
      </c>
      <c r="I136" s="1894">
        <v>81.16</v>
      </c>
      <c r="J136" s="1894">
        <v>112.8</v>
      </c>
      <c r="K136" s="1894">
        <v>0.98370000000000002</v>
      </c>
      <c r="L136" s="1894">
        <v>23.63</v>
      </c>
      <c r="M136" s="1894">
        <v>14270</v>
      </c>
      <c r="N136" s="1894">
        <f t="shared" si="58"/>
        <v>35061</v>
      </c>
      <c r="O136" s="1894">
        <f t="shared" si="59"/>
        <v>0</v>
      </c>
      <c r="P136" s="1894">
        <v>141</v>
      </c>
      <c r="Q136" s="1894">
        <v>70.92</v>
      </c>
      <c r="R136" s="1894">
        <v>112.8</v>
      </c>
      <c r="S136" s="1894">
        <v>0.9869</v>
      </c>
      <c r="T136" s="1894">
        <v>25.75</v>
      </c>
      <c r="U136" s="1894">
        <v>12711</v>
      </c>
      <c r="V136" s="1894">
        <f t="shared" si="60"/>
        <v>31659</v>
      </c>
      <c r="W136" s="1894">
        <f t="shared" si="61"/>
        <v>0</v>
      </c>
      <c r="X136" s="1894">
        <v>141</v>
      </c>
      <c r="Y136" s="1894">
        <v>71.12</v>
      </c>
      <c r="Z136" s="1894">
        <v>112.8</v>
      </c>
      <c r="AA136" s="1894">
        <v>0.99160000000000004</v>
      </c>
      <c r="AB136" s="1894">
        <v>17.239999999999998</v>
      </c>
      <c r="AC136" s="1894">
        <v>10596</v>
      </c>
      <c r="AD136" s="1894">
        <f t="shared" si="62"/>
        <v>30724</v>
      </c>
      <c r="AE136" s="1894">
        <f t="shared" si="63"/>
        <v>0</v>
      </c>
      <c r="AF136" s="1894">
        <v>141</v>
      </c>
      <c r="AG136" s="1894">
        <v>57.52</v>
      </c>
      <c r="AH136" s="1894">
        <v>112.8</v>
      </c>
      <c r="AI136" s="1894">
        <v>0.98970000000000002</v>
      </c>
      <c r="AJ136" s="1894">
        <v>5.78</v>
      </c>
      <c r="AK136" s="1894">
        <v>2153</v>
      </c>
      <c r="AL136" s="1894">
        <f t="shared" si="56"/>
        <v>25677</v>
      </c>
      <c r="AM136" s="1894">
        <f t="shared" si="57"/>
        <v>0</v>
      </c>
      <c r="AN136" s="1894">
        <v>141</v>
      </c>
      <c r="AO136" s="1894">
        <v>3.64</v>
      </c>
      <c r="AP136" s="1894">
        <v>112.8</v>
      </c>
      <c r="AQ136" s="1894">
        <v>0.99019999999999997</v>
      </c>
      <c r="AR136" s="1894">
        <v>24.17</v>
      </c>
      <c r="AS136" s="1894">
        <v>718</v>
      </c>
      <c r="AT136" s="1894">
        <f t="shared" si="64"/>
        <v>1625</v>
      </c>
      <c r="AU136" s="1894">
        <f t="shared" si="65"/>
        <v>0</v>
      </c>
      <c r="AV136" s="1894">
        <v>141</v>
      </c>
      <c r="AW136" s="1894">
        <v>6.5600000000000005</v>
      </c>
      <c r="AX136" s="1894">
        <v>112.8</v>
      </c>
      <c r="AY136" s="1894">
        <v>0.98929999999999996</v>
      </c>
      <c r="AZ136" s="1894">
        <v>13.52</v>
      </c>
      <c r="BA136" s="1894">
        <v>660</v>
      </c>
      <c r="BB136" s="1894">
        <f t="shared" si="66"/>
        <v>2834</v>
      </c>
      <c r="BC136" s="1894">
        <f t="shared" si="67"/>
        <v>0</v>
      </c>
      <c r="BD136" s="1894">
        <v>141</v>
      </c>
      <c r="BE136" s="1894">
        <v>2.2800000000000002</v>
      </c>
      <c r="BF136" s="1894">
        <v>112.8</v>
      </c>
      <c r="BG136" s="1894">
        <v>0.98950000000000005</v>
      </c>
      <c r="BH136" s="1894">
        <v>39.5</v>
      </c>
      <c r="BI136" s="1894">
        <v>670</v>
      </c>
      <c r="BJ136" s="1894">
        <f t="shared" si="68"/>
        <v>1018</v>
      </c>
      <c r="BK136" s="1894">
        <f t="shared" si="69"/>
        <v>0</v>
      </c>
      <c r="BL136" s="1894">
        <v>141</v>
      </c>
      <c r="BM136" s="1894">
        <v>80.08</v>
      </c>
      <c r="BN136" s="1894">
        <v>112.8</v>
      </c>
      <c r="BO136" s="1894">
        <v>0.96740000000000004</v>
      </c>
      <c r="BP136" s="1894">
        <v>5.81</v>
      </c>
      <c r="BQ136" s="1894">
        <v>3351</v>
      </c>
      <c r="BR136" s="1894">
        <f t="shared" si="70"/>
        <v>34595</v>
      </c>
      <c r="BS136" s="1894">
        <f t="shared" si="71"/>
        <v>0</v>
      </c>
      <c r="BT136" s="1894">
        <v>141</v>
      </c>
      <c r="BU136" s="1894">
        <v>74.92</v>
      </c>
      <c r="BV136" s="1894">
        <v>112.8</v>
      </c>
      <c r="BW136" s="1894">
        <v>0.96650000000000003</v>
      </c>
      <c r="BX136" s="1894">
        <v>17.13</v>
      </c>
      <c r="BY136" s="1894">
        <v>8010</v>
      </c>
      <c r="BZ136" s="1894">
        <f t="shared" si="72"/>
        <v>33444</v>
      </c>
      <c r="CA136" s="1894">
        <f t="shared" si="73"/>
        <v>0</v>
      </c>
      <c r="CB136" s="1894">
        <v>141</v>
      </c>
      <c r="CC136" s="1894">
        <v>76</v>
      </c>
      <c r="CD136" s="1894">
        <v>112.8</v>
      </c>
      <c r="CE136" s="1894">
        <v>0.97150000000000003</v>
      </c>
      <c r="CF136" s="1894">
        <v>20.07</v>
      </c>
      <c r="CG136" s="1894">
        <v>13178</v>
      </c>
      <c r="CH136" s="1894">
        <f t="shared" si="74"/>
        <v>33926</v>
      </c>
      <c r="CI136" s="1894">
        <f t="shared" si="75"/>
        <v>0</v>
      </c>
      <c r="CJ136" s="1894">
        <v>141</v>
      </c>
      <c r="CK136" s="1894">
        <v>85.64</v>
      </c>
      <c r="CL136" s="1894">
        <v>112.8</v>
      </c>
      <c r="CM136" s="1894">
        <v>0.96309999999999996</v>
      </c>
      <c r="CN136" s="1894">
        <v>18.02</v>
      </c>
      <c r="CO136" s="1894">
        <v>10370</v>
      </c>
      <c r="CP136" s="1894">
        <f t="shared" si="76"/>
        <v>34530</v>
      </c>
      <c r="CQ136" s="1894">
        <f t="shared" si="77"/>
        <v>0</v>
      </c>
      <c r="CR136" s="1924">
        <v>141</v>
      </c>
      <c r="CS136" s="1924">
        <v>103.64</v>
      </c>
      <c r="CT136" s="1924">
        <v>112.8</v>
      </c>
      <c r="CU136" s="1924">
        <v>0.96330000000000005</v>
      </c>
      <c r="CV136" s="1924">
        <v>14.49</v>
      </c>
      <c r="CW136" s="1924">
        <v>11174</v>
      </c>
      <c r="CX136" s="1894">
        <f t="shared" si="78"/>
        <v>46265</v>
      </c>
      <c r="CY136" s="1894">
        <f t="shared" si="79"/>
        <v>0</v>
      </c>
    </row>
    <row r="137" spans="1:103">
      <c r="A137" s="982">
        <v>621000000034</v>
      </c>
      <c r="B137" s="1923">
        <f t="shared" si="80"/>
        <v>131</v>
      </c>
      <c r="C137" s="1895" t="s">
        <v>3028</v>
      </c>
      <c r="D137" s="1894" t="s">
        <v>524</v>
      </c>
      <c r="E137" s="1895" t="s">
        <v>636</v>
      </c>
      <c r="F137" s="1894" t="s">
        <v>259</v>
      </c>
      <c r="G137" s="1924">
        <v>141</v>
      </c>
      <c r="H137" s="1894">
        <v>141</v>
      </c>
      <c r="I137" s="1894">
        <v>83.12</v>
      </c>
      <c r="J137" s="1894">
        <v>112.8</v>
      </c>
      <c r="K137" s="1894">
        <v>0.99960000000000004</v>
      </c>
      <c r="L137" s="1894">
        <v>67.84</v>
      </c>
      <c r="M137" s="1894">
        <v>40599</v>
      </c>
      <c r="N137" s="1894">
        <f t="shared" si="58"/>
        <v>35908</v>
      </c>
      <c r="O137" s="1894">
        <f t="shared" si="59"/>
        <v>4691</v>
      </c>
      <c r="P137" s="1894">
        <v>141</v>
      </c>
      <c r="Q137" s="1894">
        <v>87.28</v>
      </c>
      <c r="R137" s="1894">
        <v>112.8</v>
      </c>
      <c r="S137" s="1894">
        <v>0.95030000000000003</v>
      </c>
      <c r="T137" s="1894">
        <v>64.510000000000005</v>
      </c>
      <c r="U137" s="1894">
        <v>41890</v>
      </c>
      <c r="V137" s="1894">
        <f t="shared" si="60"/>
        <v>38962</v>
      </c>
      <c r="W137" s="1894">
        <f t="shared" si="61"/>
        <v>2928</v>
      </c>
      <c r="X137" s="1894">
        <v>141</v>
      </c>
      <c r="Y137" s="1894">
        <v>90</v>
      </c>
      <c r="Z137" s="1894">
        <v>112.8</v>
      </c>
      <c r="AA137" s="1894">
        <v>0.99839999999999995</v>
      </c>
      <c r="AB137" s="1894">
        <v>59.86</v>
      </c>
      <c r="AC137" s="1894">
        <v>36204</v>
      </c>
      <c r="AD137" s="1894">
        <f t="shared" si="62"/>
        <v>38880</v>
      </c>
      <c r="AE137" s="1894">
        <f t="shared" si="63"/>
        <v>0</v>
      </c>
      <c r="AF137" s="1894">
        <v>141</v>
      </c>
      <c r="AG137" s="1894">
        <v>82</v>
      </c>
      <c r="AH137" s="1894">
        <v>112.8</v>
      </c>
      <c r="AI137" s="1894">
        <v>0.99829999999999997</v>
      </c>
      <c r="AJ137" s="1894">
        <v>66.12</v>
      </c>
      <c r="AK137" s="1894">
        <v>42941</v>
      </c>
      <c r="AL137" s="1894">
        <f t="shared" si="56"/>
        <v>36605</v>
      </c>
      <c r="AM137" s="1894">
        <f t="shared" si="57"/>
        <v>6336</v>
      </c>
      <c r="AN137" s="1894">
        <v>141</v>
      </c>
      <c r="AO137" s="1894">
        <v>76</v>
      </c>
      <c r="AP137" s="1894">
        <v>112.8</v>
      </c>
      <c r="AQ137" s="1894">
        <v>0.99839999999999995</v>
      </c>
      <c r="AR137" s="1894">
        <v>69.28</v>
      </c>
      <c r="AS137" s="1894">
        <v>39174</v>
      </c>
      <c r="AT137" s="1894">
        <f t="shared" si="64"/>
        <v>33926</v>
      </c>
      <c r="AU137" s="1894">
        <f t="shared" si="65"/>
        <v>5248</v>
      </c>
      <c r="AV137" s="1894">
        <v>141</v>
      </c>
      <c r="AW137" s="1894">
        <v>77.600000000000009</v>
      </c>
      <c r="AX137" s="1894">
        <v>112.8</v>
      </c>
      <c r="AY137" s="1894">
        <v>0.998</v>
      </c>
      <c r="AZ137" s="1894">
        <v>67.13</v>
      </c>
      <c r="BA137" s="1894">
        <v>37505</v>
      </c>
      <c r="BB137" s="1894">
        <f t="shared" si="66"/>
        <v>33523</v>
      </c>
      <c r="BC137" s="1894">
        <f t="shared" si="67"/>
        <v>3982</v>
      </c>
      <c r="BD137" s="1894">
        <v>141</v>
      </c>
      <c r="BE137" s="1894">
        <v>72.399999999999991</v>
      </c>
      <c r="BF137" s="1894">
        <v>112.8</v>
      </c>
      <c r="BG137" s="1894">
        <v>0.99860000000000004</v>
      </c>
      <c r="BH137" s="1894">
        <v>72.180000000000007</v>
      </c>
      <c r="BI137" s="1894">
        <v>38880</v>
      </c>
      <c r="BJ137" s="1894">
        <f t="shared" si="68"/>
        <v>32319</v>
      </c>
      <c r="BK137" s="1894">
        <f t="shared" si="69"/>
        <v>6561</v>
      </c>
      <c r="BL137" s="1894">
        <v>141</v>
      </c>
      <c r="BM137" s="1894">
        <v>69.28</v>
      </c>
      <c r="BN137" s="1894">
        <v>112.8</v>
      </c>
      <c r="BO137" s="1894">
        <v>0.998</v>
      </c>
      <c r="BP137" s="1894">
        <v>76.040000000000006</v>
      </c>
      <c r="BQ137" s="1894">
        <v>37932</v>
      </c>
      <c r="BR137" s="1894">
        <f t="shared" si="70"/>
        <v>29929</v>
      </c>
      <c r="BS137" s="1894">
        <f t="shared" si="71"/>
        <v>8003</v>
      </c>
      <c r="BT137" s="1894">
        <v>141</v>
      </c>
      <c r="BU137" s="1894">
        <v>72.56</v>
      </c>
      <c r="BV137" s="1894">
        <v>112.8</v>
      </c>
      <c r="BW137" s="1894">
        <v>0.99809999999999999</v>
      </c>
      <c r="BX137" s="1894">
        <v>70.12</v>
      </c>
      <c r="BY137" s="1894">
        <v>37856</v>
      </c>
      <c r="BZ137" s="1894">
        <f t="shared" si="72"/>
        <v>32391</v>
      </c>
      <c r="CA137" s="1894">
        <f t="shared" si="73"/>
        <v>5465</v>
      </c>
      <c r="CB137" s="1894">
        <v>141</v>
      </c>
      <c r="CC137" s="1894">
        <v>67.36</v>
      </c>
      <c r="CD137" s="1894">
        <v>112.8</v>
      </c>
      <c r="CE137" s="1894">
        <v>0.99860000000000004</v>
      </c>
      <c r="CF137" s="1894">
        <v>76.989999999999995</v>
      </c>
      <c r="CG137" s="1894">
        <v>38585</v>
      </c>
      <c r="CH137" s="1894">
        <f t="shared" si="74"/>
        <v>30070</v>
      </c>
      <c r="CI137" s="1894">
        <f t="shared" si="75"/>
        <v>8515</v>
      </c>
      <c r="CJ137" s="1894">
        <v>141</v>
      </c>
      <c r="CK137" s="1894">
        <v>73.839999999999989</v>
      </c>
      <c r="CL137" s="1894">
        <v>112.8</v>
      </c>
      <c r="CM137" s="1894">
        <v>0.99839999999999995</v>
      </c>
      <c r="CN137" s="1894">
        <v>71.08</v>
      </c>
      <c r="CO137" s="1894">
        <v>35268</v>
      </c>
      <c r="CP137" s="1894">
        <f t="shared" si="76"/>
        <v>29772</v>
      </c>
      <c r="CQ137" s="1894">
        <f t="shared" si="77"/>
        <v>5496</v>
      </c>
      <c r="CR137" s="1924">
        <v>141</v>
      </c>
      <c r="CS137" s="1924">
        <v>73.680000000000007</v>
      </c>
      <c r="CT137" s="1924">
        <v>112.8</v>
      </c>
      <c r="CU137" s="1924">
        <v>0.99860000000000004</v>
      </c>
      <c r="CV137" s="1924">
        <v>73.790000000000006</v>
      </c>
      <c r="CW137" s="1924">
        <v>40448</v>
      </c>
      <c r="CX137" s="1894">
        <f t="shared" si="78"/>
        <v>32891</v>
      </c>
      <c r="CY137" s="1894">
        <f t="shared" si="79"/>
        <v>7557</v>
      </c>
    </row>
    <row r="138" spans="1:103">
      <c r="A138" s="982">
        <v>121000000012</v>
      </c>
      <c r="B138" s="1923">
        <f t="shared" si="80"/>
        <v>132</v>
      </c>
      <c r="C138" s="1895" t="s">
        <v>3029</v>
      </c>
      <c r="D138" s="1894" t="s">
        <v>524</v>
      </c>
      <c r="E138" s="1895" t="s">
        <v>541</v>
      </c>
      <c r="F138" s="1894" t="s">
        <v>259</v>
      </c>
      <c r="G138" s="1924">
        <v>142</v>
      </c>
      <c r="H138" s="1894">
        <v>142</v>
      </c>
      <c r="I138" s="1894">
        <v>127.36000000000001</v>
      </c>
      <c r="J138" s="1894">
        <v>127.36</v>
      </c>
      <c r="K138" s="1894">
        <v>0.72899999999999998</v>
      </c>
      <c r="L138" s="1894">
        <v>19.829999999999998</v>
      </c>
      <c r="M138" s="1894">
        <v>17581</v>
      </c>
      <c r="N138" s="1894">
        <f t="shared" si="58"/>
        <v>55020</v>
      </c>
      <c r="O138" s="1894">
        <f t="shared" si="59"/>
        <v>0</v>
      </c>
      <c r="P138" s="1894">
        <v>142</v>
      </c>
      <c r="Q138" s="1894">
        <v>118.08000000000001</v>
      </c>
      <c r="R138" s="1894">
        <v>118.08</v>
      </c>
      <c r="S138" s="1894">
        <v>0.72570000000000001</v>
      </c>
      <c r="T138" s="1894">
        <v>13.78</v>
      </c>
      <c r="U138" s="1894">
        <v>12494</v>
      </c>
      <c r="V138" s="1894">
        <f t="shared" si="60"/>
        <v>52711</v>
      </c>
      <c r="W138" s="1894">
        <f t="shared" si="61"/>
        <v>0</v>
      </c>
      <c r="X138" s="1894">
        <v>142</v>
      </c>
      <c r="Y138" s="1894">
        <v>10.96</v>
      </c>
      <c r="Z138" s="1894">
        <v>113.6</v>
      </c>
      <c r="AA138" s="1894">
        <v>0.85980000000000001</v>
      </c>
      <c r="AB138" s="1894">
        <v>30.87</v>
      </c>
      <c r="AC138" s="1894">
        <v>2598</v>
      </c>
      <c r="AD138" s="1894">
        <f t="shared" si="62"/>
        <v>4735</v>
      </c>
      <c r="AE138" s="1894">
        <f t="shared" si="63"/>
        <v>0</v>
      </c>
      <c r="AF138" s="1894">
        <v>142</v>
      </c>
      <c r="AG138" s="1894">
        <v>7.6</v>
      </c>
      <c r="AH138" s="1894">
        <v>113.6</v>
      </c>
      <c r="AI138" s="1894">
        <v>0.84150000000000003</v>
      </c>
      <c r="AJ138" s="1894">
        <v>45.83</v>
      </c>
      <c r="AK138" s="1894">
        <v>2424</v>
      </c>
      <c r="AL138" s="1894">
        <f t="shared" si="56"/>
        <v>3393</v>
      </c>
      <c r="AM138" s="1894">
        <f t="shared" si="57"/>
        <v>0</v>
      </c>
      <c r="AN138" s="1894">
        <v>142</v>
      </c>
      <c r="AO138" s="1894">
        <v>10.879999999999999</v>
      </c>
      <c r="AP138" s="1894">
        <v>113.6</v>
      </c>
      <c r="AQ138" s="1894">
        <v>0.69630000000000003</v>
      </c>
      <c r="AR138" s="1894">
        <v>34.39</v>
      </c>
      <c r="AS138" s="1894">
        <v>2694</v>
      </c>
      <c r="AT138" s="1894">
        <f t="shared" si="64"/>
        <v>4857</v>
      </c>
      <c r="AU138" s="1894">
        <f t="shared" si="65"/>
        <v>0</v>
      </c>
      <c r="AV138" s="1894">
        <v>142</v>
      </c>
      <c r="AW138" s="1894">
        <v>20.96</v>
      </c>
      <c r="AX138" s="1894">
        <v>113.6</v>
      </c>
      <c r="AY138" s="1894">
        <v>0.70550000000000002</v>
      </c>
      <c r="AZ138" s="1894">
        <v>18.54</v>
      </c>
      <c r="BA138" s="1894">
        <v>2798</v>
      </c>
      <c r="BB138" s="1894">
        <f t="shared" si="66"/>
        <v>9055</v>
      </c>
      <c r="BC138" s="1894">
        <f t="shared" si="67"/>
        <v>0</v>
      </c>
      <c r="BD138" s="1894">
        <v>142</v>
      </c>
      <c r="BE138" s="1894">
        <v>10.08</v>
      </c>
      <c r="BF138" s="1894">
        <v>113.6</v>
      </c>
      <c r="BG138" s="1894">
        <v>0.59179999999999999</v>
      </c>
      <c r="BH138" s="1894">
        <v>40.22</v>
      </c>
      <c r="BI138" s="1894">
        <v>3016</v>
      </c>
      <c r="BJ138" s="1894">
        <f t="shared" si="68"/>
        <v>4500</v>
      </c>
      <c r="BK138" s="1894">
        <f t="shared" si="69"/>
        <v>0</v>
      </c>
      <c r="BL138" s="1894">
        <v>142</v>
      </c>
      <c r="BM138" s="1894">
        <v>8.9599999999999991</v>
      </c>
      <c r="BN138" s="1894">
        <v>113.6</v>
      </c>
      <c r="BO138" s="1894">
        <v>0.38929999999999998</v>
      </c>
      <c r="BP138" s="1894">
        <v>56.38</v>
      </c>
      <c r="BQ138" s="1894">
        <v>4122</v>
      </c>
      <c r="BR138" s="1894">
        <f t="shared" si="70"/>
        <v>3871</v>
      </c>
      <c r="BS138" s="1894">
        <f t="shared" si="71"/>
        <v>251</v>
      </c>
      <c r="BT138" s="1894">
        <v>142</v>
      </c>
      <c r="BU138" s="1894">
        <v>8.7200000000000006</v>
      </c>
      <c r="BV138" s="1894">
        <v>113.6</v>
      </c>
      <c r="BW138" s="1894">
        <v>0.5736</v>
      </c>
      <c r="BX138" s="1894">
        <v>47.76</v>
      </c>
      <c r="BY138" s="1894">
        <v>2599</v>
      </c>
      <c r="BZ138" s="1894">
        <f t="shared" si="72"/>
        <v>3893</v>
      </c>
      <c r="CA138" s="1894">
        <f t="shared" si="73"/>
        <v>0</v>
      </c>
      <c r="CB138" s="1894">
        <v>142</v>
      </c>
      <c r="CC138" s="1894">
        <v>4.16</v>
      </c>
      <c r="CD138" s="1894">
        <v>113.6</v>
      </c>
      <c r="CE138" s="1894">
        <v>1</v>
      </c>
      <c r="CF138" s="1894">
        <v>60.5</v>
      </c>
      <c r="CG138" s="1894">
        <v>1933</v>
      </c>
      <c r="CH138" s="1894">
        <f t="shared" si="74"/>
        <v>1857</v>
      </c>
      <c r="CI138" s="1894">
        <f t="shared" si="75"/>
        <v>76</v>
      </c>
      <c r="CJ138" s="1894">
        <v>142</v>
      </c>
      <c r="CK138" s="1894">
        <v>5.2</v>
      </c>
      <c r="CL138" s="1894">
        <v>113.6</v>
      </c>
      <c r="CM138" s="1894">
        <v>0.97950000000000004</v>
      </c>
      <c r="CN138" s="1894">
        <v>47.65</v>
      </c>
      <c r="CO138" s="1894">
        <v>1903</v>
      </c>
      <c r="CP138" s="1894">
        <f t="shared" si="76"/>
        <v>2097</v>
      </c>
      <c r="CQ138" s="1894">
        <f t="shared" si="77"/>
        <v>0</v>
      </c>
      <c r="CR138" s="1924">
        <v>142</v>
      </c>
      <c r="CS138" s="1924">
        <v>11.84</v>
      </c>
      <c r="CT138" s="1924">
        <v>113.6</v>
      </c>
      <c r="CU138" s="1924">
        <v>0.80920000000000003</v>
      </c>
      <c r="CV138" s="1924">
        <v>27.29</v>
      </c>
      <c r="CW138" s="1924">
        <v>2249</v>
      </c>
      <c r="CX138" s="1894">
        <f t="shared" si="78"/>
        <v>5285</v>
      </c>
      <c r="CY138" s="1894">
        <f t="shared" si="79"/>
        <v>0</v>
      </c>
    </row>
    <row r="139" spans="1:103">
      <c r="A139" s="982">
        <v>126000000030</v>
      </c>
      <c r="B139" s="1923">
        <f t="shared" si="80"/>
        <v>133</v>
      </c>
      <c r="C139" s="1895" t="s">
        <v>3030</v>
      </c>
      <c r="D139" s="1894" t="s">
        <v>524</v>
      </c>
      <c r="E139" s="1895" t="s">
        <v>2966</v>
      </c>
      <c r="F139" s="1894" t="s">
        <v>259</v>
      </c>
      <c r="G139" s="1924">
        <v>142</v>
      </c>
      <c r="H139" s="1894">
        <v>142</v>
      </c>
      <c r="I139" s="1894">
        <v>97.68</v>
      </c>
      <c r="J139" s="1894">
        <v>142</v>
      </c>
      <c r="K139" s="1894">
        <v>0.87009999999999998</v>
      </c>
      <c r="L139" s="1894">
        <v>0</v>
      </c>
      <c r="M139" s="1894">
        <v>13699</v>
      </c>
      <c r="N139" s="1894">
        <f t="shared" si="58"/>
        <v>42198</v>
      </c>
      <c r="O139" s="1894">
        <f t="shared" si="59"/>
        <v>0</v>
      </c>
      <c r="P139" s="1894">
        <v>142</v>
      </c>
      <c r="Q139" s="1894">
        <v>139.76</v>
      </c>
      <c r="R139" s="1894">
        <v>142</v>
      </c>
      <c r="S139" s="1894">
        <v>0.85970000000000002</v>
      </c>
      <c r="T139" s="1894">
        <v>0</v>
      </c>
      <c r="U139" s="1894">
        <v>18620</v>
      </c>
      <c r="V139" s="1894">
        <f t="shared" si="60"/>
        <v>62389</v>
      </c>
      <c r="W139" s="1894">
        <f t="shared" si="61"/>
        <v>0</v>
      </c>
      <c r="X139" s="1894">
        <v>142</v>
      </c>
      <c r="Y139" s="1894">
        <v>87.52</v>
      </c>
      <c r="Z139" s="1894">
        <v>142</v>
      </c>
      <c r="AA139" s="1894">
        <v>0.85119999999999996</v>
      </c>
      <c r="AB139" s="1894">
        <v>0</v>
      </c>
      <c r="AC139" s="1894">
        <v>25131</v>
      </c>
      <c r="AD139" s="1894">
        <f t="shared" si="62"/>
        <v>37809</v>
      </c>
      <c r="AE139" s="1894">
        <f t="shared" si="63"/>
        <v>0</v>
      </c>
      <c r="AF139" s="1894">
        <v>142</v>
      </c>
      <c r="AG139" s="1894">
        <v>115.84</v>
      </c>
      <c r="AH139" s="1894">
        <v>142</v>
      </c>
      <c r="AI139" s="1894">
        <v>0.8498</v>
      </c>
      <c r="AJ139" s="1894">
        <v>0</v>
      </c>
      <c r="AK139" s="1894">
        <v>33391</v>
      </c>
      <c r="AL139" s="1894">
        <f t="shared" si="56"/>
        <v>51711</v>
      </c>
      <c r="AM139" s="1894">
        <f t="shared" si="57"/>
        <v>0</v>
      </c>
      <c r="AN139" s="1894">
        <v>142</v>
      </c>
      <c r="AO139" s="1894">
        <v>116.56</v>
      </c>
      <c r="AP139" s="1894">
        <v>142</v>
      </c>
      <c r="AQ139" s="1894">
        <v>0.84109999999999996</v>
      </c>
      <c r="AR139" s="1894">
        <v>0</v>
      </c>
      <c r="AS139" s="1894">
        <v>27166</v>
      </c>
      <c r="AT139" s="1894">
        <f t="shared" si="64"/>
        <v>52032</v>
      </c>
      <c r="AU139" s="1894">
        <f t="shared" si="65"/>
        <v>0</v>
      </c>
      <c r="AV139" s="1894">
        <v>142</v>
      </c>
      <c r="AW139" s="1894">
        <v>82.399999999999991</v>
      </c>
      <c r="AX139" s="1894">
        <v>142</v>
      </c>
      <c r="AY139" s="1894">
        <v>0.82809999999999995</v>
      </c>
      <c r="AZ139" s="1894">
        <v>0</v>
      </c>
      <c r="BA139" s="1894">
        <v>19574</v>
      </c>
      <c r="BB139" s="1894">
        <f t="shared" si="66"/>
        <v>35597</v>
      </c>
      <c r="BC139" s="1894">
        <f t="shared" si="67"/>
        <v>0</v>
      </c>
      <c r="BD139" s="1894">
        <v>142</v>
      </c>
      <c r="BE139" s="1894">
        <v>130.07999999999998</v>
      </c>
      <c r="BF139" s="1894">
        <v>142</v>
      </c>
      <c r="BG139" s="1894">
        <v>0.81889999999999996</v>
      </c>
      <c r="BH139" s="1894">
        <v>0</v>
      </c>
      <c r="BI139" s="1894">
        <v>38102</v>
      </c>
      <c r="BJ139" s="1894">
        <f t="shared" si="68"/>
        <v>58068</v>
      </c>
      <c r="BK139" s="1894">
        <f t="shared" si="69"/>
        <v>0</v>
      </c>
      <c r="BL139" s="1894">
        <v>142</v>
      </c>
      <c r="BM139" s="1894">
        <v>133.35999999999999</v>
      </c>
      <c r="BN139" s="1894">
        <v>142</v>
      </c>
      <c r="BO139" s="1894">
        <v>0.78169999999999995</v>
      </c>
      <c r="BP139" s="1894">
        <v>0</v>
      </c>
      <c r="BQ139" s="1894">
        <v>45292</v>
      </c>
      <c r="BR139" s="1894">
        <f t="shared" si="70"/>
        <v>57612</v>
      </c>
      <c r="BS139" s="1894">
        <f t="shared" si="71"/>
        <v>0</v>
      </c>
      <c r="BT139" s="1894">
        <v>142</v>
      </c>
      <c r="BU139" s="1894">
        <v>117.44000000000001</v>
      </c>
      <c r="BV139" s="1894">
        <v>142</v>
      </c>
      <c r="BW139" s="1894">
        <v>0.82140000000000002</v>
      </c>
      <c r="BX139" s="1894">
        <v>0</v>
      </c>
      <c r="BY139" s="1894">
        <v>12521</v>
      </c>
      <c r="BZ139" s="1894">
        <f t="shared" si="72"/>
        <v>52425</v>
      </c>
      <c r="CA139" s="1894">
        <f t="shared" si="73"/>
        <v>0</v>
      </c>
      <c r="CB139" s="1894">
        <v>142</v>
      </c>
      <c r="CC139" s="1894">
        <v>14.879999999999999</v>
      </c>
      <c r="CD139" s="1894">
        <v>142</v>
      </c>
      <c r="CE139" s="1894">
        <v>0.8135</v>
      </c>
      <c r="CF139" s="1894">
        <v>0</v>
      </c>
      <c r="CG139" s="1894">
        <v>976</v>
      </c>
      <c r="CH139" s="1894">
        <f t="shared" si="74"/>
        <v>6642</v>
      </c>
      <c r="CI139" s="1894">
        <f t="shared" si="75"/>
        <v>0</v>
      </c>
      <c r="CJ139" s="1894">
        <v>142</v>
      </c>
      <c r="CK139" s="1894">
        <v>83.36</v>
      </c>
      <c r="CL139" s="1894">
        <v>142</v>
      </c>
      <c r="CM139" s="1894">
        <v>0.82879999999999998</v>
      </c>
      <c r="CN139" s="1894">
        <v>0</v>
      </c>
      <c r="CO139" s="1894">
        <v>9214</v>
      </c>
      <c r="CP139" s="1894">
        <f t="shared" si="76"/>
        <v>33611</v>
      </c>
      <c r="CQ139" s="1894">
        <f t="shared" si="77"/>
        <v>0</v>
      </c>
      <c r="CR139" s="1924">
        <v>142</v>
      </c>
      <c r="CS139" s="1924">
        <v>78.239999999999995</v>
      </c>
      <c r="CT139" s="1924">
        <v>142</v>
      </c>
      <c r="CU139" s="1924">
        <v>0.80889999999999995</v>
      </c>
      <c r="CV139" s="1924">
        <v>0</v>
      </c>
      <c r="CW139" s="1924">
        <v>15984</v>
      </c>
      <c r="CX139" s="1894">
        <f t="shared" si="78"/>
        <v>34926</v>
      </c>
      <c r="CY139" s="1894">
        <f t="shared" si="79"/>
        <v>0</v>
      </c>
    </row>
    <row r="140" spans="1:103">
      <c r="A140" s="982">
        <v>622000000162</v>
      </c>
      <c r="B140" s="1923">
        <f t="shared" si="80"/>
        <v>134</v>
      </c>
      <c r="C140" s="1895" t="s">
        <v>3031</v>
      </c>
      <c r="D140" s="1894" t="s">
        <v>524</v>
      </c>
      <c r="E140" s="1895" t="s">
        <v>541</v>
      </c>
      <c r="F140" s="1894" t="s">
        <v>259</v>
      </c>
      <c r="G140" s="1924">
        <v>142</v>
      </c>
      <c r="H140" s="1894">
        <v>142</v>
      </c>
      <c r="I140" s="1894">
        <v>142</v>
      </c>
      <c r="J140" s="1894">
        <v>142</v>
      </c>
      <c r="K140" s="1894">
        <v>0.53800000000000003</v>
      </c>
      <c r="L140" s="1894">
        <v>6.94</v>
      </c>
      <c r="M140" s="1894">
        <v>7096</v>
      </c>
      <c r="N140" s="1894">
        <f t="shared" si="58"/>
        <v>61344</v>
      </c>
      <c r="O140" s="1894">
        <f t="shared" si="59"/>
        <v>0</v>
      </c>
      <c r="P140" s="1894">
        <v>142</v>
      </c>
      <c r="Q140" s="1894">
        <v>148.96</v>
      </c>
      <c r="R140" s="1894">
        <v>148.96</v>
      </c>
      <c r="S140" s="1894">
        <v>0.55000000000000004</v>
      </c>
      <c r="T140" s="1894">
        <v>8.26</v>
      </c>
      <c r="U140" s="1894">
        <v>9155</v>
      </c>
      <c r="V140" s="1894">
        <f t="shared" si="60"/>
        <v>66496</v>
      </c>
      <c r="W140" s="1894">
        <f t="shared" si="61"/>
        <v>0</v>
      </c>
      <c r="X140" s="1894">
        <v>142</v>
      </c>
      <c r="Y140" s="1894">
        <v>156.88</v>
      </c>
      <c r="Z140" s="1894">
        <v>156.88</v>
      </c>
      <c r="AA140" s="1894">
        <v>0.4471</v>
      </c>
      <c r="AB140" s="1894">
        <v>8.34</v>
      </c>
      <c r="AC140" s="1894">
        <v>9422</v>
      </c>
      <c r="AD140" s="1894">
        <f t="shared" si="62"/>
        <v>67772</v>
      </c>
      <c r="AE140" s="1894">
        <f t="shared" si="63"/>
        <v>0</v>
      </c>
      <c r="AF140" s="1894">
        <v>142</v>
      </c>
      <c r="AG140" s="1894">
        <v>142.79999999999998</v>
      </c>
      <c r="AH140" s="1894">
        <v>142.80000000000001</v>
      </c>
      <c r="AI140" s="1894">
        <v>0.3589</v>
      </c>
      <c r="AJ140" s="1894">
        <v>6.07</v>
      </c>
      <c r="AK140" s="1894">
        <v>6447</v>
      </c>
      <c r="AL140" s="1894">
        <f t="shared" si="56"/>
        <v>63746</v>
      </c>
      <c r="AM140" s="1894">
        <f t="shared" si="57"/>
        <v>0</v>
      </c>
      <c r="AN140" s="1894">
        <v>142</v>
      </c>
      <c r="AO140" s="1894">
        <v>133.04</v>
      </c>
      <c r="AP140" s="1894">
        <v>133.04</v>
      </c>
      <c r="AQ140" s="1894">
        <v>0.29260000000000003</v>
      </c>
      <c r="AR140" s="1894">
        <v>5.73</v>
      </c>
      <c r="AS140" s="1894">
        <v>5673</v>
      </c>
      <c r="AT140" s="1894">
        <f t="shared" si="64"/>
        <v>59389</v>
      </c>
      <c r="AU140" s="1894">
        <f t="shared" si="65"/>
        <v>0</v>
      </c>
      <c r="AV140" s="1894">
        <v>142</v>
      </c>
      <c r="AW140" s="1894">
        <v>130</v>
      </c>
      <c r="AX140" s="1894">
        <v>130</v>
      </c>
      <c r="AY140" s="1894">
        <v>0.36020000000000002</v>
      </c>
      <c r="AZ140" s="1894">
        <v>5.82</v>
      </c>
      <c r="BA140" s="1894">
        <v>5446</v>
      </c>
      <c r="BB140" s="1894">
        <f t="shared" si="66"/>
        <v>56160</v>
      </c>
      <c r="BC140" s="1894">
        <f t="shared" si="67"/>
        <v>0</v>
      </c>
      <c r="BD140" s="1894">
        <v>142</v>
      </c>
      <c r="BE140" s="1894">
        <v>122.56</v>
      </c>
      <c r="BF140" s="1894">
        <v>122.56</v>
      </c>
      <c r="BG140" s="1894">
        <v>0.46029999999999999</v>
      </c>
      <c r="BH140" s="1894">
        <v>11.82</v>
      </c>
      <c r="BI140" s="1894">
        <v>10782</v>
      </c>
      <c r="BJ140" s="1894">
        <f t="shared" si="68"/>
        <v>54711</v>
      </c>
      <c r="BK140" s="1894">
        <f t="shared" si="69"/>
        <v>0</v>
      </c>
      <c r="BL140" s="1894">
        <v>142</v>
      </c>
      <c r="BM140" s="1894">
        <v>119.28</v>
      </c>
      <c r="BN140" s="1894">
        <v>119.28</v>
      </c>
      <c r="BO140" s="1894">
        <v>0.36630000000000001</v>
      </c>
      <c r="BP140" s="1894">
        <v>7.08</v>
      </c>
      <c r="BQ140" s="1894">
        <v>6084</v>
      </c>
      <c r="BR140" s="1894">
        <f t="shared" si="70"/>
        <v>51529</v>
      </c>
      <c r="BS140" s="1894">
        <f t="shared" si="71"/>
        <v>0</v>
      </c>
      <c r="BT140" s="1894">
        <v>142</v>
      </c>
      <c r="BU140" s="1894">
        <v>137.20000000000002</v>
      </c>
      <c r="BV140" s="1894">
        <v>137.19999999999999</v>
      </c>
      <c r="BW140" s="1894">
        <v>0.47749999999999998</v>
      </c>
      <c r="BX140" s="1894">
        <v>12.03</v>
      </c>
      <c r="BY140" s="1894">
        <v>12283</v>
      </c>
      <c r="BZ140" s="1894">
        <f t="shared" si="72"/>
        <v>61246</v>
      </c>
      <c r="CA140" s="1894">
        <f t="shared" si="73"/>
        <v>0</v>
      </c>
      <c r="CB140" s="1894">
        <v>142</v>
      </c>
      <c r="CC140" s="1894">
        <v>106.08</v>
      </c>
      <c r="CD140" s="1894">
        <v>113.6</v>
      </c>
      <c r="CE140" s="1894">
        <v>0.39169999999999999</v>
      </c>
      <c r="CF140" s="1894">
        <v>7.74</v>
      </c>
      <c r="CG140" s="1894">
        <v>6111</v>
      </c>
      <c r="CH140" s="1894">
        <f t="shared" si="74"/>
        <v>47354</v>
      </c>
      <c r="CI140" s="1894">
        <f t="shared" si="75"/>
        <v>0</v>
      </c>
      <c r="CJ140" s="1894">
        <v>142</v>
      </c>
      <c r="CK140" s="1894">
        <v>132.80000000000001</v>
      </c>
      <c r="CL140" s="1894">
        <v>132.80000000000001</v>
      </c>
      <c r="CM140" s="1894">
        <v>0.41099999999999998</v>
      </c>
      <c r="CN140" s="1894">
        <v>10.06</v>
      </c>
      <c r="CO140" s="1894">
        <v>8978</v>
      </c>
      <c r="CP140" s="1894">
        <f t="shared" si="76"/>
        <v>53545</v>
      </c>
      <c r="CQ140" s="1894">
        <f t="shared" si="77"/>
        <v>0</v>
      </c>
      <c r="CR140" s="1924">
        <v>142</v>
      </c>
      <c r="CS140" s="1924">
        <v>82.64</v>
      </c>
      <c r="CT140" s="1924">
        <v>113.6</v>
      </c>
      <c r="CU140" s="1924">
        <v>0.2485</v>
      </c>
      <c r="CV140" s="1924">
        <v>9.66</v>
      </c>
      <c r="CW140" s="1924">
        <v>5942</v>
      </c>
      <c r="CX140" s="1894">
        <f t="shared" si="78"/>
        <v>36890</v>
      </c>
      <c r="CY140" s="1894">
        <f t="shared" si="79"/>
        <v>0</v>
      </c>
    </row>
    <row r="141" spans="1:103">
      <c r="A141" s="982">
        <v>622000000185</v>
      </c>
      <c r="B141" s="1923">
        <f t="shared" si="80"/>
        <v>135</v>
      </c>
      <c r="C141" s="1895" t="s">
        <v>3032</v>
      </c>
      <c r="D141" s="1894" t="s">
        <v>524</v>
      </c>
      <c r="E141" s="1895" t="s">
        <v>730</v>
      </c>
      <c r="F141" s="1894" t="s">
        <v>259</v>
      </c>
      <c r="G141" s="1924">
        <v>142</v>
      </c>
      <c r="H141" s="1894">
        <v>142</v>
      </c>
      <c r="I141" s="1894">
        <v>60.96</v>
      </c>
      <c r="J141" s="1894">
        <v>113.6</v>
      </c>
      <c r="K141" s="1894">
        <v>0.8377</v>
      </c>
      <c r="L141" s="1894">
        <v>54.79</v>
      </c>
      <c r="M141" s="1894">
        <v>24046</v>
      </c>
      <c r="N141" s="1894">
        <f t="shared" si="58"/>
        <v>26335</v>
      </c>
      <c r="O141" s="1894">
        <f t="shared" si="59"/>
        <v>0</v>
      </c>
      <c r="P141" s="1894">
        <v>142</v>
      </c>
      <c r="Q141" s="1894">
        <v>70.64</v>
      </c>
      <c r="R141" s="1894">
        <v>113.6</v>
      </c>
      <c r="S141" s="1894">
        <v>0.83560000000000001</v>
      </c>
      <c r="T141" s="1894">
        <v>45.79</v>
      </c>
      <c r="U141" s="1894">
        <v>24065</v>
      </c>
      <c r="V141" s="1894">
        <f t="shared" si="60"/>
        <v>31534</v>
      </c>
      <c r="W141" s="1894">
        <f t="shared" si="61"/>
        <v>0</v>
      </c>
      <c r="X141" s="1894">
        <v>142</v>
      </c>
      <c r="Y141" s="1894">
        <v>76</v>
      </c>
      <c r="Z141" s="1894">
        <v>113.6</v>
      </c>
      <c r="AA141" s="1894">
        <v>0.91659999999999997</v>
      </c>
      <c r="AB141" s="1894">
        <v>40.79</v>
      </c>
      <c r="AC141" s="1894">
        <v>22319</v>
      </c>
      <c r="AD141" s="1894">
        <f t="shared" si="62"/>
        <v>32832</v>
      </c>
      <c r="AE141" s="1894">
        <f t="shared" si="63"/>
        <v>0</v>
      </c>
      <c r="AF141" s="1894">
        <v>142</v>
      </c>
      <c r="AG141" s="1894">
        <v>90.72</v>
      </c>
      <c r="AH141" s="1894">
        <v>113.6</v>
      </c>
      <c r="AI141" s="1894">
        <v>0.99</v>
      </c>
      <c r="AJ141" s="1894">
        <v>33.47</v>
      </c>
      <c r="AK141" s="1894">
        <v>22589</v>
      </c>
      <c r="AL141" s="1894">
        <f t="shared" si="56"/>
        <v>40497</v>
      </c>
      <c r="AM141" s="1894">
        <f t="shared" si="57"/>
        <v>0</v>
      </c>
      <c r="AN141" s="1894">
        <v>142</v>
      </c>
      <c r="AO141" s="1894">
        <v>71.760000000000005</v>
      </c>
      <c r="AP141" s="1894">
        <v>113.6</v>
      </c>
      <c r="AQ141" s="1894">
        <v>0.98309999999999997</v>
      </c>
      <c r="AR141" s="1894">
        <v>41.75</v>
      </c>
      <c r="AS141" s="1894">
        <v>22288</v>
      </c>
      <c r="AT141" s="1894">
        <f t="shared" si="64"/>
        <v>32034</v>
      </c>
      <c r="AU141" s="1894">
        <f t="shared" si="65"/>
        <v>0</v>
      </c>
      <c r="AV141" s="1894">
        <v>142</v>
      </c>
      <c r="AW141" s="1894">
        <v>70.08</v>
      </c>
      <c r="AX141" s="1894">
        <v>113.6</v>
      </c>
      <c r="AY141" s="1894">
        <v>0.98709999999999998</v>
      </c>
      <c r="AZ141" s="1894">
        <v>44.37</v>
      </c>
      <c r="BA141" s="1894">
        <v>22390</v>
      </c>
      <c r="BB141" s="1894">
        <f t="shared" si="66"/>
        <v>30275</v>
      </c>
      <c r="BC141" s="1894">
        <f t="shared" si="67"/>
        <v>0</v>
      </c>
      <c r="BD141" s="1894">
        <v>142</v>
      </c>
      <c r="BE141" s="1894">
        <v>72.16</v>
      </c>
      <c r="BF141" s="1894">
        <v>113.6</v>
      </c>
      <c r="BG141" s="1894">
        <v>0.9849</v>
      </c>
      <c r="BH141" s="1894">
        <v>48.8</v>
      </c>
      <c r="BI141" s="1894">
        <v>26197</v>
      </c>
      <c r="BJ141" s="1894">
        <f t="shared" si="68"/>
        <v>32212</v>
      </c>
      <c r="BK141" s="1894">
        <f t="shared" si="69"/>
        <v>0</v>
      </c>
      <c r="BL141" s="1894">
        <v>142</v>
      </c>
      <c r="BM141" s="1894">
        <v>84</v>
      </c>
      <c r="BN141" s="1894">
        <v>113.6</v>
      </c>
      <c r="BO141" s="1894">
        <v>0.9819</v>
      </c>
      <c r="BP141" s="1894">
        <v>37.93</v>
      </c>
      <c r="BQ141" s="1894">
        <v>22943</v>
      </c>
      <c r="BR141" s="1894">
        <f t="shared" si="70"/>
        <v>36288</v>
      </c>
      <c r="BS141" s="1894">
        <f t="shared" si="71"/>
        <v>0</v>
      </c>
      <c r="BT141" s="1894">
        <v>142</v>
      </c>
      <c r="BU141" s="1894">
        <v>80.88</v>
      </c>
      <c r="BV141" s="1894">
        <v>113.6</v>
      </c>
      <c r="BW141" s="1894">
        <v>0.79069999999999996</v>
      </c>
      <c r="BX141" s="1894">
        <v>50.74</v>
      </c>
      <c r="BY141" s="1894">
        <v>30535</v>
      </c>
      <c r="BZ141" s="1894">
        <f t="shared" si="72"/>
        <v>36105</v>
      </c>
      <c r="CA141" s="1894">
        <f t="shared" si="73"/>
        <v>0</v>
      </c>
      <c r="CB141" s="1894">
        <v>142</v>
      </c>
      <c r="CC141" s="1894">
        <v>76.160000000000011</v>
      </c>
      <c r="CD141" s="1894">
        <v>113.6</v>
      </c>
      <c r="CE141" s="1894">
        <v>0.83860000000000001</v>
      </c>
      <c r="CF141" s="1894">
        <v>48.58</v>
      </c>
      <c r="CG141" s="1894">
        <v>27528</v>
      </c>
      <c r="CH141" s="1894">
        <f t="shared" si="74"/>
        <v>33998</v>
      </c>
      <c r="CI141" s="1894">
        <f t="shared" si="75"/>
        <v>0</v>
      </c>
      <c r="CJ141" s="1894">
        <v>142</v>
      </c>
      <c r="CK141" s="1894">
        <v>71.2</v>
      </c>
      <c r="CL141" s="1894">
        <v>113.6</v>
      </c>
      <c r="CM141" s="1894">
        <v>0.9103</v>
      </c>
      <c r="CN141" s="1894">
        <v>50.93</v>
      </c>
      <c r="CO141" s="1894">
        <v>24366</v>
      </c>
      <c r="CP141" s="1894">
        <f t="shared" si="76"/>
        <v>28708</v>
      </c>
      <c r="CQ141" s="1894">
        <f t="shared" si="77"/>
        <v>0</v>
      </c>
      <c r="CR141" s="1924">
        <v>142</v>
      </c>
      <c r="CS141" s="1924">
        <v>72.960000000000008</v>
      </c>
      <c r="CT141" s="1924">
        <v>113.6</v>
      </c>
      <c r="CU141" s="1924">
        <v>0.95289999999999997</v>
      </c>
      <c r="CV141" s="1924">
        <v>49.15</v>
      </c>
      <c r="CW141" s="1924">
        <v>26678</v>
      </c>
      <c r="CX141" s="1894">
        <f t="shared" si="78"/>
        <v>32569</v>
      </c>
      <c r="CY141" s="1894">
        <f t="shared" si="79"/>
        <v>0</v>
      </c>
    </row>
    <row r="142" spans="1:103">
      <c r="A142" s="982">
        <v>614000000006</v>
      </c>
      <c r="B142" s="1923">
        <f t="shared" si="80"/>
        <v>136</v>
      </c>
      <c r="C142" s="1895" t="s">
        <v>3033</v>
      </c>
      <c r="D142" s="1894" t="s">
        <v>524</v>
      </c>
      <c r="E142" s="1895" t="s">
        <v>636</v>
      </c>
      <c r="F142" s="1894" t="s">
        <v>259</v>
      </c>
      <c r="G142" s="1924">
        <v>144</v>
      </c>
      <c r="H142" s="1894">
        <v>0</v>
      </c>
      <c r="I142" s="1894">
        <v>0</v>
      </c>
      <c r="J142" s="1894">
        <v>0</v>
      </c>
      <c r="K142" s="1894">
        <v>0</v>
      </c>
      <c r="L142" s="1894">
        <v>0</v>
      </c>
      <c r="M142" s="1894">
        <v>0</v>
      </c>
      <c r="N142" s="1894">
        <f t="shared" si="58"/>
        <v>0</v>
      </c>
      <c r="O142" s="1894">
        <f t="shared" si="59"/>
        <v>0</v>
      </c>
      <c r="P142" s="1894">
        <v>0</v>
      </c>
      <c r="Q142" s="1894">
        <v>0</v>
      </c>
      <c r="R142" s="1894">
        <v>0</v>
      </c>
      <c r="S142" s="1894">
        <v>0</v>
      </c>
      <c r="T142" s="1894">
        <v>0</v>
      </c>
      <c r="U142" s="1894">
        <v>0</v>
      </c>
      <c r="V142" s="1894">
        <f t="shared" si="60"/>
        <v>0</v>
      </c>
      <c r="W142" s="1894">
        <f t="shared" si="61"/>
        <v>0</v>
      </c>
      <c r="X142" s="1894">
        <v>0</v>
      </c>
      <c r="Y142" s="1894">
        <v>0</v>
      </c>
      <c r="Z142" s="1894">
        <v>0</v>
      </c>
      <c r="AA142" s="1894">
        <v>0</v>
      </c>
      <c r="AB142" s="1894">
        <v>0</v>
      </c>
      <c r="AC142" s="1894">
        <v>0</v>
      </c>
      <c r="AD142" s="1894">
        <f t="shared" si="62"/>
        <v>0</v>
      </c>
      <c r="AE142" s="1894">
        <f t="shared" si="63"/>
        <v>0</v>
      </c>
      <c r="AF142" s="1894">
        <v>0</v>
      </c>
      <c r="AG142" s="1894">
        <v>0</v>
      </c>
      <c r="AH142" s="1894">
        <v>0</v>
      </c>
      <c r="AI142" s="1894">
        <v>0</v>
      </c>
      <c r="AJ142" s="1894">
        <v>0</v>
      </c>
      <c r="AK142" s="1894">
        <v>0</v>
      </c>
      <c r="AL142" s="1894">
        <f t="shared" si="56"/>
        <v>0</v>
      </c>
      <c r="AM142" s="1894">
        <f t="shared" si="57"/>
        <v>0</v>
      </c>
      <c r="AN142" s="1894">
        <v>0</v>
      </c>
      <c r="AO142" s="1894">
        <v>0</v>
      </c>
      <c r="AP142" s="1894">
        <v>0</v>
      </c>
      <c r="AQ142" s="1894">
        <v>0</v>
      </c>
      <c r="AR142" s="1894">
        <v>0</v>
      </c>
      <c r="AS142" s="1894">
        <v>0</v>
      </c>
      <c r="AT142" s="1894">
        <f t="shared" si="64"/>
        <v>0</v>
      </c>
      <c r="AU142" s="1894">
        <f t="shared" si="65"/>
        <v>0</v>
      </c>
      <c r="AV142" s="1894">
        <v>0</v>
      </c>
      <c r="AW142" s="1894">
        <v>0</v>
      </c>
      <c r="AX142" s="1894">
        <v>0</v>
      </c>
      <c r="AY142" s="1894">
        <v>0</v>
      </c>
      <c r="AZ142" s="1894">
        <v>0</v>
      </c>
      <c r="BA142" s="1894">
        <v>0</v>
      </c>
      <c r="BB142" s="1894">
        <f t="shared" si="66"/>
        <v>0</v>
      </c>
      <c r="BC142" s="1894">
        <f t="shared" si="67"/>
        <v>0</v>
      </c>
      <c r="BD142" s="1894">
        <v>0</v>
      </c>
      <c r="BE142" s="1894">
        <v>0</v>
      </c>
      <c r="BF142" s="1894">
        <v>0</v>
      </c>
      <c r="BG142" s="1894">
        <v>0</v>
      </c>
      <c r="BH142" s="1894">
        <v>0</v>
      </c>
      <c r="BI142" s="1894">
        <v>0</v>
      </c>
      <c r="BJ142" s="1894">
        <f t="shared" si="68"/>
        <v>0</v>
      </c>
      <c r="BK142" s="1894">
        <f t="shared" si="69"/>
        <v>0</v>
      </c>
      <c r="BL142" s="1894">
        <v>0</v>
      </c>
      <c r="BM142" s="1894">
        <v>0</v>
      </c>
      <c r="BN142" s="1894">
        <v>0</v>
      </c>
      <c r="BO142" s="1894">
        <v>0</v>
      </c>
      <c r="BP142" s="1894">
        <v>0</v>
      </c>
      <c r="BQ142" s="1894">
        <v>0</v>
      </c>
      <c r="BR142" s="1894">
        <f t="shared" si="70"/>
        <v>0</v>
      </c>
      <c r="BS142" s="1894">
        <f t="shared" si="71"/>
        <v>0</v>
      </c>
      <c r="BT142" s="1894">
        <v>0</v>
      </c>
      <c r="BU142" s="1894">
        <v>0</v>
      </c>
      <c r="BV142" s="1894">
        <v>0</v>
      </c>
      <c r="BW142" s="1894">
        <v>0</v>
      </c>
      <c r="BX142" s="1894">
        <v>0</v>
      </c>
      <c r="BY142" s="1894">
        <v>0</v>
      </c>
      <c r="BZ142" s="1894">
        <f t="shared" si="72"/>
        <v>0</v>
      </c>
      <c r="CA142" s="1894">
        <f t="shared" si="73"/>
        <v>0</v>
      </c>
      <c r="CB142" s="1894">
        <v>144</v>
      </c>
      <c r="CC142" s="1894">
        <v>324.89999999999998</v>
      </c>
      <c r="CD142" s="1894">
        <v>324.89999999999998</v>
      </c>
      <c r="CE142" s="1894">
        <v>0.99680000000000002</v>
      </c>
      <c r="CF142" s="1894">
        <v>5.09</v>
      </c>
      <c r="CG142" s="1894">
        <v>11904</v>
      </c>
      <c r="CH142" s="1894">
        <f t="shared" si="74"/>
        <v>145035</v>
      </c>
      <c r="CI142" s="1894">
        <f t="shared" si="75"/>
        <v>0</v>
      </c>
      <c r="CJ142" s="1894">
        <v>144</v>
      </c>
      <c r="CK142" s="1894">
        <v>326.5</v>
      </c>
      <c r="CL142" s="1894">
        <v>326.5</v>
      </c>
      <c r="CM142" s="1894">
        <v>0.99829999999999997</v>
      </c>
      <c r="CN142" s="1894">
        <v>6.76</v>
      </c>
      <c r="CO142" s="1894">
        <v>14841</v>
      </c>
      <c r="CP142" s="1894">
        <f t="shared" si="76"/>
        <v>131645</v>
      </c>
      <c r="CQ142" s="1894">
        <f t="shared" si="77"/>
        <v>0</v>
      </c>
      <c r="CR142" s="1924">
        <v>144</v>
      </c>
      <c r="CS142" s="1924">
        <v>292.10000000000002</v>
      </c>
      <c r="CT142" s="1924">
        <v>292.10000000000002</v>
      </c>
      <c r="CU142" s="1924">
        <v>0.99460000000000004</v>
      </c>
      <c r="CV142" s="1924">
        <v>2.73</v>
      </c>
      <c r="CW142" s="1924">
        <v>6129</v>
      </c>
      <c r="CX142" s="1894">
        <f t="shared" si="78"/>
        <v>130393</v>
      </c>
      <c r="CY142" s="1894">
        <f t="shared" si="79"/>
        <v>0</v>
      </c>
    </row>
    <row r="143" spans="1:103">
      <c r="A143" s="982">
        <v>123000000016</v>
      </c>
      <c r="B143" s="1923">
        <f t="shared" si="80"/>
        <v>137</v>
      </c>
      <c r="C143" s="1895" t="s">
        <v>3034</v>
      </c>
      <c r="D143" s="1894" t="s">
        <v>524</v>
      </c>
      <c r="E143" s="1895" t="s">
        <v>2966</v>
      </c>
      <c r="F143" s="1894" t="s">
        <v>259</v>
      </c>
      <c r="G143" s="1924">
        <v>144</v>
      </c>
      <c r="H143" s="1894">
        <v>144</v>
      </c>
      <c r="I143" s="1894">
        <v>185.25</v>
      </c>
      <c r="J143" s="1894">
        <v>185.25</v>
      </c>
      <c r="K143" s="1894">
        <v>0.82540000000000002</v>
      </c>
      <c r="L143" s="1894">
        <v>0</v>
      </c>
      <c r="M143" s="1894">
        <v>42939</v>
      </c>
      <c r="N143" s="1894">
        <f t="shared" si="58"/>
        <v>80028</v>
      </c>
      <c r="O143" s="1894">
        <f t="shared" si="59"/>
        <v>0</v>
      </c>
      <c r="P143" s="1894">
        <v>144</v>
      </c>
      <c r="Q143" s="1894">
        <v>221.25</v>
      </c>
      <c r="R143" s="1894">
        <v>221.25</v>
      </c>
      <c r="S143" s="1894">
        <v>0.8407</v>
      </c>
      <c r="T143" s="1894">
        <v>0</v>
      </c>
      <c r="U143" s="1894">
        <v>73670</v>
      </c>
      <c r="V143" s="1894">
        <f t="shared" si="60"/>
        <v>98766</v>
      </c>
      <c r="W143" s="1894">
        <f t="shared" si="61"/>
        <v>0</v>
      </c>
      <c r="X143" s="1894">
        <v>144</v>
      </c>
      <c r="Y143" s="1894">
        <v>167.25</v>
      </c>
      <c r="Z143" s="1894">
        <v>167.25</v>
      </c>
      <c r="AA143" s="1894">
        <v>0.77410000000000001</v>
      </c>
      <c r="AB143" s="1894">
        <v>0</v>
      </c>
      <c r="AC143" s="1894">
        <v>24686</v>
      </c>
      <c r="AD143" s="1894">
        <f t="shared" si="62"/>
        <v>72252</v>
      </c>
      <c r="AE143" s="1894">
        <f t="shared" si="63"/>
        <v>0</v>
      </c>
      <c r="AF143" s="1894">
        <v>144</v>
      </c>
      <c r="AG143" s="1894">
        <v>185.25</v>
      </c>
      <c r="AH143" s="1894">
        <v>185.25</v>
      </c>
      <c r="AI143" s="1894">
        <v>0.77090000000000003</v>
      </c>
      <c r="AJ143" s="1894">
        <v>0</v>
      </c>
      <c r="AK143" s="1894">
        <v>46250</v>
      </c>
      <c r="AL143" s="1894">
        <f t="shared" si="56"/>
        <v>82696</v>
      </c>
      <c r="AM143" s="1894">
        <f t="shared" si="57"/>
        <v>0</v>
      </c>
      <c r="AN143" s="1894">
        <v>144</v>
      </c>
      <c r="AO143" s="1894">
        <v>192.77</v>
      </c>
      <c r="AP143" s="1894">
        <v>192.77</v>
      </c>
      <c r="AQ143" s="1894">
        <v>0.74829999999999997</v>
      </c>
      <c r="AR143" s="1894">
        <v>0</v>
      </c>
      <c r="AS143" s="1894">
        <v>67010</v>
      </c>
      <c r="AT143" s="1894">
        <f t="shared" si="64"/>
        <v>86053</v>
      </c>
      <c r="AU143" s="1894">
        <f t="shared" si="65"/>
        <v>0</v>
      </c>
      <c r="AV143" s="1894">
        <v>144</v>
      </c>
      <c r="AW143" s="1894">
        <v>218.45000000000002</v>
      </c>
      <c r="AX143" s="1894">
        <v>218.45</v>
      </c>
      <c r="AY143" s="1894">
        <v>0.73870000000000002</v>
      </c>
      <c r="AZ143" s="1894">
        <v>0</v>
      </c>
      <c r="BA143" s="1894">
        <v>60573</v>
      </c>
      <c r="BB143" s="1894">
        <f t="shared" si="66"/>
        <v>94370</v>
      </c>
      <c r="BC143" s="1894">
        <f t="shared" si="67"/>
        <v>0</v>
      </c>
      <c r="BD143" s="1894">
        <v>144</v>
      </c>
      <c r="BE143" s="1894">
        <v>127.25</v>
      </c>
      <c r="BF143" s="1894">
        <v>144</v>
      </c>
      <c r="BG143" s="1894">
        <v>0.6724</v>
      </c>
      <c r="BH143" s="1894">
        <v>0</v>
      </c>
      <c r="BI143" s="1894">
        <v>22166</v>
      </c>
      <c r="BJ143" s="1894">
        <f t="shared" si="68"/>
        <v>56804</v>
      </c>
      <c r="BK143" s="1894">
        <f t="shared" si="69"/>
        <v>0</v>
      </c>
      <c r="BL143" s="1894">
        <v>144</v>
      </c>
      <c r="BM143" s="1894">
        <v>136.05000000000001</v>
      </c>
      <c r="BN143" s="1894">
        <v>144</v>
      </c>
      <c r="BO143" s="1894">
        <v>0.66439999999999999</v>
      </c>
      <c r="BP143" s="1894">
        <v>0</v>
      </c>
      <c r="BQ143" s="1894">
        <v>24072</v>
      </c>
      <c r="BR143" s="1894">
        <f t="shared" si="70"/>
        <v>58774</v>
      </c>
      <c r="BS143" s="1894">
        <f t="shared" si="71"/>
        <v>0</v>
      </c>
      <c r="BT143" s="1894">
        <v>144</v>
      </c>
      <c r="BU143" s="1894">
        <v>102.69</v>
      </c>
      <c r="BV143" s="1894">
        <v>144</v>
      </c>
      <c r="BW143" s="1894">
        <v>0.6754</v>
      </c>
      <c r="BX143" s="1894">
        <v>0</v>
      </c>
      <c r="BY143" s="1894">
        <v>15347</v>
      </c>
      <c r="BZ143" s="1894">
        <f t="shared" si="72"/>
        <v>45841</v>
      </c>
      <c r="CA143" s="1894">
        <f t="shared" si="73"/>
        <v>0</v>
      </c>
      <c r="CB143" s="1894">
        <v>144</v>
      </c>
      <c r="CC143" s="1894">
        <v>24.93</v>
      </c>
      <c r="CD143" s="1894">
        <v>144</v>
      </c>
      <c r="CE143" s="1894">
        <v>0.64890000000000003</v>
      </c>
      <c r="CF143" s="1894">
        <v>0</v>
      </c>
      <c r="CG143" s="1894">
        <v>5995</v>
      </c>
      <c r="CH143" s="1894">
        <f t="shared" si="74"/>
        <v>11129</v>
      </c>
      <c r="CI143" s="1894">
        <f t="shared" si="75"/>
        <v>0</v>
      </c>
      <c r="CJ143" s="1894">
        <v>144</v>
      </c>
      <c r="CK143" s="1894">
        <v>16.45</v>
      </c>
      <c r="CL143" s="1894">
        <v>144</v>
      </c>
      <c r="CM143" s="1894">
        <v>0.71299999999999997</v>
      </c>
      <c r="CN143" s="1894">
        <v>0</v>
      </c>
      <c r="CO143" s="1894">
        <v>4464</v>
      </c>
      <c r="CP143" s="1894">
        <f t="shared" si="76"/>
        <v>6633</v>
      </c>
      <c r="CQ143" s="1894">
        <f t="shared" si="77"/>
        <v>0</v>
      </c>
      <c r="CR143" s="1924">
        <v>144</v>
      </c>
      <c r="CS143" s="1924">
        <v>13.729999999999999</v>
      </c>
      <c r="CT143" s="1924">
        <v>144</v>
      </c>
      <c r="CU143" s="1924">
        <v>0.68149999999999999</v>
      </c>
      <c r="CV143" s="1924">
        <v>0</v>
      </c>
      <c r="CW143" s="1924">
        <v>4216</v>
      </c>
      <c r="CX143" s="1894">
        <f t="shared" si="78"/>
        <v>6129</v>
      </c>
      <c r="CY143" s="1894">
        <f t="shared" si="79"/>
        <v>0</v>
      </c>
    </row>
    <row r="144" spans="1:103">
      <c r="A144" s="982">
        <v>124000000033</v>
      </c>
      <c r="B144" s="1923">
        <f t="shared" si="80"/>
        <v>138</v>
      </c>
      <c r="C144" s="1895" t="s">
        <v>3035</v>
      </c>
      <c r="D144" s="1894" t="s">
        <v>524</v>
      </c>
      <c r="E144" s="1895" t="s">
        <v>636</v>
      </c>
      <c r="F144" s="1894" t="s">
        <v>259</v>
      </c>
      <c r="G144" s="1924">
        <v>144</v>
      </c>
      <c r="H144" s="1894">
        <v>144</v>
      </c>
      <c r="I144" s="1894">
        <v>72.44</v>
      </c>
      <c r="J144" s="1894">
        <v>115.2</v>
      </c>
      <c r="K144" s="1894">
        <v>0.85929999999999995</v>
      </c>
      <c r="L144" s="1894">
        <v>26.51</v>
      </c>
      <c r="M144" s="1894">
        <v>13826</v>
      </c>
      <c r="N144" s="1894">
        <f t="shared" si="58"/>
        <v>31294</v>
      </c>
      <c r="O144" s="1894">
        <f t="shared" si="59"/>
        <v>0</v>
      </c>
      <c r="P144" s="1894">
        <v>144</v>
      </c>
      <c r="Q144" s="1894">
        <v>93.12</v>
      </c>
      <c r="R144" s="1894">
        <v>115.2</v>
      </c>
      <c r="S144" s="1894">
        <v>0.84499999999999997</v>
      </c>
      <c r="T144" s="1894">
        <v>22.05</v>
      </c>
      <c r="U144" s="1894">
        <v>15277</v>
      </c>
      <c r="V144" s="1894">
        <f t="shared" si="60"/>
        <v>41569</v>
      </c>
      <c r="W144" s="1894">
        <f t="shared" si="61"/>
        <v>0</v>
      </c>
      <c r="X144" s="1894">
        <v>144</v>
      </c>
      <c r="Y144" s="1894">
        <v>75.680000000000007</v>
      </c>
      <c r="Z144" s="1894">
        <v>115.2</v>
      </c>
      <c r="AA144" s="1894">
        <v>0.83879999999999999</v>
      </c>
      <c r="AB144" s="1894">
        <v>28.91</v>
      </c>
      <c r="AC144" s="1894">
        <v>15753</v>
      </c>
      <c r="AD144" s="1894">
        <f t="shared" si="62"/>
        <v>32694</v>
      </c>
      <c r="AE144" s="1894">
        <f t="shared" si="63"/>
        <v>0</v>
      </c>
      <c r="AF144" s="1894">
        <v>144</v>
      </c>
      <c r="AG144" s="1894">
        <v>60.640000000000008</v>
      </c>
      <c r="AH144" s="1894">
        <v>115.2</v>
      </c>
      <c r="AI144" s="1894">
        <v>0.81759999999999999</v>
      </c>
      <c r="AJ144" s="1894">
        <v>29.93</v>
      </c>
      <c r="AK144" s="1894">
        <v>13505</v>
      </c>
      <c r="AL144" s="1894">
        <f t="shared" si="56"/>
        <v>27070</v>
      </c>
      <c r="AM144" s="1894">
        <f t="shared" si="57"/>
        <v>0</v>
      </c>
      <c r="AN144" s="1894">
        <v>144</v>
      </c>
      <c r="AO144" s="1894">
        <v>72.64</v>
      </c>
      <c r="AP144" s="1894">
        <v>115.2</v>
      </c>
      <c r="AQ144" s="1894">
        <v>0.81730000000000003</v>
      </c>
      <c r="AR144" s="1894">
        <v>22.35</v>
      </c>
      <c r="AS144" s="1894">
        <v>12080</v>
      </c>
      <c r="AT144" s="1894">
        <f t="shared" si="64"/>
        <v>32426</v>
      </c>
      <c r="AU144" s="1894">
        <f t="shared" si="65"/>
        <v>0</v>
      </c>
      <c r="AV144" s="1894">
        <v>144</v>
      </c>
      <c r="AW144" s="1894">
        <v>60.4</v>
      </c>
      <c r="AX144" s="1894">
        <v>115.2</v>
      </c>
      <c r="AY144" s="1894">
        <v>0.8175</v>
      </c>
      <c r="AZ144" s="1894">
        <v>24.72</v>
      </c>
      <c r="BA144" s="1894">
        <v>10751</v>
      </c>
      <c r="BB144" s="1894">
        <f t="shared" si="66"/>
        <v>26093</v>
      </c>
      <c r="BC144" s="1894">
        <f t="shared" si="67"/>
        <v>0</v>
      </c>
      <c r="BD144" s="1894">
        <v>144</v>
      </c>
      <c r="BE144" s="1894">
        <v>66.959999999999994</v>
      </c>
      <c r="BF144" s="1894">
        <v>115.2</v>
      </c>
      <c r="BG144" s="1894">
        <v>0.79579999999999995</v>
      </c>
      <c r="BH144" s="1894">
        <v>23.39</v>
      </c>
      <c r="BI144" s="1894">
        <v>11654</v>
      </c>
      <c r="BJ144" s="1894">
        <f t="shared" si="68"/>
        <v>29891</v>
      </c>
      <c r="BK144" s="1894">
        <f t="shared" si="69"/>
        <v>0</v>
      </c>
      <c r="BL144" s="1894">
        <v>144</v>
      </c>
      <c r="BM144" s="1894">
        <v>70.56</v>
      </c>
      <c r="BN144" s="1894">
        <v>115.2</v>
      </c>
      <c r="BO144" s="1894">
        <v>0.76370000000000005</v>
      </c>
      <c r="BP144" s="1894">
        <v>15.65</v>
      </c>
      <c r="BQ144" s="1894">
        <v>7949</v>
      </c>
      <c r="BR144" s="1894">
        <f t="shared" si="70"/>
        <v>30482</v>
      </c>
      <c r="BS144" s="1894">
        <f t="shared" si="71"/>
        <v>0</v>
      </c>
      <c r="BT144" s="1894">
        <v>144</v>
      </c>
      <c r="BU144" s="1894">
        <v>33.520000000000003</v>
      </c>
      <c r="BV144" s="1894">
        <v>115.2</v>
      </c>
      <c r="BW144" s="1894">
        <v>0.75239999999999996</v>
      </c>
      <c r="BX144" s="1894">
        <v>24.36</v>
      </c>
      <c r="BY144" s="1894">
        <v>6075</v>
      </c>
      <c r="BZ144" s="1894">
        <f t="shared" si="72"/>
        <v>14963</v>
      </c>
      <c r="CA144" s="1894">
        <f t="shared" si="73"/>
        <v>0</v>
      </c>
      <c r="CB144" s="1894">
        <v>144</v>
      </c>
      <c r="CC144" s="1894">
        <v>54.400000000000006</v>
      </c>
      <c r="CD144" s="1894">
        <v>115.2</v>
      </c>
      <c r="CE144" s="1894">
        <v>0.77200000000000002</v>
      </c>
      <c r="CF144" s="1894">
        <v>15.29</v>
      </c>
      <c r="CG144" s="1894">
        <v>6189</v>
      </c>
      <c r="CH144" s="1894">
        <f t="shared" si="74"/>
        <v>24284</v>
      </c>
      <c r="CI144" s="1894">
        <f t="shared" si="75"/>
        <v>0</v>
      </c>
      <c r="CJ144" s="1894">
        <v>144</v>
      </c>
      <c r="CK144" s="1894">
        <v>60</v>
      </c>
      <c r="CL144" s="1894">
        <v>115.2</v>
      </c>
      <c r="CM144" s="1894">
        <v>0.79400000000000004</v>
      </c>
      <c r="CN144" s="1894">
        <v>15.54</v>
      </c>
      <c r="CO144" s="1894">
        <v>6265</v>
      </c>
      <c r="CP144" s="1894">
        <f t="shared" si="76"/>
        <v>24192</v>
      </c>
      <c r="CQ144" s="1894">
        <f t="shared" si="77"/>
        <v>0</v>
      </c>
      <c r="CR144" s="1924">
        <v>144</v>
      </c>
      <c r="CS144" s="1924">
        <v>57.440000000000005</v>
      </c>
      <c r="CT144" s="1924">
        <v>115.2</v>
      </c>
      <c r="CU144" s="1924">
        <v>0.79249999999999998</v>
      </c>
      <c r="CV144" s="1924">
        <v>17.510000000000002</v>
      </c>
      <c r="CW144" s="1924">
        <v>7482</v>
      </c>
      <c r="CX144" s="1894">
        <f t="shared" si="78"/>
        <v>25641</v>
      </c>
      <c r="CY144" s="1894">
        <f t="shared" si="79"/>
        <v>0</v>
      </c>
    </row>
    <row r="145" spans="1:103">
      <c r="A145" s="982">
        <v>123000000059</v>
      </c>
      <c r="B145" s="1923">
        <f t="shared" si="80"/>
        <v>139</v>
      </c>
      <c r="C145" s="1895" t="s">
        <v>3036</v>
      </c>
      <c r="D145" s="1894" t="s">
        <v>524</v>
      </c>
      <c r="E145" s="1895" t="s">
        <v>2966</v>
      </c>
      <c r="F145" s="1894" t="s">
        <v>259</v>
      </c>
      <c r="G145" s="1924">
        <v>144.9</v>
      </c>
      <c r="H145" s="1894">
        <v>144.9</v>
      </c>
      <c r="I145" s="1894">
        <v>73.599999999999994</v>
      </c>
      <c r="J145" s="1894">
        <v>144.9</v>
      </c>
      <c r="K145" s="1894">
        <v>0.95579999999999998</v>
      </c>
      <c r="L145" s="1894">
        <v>0</v>
      </c>
      <c r="M145" s="1894">
        <v>14219</v>
      </c>
      <c r="N145" s="1894">
        <f t="shared" si="58"/>
        <v>31795</v>
      </c>
      <c r="O145" s="1894">
        <f t="shared" si="59"/>
        <v>0</v>
      </c>
      <c r="P145" s="1894">
        <v>144.9</v>
      </c>
      <c r="Q145" s="1894">
        <v>72.56</v>
      </c>
      <c r="R145" s="1894">
        <v>144.9</v>
      </c>
      <c r="S145" s="1894">
        <v>0.7863</v>
      </c>
      <c r="T145" s="1894">
        <v>0</v>
      </c>
      <c r="U145" s="1894">
        <v>10729</v>
      </c>
      <c r="V145" s="1894">
        <f t="shared" si="60"/>
        <v>32391</v>
      </c>
      <c r="W145" s="1894">
        <f t="shared" si="61"/>
        <v>0</v>
      </c>
      <c r="X145" s="1894">
        <v>144.9</v>
      </c>
      <c r="Y145" s="1894">
        <v>23.52</v>
      </c>
      <c r="Z145" s="1894">
        <v>144.9</v>
      </c>
      <c r="AA145" s="1894">
        <v>0.60440000000000005</v>
      </c>
      <c r="AB145" s="1894">
        <v>0</v>
      </c>
      <c r="AC145" s="1894">
        <v>1838</v>
      </c>
      <c r="AD145" s="1894">
        <f t="shared" si="62"/>
        <v>10161</v>
      </c>
      <c r="AE145" s="1894">
        <f t="shared" si="63"/>
        <v>0</v>
      </c>
      <c r="AF145" s="1894">
        <v>144.9</v>
      </c>
      <c r="AG145" s="1894">
        <v>8.5599999999999987</v>
      </c>
      <c r="AH145" s="1894">
        <v>144.9</v>
      </c>
      <c r="AI145" s="1894">
        <v>0.2228</v>
      </c>
      <c r="AJ145" s="1894">
        <v>0</v>
      </c>
      <c r="AK145" s="1894">
        <v>2831</v>
      </c>
      <c r="AL145" s="1894">
        <f t="shared" si="56"/>
        <v>3821</v>
      </c>
      <c r="AM145" s="1894">
        <f t="shared" si="57"/>
        <v>0</v>
      </c>
      <c r="AN145" s="1894">
        <v>144.9</v>
      </c>
      <c r="AO145" s="1894">
        <v>19.68</v>
      </c>
      <c r="AP145" s="1894">
        <v>144.9</v>
      </c>
      <c r="AQ145" s="1894">
        <v>0.248</v>
      </c>
      <c r="AR145" s="1894">
        <v>0</v>
      </c>
      <c r="AS145" s="1894">
        <v>2923</v>
      </c>
      <c r="AT145" s="1894">
        <f t="shared" si="64"/>
        <v>8785</v>
      </c>
      <c r="AU145" s="1894">
        <f t="shared" si="65"/>
        <v>0</v>
      </c>
      <c r="AV145" s="1894">
        <v>144.9</v>
      </c>
      <c r="AW145" s="1894">
        <v>8.32</v>
      </c>
      <c r="AX145" s="1894">
        <v>144.9</v>
      </c>
      <c r="AY145" s="1894">
        <v>0.2208</v>
      </c>
      <c r="AZ145" s="1894">
        <v>0</v>
      </c>
      <c r="BA145" s="1894">
        <v>2649</v>
      </c>
      <c r="BB145" s="1894">
        <f t="shared" si="66"/>
        <v>3594</v>
      </c>
      <c r="BC145" s="1894">
        <f t="shared" si="67"/>
        <v>0</v>
      </c>
      <c r="BD145" s="1894">
        <v>144.9</v>
      </c>
      <c r="BE145" s="1894">
        <v>27.92</v>
      </c>
      <c r="BF145" s="1894">
        <v>144.9</v>
      </c>
      <c r="BG145" s="1894">
        <v>0.58879999999999999</v>
      </c>
      <c r="BH145" s="1894">
        <v>0</v>
      </c>
      <c r="BI145" s="1894">
        <v>5266</v>
      </c>
      <c r="BJ145" s="1894">
        <f t="shared" si="68"/>
        <v>12463</v>
      </c>
      <c r="BK145" s="1894">
        <f t="shared" si="69"/>
        <v>0</v>
      </c>
      <c r="BL145" s="1894">
        <v>144.9</v>
      </c>
      <c r="BM145" s="1894">
        <v>22.56</v>
      </c>
      <c r="BN145" s="1894">
        <v>144.9</v>
      </c>
      <c r="BO145" s="1894">
        <v>0.98399999999999999</v>
      </c>
      <c r="BP145" s="1894">
        <v>0</v>
      </c>
      <c r="BQ145" s="1894">
        <v>5584</v>
      </c>
      <c r="BR145" s="1894">
        <f t="shared" si="70"/>
        <v>9746</v>
      </c>
      <c r="BS145" s="1894">
        <f t="shared" si="71"/>
        <v>0</v>
      </c>
      <c r="BT145" s="1894">
        <v>144.9</v>
      </c>
      <c r="BU145" s="1894">
        <v>29.599999999999998</v>
      </c>
      <c r="BV145" s="1894">
        <v>144.9</v>
      </c>
      <c r="BW145" s="1894">
        <v>0.83879999999999999</v>
      </c>
      <c r="BX145" s="1894">
        <v>0</v>
      </c>
      <c r="BY145" s="1894">
        <v>1582</v>
      </c>
      <c r="BZ145" s="1894">
        <f t="shared" si="72"/>
        <v>13213</v>
      </c>
      <c r="CA145" s="1894">
        <f t="shared" si="73"/>
        <v>0</v>
      </c>
      <c r="CB145" s="1894">
        <v>144.9</v>
      </c>
      <c r="CC145" s="1894">
        <v>4.6399999999999997</v>
      </c>
      <c r="CD145" s="1894">
        <v>144.9</v>
      </c>
      <c r="CE145" s="1894">
        <v>0.7923</v>
      </c>
      <c r="CF145" s="1894">
        <v>0</v>
      </c>
      <c r="CG145" s="1894">
        <v>756</v>
      </c>
      <c r="CH145" s="1894">
        <f t="shared" si="74"/>
        <v>2071</v>
      </c>
      <c r="CI145" s="1894">
        <f t="shared" si="75"/>
        <v>0</v>
      </c>
      <c r="CJ145" s="1894">
        <v>144.9</v>
      </c>
      <c r="CK145" s="1894">
        <v>9.6</v>
      </c>
      <c r="CL145" s="1894">
        <v>144.9</v>
      </c>
      <c r="CM145" s="1894">
        <v>0.94779999999999998</v>
      </c>
      <c r="CN145" s="1894">
        <v>0</v>
      </c>
      <c r="CO145" s="1894">
        <v>1304</v>
      </c>
      <c r="CP145" s="1894">
        <f t="shared" si="76"/>
        <v>3871</v>
      </c>
      <c r="CQ145" s="1894">
        <f t="shared" si="77"/>
        <v>0</v>
      </c>
      <c r="CR145" s="1924">
        <v>144.9</v>
      </c>
      <c r="CS145" s="1924">
        <v>36.96</v>
      </c>
      <c r="CT145" s="1924">
        <v>144.9</v>
      </c>
      <c r="CU145" s="1924">
        <v>0.98409999999999997</v>
      </c>
      <c r="CV145" s="1924">
        <v>0</v>
      </c>
      <c r="CW145" s="1924">
        <v>2648</v>
      </c>
      <c r="CX145" s="1894">
        <f t="shared" si="78"/>
        <v>16499</v>
      </c>
      <c r="CY145" s="1894">
        <f t="shared" si="79"/>
        <v>0</v>
      </c>
    </row>
    <row r="146" spans="1:103">
      <c r="A146" s="982">
        <v>622000000145</v>
      </c>
      <c r="B146" s="1923">
        <f t="shared" si="80"/>
        <v>140</v>
      </c>
      <c r="C146" s="1895" t="s">
        <v>3037</v>
      </c>
      <c r="D146" s="1894" t="s">
        <v>524</v>
      </c>
      <c r="E146" s="1895" t="s">
        <v>730</v>
      </c>
      <c r="F146" s="1894" t="s">
        <v>259</v>
      </c>
      <c r="G146" s="1924">
        <v>145</v>
      </c>
      <c r="H146" s="1894">
        <v>145</v>
      </c>
      <c r="I146" s="1894">
        <v>256.23999999999995</v>
      </c>
      <c r="J146" s="1894">
        <v>256.24</v>
      </c>
      <c r="K146" s="1894">
        <v>0.90980000000000005</v>
      </c>
      <c r="L146" s="1894">
        <v>82.48</v>
      </c>
      <c r="M146" s="1894">
        <v>172468</v>
      </c>
      <c r="N146" s="1894">
        <f t="shared" si="58"/>
        <v>110696</v>
      </c>
      <c r="O146" s="1894">
        <f t="shared" si="59"/>
        <v>61772</v>
      </c>
      <c r="P146" s="1894">
        <v>145</v>
      </c>
      <c r="Q146" s="1894">
        <v>255.20000000000002</v>
      </c>
      <c r="R146" s="1894">
        <v>255.2</v>
      </c>
      <c r="S146" s="1894">
        <v>0.87309999999999999</v>
      </c>
      <c r="T146" s="1894">
        <v>73.14</v>
      </c>
      <c r="U146" s="1894">
        <v>138878</v>
      </c>
      <c r="V146" s="1894">
        <f t="shared" si="60"/>
        <v>113921</v>
      </c>
      <c r="W146" s="1894">
        <f t="shared" si="61"/>
        <v>24957</v>
      </c>
      <c r="X146" s="1894">
        <v>145</v>
      </c>
      <c r="Y146" s="1894">
        <v>278.24</v>
      </c>
      <c r="Z146" s="1894">
        <v>278.24</v>
      </c>
      <c r="AA146" s="1894">
        <v>0.87039999999999995</v>
      </c>
      <c r="AB146" s="1894">
        <v>67.09</v>
      </c>
      <c r="AC146" s="1894">
        <v>134408</v>
      </c>
      <c r="AD146" s="1894">
        <f t="shared" si="62"/>
        <v>120200</v>
      </c>
      <c r="AE146" s="1894">
        <f t="shared" si="63"/>
        <v>14208</v>
      </c>
      <c r="AF146" s="1894">
        <v>145</v>
      </c>
      <c r="AG146" s="1894">
        <v>285.12</v>
      </c>
      <c r="AH146" s="1894">
        <v>285.12</v>
      </c>
      <c r="AI146" s="1894">
        <v>0.85850000000000004</v>
      </c>
      <c r="AJ146" s="1894">
        <v>63.86</v>
      </c>
      <c r="AK146" s="1894">
        <v>135470</v>
      </c>
      <c r="AL146" s="1894">
        <f t="shared" si="56"/>
        <v>127278</v>
      </c>
      <c r="AM146" s="1894">
        <f t="shared" si="57"/>
        <v>8192</v>
      </c>
      <c r="AN146" s="1894">
        <v>145</v>
      </c>
      <c r="AO146" s="1894">
        <v>299.35999999999996</v>
      </c>
      <c r="AP146" s="1894">
        <v>299.36</v>
      </c>
      <c r="AQ146" s="1894">
        <v>0.84199999999999997</v>
      </c>
      <c r="AR146" s="1894">
        <v>60.69</v>
      </c>
      <c r="AS146" s="1894">
        <v>135174</v>
      </c>
      <c r="AT146" s="1894">
        <f t="shared" si="64"/>
        <v>133634</v>
      </c>
      <c r="AU146" s="1894">
        <f t="shared" si="65"/>
        <v>1540</v>
      </c>
      <c r="AV146" s="1894">
        <v>145</v>
      </c>
      <c r="AW146" s="1894">
        <v>288</v>
      </c>
      <c r="AX146" s="1894">
        <v>288</v>
      </c>
      <c r="AY146" s="1894">
        <v>0.84799999999999998</v>
      </c>
      <c r="AZ146" s="1894">
        <v>68.209999999999994</v>
      </c>
      <c r="BA146" s="1894">
        <v>141448</v>
      </c>
      <c r="BB146" s="1894">
        <f t="shared" si="66"/>
        <v>124416</v>
      </c>
      <c r="BC146" s="1894">
        <f t="shared" si="67"/>
        <v>17032</v>
      </c>
      <c r="BD146" s="1894">
        <v>145</v>
      </c>
      <c r="BE146" s="1894">
        <v>289.44</v>
      </c>
      <c r="BF146" s="1894">
        <v>289.44</v>
      </c>
      <c r="BG146" s="1894">
        <v>0.88400000000000001</v>
      </c>
      <c r="BH146" s="1894">
        <v>71</v>
      </c>
      <c r="BI146" s="1894">
        <v>152896</v>
      </c>
      <c r="BJ146" s="1894">
        <f t="shared" si="68"/>
        <v>129206</v>
      </c>
      <c r="BK146" s="1894">
        <f t="shared" si="69"/>
        <v>23690</v>
      </c>
      <c r="BL146" s="1894">
        <v>145</v>
      </c>
      <c r="BM146" s="1894">
        <v>290.72000000000003</v>
      </c>
      <c r="BN146" s="1894">
        <v>290.72000000000003</v>
      </c>
      <c r="BO146" s="1894">
        <v>0.84279999999999999</v>
      </c>
      <c r="BP146" s="1894">
        <v>74.78</v>
      </c>
      <c r="BQ146" s="1894">
        <v>156532</v>
      </c>
      <c r="BR146" s="1894">
        <f t="shared" si="70"/>
        <v>125591</v>
      </c>
      <c r="BS146" s="1894">
        <f t="shared" si="71"/>
        <v>30941</v>
      </c>
      <c r="BT146" s="1894">
        <v>145</v>
      </c>
      <c r="BU146" s="1894">
        <v>294.72000000000003</v>
      </c>
      <c r="BV146" s="1894">
        <v>294.72000000000003</v>
      </c>
      <c r="BW146" s="1894">
        <v>0.83409999999999995</v>
      </c>
      <c r="BX146" s="1894">
        <v>77.34</v>
      </c>
      <c r="BY146" s="1894">
        <v>169580</v>
      </c>
      <c r="BZ146" s="1894">
        <f t="shared" si="72"/>
        <v>131563</v>
      </c>
      <c r="CA146" s="1894">
        <f t="shared" si="73"/>
        <v>38017</v>
      </c>
      <c r="CB146" s="1894">
        <v>145</v>
      </c>
      <c r="CC146" s="1894">
        <v>298.88</v>
      </c>
      <c r="CD146" s="1894">
        <v>298.88</v>
      </c>
      <c r="CE146" s="1894">
        <v>0.83979999999999999</v>
      </c>
      <c r="CF146" s="1894">
        <v>72.819999999999993</v>
      </c>
      <c r="CG146" s="1894">
        <v>161938</v>
      </c>
      <c r="CH146" s="1894">
        <f t="shared" si="74"/>
        <v>133420</v>
      </c>
      <c r="CI146" s="1894">
        <f t="shared" si="75"/>
        <v>28518</v>
      </c>
      <c r="CJ146" s="1894">
        <v>145</v>
      </c>
      <c r="CK146" s="1894">
        <v>280.32</v>
      </c>
      <c r="CL146" s="1894">
        <v>280.32</v>
      </c>
      <c r="CM146" s="1894">
        <v>0.86639999999999995</v>
      </c>
      <c r="CN146" s="1894">
        <v>75.930000000000007</v>
      </c>
      <c r="CO146" s="1894">
        <v>143042</v>
      </c>
      <c r="CP146" s="1894">
        <f t="shared" si="76"/>
        <v>113025</v>
      </c>
      <c r="CQ146" s="1894">
        <f t="shared" si="77"/>
        <v>30017</v>
      </c>
      <c r="CR146" s="1924">
        <v>145</v>
      </c>
      <c r="CS146" s="1924">
        <v>274.88</v>
      </c>
      <c r="CT146" s="1924">
        <v>274.88</v>
      </c>
      <c r="CU146" s="1924">
        <v>0.86680000000000001</v>
      </c>
      <c r="CV146" s="1924">
        <v>78.5</v>
      </c>
      <c r="CW146" s="1924">
        <v>160550</v>
      </c>
      <c r="CX146" s="1894">
        <f t="shared" si="78"/>
        <v>122706</v>
      </c>
      <c r="CY146" s="1894">
        <f t="shared" si="79"/>
        <v>37844</v>
      </c>
    </row>
    <row r="147" spans="1:103">
      <c r="A147" s="982">
        <v>122000000075</v>
      </c>
      <c r="B147" s="1923">
        <f t="shared" si="80"/>
        <v>141</v>
      </c>
      <c r="C147" s="1895" t="s">
        <v>3639</v>
      </c>
      <c r="D147" s="1894" t="s">
        <v>2930</v>
      </c>
      <c r="E147" s="1895" t="s">
        <v>2966</v>
      </c>
      <c r="F147" s="1894" t="s">
        <v>259</v>
      </c>
      <c r="G147" s="1894">
        <v>145</v>
      </c>
      <c r="H147" s="1894">
        <v>145</v>
      </c>
      <c r="I147" s="1894">
        <v>0</v>
      </c>
      <c r="J147" s="1894">
        <v>145</v>
      </c>
      <c r="K147" s="1894">
        <v>0</v>
      </c>
      <c r="L147" s="1894">
        <v>0</v>
      </c>
      <c r="M147" s="1925">
        <v>0</v>
      </c>
      <c r="N147" s="1894">
        <f t="shared" si="58"/>
        <v>0</v>
      </c>
      <c r="O147" s="1894">
        <f t="shared" si="59"/>
        <v>0</v>
      </c>
      <c r="P147" s="1894">
        <v>145</v>
      </c>
      <c r="Q147" s="1894">
        <v>0</v>
      </c>
      <c r="R147" s="1894">
        <v>145</v>
      </c>
      <c r="S147" s="1894">
        <v>0</v>
      </c>
      <c r="T147" s="1894">
        <v>0</v>
      </c>
      <c r="U147" s="1894">
        <v>0</v>
      </c>
      <c r="V147" s="1894">
        <f t="shared" si="60"/>
        <v>0</v>
      </c>
      <c r="W147" s="1894">
        <f t="shared" si="61"/>
        <v>0</v>
      </c>
      <c r="X147" s="1894">
        <v>145</v>
      </c>
      <c r="Y147" s="1894">
        <v>0</v>
      </c>
      <c r="Z147" s="1894">
        <v>0</v>
      </c>
      <c r="AA147" s="1894">
        <v>0</v>
      </c>
      <c r="AB147" s="1894">
        <v>0</v>
      </c>
      <c r="AC147" s="1894">
        <v>0</v>
      </c>
      <c r="AD147" s="1894">
        <f t="shared" si="62"/>
        <v>0</v>
      </c>
      <c r="AE147" s="1894">
        <f t="shared" si="63"/>
        <v>0</v>
      </c>
      <c r="AF147" s="1894">
        <v>145</v>
      </c>
      <c r="AG147" s="1894">
        <v>0</v>
      </c>
      <c r="AH147" s="1894">
        <v>0</v>
      </c>
      <c r="AI147" s="1894">
        <v>0</v>
      </c>
      <c r="AJ147" s="1894">
        <v>0</v>
      </c>
      <c r="AK147" s="1894">
        <v>0</v>
      </c>
      <c r="AL147" s="1894">
        <v>0</v>
      </c>
      <c r="AM147" s="1894">
        <v>0</v>
      </c>
      <c r="AN147" s="1894">
        <v>145</v>
      </c>
      <c r="AO147" s="1894">
        <v>0</v>
      </c>
      <c r="AP147" s="1894">
        <v>0</v>
      </c>
      <c r="AQ147" s="1894">
        <v>0</v>
      </c>
      <c r="AR147" s="1894">
        <v>0</v>
      </c>
      <c r="AS147" s="1894">
        <v>0</v>
      </c>
      <c r="AT147" s="1894">
        <f t="shared" si="64"/>
        <v>0</v>
      </c>
      <c r="AU147" s="1894">
        <f t="shared" si="65"/>
        <v>0</v>
      </c>
      <c r="AV147" s="1894">
        <v>145</v>
      </c>
      <c r="AW147" s="1894">
        <v>0</v>
      </c>
      <c r="AX147" s="1894">
        <v>0</v>
      </c>
      <c r="AY147" s="1894">
        <v>0</v>
      </c>
      <c r="AZ147" s="1894">
        <v>0</v>
      </c>
      <c r="BA147" s="1894">
        <v>0</v>
      </c>
      <c r="BB147" s="1894">
        <f t="shared" si="66"/>
        <v>0</v>
      </c>
      <c r="BC147" s="1894">
        <f t="shared" si="67"/>
        <v>0</v>
      </c>
      <c r="BD147" s="1894">
        <v>0</v>
      </c>
      <c r="BE147" s="1894">
        <v>0</v>
      </c>
      <c r="BF147" s="1894">
        <v>0</v>
      </c>
      <c r="BG147" s="1894">
        <v>0</v>
      </c>
      <c r="BH147" s="1894">
        <v>0</v>
      </c>
      <c r="BI147" s="1894">
        <v>0</v>
      </c>
      <c r="BJ147" s="1894">
        <f t="shared" si="68"/>
        <v>0</v>
      </c>
      <c r="BK147" s="1894">
        <f t="shared" si="69"/>
        <v>0</v>
      </c>
      <c r="BL147" s="1894">
        <v>0</v>
      </c>
      <c r="BM147" s="1894">
        <v>0</v>
      </c>
      <c r="BN147" s="1894">
        <v>0</v>
      </c>
      <c r="BO147" s="1894">
        <v>0</v>
      </c>
      <c r="BP147" s="1894">
        <v>0</v>
      </c>
      <c r="BQ147" s="1894">
        <v>0</v>
      </c>
      <c r="BR147" s="1894">
        <f t="shared" si="70"/>
        <v>0</v>
      </c>
      <c r="BS147" s="1894">
        <f t="shared" si="71"/>
        <v>0</v>
      </c>
      <c r="BT147" s="1894">
        <v>0</v>
      </c>
      <c r="BU147" s="1894">
        <v>0</v>
      </c>
      <c r="BV147" s="1894">
        <v>0</v>
      </c>
      <c r="BW147" s="1894">
        <v>0</v>
      </c>
      <c r="BX147" s="1894">
        <v>0</v>
      </c>
      <c r="BY147" s="1894">
        <v>0</v>
      </c>
      <c r="BZ147" s="1894">
        <f t="shared" si="72"/>
        <v>0</v>
      </c>
      <c r="CA147" s="1894">
        <f t="shared" si="73"/>
        <v>0</v>
      </c>
      <c r="CB147" s="1894">
        <v>145</v>
      </c>
      <c r="CC147" s="1894">
        <v>0</v>
      </c>
      <c r="CD147" s="1894">
        <v>0</v>
      </c>
      <c r="CE147" s="1894">
        <v>0</v>
      </c>
      <c r="CF147" s="1894">
        <v>0</v>
      </c>
      <c r="CG147" s="1894">
        <v>0</v>
      </c>
      <c r="CH147" s="1894">
        <f t="shared" si="74"/>
        <v>0</v>
      </c>
      <c r="CI147" s="1894">
        <f t="shared" si="75"/>
        <v>0</v>
      </c>
      <c r="CJ147" s="1894">
        <v>0</v>
      </c>
      <c r="CK147" s="1894">
        <v>0</v>
      </c>
      <c r="CL147" s="1894">
        <v>0</v>
      </c>
      <c r="CM147" s="1894">
        <v>0</v>
      </c>
      <c r="CN147" s="1894">
        <v>0</v>
      </c>
      <c r="CO147" s="1894">
        <v>0</v>
      </c>
      <c r="CP147" s="1894">
        <f t="shared" si="76"/>
        <v>0</v>
      </c>
      <c r="CQ147" s="1894">
        <f t="shared" si="77"/>
        <v>0</v>
      </c>
      <c r="CR147" s="1894">
        <v>0</v>
      </c>
      <c r="CS147" s="1894">
        <v>0</v>
      </c>
      <c r="CT147" s="1894">
        <v>0</v>
      </c>
      <c r="CU147" s="1894">
        <v>0</v>
      </c>
      <c r="CV147" s="1894">
        <v>0</v>
      </c>
      <c r="CW147" s="1894">
        <v>0</v>
      </c>
      <c r="CX147" s="1894">
        <f t="shared" si="78"/>
        <v>0</v>
      </c>
      <c r="CY147" s="1894">
        <f t="shared" si="79"/>
        <v>0</v>
      </c>
    </row>
    <row r="148" spans="1:103">
      <c r="A148" s="982">
        <v>611000000027</v>
      </c>
      <c r="B148" s="1923">
        <f t="shared" si="80"/>
        <v>142</v>
      </c>
      <c r="C148" s="1895" t="s">
        <v>3038</v>
      </c>
      <c r="D148" s="1894" t="s">
        <v>524</v>
      </c>
      <c r="E148" s="1895" t="s">
        <v>636</v>
      </c>
      <c r="F148" s="1894" t="s">
        <v>259</v>
      </c>
      <c r="G148" s="1924">
        <v>148</v>
      </c>
      <c r="H148" s="1894">
        <v>148</v>
      </c>
      <c r="I148" s="1894">
        <v>51</v>
      </c>
      <c r="J148" s="1894">
        <v>118.4</v>
      </c>
      <c r="K148" s="1894">
        <v>0.94630000000000003</v>
      </c>
      <c r="L148" s="1894">
        <v>24.62</v>
      </c>
      <c r="M148" s="1894">
        <v>9040</v>
      </c>
      <c r="N148" s="1894">
        <f t="shared" si="58"/>
        <v>22032</v>
      </c>
      <c r="O148" s="1894">
        <f t="shared" si="59"/>
        <v>0</v>
      </c>
      <c r="P148" s="1894">
        <v>148</v>
      </c>
      <c r="Q148" s="1894">
        <v>44</v>
      </c>
      <c r="R148" s="1894">
        <v>118.4</v>
      </c>
      <c r="S148" s="1894">
        <v>0.96640000000000004</v>
      </c>
      <c r="T148" s="1894">
        <v>23.7</v>
      </c>
      <c r="U148" s="1894">
        <v>7760</v>
      </c>
      <c r="V148" s="1894">
        <f t="shared" si="60"/>
        <v>19642</v>
      </c>
      <c r="W148" s="1894">
        <f t="shared" si="61"/>
        <v>0</v>
      </c>
      <c r="X148" s="1894">
        <v>148</v>
      </c>
      <c r="Y148" s="1894">
        <v>63</v>
      </c>
      <c r="Z148" s="1894">
        <v>118.4</v>
      </c>
      <c r="AA148" s="1894">
        <v>0.99580000000000002</v>
      </c>
      <c r="AB148" s="1894">
        <v>21.05</v>
      </c>
      <c r="AC148" s="1894">
        <v>9550</v>
      </c>
      <c r="AD148" s="1894">
        <f t="shared" si="62"/>
        <v>27216</v>
      </c>
      <c r="AE148" s="1894">
        <f t="shared" si="63"/>
        <v>0</v>
      </c>
      <c r="AF148" s="1894">
        <v>148</v>
      </c>
      <c r="AG148" s="1894">
        <v>135</v>
      </c>
      <c r="AH148" s="1894">
        <v>135</v>
      </c>
      <c r="AI148" s="1894">
        <v>0.995</v>
      </c>
      <c r="AJ148" s="1894">
        <v>10.039999999999999</v>
      </c>
      <c r="AK148" s="1894">
        <v>10085</v>
      </c>
      <c r="AL148" s="1894">
        <f t="shared" ref="AL148:AL176" si="81">+ROUND((24*31*0.6*AG148),0)</f>
        <v>60264</v>
      </c>
      <c r="AM148" s="1894">
        <f t="shared" ref="AM148:AM176" si="82">+MAX((AK148-AL148),0)</f>
        <v>0</v>
      </c>
      <c r="AN148" s="1894">
        <v>148</v>
      </c>
      <c r="AO148" s="1894">
        <v>31</v>
      </c>
      <c r="AP148" s="1894">
        <v>118.4</v>
      </c>
      <c r="AQ148" s="1894">
        <v>0.99650000000000005</v>
      </c>
      <c r="AR148" s="1894">
        <v>37.369999999999997</v>
      </c>
      <c r="AS148" s="1894">
        <v>8620</v>
      </c>
      <c r="AT148" s="1894">
        <f t="shared" si="64"/>
        <v>13838</v>
      </c>
      <c r="AU148" s="1894">
        <f t="shared" si="65"/>
        <v>0</v>
      </c>
      <c r="AV148" s="1894">
        <v>148</v>
      </c>
      <c r="AW148" s="1894">
        <v>45</v>
      </c>
      <c r="AX148" s="1894">
        <v>118.4</v>
      </c>
      <c r="AY148" s="1894">
        <v>0.99509999999999998</v>
      </c>
      <c r="AZ148" s="1894">
        <v>25.45</v>
      </c>
      <c r="BA148" s="1894">
        <v>8245</v>
      </c>
      <c r="BB148" s="1894">
        <f t="shared" si="66"/>
        <v>19440</v>
      </c>
      <c r="BC148" s="1894">
        <f t="shared" si="67"/>
        <v>0</v>
      </c>
      <c r="BD148" s="1894">
        <v>148</v>
      </c>
      <c r="BE148" s="1894">
        <v>81</v>
      </c>
      <c r="BF148" s="1894">
        <v>118.4</v>
      </c>
      <c r="BG148" s="1894">
        <v>0.95169999999999999</v>
      </c>
      <c r="BH148" s="1894">
        <v>14.44</v>
      </c>
      <c r="BI148" s="1894">
        <v>8700</v>
      </c>
      <c r="BJ148" s="1894">
        <f t="shared" si="68"/>
        <v>36158</v>
      </c>
      <c r="BK148" s="1894">
        <f t="shared" si="69"/>
        <v>0</v>
      </c>
      <c r="BL148" s="1894">
        <v>148</v>
      </c>
      <c r="BM148" s="1894">
        <v>33</v>
      </c>
      <c r="BN148" s="1894">
        <v>118.4</v>
      </c>
      <c r="BO148" s="1894">
        <v>0.94159999999999999</v>
      </c>
      <c r="BP148" s="1894">
        <v>33.880000000000003</v>
      </c>
      <c r="BQ148" s="1894">
        <v>8050</v>
      </c>
      <c r="BR148" s="1894">
        <f t="shared" si="70"/>
        <v>14256</v>
      </c>
      <c r="BS148" s="1894">
        <f t="shared" si="71"/>
        <v>0</v>
      </c>
      <c r="BT148" s="1894">
        <v>148</v>
      </c>
      <c r="BU148" s="1894">
        <v>37</v>
      </c>
      <c r="BV148" s="1894">
        <v>118.4</v>
      </c>
      <c r="BW148" s="1894">
        <v>0.92310000000000003</v>
      </c>
      <c r="BX148" s="1894">
        <v>32.840000000000003</v>
      </c>
      <c r="BY148" s="1894">
        <v>9040</v>
      </c>
      <c r="BZ148" s="1894">
        <f t="shared" si="72"/>
        <v>16517</v>
      </c>
      <c r="CA148" s="1894">
        <f t="shared" si="73"/>
        <v>0</v>
      </c>
      <c r="CB148" s="1894">
        <v>148</v>
      </c>
      <c r="CC148" s="1894">
        <v>150</v>
      </c>
      <c r="CD148" s="1894">
        <v>150</v>
      </c>
      <c r="CE148" s="1894">
        <v>0.97840000000000005</v>
      </c>
      <c r="CF148" s="1894">
        <v>18.940000000000001</v>
      </c>
      <c r="CG148" s="1894">
        <v>21135</v>
      </c>
      <c r="CH148" s="1894">
        <f t="shared" si="74"/>
        <v>66960</v>
      </c>
      <c r="CI148" s="1894">
        <f t="shared" si="75"/>
        <v>0</v>
      </c>
      <c r="CJ148" s="1894">
        <v>148</v>
      </c>
      <c r="CK148" s="1894">
        <v>152</v>
      </c>
      <c r="CL148" s="1894">
        <v>152</v>
      </c>
      <c r="CM148" s="1894">
        <v>0.98109999999999997</v>
      </c>
      <c r="CN148" s="1894">
        <v>25.75</v>
      </c>
      <c r="CO148" s="1894">
        <v>26300</v>
      </c>
      <c r="CP148" s="1894">
        <f t="shared" si="76"/>
        <v>61286</v>
      </c>
      <c r="CQ148" s="1894">
        <f t="shared" si="77"/>
        <v>0</v>
      </c>
      <c r="CR148" s="1924">
        <v>148</v>
      </c>
      <c r="CS148" s="1924">
        <v>83</v>
      </c>
      <c r="CT148" s="1924">
        <v>118.4</v>
      </c>
      <c r="CU148" s="1924">
        <v>0.9657</v>
      </c>
      <c r="CV148" s="1924">
        <v>33.61</v>
      </c>
      <c r="CW148" s="1924">
        <v>20755</v>
      </c>
      <c r="CX148" s="1894">
        <f t="shared" si="78"/>
        <v>37051</v>
      </c>
      <c r="CY148" s="1894">
        <f t="shared" si="79"/>
        <v>0</v>
      </c>
    </row>
    <row r="149" spans="1:103">
      <c r="A149" s="982">
        <v>121000000045</v>
      </c>
      <c r="B149" s="1923">
        <f t="shared" si="80"/>
        <v>143</v>
      </c>
      <c r="C149" s="1895" t="s">
        <v>3039</v>
      </c>
      <c r="D149" s="1894" t="s">
        <v>524</v>
      </c>
      <c r="E149" s="1895" t="s">
        <v>737</v>
      </c>
      <c r="F149" s="1894" t="s">
        <v>259</v>
      </c>
      <c r="G149" s="1924">
        <v>149</v>
      </c>
      <c r="H149" s="1894">
        <v>149</v>
      </c>
      <c r="I149" s="1894">
        <v>29.2</v>
      </c>
      <c r="J149" s="1894">
        <v>119.2</v>
      </c>
      <c r="K149" s="1894">
        <v>0.99590000000000001</v>
      </c>
      <c r="L149" s="1894">
        <v>23.73</v>
      </c>
      <c r="M149" s="1894">
        <v>4988</v>
      </c>
      <c r="N149" s="1894">
        <f t="shared" si="58"/>
        <v>12614</v>
      </c>
      <c r="O149" s="1894">
        <f t="shared" si="59"/>
        <v>0</v>
      </c>
      <c r="P149" s="1894">
        <v>149</v>
      </c>
      <c r="Q149" s="1894">
        <v>26.88</v>
      </c>
      <c r="R149" s="1894">
        <v>119.2</v>
      </c>
      <c r="S149" s="1894">
        <v>0.98960000000000004</v>
      </c>
      <c r="T149" s="1894">
        <v>23.21</v>
      </c>
      <c r="U149" s="1894">
        <v>4641</v>
      </c>
      <c r="V149" s="1894">
        <f t="shared" si="60"/>
        <v>11999</v>
      </c>
      <c r="W149" s="1894">
        <f t="shared" si="61"/>
        <v>0</v>
      </c>
      <c r="X149" s="1894">
        <v>149</v>
      </c>
      <c r="Y149" s="1894">
        <v>91.44</v>
      </c>
      <c r="Z149" s="1894">
        <v>119.2</v>
      </c>
      <c r="AA149" s="1894">
        <v>0.99339999999999995</v>
      </c>
      <c r="AB149" s="1894">
        <v>7.7</v>
      </c>
      <c r="AC149" s="1894">
        <v>5068</v>
      </c>
      <c r="AD149" s="1894">
        <f t="shared" si="62"/>
        <v>39502</v>
      </c>
      <c r="AE149" s="1894">
        <f t="shared" si="63"/>
        <v>0</v>
      </c>
      <c r="AF149" s="1894">
        <v>149</v>
      </c>
      <c r="AG149" s="1894">
        <v>42.96</v>
      </c>
      <c r="AH149" s="1894">
        <v>119.2</v>
      </c>
      <c r="AI149" s="1894">
        <v>0.99150000000000005</v>
      </c>
      <c r="AJ149" s="1894">
        <v>22.12</v>
      </c>
      <c r="AK149" s="1894">
        <v>7071</v>
      </c>
      <c r="AL149" s="1894">
        <f t="shared" si="81"/>
        <v>19177</v>
      </c>
      <c r="AM149" s="1894">
        <f t="shared" si="82"/>
        <v>0</v>
      </c>
      <c r="AN149" s="1894">
        <v>149</v>
      </c>
      <c r="AO149" s="1894">
        <v>43.199999999999996</v>
      </c>
      <c r="AP149" s="1894">
        <v>119.2</v>
      </c>
      <c r="AQ149" s="1894">
        <v>0.98860000000000003</v>
      </c>
      <c r="AR149" s="1894">
        <v>22.19</v>
      </c>
      <c r="AS149" s="1894">
        <v>7131</v>
      </c>
      <c r="AT149" s="1894">
        <f t="shared" si="64"/>
        <v>19284</v>
      </c>
      <c r="AU149" s="1894">
        <f t="shared" si="65"/>
        <v>0</v>
      </c>
      <c r="AV149" s="1894">
        <v>149</v>
      </c>
      <c r="AW149" s="1894">
        <v>40.559999999999995</v>
      </c>
      <c r="AX149" s="1894">
        <v>119.2</v>
      </c>
      <c r="AY149" s="1894">
        <v>0.99619999999999997</v>
      </c>
      <c r="AZ149" s="1894">
        <v>27.31</v>
      </c>
      <c r="BA149" s="1894">
        <v>7974</v>
      </c>
      <c r="BB149" s="1894">
        <f t="shared" si="66"/>
        <v>17522</v>
      </c>
      <c r="BC149" s="1894">
        <f t="shared" si="67"/>
        <v>0</v>
      </c>
      <c r="BD149" s="1894">
        <v>149</v>
      </c>
      <c r="BE149" s="1894">
        <v>38.879999999999995</v>
      </c>
      <c r="BF149" s="1894">
        <v>119.2</v>
      </c>
      <c r="BG149" s="1894">
        <v>0.97960000000000003</v>
      </c>
      <c r="BH149" s="1894">
        <v>21.86</v>
      </c>
      <c r="BI149" s="1894">
        <v>6324</v>
      </c>
      <c r="BJ149" s="1894">
        <f t="shared" si="68"/>
        <v>17356</v>
      </c>
      <c r="BK149" s="1894">
        <f t="shared" si="69"/>
        <v>0</v>
      </c>
      <c r="BL149" s="1894">
        <v>149</v>
      </c>
      <c r="BM149" s="1894">
        <v>27.839999999999996</v>
      </c>
      <c r="BN149" s="1894">
        <v>119.2</v>
      </c>
      <c r="BO149" s="1894">
        <v>0.91710000000000003</v>
      </c>
      <c r="BP149" s="1894">
        <v>22.93</v>
      </c>
      <c r="BQ149" s="1894">
        <v>4596</v>
      </c>
      <c r="BR149" s="1894">
        <f t="shared" si="70"/>
        <v>12027</v>
      </c>
      <c r="BS149" s="1894">
        <f t="shared" si="71"/>
        <v>0</v>
      </c>
      <c r="BT149" s="1894">
        <v>149</v>
      </c>
      <c r="BU149" s="1894">
        <v>12.96</v>
      </c>
      <c r="BV149" s="1894">
        <v>119.2</v>
      </c>
      <c r="BW149" s="1894">
        <v>0.89749999999999996</v>
      </c>
      <c r="BX149" s="1894">
        <v>38.58</v>
      </c>
      <c r="BY149" s="1894">
        <v>3720</v>
      </c>
      <c r="BZ149" s="1894">
        <f t="shared" si="72"/>
        <v>5785</v>
      </c>
      <c r="CA149" s="1894">
        <f t="shared" si="73"/>
        <v>0</v>
      </c>
      <c r="CB149" s="1894">
        <v>149</v>
      </c>
      <c r="CC149" s="1894">
        <v>12.24</v>
      </c>
      <c r="CD149" s="1894">
        <v>119.2</v>
      </c>
      <c r="CE149" s="1894">
        <v>0.92090000000000005</v>
      </c>
      <c r="CF149" s="1894">
        <v>34.99</v>
      </c>
      <c r="CG149" s="1894">
        <v>3186</v>
      </c>
      <c r="CH149" s="1894">
        <f t="shared" si="74"/>
        <v>5464</v>
      </c>
      <c r="CI149" s="1894">
        <f t="shared" si="75"/>
        <v>0</v>
      </c>
      <c r="CJ149" s="1894">
        <v>149</v>
      </c>
      <c r="CK149" s="1894">
        <v>26.16</v>
      </c>
      <c r="CL149" s="1894">
        <v>119.2</v>
      </c>
      <c r="CM149" s="1894">
        <v>0.95089999999999997</v>
      </c>
      <c r="CN149" s="1894">
        <v>22.63</v>
      </c>
      <c r="CO149" s="1894">
        <v>3978</v>
      </c>
      <c r="CP149" s="1894">
        <f t="shared" si="76"/>
        <v>10548</v>
      </c>
      <c r="CQ149" s="1894">
        <f t="shared" si="77"/>
        <v>0</v>
      </c>
      <c r="CR149" s="1924">
        <v>149</v>
      </c>
      <c r="CS149" s="1924">
        <v>28.080000000000002</v>
      </c>
      <c r="CT149" s="1924">
        <v>119.2</v>
      </c>
      <c r="CU149" s="1924">
        <v>0.98350000000000004</v>
      </c>
      <c r="CV149" s="1924">
        <v>27.9</v>
      </c>
      <c r="CW149" s="1924">
        <v>5829</v>
      </c>
      <c r="CX149" s="1894">
        <f t="shared" si="78"/>
        <v>12535</v>
      </c>
      <c r="CY149" s="1894">
        <f t="shared" si="79"/>
        <v>0</v>
      </c>
    </row>
    <row r="150" spans="1:103">
      <c r="A150" s="982">
        <v>121000000041</v>
      </c>
      <c r="B150" s="1923">
        <f t="shared" si="80"/>
        <v>144</v>
      </c>
      <c r="C150" s="1895" t="s">
        <v>2949</v>
      </c>
      <c r="D150" s="1894" t="s">
        <v>524</v>
      </c>
      <c r="E150" s="1895" t="s">
        <v>541</v>
      </c>
      <c r="F150" s="1894" t="s">
        <v>259</v>
      </c>
      <c r="G150" s="1924">
        <v>150</v>
      </c>
      <c r="H150" s="1894">
        <v>150</v>
      </c>
      <c r="I150" s="1894">
        <v>2.6</v>
      </c>
      <c r="J150" s="1894">
        <v>120</v>
      </c>
      <c r="K150" s="1894">
        <v>1.0832999999999999</v>
      </c>
      <c r="L150" s="1894">
        <v>0.64</v>
      </c>
      <c r="M150" s="1894">
        <v>12</v>
      </c>
      <c r="N150" s="1894">
        <f t="shared" si="58"/>
        <v>1123</v>
      </c>
      <c r="O150" s="1894">
        <f t="shared" si="59"/>
        <v>0</v>
      </c>
      <c r="P150" s="1894">
        <v>150</v>
      </c>
      <c r="Q150" s="1894">
        <v>117.2</v>
      </c>
      <c r="R150" s="1894">
        <v>120</v>
      </c>
      <c r="S150" s="1894">
        <v>0.98309999999999997</v>
      </c>
      <c r="T150" s="1894">
        <v>24.71</v>
      </c>
      <c r="U150" s="1894">
        <v>18072</v>
      </c>
      <c r="V150" s="1894">
        <f t="shared" si="60"/>
        <v>52318</v>
      </c>
      <c r="W150" s="1894">
        <f t="shared" si="61"/>
        <v>0</v>
      </c>
      <c r="X150" s="1894">
        <v>150</v>
      </c>
      <c r="Y150" s="1894">
        <v>79</v>
      </c>
      <c r="Z150" s="1894">
        <v>120</v>
      </c>
      <c r="AA150" s="1894">
        <v>0.98129999999999995</v>
      </c>
      <c r="AB150" s="1894">
        <v>67.709999999999994</v>
      </c>
      <c r="AC150" s="1894">
        <v>44930</v>
      </c>
      <c r="AD150" s="1894">
        <f t="shared" si="62"/>
        <v>34128</v>
      </c>
      <c r="AE150" s="1894">
        <f t="shared" si="63"/>
        <v>10802</v>
      </c>
      <c r="AF150" s="1894">
        <v>150</v>
      </c>
      <c r="AG150" s="1894">
        <v>79.8</v>
      </c>
      <c r="AH150" s="1894">
        <v>120</v>
      </c>
      <c r="AI150" s="1894">
        <v>0.9728</v>
      </c>
      <c r="AJ150" s="1894">
        <v>53.81</v>
      </c>
      <c r="AK150" s="1894">
        <v>31945</v>
      </c>
      <c r="AL150" s="1894">
        <f t="shared" si="81"/>
        <v>35623</v>
      </c>
      <c r="AM150" s="1894">
        <f t="shared" si="82"/>
        <v>0</v>
      </c>
      <c r="AN150" s="1894">
        <v>150</v>
      </c>
      <c r="AO150" s="1894">
        <v>114.2</v>
      </c>
      <c r="AP150" s="1894">
        <v>120</v>
      </c>
      <c r="AQ150" s="1894">
        <v>0.94979999999999998</v>
      </c>
      <c r="AR150" s="1894">
        <v>26.72</v>
      </c>
      <c r="AS150" s="1894">
        <v>22702</v>
      </c>
      <c r="AT150" s="1894">
        <f t="shared" si="64"/>
        <v>50979</v>
      </c>
      <c r="AU150" s="1894">
        <f t="shared" si="65"/>
        <v>0</v>
      </c>
      <c r="AV150" s="1894">
        <v>150</v>
      </c>
      <c r="AW150" s="1894">
        <v>72.400000000000006</v>
      </c>
      <c r="AX150" s="1894">
        <v>120</v>
      </c>
      <c r="AY150" s="1894">
        <v>0.98760000000000003</v>
      </c>
      <c r="AZ150" s="1894">
        <v>47.03</v>
      </c>
      <c r="BA150" s="1894">
        <v>24518</v>
      </c>
      <c r="BB150" s="1894">
        <f t="shared" si="66"/>
        <v>31277</v>
      </c>
      <c r="BC150" s="1894">
        <f t="shared" si="67"/>
        <v>0</v>
      </c>
      <c r="BD150" s="1894">
        <v>150</v>
      </c>
      <c r="BE150" s="1894">
        <v>72.400000000000006</v>
      </c>
      <c r="BF150" s="1894">
        <v>120</v>
      </c>
      <c r="BG150" s="1894">
        <v>0.97360000000000002</v>
      </c>
      <c r="BH150" s="1894">
        <v>58.87</v>
      </c>
      <c r="BI150" s="1894">
        <v>31712</v>
      </c>
      <c r="BJ150" s="1894">
        <f t="shared" si="68"/>
        <v>32319</v>
      </c>
      <c r="BK150" s="1894">
        <f t="shared" si="69"/>
        <v>0</v>
      </c>
      <c r="BL150" s="1894">
        <v>150</v>
      </c>
      <c r="BM150" s="1894">
        <v>66.8</v>
      </c>
      <c r="BN150" s="1894">
        <v>120</v>
      </c>
      <c r="BO150" s="1894">
        <v>0.82279999999999998</v>
      </c>
      <c r="BP150" s="1894">
        <v>20.85</v>
      </c>
      <c r="BQ150" s="1894">
        <v>10028</v>
      </c>
      <c r="BR150" s="1894">
        <f t="shared" si="70"/>
        <v>28858</v>
      </c>
      <c r="BS150" s="1894">
        <f t="shared" si="71"/>
        <v>0</v>
      </c>
      <c r="BT150" s="1894">
        <v>150</v>
      </c>
      <c r="BU150" s="1894">
        <v>14.200000000000001</v>
      </c>
      <c r="BV150" s="1894">
        <v>120</v>
      </c>
      <c r="BW150" s="1894">
        <v>0.26829999999999998</v>
      </c>
      <c r="BX150" s="1894">
        <v>17.39</v>
      </c>
      <c r="BY150" s="1894">
        <v>1837</v>
      </c>
      <c r="BZ150" s="1894">
        <f t="shared" si="72"/>
        <v>6339</v>
      </c>
      <c r="CA150" s="1894">
        <f t="shared" si="73"/>
        <v>0</v>
      </c>
      <c r="CB150" s="1894">
        <v>150</v>
      </c>
      <c r="CC150" s="1894">
        <v>69.599999999999994</v>
      </c>
      <c r="CD150" s="1894">
        <v>120</v>
      </c>
      <c r="CE150" s="1894">
        <v>0.995</v>
      </c>
      <c r="CF150" s="1894">
        <v>16.649999999999999</v>
      </c>
      <c r="CG150" s="1894">
        <v>8620</v>
      </c>
      <c r="CH150" s="1894">
        <f t="shared" si="74"/>
        <v>31069</v>
      </c>
      <c r="CI150" s="1894">
        <f t="shared" si="75"/>
        <v>0</v>
      </c>
      <c r="CJ150" s="1894">
        <v>150</v>
      </c>
      <c r="CK150" s="1894">
        <v>65.199999999999989</v>
      </c>
      <c r="CL150" s="1894">
        <v>120</v>
      </c>
      <c r="CM150" s="1894">
        <v>0.99739999999999995</v>
      </c>
      <c r="CN150" s="1894">
        <v>22.66</v>
      </c>
      <c r="CO150" s="1894">
        <v>9930</v>
      </c>
      <c r="CP150" s="1894">
        <f t="shared" si="76"/>
        <v>26289</v>
      </c>
      <c r="CQ150" s="1894">
        <f t="shared" si="77"/>
        <v>0</v>
      </c>
      <c r="CR150" s="1924">
        <v>150</v>
      </c>
      <c r="CS150" s="1924">
        <v>69.2</v>
      </c>
      <c r="CT150" s="1924">
        <v>120</v>
      </c>
      <c r="CU150" s="1924">
        <v>0.98129999999999995</v>
      </c>
      <c r="CV150" s="1924">
        <v>39.08</v>
      </c>
      <c r="CW150" s="1924">
        <v>20120</v>
      </c>
      <c r="CX150" s="1894">
        <f t="shared" si="78"/>
        <v>30891</v>
      </c>
      <c r="CY150" s="1894">
        <f t="shared" si="79"/>
        <v>0</v>
      </c>
    </row>
    <row r="151" spans="1:103">
      <c r="A151" s="982">
        <v>121000000078</v>
      </c>
      <c r="B151" s="1923">
        <f t="shared" si="80"/>
        <v>145</v>
      </c>
      <c r="C151" s="1895" t="s">
        <v>3040</v>
      </c>
      <c r="D151" s="1894" t="s">
        <v>524</v>
      </c>
      <c r="E151" s="1895" t="s">
        <v>541</v>
      </c>
      <c r="F151" s="1894" t="s">
        <v>259</v>
      </c>
      <c r="G151" s="1924">
        <v>150</v>
      </c>
      <c r="H151" s="1894">
        <v>150</v>
      </c>
      <c r="I151" s="1894">
        <v>111.11999999999999</v>
      </c>
      <c r="J151" s="1894">
        <v>120</v>
      </c>
      <c r="K151" s="1894">
        <v>0.98839999999999995</v>
      </c>
      <c r="L151" s="1894">
        <v>2.6</v>
      </c>
      <c r="M151" s="1894">
        <v>2080</v>
      </c>
      <c r="N151" s="1894">
        <f t="shared" si="58"/>
        <v>48004</v>
      </c>
      <c r="O151" s="1894">
        <f t="shared" si="59"/>
        <v>0</v>
      </c>
      <c r="P151" s="1894">
        <v>150</v>
      </c>
      <c r="Q151" s="1894">
        <v>109.44</v>
      </c>
      <c r="R151" s="1894">
        <v>120</v>
      </c>
      <c r="S151" s="1894">
        <v>0.99550000000000005</v>
      </c>
      <c r="T151" s="1894">
        <v>27.91</v>
      </c>
      <c r="U151" s="1894">
        <v>19061</v>
      </c>
      <c r="V151" s="1894">
        <f t="shared" si="60"/>
        <v>48854</v>
      </c>
      <c r="W151" s="1894">
        <f t="shared" si="61"/>
        <v>0</v>
      </c>
      <c r="X151" s="1894">
        <v>150</v>
      </c>
      <c r="Y151" s="1894">
        <v>114.64000000000001</v>
      </c>
      <c r="Z151" s="1894">
        <v>120</v>
      </c>
      <c r="AA151" s="1894">
        <v>0.99019999999999997</v>
      </c>
      <c r="AB151" s="1894">
        <v>46.92</v>
      </c>
      <c r="AC151" s="1894">
        <v>45180</v>
      </c>
      <c r="AD151" s="1894">
        <f t="shared" si="62"/>
        <v>49524</v>
      </c>
      <c r="AE151" s="1894">
        <f t="shared" si="63"/>
        <v>0</v>
      </c>
      <c r="AF151" s="1894">
        <v>150</v>
      </c>
      <c r="AG151" s="1894">
        <v>121.03999999999999</v>
      </c>
      <c r="AH151" s="1894">
        <v>121.04</v>
      </c>
      <c r="AI151" s="1894">
        <v>0.99139999999999995</v>
      </c>
      <c r="AJ151" s="1894">
        <v>42.66</v>
      </c>
      <c r="AK151" s="1894">
        <v>38414</v>
      </c>
      <c r="AL151" s="1894">
        <f t="shared" si="81"/>
        <v>54032</v>
      </c>
      <c r="AM151" s="1894">
        <f t="shared" si="82"/>
        <v>0</v>
      </c>
      <c r="AN151" s="1894">
        <v>150</v>
      </c>
      <c r="AO151" s="1894">
        <v>123.76</v>
      </c>
      <c r="AP151" s="1894">
        <v>123.76</v>
      </c>
      <c r="AQ151" s="1894">
        <v>0.99199999999999999</v>
      </c>
      <c r="AR151" s="1894">
        <v>24.1</v>
      </c>
      <c r="AS151" s="1894">
        <v>22187</v>
      </c>
      <c r="AT151" s="1894">
        <f t="shared" si="64"/>
        <v>55246</v>
      </c>
      <c r="AU151" s="1894">
        <f t="shared" si="65"/>
        <v>0</v>
      </c>
      <c r="AV151" s="1894">
        <v>150</v>
      </c>
      <c r="AW151" s="1894">
        <v>116.56</v>
      </c>
      <c r="AX151" s="1894">
        <v>120</v>
      </c>
      <c r="AY151" s="1894">
        <v>0.99270000000000003</v>
      </c>
      <c r="AZ151" s="1894">
        <v>25.64</v>
      </c>
      <c r="BA151" s="1894">
        <v>21518</v>
      </c>
      <c r="BB151" s="1894">
        <f t="shared" si="66"/>
        <v>50354</v>
      </c>
      <c r="BC151" s="1894">
        <f t="shared" si="67"/>
        <v>0</v>
      </c>
      <c r="BD151" s="1894">
        <v>150</v>
      </c>
      <c r="BE151" s="1894">
        <v>111.52</v>
      </c>
      <c r="BF151" s="1894">
        <v>120</v>
      </c>
      <c r="BG151" s="1894">
        <v>0.99429999999999996</v>
      </c>
      <c r="BH151" s="1894">
        <v>38.32</v>
      </c>
      <c r="BI151" s="1894">
        <v>31794</v>
      </c>
      <c r="BJ151" s="1894">
        <f t="shared" si="68"/>
        <v>49783</v>
      </c>
      <c r="BK151" s="1894">
        <f t="shared" si="69"/>
        <v>0</v>
      </c>
      <c r="BL151" s="1894">
        <v>150</v>
      </c>
      <c r="BM151" s="1894">
        <v>101.76</v>
      </c>
      <c r="BN151" s="1894">
        <v>120</v>
      </c>
      <c r="BO151" s="1894">
        <v>0.98540000000000005</v>
      </c>
      <c r="BP151" s="1894">
        <v>32.840000000000003</v>
      </c>
      <c r="BQ151" s="1894">
        <v>24063</v>
      </c>
      <c r="BR151" s="1894">
        <f t="shared" si="70"/>
        <v>43960</v>
      </c>
      <c r="BS151" s="1894">
        <f t="shared" si="71"/>
        <v>0</v>
      </c>
      <c r="BT151" s="1894">
        <v>150</v>
      </c>
      <c r="BU151" s="1894">
        <v>89.52</v>
      </c>
      <c r="BV151" s="1894">
        <v>120</v>
      </c>
      <c r="BW151" s="1894">
        <v>0.68569999999999998</v>
      </c>
      <c r="BX151" s="1894">
        <v>2.52</v>
      </c>
      <c r="BY151" s="1894">
        <v>1680</v>
      </c>
      <c r="BZ151" s="1894">
        <f t="shared" si="72"/>
        <v>39962</v>
      </c>
      <c r="CA151" s="1894">
        <f t="shared" si="73"/>
        <v>0</v>
      </c>
      <c r="CB151" s="1894">
        <v>150</v>
      </c>
      <c r="CC151" s="1894">
        <v>4.32</v>
      </c>
      <c r="CD151" s="1894">
        <v>120</v>
      </c>
      <c r="CE151" s="1894">
        <v>0.66320000000000001</v>
      </c>
      <c r="CF151" s="1894">
        <v>27.07</v>
      </c>
      <c r="CG151" s="1894">
        <v>870</v>
      </c>
      <c r="CH151" s="1894">
        <f t="shared" si="74"/>
        <v>1928</v>
      </c>
      <c r="CI151" s="1894">
        <f t="shared" si="75"/>
        <v>0</v>
      </c>
      <c r="CJ151" s="1894">
        <v>150</v>
      </c>
      <c r="CK151" s="1894">
        <v>10.32</v>
      </c>
      <c r="CL151" s="1894">
        <v>120</v>
      </c>
      <c r="CM151" s="1894">
        <v>0.74160000000000004</v>
      </c>
      <c r="CN151" s="1894">
        <v>10.32</v>
      </c>
      <c r="CO151" s="1894">
        <v>716</v>
      </c>
      <c r="CP151" s="1894">
        <f t="shared" si="76"/>
        <v>4161</v>
      </c>
      <c r="CQ151" s="1894">
        <f t="shared" si="77"/>
        <v>0</v>
      </c>
      <c r="CR151" s="1924">
        <v>150</v>
      </c>
      <c r="CS151" s="1924">
        <v>14.879999999999999</v>
      </c>
      <c r="CT151" s="1924">
        <v>120</v>
      </c>
      <c r="CU151" s="1924">
        <v>0.85660000000000003</v>
      </c>
      <c r="CV151" s="1924">
        <v>5.42</v>
      </c>
      <c r="CW151" s="1924">
        <v>600</v>
      </c>
      <c r="CX151" s="1894">
        <f t="shared" si="78"/>
        <v>6642</v>
      </c>
      <c r="CY151" s="1894">
        <f t="shared" si="79"/>
        <v>0</v>
      </c>
    </row>
    <row r="152" spans="1:103">
      <c r="A152" s="982">
        <v>122000000062</v>
      </c>
      <c r="B152" s="1923">
        <f t="shared" si="80"/>
        <v>146</v>
      </c>
      <c r="C152" s="1895" t="s">
        <v>3041</v>
      </c>
      <c r="D152" s="1894" t="s">
        <v>524</v>
      </c>
      <c r="E152" s="1895" t="s">
        <v>737</v>
      </c>
      <c r="F152" s="1894" t="s">
        <v>259</v>
      </c>
      <c r="G152" s="1924">
        <v>150</v>
      </c>
      <c r="H152" s="1894">
        <v>150</v>
      </c>
      <c r="I152" s="1894">
        <v>56.000000000000007</v>
      </c>
      <c r="J152" s="1894">
        <v>120</v>
      </c>
      <c r="K152" s="1894">
        <v>0.97050000000000003</v>
      </c>
      <c r="L152" s="1894">
        <v>28.97</v>
      </c>
      <c r="M152" s="1894">
        <v>12849</v>
      </c>
      <c r="N152" s="1894">
        <f t="shared" si="58"/>
        <v>24192</v>
      </c>
      <c r="O152" s="1894">
        <f t="shared" si="59"/>
        <v>0</v>
      </c>
      <c r="P152" s="1894">
        <v>150</v>
      </c>
      <c r="Q152" s="1894">
        <v>56</v>
      </c>
      <c r="R152" s="1894">
        <v>120</v>
      </c>
      <c r="S152" s="1894">
        <v>0.95109999999999995</v>
      </c>
      <c r="T152" s="1894">
        <v>21.17</v>
      </c>
      <c r="U152" s="1894">
        <v>9676</v>
      </c>
      <c r="V152" s="1894">
        <f t="shared" si="60"/>
        <v>24998</v>
      </c>
      <c r="W152" s="1894">
        <f t="shared" si="61"/>
        <v>0</v>
      </c>
      <c r="X152" s="1894">
        <v>150</v>
      </c>
      <c r="Y152" s="1894">
        <v>64.959999999999994</v>
      </c>
      <c r="Z152" s="1894">
        <v>120</v>
      </c>
      <c r="AA152" s="1894">
        <v>0.95889999999999997</v>
      </c>
      <c r="AB152" s="1894">
        <v>24.28</v>
      </c>
      <c r="AC152" s="1894">
        <v>10598</v>
      </c>
      <c r="AD152" s="1894">
        <f t="shared" si="62"/>
        <v>28063</v>
      </c>
      <c r="AE152" s="1894">
        <f t="shared" si="63"/>
        <v>0</v>
      </c>
      <c r="AF152" s="1894">
        <v>150</v>
      </c>
      <c r="AG152" s="1894">
        <v>64.959999999999994</v>
      </c>
      <c r="AH152" s="1894">
        <v>120</v>
      </c>
      <c r="AI152" s="1894">
        <v>0.9607</v>
      </c>
      <c r="AJ152" s="1894">
        <v>29.29</v>
      </c>
      <c r="AK152" s="1894">
        <v>15070</v>
      </c>
      <c r="AL152" s="1894">
        <f t="shared" si="81"/>
        <v>28998</v>
      </c>
      <c r="AM152" s="1894">
        <f t="shared" si="82"/>
        <v>0</v>
      </c>
      <c r="AN152" s="1894">
        <v>150</v>
      </c>
      <c r="AO152" s="1894">
        <v>7.84</v>
      </c>
      <c r="AP152" s="1894">
        <v>120</v>
      </c>
      <c r="AQ152" s="1894">
        <v>0.96189999999999998</v>
      </c>
      <c r="AR152" s="1894">
        <v>181.79</v>
      </c>
      <c r="AS152" s="1894">
        <v>10604</v>
      </c>
      <c r="AT152" s="1894">
        <f t="shared" si="64"/>
        <v>3500</v>
      </c>
      <c r="AU152" s="1894">
        <f t="shared" si="65"/>
        <v>7104</v>
      </c>
      <c r="AV152" s="1894">
        <v>150</v>
      </c>
      <c r="AW152" s="1894">
        <v>62.72</v>
      </c>
      <c r="AX152" s="1894">
        <v>120</v>
      </c>
      <c r="AY152" s="1894">
        <v>0.96289999999999998</v>
      </c>
      <c r="AZ152" s="1894">
        <v>24.78</v>
      </c>
      <c r="BA152" s="1894">
        <v>11188</v>
      </c>
      <c r="BB152" s="1894">
        <f t="shared" si="66"/>
        <v>27095</v>
      </c>
      <c r="BC152" s="1894">
        <f t="shared" si="67"/>
        <v>0</v>
      </c>
      <c r="BD152" s="1894">
        <v>150</v>
      </c>
      <c r="BE152" s="1894">
        <v>56.8</v>
      </c>
      <c r="BF152" s="1894">
        <v>120</v>
      </c>
      <c r="BG152" s="1894">
        <v>0.95220000000000005</v>
      </c>
      <c r="BH152" s="1894">
        <v>24.96</v>
      </c>
      <c r="BI152" s="1894">
        <v>10550</v>
      </c>
      <c r="BJ152" s="1894">
        <f t="shared" si="68"/>
        <v>25356</v>
      </c>
      <c r="BK152" s="1894">
        <f t="shared" si="69"/>
        <v>0</v>
      </c>
      <c r="BL152" s="1894">
        <v>150</v>
      </c>
      <c r="BM152" s="1894">
        <v>49.76</v>
      </c>
      <c r="BN152" s="1894">
        <v>120</v>
      </c>
      <c r="BO152" s="1894">
        <v>0.90749999999999997</v>
      </c>
      <c r="BP152" s="1894">
        <v>28.25</v>
      </c>
      <c r="BQ152" s="1894">
        <v>10120</v>
      </c>
      <c r="BR152" s="1894">
        <f t="shared" si="70"/>
        <v>21496</v>
      </c>
      <c r="BS152" s="1894">
        <f t="shared" si="71"/>
        <v>0</v>
      </c>
      <c r="BT152" s="1894">
        <v>150</v>
      </c>
      <c r="BU152" s="1894">
        <v>40.64</v>
      </c>
      <c r="BV152" s="1894">
        <v>120</v>
      </c>
      <c r="BW152" s="1894">
        <v>0.89070000000000005</v>
      </c>
      <c r="BX152" s="1894">
        <v>30.69</v>
      </c>
      <c r="BY152" s="1894">
        <v>9278</v>
      </c>
      <c r="BZ152" s="1894">
        <f t="shared" si="72"/>
        <v>18142</v>
      </c>
      <c r="CA152" s="1894">
        <f t="shared" si="73"/>
        <v>0</v>
      </c>
      <c r="CB152" s="1894">
        <v>150</v>
      </c>
      <c r="CC152" s="1894">
        <v>39.519999999999996</v>
      </c>
      <c r="CD152" s="1894">
        <v>120</v>
      </c>
      <c r="CE152" s="1894">
        <v>0.90429999999999999</v>
      </c>
      <c r="CF152" s="1894">
        <v>29.09</v>
      </c>
      <c r="CG152" s="1894">
        <v>8552</v>
      </c>
      <c r="CH152" s="1894">
        <f t="shared" si="74"/>
        <v>17642</v>
      </c>
      <c r="CI152" s="1894">
        <f t="shared" si="75"/>
        <v>0</v>
      </c>
      <c r="CJ152" s="1894">
        <v>150</v>
      </c>
      <c r="CK152" s="1894">
        <v>50.88</v>
      </c>
      <c r="CL152" s="1894">
        <v>120</v>
      </c>
      <c r="CM152" s="1894">
        <v>0.93110000000000004</v>
      </c>
      <c r="CN152" s="1894">
        <v>30.52</v>
      </c>
      <c r="CO152" s="1894">
        <v>10434</v>
      </c>
      <c r="CP152" s="1894">
        <f t="shared" si="76"/>
        <v>20515</v>
      </c>
      <c r="CQ152" s="1894">
        <f t="shared" si="77"/>
        <v>0</v>
      </c>
      <c r="CR152" s="1924">
        <v>150</v>
      </c>
      <c r="CS152" s="1924">
        <v>57.120000000000005</v>
      </c>
      <c r="CT152" s="1924">
        <v>120</v>
      </c>
      <c r="CU152" s="1924">
        <v>0.95440000000000003</v>
      </c>
      <c r="CV152" s="1924">
        <v>29.26</v>
      </c>
      <c r="CW152" s="1924">
        <v>12434</v>
      </c>
      <c r="CX152" s="1894">
        <f t="shared" si="78"/>
        <v>25498</v>
      </c>
      <c r="CY152" s="1894">
        <f t="shared" si="79"/>
        <v>0</v>
      </c>
    </row>
    <row r="153" spans="1:103">
      <c r="A153" s="982">
        <v>123000000069</v>
      </c>
      <c r="B153" s="1923">
        <f t="shared" si="80"/>
        <v>147</v>
      </c>
      <c r="C153" s="1895" t="s">
        <v>3042</v>
      </c>
      <c r="D153" s="1894" t="s">
        <v>524</v>
      </c>
      <c r="E153" s="1895" t="s">
        <v>541</v>
      </c>
      <c r="F153" s="1894" t="s">
        <v>259</v>
      </c>
      <c r="G153" s="1924">
        <v>150</v>
      </c>
      <c r="H153" s="1894">
        <v>150</v>
      </c>
      <c r="I153" s="1894">
        <v>130.16</v>
      </c>
      <c r="J153" s="1894">
        <v>130.16</v>
      </c>
      <c r="K153" s="1894">
        <v>0.77890000000000004</v>
      </c>
      <c r="L153" s="1894">
        <v>17.88</v>
      </c>
      <c r="M153" s="1894">
        <v>16760</v>
      </c>
      <c r="N153" s="1894">
        <f t="shared" si="58"/>
        <v>56229</v>
      </c>
      <c r="O153" s="1894">
        <f t="shared" si="59"/>
        <v>0</v>
      </c>
      <c r="P153" s="1894">
        <v>150</v>
      </c>
      <c r="Q153" s="1894">
        <v>144.72</v>
      </c>
      <c r="R153" s="1894">
        <v>144.72</v>
      </c>
      <c r="S153" s="1894">
        <v>0.78910000000000002</v>
      </c>
      <c r="T153" s="1894">
        <v>34.380000000000003</v>
      </c>
      <c r="U153" s="1894">
        <v>37014</v>
      </c>
      <c r="V153" s="1894">
        <f t="shared" si="60"/>
        <v>64603</v>
      </c>
      <c r="W153" s="1894">
        <f t="shared" si="61"/>
        <v>0</v>
      </c>
      <c r="X153" s="1894">
        <v>150</v>
      </c>
      <c r="Y153" s="1894">
        <v>134.88</v>
      </c>
      <c r="Z153" s="1894">
        <v>134.88</v>
      </c>
      <c r="AA153" s="1894">
        <v>0.79210000000000003</v>
      </c>
      <c r="AB153" s="1894">
        <v>61.2</v>
      </c>
      <c r="AC153" s="1894">
        <v>59431</v>
      </c>
      <c r="AD153" s="1894">
        <f t="shared" si="62"/>
        <v>58268</v>
      </c>
      <c r="AE153" s="1894">
        <f t="shared" si="63"/>
        <v>1163</v>
      </c>
      <c r="AF153" s="1894">
        <v>150</v>
      </c>
      <c r="AG153" s="1894">
        <v>138.72</v>
      </c>
      <c r="AH153" s="1894">
        <v>138.72</v>
      </c>
      <c r="AI153" s="1894">
        <v>0.78110000000000002</v>
      </c>
      <c r="AJ153" s="1894">
        <v>64.48</v>
      </c>
      <c r="AK153" s="1894">
        <v>66544</v>
      </c>
      <c r="AL153" s="1894">
        <f t="shared" si="81"/>
        <v>61925</v>
      </c>
      <c r="AM153" s="1894">
        <f t="shared" si="82"/>
        <v>4619</v>
      </c>
      <c r="AN153" s="1894">
        <v>150</v>
      </c>
      <c r="AO153" s="1894">
        <v>137.68</v>
      </c>
      <c r="AP153" s="1894">
        <v>137.68</v>
      </c>
      <c r="AQ153" s="1894">
        <v>0.91639999999999999</v>
      </c>
      <c r="AR153" s="1894">
        <v>51.12</v>
      </c>
      <c r="AS153" s="1894">
        <v>52366</v>
      </c>
      <c r="AT153" s="1894">
        <f t="shared" si="64"/>
        <v>61460</v>
      </c>
      <c r="AU153" s="1894">
        <f t="shared" si="65"/>
        <v>0</v>
      </c>
      <c r="AV153" s="1894">
        <v>150</v>
      </c>
      <c r="AW153" s="1894">
        <v>102.56</v>
      </c>
      <c r="AX153" s="1894">
        <v>120</v>
      </c>
      <c r="AY153" s="1894">
        <v>0.99629999999999996</v>
      </c>
      <c r="AZ153" s="1894">
        <v>70.55</v>
      </c>
      <c r="BA153" s="1894">
        <v>52095</v>
      </c>
      <c r="BB153" s="1894">
        <f t="shared" si="66"/>
        <v>44306</v>
      </c>
      <c r="BC153" s="1894">
        <f t="shared" si="67"/>
        <v>7789</v>
      </c>
      <c r="BD153" s="1894">
        <v>150</v>
      </c>
      <c r="BE153" s="1894">
        <v>100.56</v>
      </c>
      <c r="BF153" s="1894">
        <v>120</v>
      </c>
      <c r="BG153" s="1894">
        <v>0.99470000000000003</v>
      </c>
      <c r="BH153" s="1894">
        <v>61.74</v>
      </c>
      <c r="BI153" s="1894">
        <v>46191</v>
      </c>
      <c r="BJ153" s="1894">
        <f t="shared" si="68"/>
        <v>44890</v>
      </c>
      <c r="BK153" s="1894">
        <f t="shared" si="69"/>
        <v>1301</v>
      </c>
      <c r="BL153" s="1894">
        <v>150</v>
      </c>
      <c r="BM153" s="1894">
        <v>125.27999999999999</v>
      </c>
      <c r="BN153" s="1894">
        <v>125.28</v>
      </c>
      <c r="BO153" s="1894">
        <v>0.94399999999999995</v>
      </c>
      <c r="BP153" s="1894">
        <v>42.72</v>
      </c>
      <c r="BQ153" s="1894">
        <v>38530</v>
      </c>
      <c r="BR153" s="1894">
        <f t="shared" si="70"/>
        <v>54121</v>
      </c>
      <c r="BS153" s="1894">
        <f t="shared" si="71"/>
        <v>0</v>
      </c>
      <c r="BT153" s="1894">
        <v>150</v>
      </c>
      <c r="BU153" s="1894">
        <v>122.48000000000002</v>
      </c>
      <c r="BV153" s="1894">
        <v>122.48</v>
      </c>
      <c r="BW153" s="1894">
        <v>0.74119999999999997</v>
      </c>
      <c r="BX153" s="1894">
        <v>37.04</v>
      </c>
      <c r="BY153" s="1894">
        <v>33751</v>
      </c>
      <c r="BZ153" s="1894">
        <f t="shared" si="72"/>
        <v>54675</v>
      </c>
      <c r="CA153" s="1894">
        <f t="shared" si="73"/>
        <v>0</v>
      </c>
      <c r="CB153" s="1894">
        <v>150</v>
      </c>
      <c r="CC153" s="1894">
        <v>114.88000000000001</v>
      </c>
      <c r="CD153" s="1894">
        <v>120</v>
      </c>
      <c r="CE153" s="1894">
        <v>0.97040000000000004</v>
      </c>
      <c r="CF153" s="1894">
        <v>32.85</v>
      </c>
      <c r="CG153" s="1894">
        <v>28081</v>
      </c>
      <c r="CH153" s="1894">
        <f t="shared" si="74"/>
        <v>51282</v>
      </c>
      <c r="CI153" s="1894">
        <f t="shared" si="75"/>
        <v>0</v>
      </c>
      <c r="CJ153" s="1894">
        <v>150</v>
      </c>
      <c r="CK153" s="1894">
        <v>95.199999999999989</v>
      </c>
      <c r="CL153" s="1894">
        <v>120</v>
      </c>
      <c r="CM153" s="1894">
        <v>0.99070000000000003</v>
      </c>
      <c r="CN153" s="1894">
        <v>45.65</v>
      </c>
      <c r="CO153" s="1894">
        <v>29203</v>
      </c>
      <c r="CP153" s="1894">
        <f t="shared" si="76"/>
        <v>38385</v>
      </c>
      <c r="CQ153" s="1894">
        <f t="shared" si="77"/>
        <v>0</v>
      </c>
      <c r="CR153" s="1924">
        <v>150</v>
      </c>
      <c r="CS153" s="1924">
        <v>98.64</v>
      </c>
      <c r="CT153" s="1924">
        <v>120</v>
      </c>
      <c r="CU153" s="1924">
        <v>0.99409999999999998</v>
      </c>
      <c r="CV153" s="1924">
        <v>43.27</v>
      </c>
      <c r="CW153" s="1924">
        <v>31757</v>
      </c>
      <c r="CX153" s="1894">
        <f t="shared" si="78"/>
        <v>44033</v>
      </c>
      <c r="CY153" s="1894">
        <f t="shared" si="79"/>
        <v>0</v>
      </c>
    </row>
    <row r="154" spans="1:103">
      <c r="A154" s="982">
        <v>123000000099</v>
      </c>
      <c r="B154" s="1923">
        <f t="shared" si="80"/>
        <v>148</v>
      </c>
      <c r="C154" s="1895" t="s">
        <v>3043</v>
      </c>
      <c r="D154" s="1894" t="s">
        <v>524</v>
      </c>
      <c r="E154" s="1895" t="s">
        <v>2966</v>
      </c>
      <c r="F154" s="1894" t="s">
        <v>259</v>
      </c>
      <c r="G154" s="1924">
        <v>150</v>
      </c>
      <c r="H154" s="1894">
        <v>150</v>
      </c>
      <c r="I154" s="1894">
        <v>161.20000000000002</v>
      </c>
      <c r="J154" s="1894">
        <v>161.19999999999999</v>
      </c>
      <c r="K154" s="1894">
        <v>0.66810000000000003</v>
      </c>
      <c r="L154" s="1894">
        <v>0</v>
      </c>
      <c r="M154" s="1894">
        <v>38932</v>
      </c>
      <c r="N154" s="1894">
        <f t="shared" si="58"/>
        <v>69638</v>
      </c>
      <c r="O154" s="1894">
        <f t="shared" si="59"/>
        <v>0</v>
      </c>
      <c r="P154" s="1894">
        <v>150</v>
      </c>
      <c r="Q154" s="1894">
        <v>175.2</v>
      </c>
      <c r="R154" s="1894">
        <v>175.2</v>
      </c>
      <c r="S154" s="1894">
        <v>0.70950000000000002</v>
      </c>
      <c r="T154" s="1894">
        <v>0</v>
      </c>
      <c r="U154" s="1894">
        <v>33828</v>
      </c>
      <c r="V154" s="1894">
        <f t="shared" si="60"/>
        <v>78209</v>
      </c>
      <c r="W154" s="1894">
        <f t="shared" si="61"/>
        <v>0</v>
      </c>
      <c r="X154" s="1894">
        <v>150</v>
      </c>
      <c r="Y154" s="1894">
        <v>130.80000000000001</v>
      </c>
      <c r="Z154" s="1894">
        <v>150</v>
      </c>
      <c r="AA154" s="1894">
        <v>0.65500000000000003</v>
      </c>
      <c r="AB154" s="1894">
        <v>0</v>
      </c>
      <c r="AC154" s="1894">
        <v>18246</v>
      </c>
      <c r="AD154" s="1894">
        <f t="shared" si="62"/>
        <v>56506</v>
      </c>
      <c r="AE154" s="1894">
        <f t="shared" si="63"/>
        <v>0</v>
      </c>
      <c r="AF154" s="1894">
        <v>150</v>
      </c>
      <c r="AG154" s="1894">
        <v>246.4</v>
      </c>
      <c r="AH154" s="1894">
        <v>246.4</v>
      </c>
      <c r="AI154" s="1894">
        <v>0.54220000000000002</v>
      </c>
      <c r="AJ154" s="1894">
        <v>0</v>
      </c>
      <c r="AK154" s="1894">
        <v>16328</v>
      </c>
      <c r="AL154" s="1894">
        <f t="shared" si="81"/>
        <v>109993</v>
      </c>
      <c r="AM154" s="1894">
        <f t="shared" si="82"/>
        <v>0</v>
      </c>
      <c r="AN154" s="1894">
        <v>150</v>
      </c>
      <c r="AO154" s="1894">
        <v>302</v>
      </c>
      <c r="AP154" s="1894">
        <v>302</v>
      </c>
      <c r="AQ154" s="1894">
        <v>0.64429999999999998</v>
      </c>
      <c r="AR154" s="1894">
        <v>0</v>
      </c>
      <c r="AS154" s="1894">
        <v>33350</v>
      </c>
      <c r="AT154" s="1894">
        <f t="shared" si="64"/>
        <v>134813</v>
      </c>
      <c r="AU154" s="1894">
        <f t="shared" si="65"/>
        <v>0</v>
      </c>
      <c r="AV154" s="1894">
        <v>150</v>
      </c>
      <c r="AW154" s="1894">
        <v>144</v>
      </c>
      <c r="AX154" s="1894">
        <v>150</v>
      </c>
      <c r="AY154" s="1894">
        <v>0.63019999999999998</v>
      </c>
      <c r="AZ154" s="1894">
        <v>0</v>
      </c>
      <c r="BA154" s="1894">
        <v>39171</v>
      </c>
      <c r="BB154" s="1894">
        <f t="shared" si="66"/>
        <v>62208</v>
      </c>
      <c r="BC154" s="1894">
        <f t="shared" si="67"/>
        <v>0</v>
      </c>
      <c r="BD154" s="1894">
        <v>150</v>
      </c>
      <c r="BE154" s="1894">
        <v>216</v>
      </c>
      <c r="BF154" s="1894">
        <v>216</v>
      </c>
      <c r="BG154" s="1894">
        <v>0.61729999999999996</v>
      </c>
      <c r="BH154" s="1894">
        <v>0</v>
      </c>
      <c r="BI154" s="1894">
        <v>29108</v>
      </c>
      <c r="BJ154" s="1894">
        <f t="shared" si="68"/>
        <v>96422</v>
      </c>
      <c r="BK154" s="1894">
        <f t="shared" si="69"/>
        <v>0</v>
      </c>
      <c r="BL154" s="1894">
        <v>150</v>
      </c>
      <c r="BM154" s="1894">
        <v>59.36</v>
      </c>
      <c r="BN154" s="1894">
        <v>150</v>
      </c>
      <c r="BO154" s="1894">
        <v>0.60499999999999998</v>
      </c>
      <c r="BP154" s="1894">
        <v>0</v>
      </c>
      <c r="BQ154" s="1894">
        <v>17444</v>
      </c>
      <c r="BR154" s="1894">
        <f t="shared" si="70"/>
        <v>25644</v>
      </c>
      <c r="BS154" s="1894">
        <f t="shared" si="71"/>
        <v>0</v>
      </c>
      <c r="BT154" s="1894">
        <v>150</v>
      </c>
      <c r="BU154" s="1894">
        <v>28.720000000000002</v>
      </c>
      <c r="BV154" s="1894">
        <v>150</v>
      </c>
      <c r="BW154" s="1894">
        <v>0.31430000000000002</v>
      </c>
      <c r="BX154" s="1894">
        <v>0</v>
      </c>
      <c r="BY154" s="1894">
        <v>5389</v>
      </c>
      <c r="BZ154" s="1894">
        <f t="shared" si="72"/>
        <v>12821</v>
      </c>
      <c r="CA154" s="1894">
        <f t="shared" si="73"/>
        <v>0</v>
      </c>
      <c r="CB154" s="1894">
        <v>150</v>
      </c>
      <c r="CC154" s="1894">
        <v>19.759999999999998</v>
      </c>
      <c r="CD154" s="1894">
        <v>150</v>
      </c>
      <c r="CE154" s="1894">
        <v>0.42130000000000001</v>
      </c>
      <c r="CF154" s="1894">
        <v>0</v>
      </c>
      <c r="CG154" s="1894">
        <v>8617</v>
      </c>
      <c r="CH154" s="1894">
        <f t="shared" si="74"/>
        <v>8821</v>
      </c>
      <c r="CI154" s="1894">
        <f t="shared" si="75"/>
        <v>0</v>
      </c>
      <c r="CJ154" s="1894">
        <v>150</v>
      </c>
      <c r="CK154" s="1894">
        <v>33.68</v>
      </c>
      <c r="CL154" s="1894">
        <v>150</v>
      </c>
      <c r="CM154" s="1894">
        <v>0.53059999999999996</v>
      </c>
      <c r="CN154" s="1894">
        <v>0</v>
      </c>
      <c r="CO154" s="1894">
        <v>10510</v>
      </c>
      <c r="CP154" s="1894">
        <f t="shared" si="76"/>
        <v>13580</v>
      </c>
      <c r="CQ154" s="1894">
        <f t="shared" si="77"/>
        <v>0</v>
      </c>
      <c r="CR154" s="1924">
        <v>150</v>
      </c>
      <c r="CS154" s="1924">
        <v>122.08000000000001</v>
      </c>
      <c r="CT154" s="1924">
        <v>150</v>
      </c>
      <c r="CU154" s="1924">
        <v>0.57230000000000003</v>
      </c>
      <c r="CV154" s="1924">
        <v>0</v>
      </c>
      <c r="CW154" s="1924">
        <v>17291</v>
      </c>
      <c r="CX154" s="1894">
        <f t="shared" si="78"/>
        <v>54497</v>
      </c>
      <c r="CY154" s="1894">
        <f t="shared" si="79"/>
        <v>0</v>
      </c>
    </row>
    <row r="155" spans="1:103">
      <c r="A155" s="982">
        <v>126000000004</v>
      </c>
      <c r="B155" s="1923">
        <f t="shared" si="80"/>
        <v>149</v>
      </c>
      <c r="C155" s="1895" t="s">
        <v>3044</v>
      </c>
      <c r="D155" s="1894" t="s">
        <v>524</v>
      </c>
      <c r="E155" s="1895" t="s">
        <v>541</v>
      </c>
      <c r="F155" s="1894" t="s">
        <v>259</v>
      </c>
      <c r="G155" s="1924">
        <v>150</v>
      </c>
      <c r="H155" s="1894">
        <v>150</v>
      </c>
      <c r="I155" s="1894">
        <v>114.32</v>
      </c>
      <c r="J155" s="1894">
        <v>120</v>
      </c>
      <c r="K155" s="1894">
        <v>0.93049999999999999</v>
      </c>
      <c r="L155" s="1894">
        <v>43.36</v>
      </c>
      <c r="M155" s="1894">
        <v>35688</v>
      </c>
      <c r="N155" s="1894">
        <f t="shared" si="58"/>
        <v>49386</v>
      </c>
      <c r="O155" s="1894">
        <f t="shared" si="59"/>
        <v>0</v>
      </c>
      <c r="P155" s="1894">
        <v>150</v>
      </c>
      <c r="Q155" s="1894">
        <v>94.76</v>
      </c>
      <c r="R155" s="1894">
        <v>120</v>
      </c>
      <c r="S155" s="1894">
        <v>0.98699999999999999</v>
      </c>
      <c r="T155" s="1894">
        <v>52.1</v>
      </c>
      <c r="U155" s="1894">
        <v>36730</v>
      </c>
      <c r="V155" s="1894">
        <f t="shared" si="60"/>
        <v>42301</v>
      </c>
      <c r="W155" s="1894">
        <f t="shared" si="61"/>
        <v>0</v>
      </c>
      <c r="X155" s="1894">
        <v>150</v>
      </c>
      <c r="Y155" s="1894">
        <v>90.56</v>
      </c>
      <c r="Z155" s="1894">
        <v>120</v>
      </c>
      <c r="AA155" s="1894">
        <v>0.99170000000000003</v>
      </c>
      <c r="AB155" s="1894">
        <v>53.86</v>
      </c>
      <c r="AC155" s="1894">
        <v>35116</v>
      </c>
      <c r="AD155" s="1894">
        <f t="shared" si="62"/>
        <v>39122</v>
      </c>
      <c r="AE155" s="1894">
        <f t="shared" si="63"/>
        <v>0</v>
      </c>
      <c r="AF155" s="1894">
        <v>150</v>
      </c>
      <c r="AG155" s="1894">
        <v>92.2</v>
      </c>
      <c r="AH155" s="1894">
        <v>120</v>
      </c>
      <c r="AI155" s="1894">
        <v>0.98909999999999998</v>
      </c>
      <c r="AJ155" s="1894">
        <v>60.35</v>
      </c>
      <c r="AK155" s="1894">
        <v>38728</v>
      </c>
      <c r="AL155" s="1894">
        <f t="shared" si="81"/>
        <v>41158</v>
      </c>
      <c r="AM155" s="1894">
        <f t="shared" si="82"/>
        <v>0</v>
      </c>
      <c r="AN155" s="1894">
        <v>150</v>
      </c>
      <c r="AO155" s="1894">
        <v>62.239999999999995</v>
      </c>
      <c r="AP155" s="1894">
        <v>120</v>
      </c>
      <c r="AQ155" s="1894">
        <v>0.98109999999999997</v>
      </c>
      <c r="AR155" s="1894">
        <v>44.92</v>
      </c>
      <c r="AS155" s="1894">
        <v>22142</v>
      </c>
      <c r="AT155" s="1894">
        <f t="shared" si="64"/>
        <v>27784</v>
      </c>
      <c r="AU155" s="1894">
        <f t="shared" si="65"/>
        <v>0</v>
      </c>
      <c r="AV155" s="1894">
        <v>150</v>
      </c>
      <c r="AW155" s="1894">
        <v>80.400000000000006</v>
      </c>
      <c r="AX155" s="1894">
        <v>120</v>
      </c>
      <c r="AY155" s="1894">
        <v>0.99690000000000001</v>
      </c>
      <c r="AZ155" s="1894">
        <v>10.88</v>
      </c>
      <c r="BA155" s="1894">
        <v>6298</v>
      </c>
      <c r="BB155" s="1894">
        <f t="shared" si="66"/>
        <v>34733</v>
      </c>
      <c r="BC155" s="1894">
        <f t="shared" si="67"/>
        <v>0</v>
      </c>
      <c r="BD155" s="1894">
        <v>150</v>
      </c>
      <c r="BE155" s="1894">
        <v>9.44</v>
      </c>
      <c r="BF155" s="1894">
        <v>120</v>
      </c>
      <c r="BG155" s="1894">
        <v>1</v>
      </c>
      <c r="BH155" s="1894">
        <v>50.92</v>
      </c>
      <c r="BI155" s="1894">
        <v>3576</v>
      </c>
      <c r="BJ155" s="1894">
        <f t="shared" si="68"/>
        <v>4214</v>
      </c>
      <c r="BK155" s="1894">
        <f t="shared" si="69"/>
        <v>0</v>
      </c>
      <c r="BL155" s="1894">
        <v>150</v>
      </c>
      <c r="BM155" s="1894">
        <v>12.559999999999999</v>
      </c>
      <c r="BN155" s="1894">
        <v>120</v>
      </c>
      <c r="BO155" s="1894">
        <v>1</v>
      </c>
      <c r="BP155" s="1894">
        <v>38.39</v>
      </c>
      <c r="BQ155" s="1894">
        <v>3472</v>
      </c>
      <c r="BR155" s="1894">
        <f t="shared" si="70"/>
        <v>5426</v>
      </c>
      <c r="BS155" s="1894">
        <f t="shared" si="71"/>
        <v>0</v>
      </c>
      <c r="BT155" s="1894">
        <v>150</v>
      </c>
      <c r="BU155" s="1894">
        <v>78.400000000000006</v>
      </c>
      <c r="BV155" s="1894">
        <v>120</v>
      </c>
      <c r="BW155" s="1894">
        <v>0.97350000000000003</v>
      </c>
      <c r="BX155" s="1894">
        <v>19.71</v>
      </c>
      <c r="BY155" s="1894">
        <v>11497</v>
      </c>
      <c r="BZ155" s="1894">
        <f t="shared" si="72"/>
        <v>34998</v>
      </c>
      <c r="CA155" s="1894">
        <f t="shared" si="73"/>
        <v>0</v>
      </c>
      <c r="CB155" s="1894">
        <v>150</v>
      </c>
      <c r="CC155" s="1894">
        <v>80.47999999999999</v>
      </c>
      <c r="CD155" s="1894">
        <v>120</v>
      </c>
      <c r="CE155" s="1894">
        <v>0.98199999999999998</v>
      </c>
      <c r="CF155" s="1894">
        <v>49.92</v>
      </c>
      <c r="CG155" s="1894">
        <v>29889</v>
      </c>
      <c r="CH155" s="1894">
        <f t="shared" si="74"/>
        <v>35926</v>
      </c>
      <c r="CI155" s="1894">
        <f t="shared" si="75"/>
        <v>0</v>
      </c>
      <c r="CJ155" s="1894">
        <v>150</v>
      </c>
      <c r="CK155" s="1894">
        <v>91.36</v>
      </c>
      <c r="CL155" s="1894">
        <v>120</v>
      </c>
      <c r="CM155" s="1894">
        <v>0.98899999999999999</v>
      </c>
      <c r="CN155" s="1894">
        <v>60.25</v>
      </c>
      <c r="CO155" s="1894">
        <v>36988</v>
      </c>
      <c r="CP155" s="1894">
        <f t="shared" si="76"/>
        <v>36836</v>
      </c>
      <c r="CQ155" s="1894">
        <f t="shared" si="77"/>
        <v>152</v>
      </c>
      <c r="CR155" s="1924">
        <v>150</v>
      </c>
      <c r="CS155" s="1924">
        <v>93.28</v>
      </c>
      <c r="CT155" s="1924">
        <v>120</v>
      </c>
      <c r="CU155" s="1924">
        <v>0.97609999999999997</v>
      </c>
      <c r="CV155" s="1924">
        <v>57.73</v>
      </c>
      <c r="CW155" s="1924">
        <v>40064</v>
      </c>
      <c r="CX155" s="1894">
        <f t="shared" si="78"/>
        <v>41640</v>
      </c>
      <c r="CY155" s="1894">
        <f t="shared" si="79"/>
        <v>0</v>
      </c>
    </row>
    <row r="156" spans="1:103">
      <c r="A156" s="982">
        <v>126000000020</v>
      </c>
      <c r="B156" s="1923">
        <f t="shared" si="80"/>
        <v>150</v>
      </c>
      <c r="C156" s="1895" t="s">
        <v>3045</v>
      </c>
      <c r="D156" s="1894" t="s">
        <v>524</v>
      </c>
      <c r="E156" s="1895" t="s">
        <v>541</v>
      </c>
      <c r="F156" s="1894" t="s">
        <v>259</v>
      </c>
      <c r="G156" s="1924">
        <v>150</v>
      </c>
      <c r="H156" s="1894">
        <v>150</v>
      </c>
      <c r="I156" s="1894">
        <v>99.2</v>
      </c>
      <c r="J156" s="1894">
        <v>120</v>
      </c>
      <c r="K156" s="1894">
        <v>0.95669999999999999</v>
      </c>
      <c r="L156" s="1894">
        <v>38</v>
      </c>
      <c r="M156" s="1894">
        <v>27142</v>
      </c>
      <c r="N156" s="1894">
        <f t="shared" si="58"/>
        <v>42854</v>
      </c>
      <c r="O156" s="1894">
        <f t="shared" si="59"/>
        <v>0</v>
      </c>
      <c r="P156" s="1894">
        <v>150</v>
      </c>
      <c r="Q156" s="1894">
        <v>96.8</v>
      </c>
      <c r="R156" s="1894">
        <v>120</v>
      </c>
      <c r="S156" s="1894">
        <v>0.95630000000000004</v>
      </c>
      <c r="T156" s="1894">
        <v>41.83</v>
      </c>
      <c r="U156" s="1894">
        <v>30126</v>
      </c>
      <c r="V156" s="1894">
        <f t="shared" si="60"/>
        <v>43212</v>
      </c>
      <c r="W156" s="1894">
        <f t="shared" si="61"/>
        <v>0</v>
      </c>
      <c r="X156" s="1894">
        <v>150</v>
      </c>
      <c r="Y156" s="1894">
        <v>93.2</v>
      </c>
      <c r="Z156" s="1894">
        <v>120</v>
      </c>
      <c r="AA156" s="1894">
        <v>0.94750000000000001</v>
      </c>
      <c r="AB156" s="1894">
        <v>40.380000000000003</v>
      </c>
      <c r="AC156" s="1894">
        <v>27096</v>
      </c>
      <c r="AD156" s="1894">
        <f t="shared" si="62"/>
        <v>40262</v>
      </c>
      <c r="AE156" s="1894">
        <f t="shared" si="63"/>
        <v>0</v>
      </c>
      <c r="AF156" s="1894">
        <v>150</v>
      </c>
      <c r="AG156" s="1894">
        <v>97.6</v>
      </c>
      <c r="AH156" s="1894">
        <v>120</v>
      </c>
      <c r="AI156" s="1894">
        <v>0.94610000000000005</v>
      </c>
      <c r="AJ156" s="1894">
        <v>49.25</v>
      </c>
      <c r="AK156" s="1894">
        <v>35762</v>
      </c>
      <c r="AL156" s="1894">
        <f t="shared" si="81"/>
        <v>43569</v>
      </c>
      <c r="AM156" s="1894">
        <f t="shared" si="82"/>
        <v>0</v>
      </c>
      <c r="AN156" s="1894">
        <v>150</v>
      </c>
      <c r="AO156" s="1894">
        <v>80</v>
      </c>
      <c r="AP156" s="1894">
        <v>120</v>
      </c>
      <c r="AQ156" s="1894">
        <v>0.93640000000000001</v>
      </c>
      <c r="AR156" s="1894">
        <v>18.68</v>
      </c>
      <c r="AS156" s="1894">
        <v>11118</v>
      </c>
      <c r="AT156" s="1894">
        <f t="shared" si="64"/>
        <v>35712</v>
      </c>
      <c r="AU156" s="1894">
        <f t="shared" si="65"/>
        <v>0</v>
      </c>
      <c r="AV156" s="1894">
        <v>150</v>
      </c>
      <c r="AW156" s="1894">
        <v>15.920000000000002</v>
      </c>
      <c r="AX156" s="1894">
        <v>120</v>
      </c>
      <c r="AY156" s="1894">
        <v>0.95279999999999998</v>
      </c>
      <c r="AZ156" s="1894">
        <v>32.200000000000003</v>
      </c>
      <c r="BA156" s="1894">
        <v>3691</v>
      </c>
      <c r="BB156" s="1894">
        <f t="shared" si="66"/>
        <v>6877</v>
      </c>
      <c r="BC156" s="1894">
        <f t="shared" si="67"/>
        <v>0</v>
      </c>
      <c r="BD156" s="1894">
        <v>150</v>
      </c>
      <c r="BE156" s="1894">
        <v>13.52</v>
      </c>
      <c r="BF156" s="1894">
        <v>120</v>
      </c>
      <c r="BG156" s="1894">
        <v>0.95269999999999999</v>
      </c>
      <c r="BH156" s="1894">
        <v>24.18</v>
      </c>
      <c r="BI156" s="1894">
        <v>2432</v>
      </c>
      <c r="BJ156" s="1894">
        <f t="shared" si="68"/>
        <v>6035</v>
      </c>
      <c r="BK156" s="1894">
        <f t="shared" si="69"/>
        <v>0</v>
      </c>
      <c r="BL156" s="1894">
        <v>150</v>
      </c>
      <c r="BM156" s="1894">
        <v>8.24</v>
      </c>
      <c r="BN156" s="1894">
        <v>120</v>
      </c>
      <c r="BO156" s="1894">
        <v>1.0083</v>
      </c>
      <c r="BP156" s="1894">
        <v>26.38</v>
      </c>
      <c r="BQ156" s="1894">
        <v>1565</v>
      </c>
      <c r="BR156" s="1894">
        <f t="shared" si="70"/>
        <v>3560</v>
      </c>
      <c r="BS156" s="1894">
        <f t="shared" si="71"/>
        <v>0</v>
      </c>
      <c r="BT156" s="1894">
        <v>150</v>
      </c>
      <c r="BU156" s="1894">
        <v>102.96000000000001</v>
      </c>
      <c r="BV156" s="1894">
        <v>120</v>
      </c>
      <c r="BW156" s="1894">
        <v>0.92500000000000004</v>
      </c>
      <c r="BX156" s="1894">
        <v>5.21</v>
      </c>
      <c r="BY156" s="1894">
        <v>3989</v>
      </c>
      <c r="BZ156" s="1894">
        <f t="shared" si="72"/>
        <v>45961</v>
      </c>
      <c r="CA156" s="1894">
        <f t="shared" si="73"/>
        <v>0</v>
      </c>
      <c r="CB156" s="1894">
        <v>150</v>
      </c>
      <c r="CC156" s="1894">
        <v>158.72</v>
      </c>
      <c r="CD156" s="1894">
        <v>158.72</v>
      </c>
      <c r="CE156" s="1894">
        <v>0.95350000000000001</v>
      </c>
      <c r="CF156" s="1894">
        <v>26.46</v>
      </c>
      <c r="CG156" s="1894">
        <v>31245</v>
      </c>
      <c r="CH156" s="1894">
        <f t="shared" si="74"/>
        <v>70853</v>
      </c>
      <c r="CI156" s="1894">
        <f t="shared" si="75"/>
        <v>0</v>
      </c>
      <c r="CJ156" s="1894">
        <v>150</v>
      </c>
      <c r="CK156" s="1894">
        <v>122.96000000000001</v>
      </c>
      <c r="CL156" s="1894">
        <v>122.96</v>
      </c>
      <c r="CM156" s="1894">
        <v>0.95599999999999996</v>
      </c>
      <c r="CN156" s="1894">
        <v>58.8</v>
      </c>
      <c r="CO156" s="1894">
        <v>48590</v>
      </c>
      <c r="CP156" s="1894">
        <f t="shared" si="76"/>
        <v>49577</v>
      </c>
      <c r="CQ156" s="1894">
        <f t="shared" si="77"/>
        <v>0</v>
      </c>
      <c r="CR156" s="1924">
        <v>150</v>
      </c>
      <c r="CS156" s="1924">
        <v>127.12</v>
      </c>
      <c r="CT156" s="1924">
        <v>127.12</v>
      </c>
      <c r="CU156" s="1924">
        <v>0.94020000000000004</v>
      </c>
      <c r="CV156" s="1924">
        <v>60.48</v>
      </c>
      <c r="CW156" s="1924">
        <v>57197</v>
      </c>
      <c r="CX156" s="1894">
        <f t="shared" si="78"/>
        <v>56746</v>
      </c>
      <c r="CY156" s="1894">
        <f t="shared" si="79"/>
        <v>451</v>
      </c>
    </row>
    <row r="157" spans="1:103">
      <c r="A157" s="982">
        <v>129000000004</v>
      </c>
      <c r="B157" s="1923">
        <f t="shared" si="80"/>
        <v>151</v>
      </c>
      <c r="C157" s="1895" t="s">
        <v>3046</v>
      </c>
      <c r="D157" s="1894" t="s">
        <v>2930</v>
      </c>
      <c r="E157" s="1895" t="s">
        <v>541</v>
      </c>
      <c r="F157" s="1894" t="s">
        <v>259</v>
      </c>
      <c r="G157" s="1924">
        <v>150</v>
      </c>
      <c r="H157" s="1894">
        <v>150</v>
      </c>
      <c r="I157" s="1894">
        <v>0</v>
      </c>
      <c r="J157" s="1894">
        <v>120</v>
      </c>
      <c r="K157" s="1894">
        <v>0</v>
      </c>
      <c r="L157" s="1894">
        <v>0</v>
      </c>
      <c r="M157" s="1894">
        <v>0</v>
      </c>
      <c r="N157" s="1894">
        <f t="shared" si="58"/>
        <v>0</v>
      </c>
      <c r="O157" s="1894">
        <f t="shared" si="59"/>
        <v>0</v>
      </c>
      <c r="P157" s="1894">
        <v>150</v>
      </c>
      <c r="Q157" s="1894">
        <v>0</v>
      </c>
      <c r="R157" s="1894">
        <v>120</v>
      </c>
      <c r="S157" s="1894">
        <v>0</v>
      </c>
      <c r="T157" s="1894">
        <v>0</v>
      </c>
      <c r="U157" s="1894">
        <v>0</v>
      </c>
      <c r="V157" s="1894">
        <f t="shared" si="60"/>
        <v>0</v>
      </c>
      <c r="W157" s="1894">
        <f t="shared" si="61"/>
        <v>0</v>
      </c>
      <c r="X157" s="1894">
        <v>150</v>
      </c>
      <c r="Y157" s="1894">
        <v>0</v>
      </c>
      <c r="Z157" s="1894">
        <v>120</v>
      </c>
      <c r="AA157" s="1894">
        <v>0</v>
      </c>
      <c r="AB157" s="1894">
        <v>0</v>
      </c>
      <c r="AC157" s="1894">
        <v>0</v>
      </c>
      <c r="AD157" s="1894">
        <f t="shared" si="62"/>
        <v>0</v>
      </c>
      <c r="AE157" s="1894">
        <f t="shared" si="63"/>
        <v>0</v>
      </c>
      <c r="AF157" s="1894">
        <v>150</v>
      </c>
      <c r="AG157" s="1894">
        <v>0</v>
      </c>
      <c r="AH157" s="1894">
        <v>120</v>
      </c>
      <c r="AI157" s="1894">
        <v>0</v>
      </c>
      <c r="AJ157" s="1894">
        <v>0</v>
      </c>
      <c r="AK157" s="1894">
        <v>0</v>
      </c>
      <c r="AL157" s="1894">
        <f t="shared" si="81"/>
        <v>0</v>
      </c>
      <c r="AM157" s="1894">
        <f t="shared" si="82"/>
        <v>0</v>
      </c>
      <c r="AN157" s="1894">
        <v>150</v>
      </c>
      <c r="AO157" s="1894">
        <v>0</v>
      </c>
      <c r="AP157" s="1894">
        <v>120</v>
      </c>
      <c r="AQ157" s="1894">
        <v>0</v>
      </c>
      <c r="AR157" s="1894">
        <v>0</v>
      </c>
      <c r="AS157" s="1894">
        <v>0</v>
      </c>
      <c r="AT157" s="1894">
        <f t="shared" si="64"/>
        <v>0</v>
      </c>
      <c r="AU157" s="1894">
        <f t="shared" si="65"/>
        <v>0</v>
      </c>
      <c r="AV157" s="1894">
        <v>150</v>
      </c>
      <c r="AW157" s="1894">
        <v>0</v>
      </c>
      <c r="AX157" s="1894">
        <v>120</v>
      </c>
      <c r="AY157" s="1894">
        <v>0</v>
      </c>
      <c r="AZ157" s="1894">
        <v>0</v>
      </c>
      <c r="BA157" s="1894">
        <v>0</v>
      </c>
      <c r="BB157" s="1894">
        <f t="shared" si="66"/>
        <v>0</v>
      </c>
      <c r="BC157" s="1894">
        <f t="shared" si="67"/>
        <v>0</v>
      </c>
      <c r="BD157" s="1894">
        <v>150</v>
      </c>
      <c r="BE157" s="1894">
        <v>0</v>
      </c>
      <c r="BF157" s="1894">
        <v>120</v>
      </c>
      <c r="BG157" s="1894">
        <v>0</v>
      </c>
      <c r="BH157" s="1894">
        <v>0</v>
      </c>
      <c r="BI157" s="1894">
        <v>0</v>
      </c>
      <c r="BJ157" s="1894">
        <f t="shared" si="68"/>
        <v>0</v>
      </c>
      <c r="BK157" s="1894">
        <f t="shared" si="69"/>
        <v>0</v>
      </c>
      <c r="BL157" s="1894">
        <v>150</v>
      </c>
      <c r="BM157" s="1894">
        <v>0</v>
      </c>
      <c r="BN157" s="1894">
        <v>120</v>
      </c>
      <c r="BO157" s="1894">
        <v>0</v>
      </c>
      <c r="BP157" s="1894">
        <v>0</v>
      </c>
      <c r="BQ157" s="1894">
        <v>0</v>
      </c>
      <c r="BR157" s="1894">
        <f t="shared" si="70"/>
        <v>0</v>
      </c>
      <c r="BS157" s="1894">
        <f t="shared" si="71"/>
        <v>0</v>
      </c>
      <c r="BT157" s="1894">
        <v>150</v>
      </c>
      <c r="BU157" s="1894">
        <v>0</v>
      </c>
      <c r="BV157" s="1894">
        <v>120</v>
      </c>
      <c r="BW157" s="1894">
        <v>0</v>
      </c>
      <c r="BX157" s="1894">
        <v>0</v>
      </c>
      <c r="BY157" s="1894">
        <v>0</v>
      </c>
      <c r="BZ157" s="1894">
        <f t="shared" si="72"/>
        <v>0</v>
      </c>
      <c r="CA157" s="1894">
        <f t="shared" si="73"/>
        <v>0</v>
      </c>
      <c r="CB157" s="1894">
        <v>150</v>
      </c>
      <c r="CC157" s="1894">
        <v>0</v>
      </c>
      <c r="CD157" s="1894">
        <v>120</v>
      </c>
      <c r="CE157" s="1894">
        <v>0</v>
      </c>
      <c r="CF157" s="1894">
        <v>0</v>
      </c>
      <c r="CG157" s="1894">
        <v>0</v>
      </c>
      <c r="CH157" s="1894">
        <f t="shared" si="74"/>
        <v>0</v>
      </c>
      <c r="CI157" s="1894">
        <f t="shared" si="75"/>
        <v>0</v>
      </c>
      <c r="CJ157" s="1894">
        <v>150</v>
      </c>
      <c r="CK157" s="1894">
        <v>0</v>
      </c>
      <c r="CL157" s="1894">
        <v>120</v>
      </c>
      <c r="CM157" s="1894">
        <v>0</v>
      </c>
      <c r="CN157" s="1894">
        <v>0</v>
      </c>
      <c r="CO157" s="1894">
        <v>0</v>
      </c>
      <c r="CP157" s="1894">
        <f t="shared" si="76"/>
        <v>0</v>
      </c>
      <c r="CQ157" s="1894">
        <f t="shared" si="77"/>
        <v>0</v>
      </c>
      <c r="CR157" s="1924">
        <v>150</v>
      </c>
      <c r="CS157" s="1924">
        <v>0</v>
      </c>
      <c r="CT157" s="1924">
        <v>120</v>
      </c>
      <c r="CU157" s="1924">
        <v>0</v>
      </c>
      <c r="CV157" s="1924">
        <v>0</v>
      </c>
      <c r="CW157" s="1924">
        <v>0</v>
      </c>
      <c r="CX157" s="1894">
        <f t="shared" si="78"/>
        <v>0</v>
      </c>
      <c r="CY157" s="1894">
        <f t="shared" si="79"/>
        <v>0</v>
      </c>
    </row>
    <row r="158" spans="1:103">
      <c r="A158" s="982">
        <v>122000000100</v>
      </c>
      <c r="B158" s="1923">
        <f t="shared" si="80"/>
        <v>152</v>
      </c>
      <c r="C158" s="1895" t="s">
        <v>3047</v>
      </c>
      <c r="D158" s="1894" t="s">
        <v>524</v>
      </c>
      <c r="E158" s="1895" t="s">
        <v>636</v>
      </c>
      <c r="F158" s="1894" t="s">
        <v>259</v>
      </c>
      <c r="G158" s="1924">
        <v>150</v>
      </c>
      <c r="H158" s="1894">
        <v>0</v>
      </c>
      <c r="I158" s="1894">
        <v>0</v>
      </c>
      <c r="J158" s="1894">
        <v>0</v>
      </c>
      <c r="K158" s="1894">
        <v>0</v>
      </c>
      <c r="L158" s="1894">
        <v>0</v>
      </c>
      <c r="M158" s="1894">
        <v>0</v>
      </c>
      <c r="N158" s="1894">
        <f t="shared" si="58"/>
        <v>0</v>
      </c>
      <c r="O158" s="1894">
        <f t="shared" si="59"/>
        <v>0</v>
      </c>
      <c r="P158" s="1894">
        <v>0</v>
      </c>
      <c r="Q158" s="1894">
        <v>0</v>
      </c>
      <c r="R158" s="1894">
        <v>0</v>
      </c>
      <c r="S158" s="1894">
        <v>0</v>
      </c>
      <c r="T158" s="1894">
        <v>0</v>
      </c>
      <c r="U158" s="1894">
        <v>0</v>
      </c>
      <c r="V158" s="1894">
        <f t="shared" si="60"/>
        <v>0</v>
      </c>
      <c r="W158" s="1894">
        <f t="shared" si="61"/>
        <v>0</v>
      </c>
      <c r="X158" s="1894">
        <v>0</v>
      </c>
      <c r="Y158" s="1894">
        <v>0</v>
      </c>
      <c r="Z158" s="1894">
        <v>0</v>
      </c>
      <c r="AA158" s="1894">
        <v>0</v>
      </c>
      <c r="AB158" s="1894">
        <v>0</v>
      </c>
      <c r="AC158" s="1894">
        <v>0</v>
      </c>
      <c r="AD158" s="1894">
        <f t="shared" si="62"/>
        <v>0</v>
      </c>
      <c r="AE158" s="1894">
        <f t="shared" si="63"/>
        <v>0</v>
      </c>
      <c r="AF158" s="1894">
        <v>0</v>
      </c>
      <c r="AG158" s="1894">
        <v>0</v>
      </c>
      <c r="AH158" s="1894">
        <v>0</v>
      </c>
      <c r="AI158" s="1894">
        <v>0</v>
      </c>
      <c r="AJ158" s="1894">
        <v>0</v>
      </c>
      <c r="AK158" s="1894">
        <v>0</v>
      </c>
      <c r="AL158" s="1894">
        <f t="shared" si="81"/>
        <v>0</v>
      </c>
      <c r="AM158" s="1894">
        <f t="shared" si="82"/>
        <v>0</v>
      </c>
      <c r="AN158" s="1894">
        <v>0</v>
      </c>
      <c r="AO158" s="1894">
        <v>0</v>
      </c>
      <c r="AP158" s="1894">
        <v>0</v>
      </c>
      <c r="AQ158" s="1894">
        <v>0</v>
      </c>
      <c r="AR158" s="1894">
        <v>0</v>
      </c>
      <c r="AS158" s="1894">
        <v>0</v>
      </c>
      <c r="AT158" s="1894">
        <f t="shared" si="64"/>
        <v>0</v>
      </c>
      <c r="AU158" s="1894">
        <f t="shared" si="65"/>
        <v>0</v>
      </c>
      <c r="AV158" s="1894">
        <v>0</v>
      </c>
      <c r="AW158" s="1894">
        <v>0</v>
      </c>
      <c r="AX158" s="1894">
        <v>0</v>
      </c>
      <c r="AY158" s="1894">
        <v>0</v>
      </c>
      <c r="AZ158" s="1894">
        <v>0</v>
      </c>
      <c r="BA158" s="1894">
        <v>0</v>
      </c>
      <c r="BB158" s="1894">
        <f t="shared" si="66"/>
        <v>0</v>
      </c>
      <c r="BC158" s="1894">
        <f t="shared" si="67"/>
        <v>0</v>
      </c>
      <c r="BD158" s="1894">
        <v>150</v>
      </c>
      <c r="BE158" s="1894">
        <v>4.16</v>
      </c>
      <c r="BF158" s="1894">
        <v>120</v>
      </c>
      <c r="BG158" s="1894">
        <v>0.22739999999999999</v>
      </c>
      <c r="BH158" s="1894">
        <v>78.81</v>
      </c>
      <c r="BI158" s="1894">
        <v>1495</v>
      </c>
      <c r="BJ158" s="1894">
        <f t="shared" si="68"/>
        <v>1857</v>
      </c>
      <c r="BK158" s="1894">
        <f t="shared" si="69"/>
        <v>0</v>
      </c>
      <c r="BL158" s="1894">
        <v>150</v>
      </c>
      <c r="BM158" s="1894">
        <v>5.12</v>
      </c>
      <c r="BN158" s="1894">
        <v>120</v>
      </c>
      <c r="BO158" s="1894">
        <v>0.26479999999999998</v>
      </c>
      <c r="BP158" s="1894">
        <v>68.41</v>
      </c>
      <c r="BQ158" s="1894">
        <v>2522</v>
      </c>
      <c r="BR158" s="1894">
        <f t="shared" si="70"/>
        <v>2212</v>
      </c>
      <c r="BS158" s="1894">
        <f t="shared" si="71"/>
        <v>310</v>
      </c>
      <c r="BT158" s="1894">
        <v>150</v>
      </c>
      <c r="BU158" s="1894">
        <v>4.6399999999999997</v>
      </c>
      <c r="BV158" s="1894">
        <v>120</v>
      </c>
      <c r="BW158" s="1894">
        <v>0.28870000000000001</v>
      </c>
      <c r="BX158" s="1894">
        <v>74.33</v>
      </c>
      <c r="BY158" s="1894">
        <v>2566</v>
      </c>
      <c r="BZ158" s="1894">
        <f t="shared" si="72"/>
        <v>2071</v>
      </c>
      <c r="CA158" s="1894">
        <f t="shared" si="73"/>
        <v>495</v>
      </c>
      <c r="CB158" s="1894">
        <v>150</v>
      </c>
      <c r="CC158" s="1894">
        <v>4.72</v>
      </c>
      <c r="CD158" s="1894">
        <v>120</v>
      </c>
      <c r="CE158" s="1894">
        <v>0.29570000000000002</v>
      </c>
      <c r="CF158" s="1894">
        <v>68.94</v>
      </c>
      <c r="CG158" s="1894">
        <v>2421</v>
      </c>
      <c r="CH158" s="1894">
        <f t="shared" si="74"/>
        <v>2107</v>
      </c>
      <c r="CI158" s="1894">
        <f t="shared" si="75"/>
        <v>314</v>
      </c>
      <c r="CJ158" s="1894">
        <v>150</v>
      </c>
      <c r="CK158" s="1894">
        <v>4.5600000000000005</v>
      </c>
      <c r="CL158" s="1894">
        <v>120</v>
      </c>
      <c r="CM158" s="1894">
        <v>0.30420000000000003</v>
      </c>
      <c r="CN158" s="1894">
        <v>68.86</v>
      </c>
      <c r="CO158" s="1894">
        <v>2110</v>
      </c>
      <c r="CP158" s="1894">
        <f t="shared" si="76"/>
        <v>1839</v>
      </c>
      <c r="CQ158" s="1894">
        <f t="shared" si="77"/>
        <v>271</v>
      </c>
      <c r="CR158" s="1924">
        <v>150</v>
      </c>
      <c r="CS158" s="1924">
        <v>5.28</v>
      </c>
      <c r="CT158" s="1924">
        <v>120</v>
      </c>
      <c r="CU158" s="1924">
        <v>0.34200000000000003</v>
      </c>
      <c r="CV158" s="1924">
        <v>57.61</v>
      </c>
      <c r="CW158" s="1924">
        <v>2263</v>
      </c>
      <c r="CX158" s="1894">
        <f t="shared" si="78"/>
        <v>2357</v>
      </c>
      <c r="CY158" s="1894">
        <f t="shared" si="79"/>
        <v>0</v>
      </c>
    </row>
    <row r="159" spans="1:103">
      <c r="A159" s="982">
        <v>611000000055</v>
      </c>
      <c r="B159" s="1923">
        <f t="shared" si="80"/>
        <v>153</v>
      </c>
      <c r="C159" s="1895" t="s">
        <v>3048</v>
      </c>
      <c r="D159" s="1894" t="s">
        <v>524</v>
      </c>
      <c r="E159" s="1895" t="s">
        <v>636</v>
      </c>
      <c r="F159" s="1894" t="s">
        <v>259</v>
      </c>
      <c r="G159" s="1924">
        <v>150</v>
      </c>
      <c r="H159" s="1894">
        <v>150</v>
      </c>
      <c r="I159" s="1894">
        <v>123.92</v>
      </c>
      <c r="J159" s="1894">
        <v>123.92</v>
      </c>
      <c r="K159" s="1894">
        <v>0.96450000000000002</v>
      </c>
      <c r="L159" s="1894">
        <v>63.4</v>
      </c>
      <c r="M159" s="1894">
        <v>56565</v>
      </c>
      <c r="N159" s="1894">
        <f t="shared" si="58"/>
        <v>53533</v>
      </c>
      <c r="O159" s="1894">
        <f t="shared" si="59"/>
        <v>3032</v>
      </c>
      <c r="P159" s="1894">
        <v>150</v>
      </c>
      <c r="Q159" s="1894">
        <v>128.4</v>
      </c>
      <c r="R159" s="1894">
        <v>128.4</v>
      </c>
      <c r="S159" s="1894">
        <v>0.96150000000000002</v>
      </c>
      <c r="T159" s="1894">
        <v>57.12</v>
      </c>
      <c r="U159" s="1894">
        <v>54562</v>
      </c>
      <c r="V159" s="1894">
        <f t="shared" si="60"/>
        <v>57318</v>
      </c>
      <c r="W159" s="1894">
        <f t="shared" si="61"/>
        <v>0</v>
      </c>
      <c r="X159" s="1894">
        <v>150</v>
      </c>
      <c r="Y159" s="1894">
        <v>125.12</v>
      </c>
      <c r="Z159" s="1894">
        <v>125.12</v>
      </c>
      <c r="AA159" s="1894">
        <v>0.9677</v>
      </c>
      <c r="AB159" s="1894">
        <v>57.91</v>
      </c>
      <c r="AC159" s="1894">
        <v>52170</v>
      </c>
      <c r="AD159" s="1894">
        <f t="shared" si="62"/>
        <v>54052</v>
      </c>
      <c r="AE159" s="1894">
        <f t="shared" si="63"/>
        <v>0</v>
      </c>
      <c r="AF159" s="1894">
        <v>150</v>
      </c>
      <c r="AG159" s="1894">
        <v>130.07999999999998</v>
      </c>
      <c r="AH159" s="1894">
        <v>130.08000000000001</v>
      </c>
      <c r="AI159" s="1894">
        <v>0.97</v>
      </c>
      <c r="AJ159" s="1894">
        <v>52.1</v>
      </c>
      <c r="AK159" s="1894">
        <v>50421</v>
      </c>
      <c r="AL159" s="1894">
        <f t="shared" si="81"/>
        <v>58068</v>
      </c>
      <c r="AM159" s="1894">
        <f t="shared" si="82"/>
        <v>0</v>
      </c>
      <c r="AN159" s="1894">
        <v>150</v>
      </c>
      <c r="AO159" s="1894">
        <v>107.75999999999999</v>
      </c>
      <c r="AP159" s="1894">
        <v>120</v>
      </c>
      <c r="AQ159" s="1894">
        <v>0.96340000000000003</v>
      </c>
      <c r="AR159" s="1894">
        <v>62.7</v>
      </c>
      <c r="AS159" s="1894">
        <v>50268</v>
      </c>
      <c r="AT159" s="1894">
        <f t="shared" si="64"/>
        <v>48104</v>
      </c>
      <c r="AU159" s="1894">
        <f t="shared" si="65"/>
        <v>2164</v>
      </c>
      <c r="AV159" s="1894">
        <v>150</v>
      </c>
      <c r="AW159" s="1894">
        <v>126.88</v>
      </c>
      <c r="AX159" s="1894">
        <v>126.88</v>
      </c>
      <c r="AY159" s="1894">
        <v>0.97940000000000005</v>
      </c>
      <c r="AZ159" s="1894">
        <v>55.85</v>
      </c>
      <c r="BA159" s="1894">
        <v>51017</v>
      </c>
      <c r="BB159" s="1894">
        <f t="shared" si="66"/>
        <v>54812</v>
      </c>
      <c r="BC159" s="1894">
        <f t="shared" si="67"/>
        <v>0</v>
      </c>
      <c r="BD159" s="1894">
        <v>150</v>
      </c>
      <c r="BE159" s="1894">
        <v>126.08</v>
      </c>
      <c r="BF159" s="1894">
        <v>126.08</v>
      </c>
      <c r="BG159" s="1894">
        <v>0.96640000000000004</v>
      </c>
      <c r="BH159" s="1894">
        <v>49.83</v>
      </c>
      <c r="BI159" s="1894">
        <v>46738</v>
      </c>
      <c r="BJ159" s="1894">
        <f t="shared" si="68"/>
        <v>56282</v>
      </c>
      <c r="BK159" s="1894">
        <f t="shared" si="69"/>
        <v>0</v>
      </c>
      <c r="BL159" s="1894">
        <v>150</v>
      </c>
      <c r="BM159" s="1894">
        <v>108.72</v>
      </c>
      <c r="BN159" s="1894">
        <v>120</v>
      </c>
      <c r="BO159" s="1894">
        <v>0.95709999999999995</v>
      </c>
      <c r="BP159" s="1894">
        <v>49.89</v>
      </c>
      <c r="BQ159" s="1894">
        <v>39053</v>
      </c>
      <c r="BR159" s="1894">
        <f t="shared" si="70"/>
        <v>46967</v>
      </c>
      <c r="BS159" s="1894">
        <f t="shared" si="71"/>
        <v>0</v>
      </c>
      <c r="BT159" s="1894">
        <v>150</v>
      </c>
      <c r="BU159" s="1894">
        <v>97.6</v>
      </c>
      <c r="BV159" s="1894">
        <v>120</v>
      </c>
      <c r="BW159" s="1894">
        <v>0.95009999999999994</v>
      </c>
      <c r="BX159" s="1894">
        <v>50.39</v>
      </c>
      <c r="BY159" s="1894">
        <v>36594</v>
      </c>
      <c r="BZ159" s="1894">
        <f t="shared" si="72"/>
        <v>43569</v>
      </c>
      <c r="CA159" s="1894">
        <f t="shared" si="73"/>
        <v>0</v>
      </c>
      <c r="CB159" s="1894">
        <v>150</v>
      </c>
      <c r="CC159" s="1894">
        <v>104.24</v>
      </c>
      <c r="CD159" s="1894">
        <v>120</v>
      </c>
      <c r="CE159" s="1894">
        <v>0.95650000000000002</v>
      </c>
      <c r="CF159" s="1894">
        <v>46.24</v>
      </c>
      <c r="CG159" s="1894">
        <v>35861</v>
      </c>
      <c r="CH159" s="1894">
        <f t="shared" si="74"/>
        <v>46533</v>
      </c>
      <c r="CI159" s="1894">
        <f t="shared" si="75"/>
        <v>0</v>
      </c>
      <c r="CJ159" s="1894">
        <v>150</v>
      </c>
      <c r="CK159" s="1894">
        <v>97.6</v>
      </c>
      <c r="CL159" s="1894">
        <v>120</v>
      </c>
      <c r="CM159" s="1894">
        <v>0.94410000000000005</v>
      </c>
      <c r="CN159" s="1894">
        <v>55.4</v>
      </c>
      <c r="CO159" s="1894">
        <v>36335</v>
      </c>
      <c r="CP159" s="1894">
        <f t="shared" si="76"/>
        <v>39352</v>
      </c>
      <c r="CQ159" s="1894">
        <f t="shared" si="77"/>
        <v>0</v>
      </c>
      <c r="CR159" s="1924">
        <v>150</v>
      </c>
      <c r="CS159" s="1924">
        <v>113.6</v>
      </c>
      <c r="CT159" s="1924">
        <v>120</v>
      </c>
      <c r="CU159" s="1924">
        <v>0.95230000000000004</v>
      </c>
      <c r="CV159" s="1924">
        <v>52.57</v>
      </c>
      <c r="CW159" s="1924">
        <v>44433</v>
      </c>
      <c r="CX159" s="1894">
        <f t="shared" si="78"/>
        <v>50711</v>
      </c>
      <c r="CY159" s="1894">
        <f t="shared" si="79"/>
        <v>0</v>
      </c>
    </row>
    <row r="160" spans="1:103">
      <c r="A160" s="982">
        <v>611000000079</v>
      </c>
      <c r="B160" s="1923">
        <f t="shared" si="80"/>
        <v>154</v>
      </c>
      <c r="C160" s="1895" t="s">
        <v>3049</v>
      </c>
      <c r="D160" s="1894" t="s">
        <v>524</v>
      </c>
      <c r="E160" s="1895" t="s">
        <v>636</v>
      </c>
      <c r="F160" s="1894" t="s">
        <v>259</v>
      </c>
      <c r="G160" s="1924">
        <v>150</v>
      </c>
      <c r="H160" s="1894">
        <v>150</v>
      </c>
      <c r="I160" s="1894">
        <v>90</v>
      </c>
      <c r="J160" s="1894">
        <v>120</v>
      </c>
      <c r="K160" s="1894">
        <v>0.80069999999999997</v>
      </c>
      <c r="L160" s="1894">
        <v>27.98</v>
      </c>
      <c r="M160" s="1894">
        <v>18132</v>
      </c>
      <c r="N160" s="1894">
        <f t="shared" si="58"/>
        <v>38880</v>
      </c>
      <c r="O160" s="1894">
        <f t="shared" si="59"/>
        <v>0</v>
      </c>
      <c r="P160" s="1894">
        <v>150</v>
      </c>
      <c r="Q160" s="1894">
        <v>94.8</v>
      </c>
      <c r="R160" s="1894">
        <v>120</v>
      </c>
      <c r="S160" s="1894">
        <v>0.84089999999999998</v>
      </c>
      <c r="T160" s="1894">
        <v>28.83</v>
      </c>
      <c r="U160" s="1894">
        <v>20337</v>
      </c>
      <c r="V160" s="1894">
        <f t="shared" si="60"/>
        <v>42319</v>
      </c>
      <c r="W160" s="1894">
        <f t="shared" si="61"/>
        <v>0</v>
      </c>
      <c r="X160" s="1894">
        <v>150</v>
      </c>
      <c r="Y160" s="1894">
        <v>67.2</v>
      </c>
      <c r="Z160" s="1894">
        <v>120</v>
      </c>
      <c r="AA160" s="1894">
        <v>0.7802</v>
      </c>
      <c r="AB160" s="1894">
        <v>36.9</v>
      </c>
      <c r="AC160" s="1894">
        <v>17853</v>
      </c>
      <c r="AD160" s="1894">
        <f t="shared" si="62"/>
        <v>29030</v>
      </c>
      <c r="AE160" s="1894">
        <f t="shared" si="63"/>
        <v>0</v>
      </c>
      <c r="AF160" s="1894">
        <v>150</v>
      </c>
      <c r="AG160" s="1894">
        <v>94.559999999999988</v>
      </c>
      <c r="AH160" s="1894">
        <v>120</v>
      </c>
      <c r="AI160" s="1894">
        <v>0.84709999999999996</v>
      </c>
      <c r="AJ160" s="1894">
        <v>34.200000000000003</v>
      </c>
      <c r="AK160" s="1894">
        <v>24063</v>
      </c>
      <c r="AL160" s="1894">
        <f t="shared" si="81"/>
        <v>42212</v>
      </c>
      <c r="AM160" s="1894">
        <f t="shared" si="82"/>
        <v>0</v>
      </c>
      <c r="AN160" s="1894">
        <v>150</v>
      </c>
      <c r="AO160" s="1894">
        <v>98.88</v>
      </c>
      <c r="AP160" s="1894">
        <v>120</v>
      </c>
      <c r="AQ160" s="1894">
        <v>0.90480000000000005</v>
      </c>
      <c r="AR160" s="1894">
        <v>37.840000000000003</v>
      </c>
      <c r="AS160" s="1894">
        <v>27837</v>
      </c>
      <c r="AT160" s="1894">
        <f t="shared" si="64"/>
        <v>44140</v>
      </c>
      <c r="AU160" s="1894">
        <f t="shared" si="65"/>
        <v>0</v>
      </c>
      <c r="AV160" s="1894">
        <v>150</v>
      </c>
      <c r="AW160" s="1894">
        <v>64.320000000000007</v>
      </c>
      <c r="AX160" s="1894">
        <v>120</v>
      </c>
      <c r="AY160" s="1894">
        <v>0.84199999999999997</v>
      </c>
      <c r="AZ160" s="1894">
        <v>43.23</v>
      </c>
      <c r="BA160" s="1894">
        <v>20022</v>
      </c>
      <c r="BB160" s="1894">
        <f t="shared" si="66"/>
        <v>27786</v>
      </c>
      <c r="BC160" s="1894">
        <f t="shared" si="67"/>
        <v>0</v>
      </c>
      <c r="BD160" s="1894">
        <v>150</v>
      </c>
      <c r="BE160" s="1894">
        <v>74.400000000000006</v>
      </c>
      <c r="BF160" s="1894">
        <v>120</v>
      </c>
      <c r="BG160" s="1894">
        <v>0.75719999999999998</v>
      </c>
      <c r="BH160" s="1894">
        <v>33.200000000000003</v>
      </c>
      <c r="BI160" s="1894">
        <v>18375</v>
      </c>
      <c r="BJ160" s="1894">
        <f t="shared" si="68"/>
        <v>33212</v>
      </c>
      <c r="BK160" s="1894">
        <f t="shared" si="69"/>
        <v>0</v>
      </c>
      <c r="BL160" s="1894">
        <v>150</v>
      </c>
      <c r="BM160" s="1894">
        <v>56.64</v>
      </c>
      <c r="BN160" s="1894">
        <v>120</v>
      </c>
      <c r="BO160" s="1894">
        <v>0.65390000000000004</v>
      </c>
      <c r="BP160" s="1894">
        <v>39.26</v>
      </c>
      <c r="BQ160" s="1894">
        <v>16011</v>
      </c>
      <c r="BR160" s="1894">
        <f t="shared" si="70"/>
        <v>24468</v>
      </c>
      <c r="BS160" s="1894">
        <f t="shared" si="71"/>
        <v>0</v>
      </c>
      <c r="BT160" s="1894">
        <v>150</v>
      </c>
      <c r="BU160" s="1894">
        <v>75.599999999999994</v>
      </c>
      <c r="BV160" s="1894">
        <v>120</v>
      </c>
      <c r="BW160" s="1894">
        <v>0.66110000000000002</v>
      </c>
      <c r="BX160" s="1894">
        <v>27.27</v>
      </c>
      <c r="BY160" s="1894">
        <v>15336</v>
      </c>
      <c r="BZ160" s="1894">
        <f t="shared" si="72"/>
        <v>33748</v>
      </c>
      <c r="CA160" s="1894">
        <f t="shared" si="73"/>
        <v>0</v>
      </c>
      <c r="CB160" s="1894">
        <v>150</v>
      </c>
      <c r="CC160" s="1894">
        <v>35.76</v>
      </c>
      <c r="CD160" s="1894">
        <v>120</v>
      </c>
      <c r="CE160" s="1894">
        <v>0.68740000000000001</v>
      </c>
      <c r="CF160" s="1894">
        <v>49.49</v>
      </c>
      <c r="CG160" s="1894">
        <v>13167</v>
      </c>
      <c r="CH160" s="1894">
        <f t="shared" si="74"/>
        <v>15963</v>
      </c>
      <c r="CI160" s="1894">
        <f t="shared" si="75"/>
        <v>0</v>
      </c>
      <c r="CJ160" s="1894">
        <v>150</v>
      </c>
      <c r="CK160" s="1894">
        <v>76.320000000000007</v>
      </c>
      <c r="CL160" s="1894">
        <v>120</v>
      </c>
      <c r="CM160" s="1894">
        <v>0.79259999999999997</v>
      </c>
      <c r="CN160" s="1894">
        <v>30.07</v>
      </c>
      <c r="CO160" s="1894">
        <v>15423</v>
      </c>
      <c r="CP160" s="1894">
        <f t="shared" si="76"/>
        <v>30772</v>
      </c>
      <c r="CQ160" s="1894">
        <f t="shared" si="77"/>
        <v>0</v>
      </c>
      <c r="CR160" s="1924">
        <v>150</v>
      </c>
      <c r="CS160" s="1924">
        <v>62.88</v>
      </c>
      <c r="CT160" s="1924">
        <v>120</v>
      </c>
      <c r="CU160" s="1924">
        <v>0.81540000000000001</v>
      </c>
      <c r="CV160" s="1924">
        <v>38.229999999999997</v>
      </c>
      <c r="CW160" s="1924">
        <v>17883</v>
      </c>
      <c r="CX160" s="1894">
        <f t="shared" si="78"/>
        <v>28070</v>
      </c>
      <c r="CY160" s="1894">
        <f t="shared" si="79"/>
        <v>0</v>
      </c>
    </row>
    <row r="161" spans="1:103">
      <c r="A161" s="982">
        <v>611000000083</v>
      </c>
      <c r="B161" s="1923">
        <f t="shared" si="80"/>
        <v>155</v>
      </c>
      <c r="C161" s="1895" t="s">
        <v>3050</v>
      </c>
      <c r="D161" s="1894" t="s">
        <v>524</v>
      </c>
      <c r="E161" s="1895" t="s">
        <v>636</v>
      </c>
      <c r="F161" s="1894" t="s">
        <v>259</v>
      </c>
      <c r="G161" s="1924">
        <v>150</v>
      </c>
      <c r="H161" s="1894">
        <v>150</v>
      </c>
      <c r="I161" s="1894">
        <v>13.44</v>
      </c>
      <c r="J161" s="1894">
        <v>120</v>
      </c>
      <c r="K161" s="1894">
        <v>0.89259999999999995</v>
      </c>
      <c r="L161" s="1894">
        <v>39.950000000000003</v>
      </c>
      <c r="M161" s="1894">
        <v>3866</v>
      </c>
      <c r="N161" s="1894">
        <f t="shared" si="58"/>
        <v>5806</v>
      </c>
      <c r="O161" s="1894">
        <f t="shared" si="59"/>
        <v>0</v>
      </c>
      <c r="P161" s="1894">
        <v>150</v>
      </c>
      <c r="Q161" s="1894">
        <v>16.64</v>
      </c>
      <c r="R161" s="1894">
        <v>120</v>
      </c>
      <c r="S161" s="1894">
        <v>0.90380000000000005</v>
      </c>
      <c r="T161" s="1894">
        <v>31.66</v>
      </c>
      <c r="U161" s="1894">
        <v>3920</v>
      </c>
      <c r="V161" s="1894">
        <f t="shared" si="60"/>
        <v>7428</v>
      </c>
      <c r="W161" s="1894">
        <f t="shared" si="61"/>
        <v>0</v>
      </c>
      <c r="X161" s="1894">
        <v>150</v>
      </c>
      <c r="Y161" s="1894">
        <v>16.72</v>
      </c>
      <c r="Z161" s="1894">
        <v>120</v>
      </c>
      <c r="AA161" s="1894">
        <v>0.87560000000000004</v>
      </c>
      <c r="AB161" s="1894">
        <v>31.41</v>
      </c>
      <c r="AC161" s="1894">
        <v>3781</v>
      </c>
      <c r="AD161" s="1894">
        <f t="shared" si="62"/>
        <v>7223</v>
      </c>
      <c r="AE161" s="1894">
        <f t="shared" si="63"/>
        <v>0</v>
      </c>
      <c r="AF161" s="1894">
        <v>150</v>
      </c>
      <c r="AG161" s="1894">
        <v>26</v>
      </c>
      <c r="AH161" s="1894">
        <v>120</v>
      </c>
      <c r="AI161" s="1894">
        <v>0.87009999999999998</v>
      </c>
      <c r="AJ161" s="1894">
        <v>16.96</v>
      </c>
      <c r="AK161" s="1894">
        <v>3281</v>
      </c>
      <c r="AL161" s="1894">
        <f t="shared" si="81"/>
        <v>11606</v>
      </c>
      <c r="AM161" s="1894">
        <f t="shared" si="82"/>
        <v>0</v>
      </c>
      <c r="AN161" s="1894">
        <v>150</v>
      </c>
      <c r="AO161" s="1894">
        <v>15.52</v>
      </c>
      <c r="AP161" s="1894">
        <v>120</v>
      </c>
      <c r="AQ161" s="1894">
        <v>0.86850000000000005</v>
      </c>
      <c r="AR161" s="1894">
        <v>29.83</v>
      </c>
      <c r="AS161" s="1894">
        <v>3445</v>
      </c>
      <c r="AT161" s="1894">
        <f t="shared" si="64"/>
        <v>6928</v>
      </c>
      <c r="AU161" s="1894">
        <f t="shared" si="65"/>
        <v>0</v>
      </c>
      <c r="AV161" s="1894">
        <v>150</v>
      </c>
      <c r="AW161" s="1894">
        <v>17.760000000000002</v>
      </c>
      <c r="AX161" s="1894">
        <v>120</v>
      </c>
      <c r="AY161" s="1894">
        <v>0.87929999999999997</v>
      </c>
      <c r="AZ161" s="1894">
        <v>30.6</v>
      </c>
      <c r="BA161" s="1894">
        <v>3913</v>
      </c>
      <c r="BB161" s="1894">
        <f t="shared" si="66"/>
        <v>7672</v>
      </c>
      <c r="BC161" s="1894">
        <f t="shared" si="67"/>
        <v>0</v>
      </c>
      <c r="BD161" s="1894">
        <v>150</v>
      </c>
      <c r="BE161" s="1894">
        <v>14.16</v>
      </c>
      <c r="BF161" s="1894">
        <v>120</v>
      </c>
      <c r="BG161" s="1894">
        <v>0.9022</v>
      </c>
      <c r="BH161" s="1894">
        <v>26.51</v>
      </c>
      <c r="BI161" s="1894">
        <v>2793</v>
      </c>
      <c r="BJ161" s="1894">
        <f t="shared" si="68"/>
        <v>6321</v>
      </c>
      <c r="BK161" s="1894">
        <f t="shared" si="69"/>
        <v>0</v>
      </c>
      <c r="BL161" s="1894">
        <v>150</v>
      </c>
      <c r="BM161" s="1894">
        <v>11.28</v>
      </c>
      <c r="BN161" s="1894">
        <v>120</v>
      </c>
      <c r="BO161" s="1894">
        <v>0.78910000000000002</v>
      </c>
      <c r="BP161" s="1894">
        <v>27.21</v>
      </c>
      <c r="BQ161" s="1894">
        <v>2210</v>
      </c>
      <c r="BR161" s="1894">
        <f t="shared" si="70"/>
        <v>4873</v>
      </c>
      <c r="BS161" s="1894">
        <f t="shared" si="71"/>
        <v>0</v>
      </c>
      <c r="BT161" s="1894">
        <v>150</v>
      </c>
      <c r="BU161" s="1894">
        <v>7.9200000000000008</v>
      </c>
      <c r="BV161" s="1894">
        <v>120</v>
      </c>
      <c r="BW161" s="1894">
        <v>0.88929999999999998</v>
      </c>
      <c r="BX161" s="1894">
        <v>31.43</v>
      </c>
      <c r="BY161" s="1894">
        <v>1852</v>
      </c>
      <c r="BZ161" s="1894">
        <f t="shared" si="72"/>
        <v>3535</v>
      </c>
      <c r="CA161" s="1894">
        <f t="shared" si="73"/>
        <v>0</v>
      </c>
      <c r="CB161" s="1894">
        <v>150</v>
      </c>
      <c r="CC161" s="1894">
        <v>6.72</v>
      </c>
      <c r="CD161" s="1894">
        <v>120</v>
      </c>
      <c r="CE161" s="1894">
        <v>0.92030000000000001</v>
      </c>
      <c r="CF161" s="1894">
        <v>34.42</v>
      </c>
      <c r="CG161" s="1894">
        <v>1721</v>
      </c>
      <c r="CH161" s="1894">
        <f t="shared" si="74"/>
        <v>3000</v>
      </c>
      <c r="CI161" s="1894">
        <f t="shared" si="75"/>
        <v>0</v>
      </c>
      <c r="CJ161" s="1894">
        <v>150</v>
      </c>
      <c r="CK161" s="1894">
        <v>9.6</v>
      </c>
      <c r="CL161" s="1894">
        <v>120</v>
      </c>
      <c r="CM161" s="1894">
        <v>0.88329999999999997</v>
      </c>
      <c r="CN161" s="1894">
        <v>28.83</v>
      </c>
      <c r="CO161" s="1894">
        <v>1860</v>
      </c>
      <c r="CP161" s="1894">
        <f t="shared" si="76"/>
        <v>3871</v>
      </c>
      <c r="CQ161" s="1894">
        <f t="shared" si="77"/>
        <v>0</v>
      </c>
      <c r="CR161" s="1924">
        <v>150</v>
      </c>
      <c r="CS161" s="1924">
        <v>19.12</v>
      </c>
      <c r="CT161" s="1924">
        <v>120</v>
      </c>
      <c r="CU161" s="1924">
        <v>0.93489999999999995</v>
      </c>
      <c r="CV161" s="1924">
        <v>18.36</v>
      </c>
      <c r="CW161" s="1924">
        <v>2612</v>
      </c>
      <c r="CX161" s="1894">
        <f t="shared" si="78"/>
        <v>8535</v>
      </c>
      <c r="CY161" s="1894">
        <f t="shared" si="79"/>
        <v>0</v>
      </c>
    </row>
    <row r="162" spans="1:103">
      <c r="A162" s="982">
        <v>621000000049</v>
      </c>
      <c r="B162" s="1923">
        <f t="shared" si="80"/>
        <v>156</v>
      </c>
      <c r="C162" s="1895" t="s">
        <v>3019</v>
      </c>
      <c r="D162" s="1894" t="s">
        <v>2930</v>
      </c>
      <c r="E162" s="1895" t="s">
        <v>541</v>
      </c>
      <c r="F162" s="1894" t="s">
        <v>259</v>
      </c>
      <c r="G162" s="1924">
        <v>150</v>
      </c>
      <c r="H162" s="1894">
        <v>150</v>
      </c>
      <c r="I162" s="1894">
        <v>10.08</v>
      </c>
      <c r="J162" s="1894">
        <v>120</v>
      </c>
      <c r="K162" s="1894">
        <v>0.69399999999999995</v>
      </c>
      <c r="L162" s="1894">
        <v>55.39</v>
      </c>
      <c r="M162" s="1894">
        <v>670</v>
      </c>
      <c r="N162" s="1894">
        <f t="shared" si="58"/>
        <v>4355</v>
      </c>
      <c r="O162" s="1894">
        <f t="shared" si="59"/>
        <v>0</v>
      </c>
      <c r="P162" s="1894">
        <v>150</v>
      </c>
      <c r="Q162" s="1894">
        <v>0</v>
      </c>
      <c r="R162" s="1894">
        <v>120</v>
      </c>
      <c r="S162" s="1894">
        <v>0</v>
      </c>
      <c r="T162" s="1894">
        <v>0</v>
      </c>
      <c r="U162" s="1894">
        <v>0</v>
      </c>
      <c r="V162" s="1894">
        <f t="shared" si="60"/>
        <v>0</v>
      </c>
      <c r="W162" s="1894">
        <f t="shared" si="61"/>
        <v>0</v>
      </c>
      <c r="X162" s="1894">
        <v>150</v>
      </c>
      <c r="Y162" s="1894">
        <v>0</v>
      </c>
      <c r="Z162" s="1894">
        <v>120</v>
      </c>
      <c r="AA162" s="1894">
        <v>0</v>
      </c>
      <c r="AB162" s="1894">
        <v>0</v>
      </c>
      <c r="AC162" s="1894">
        <v>0</v>
      </c>
      <c r="AD162" s="1894">
        <f t="shared" si="62"/>
        <v>0</v>
      </c>
      <c r="AE162" s="1894">
        <f t="shared" si="63"/>
        <v>0</v>
      </c>
      <c r="AF162" s="1894">
        <v>150</v>
      </c>
      <c r="AG162" s="1894">
        <v>0</v>
      </c>
      <c r="AH162" s="1894">
        <v>120</v>
      </c>
      <c r="AI162" s="1894">
        <v>0</v>
      </c>
      <c r="AJ162" s="1894">
        <v>0</v>
      </c>
      <c r="AK162" s="1894">
        <v>0</v>
      </c>
      <c r="AL162" s="1894">
        <f t="shared" si="81"/>
        <v>0</v>
      </c>
      <c r="AM162" s="1894">
        <f t="shared" si="82"/>
        <v>0</v>
      </c>
      <c r="AN162" s="1894">
        <v>150</v>
      </c>
      <c r="AO162" s="1894">
        <v>0</v>
      </c>
      <c r="AP162" s="1894">
        <v>120</v>
      </c>
      <c r="AQ162" s="1894">
        <v>0</v>
      </c>
      <c r="AR162" s="1894">
        <v>0</v>
      </c>
      <c r="AS162" s="1894">
        <v>0</v>
      </c>
      <c r="AT162" s="1894">
        <f t="shared" si="64"/>
        <v>0</v>
      </c>
      <c r="AU162" s="1894">
        <f t="shared" si="65"/>
        <v>0</v>
      </c>
      <c r="AV162" s="1894">
        <v>150</v>
      </c>
      <c r="AW162" s="1894">
        <v>0</v>
      </c>
      <c r="AX162" s="1894">
        <v>120</v>
      </c>
      <c r="AY162" s="1894">
        <v>0</v>
      </c>
      <c r="AZ162" s="1894">
        <v>0</v>
      </c>
      <c r="BA162" s="1894">
        <v>0</v>
      </c>
      <c r="BB162" s="1894">
        <f t="shared" si="66"/>
        <v>0</v>
      </c>
      <c r="BC162" s="1894">
        <f t="shared" si="67"/>
        <v>0</v>
      </c>
      <c r="BD162" s="1894">
        <v>150</v>
      </c>
      <c r="BE162" s="1894">
        <v>0</v>
      </c>
      <c r="BF162" s="1894">
        <v>120</v>
      </c>
      <c r="BG162" s="1894">
        <v>0</v>
      </c>
      <c r="BH162" s="1894">
        <v>0</v>
      </c>
      <c r="BI162" s="1894">
        <v>0</v>
      </c>
      <c r="BJ162" s="1894">
        <f t="shared" si="68"/>
        <v>0</v>
      </c>
      <c r="BK162" s="1894">
        <f t="shared" si="69"/>
        <v>0</v>
      </c>
      <c r="BL162" s="1894">
        <v>150</v>
      </c>
      <c r="BM162" s="1894">
        <v>0</v>
      </c>
      <c r="BN162" s="1894">
        <v>120</v>
      </c>
      <c r="BO162" s="1894">
        <v>0</v>
      </c>
      <c r="BP162" s="1894">
        <v>0</v>
      </c>
      <c r="BQ162" s="1894">
        <v>0</v>
      </c>
      <c r="BR162" s="1894">
        <f t="shared" si="70"/>
        <v>0</v>
      </c>
      <c r="BS162" s="1894">
        <f t="shared" si="71"/>
        <v>0</v>
      </c>
      <c r="BT162" s="1894">
        <v>150</v>
      </c>
      <c r="BU162" s="1894">
        <v>0</v>
      </c>
      <c r="BV162" s="1894">
        <v>120</v>
      </c>
      <c r="BW162" s="1894">
        <v>0</v>
      </c>
      <c r="BX162" s="1894">
        <v>0</v>
      </c>
      <c r="BY162" s="1894">
        <v>0</v>
      </c>
      <c r="BZ162" s="1894">
        <f t="shared" si="72"/>
        <v>0</v>
      </c>
      <c r="CA162" s="1894">
        <f t="shared" si="73"/>
        <v>0</v>
      </c>
      <c r="CB162" s="1894">
        <v>150</v>
      </c>
      <c r="CC162" s="1894">
        <v>0</v>
      </c>
      <c r="CD162" s="1894">
        <v>120</v>
      </c>
      <c r="CE162" s="1894">
        <v>0</v>
      </c>
      <c r="CF162" s="1894">
        <v>0</v>
      </c>
      <c r="CG162" s="1894">
        <v>0</v>
      </c>
      <c r="CH162" s="1894">
        <f t="shared" si="74"/>
        <v>0</v>
      </c>
      <c r="CI162" s="1894">
        <f t="shared" si="75"/>
        <v>0</v>
      </c>
      <c r="CJ162" s="1894">
        <v>150</v>
      </c>
      <c r="CK162" s="1894">
        <v>0</v>
      </c>
      <c r="CL162" s="1894">
        <v>120</v>
      </c>
      <c r="CM162" s="1894">
        <v>0</v>
      </c>
      <c r="CN162" s="1894">
        <v>0</v>
      </c>
      <c r="CO162" s="1894">
        <v>0</v>
      </c>
      <c r="CP162" s="1894">
        <f t="shared" si="76"/>
        <v>0</v>
      </c>
      <c r="CQ162" s="1894">
        <f t="shared" si="77"/>
        <v>0</v>
      </c>
      <c r="CR162" s="1924">
        <v>150</v>
      </c>
      <c r="CS162" s="1924">
        <v>0</v>
      </c>
      <c r="CT162" s="1924">
        <v>120</v>
      </c>
      <c r="CU162" s="1924">
        <v>0</v>
      </c>
      <c r="CV162" s="1924">
        <v>0</v>
      </c>
      <c r="CW162" s="1924">
        <v>0</v>
      </c>
      <c r="CX162" s="1894">
        <f t="shared" si="78"/>
        <v>0</v>
      </c>
      <c r="CY162" s="1894">
        <f t="shared" si="79"/>
        <v>0</v>
      </c>
    </row>
    <row r="163" spans="1:103">
      <c r="A163" s="982">
        <v>127000000021</v>
      </c>
      <c r="B163" s="1923">
        <f t="shared" si="80"/>
        <v>157</v>
      </c>
      <c r="C163" s="1895" t="s">
        <v>3051</v>
      </c>
      <c r="D163" s="1894" t="s">
        <v>524</v>
      </c>
      <c r="E163" s="1895" t="s">
        <v>2966</v>
      </c>
      <c r="F163" s="1894" t="s">
        <v>259</v>
      </c>
      <c r="G163" s="1924">
        <v>150</v>
      </c>
      <c r="H163" s="1894">
        <v>150</v>
      </c>
      <c r="I163" s="1894">
        <v>75.05</v>
      </c>
      <c r="J163" s="1894">
        <v>150</v>
      </c>
      <c r="K163" s="1894">
        <v>0.81630000000000003</v>
      </c>
      <c r="L163" s="1894">
        <v>0</v>
      </c>
      <c r="M163" s="1894">
        <v>17152</v>
      </c>
      <c r="N163" s="1894">
        <f t="shared" si="58"/>
        <v>32422</v>
      </c>
      <c r="O163" s="1894">
        <f t="shared" si="59"/>
        <v>0</v>
      </c>
      <c r="P163" s="1894">
        <v>150</v>
      </c>
      <c r="Q163" s="1894">
        <v>73.25</v>
      </c>
      <c r="R163" s="1894">
        <v>150</v>
      </c>
      <c r="S163" s="1894">
        <v>0.83169999999999999</v>
      </c>
      <c r="T163" s="1894">
        <v>0</v>
      </c>
      <c r="U163" s="1894">
        <v>19168</v>
      </c>
      <c r="V163" s="1894">
        <f t="shared" si="60"/>
        <v>32699</v>
      </c>
      <c r="W163" s="1894">
        <f t="shared" si="61"/>
        <v>0</v>
      </c>
      <c r="X163" s="1894">
        <v>150</v>
      </c>
      <c r="Y163" s="1894">
        <v>92.45</v>
      </c>
      <c r="Z163" s="1894">
        <v>150</v>
      </c>
      <c r="AA163" s="1894">
        <v>0.83730000000000004</v>
      </c>
      <c r="AB163" s="1894">
        <v>0</v>
      </c>
      <c r="AC163" s="1894">
        <v>23001</v>
      </c>
      <c r="AD163" s="1894">
        <f t="shared" si="62"/>
        <v>39938</v>
      </c>
      <c r="AE163" s="1894">
        <f t="shared" si="63"/>
        <v>0</v>
      </c>
      <c r="AF163" s="1894">
        <v>150</v>
      </c>
      <c r="AG163" s="1894">
        <v>88.25</v>
      </c>
      <c r="AH163" s="1894">
        <v>150</v>
      </c>
      <c r="AI163" s="1894">
        <v>0.84719999999999995</v>
      </c>
      <c r="AJ163" s="1894">
        <v>0</v>
      </c>
      <c r="AK163" s="1894">
        <v>28027</v>
      </c>
      <c r="AL163" s="1894">
        <f t="shared" si="81"/>
        <v>39395</v>
      </c>
      <c r="AM163" s="1894">
        <f t="shared" si="82"/>
        <v>0</v>
      </c>
      <c r="AN163" s="1894">
        <v>150</v>
      </c>
      <c r="AO163" s="1894">
        <v>65.7</v>
      </c>
      <c r="AP163" s="1894">
        <v>150</v>
      </c>
      <c r="AQ163" s="1894">
        <v>0.81210000000000004</v>
      </c>
      <c r="AR163" s="1894">
        <v>0</v>
      </c>
      <c r="AS163" s="1894">
        <v>16506</v>
      </c>
      <c r="AT163" s="1894">
        <f t="shared" si="64"/>
        <v>29328</v>
      </c>
      <c r="AU163" s="1894">
        <f t="shared" si="65"/>
        <v>0</v>
      </c>
      <c r="AV163" s="1894">
        <v>150</v>
      </c>
      <c r="AW163" s="1894">
        <v>53.28</v>
      </c>
      <c r="AX163" s="1894">
        <v>150</v>
      </c>
      <c r="AY163" s="1894">
        <v>0.78480000000000005</v>
      </c>
      <c r="AZ163" s="1894">
        <v>0</v>
      </c>
      <c r="BA163" s="1894">
        <v>13685</v>
      </c>
      <c r="BB163" s="1894">
        <f t="shared" si="66"/>
        <v>23017</v>
      </c>
      <c r="BC163" s="1894">
        <f t="shared" si="67"/>
        <v>0</v>
      </c>
      <c r="BD163" s="1894">
        <v>150</v>
      </c>
      <c r="BE163" s="1894">
        <v>87.3</v>
      </c>
      <c r="BF163" s="1894">
        <v>150</v>
      </c>
      <c r="BG163" s="1894">
        <v>0.77100000000000002</v>
      </c>
      <c r="BH163" s="1894">
        <v>0</v>
      </c>
      <c r="BI163" s="1894">
        <v>29143</v>
      </c>
      <c r="BJ163" s="1894">
        <f t="shared" si="68"/>
        <v>38971</v>
      </c>
      <c r="BK163" s="1894">
        <f t="shared" si="69"/>
        <v>0</v>
      </c>
      <c r="BL163" s="1894">
        <v>150</v>
      </c>
      <c r="BM163" s="1894">
        <v>54.239999999999995</v>
      </c>
      <c r="BN163" s="1894">
        <v>150</v>
      </c>
      <c r="BO163" s="1894">
        <v>0.63859999999999995</v>
      </c>
      <c r="BP163" s="1894">
        <v>0</v>
      </c>
      <c r="BQ163" s="1894">
        <v>13232</v>
      </c>
      <c r="BR163" s="1894">
        <f t="shared" si="70"/>
        <v>23432</v>
      </c>
      <c r="BS163" s="1894">
        <f t="shared" si="71"/>
        <v>0</v>
      </c>
      <c r="BT163" s="1894">
        <v>150</v>
      </c>
      <c r="BU163" s="1894">
        <v>21.12</v>
      </c>
      <c r="BV163" s="1894">
        <v>150</v>
      </c>
      <c r="BW163" s="1894">
        <v>0.3785</v>
      </c>
      <c r="BX163" s="1894">
        <v>0</v>
      </c>
      <c r="BY163" s="1894">
        <v>4158</v>
      </c>
      <c r="BZ163" s="1894">
        <f t="shared" si="72"/>
        <v>9428</v>
      </c>
      <c r="CA163" s="1894">
        <f t="shared" si="73"/>
        <v>0</v>
      </c>
      <c r="CB163" s="1894">
        <v>150</v>
      </c>
      <c r="CC163" s="1894">
        <v>4.68</v>
      </c>
      <c r="CD163" s="1894">
        <v>150</v>
      </c>
      <c r="CE163" s="1894">
        <v>0.2913</v>
      </c>
      <c r="CF163" s="1894">
        <v>0</v>
      </c>
      <c r="CG163" s="1894">
        <v>1737</v>
      </c>
      <c r="CH163" s="1894">
        <f t="shared" si="74"/>
        <v>2089</v>
      </c>
      <c r="CI163" s="1894">
        <f t="shared" si="75"/>
        <v>0</v>
      </c>
      <c r="CJ163" s="1894">
        <v>150</v>
      </c>
      <c r="CK163" s="1894">
        <v>3.4799999999999995</v>
      </c>
      <c r="CL163" s="1894">
        <v>150</v>
      </c>
      <c r="CM163" s="1894">
        <v>0.34660000000000002</v>
      </c>
      <c r="CN163" s="1894">
        <v>0</v>
      </c>
      <c r="CO163" s="1894">
        <v>1206</v>
      </c>
      <c r="CP163" s="1894">
        <f t="shared" si="76"/>
        <v>1403</v>
      </c>
      <c r="CQ163" s="1894">
        <f t="shared" si="77"/>
        <v>0</v>
      </c>
      <c r="CR163" s="1924">
        <v>150</v>
      </c>
      <c r="CS163" s="1924">
        <v>41.16</v>
      </c>
      <c r="CT163" s="1924">
        <v>150</v>
      </c>
      <c r="CU163" s="1924">
        <v>0.62329999999999997</v>
      </c>
      <c r="CV163" s="1924">
        <v>0</v>
      </c>
      <c r="CW163" s="1924">
        <v>2583</v>
      </c>
      <c r="CX163" s="1894">
        <f t="shared" si="78"/>
        <v>18374</v>
      </c>
      <c r="CY163" s="1894">
        <f t="shared" si="79"/>
        <v>0</v>
      </c>
    </row>
    <row r="164" spans="1:103">
      <c r="A164" s="982">
        <v>122000000052</v>
      </c>
      <c r="B164" s="1923">
        <f t="shared" si="80"/>
        <v>158</v>
      </c>
      <c r="C164" s="1895" t="s">
        <v>3052</v>
      </c>
      <c r="D164" s="1894" t="s">
        <v>524</v>
      </c>
      <c r="E164" s="1895" t="s">
        <v>636</v>
      </c>
      <c r="F164" s="1894" t="s">
        <v>259</v>
      </c>
      <c r="G164" s="1924">
        <v>151</v>
      </c>
      <c r="H164" s="1894">
        <v>151</v>
      </c>
      <c r="I164" s="1894">
        <v>209.20000000000002</v>
      </c>
      <c r="J164" s="1894">
        <v>209.2</v>
      </c>
      <c r="K164" s="1894">
        <v>0.96450000000000002</v>
      </c>
      <c r="L164" s="1894">
        <v>9.4499999999999993</v>
      </c>
      <c r="M164" s="1894">
        <v>14234</v>
      </c>
      <c r="N164" s="1894">
        <f t="shared" si="58"/>
        <v>90374</v>
      </c>
      <c r="O164" s="1894">
        <f t="shared" si="59"/>
        <v>0</v>
      </c>
      <c r="P164" s="1894">
        <v>151</v>
      </c>
      <c r="Q164" s="1894">
        <v>220.8</v>
      </c>
      <c r="R164" s="1894">
        <v>220.8</v>
      </c>
      <c r="S164" s="1894">
        <v>0.95520000000000005</v>
      </c>
      <c r="T164" s="1894">
        <v>8.7899999999999991</v>
      </c>
      <c r="U164" s="1894">
        <v>14434</v>
      </c>
      <c r="V164" s="1894">
        <f t="shared" si="60"/>
        <v>98565</v>
      </c>
      <c r="W164" s="1894">
        <f t="shared" si="61"/>
        <v>0</v>
      </c>
      <c r="X164" s="1894">
        <v>151</v>
      </c>
      <c r="Y164" s="1894">
        <v>212.8</v>
      </c>
      <c r="Z164" s="1894">
        <v>212.8</v>
      </c>
      <c r="AA164" s="1894">
        <v>0.94089999999999996</v>
      </c>
      <c r="AB164" s="1894">
        <v>9.68</v>
      </c>
      <c r="AC164" s="1894">
        <v>14836</v>
      </c>
      <c r="AD164" s="1894">
        <f t="shared" si="62"/>
        <v>91930</v>
      </c>
      <c r="AE164" s="1894">
        <f t="shared" si="63"/>
        <v>0</v>
      </c>
      <c r="AF164" s="1894">
        <v>151</v>
      </c>
      <c r="AG164" s="1894">
        <v>215.60000000000002</v>
      </c>
      <c r="AH164" s="1894">
        <v>215.6</v>
      </c>
      <c r="AI164" s="1894">
        <v>0.93610000000000004</v>
      </c>
      <c r="AJ164" s="1894">
        <v>9.39</v>
      </c>
      <c r="AK164" s="1894">
        <v>15058</v>
      </c>
      <c r="AL164" s="1894">
        <f t="shared" si="81"/>
        <v>96244</v>
      </c>
      <c r="AM164" s="1894">
        <f t="shared" si="82"/>
        <v>0</v>
      </c>
      <c r="AN164" s="1894">
        <v>151</v>
      </c>
      <c r="AO164" s="1894">
        <v>248</v>
      </c>
      <c r="AP164" s="1894">
        <v>248</v>
      </c>
      <c r="AQ164" s="1894">
        <v>0.9284</v>
      </c>
      <c r="AR164" s="1894">
        <v>7.68</v>
      </c>
      <c r="AS164" s="1894">
        <v>14176</v>
      </c>
      <c r="AT164" s="1894">
        <f t="shared" si="64"/>
        <v>110707</v>
      </c>
      <c r="AU164" s="1894">
        <f t="shared" si="65"/>
        <v>0</v>
      </c>
      <c r="AV164" s="1894">
        <v>151</v>
      </c>
      <c r="AW164" s="1894">
        <v>233.2</v>
      </c>
      <c r="AX164" s="1894">
        <v>233.2</v>
      </c>
      <c r="AY164" s="1894">
        <v>0.92230000000000001</v>
      </c>
      <c r="AZ164" s="1894">
        <v>9.02</v>
      </c>
      <c r="BA164" s="1894">
        <v>14638</v>
      </c>
      <c r="BB164" s="1894">
        <f t="shared" si="66"/>
        <v>100742</v>
      </c>
      <c r="BC164" s="1894">
        <f t="shared" si="67"/>
        <v>0</v>
      </c>
      <c r="BD164" s="1894">
        <v>151</v>
      </c>
      <c r="BE164" s="1894">
        <v>237.2</v>
      </c>
      <c r="BF164" s="1894">
        <v>237.2</v>
      </c>
      <c r="BG164" s="1894">
        <v>0.88490000000000002</v>
      </c>
      <c r="BH164" s="1894">
        <v>8.5</v>
      </c>
      <c r="BI164" s="1894">
        <v>15478</v>
      </c>
      <c r="BJ164" s="1894">
        <f t="shared" si="68"/>
        <v>105886</v>
      </c>
      <c r="BK164" s="1894">
        <f t="shared" si="69"/>
        <v>0</v>
      </c>
      <c r="BL164" s="1894">
        <v>151</v>
      </c>
      <c r="BM164" s="1894">
        <v>202.8</v>
      </c>
      <c r="BN164" s="1894">
        <v>202.8</v>
      </c>
      <c r="BO164" s="1894">
        <v>0.88060000000000005</v>
      </c>
      <c r="BP164" s="1894">
        <v>8.69</v>
      </c>
      <c r="BQ164" s="1894">
        <v>12682</v>
      </c>
      <c r="BR164" s="1894">
        <f t="shared" si="70"/>
        <v>87610</v>
      </c>
      <c r="BS164" s="1894">
        <f t="shared" si="71"/>
        <v>0</v>
      </c>
      <c r="BT164" s="1894">
        <v>151</v>
      </c>
      <c r="BU164" s="1894">
        <v>246.8</v>
      </c>
      <c r="BV164" s="1894">
        <v>246.8</v>
      </c>
      <c r="BW164" s="1894">
        <v>0.87960000000000005</v>
      </c>
      <c r="BX164" s="1894">
        <v>7.9</v>
      </c>
      <c r="BY164" s="1894">
        <v>14510</v>
      </c>
      <c r="BZ164" s="1894">
        <f t="shared" si="72"/>
        <v>110172</v>
      </c>
      <c r="CA164" s="1894">
        <f t="shared" si="73"/>
        <v>0</v>
      </c>
      <c r="CB164" s="1894">
        <v>151</v>
      </c>
      <c r="CC164" s="1894">
        <v>243.2</v>
      </c>
      <c r="CD164" s="1894">
        <v>243.2</v>
      </c>
      <c r="CE164" s="1894">
        <v>0.89129999999999998</v>
      </c>
      <c r="CF164" s="1894">
        <v>7.55</v>
      </c>
      <c r="CG164" s="1894">
        <v>13664</v>
      </c>
      <c r="CH164" s="1894">
        <f t="shared" si="74"/>
        <v>108564</v>
      </c>
      <c r="CI164" s="1894">
        <f t="shared" si="75"/>
        <v>0</v>
      </c>
      <c r="CJ164" s="1894">
        <v>151</v>
      </c>
      <c r="CK164" s="1894">
        <v>218.00000000000003</v>
      </c>
      <c r="CL164" s="1894">
        <v>218</v>
      </c>
      <c r="CM164" s="1894">
        <v>0.92169999999999996</v>
      </c>
      <c r="CN164" s="1894">
        <v>8.01</v>
      </c>
      <c r="CO164" s="1894">
        <v>11730</v>
      </c>
      <c r="CP164" s="1894">
        <f t="shared" si="76"/>
        <v>87898</v>
      </c>
      <c r="CQ164" s="1894">
        <f t="shared" si="77"/>
        <v>0</v>
      </c>
      <c r="CR164" s="1924">
        <v>151</v>
      </c>
      <c r="CS164" s="1924">
        <v>208.8</v>
      </c>
      <c r="CT164" s="1924">
        <v>208.8</v>
      </c>
      <c r="CU164" s="1924">
        <v>0.93369999999999997</v>
      </c>
      <c r="CV164" s="1924">
        <v>8.7799999999999994</v>
      </c>
      <c r="CW164" s="1924">
        <v>13638</v>
      </c>
      <c r="CX164" s="1894">
        <f t="shared" si="78"/>
        <v>93208</v>
      </c>
      <c r="CY164" s="1894">
        <f t="shared" si="79"/>
        <v>0</v>
      </c>
    </row>
    <row r="165" spans="1:103">
      <c r="A165" s="982">
        <v>124000000024</v>
      </c>
      <c r="B165" s="1923">
        <f t="shared" si="80"/>
        <v>159</v>
      </c>
      <c r="C165" s="1895" t="s">
        <v>3053</v>
      </c>
      <c r="D165" s="1894" t="s">
        <v>524</v>
      </c>
      <c r="E165" s="1895" t="s">
        <v>636</v>
      </c>
      <c r="F165" s="1894" t="s">
        <v>259</v>
      </c>
      <c r="G165" s="1924">
        <v>152</v>
      </c>
      <c r="H165" s="1894">
        <v>152</v>
      </c>
      <c r="I165" s="1894">
        <v>79.800000000000011</v>
      </c>
      <c r="J165" s="1894">
        <v>121.6</v>
      </c>
      <c r="K165" s="1894">
        <v>0.92679999999999996</v>
      </c>
      <c r="L165" s="1894">
        <v>50.9</v>
      </c>
      <c r="M165" s="1894">
        <v>29245</v>
      </c>
      <c r="N165" s="1894">
        <f t="shared" si="58"/>
        <v>34474</v>
      </c>
      <c r="O165" s="1894">
        <f t="shared" si="59"/>
        <v>0</v>
      </c>
      <c r="P165" s="1894">
        <v>152</v>
      </c>
      <c r="Q165" s="1894">
        <v>75.8</v>
      </c>
      <c r="R165" s="1894">
        <v>121.6</v>
      </c>
      <c r="S165" s="1894">
        <v>0.93430000000000002</v>
      </c>
      <c r="T165" s="1894">
        <v>39.65</v>
      </c>
      <c r="U165" s="1894">
        <v>22358</v>
      </c>
      <c r="V165" s="1894">
        <f t="shared" si="60"/>
        <v>33837</v>
      </c>
      <c r="W165" s="1894">
        <f t="shared" si="61"/>
        <v>0</v>
      </c>
      <c r="X165" s="1894">
        <v>152</v>
      </c>
      <c r="Y165" s="1894">
        <v>75.84</v>
      </c>
      <c r="Z165" s="1894">
        <v>121.6</v>
      </c>
      <c r="AA165" s="1894">
        <v>0.93279999999999996</v>
      </c>
      <c r="AB165" s="1894">
        <v>37.840000000000003</v>
      </c>
      <c r="AC165" s="1894">
        <v>18594</v>
      </c>
      <c r="AD165" s="1894">
        <f t="shared" si="62"/>
        <v>32763</v>
      </c>
      <c r="AE165" s="1894">
        <f t="shared" si="63"/>
        <v>0</v>
      </c>
      <c r="AF165" s="1894">
        <v>152</v>
      </c>
      <c r="AG165" s="1894">
        <v>75.84</v>
      </c>
      <c r="AH165" s="1894">
        <v>121.6</v>
      </c>
      <c r="AI165" s="1894">
        <v>0.91949999999999998</v>
      </c>
      <c r="AJ165" s="1894">
        <v>38.229999999999997</v>
      </c>
      <c r="AK165" s="1894">
        <v>20182</v>
      </c>
      <c r="AL165" s="1894">
        <f t="shared" si="81"/>
        <v>33855</v>
      </c>
      <c r="AM165" s="1894">
        <f t="shared" si="82"/>
        <v>0</v>
      </c>
      <c r="AN165" s="1894">
        <v>152</v>
      </c>
      <c r="AO165" s="1894">
        <v>73.599999999999994</v>
      </c>
      <c r="AP165" s="1894">
        <v>121.6</v>
      </c>
      <c r="AQ165" s="1894">
        <v>0.9264</v>
      </c>
      <c r="AR165" s="1894">
        <v>36.200000000000003</v>
      </c>
      <c r="AS165" s="1894">
        <v>19823</v>
      </c>
      <c r="AT165" s="1894">
        <f t="shared" si="64"/>
        <v>32855</v>
      </c>
      <c r="AU165" s="1894">
        <f t="shared" si="65"/>
        <v>0</v>
      </c>
      <c r="AV165" s="1894">
        <v>152</v>
      </c>
      <c r="AW165" s="1894">
        <v>74.400000000000006</v>
      </c>
      <c r="AX165" s="1894">
        <v>121.6</v>
      </c>
      <c r="AY165" s="1894">
        <v>0.92620000000000002</v>
      </c>
      <c r="AZ165" s="1894">
        <v>38.04</v>
      </c>
      <c r="BA165" s="1894">
        <v>20375</v>
      </c>
      <c r="BB165" s="1894">
        <f t="shared" si="66"/>
        <v>32141</v>
      </c>
      <c r="BC165" s="1894">
        <f t="shared" si="67"/>
        <v>0</v>
      </c>
      <c r="BD165" s="1894">
        <v>152</v>
      </c>
      <c r="BE165" s="1894">
        <v>73.92</v>
      </c>
      <c r="BF165" s="1894">
        <v>121.6</v>
      </c>
      <c r="BG165" s="1894">
        <v>0.92049999999999998</v>
      </c>
      <c r="BH165" s="1894">
        <v>37.78</v>
      </c>
      <c r="BI165" s="1894">
        <v>20105</v>
      </c>
      <c r="BJ165" s="1894">
        <f t="shared" si="68"/>
        <v>32998</v>
      </c>
      <c r="BK165" s="1894">
        <f t="shared" si="69"/>
        <v>0</v>
      </c>
      <c r="BL165" s="1894">
        <v>152</v>
      </c>
      <c r="BM165" s="1894">
        <v>70.64</v>
      </c>
      <c r="BN165" s="1894">
        <v>121.6</v>
      </c>
      <c r="BO165" s="1894">
        <v>0.91439999999999999</v>
      </c>
      <c r="BP165" s="1894">
        <v>24.74</v>
      </c>
      <c r="BQ165" s="1894">
        <v>13424</v>
      </c>
      <c r="BR165" s="1894">
        <f t="shared" si="70"/>
        <v>30516</v>
      </c>
      <c r="BS165" s="1894">
        <f t="shared" si="71"/>
        <v>0</v>
      </c>
      <c r="BT165" s="1894">
        <v>152</v>
      </c>
      <c r="BU165" s="1894">
        <v>56.8</v>
      </c>
      <c r="BV165" s="1894">
        <v>121.6</v>
      </c>
      <c r="BW165" s="1894">
        <v>0.98019999999999996</v>
      </c>
      <c r="BX165" s="1894">
        <v>6.7</v>
      </c>
      <c r="BY165" s="1894">
        <v>3196</v>
      </c>
      <c r="BZ165" s="1894">
        <f t="shared" si="72"/>
        <v>25356</v>
      </c>
      <c r="CA165" s="1894">
        <f t="shared" si="73"/>
        <v>0</v>
      </c>
      <c r="CB165" s="1894">
        <v>152</v>
      </c>
      <c r="CC165" s="1894">
        <v>26.08</v>
      </c>
      <c r="CD165" s="1894">
        <v>121.6</v>
      </c>
      <c r="CE165" s="1894">
        <v>0.38669999999999999</v>
      </c>
      <c r="CF165" s="1894">
        <v>33.97</v>
      </c>
      <c r="CG165" s="1894">
        <v>6591</v>
      </c>
      <c r="CH165" s="1894">
        <f t="shared" si="74"/>
        <v>11642</v>
      </c>
      <c r="CI165" s="1894">
        <f t="shared" si="75"/>
        <v>0</v>
      </c>
      <c r="CJ165" s="1894">
        <v>152</v>
      </c>
      <c r="CK165" s="1894">
        <v>14.64</v>
      </c>
      <c r="CL165" s="1894">
        <v>121.6</v>
      </c>
      <c r="CM165" s="1894">
        <v>0.35980000000000001</v>
      </c>
      <c r="CN165" s="1894">
        <v>69.69</v>
      </c>
      <c r="CO165" s="1894">
        <v>6856</v>
      </c>
      <c r="CP165" s="1894">
        <f t="shared" si="76"/>
        <v>5903</v>
      </c>
      <c r="CQ165" s="1894">
        <f t="shared" si="77"/>
        <v>953</v>
      </c>
      <c r="CR165" s="1924">
        <v>152</v>
      </c>
      <c r="CS165" s="1924">
        <v>75.92</v>
      </c>
      <c r="CT165" s="1924">
        <v>121.6</v>
      </c>
      <c r="CU165" s="1924">
        <v>0.86929999999999996</v>
      </c>
      <c r="CV165" s="1924">
        <v>47.22</v>
      </c>
      <c r="CW165" s="1924">
        <v>26672</v>
      </c>
      <c r="CX165" s="1894">
        <f t="shared" si="78"/>
        <v>33891</v>
      </c>
      <c r="CY165" s="1894">
        <f t="shared" si="79"/>
        <v>0</v>
      </c>
    </row>
    <row r="166" spans="1:103">
      <c r="A166" s="982">
        <v>126000000044</v>
      </c>
      <c r="B166" s="1923">
        <f t="shared" si="80"/>
        <v>160</v>
      </c>
      <c r="C166" s="1895" t="s">
        <v>3054</v>
      </c>
      <c r="D166" s="1894" t="s">
        <v>524</v>
      </c>
      <c r="E166" s="1895" t="s">
        <v>541</v>
      </c>
      <c r="F166" s="1894" t="s">
        <v>259</v>
      </c>
      <c r="G166" s="1924">
        <v>152</v>
      </c>
      <c r="H166" s="1894">
        <v>152</v>
      </c>
      <c r="I166" s="1894">
        <v>19.224</v>
      </c>
      <c r="J166" s="1894">
        <v>121.6</v>
      </c>
      <c r="K166" s="1894">
        <v>0.80349999999999999</v>
      </c>
      <c r="L166" s="1894">
        <v>0.42</v>
      </c>
      <c r="M166" s="1894">
        <v>56</v>
      </c>
      <c r="N166" s="1894">
        <f t="shared" si="58"/>
        <v>8305</v>
      </c>
      <c r="O166" s="1894">
        <f t="shared" si="59"/>
        <v>0</v>
      </c>
      <c r="P166" s="1894">
        <v>152</v>
      </c>
      <c r="Q166" s="1894">
        <v>1.8689999999999998</v>
      </c>
      <c r="R166" s="1894">
        <v>121.6</v>
      </c>
      <c r="S166" s="1894">
        <v>0.94640000000000002</v>
      </c>
      <c r="T166" s="1894">
        <v>4.62</v>
      </c>
      <c r="U166" s="1894">
        <v>56</v>
      </c>
      <c r="V166" s="1894">
        <f t="shared" si="60"/>
        <v>834</v>
      </c>
      <c r="W166" s="1894">
        <f t="shared" si="61"/>
        <v>0</v>
      </c>
      <c r="X166" s="1894">
        <v>152</v>
      </c>
      <c r="Y166" s="1894">
        <v>1.0680000000000001</v>
      </c>
      <c r="Z166" s="1894">
        <v>121.6</v>
      </c>
      <c r="AA166" s="1894">
        <v>1</v>
      </c>
      <c r="AB166" s="1894">
        <v>2.34</v>
      </c>
      <c r="AC166" s="1894">
        <v>21</v>
      </c>
      <c r="AD166" s="1894">
        <f t="shared" si="62"/>
        <v>461</v>
      </c>
      <c r="AE166" s="1894">
        <f t="shared" si="63"/>
        <v>0</v>
      </c>
      <c r="AF166" s="1894">
        <v>152</v>
      </c>
      <c r="AG166" s="1894">
        <v>22.161000000000001</v>
      </c>
      <c r="AH166" s="1894">
        <v>121.6</v>
      </c>
      <c r="AI166" s="1894">
        <v>0.79220000000000002</v>
      </c>
      <c r="AJ166" s="1894">
        <v>0.54</v>
      </c>
      <c r="AK166" s="1894">
        <v>77</v>
      </c>
      <c r="AL166" s="1894">
        <f t="shared" si="81"/>
        <v>9893</v>
      </c>
      <c r="AM166" s="1894">
        <f t="shared" si="82"/>
        <v>0</v>
      </c>
      <c r="AN166" s="1894">
        <v>152</v>
      </c>
      <c r="AO166" s="1894">
        <v>33.908999999999999</v>
      </c>
      <c r="AP166" s="1894">
        <v>121.6</v>
      </c>
      <c r="AQ166" s="1894">
        <v>0.84160000000000001</v>
      </c>
      <c r="AR166" s="1894">
        <v>0.42</v>
      </c>
      <c r="AS166" s="1894">
        <v>120</v>
      </c>
      <c r="AT166" s="1894">
        <f t="shared" si="64"/>
        <v>15137</v>
      </c>
      <c r="AU166" s="1894">
        <f t="shared" si="65"/>
        <v>0</v>
      </c>
      <c r="AV166" s="1894">
        <v>152</v>
      </c>
      <c r="AW166" s="1894">
        <v>43.253999999999998</v>
      </c>
      <c r="AX166" s="1894">
        <v>121.6</v>
      </c>
      <c r="AY166" s="1894">
        <v>0.8417</v>
      </c>
      <c r="AZ166" s="1894">
        <v>0.46</v>
      </c>
      <c r="BA166" s="1894">
        <v>139</v>
      </c>
      <c r="BB166" s="1894">
        <f t="shared" si="66"/>
        <v>18686</v>
      </c>
      <c r="BC166" s="1894">
        <f t="shared" si="67"/>
        <v>0</v>
      </c>
      <c r="BD166" s="1894">
        <v>152</v>
      </c>
      <c r="BE166" s="1894">
        <v>121.6</v>
      </c>
      <c r="BF166" s="1894">
        <v>121.6</v>
      </c>
      <c r="BG166" s="1894">
        <v>0.94769999999999999</v>
      </c>
      <c r="BH166" s="1894">
        <v>0.4</v>
      </c>
      <c r="BI166" s="1894">
        <v>103</v>
      </c>
      <c r="BJ166" s="1894">
        <f t="shared" si="68"/>
        <v>54282</v>
      </c>
      <c r="BK166" s="1894">
        <f t="shared" si="69"/>
        <v>0</v>
      </c>
      <c r="BL166" s="1894">
        <v>152</v>
      </c>
      <c r="BM166" s="1894">
        <v>48.84</v>
      </c>
      <c r="BN166" s="1894">
        <v>121.6</v>
      </c>
      <c r="BO166" s="1894">
        <v>0.26669999999999999</v>
      </c>
      <c r="BP166" s="1894">
        <v>4.47</v>
      </c>
      <c r="BQ166" s="1894">
        <v>1518</v>
      </c>
      <c r="BR166" s="1894">
        <f t="shared" si="70"/>
        <v>21099</v>
      </c>
      <c r="BS166" s="1894">
        <f t="shared" si="71"/>
        <v>0</v>
      </c>
      <c r="BT166" s="1894">
        <v>152</v>
      </c>
      <c r="BU166" s="1894">
        <v>3.96</v>
      </c>
      <c r="BV166" s="1894">
        <v>121.6</v>
      </c>
      <c r="BW166" s="1894">
        <v>0.25440000000000002</v>
      </c>
      <c r="BX166" s="1894">
        <v>58.79</v>
      </c>
      <c r="BY166" s="1894">
        <v>1788</v>
      </c>
      <c r="BZ166" s="1894">
        <f t="shared" si="72"/>
        <v>1768</v>
      </c>
      <c r="CA166" s="1894">
        <f t="shared" si="73"/>
        <v>20</v>
      </c>
      <c r="CB166" s="1894">
        <v>152</v>
      </c>
      <c r="CC166" s="1894">
        <v>30.599999999999998</v>
      </c>
      <c r="CD166" s="1894">
        <v>121.6</v>
      </c>
      <c r="CE166" s="1894">
        <v>0.3105</v>
      </c>
      <c r="CF166" s="1894">
        <v>5.53</v>
      </c>
      <c r="CG166" s="1894">
        <v>1259</v>
      </c>
      <c r="CH166" s="1894">
        <f t="shared" si="74"/>
        <v>13660</v>
      </c>
      <c r="CI166" s="1894">
        <f t="shared" si="75"/>
        <v>0</v>
      </c>
      <c r="CJ166" s="1894">
        <v>152</v>
      </c>
      <c r="CK166" s="1894">
        <v>42.000000000000007</v>
      </c>
      <c r="CL166" s="1894">
        <v>121.6</v>
      </c>
      <c r="CM166" s="1894">
        <v>0.35830000000000001</v>
      </c>
      <c r="CN166" s="1894">
        <v>3.64</v>
      </c>
      <c r="CO166" s="1894">
        <v>1027</v>
      </c>
      <c r="CP166" s="1894">
        <f t="shared" si="76"/>
        <v>16934</v>
      </c>
      <c r="CQ166" s="1894">
        <f t="shared" si="77"/>
        <v>0</v>
      </c>
      <c r="CR166" s="1924">
        <v>152</v>
      </c>
      <c r="CS166" s="1924">
        <v>5.88</v>
      </c>
      <c r="CT166" s="1924">
        <v>121.6</v>
      </c>
      <c r="CU166" s="1924">
        <v>0.3342</v>
      </c>
      <c r="CV166" s="1924">
        <v>24.48</v>
      </c>
      <c r="CW166" s="1924">
        <v>1071</v>
      </c>
      <c r="CX166" s="1894">
        <f t="shared" si="78"/>
        <v>2625</v>
      </c>
      <c r="CY166" s="1894">
        <f t="shared" si="79"/>
        <v>0</v>
      </c>
    </row>
    <row r="167" spans="1:103">
      <c r="A167" s="982">
        <v>615000000001</v>
      </c>
      <c r="B167" s="1923">
        <f t="shared" si="80"/>
        <v>161</v>
      </c>
      <c r="C167" s="1895" t="s">
        <v>3055</v>
      </c>
      <c r="D167" s="1894" t="s">
        <v>524</v>
      </c>
      <c r="E167" s="1895" t="s">
        <v>541</v>
      </c>
      <c r="F167" s="1894" t="s">
        <v>259</v>
      </c>
      <c r="G167" s="1924">
        <v>152</v>
      </c>
      <c r="H167" s="1894">
        <v>152</v>
      </c>
      <c r="I167" s="1894">
        <v>208</v>
      </c>
      <c r="J167" s="1894">
        <v>208</v>
      </c>
      <c r="K167" s="1894">
        <v>0.97440000000000004</v>
      </c>
      <c r="L167" s="1894">
        <v>19.170000000000002</v>
      </c>
      <c r="M167" s="1894">
        <v>34456</v>
      </c>
      <c r="N167" s="1894">
        <f t="shared" si="58"/>
        <v>89856</v>
      </c>
      <c r="O167" s="1894">
        <f t="shared" si="59"/>
        <v>0</v>
      </c>
      <c r="P167" s="1894">
        <v>152</v>
      </c>
      <c r="Q167" s="1894">
        <v>201.6</v>
      </c>
      <c r="R167" s="1894">
        <v>201.6</v>
      </c>
      <c r="S167" s="1894">
        <v>0.95879999999999999</v>
      </c>
      <c r="T167" s="1894">
        <v>14.31</v>
      </c>
      <c r="U167" s="1894">
        <v>17308</v>
      </c>
      <c r="V167" s="1894">
        <f t="shared" si="60"/>
        <v>89994</v>
      </c>
      <c r="W167" s="1894">
        <f t="shared" si="61"/>
        <v>0</v>
      </c>
      <c r="X167" s="1894">
        <v>152</v>
      </c>
      <c r="Y167" s="1894">
        <v>200</v>
      </c>
      <c r="Z167" s="1894">
        <v>200</v>
      </c>
      <c r="AA167" s="1894">
        <v>0.97</v>
      </c>
      <c r="AB167" s="1894">
        <v>19.96</v>
      </c>
      <c r="AC167" s="1894">
        <v>34492</v>
      </c>
      <c r="AD167" s="1894">
        <f t="shared" si="62"/>
        <v>86400</v>
      </c>
      <c r="AE167" s="1894">
        <f t="shared" si="63"/>
        <v>0</v>
      </c>
      <c r="AF167" s="1894">
        <v>152</v>
      </c>
      <c r="AG167" s="1894">
        <v>152</v>
      </c>
      <c r="AH167" s="1894">
        <v>152</v>
      </c>
      <c r="AI167" s="1894">
        <v>0.96699999999999997</v>
      </c>
      <c r="AJ167" s="1894">
        <v>24.46</v>
      </c>
      <c r="AK167" s="1894">
        <v>27664</v>
      </c>
      <c r="AL167" s="1894">
        <f t="shared" si="81"/>
        <v>67853</v>
      </c>
      <c r="AM167" s="1894">
        <f t="shared" si="82"/>
        <v>0</v>
      </c>
      <c r="AN167" s="1894">
        <v>152</v>
      </c>
      <c r="AO167" s="1894">
        <v>215.20000000000002</v>
      </c>
      <c r="AP167" s="1894">
        <v>215.2</v>
      </c>
      <c r="AQ167" s="1894">
        <v>0.96840000000000004</v>
      </c>
      <c r="AR167" s="1894">
        <v>21.19</v>
      </c>
      <c r="AS167" s="1894">
        <v>33932</v>
      </c>
      <c r="AT167" s="1894">
        <f t="shared" si="64"/>
        <v>96065</v>
      </c>
      <c r="AU167" s="1894">
        <f t="shared" si="65"/>
        <v>0</v>
      </c>
      <c r="AV167" s="1894">
        <v>152</v>
      </c>
      <c r="AW167" s="1894">
        <v>254.4</v>
      </c>
      <c r="AX167" s="1894">
        <v>254.4</v>
      </c>
      <c r="AY167" s="1894">
        <v>0.95330000000000004</v>
      </c>
      <c r="AZ167" s="1894">
        <v>13.89</v>
      </c>
      <c r="BA167" s="1894">
        <v>25448</v>
      </c>
      <c r="BB167" s="1894">
        <f t="shared" si="66"/>
        <v>109901</v>
      </c>
      <c r="BC167" s="1894">
        <f t="shared" si="67"/>
        <v>0</v>
      </c>
      <c r="BD167" s="1894">
        <v>152</v>
      </c>
      <c r="BE167" s="1894">
        <v>273.60000000000002</v>
      </c>
      <c r="BF167" s="1894">
        <v>273.60000000000002</v>
      </c>
      <c r="BG167" s="1894">
        <v>0.64410000000000001</v>
      </c>
      <c r="BH167" s="1894">
        <v>12.73</v>
      </c>
      <c r="BI167" s="1894">
        <v>25920</v>
      </c>
      <c r="BJ167" s="1894">
        <f t="shared" si="68"/>
        <v>122135</v>
      </c>
      <c r="BK167" s="1894">
        <f t="shared" si="69"/>
        <v>0</v>
      </c>
      <c r="BL167" s="1894">
        <v>152</v>
      </c>
      <c r="BM167" s="1894">
        <v>202.4</v>
      </c>
      <c r="BN167" s="1894">
        <v>202.4</v>
      </c>
      <c r="BO167" s="1894">
        <v>0.59389999999999998</v>
      </c>
      <c r="BP167" s="1894">
        <v>18.45</v>
      </c>
      <c r="BQ167" s="1894">
        <v>26884</v>
      </c>
      <c r="BR167" s="1894">
        <f t="shared" si="70"/>
        <v>87437</v>
      </c>
      <c r="BS167" s="1894">
        <f t="shared" si="71"/>
        <v>0</v>
      </c>
      <c r="BT167" s="1894">
        <v>152</v>
      </c>
      <c r="BU167" s="1894">
        <v>348.8</v>
      </c>
      <c r="BV167" s="1894">
        <v>348.8</v>
      </c>
      <c r="BW167" s="1894">
        <v>0.61599999999999999</v>
      </c>
      <c r="BX167" s="1894">
        <v>11.75</v>
      </c>
      <c r="BY167" s="1894">
        <v>30480</v>
      </c>
      <c r="BZ167" s="1894">
        <f t="shared" si="72"/>
        <v>155704</v>
      </c>
      <c r="CA167" s="1894">
        <f t="shared" si="73"/>
        <v>0</v>
      </c>
      <c r="CB167" s="1894">
        <v>152</v>
      </c>
      <c r="CC167" s="1894">
        <v>324.8</v>
      </c>
      <c r="CD167" s="1894">
        <v>324.8</v>
      </c>
      <c r="CE167" s="1894">
        <v>0.5907</v>
      </c>
      <c r="CF167" s="1894">
        <v>13.11</v>
      </c>
      <c r="CG167" s="1894">
        <v>31680</v>
      </c>
      <c r="CH167" s="1894">
        <f t="shared" si="74"/>
        <v>144991</v>
      </c>
      <c r="CI167" s="1894">
        <f t="shared" si="75"/>
        <v>0</v>
      </c>
      <c r="CJ167" s="1894">
        <v>152</v>
      </c>
      <c r="CK167" s="1894">
        <v>444.80000000000007</v>
      </c>
      <c r="CL167" s="1894">
        <v>444.8</v>
      </c>
      <c r="CM167" s="1894">
        <v>0.63759999999999994</v>
      </c>
      <c r="CN167" s="1894">
        <v>14.48</v>
      </c>
      <c r="CO167" s="1894">
        <v>43268</v>
      </c>
      <c r="CP167" s="1894">
        <f t="shared" si="76"/>
        <v>179343</v>
      </c>
      <c r="CQ167" s="1894">
        <f t="shared" si="77"/>
        <v>0</v>
      </c>
      <c r="CR167" s="1924">
        <v>152</v>
      </c>
      <c r="CS167" s="1924">
        <v>264.8</v>
      </c>
      <c r="CT167" s="1924">
        <v>264.8</v>
      </c>
      <c r="CU167" s="1924">
        <v>0.92859999999999998</v>
      </c>
      <c r="CV167" s="1924">
        <v>14.83</v>
      </c>
      <c r="CW167" s="1924">
        <v>29208</v>
      </c>
      <c r="CX167" s="1894">
        <f t="shared" si="78"/>
        <v>118207</v>
      </c>
      <c r="CY167" s="1894">
        <f t="shared" si="79"/>
        <v>0</v>
      </c>
    </row>
    <row r="168" spans="1:103">
      <c r="A168" s="982">
        <v>121000000019</v>
      </c>
      <c r="B168" s="1923">
        <f t="shared" si="80"/>
        <v>162</v>
      </c>
      <c r="C168" s="1895" t="s">
        <v>3056</v>
      </c>
      <c r="D168" s="1894" t="s">
        <v>524</v>
      </c>
      <c r="E168" s="1895" t="s">
        <v>541</v>
      </c>
      <c r="F168" s="1894" t="s">
        <v>259</v>
      </c>
      <c r="G168" s="1924">
        <v>153</v>
      </c>
      <c r="H168" s="1894">
        <v>153</v>
      </c>
      <c r="I168" s="1894">
        <v>13.04</v>
      </c>
      <c r="J168" s="1894">
        <v>122.4</v>
      </c>
      <c r="K168" s="1894">
        <v>0.99450000000000005</v>
      </c>
      <c r="L168" s="1894">
        <v>19.59</v>
      </c>
      <c r="M168" s="1894">
        <v>1839</v>
      </c>
      <c r="N168" s="1894">
        <f t="shared" si="58"/>
        <v>5633</v>
      </c>
      <c r="O168" s="1894">
        <f t="shared" si="59"/>
        <v>0</v>
      </c>
      <c r="P168" s="1894">
        <v>153</v>
      </c>
      <c r="Q168" s="1894">
        <v>81.679999999999993</v>
      </c>
      <c r="R168" s="1894">
        <v>122.4</v>
      </c>
      <c r="S168" s="1894">
        <v>0.92800000000000005</v>
      </c>
      <c r="T168" s="1894">
        <v>6.66</v>
      </c>
      <c r="U168" s="1894">
        <v>3392</v>
      </c>
      <c r="V168" s="1894">
        <f t="shared" si="60"/>
        <v>36462</v>
      </c>
      <c r="W168" s="1894">
        <f t="shared" si="61"/>
        <v>0</v>
      </c>
      <c r="X168" s="1894">
        <v>153</v>
      </c>
      <c r="Y168" s="1894">
        <v>93.36</v>
      </c>
      <c r="Z168" s="1894">
        <v>122.4</v>
      </c>
      <c r="AA168" s="1894">
        <v>0.88800000000000001</v>
      </c>
      <c r="AB168" s="1894">
        <v>58.58</v>
      </c>
      <c r="AC168" s="1894">
        <v>45936</v>
      </c>
      <c r="AD168" s="1894">
        <f t="shared" si="62"/>
        <v>40332</v>
      </c>
      <c r="AE168" s="1894">
        <f t="shared" si="63"/>
        <v>5604</v>
      </c>
      <c r="AF168" s="1894">
        <v>153</v>
      </c>
      <c r="AG168" s="1894">
        <v>78.400000000000006</v>
      </c>
      <c r="AH168" s="1894">
        <v>122.4</v>
      </c>
      <c r="AI168" s="1894">
        <v>0.94540000000000002</v>
      </c>
      <c r="AJ168" s="1894">
        <v>49.91</v>
      </c>
      <c r="AK168" s="1894">
        <v>29110</v>
      </c>
      <c r="AL168" s="1894">
        <f t="shared" si="81"/>
        <v>34998</v>
      </c>
      <c r="AM168" s="1894">
        <f t="shared" si="82"/>
        <v>0</v>
      </c>
      <c r="AN168" s="1894">
        <v>153</v>
      </c>
      <c r="AO168" s="1894">
        <v>65.28</v>
      </c>
      <c r="AP168" s="1894">
        <v>122.4</v>
      </c>
      <c r="AQ168" s="1894">
        <v>0.97809999999999997</v>
      </c>
      <c r="AR168" s="1894">
        <v>42.49</v>
      </c>
      <c r="AS168" s="1894">
        <v>20637</v>
      </c>
      <c r="AT168" s="1894">
        <f t="shared" si="64"/>
        <v>29141</v>
      </c>
      <c r="AU168" s="1894">
        <f t="shared" si="65"/>
        <v>0</v>
      </c>
      <c r="AV168" s="1894">
        <v>153</v>
      </c>
      <c r="AW168" s="1894">
        <v>72.16</v>
      </c>
      <c r="AX168" s="1894">
        <v>122.4</v>
      </c>
      <c r="AY168" s="1894">
        <v>0.97829999999999995</v>
      </c>
      <c r="AZ168" s="1894">
        <v>44.61</v>
      </c>
      <c r="BA168" s="1894">
        <v>23175</v>
      </c>
      <c r="BB168" s="1894">
        <f t="shared" si="66"/>
        <v>31173</v>
      </c>
      <c r="BC168" s="1894">
        <f t="shared" si="67"/>
        <v>0</v>
      </c>
      <c r="BD168" s="1894">
        <v>153</v>
      </c>
      <c r="BE168" s="1894">
        <v>78.320000000000007</v>
      </c>
      <c r="BF168" s="1894">
        <v>122.4</v>
      </c>
      <c r="BG168" s="1894">
        <v>0.97970000000000002</v>
      </c>
      <c r="BH168" s="1894">
        <v>34.07</v>
      </c>
      <c r="BI168" s="1894">
        <v>19851</v>
      </c>
      <c r="BJ168" s="1894">
        <f t="shared" si="68"/>
        <v>34962</v>
      </c>
      <c r="BK168" s="1894">
        <f t="shared" si="69"/>
        <v>0</v>
      </c>
      <c r="BL168" s="1894">
        <v>153</v>
      </c>
      <c r="BM168" s="1894">
        <v>66.56</v>
      </c>
      <c r="BN168" s="1894">
        <v>122.4</v>
      </c>
      <c r="BO168" s="1894">
        <v>0.96630000000000005</v>
      </c>
      <c r="BP168" s="1894">
        <v>31.95</v>
      </c>
      <c r="BQ168" s="1894">
        <v>15312</v>
      </c>
      <c r="BR168" s="1894">
        <f t="shared" si="70"/>
        <v>28754</v>
      </c>
      <c r="BS168" s="1894">
        <f t="shared" si="71"/>
        <v>0</v>
      </c>
      <c r="BT168" s="1894">
        <v>153</v>
      </c>
      <c r="BU168" s="1894">
        <v>64.72</v>
      </c>
      <c r="BV168" s="1894">
        <v>122.4</v>
      </c>
      <c r="BW168" s="1894">
        <v>0.96279999999999999</v>
      </c>
      <c r="BX168" s="1894">
        <v>26.64</v>
      </c>
      <c r="BY168" s="1894">
        <v>12828</v>
      </c>
      <c r="BZ168" s="1894">
        <f t="shared" si="72"/>
        <v>28891</v>
      </c>
      <c r="CA168" s="1894">
        <f t="shared" si="73"/>
        <v>0</v>
      </c>
      <c r="CB168" s="1894">
        <v>153</v>
      </c>
      <c r="CC168" s="1894">
        <v>64.319999999999993</v>
      </c>
      <c r="CD168" s="1894">
        <v>122.4</v>
      </c>
      <c r="CE168" s="1894">
        <v>0.97289999999999999</v>
      </c>
      <c r="CF168" s="1894">
        <v>18.93</v>
      </c>
      <c r="CG168" s="1894">
        <v>9060</v>
      </c>
      <c r="CH168" s="1894">
        <f t="shared" si="74"/>
        <v>28712</v>
      </c>
      <c r="CI168" s="1894">
        <f t="shared" si="75"/>
        <v>0</v>
      </c>
      <c r="CJ168" s="1894">
        <v>153</v>
      </c>
      <c r="CK168" s="1894">
        <v>6.32</v>
      </c>
      <c r="CL168" s="1894">
        <v>122.4</v>
      </c>
      <c r="CM168" s="1894">
        <v>0.97989999999999999</v>
      </c>
      <c r="CN168" s="1894">
        <v>31.74</v>
      </c>
      <c r="CO168" s="1894">
        <v>1348</v>
      </c>
      <c r="CP168" s="1894">
        <f t="shared" si="76"/>
        <v>2548</v>
      </c>
      <c r="CQ168" s="1894">
        <f t="shared" si="77"/>
        <v>0</v>
      </c>
      <c r="CR168" s="1924">
        <v>153</v>
      </c>
      <c r="CS168" s="1924">
        <v>6.64</v>
      </c>
      <c r="CT168" s="1924">
        <v>122.4</v>
      </c>
      <c r="CU168" s="1924">
        <v>0.99450000000000005</v>
      </c>
      <c r="CV168" s="1924">
        <v>29.76</v>
      </c>
      <c r="CW168" s="1924">
        <v>1470</v>
      </c>
      <c r="CX168" s="1894">
        <f t="shared" si="78"/>
        <v>2964</v>
      </c>
      <c r="CY168" s="1894">
        <f t="shared" si="79"/>
        <v>0</v>
      </c>
    </row>
    <row r="169" spans="1:103">
      <c r="A169" s="982">
        <v>123000000111</v>
      </c>
      <c r="B169" s="1923">
        <f t="shared" si="80"/>
        <v>163</v>
      </c>
      <c r="C169" s="1895" t="s">
        <v>3057</v>
      </c>
      <c r="D169" s="1894" t="s">
        <v>524</v>
      </c>
      <c r="E169" s="1895" t="s">
        <v>541</v>
      </c>
      <c r="F169" s="1894" t="s">
        <v>259</v>
      </c>
      <c r="G169" s="1924">
        <v>154</v>
      </c>
      <c r="H169" s="1894">
        <v>154</v>
      </c>
      <c r="I169" s="1894">
        <v>132</v>
      </c>
      <c r="J169" s="1894">
        <v>132</v>
      </c>
      <c r="K169" s="1894">
        <v>0.44890000000000002</v>
      </c>
      <c r="L169" s="1894">
        <v>13.64</v>
      </c>
      <c r="M169" s="1894">
        <v>12968</v>
      </c>
      <c r="N169" s="1894">
        <f t="shared" si="58"/>
        <v>57024</v>
      </c>
      <c r="O169" s="1894">
        <f t="shared" si="59"/>
        <v>0</v>
      </c>
      <c r="P169" s="1894">
        <v>154</v>
      </c>
      <c r="Q169" s="1894">
        <v>133.91999999999999</v>
      </c>
      <c r="R169" s="1894">
        <v>133.91999999999999</v>
      </c>
      <c r="S169" s="1894">
        <v>0.433</v>
      </c>
      <c r="T169" s="1894">
        <v>7.45</v>
      </c>
      <c r="U169" s="1894">
        <v>7426</v>
      </c>
      <c r="V169" s="1894">
        <f t="shared" si="60"/>
        <v>59782</v>
      </c>
      <c r="W169" s="1894">
        <f t="shared" si="61"/>
        <v>0</v>
      </c>
      <c r="X169" s="1894">
        <v>154</v>
      </c>
      <c r="Y169" s="1894">
        <v>21.92</v>
      </c>
      <c r="Z169" s="1894">
        <v>123.2</v>
      </c>
      <c r="AA169" s="1894">
        <v>0.3775</v>
      </c>
      <c r="AB169" s="1894">
        <v>12.89</v>
      </c>
      <c r="AC169" s="1894">
        <v>2034</v>
      </c>
      <c r="AD169" s="1894">
        <f t="shared" si="62"/>
        <v>9469</v>
      </c>
      <c r="AE169" s="1894">
        <f t="shared" si="63"/>
        <v>0</v>
      </c>
      <c r="AF169" s="1894">
        <v>154</v>
      </c>
      <c r="AG169" s="1894">
        <v>114.08</v>
      </c>
      <c r="AH169" s="1894">
        <v>123.2</v>
      </c>
      <c r="AI169" s="1894">
        <v>0.36670000000000003</v>
      </c>
      <c r="AJ169" s="1894">
        <v>3.39</v>
      </c>
      <c r="AK169" s="1894">
        <v>2416</v>
      </c>
      <c r="AL169" s="1894">
        <f t="shared" si="81"/>
        <v>50925</v>
      </c>
      <c r="AM169" s="1894">
        <f t="shared" si="82"/>
        <v>0</v>
      </c>
      <c r="AN169" s="1894">
        <v>154</v>
      </c>
      <c r="AO169" s="1894">
        <v>115.99999999999999</v>
      </c>
      <c r="AP169" s="1894">
        <v>123.2</v>
      </c>
      <c r="AQ169" s="1894">
        <v>0</v>
      </c>
      <c r="AR169" s="1894">
        <v>0</v>
      </c>
      <c r="AS169" s="1894">
        <v>0</v>
      </c>
      <c r="AT169" s="1894">
        <f t="shared" si="64"/>
        <v>51782</v>
      </c>
      <c r="AU169" s="1894">
        <f t="shared" si="65"/>
        <v>0</v>
      </c>
      <c r="AV169" s="1894">
        <v>154</v>
      </c>
      <c r="AW169" s="1894">
        <v>0</v>
      </c>
      <c r="AX169" s="1894">
        <v>123.2</v>
      </c>
      <c r="AY169" s="1894">
        <v>0</v>
      </c>
      <c r="AZ169" s="1894">
        <v>0</v>
      </c>
      <c r="BA169" s="1894">
        <v>0</v>
      </c>
      <c r="BB169" s="1894">
        <f t="shared" si="66"/>
        <v>0</v>
      </c>
      <c r="BC169" s="1894">
        <f t="shared" si="67"/>
        <v>0</v>
      </c>
      <c r="BD169" s="1894">
        <v>154</v>
      </c>
      <c r="BE169" s="1894">
        <v>0</v>
      </c>
      <c r="BF169" s="1894">
        <v>123.2</v>
      </c>
      <c r="BG169" s="1894">
        <v>0</v>
      </c>
      <c r="BH169" s="1894">
        <v>0</v>
      </c>
      <c r="BI169" s="1894">
        <v>0</v>
      </c>
      <c r="BJ169" s="1894">
        <f t="shared" si="68"/>
        <v>0</v>
      </c>
      <c r="BK169" s="1894">
        <f t="shared" si="69"/>
        <v>0</v>
      </c>
      <c r="BL169" s="1894">
        <v>154</v>
      </c>
      <c r="BM169" s="1894">
        <v>0</v>
      </c>
      <c r="BN169" s="1894">
        <v>123.2</v>
      </c>
      <c r="BO169" s="1894">
        <v>0</v>
      </c>
      <c r="BP169" s="1894">
        <v>0</v>
      </c>
      <c r="BQ169" s="1894">
        <v>0</v>
      </c>
      <c r="BR169" s="1894">
        <f t="shared" si="70"/>
        <v>0</v>
      </c>
      <c r="BS169" s="1894">
        <f t="shared" si="71"/>
        <v>0</v>
      </c>
      <c r="BT169" s="1894">
        <v>154</v>
      </c>
      <c r="BU169" s="1894">
        <v>125.92000000000002</v>
      </c>
      <c r="BV169" s="1894">
        <v>125.92</v>
      </c>
      <c r="BW169" s="1894">
        <v>0.44819999999999999</v>
      </c>
      <c r="BX169" s="1894">
        <v>0.26</v>
      </c>
      <c r="BY169" s="1894">
        <v>13342</v>
      </c>
      <c r="BZ169" s="1894">
        <f t="shared" si="72"/>
        <v>56211</v>
      </c>
      <c r="CA169" s="1894">
        <f t="shared" si="73"/>
        <v>0</v>
      </c>
      <c r="CB169" s="1894">
        <v>154</v>
      </c>
      <c r="CC169" s="1894">
        <v>122.39999999999999</v>
      </c>
      <c r="CD169" s="1894">
        <v>123.2</v>
      </c>
      <c r="CE169" s="1894">
        <v>0.46970000000000001</v>
      </c>
      <c r="CF169" s="1894">
        <v>15.38</v>
      </c>
      <c r="CG169" s="1894">
        <v>14008</v>
      </c>
      <c r="CH169" s="1894">
        <f t="shared" si="74"/>
        <v>54639</v>
      </c>
      <c r="CI169" s="1894">
        <f t="shared" si="75"/>
        <v>0</v>
      </c>
      <c r="CJ169" s="1894">
        <v>154</v>
      </c>
      <c r="CK169" s="1894">
        <v>122.08000000000001</v>
      </c>
      <c r="CL169" s="1894">
        <v>123.2</v>
      </c>
      <c r="CM169" s="1894">
        <v>0.45519999999999999</v>
      </c>
      <c r="CN169" s="1894">
        <v>18.579999999999998</v>
      </c>
      <c r="CO169" s="1894">
        <v>15244</v>
      </c>
      <c r="CP169" s="1894">
        <f t="shared" si="76"/>
        <v>49223</v>
      </c>
      <c r="CQ169" s="1894">
        <f t="shared" si="77"/>
        <v>0</v>
      </c>
      <c r="CR169" s="1924">
        <v>154</v>
      </c>
      <c r="CS169" s="1924">
        <v>117.12</v>
      </c>
      <c r="CT169" s="1924">
        <v>123.2</v>
      </c>
      <c r="CU169" s="1924">
        <v>0.47960000000000003</v>
      </c>
      <c r="CV169" s="1924">
        <v>8.5399999999999991</v>
      </c>
      <c r="CW169" s="1924">
        <v>7438</v>
      </c>
      <c r="CX169" s="1894">
        <f t="shared" si="78"/>
        <v>52282</v>
      </c>
      <c r="CY169" s="1894">
        <f t="shared" si="79"/>
        <v>0</v>
      </c>
    </row>
    <row r="170" spans="1:103">
      <c r="A170" s="982">
        <v>121000000083</v>
      </c>
      <c r="B170" s="1923">
        <f t="shared" si="80"/>
        <v>164</v>
      </c>
      <c r="C170" s="1895" t="s">
        <v>3058</v>
      </c>
      <c r="D170" s="1894" t="s">
        <v>524</v>
      </c>
      <c r="E170" s="1895" t="s">
        <v>541</v>
      </c>
      <c r="F170" s="1894" t="s">
        <v>259</v>
      </c>
      <c r="G170" s="1924">
        <v>154</v>
      </c>
      <c r="H170" s="1894">
        <v>154</v>
      </c>
      <c r="I170" s="1894">
        <v>82.56</v>
      </c>
      <c r="J170" s="1894">
        <v>123.2</v>
      </c>
      <c r="K170" s="1894">
        <v>0.86970000000000003</v>
      </c>
      <c r="L170" s="1894">
        <v>30.18</v>
      </c>
      <c r="M170" s="1894">
        <v>17940</v>
      </c>
      <c r="N170" s="1894">
        <f t="shared" si="58"/>
        <v>35666</v>
      </c>
      <c r="O170" s="1894">
        <f t="shared" si="59"/>
        <v>0</v>
      </c>
      <c r="P170" s="1894">
        <v>154</v>
      </c>
      <c r="Q170" s="1894">
        <v>85.84</v>
      </c>
      <c r="R170" s="1894">
        <v>123.2</v>
      </c>
      <c r="S170" s="1894">
        <v>0.86739999999999995</v>
      </c>
      <c r="T170" s="1894">
        <v>25.39</v>
      </c>
      <c r="U170" s="1894">
        <v>13600</v>
      </c>
      <c r="V170" s="1894">
        <f t="shared" si="60"/>
        <v>38319</v>
      </c>
      <c r="W170" s="1894">
        <f t="shared" si="61"/>
        <v>0</v>
      </c>
      <c r="X170" s="1894">
        <v>154</v>
      </c>
      <c r="Y170" s="1894">
        <v>91.600000000000009</v>
      </c>
      <c r="Z170" s="1894">
        <v>123.2</v>
      </c>
      <c r="AA170" s="1894">
        <v>0.84950000000000003</v>
      </c>
      <c r="AB170" s="1894">
        <v>56.04</v>
      </c>
      <c r="AC170" s="1894">
        <v>40657</v>
      </c>
      <c r="AD170" s="1894">
        <f t="shared" si="62"/>
        <v>39571</v>
      </c>
      <c r="AE170" s="1894">
        <f t="shared" si="63"/>
        <v>1086</v>
      </c>
      <c r="AF170" s="1894">
        <v>154</v>
      </c>
      <c r="AG170" s="1894">
        <v>90</v>
      </c>
      <c r="AH170" s="1894">
        <v>123.2</v>
      </c>
      <c r="AI170" s="1894">
        <v>0.84219999999999995</v>
      </c>
      <c r="AJ170" s="1894">
        <v>54.81</v>
      </c>
      <c r="AK170" s="1894">
        <v>34331</v>
      </c>
      <c r="AL170" s="1894">
        <f t="shared" si="81"/>
        <v>40176</v>
      </c>
      <c r="AM170" s="1894">
        <f t="shared" si="82"/>
        <v>0</v>
      </c>
      <c r="AN170" s="1894">
        <v>154</v>
      </c>
      <c r="AO170" s="1894">
        <v>82.96</v>
      </c>
      <c r="AP170" s="1894">
        <v>123.2</v>
      </c>
      <c r="AQ170" s="1894">
        <v>0.86760000000000004</v>
      </c>
      <c r="AR170" s="1894">
        <v>44.52</v>
      </c>
      <c r="AS170" s="1894">
        <v>31025</v>
      </c>
      <c r="AT170" s="1894">
        <f t="shared" si="64"/>
        <v>37033</v>
      </c>
      <c r="AU170" s="1894">
        <f t="shared" si="65"/>
        <v>0</v>
      </c>
      <c r="AV170" s="1894">
        <v>154</v>
      </c>
      <c r="AW170" s="1894">
        <v>86.64</v>
      </c>
      <c r="AX170" s="1894">
        <v>123.2</v>
      </c>
      <c r="AY170" s="1894">
        <v>0.85470000000000002</v>
      </c>
      <c r="AZ170" s="1894">
        <v>51.88</v>
      </c>
      <c r="BA170" s="1894">
        <v>32361</v>
      </c>
      <c r="BB170" s="1894">
        <f t="shared" si="66"/>
        <v>37428</v>
      </c>
      <c r="BC170" s="1894">
        <f t="shared" si="67"/>
        <v>0</v>
      </c>
      <c r="BD170" s="1894">
        <v>154</v>
      </c>
      <c r="BE170" s="1894">
        <v>86.4</v>
      </c>
      <c r="BF170" s="1894">
        <v>123.2</v>
      </c>
      <c r="BG170" s="1894">
        <v>0.86219999999999997</v>
      </c>
      <c r="BH170" s="1894">
        <v>40.96</v>
      </c>
      <c r="BI170" s="1894">
        <v>26328</v>
      </c>
      <c r="BJ170" s="1894">
        <f t="shared" si="68"/>
        <v>38569</v>
      </c>
      <c r="BK170" s="1894">
        <f t="shared" si="69"/>
        <v>0</v>
      </c>
      <c r="BL170" s="1894">
        <v>154</v>
      </c>
      <c r="BM170" s="1894">
        <v>78</v>
      </c>
      <c r="BN170" s="1894">
        <v>123.2</v>
      </c>
      <c r="BO170" s="1894">
        <v>0.86280000000000001</v>
      </c>
      <c r="BP170" s="1894">
        <v>43.06</v>
      </c>
      <c r="BQ170" s="1894">
        <v>20150</v>
      </c>
      <c r="BR170" s="1894">
        <f t="shared" si="70"/>
        <v>33696</v>
      </c>
      <c r="BS170" s="1894">
        <f t="shared" si="71"/>
        <v>0</v>
      </c>
      <c r="BT170" s="1894">
        <v>154</v>
      </c>
      <c r="BU170" s="1894">
        <v>79.84</v>
      </c>
      <c r="BV170" s="1894">
        <v>123.2</v>
      </c>
      <c r="BW170" s="1894">
        <v>0.85460000000000003</v>
      </c>
      <c r="BX170" s="1894">
        <v>26.76</v>
      </c>
      <c r="BY170" s="1894">
        <v>18460</v>
      </c>
      <c r="BZ170" s="1894">
        <f t="shared" si="72"/>
        <v>35641</v>
      </c>
      <c r="CA170" s="1894">
        <f t="shared" si="73"/>
        <v>0</v>
      </c>
      <c r="CB170" s="1894">
        <v>154</v>
      </c>
      <c r="CC170" s="1894">
        <v>78</v>
      </c>
      <c r="CD170" s="1894">
        <v>123.2</v>
      </c>
      <c r="CE170" s="1894">
        <v>0.86650000000000005</v>
      </c>
      <c r="CF170" s="1894">
        <v>24.86</v>
      </c>
      <c r="CG170" s="1894">
        <v>14427</v>
      </c>
      <c r="CH170" s="1894">
        <f t="shared" si="74"/>
        <v>34819</v>
      </c>
      <c r="CI170" s="1894">
        <f t="shared" si="75"/>
        <v>0</v>
      </c>
      <c r="CJ170" s="1894">
        <v>154</v>
      </c>
      <c r="CK170" s="1894">
        <v>81.760000000000005</v>
      </c>
      <c r="CL170" s="1894">
        <v>123.2</v>
      </c>
      <c r="CM170" s="1894">
        <v>0.85009999999999997</v>
      </c>
      <c r="CN170" s="1894">
        <v>27.61</v>
      </c>
      <c r="CO170" s="1894">
        <v>15167</v>
      </c>
      <c r="CP170" s="1894">
        <f t="shared" si="76"/>
        <v>32966</v>
      </c>
      <c r="CQ170" s="1894">
        <f t="shared" si="77"/>
        <v>0</v>
      </c>
      <c r="CR170" s="1924">
        <v>154</v>
      </c>
      <c r="CS170" s="1924">
        <v>87.36</v>
      </c>
      <c r="CT170" s="1924">
        <v>123.2</v>
      </c>
      <c r="CU170" s="1924">
        <v>0.84660000000000002</v>
      </c>
      <c r="CV170" s="1924">
        <v>26.2</v>
      </c>
      <c r="CW170" s="1924">
        <v>17031</v>
      </c>
      <c r="CX170" s="1894">
        <f t="shared" si="78"/>
        <v>38998</v>
      </c>
      <c r="CY170" s="1894">
        <f t="shared" si="79"/>
        <v>0</v>
      </c>
    </row>
    <row r="171" spans="1:103">
      <c r="A171" s="982">
        <v>615000000042</v>
      </c>
      <c r="B171" s="1923">
        <f t="shared" si="80"/>
        <v>165</v>
      </c>
      <c r="C171" s="1895" t="s">
        <v>3059</v>
      </c>
      <c r="D171" s="1894" t="s">
        <v>524</v>
      </c>
      <c r="E171" s="1895" t="s">
        <v>541</v>
      </c>
      <c r="F171" s="1894" t="s">
        <v>259</v>
      </c>
      <c r="G171" s="1924">
        <v>156</v>
      </c>
      <c r="H171" s="1894">
        <v>156</v>
      </c>
      <c r="I171" s="1894">
        <v>111.24000000000001</v>
      </c>
      <c r="J171" s="1894">
        <v>124.8</v>
      </c>
      <c r="K171" s="1894">
        <v>0.98060000000000003</v>
      </c>
      <c r="L171" s="1894">
        <v>8.01</v>
      </c>
      <c r="M171" s="1894">
        <v>6418</v>
      </c>
      <c r="N171" s="1894">
        <f t="shared" si="58"/>
        <v>48056</v>
      </c>
      <c r="O171" s="1894">
        <f t="shared" si="59"/>
        <v>0</v>
      </c>
      <c r="P171" s="1894">
        <v>156</v>
      </c>
      <c r="Q171" s="1894">
        <v>105.11999999999999</v>
      </c>
      <c r="R171" s="1894">
        <v>124.8</v>
      </c>
      <c r="S171" s="1894">
        <v>0.98450000000000004</v>
      </c>
      <c r="T171" s="1894">
        <v>4.6399999999999997</v>
      </c>
      <c r="U171" s="1894">
        <v>3629</v>
      </c>
      <c r="V171" s="1894">
        <f t="shared" si="60"/>
        <v>46926</v>
      </c>
      <c r="W171" s="1894">
        <f t="shared" si="61"/>
        <v>0</v>
      </c>
      <c r="X171" s="1894">
        <v>156</v>
      </c>
      <c r="Y171" s="1894">
        <v>102.96000000000001</v>
      </c>
      <c r="Z171" s="1894">
        <v>124.8</v>
      </c>
      <c r="AA171" s="1894">
        <v>0.97889999999999999</v>
      </c>
      <c r="AB171" s="1894">
        <v>7.77</v>
      </c>
      <c r="AC171" s="1894">
        <v>5758</v>
      </c>
      <c r="AD171" s="1894">
        <f t="shared" si="62"/>
        <v>44479</v>
      </c>
      <c r="AE171" s="1894">
        <f t="shared" si="63"/>
        <v>0</v>
      </c>
      <c r="AF171" s="1894">
        <v>156</v>
      </c>
      <c r="AG171" s="1894">
        <v>111.47999999999999</v>
      </c>
      <c r="AH171" s="1894">
        <v>124.8</v>
      </c>
      <c r="AI171" s="1894">
        <v>0.98170000000000002</v>
      </c>
      <c r="AJ171" s="1894">
        <v>15.33</v>
      </c>
      <c r="AK171" s="1894">
        <v>12717</v>
      </c>
      <c r="AL171" s="1894">
        <f t="shared" si="81"/>
        <v>49765</v>
      </c>
      <c r="AM171" s="1894">
        <f t="shared" si="82"/>
        <v>0</v>
      </c>
      <c r="AN171" s="1894">
        <v>156</v>
      </c>
      <c r="AO171" s="1894">
        <v>102.84</v>
      </c>
      <c r="AP171" s="1894">
        <v>124.8</v>
      </c>
      <c r="AQ171" s="1894">
        <v>0.98080000000000001</v>
      </c>
      <c r="AR171" s="1894">
        <v>3.76</v>
      </c>
      <c r="AS171" s="1894">
        <v>2876</v>
      </c>
      <c r="AT171" s="1894">
        <f t="shared" si="64"/>
        <v>45908</v>
      </c>
      <c r="AU171" s="1894">
        <f t="shared" si="65"/>
        <v>0</v>
      </c>
      <c r="AV171" s="1894">
        <v>156</v>
      </c>
      <c r="AW171" s="1894">
        <v>3.1199999999999997</v>
      </c>
      <c r="AX171" s="1894">
        <v>124.8</v>
      </c>
      <c r="AY171" s="1894">
        <v>1</v>
      </c>
      <c r="AZ171" s="1894">
        <v>33.79</v>
      </c>
      <c r="BA171" s="1894">
        <v>759</v>
      </c>
      <c r="BB171" s="1894">
        <f t="shared" si="66"/>
        <v>1348</v>
      </c>
      <c r="BC171" s="1894">
        <f t="shared" si="67"/>
        <v>0</v>
      </c>
      <c r="BD171" s="1894">
        <v>156</v>
      </c>
      <c r="BE171" s="1894">
        <v>116.4</v>
      </c>
      <c r="BF171" s="1894">
        <v>124.8</v>
      </c>
      <c r="BG171" s="1894">
        <v>0.97940000000000005</v>
      </c>
      <c r="BH171" s="1894">
        <v>2.52</v>
      </c>
      <c r="BI171" s="1894">
        <v>2185</v>
      </c>
      <c r="BJ171" s="1894">
        <f t="shared" si="68"/>
        <v>51961</v>
      </c>
      <c r="BK171" s="1894">
        <f t="shared" si="69"/>
        <v>0</v>
      </c>
      <c r="BL171" s="1894">
        <v>156</v>
      </c>
      <c r="BM171" s="1894">
        <v>112.44000000000001</v>
      </c>
      <c r="BN171" s="1894">
        <v>124.8</v>
      </c>
      <c r="BO171" s="1894">
        <v>0.97850000000000004</v>
      </c>
      <c r="BP171" s="1894">
        <v>4.49</v>
      </c>
      <c r="BQ171" s="1894">
        <v>3636</v>
      </c>
      <c r="BR171" s="1894">
        <f t="shared" si="70"/>
        <v>48574</v>
      </c>
      <c r="BS171" s="1894">
        <f t="shared" si="71"/>
        <v>0</v>
      </c>
      <c r="BT171" s="1894">
        <v>156</v>
      </c>
      <c r="BU171" s="1894">
        <v>108.72</v>
      </c>
      <c r="BV171" s="1894">
        <v>124.8</v>
      </c>
      <c r="BW171" s="1894">
        <v>0.97330000000000005</v>
      </c>
      <c r="BX171" s="1894">
        <v>8.4</v>
      </c>
      <c r="BY171" s="1894">
        <v>6791</v>
      </c>
      <c r="BZ171" s="1894">
        <f t="shared" si="72"/>
        <v>48533</v>
      </c>
      <c r="CA171" s="1894">
        <f t="shared" si="73"/>
        <v>0</v>
      </c>
      <c r="CB171" s="1894">
        <v>156</v>
      </c>
      <c r="CC171" s="1894">
        <v>102.84</v>
      </c>
      <c r="CD171" s="1894">
        <v>124.8</v>
      </c>
      <c r="CE171" s="1894">
        <v>0.97499999999999998</v>
      </c>
      <c r="CF171" s="1894">
        <v>11.01</v>
      </c>
      <c r="CG171" s="1894">
        <v>8421</v>
      </c>
      <c r="CH171" s="1894">
        <f t="shared" si="74"/>
        <v>45908</v>
      </c>
      <c r="CI171" s="1894">
        <f t="shared" si="75"/>
        <v>0</v>
      </c>
      <c r="CJ171" s="1894">
        <v>156</v>
      </c>
      <c r="CK171" s="1894">
        <v>119.16</v>
      </c>
      <c r="CL171" s="1894">
        <v>124.8</v>
      </c>
      <c r="CM171" s="1894">
        <v>0.97230000000000005</v>
      </c>
      <c r="CN171" s="1894">
        <v>11.04</v>
      </c>
      <c r="CO171" s="1894">
        <v>8840</v>
      </c>
      <c r="CP171" s="1894">
        <f t="shared" si="76"/>
        <v>48045</v>
      </c>
      <c r="CQ171" s="1894">
        <f t="shared" si="77"/>
        <v>0</v>
      </c>
      <c r="CR171" s="1924">
        <v>156</v>
      </c>
      <c r="CS171" s="1924">
        <v>161.28</v>
      </c>
      <c r="CT171" s="1924">
        <v>161.28</v>
      </c>
      <c r="CU171" s="1924">
        <v>0.85140000000000005</v>
      </c>
      <c r="CV171" s="1924">
        <v>17.61</v>
      </c>
      <c r="CW171" s="1924">
        <v>21132</v>
      </c>
      <c r="CX171" s="1894">
        <f t="shared" si="78"/>
        <v>71995</v>
      </c>
      <c r="CY171" s="1894">
        <f t="shared" si="79"/>
        <v>0</v>
      </c>
    </row>
    <row r="172" spans="1:103">
      <c r="A172" s="982">
        <v>615000000043</v>
      </c>
      <c r="B172" s="1923">
        <f t="shared" si="80"/>
        <v>166</v>
      </c>
      <c r="C172" s="1895" t="s">
        <v>3060</v>
      </c>
      <c r="D172" s="1894" t="s">
        <v>524</v>
      </c>
      <c r="E172" s="1895" t="s">
        <v>541</v>
      </c>
      <c r="F172" s="1894" t="s">
        <v>259</v>
      </c>
      <c r="G172" s="1924">
        <v>156</v>
      </c>
      <c r="H172" s="1894">
        <v>156</v>
      </c>
      <c r="I172" s="1894">
        <v>90.84</v>
      </c>
      <c r="J172" s="1894">
        <v>124.8</v>
      </c>
      <c r="K172" s="1894">
        <v>0.96419999999999995</v>
      </c>
      <c r="L172" s="1894">
        <v>9.67</v>
      </c>
      <c r="M172" s="1894">
        <v>6323</v>
      </c>
      <c r="N172" s="1894">
        <f t="shared" si="58"/>
        <v>39243</v>
      </c>
      <c r="O172" s="1894">
        <f t="shared" si="59"/>
        <v>0</v>
      </c>
      <c r="P172" s="1894">
        <v>156</v>
      </c>
      <c r="Q172" s="1894">
        <v>95.04</v>
      </c>
      <c r="R172" s="1894">
        <v>124.8</v>
      </c>
      <c r="S172" s="1894">
        <v>0.97389999999999999</v>
      </c>
      <c r="T172" s="1894">
        <v>3.91</v>
      </c>
      <c r="U172" s="1894">
        <v>2764</v>
      </c>
      <c r="V172" s="1894">
        <f t="shared" si="60"/>
        <v>42426</v>
      </c>
      <c r="W172" s="1894">
        <f t="shared" si="61"/>
        <v>0</v>
      </c>
      <c r="X172" s="1894">
        <v>156</v>
      </c>
      <c r="Y172" s="1894">
        <v>95.16</v>
      </c>
      <c r="Z172" s="1894">
        <v>124.8</v>
      </c>
      <c r="AA172" s="1894">
        <v>0.96079999999999999</v>
      </c>
      <c r="AB172" s="1894">
        <v>6.9</v>
      </c>
      <c r="AC172" s="1894">
        <v>4730</v>
      </c>
      <c r="AD172" s="1894">
        <f t="shared" si="62"/>
        <v>41109</v>
      </c>
      <c r="AE172" s="1894">
        <f t="shared" si="63"/>
        <v>0</v>
      </c>
      <c r="AF172" s="1894">
        <v>156</v>
      </c>
      <c r="AG172" s="1894">
        <v>94.08</v>
      </c>
      <c r="AH172" s="1894">
        <v>124.8</v>
      </c>
      <c r="AI172" s="1894">
        <v>0.94620000000000004</v>
      </c>
      <c r="AJ172" s="1894">
        <v>10.5</v>
      </c>
      <c r="AK172" s="1894">
        <v>6640</v>
      </c>
      <c r="AL172" s="1894">
        <f t="shared" si="81"/>
        <v>41997</v>
      </c>
      <c r="AM172" s="1894">
        <f t="shared" si="82"/>
        <v>0</v>
      </c>
      <c r="AN172" s="1894">
        <v>156</v>
      </c>
      <c r="AO172" s="1894">
        <v>1.08</v>
      </c>
      <c r="AP172" s="1894">
        <v>124.8</v>
      </c>
      <c r="AQ172" s="1894">
        <v>0.93799999999999994</v>
      </c>
      <c r="AR172" s="1894">
        <v>269.27</v>
      </c>
      <c r="AS172" s="1894">
        <v>2373</v>
      </c>
      <c r="AT172" s="1894">
        <f t="shared" si="64"/>
        <v>482</v>
      </c>
      <c r="AU172" s="1894">
        <f t="shared" si="65"/>
        <v>1891</v>
      </c>
      <c r="AV172" s="1894">
        <v>156</v>
      </c>
      <c r="AW172" s="1894">
        <v>86.64</v>
      </c>
      <c r="AX172" s="1894">
        <v>124.8</v>
      </c>
      <c r="AY172" s="1894">
        <v>0.98060000000000003</v>
      </c>
      <c r="AZ172" s="1894">
        <v>1.24</v>
      </c>
      <c r="BA172" s="1894">
        <v>774</v>
      </c>
      <c r="BB172" s="1894">
        <f t="shared" si="66"/>
        <v>37428</v>
      </c>
      <c r="BC172" s="1894">
        <f t="shared" si="67"/>
        <v>0</v>
      </c>
      <c r="BD172" s="1894">
        <v>156</v>
      </c>
      <c r="BE172" s="1894">
        <v>1.4</v>
      </c>
      <c r="BF172" s="1894">
        <v>124.8</v>
      </c>
      <c r="BG172" s="1894">
        <v>1</v>
      </c>
      <c r="BH172" s="1894">
        <v>18.190000000000001</v>
      </c>
      <c r="BI172" s="1894">
        <v>165</v>
      </c>
      <c r="BJ172" s="1894">
        <f t="shared" si="68"/>
        <v>625</v>
      </c>
      <c r="BK172" s="1894">
        <f t="shared" si="69"/>
        <v>0</v>
      </c>
      <c r="BL172" s="1894">
        <v>156</v>
      </c>
      <c r="BM172" s="1894">
        <v>0.9</v>
      </c>
      <c r="BN172" s="1894">
        <v>124.8</v>
      </c>
      <c r="BO172" s="1894">
        <v>1.0068999999999999</v>
      </c>
      <c r="BP172" s="1894">
        <v>22.22</v>
      </c>
      <c r="BQ172" s="1894">
        <v>144</v>
      </c>
      <c r="BR172" s="1894">
        <f t="shared" si="70"/>
        <v>389</v>
      </c>
      <c r="BS172" s="1894">
        <f t="shared" si="71"/>
        <v>0</v>
      </c>
      <c r="BT172" s="1894">
        <v>156</v>
      </c>
      <c r="BU172" s="1894">
        <v>0.6</v>
      </c>
      <c r="BV172" s="1894">
        <v>124.8</v>
      </c>
      <c r="BW172" s="1894">
        <v>1</v>
      </c>
      <c r="BX172" s="1894">
        <v>34.72</v>
      </c>
      <c r="BY172" s="1894">
        <v>155</v>
      </c>
      <c r="BZ172" s="1894">
        <f t="shared" si="72"/>
        <v>268</v>
      </c>
      <c r="CA172" s="1894">
        <f t="shared" si="73"/>
        <v>0</v>
      </c>
      <c r="CB172" s="1894">
        <v>156</v>
      </c>
      <c r="CC172" s="1894">
        <v>0.5</v>
      </c>
      <c r="CD172" s="1894">
        <v>124.8</v>
      </c>
      <c r="CE172" s="1894">
        <v>1</v>
      </c>
      <c r="CF172" s="1894">
        <v>39.520000000000003</v>
      </c>
      <c r="CG172" s="1894">
        <v>147</v>
      </c>
      <c r="CH172" s="1894">
        <f t="shared" si="74"/>
        <v>223</v>
      </c>
      <c r="CI172" s="1894">
        <f t="shared" si="75"/>
        <v>0</v>
      </c>
      <c r="CJ172" s="1894">
        <v>156</v>
      </c>
      <c r="CK172" s="1894">
        <v>0.5</v>
      </c>
      <c r="CL172" s="1894">
        <v>124.8</v>
      </c>
      <c r="CM172" s="1894">
        <v>1</v>
      </c>
      <c r="CN172" s="1894">
        <v>41.41</v>
      </c>
      <c r="CO172" s="1894">
        <v>159</v>
      </c>
      <c r="CP172" s="1894">
        <f t="shared" si="76"/>
        <v>202</v>
      </c>
      <c r="CQ172" s="1894">
        <f t="shared" si="77"/>
        <v>0</v>
      </c>
      <c r="CR172" s="1924">
        <v>156</v>
      </c>
      <c r="CS172" s="1924">
        <v>106.545</v>
      </c>
      <c r="CT172" s="1924">
        <v>124.8</v>
      </c>
      <c r="CU172" s="1924">
        <v>0.94610000000000005</v>
      </c>
      <c r="CV172" s="1924">
        <v>14.5</v>
      </c>
      <c r="CW172" s="1924">
        <v>11490</v>
      </c>
      <c r="CX172" s="1894">
        <f t="shared" si="78"/>
        <v>47562</v>
      </c>
      <c r="CY172" s="1894">
        <f t="shared" si="79"/>
        <v>0</v>
      </c>
    </row>
    <row r="173" spans="1:103">
      <c r="A173" s="982">
        <v>122000000078</v>
      </c>
      <c r="B173" s="1923">
        <f t="shared" si="80"/>
        <v>167</v>
      </c>
      <c r="C173" s="1895" t="s">
        <v>3061</v>
      </c>
      <c r="D173" s="1894" t="s">
        <v>524</v>
      </c>
      <c r="E173" s="1895" t="s">
        <v>2966</v>
      </c>
      <c r="F173" s="1894" t="s">
        <v>259</v>
      </c>
      <c r="G173" s="1924">
        <v>156</v>
      </c>
      <c r="H173" s="1894">
        <v>156</v>
      </c>
      <c r="I173" s="1894">
        <v>54.800000000000004</v>
      </c>
      <c r="J173" s="1894">
        <v>156</v>
      </c>
      <c r="K173" s="1894">
        <v>0.81479999999999997</v>
      </c>
      <c r="L173" s="1894">
        <v>0</v>
      </c>
      <c r="M173" s="1894">
        <v>11114</v>
      </c>
      <c r="N173" s="1894">
        <f t="shared" si="58"/>
        <v>23674</v>
      </c>
      <c r="O173" s="1894">
        <f t="shared" si="59"/>
        <v>0</v>
      </c>
      <c r="P173" s="1894">
        <v>156</v>
      </c>
      <c r="Q173" s="1894">
        <v>92</v>
      </c>
      <c r="R173" s="1894">
        <v>156</v>
      </c>
      <c r="S173" s="1894">
        <v>0.80410000000000004</v>
      </c>
      <c r="T173" s="1894">
        <v>0</v>
      </c>
      <c r="U173" s="1894">
        <v>10853</v>
      </c>
      <c r="V173" s="1894">
        <f t="shared" si="60"/>
        <v>41069</v>
      </c>
      <c r="W173" s="1894">
        <f t="shared" si="61"/>
        <v>0</v>
      </c>
      <c r="X173" s="1894">
        <v>156</v>
      </c>
      <c r="Y173" s="1894">
        <v>57.599999999999994</v>
      </c>
      <c r="Z173" s="1894">
        <v>156</v>
      </c>
      <c r="AA173" s="1894">
        <v>0.81110000000000004</v>
      </c>
      <c r="AB173" s="1894">
        <v>0</v>
      </c>
      <c r="AC173" s="1894">
        <v>11638</v>
      </c>
      <c r="AD173" s="1894">
        <f t="shared" si="62"/>
        <v>24883</v>
      </c>
      <c r="AE173" s="1894">
        <f t="shared" si="63"/>
        <v>0</v>
      </c>
      <c r="AF173" s="1894">
        <v>156</v>
      </c>
      <c r="AG173" s="1894">
        <v>57.599999999999994</v>
      </c>
      <c r="AH173" s="1894">
        <v>156</v>
      </c>
      <c r="AI173" s="1894">
        <v>0.83479999999999999</v>
      </c>
      <c r="AJ173" s="1894">
        <v>0</v>
      </c>
      <c r="AK173" s="1894">
        <v>7025</v>
      </c>
      <c r="AL173" s="1894">
        <f t="shared" si="81"/>
        <v>25713</v>
      </c>
      <c r="AM173" s="1894">
        <f t="shared" si="82"/>
        <v>0</v>
      </c>
      <c r="AN173" s="1894">
        <v>156</v>
      </c>
      <c r="AO173" s="1894">
        <v>69.599999999999994</v>
      </c>
      <c r="AP173" s="1894">
        <v>156</v>
      </c>
      <c r="AQ173" s="1894">
        <v>0.83289999999999997</v>
      </c>
      <c r="AR173" s="1894">
        <v>0</v>
      </c>
      <c r="AS173" s="1894">
        <v>7185</v>
      </c>
      <c r="AT173" s="1894">
        <f t="shared" si="64"/>
        <v>31069</v>
      </c>
      <c r="AU173" s="1894">
        <f t="shared" si="65"/>
        <v>0</v>
      </c>
      <c r="AV173" s="1894">
        <v>156</v>
      </c>
      <c r="AW173" s="1894">
        <v>74.400000000000006</v>
      </c>
      <c r="AX173" s="1894">
        <v>156</v>
      </c>
      <c r="AY173" s="1894">
        <v>0.81320000000000003</v>
      </c>
      <c r="AZ173" s="1894">
        <v>0</v>
      </c>
      <c r="BA173" s="1894">
        <v>13258</v>
      </c>
      <c r="BB173" s="1894">
        <f t="shared" si="66"/>
        <v>32141</v>
      </c>
      <c r="BC173" s="1894">
        <f t="shared" si="67"/>
        <v>0</v>
      </c>
      <c r="BD173" s="1894">
        <v>156</v>
      </c>
      <c r="BE173" s="1894">
        <v>74.400000000000006</v>
      </c>
      <c r="BF173" s="1894">
        <v>156</v>
      </c>
      <c r="BG173" s="1894">
        <v>0.79290000000000005</v>
      </c>
      <c r="BH173" s="1894">
        <v>0</v>
      </c>
      <c r="BI173" s="1894">
        <v>12498</v>
      </c>
      <c r="BJ173" s="1894">
        <f t="shared" si="68"/>
        <v>33212</v>
      </c>
      <c r="BK173" s="1894">
        <f t="shared" si="69"/>
        <v>0</v>
      </c>
      <c r="BL173" s="1894">
        <v>156</v>
      </c>
      <c r="BM173" s="1894">
        <v>24.48</v>
      </c>
      <c r="BN173" s="1894">
        <v>156</v>
      </c>
      <c r="BO173" s="1894">
        <v>0.81359999999999999</v>
      </c>
      <c r="BP173" s="1894">
        <v>0</v>
      </c>
      <c r="BQ173" s="1894">
        <v>3220</v>
      </c>
      <c r="BR173" s="1894">
        <f t="shared" si="70"/>
        <v>10575</v>
      </c>
      <c r="BS173" s="1894">
        <f t="shared" si="71"/>
        <v>0</v>
      </c>
      <c r="BT173" s="1894">
        <v>156</v>
      </c>
      <c r="BU173" s="1894">
        <v>9.76</v>
      </c>
      <c r="BV173" s="1894">
        <v>156</v>
      </c>
      <c r="BW173" s="1894">
        <v>0.70820000000000005</v>
      </c>
      <c r="BX173" s="1894">
        <v>0</v>
      </c>
      <c r="BY173" s="1894">
        <v>1460</v>
      </c>
      <c r="BZ173" s="1894">
        <f t="shared" si="72"/>
        <v>4357</v>
      </c>
      <c r="CA173" s="1894">
        <f t="shared" si="73"/>
        <v>0</v>
      </c>
      <c r="CB173" s="1894">
        <v>156</v>
      </c>
      <c r="CC173" s="1894">
        <v>10</v>
      </c>
      <c r="CD173" s="1894">
        <v>156</v>
      </c>
      <c r="CE173" s="1894">
        <v>0</v>
      </c>
      <c r="CF173" s="1894">
        <v>0</v>
      </c>
      <c r="CG173" s="1894">
        <v>0</v>
      </c>
      <c r="CH173" s="1894">
        <f t="shared" si="74"/>
        <v>4464</v>
      </c>
      <c r="CI173" s="1894">
        <f t="shared" si="75"/>
        <v>0</v>
      </c>
      <c r="CJ173" s="1894">
        <v>156</v>
      </c>
      <c r="CK173" s="1894">
        <v>35.92</v>
      </c>
      <c r="CL173" s="1894">
        <v>156</v>
      </c>
      <c r="CM173" s="1894">
        <v>0.76060000000000005</v>
      </c>
      <c r="CN173" s="1894">
        <v>0</v>
      </c>
      <c r="CO173" s="1894">
        <v>2001</v>
      </c>
      <c r="CP173" s="1894">
        <f t="shared" si="76"/>
        <v>14483</v>
      </c>
      <c r="CQ173" s="1894">
        <f t="shared" si="77"/>
        <v>0</v>
      </c>
      <c r="CR173" s="1924">
        <v>156</v>
      </c>
      <c r="CS173" s="1924">
        <v>90.4</v>
      </c>
      <c r="CT173" s="1924">
        <v>156</v>
      </c>
      <c r="CU173" s="1924">
        <v>0.78549999999999998</v>
      </c>
      <c r="CV173" s="1924">
        <v>0</v>
      </c>
      <c r="CW173" s="1924">
        <v>12098</v>
      </c>
      <c r="CX173" s="1894">
        <f t="shared" si="78"/>
        <v>40355</v>
      </c>
      <c r="CY173" s="1894">
        <f t="shared" si="79"/>
        <v>0</v>
      </c>
    </row>
    <row r="174" spans="1:103">
      <c r="A174" s="982">
        <v>124000000044</v>
      </c>
      <c r="B174" s="1923">
        <f t="shared" si="80"/>
        <v>168</v>
      </c>
      <c r="C174" s="1895" t="s">
        <v>3062</v>
      </c>
      <c r="D174" s="1894" t="s">
        <v>524</v>
      </c>
      <c r="E174" s="1895" t="s">
        <v>541</v>
      </c>
      <c r="F174" s="1894" t="s">
        <v>259</v>
      </c>
      <c r="G174" s="1924">
        <v>156</v>
      </c>
      <c r="H174" s="1894">
        <v>156</v>
      </c>
      <c r="I174" s="1894">
        <v>98</v>
      </c>
      <c r="J174" s="1894">
        <v>124.8</v>
      </c>
      <c r="K174" s="1894">
        <v>0.97260000000000002</v>
      </c>
      <c r="L174" s="1894">
        <v>6.13</v>
      </c>
      <c r="M174" s="1894">
        <v>4322</v>
      </c>
      <c r="N174" s="1894">
        <f t="shared" si="58"/>
        <v>42336</v>
      </c>
      <c r="O174" s="1894">
        <f t="shared" si="59"/>
        <v>0</v>
      </c>
      <c r="P174" s="1894">
        <v>156</v>
      </c>
      <c r="Q174" s="1894">
        <v>89.36</v>
      </c>
      <c r="R174" s="1894">
        <v>124.8</v>
      </c>
      <c r="S174" s="1894">
        <v>0.94389999999999996</v>
      </c>
      <c r="T174" s="1894">
        <v>8.16</v>
      </c>
      <c r="U174" s="1894">
        <v>5426</v>
      </c>
      <c r="V174" s="1894">
        <f t="shared" si="60"/>
        <v>39890</v>
      </c>
      <c r="W174" s="1894">
        <f t="shared" si="61"/>
        <v>0</v>
      </c>
      <c r="X174" s="1894">
        <v>156</v>
      </c>
      <c r="Y174" s="1894">
        <v>92</v>
      </c>
      <c r="Z174" s="1894">
        <v>124.8</v>
      </c>
      <c r="AA174" s="1894">
        <v>0.95469999999999999</v>
      </c>
      <c r="AB174" s="1894">
        <v>8.33</v>
      </c>
      <c r="AC174" s="1894">
        <v>5521</v>
      </c>
      <c r="AD174" s="1894">
        <f t="shared" si="62"/>
        <v>39744</v>
      </c>
      <c r="AE174" s="1894">
        <f t="shared" si="63"/>
        <v>0</v>
      </c>
      <c r="AF174" s="1894">
        <v>156</v>
      </c>
      <c r="AG174" s="1894">
        <v>98.48</v>
      </c>
      <c r="AH174" s="1894">
        <v>124.8</v>
      </c>
      <c r="AI174" s="1894">
        <v>0.97499999999999998</v>
      </c>
      <c r="AJ174" s="1894">
        <v>10.93</v>
      </c>
      <c r="AK174" s="1894">
        <v>8005</v>
      </c>
      <c r="AL174" s="1894">
        <f t="shared" si="81"/>
        <v>43961</v>
      </c>
      <c r="AM174" s="1894">
        <f t="shared" si="82"/>
        <v>0</v>
      </c>
      <c r="AN174" s="1894">
        <v>156</v>
      </c>
      <c r="AO174" s="1894">
        <v>101.36</v>
      </c>
      <c r="AP174" s="1894">
        <v>124.8</v>
      </c>
      <c r="AQ174" s="1894">
        <v>0.95069999999999999</v>
      </c>
      <c r="AR174" s="1894">
        <v>9.77</v>
      </c>
      <c r="AS174" s="1894">
        <v>7368</v>
      </c>
      <c r="AT174" s="1894">
        <f t="shared" si="64"/>
        <v>45247</v>
      </c>
      <c r="AU174" s="1894">
        <f t="shared" si="65"/>
        <v>0</v>
      </c>
      <c r="AV174" s="1894">
        <v>156</v>
      </c>
      <c r="AW174" s="1894">
        <v>102.08</v>
      </c>
      <c r="AX174" s="1894">
        <v>124.8</v>
      </c>
      <c r="AY174" s="1894">
        <v>0.95269999999999999</v>
      </c>
      <c r="AZ174" s="1894">
        <v>8.6199999999999992</v>
      </c>
      <c r="BA174" s="1894">
        <v>6334</v>
      </c>
      <c r="BB174" s="1894">
        <f t="shared" si="66"/>
        <v>44099</v>
      </c>
      <c r="BC174" s="1894">
        <f t="shared" si="67"/>
        <v>0</v>
      </c>
      <c r="BD174" s="1894">
        <v>156</v>
      </c>
      <c r="BE174" s="1894">
        <v>105.91999999999999</v>
      </c>
      <c r="BF174" s="1894">
        <v>124.8</v>
      </c>
      <c r="BG174" s="1894">
        <v>0.96309999999999996</v>
      </c>
      <c r="BH174" s="1894">
        <v>12.32</v>
      </c>
      <c r="BI174" s="1894">
        <v>9710</v>
      </c>
      <c r="BJ174" s="1894">
        <f t="shared" si="68"/>
        <v>47283</v>
      </c>
      <c r="BK174" s="1894">
        <f t="shared" si="69"/>
        <v>0</v>
      </c>
      <c r="BL174" s="1894">
        <v>156</v>
      </c>
      <c r="BM174" s="1894">
        <v>110.32</v>
      </c>
      <c r="BN174" s="1894">
        <v>124.8</v>
      </c>
      <c r="BO174" s="1894">
        <v>0.96799999999999997</v>
      </c>
      <c r="BP174" s="1894">
        <v>11.07</v>
      </c>
      <c r="BQ174" s="1894">
        <v>8795</v>
      </c>
      <c r="BR174" s="1894">
        <f t="shared" si="70"/>
        <v>47658</v>
      </c>
      <c r="BS174" s="1894">
        <f t="shared" si="71"/>
        <v>0</v>
      </c>
      <c r="BT174" s="1894">
        <v>156</v>
      </c>
      <c r="BU174" s="1894">
        <v>100.24</v>
      </c>
      <c r="BV174" s="1894">
        <v>124.8</v>
      </c>
      <c r="BW174" s="1894">
        <v>0.9405</v>
      </c>
      <c r="BX174" s="1894">
        <v>10.38</v>
      </c>
      <c r="BY174" s="1894">
        <v>7744</v>
      </c>
      <c r="BZ174" s="1894">
        <f t="shared" si="72"/>
        <v>44747</v>
      </c>
      <c r="CA174" s="1894">
        <f t="shared" si="73"/>
        <v>0</v>
      </c>
      <c r="CB174" s="1894">
        <v>156</v>
      </c>
      <c r="CC174" s="1894">
        <v>109.04</v>
      </c>
      <c r="CD174" s="1894">
        <v>124.8</v>
      </c>
      <c r="CE174" s="1894">
        <v>0.94499999999999995</v>
      </c>
      <c r="CF174" s="1894">
        <v>7.56</v>
      </c>
      <c r="CG174" s="1894">
        <v>6130</v>
      </c>
      <c r="CH174" s="1894">
        <f t="shared" si="74"/>
        <v>48675</v>
      </c>
      <c r="CI174" s="1894">
        <f t="shared" si="75"/>
        <v>0</v>
      </c>
      <c r="CJ174" s="1894">
        <v>156</v>
      </c>
      <c r="CK174" s="1894">
        <v>92.88</v>
      </c>
      <c r="CL174" s="1894">
        <v>124.8</v>
      </c>
      <c r="CM174" s="1894">
        <v>0.9758</v>
      </c>
      <c r="CN174" s="1894">
        <v>8.2899999999999991</v>
      </c>
      <c r="CO174" s="1894">
        <v>5176</v>
      </c>
      <c r="CP174" s="1894">
        <f t="shared" si="76"/>
        <v>37449</v>
      </c>
      <c r="CQ174" s="1894">
        <f t="shared" si="77"/>
        <v>0</v>
      </c>
      <c r="CR174" s="1924">
        <v>156</v>
      </c>
      <c r="CS174" s="1924">
        <v>113.04</v>
      </c>
      <c r="CT174" s="1924">
        <v>124.8</v>
      </c>
      <c r="CU174" s="1924">
        <v>0.97289999999999999</v>
      </c>
      <c r="CV174" s="1924">
        <v>7.53</v>
      </c>
      <c r="CW174" s="1924">
        <v>6332</v>
      </c>
      <c r="CX174" s="1894">
        <f t="shared" si="78"/>
        <v>50461</v>
      </c>
      <c r="CY174" s="1894">
        <f t="shared" si="79"/>
        <v>0</v>
      </c>
    </row>
    <row r="175" spans="1:103">
      <c r="A175" s="982">
        <v>125000000038</v>
      </c>
      <c r="B175" s="1923">
        <f t="shared" si="80"/>
        <v>169</v>
      </c>
      <c r="C175" s="1895" t="s">
        <v>3063</v>
      </c>
      <c r="D175" s="1894" t="s">
        <v>524</v>
      </c>
      <c r="E175" s="1895" t="s">
        <v>541</v>
      </c>
      <c r="F175" s="1894" t="s">
        <v>259</v>
      </c>
      <c r="G175" s="1924">
        <v>156</v>
      </c>
      <c r="H175" s="1894">
        <v>156</v>
      </c>
      <c r="I175" s="1894">
        <v>67.800000000000011</v>
      </c>
      <c r="J175" s="1894">
        <v>124.8</v>
      </c>
      <c r="K175" s="1894">
        <v>0.97250000000000003</v>
      </c>
      <c r="L175" s="1894">
        <v>18.36</v>
      </c>
      <c r="M175" s="1894">
        <v>8964</v>
      </c>
      <c r="N175" s="1894">
        <f t="shared" si="58"/>
        <v>29290</v>
      </c>
      <c r="O175" s="1894">
        <f t="shared" si="59"/>
        <v>0</v>
      </c>
      <c r="P175" s="1894">
        <v>156</v>
      </c>
      <c r="Q175" s="1894">
        <v>4</v>
      </c>
      <c r="R175" s="1894">
        <v>124.8</v>
      </c>
      <c r="S175" s="1894">
        <v>0.83679999999999999</v>
      </c>
      <c r="T175" s="1894">
        <v>23.03</v>
      </c>
      <c r="U175" s="1894">
        <v>619</v>
      </c>
      <c r="V175" s="1894">
        <f t="shared" si="60"/>
        <v>1786</v>
      </c>
      <c r="W175" s="1894">
        <f t="shared" si="61"/>
        <v>0</v>
      </c>
      <c r="X175" s="1894">
        <v>156</v>
      </c>
      <c r="Y175" s="1894">
        <v>3.4000000000000004</v>
      </c>
      <c r="Z175" s="1894">
        <v>124.8</v>
      </c>
      <c r="AA175" s="1894">
        <v>0.83609999999999995</v>
      </c>
      <c r="AB175" s="1894">
        <v>32.64</v>
      </c>
      <c r="AC175" s="1894">
        <v>879</v>
      </c>
      <c r="AD175" s="1894">
        <f t="shared" si="62"/>
        <v>1469</v>
      </c>
      <c r="AE175" s="1894">
        <f t="shared" si="63"/>
        <v>0</v>
      </c>
      <c r="AF175" s="1894">
        <v>156</v>
      </c>
      <c r="AG175" s="1894">
        <v>33.800000000000004</v>
      </c>
      <c r="AH175" s="1894">
        <v>124.8</v>
      </c>
      <c r="AI175" s="1894">
        <v>0.87660000000000005</v>
      </c>
      <c r="AJ175" s="1894">
        <v>2.97</v>
      </c>
      <c r="AK175" s="1894">
        <v>746</v>
      </c>
      <c r="AL175" s="1894">
        <f t="shared" si="81"/>
        <v>15088</v>
      </c>
      <c r="AM175" s="1894">
        <f t="shared" si="82"/>
        <v>0</v>
      </c>
      <c r="AN175" s="1894">
        <v>156</v>
      </c>
      <c r="AO175" s="1894">
        <v>3.5999999999999996</v>
      </c>
      <c r="AP175" s="1894">
        <v>124.8</v>
      </c>
      <c r="AQ175" s="1894">
        <v>0.73019999999999996</v>
      </c>
      <c r="AR175" s="1894">
        <v>35.479999999999997</v>
      </c>
      <c r="AS175" s="1894">
        <v>797</v>
      </c>
      <c r="AT175" s="1894">
        <f t="shared" si="64"/>
        <v>1607</v>
      </c>
      <c r="AU175" s="1894">
        <f t="shared" si="65"/>
        <v>0</v>
      </c>
      <c r="AV175" s="1894">
        <v>156</v>
      </c>
      <c r="AW175" s="1894">
        <v>3.5999999999999996</v>
      </c>
      <c r="AX175" s="1894">
        <v>124.8</v>
      </c>
      <c r="AY175" s="1894">
        <v>0.77380000000000004</v>
      </c>
      <c r="AZ175" s="1894">
        <v>36.36</v>
      </c>
      <c r="BA175" s="1894">
        <v>911</v>
      </c>
      <c r="BB175" s="1894">
        <f t="shared" si="66"/>
        <v>1555</v>
      </c>
      <c r="BC175" s="1894">
        <f t="shared" si="67"/>
        <v>0</v>
      </c>
      <c r="BD175" s="1894">
        <v>156</v>
      </c>
      <c r="BE175" s="1894">
        <v>3.4000000000000004</v>
      </c>
      <c r="BF175" s="1894">
        <v>124.8</v>
      </c>
      <c r="BG175" s="1894">
        <v>0.67100000000000004</v>
      </c>
      <c r="BH175" s="1894">
        <v>40.369999999999997</v>
      </c>
      <c r="BI175" s="1894">
        <v>1219</v>
      </c>
      <c r="BJ175" s="1894">
        <f t="shared" si="68"/>
        <v>1518</v>
      </c>
      <c r="BK175" s="1894">
        <f t="shared" si="69"/>
        <v>0</v>
      </c>
      <c r="BL175" s="1894">
        <v>156</v>
      </c>
      <c r="BM175" s="1894">
        <v>3.4000000000000004</v>
      </c>
      <c r="BN175" s="1894">
        <v>124.8</v>
      </c>
      <c r="BO175" s="1894">
        <v>0.58150000000000002</v>
      </c>
      <c r="BP175" s="1894">
        <v>48.82</v>
      </c>
      <c r="BQ175" s="1894">
        <v>1195</v>
      </c>
      <c r="BR175" s="1894">
        <f t="shared" si="70"/>
        <v>1469</v>
      </c>
      <c r="BS175" s="1894">
        <f t="shared" si="71"/>
        <v>0</v>
      </c>
      <c r="BT175" s="1894">
        <v>156</v>
      </c>
      <c r="BU175" s="1894">
        <v>3.5999999999999996</v>
      </c>
      <c r="BV175" s="1894">
        <v>124.8</v>
      </c>
      <c r="BW175" s="1894">
        <v>0.64339999999999997</v>
      </c>
      <c r="BX175" s="1894">
        <v>47.64</v>
      </c>
      <c r="BY175" s="1894">
        <v>1276</v>
      </c>
      <c r="BZ175" s="1894">
        <f t="shared" si="72"/>
        <v>1607</v>
      </c>
      <c r="CA175" s="1894">
        <f t="shared" si="73"/>
        <v>0</v>
      </c>
      <c r="CB175" s="1894">
        <v>156</v>
      </c>
      <c r="CC175" s="1894">
        <v>3.1199999999999997</v>
      </c>
      <c r="CD175" s="1894">
        <v>124.8</v>
      </c>
      <c r="CE175" s="1894">
        <v>0.65859999999999996</v>
      </c>
      <c r="CF175" s="1894">
        <v>48.21</v>
      </c>
      <c r="CG175" s="1894">
        <v>1119</v>
      </c>
      <c r="CH175" s="1894">
        <f t="shared" si="74"/>
        <v>1393</v>
      </c>
      <c r="CI175" s="1894">
        <f t="shared" si="75"/>
        <v>0</v>
      </c>
      <c r="CJ175" s="1894">
        <v>156</v>
      </c>
      <c r="CK175" s="1894">
        <v>3.2</v>
      </c>
      <c r="CL175" s="1894">
        <v>124.8</v>
      </c>
      <c r="CM175" s="1894">
        <v>0.69359999999999999</v>
      </c>
      <c r="CN175" s="1894">
        <v>41.43</v>
      </c>
      <c r="CO175" s="1894">
        <v>891</v>
      </c>
      <c r="CP175" s="1894">
        <f t="shared" si="76"/>
        <v>1290</v>
      </c>
      <c r="CQ175" s="1894">
        <f t="shared" si="77"/>
        <v>0</v>
      </c>
      <c r="CR175" s="1924">
        <v>156</v>
      </c>
      <c r="CS175" s="1924">
        <v>2.88</v>
      </c>
      <c r="CT175" s="1924">
        <v>124.8</v>
      </c>
      <c r="CU175" s="1924">
        <v>0.72150000000000003</v>
      </c>
      <c r="CV175" s="1924">
        <v>40.229999999999997</v>
      </c>
      <c r="CW175" s="1924">
        <v>862</v>
      </c>
      <c r="CX175" s="1894">
        <f t="shared" si="78"/>
        <v>1286</v>
      </c>
      <c r="CY175" s="1894">
        <f t="shared" si="79"/>
        <v>0</v>
      </c>
    </row>
    <row r="176" spans="1:103">
      <c r="A176" s="982">
        <v>611000000106</v>
      </c>
      <c r="B176" s="1923">
        <f t="shared" si="80"/>
        <v>170</v>
      </c>
      <c r="C176" s="1895" t="s">
        <v>3064</v>
      </c>
      <c r="D176" s="1894" t="s">
        <v>524</v>
      </c>
      <c r="E176" s="1895" t="s">
        <v>541</v>
      </c>
      <c r="F176" s="1894" t="s">
        <v>259</v>
      </c>
      <c r="G176" s="1924">
        <v>156</v>
      </c>
      <c r="H176" s="1894">
        <v>156</v>
      </c>
      <c r="I176" s="1894">
        <v>91.679999999999993</v>
      </c>
      <c r="J176" s="1894">
        <v>124.8</v>
      </c>
      <c r="K176" s="1894">
        <v>0.99139999999999995</v>
      </c>
      <c r="L176" s="1894">
        <v>23.73</v>
      </c>
      <c r="M176" s="1894">
        <v>15666</v>
      </c>
      <c r="N176" s="1894">
        <f t="shared" si="58"/>
        <v>39606</v>
      </c>
      <c r="O176" s="1894">
        <f t="shared" si="59"/>
        <v>0</v>
      </c>
      <c r="P176" s="1894">
        <v>156</v>
      </c>
      <c r="Q176" s="1894">
        <v>82.44</v>
      </c>
      <c r="R176" s="1894">
        <v>124.8</v>
      </c>
      <c r="S176" s="1894">
        <v>0.9909</v>
      </c>
      <c r="T176" s="1894">
        <v>19.47</v>
      </c>
      <c r="U176" s="1894">
        <v>11945</v>
      </c>
      <c r="V176" s="1894">
        <f t="shared" si="60"/>
        <v>36801</v>
      </c>
      <c r="W176" s="1894">
        <f t="shared" si="61"/>
        <v>0</v>
      </c>
      <c r="X176" s="1894">
        <v>156</v>
      </c>
      <c r="Y176" s="1894">
        <v>82.68</v>
      </c>
      <c r="Z176" s="1894">
        <v>124.8</v>
      </c>
      <c r="AA176" s="1894">
        <v>0.99239999999999995</v>
      </c>
      <c r="AB176" s="1894">
        <v>21.92</v>
      </c>
      <c r="AC176" s="1894">
        <v>13047</v>
      </c>
      <c r="AD176" s="1894">
        <f t="shared" si="62"/>
        <v>35718</v>
      </c>
      <c r="AE176" s="1894">
        <f t="shared" si="63"/>
        <v>0</v>
      </c>
      <c r="AF176" s="1894">
        <v>156</v>
      </c>
      <c r="AG176" s="1894">
        <v>76.679999999999993</v>
      </c>
      <c r="AH176" s="1894">
        <v>124.8</v>
      </c>
      <c r="AI176" s="1894">
        <v>0.99409999999999998</v>
      </c>
      <c r="AJ176" s="1894">
        <v>18.77</v>
      </c>
      <c r="AK176" s="1894">
        <v>10707</v>
      </c>
      <c r="AL176" s="1894">
        <f t="shared" si="81"/>
        <v>34230</v>
      </c>
      <c r="AM176" s="1894">
        <f t="shared" si="82"/>
        <v>0</v>
      </c>
      <c r="AN176" s="1894">
        <v>156</v>
      </c>
      <c r="AO176" s="1894">
        <v>78.239999999999995</v>
      </c>
      <c r="AP176" s="1894">
        <v>124.8</v>
      </c>
      <c r="AQ176" s="1894">
        <v>0.99129999999999996</v>
      </c>
      <c r="AR176" s="1894">
        <v>22.97</v>
      </c>
      <c r="AS176" s="1894">
        <v>13371</v>
      </c>
      <c r="AT176" s="1894">
        <f t="shared" si="64"/>
        <v>34926</v>
      </c>
      <c r="AU176" s="1894">
        <f t="shared" si="65"/>
        <v>0</v>
      </c>
      <c r="AV176" s="1894">
        <v>156</v>
      </c>
      <c r="AW176" s="1894">
        <v>76.08</v>
      </c>
      <c r="AX176" s="1894">
        <v>124.8</v>
      </c>
      <c r="AY176" s="1894">
        <v>0.99019999999999997</v>
      </c>
      <c r="AZ176" s="1894">
        <v>22.38</v>
      </c>
      <c r="BA176" s="1894">
        <v>12257</v>
      </c>
      <c r="BB176" s="1894">
        <f t="shared" si="66"/>
        <v>32867</v>
      </c>
      <c r="BC176" s="1894">
        <f t="shared" si="67"/>
        <v>0</v>
      </c>
      <c r="BD176" s="1894">
        <v>156</v>
      </c>
      <c r="BE176" s="1894">
        <v>81.839999999999989</v>
      </c>
      <c r="BF176" s="1894">
        <v>124.8</v>
      </c>
      <c r="BG176" s="1894">
        <v>0.98680000000000001</v>
      </c>
      <c r="BH176" s="1894">
        <v>22.65</v>
      </c>
      <c r="BI176" s="1894">
        <v>13790</v>
      </c>
      <c r="BJ176" s="1894">
        <f t="shared" si="68"/>
        <v>36533</v>
      </c>
      <c r="BK176" s="1894">
        <f t="shared" si="69"/>
        <v>0</v>
      </c>
      <c r="BL176" s="1894">
        <v>156</v>
      </c>
      <c r="BM176" s="1894">
        <v>74.52</v>
      </c>
      <c r="BN176" s="1894">
        <v>124.8</v>
      </c>
      <c r="BO176" s="1894">
        <v>0.98750000000000004</v>
      </c>
      <c r="BP176" s="1894">
        <v>23</v>
      </c>
      <c r="BQ176" s="1894">
        <v>12339</v>
      </c>
      <c r="BR176" s="1894">
        <f t="shared" si="70"/>
        <v>32193</v>
      </c>
      <c r="BS176" s="1894">
        <f t="shared" si="71"/>
        <v>0</v>
      </c>
      <c r="BT176" s="1894">
        <v>156</v>
      </c>
      <c r="BU176" s="1894">
        <v>81.72</v>
      </c>
      <c r="BV176" s="1894">
        <v>124.8</v>
      </c>
      <c r="BW176" s="1894">
        <v>0.9859</v>
      </c>
      <c r="BX176" s="1894">
        <v>22.65</v>
      </c>
      <c r="BY176" s="1894">
        <v>13771</v>
      </c>
      <c r="BZ176" s="1894">
        <f t="shared" si="72"/>
        <v>36480</v>
      </c>
      <c r="CA176" s="1894">
        <f t="shared" si="73"/>
        <v>0</v>
      </c>
      <c r="CB176" s="1894">
        <v>156</v>
      </c>
      <c r="CC176" s="1894">
        <v>87.960000000000008</v>
      </c>
      <c r="CD176" s="1894">
        <v>124.8</v>
      </c>
      <c r="CE176" s="1894">
        <v>0.9859</v>
      </c>
      <c r="CF176" s="1894">
        <v>19.53</v>
      </c>
      <c r="CG176" s="1894">
        <v>12780</v>
      </c>
      <c r="CH176" s="1894">
        <f t="shared" si="74"/>
        <v>39265</v>
      </c>
      <c r="CI176" s="1894">
        <f t="shared" si="75"/>
        <v>0</v>
      </c>
      <c r="CJ176" s="1894">
        <v>156</v>
      </c>
      <c r="CK176" s="1894">
        <v>87.12</v>
      </c>
      <c r="CL176" s="1894">
        <v>124.8</v>
      </c>
      <c r="CM176" s="1894">
        <v>0.98</v>
      </c>
      <c r="CN176" s="1894">
        <v>27.16</v>
      </c>
      <c r="CO176" s="1894">
        <v>15898</v>
      </c>
      <c r="CP176" s="1894">
        <f t="shared" si="76"/>
        <v>35127</v>
      </c>
      <c r="CQ176" s="1894">
        <f t="shared" si="77"/>
        <v>0</v>
      </c>
      <c r="CR176" s="1924">
        <v>156</v>
      </c>
      <c r="CS176" s="1924">
        <v>85.199999999999989</v>
      </c>
      <c r="CT176" s="1924">
        <v>124.8</v>
      </c>
      <c r="CU176" s="1924">
        <v>0.9869</v>
      </c>
      <c r="CV176" s="1924">
        <v>31.01</v>
      </c>
      <c r="CW176" s="1924">
        <v>19655</v>
      </c>
      <c r="CX176" s="1894">
        <f t="shared" si="78"/>
        <v>38033</v>
      </c>
      <c r="CY176" s="1894">
        <f t="shared" si="79"/>
        <v>0</v>
      </c>
    </row>
    <row r="177" spans="1:103">
      <c r="A177" s="982">
        <v>121000000020</v>
      </c>
      <c r="B177" s="1923">
        <f t="shared" si="80"/>
        <v>171</v>
      </c>
      <c r="C177" s="1895" t="s">
        <v>3640</v>
      </c>
      <c r="D177" s="1894" t="s">
        <v>2930</v>
      </c>
      <c r="E177" s="1895" t="s">
        <v>737</v>
      </c>
      <c r="F177" s="1894" t="s">
        <v>259</v>
      </c>
      <c r="G177" s="1894">
        <v>157</v>
      </c>
      <c r="H177" s="1894">
        <v>157</v>
      </c>
      <c r="I177" s="1894">
        <v>45.85</v>
      </c>
      <c r="J177" s="1894">
        <v>125.6</v>
      </c>
      <c r="K177" s="1894">
        <v>0.9889</v>
      </c>
      <c r="L177" s="1894">
        <v>53.21</v>
      </c>
      <c r="M177" s="1925">
        <v>17567</v>
      </c>
      <c r="N177" s="1894">
        <f t="shared" si="58"/>
        <v>19807</v>
      </c>
      <c r="O177" s="1894">
        <f t="shared" si="59"/>
        <v>0</v>
      </c>
      <c r="P177" s="1894">
        <v>157</v>
      </c>
      <c r="Q177" s="1894">
        <v>43.75</v>
      </c>
      <c r="R177" s="1894">
        <v>125.6</v>
      </c>
      <c r="S177" s="1894">
        <v>0.98680000000000001</v>
      </c>
      <c r="T177" s="1894">
        <v>40.92</v>
      </c>
      <c r="U177" s="1894">
        <v>13318</v>
      </c>
      <c r="V177" s="1894">
        <f t="shared" si="60"/>
        <v>19530</v>
      </c>
      <c r="W177" s="1894">
        <f t="shared" si="61"/>
        <v>0</v>
      </c>
      <c r="X177" s="1894">
        <v>157</v>
      </c>
      <c r="Y177" s="1894">
        <v>21.15</v>
      </c>
      <c r="Z177" s="1894">
        <v>125.6</v>
      </c>
      <c r="AA177" s="1894">
        <v>0.97719999999999996</v>
      </c>
      <c r="AB177" s="1894">
        <v>34.29</v>
      </c>
      <c r="AC177" s="1894">
        <v>5221</v>
      </c>
      <c r="AD177" s="1894">
        <f t="shared" si="62"/>
        <v>9137</v>
      </c>
      <c r="AE177" s="1894">
        <f t="shared" si="63"/>
        <v>0</v>
      </c>
      <c r="AF177" s="1894">
        <v>157</v>
      </c>
      <c r="AG177" s="1894">
        <v>34.549999999999997</v>
      </c>
      <c r="AH177" s="1894">
        <v>125.6</v>
      </c>
      <c r="AI177" s="1894">
        <v>0.98680000000000001</v>
      </c>
      <c r="AJ177" s="1894">
        <v>7.63</v>
      </c>
      <c r="AK177" s="1894">
        <v>8908</v>
      </c>
      <c r="AL177" s="1894">
        <v>15423</v>
      </c>
      <c r="AM177" s="1894">
        <v>0</v>
      </c>
      <c r="AN177" s="1894">
        <v>157</v>
      </c>
      <c r="AO177" s="1894">
        <v>45.15</v>
      </c>
      <c r="AP177" s="1894">
        <v>125.6</v>
      </c>
      <c r="AQ177" s="1894">
        <v>0.98809999999999998</v>
      </c>
      <c r="AR177" s="1894">
        <v>14.93</v>
      </c>
      <c r="AS177" s="1894">
        <v>17438</v>
      </c>
      <c r="AT177" s="1894">
        <f t="shared" si="64"/>
        <v>20155</v>
      </c>
      <c r="AU177" s="1894">
        <f t="shared" si="65"/>
        <v>0</v>
      </c>
      <c r="AV177" s="1894">
        <v>157</v>
      </c>
      <c r="AW177" s="1894">
        <v>42.95</v>
      </c>
      <c r="AX177" s="1894">
        <v>125.6</v>
      </c>
      <c r="AY177" s="1894">
        <v>0.98870000000000002</v>
      </c>
      <c r="AZ177" s="1894">
        <v>57.04</v>
      </c>
      <c r="BA177" s="1894">
        <v>17052</v>
      </c>
      <c r="BB177" s="1894">
        <f t="shared" si="66"/>
        <v>18554</v>
      </c>
      <c r="BC177" s="1894">
        <f t="shared" si="67"/>
        <v>0</v>
      </c>
      <c r="BD177" s="1894">
        <v>0</v>
      </c>
      <c r="BE177" s="1894">
        <v>0</v>
      </c>
      <c r="BF177" s="1894">
        <v>0</v>
      </c>
      <c r="BG177" s="1894">
        <v>0</v>
      </c>
      <c r="BH177" s="1894">
        <v>0</v>
      </c>
      <c r="BI177" s="1894">
        <v>0</v>
      </c>
      <c r="BJ177" s="1894">
        <f t="shared" si="68"/>
        <v>0</v>
      </c>
      <c r="BK177" s="1894">
        <f t="shared" si="69"/>
        <v>0</v>
      </c>
      <c r="BL177" s="1894">
        <v>0</v>
      </c>
      <c r="BM177" s="1894">
        <v>0</v>
      </c>
      <c r="BN177" s="1894">
        <v>0</v>
      </c>
      <c r="BO177" s="1894">
        <v>0</v>
      </c>
      <c r="BP177" s="1894">
        <v>0</v>
      </c>
      <c r="BQ177" s="1894">
        <v>0</v>
      </c>
      <c r="BR177" s="1894">
        <f t="shared" si="70"/>
        <v>0</v>
      </c>
      <c r="BS177" s="1894">
        <f t="shared" si="71"/>
        <v>0</v>
      </c>
      <c r="BT177" s="1894">
        <v>0</v>
      </c>
      <c r="BU177" s="1894">
        <v>0</v>
      </c>
      <c r="BV177" s="1894">
        <v>0</v>
      </c>
      <c r="BW177" s="1894">
        <v>0</v>
      </c>
      <c r="BX177" s="1894">
        <v>0</v>
      </c>
      <c r="BY177" s="1894">
        <v>0</v>
      </c>
      <c r="BZ177" s="1894">
        <f t="shared" si="72"/>
        <v>0</v>
      </c>
      <c r="CA177" s="1894">
        <f t="shared" si="73"/>
        <v>0</v>
      </c>
      <c r="CB177" s="1894">
        <v>0</v>
      </c>
      <c r="CC177" s="1894">
        <v>0</v>
      </c>
      <c r="CD177" s="1894">
        <v>0</v>
      </c>
      <c r="CE177" s="1894">
        <v>0</v>
      </c>
      <c r="CF177" s="1894">
        <v>0</v>
      </c>
      <c r="CG177" s="1894">
        <v>0</v>
      </c>
      <c r="CH177" s="1894">
        <f t="shared" si="74"/>
        <v>0</v>
      </c>
      <c r="CI177" s="1894">
        <f t="shared" si="75"/>
        <v>0</v>
      </c>
      <c r="CJ177" s="1894">
        <v>0</v>
      </c>
      <c r="CK177" s="1894">
        <v>0</v>
      </c>
      <c r="CL177" s="1894">
        <v>0</v>
      </c>
      <c r="CM177" s="1894">
        <v>0</v>
      </c>
      <c r="CN177" s="1894">
        <v>0</v>
      </c>
      <c r="CO177" s="1894">
        <v>0</v>
      </c>
      <c r="CP177" s="1894">
        <f t="shared" si="76"/>
        <v>0</v>
      </c>
      <c r="CQ177" s="1894">
        <f t="shared" si="77"/>
        <v>0</v>
      </c>
      <c r="CR177" s="1894">
        <v>0</v>
      </c>
      <c r="CS177" s="1894">
        <v>0</v>
      </c>
      <c r="CT177" s="1894">
        <v>0</v>
      </c>
      <c r="CU177" s="1894">
        <v>0</v>
      </c>
      <c r="CV177" s="1894">
        <v>0</v>
      </c>
      <c r="CW177" s="1894">
        <v>0</v>
      </c>
      <c r="CX177" s="1894">
        <f t="shared" si="78"/>
        <v>0</v>
      </c>
      <c r="CY177" s="1894">
        <f t="shared" si="79"/>
        <v>0</v>
      </c>
    </row>
    <row r="178" spans="1:103">
      <c r="A178" s="982">
        <v>121000000031</v>
      </c>
      <c r="B178" s="1923">
        <f t="shared" si="80"/>
        <v>172</v>
      </c>
      <c r="C178" s="1895" t="s">
        <v>3641</v>
      </c>
      <c r="D178" s="1894" t="s">
        <v>2930</v>
      </c>
      <c r="E178" s="1895" t="s">
        <v>541</v>
      </c>
      <c r="F178" s="1894" t="s">
        <v>259</v>
      </c>
      <c r="G178" s="1894">
        <v>159</v>
      </c>
      <c r="H178" s="1894">
        <v>159</v>
      </c>
      <c r="I178" s="1894">
        <v>0</v>
      </c>
      <c r="J178" s="1894">
        <v>127.2</v>
      </c>
      <c r="K178" s="1894">
        <v>0</v>
      </c>
      <c r="L178" s="1894">
        <v>0</v>
      </c>
      <c r="M178" s="1925">
        <v>0</v>
      </c>
      <c r="N178" s="1894">
        <f t="shared" si="58"/>
        <v>0</v>
      </c>
      <c r="O178" s="1894">
        <f t="shared" si="59"/>
        <v>0</v>
      </c>
      <c r="P178" s="1894">
        <v>159</v>
      </c>
      <c r="Q178" s="1894">
        <v>0</v>
      </c>
      <c r="R178" s="1894">
        <v>127.2</v>
      </c>
      <c r="S178" s="1894">
        <v>0</v>
      </c>
      <c r="T178" s="1894">
        <v>0</v>
      </c>
      <c r="U178" s="1894">
        <v>0</v>
      </c>
      <c r="V178" s="1894">
        <f t="shared" si="60"/>
        <v>0</v>
      </c>
      <c r="W178" s="1894">
        <f t="shared" si="61"/>
        <v>0</v>
      </c>
      <c r="X178" s="1894">
        <v>159</v>
      </c>
      <c r="Y178" s="1894">
        <v>0</v>
      </c>
      <c r="Z178" s="1894">
        <v>127.2</v>
      </c>
      <c r="AA178" s="1894">
        <v>0</v>
      </c>
      <c r="AB178" s="1894">
        <v>0</v>
      </c>
      <c r="AC178" s="1894">
        <v>0</v>
      </c>
      <c r="AD178" s="1894">
        <f t="shared" si="62"/>
        <v>0</v>
      </c>
      <c r="AE178" s="1894">
        <f t="shared" si="63"/>
        <v>0</v>
      </c>
      <c r="AF178" s="1894">
        <v>159</v>
      </c>
      <c r="AG178" s="1894">
        <v>0</v>
      </c>
      <c r="AH178" s="1894">
        <v>127.2</v>
      </c>
      <c r="AI178" s="1894">
        <v>0</v>
      </c>
      <c r="AJ178" s="1894">
        <v>0</v>
      </c>
      <c r="AK178" s="1894">
        <v>0</v>
      </c>
      <c r="AL178" s="1894">
        <v>0</v>
      </c>
      <c r="AM178" s="1894">
        <v>0</v>
      </c>
      <c r="AN178" s="1894">
        <v>159</v>
      </c>
      <c r="AO178" s="1894">
        <v>0</v>
      </c>
      <c r="AP178" s="1894">
        <v>127.2</v>
      </c>
      <c r="AQ178" s="1894">
        <v>0</v>
      </c>
      <c r="AR178" s="1894">
        <v>0</v>
      </c>
      <c r="AS178" s="1894">
        <v>0</v>
      </c>
      <c r="AT178" s="1894">
        <f t="shared" si="64"/>
        <v>0</v>
      </c>
      <c r="AU178" s="1894">
        <f t="shared" si="65"/>
        <v>0</v>
      </c>
      <c r="AV178" s="1894">
        <v>159</v>
      </c>
      <c r="AW178" s="1894">
        <v>0</v>
      </c>
      <c r="AX178" s="1894">
        <v>127.2</v>
      </c>
      <c r="AY178" s="1894">
        <v>0</v>
      </c>
      <c r="AZ178" s="1894">
        <v>0</v>
      </c>
      <c r="BA178" s="1894">
        <v>0</v>
      </c>
      <c r="BB178" s="1894">
        <f t="shared" si="66"/>
        <v>0</v>
      </c>
      <c r="BC178" s="1894">
        <f t="shared" si="67"/>
        <v>0</v>
      </c>
      <c r="BD178" s="1894">
        <v>159</v>
      </c>
      <c r="BE178" s="1894">
        <v>0</v>
      </c>
      <c r="BF178" s="1894">
        <v>127.2</v>
      </c>
      <c r="BG178" s="1894">
        <v>0</v>
      </c>
      <c r="BH178" s="1894">
        <v>0</v>
      </c>
      <c r="BI178" s="1894">
        <v>0</v>
      </c>
      <c r="BJ178" s="1894">
        <f t="shared" si="68"/>
        <v>0</v>
      </c>
      <c r="BK178" s="1894">
        <f t="shared" si="69"/>
        <v>0</v>
      </c>
      <c r="BL178" s="1894">
        <v>159</v>
      </c>
      <c r="BM178" s="1894">
        <v>0</v>
      </c>
      <c r="BN178" s="1894">
        <v>127.2</v>
      </c>
      <c r="BO178" s="1894">
        <v>0</v>
      </c>
      <c r="BP178" s="1894">
        <v>0</v>
      </c>
      <c r="BQ178" s="1894">
        <v>0</v>
      </c>
      <c r="BR178" s="1894">
        <f t="shared" si="70"/>
        <v>0</v>
      </c>
      <c r="BS178" s="1894">
        <f t="shared" si="71"/>
        <v>0</v>
      </c>
      <c r="BT178" s="1894">
        <v>159</v>
      </c>
      <c r="BU178" s="1894">
        <v>0</v>
      </c>
      <c r="BV178" s="1894">
        <v>127.2</v>
      </c>
      <c r="BW178" s="1894">
        <v>0</v>
      </c>
      <c r="BX178" s="1894">
        <v>0</v>
      </c>
      <c r="BY178" s="1894">
        <v>0</v>
      </c>
      <c r="BZ178" s="1894">
        <f t="shared" si="72"/>
        <v>0</v>
      </c>
      <c r="CA178" s="1894">
        <f t="shared" si="73"/>
        <v>0</v>
      </c>
      <c r="CB178" s="1894">
        <v>159</v>
      </c>
      <c r="CC178" s="1894">
        <v>0</v>
      </c>
      <c r="CD178" s="1894">
        <v>0</v>
      </c>
      <c r="CE178" s="1894">
        <v>0</v>
      </c>
      <c r="CF178" s="1894">
        <v>0</v>
      </c>
      <c r="CG178" s="1894">
        <v>0</v>
      </c>
      <c r="CH178" s="1894">
        <f t="shared" si="74"/>
        <v>0</v>
      </c>
      <c r="CI178" s="1894">
        <f t="shared" si="75"/>
        <v>0</v>
      </c>
      <c r="CJ178" s="1894">
        <v>0</v>
      </c>
      <c r="CK178" s="1894">
        <v>0</v>
      </c>
      <c r="CL178" s="1894">
        <v>0</v>
      </c>
      <c r="CM178" s="1894">
        <v>0</v>
      </c>
      <c r="CN178" s="1894">
        <v>0</v>
      </c>
      <c r="CO178" s="1894">
        <v>0</v>
      </c>
      <c r="CP178" s="1894">
        <f t="shared" si="76"/>
        <v>0</v>
      </c>
      <c r="CQ178" s="1894">
        <f t="shared" si="77"/>
        <v>0</v>
      </c>
      <c r="CR178" s="1894">
        <v>0</v>
      </c>
      <c r="CS178" s="1894">
        <v>0</v>
      </c>
      <c r="CT178" s="1894">
        <v>0</v>
      </c>
      <c r="CU178" s="1894">
        <v>0</v>
      </c>
      <c r="CV178" s="1894">
        <v>0</v>
      </c>
      <c r="CW178" s="1894">
        <v>0</v>
      </c>
      <c r="CX178" s="1894">
        <f t="shared" si="78"/>
        <v>0</v>
      </c>
      <c r="CY178" s="1894">
        <f t="shared" si="79"/>
        <v>0</v>
      </c>
    </row>
    <row r="179" spans="1:103">
      <c r="A179" s="982">
        <v>613000000038</v>
      </c>
      <c r="B179" s="1923">
        <f t="shared" si="80"/>
        <v>173</v>
      </c>
      <c r="C179" s="1895" t="s">
        <v>3065</v>
      </c>
      <c r="D179" s="1894" t="s">
        <v>524</v>
      </c>
      <c r="E179" s="1895" t="s">
        <v>541</v>
      </c>
      <c r="F179" s="1894" t="s">
        <v>259</v>
      </c>
      <c r="G179" s="1924">
        <v>160</v>
      </c>
      <c r="H179" s="1894">
        <v>0</v>
      </c>
      <c r="I179" s="1894">
        <v>0</v>
      </c>
      <c r="J179" s="1894">
        <v>0</v>
      </c>
      <c r="K179" s="1894">
        <v>0</v>
      </c>
      <c r="L179" s="1894">
        <v>0</v>
      </c>
      <c r="M179" s="1894">
        <v>0</v>
      </c>
      <c r="N179" s="1894">
        <f t="shared" si="58"/>
        <v>0</v>
      </c>
      <c r="O179" s="1894">
        <f t="shared" si="59"/>
        <v>0</v>
      </c>
      <c r="P179" s="1894">
        <v>0</v>
      </c>
      <c r="Q179" s="1894">
        <v>0</v>
      </c>
      <c r="R179" s="1894">
        <v>0</v>
      </c>
      <c r="S179" s="1894">
        <v>0</v>
      </c>
      <c r="T179" s="1894">
        <v>0</v>
      </c>
      <c r="U179" s="1894">
        <v>0</v>
      </c>
      <c r="V179" s="1894">
        <f t="shared" si="60"/>
        <v>0</v>
      </c>
      <c r="W179" s="1894">
        <f t="shared" si="61"/>
        <v>0</v>
      </c>
      <c r="X179" s="1894">
        <v>0</v>
      </c>
      <c r="Y179" s="1894">
        <v>0</v>
      </c>
      <c r="Z179" s="1894">
        <v>0</v>
      </c>
      <c r="AA179" s="1894">
        <v>0</v>
      </c>
      <c r="AB179" s="1894">
        <v>0</v>
      </c>
      <c r="AC179" s="1894">
        <v>0</v>
      </c>
      <c r="AD179" s="1894">
        <f t="shared" si="62"/>
        <v>0</v>
      </c>
      <c r="AE179" s="1894">
        <f t="shared" si="63"/>
        <v>0</v>
      </c>
      <c r="AF179" s="1894">
        <v>160</v>
      </c>
      <c r="AG179" s="1894">
        <v>110.39999999999999</v>
      </c>
      <c r="AH179" s="1894">
        <v>128</v>
      </c>
      <c r="AI179" s="1894">
        <v>0.28460000000000002</v>
      </c>
      <c r="AJ179" s="1894">
        <v>5.77</v>
      </c>
      <c r="AK179" s="1894">
        <v>4437</v>
      </c>
      <c r="AL179" s="1894">
        <f t="shared" ref="AL179:AL219" si="83">+ROUND((24*31*0.6*AG179),0)</f>
        <v>49283</v>
      </c>
      <c r="AM179" s="1894">
        <f t="shared" ref="AM179:AM219" si="84">+MAX((AK179-AL179),0)</f>
        <v>0</v>
      </c>
      <c r="AN179" s="1894">
        <v>160</v>
      </c>
      <c r="AO179" s="1894">
        <v>148.19999999999999</v>
      </c>
      <c r="AP179" s="1894">
        <v>148.19999999999999</v>
      </c>
      <c r="AQ179" s="1894">
        <v>0.40639999999999998</v>
      </c>
      <c r="AR179" s="1894">
        <v>10.029999999999999</v>
      </c>
      <c r="AS179" s="1894">
        <v>12135</v>
      </c>
      <c r="AT179" s="1894">
        <f t="shared" si="64"/>
        <v>66156</v>
      </c>
      <c r="AU179" s="1894">
        <f t="shared" si="65"/>
        <v>0</v>
      </c>
      <c r="AV179" s="1894">
        <v>160</v>
      </c>
      <c r="AW179" s="1894">
        <v>135</v>
      </c>
      <c r="AX179" s="1894">
        <v>135</v>
      </c>
      <c r="AY179" s="1894">
        <v>0.39529999999999998</v>
      </c>
      <c r="AZ179" s="1894">
        <v>7.46</v>
      </c>
      <c r="BA179" s="1894">
        <v>5562</v>
      </c>
      <c r="BB179" s="1894">
        <f t="shared" si="66"/>
        <v>58320</v>
      </c>
      <c r="BC179" s="1894">
        <f t="shared" si="67"/>
        <v>0</v>
      </c>
      <c r="BD179" s="1894">
        <v>160</v>
      </c>
      <c r="BE179" s="1894">
        <v>153.6</v>
      </c>
      <c r="BF179" s="1894">
        <v>153.6</v>
      </c>
      <c r="BG179" s="1894">
        <v>0.3982</v>
      </c>
      <c r="BH179" s="1894">
        <v>8.0399999999999991</v>
      </c>
      <c r="BI179" s="1894">
        <v>10668</v>
      </c>
      <c r="BJ179" s="1894">
        <f t="shared" si="68"/>
        <v>68567</v>
      </c>
      <c r="BK179" s="1894">
        <f t="shared" si="69"/>
        <v>0</v>
      </c>
      <c r="BL179" s="1894">
        <v>160</v>
      </c>
      <c r="BM179" s="1894">
        <v>160.32</v>
      </c>
      <c r="BN179" s="1894">
        <v>160.32</v>
      </c>
      <c r="BO179" s="1894">
        <v>0.43780000000000002</v>
      </c>
      <c r="BP179" s="1894">
        <v>9.6</v>
      </c>
      <c r="BQ179" s="1894">
        <v>11816</v>
      </c>
      <c r="BR179" s="1894">
        <f t="shared" si="70"/>
        <v>69258</v>
      </c>
      <c r="BS179" s="1894">
        <f t="shared" si="71"/>
        <v>0</v>
      </c>
      <c r="BT179" s="1894">
        <v>160</v>
      </c>
      <c r="BU179" s="1894">
        <v>162.72</v>
      </c>
      <c r="BV179" s="1894">
        <v>162.72</v>
      </c>
      <c r="BW179" s="1894">
        <v>0.46200000000000002</v>
      </c>
      <c r="BX179" s="1894">
        <v>11.65</v>
      </c>
      <c r="BY179" s="1894">
        <v>14105</v>
      </c>
      <c r="BZ179" s="1894">
        <f t="shared" si="72"/>
        <v>72638</v>
      </c>
      <c r="CA179" s="1894">
        <f t="shared" si="73"/>
        <v>0</v>
      </c>
      <c r="CB179" s="1894">
        <v>160</v>
      </c>
      <c r="CC179" s="1894">
        <v>161.28</v>
      </c>
      <c r="CD179" s="1894">
        <v>161.28</v>
      </c>
      <c r="CE179" s="1894">
        <v>0.50790000000000002</v>
      </c>
      <c r="CF179" s="1894">
        <v>11.17</v>
      </c>
      <c r="CG179" s="1894">
        <v>13407</v>
      </c>
      <c r="CH179" s="1894">
        <f t="shared" si="74"/>
        <v>71995</v>
      </c>
      <c r="CI179" s="1894">
        <f t="shared" si="75"/>
        <v>0</v>
      </c>
      <c r="CJ179" s="1894">
        <v>160</v>
      </c>
      <c r="CK179" s="1894">
        <v>168.12</v>
      </c>
      <c r="CL179" s="1894">
        <v>168.12</v>
      </c>
      <c r="CM179" s="1894">
        <v>0.45889999999999997</v>
      </c>
      <c r="CN179" s="1894">
        <v>20.41</v>
      </c>
      <c r="CO179" s="1894">
        <v>23064</v>
      </c>
      <c r="CP179" s="1894">
        <f t="shared" si="76"/>
        <v>67786</v>
      </c>
      <c r="CQ179" s="1894">
        <f t="shared" si="77"/>
        <v>0</v>
      </c>
      <c r="CR179" s="1924">
        <v>160</v>
      </c>
      <c r="CS179" s="1924">
        <v>157.07999999999998</v>
      </c>
      <c r="CT179" s="1924">
        <v>157.08000000000001</v>
      </c>
      <c r="CU179" s="1924">
        <v>0.44390000000000002</v>
      </c>
      <c r="CV179" s="1924">
        <v>17.059999999999999</v>
      </c>
      <c r="CW179" s="1924">
        <v>19937</v>
      </c>
      <c r="CX179" s="1894">
        <f t="shared" si="78"/>
        <v>70121</v>
      </c>
      <c r="CY179" s="1894">
        <f t="shared" si="79"/>
        <v>0</v>
      </c>
    </row>
    <row r="180" spans="1:103">
      <c r="A180" s="982">
        <v>127000000020</v>
      </c>
      <c r="B180" s="1923">
        <f t="shared" si="80"/>
        <v>174</v>
      </c>
      <c r="C180" s="1895" t="s">
        <v>3066</v>
      </c>
      <c r="D180" s="1894" t="s">
        <v>524</v>
      </c>
      <c r="E180" s="1895" t="s">
        <v>636</v>
      </c>
      <c r="F180" s="1894" t="s">
        <v>259</v>
      </c>
      <c r="G180" s="1924">
        <v>160</v>
      </c>
      <c r="H180" s="1894">
        <v>160</v>
      </c>
      <c r="I180" s="1894">
        <v>113.6</v>
      </c>
      <c r="J180" s="1894">
        <v>128</v>
      </c>
      <c r="K180" s="1894">
        <v>0.96209999999999996</v>
      </c>
      <c r="L180" s="1894">
        <v>63.87</v>
      </c>
      <c r="M180" s="1894">
        <v>52240</v>
      </c>
      <c r="N180" s="1894">
        <f t="shared" si="58"/>
        <v>49075</v>
      </c>
      <c r="O180" s="1894">
        <f t="shared" si="59"/>
        <v>3165</v>
      </c>
      <c r="P180" s="1894">
        <v>160</v>
      </c>
      <c r="Q180" s="1894">
        <v>115.39999999999999</v>
      </c>
      <c r="R180" s="1894">
        <v>128</v>
      </c>
      <c r="S180" s="1894">
        <v>0.9597</v>
      </c>
      <c r="T180" s="1894">
        <v>60.96</v>
      </c>
      <c r="U180" s="1894">
        <v>52339</v>
      </c>
      <c r="V180" s="1894">
        <f t="shared" si="60"/>
        <v>51515</v>
      </c>
      <c r="W180" s="1894">
        <f t="shared" si="61"/>
        <v>824</v>
      </c>
      <c r="X180" s="1894">
        <v>160</v>
      </c>
      <c r="Y180" s="1894">
        <v>103.36000000000001</v>
      </c>
      <c r="Z180" s="1894">
        <v>128</v>
      </c>
      <c r="AA180" s="1894">
        <v>0.95350000000000001</v>
      </c>
      <c r="AB180" s="1894">
        <v>58.13</v>
      </c>
      <c r="AC180" s="1894">
        <v>34607</v>
      </c>
      <c r="AD180" s="1894">
        <f t="shared" si="62"/>
        <v>44652</v>
      </c>
      <c r="AE180" s="1894">
        <f t="shared" si="63"/>
        <v>0</v>
      </c>
      <c r="AF180" s="1894">
        <v>160</v>
      </c>
      <c r="AG180" s="1894">
        <v>90.8</v>
      </c>
      <c r="AH180" s="1894">
        <v>128</v>
      </c>
      <c r="AI180" s="1894">
        <v>0.85640000000000005</v>
      </c>
      <c r="AJ180" s="1894">
        <v>20.66</v>
      </c>
      <c r="AK180" s="1894">
        <v>16662</v>
      </c>
      <c r="AL180" s="1894">
        <f t="shared" si="83"/>
        <v>40533</v>
      </c>
      <c r="AM180" s="1894">
        <f t="shared" si="84"/>
        <v>0</v>
      </c>
      <c r="AN180" s="1894">
        <v>160</v>
      </c>
      <c r="AO180" s="1894">
        <v>120.39999999999999</v>
      </c>
      <c r="AP180" s="1894">
        <v>128</v>
      </c>
      <c r="AQ180" s="1894">
        <v>0.87709999999999999</v>
      </c>
      <c r="AR180" s="1894">
        <v>24.65</v>
      </c>
      <c r="AS180" s="1894">
        <v>22083</v>
      </c>
      <c r="AT180" s="1894">
        <f t="shared" si="64"/>
        <v>53747</v>
      </c>
      <c r="AU180" s="1894">
        <f t="shared" si="65"/>
        <v>0</v>
      </c>
      <c r="AV180" s="1894">
        <v>160</v>
      </c>
      <c r="AW180" s="1894">
        <v>104.08</v>
      </c>
      <c r="AX180" s="1894">
        <v>128</v>
      </c>
      <c r="AY180" s="1894">
        <v>0.92769999999999997</v>
      </c>
      <c r="AZ180" s="1894">
        <v>35.770000000000003</v>
      </c>
      <c r="BA180" s="1894">
        <v>20551</v>
      </c>
      <c r="BB180" s="1894">
        <f t="shared" si="66"/>
        <v>44963</v>
      </c>
      <c r="BC180" s="1894">
        <f t="shared" si="67"/>
        <v>0</v>
      </c>
      <c r="BD180" s="1894">
        <v>160</v>
      </c>
      <c r="BE180" s="1894">
        <v>111.60000000000001</v>
      </c>
      <c r="BF180" s="1894">
        <v>128</v>
      </c>
      <c r="BG180" s="1894">
        <v>0.90159999999999996</v>
      </c>
      <c r="BH180" s="1894">
        <v>31.75</v>
      </c>
      <c r="BI180" s="1894">
        <v>31460</v>
      </c>
      <c r="BJ180" s="1894">
        <f t="shared" si="68"/>
        <v>49818</v>
      </c>
      <c r="BK180" s="1894">
        <f t="shared" si="69"/>
        <v>0</v>
      </c>
      <c r="BL180" s="1894">
        <v>160</v>
      </c>
      <c r="BM180" s="1894">
        <v>108.4</v>
      </c>
      <c r="BN180" s="1894">
        <v>128</v>
      </c>
      <c r="BO180" s="1894">
        <v>0.92</v>
      </c>
      <c r="BP180" s="1894">
        <v>46.99</v>
      </c>
      <c r="BQ180" s="1894">
        <v>37894</v>
      </c>
      <c r="BR180" s="1894">
        <f t="shared" si="70"/>
        <v>46829</v>
      </c>
      <c r="BS180" s="1894">
        <f t="shared" si="71"/>
        <v>0</v>
      </c>
      <c r="BT180" s="1894">
        <v>160</v>
      </c>
      <c r="BU180" s="1894">
        <v>111.00000000000001</v>
      </c>
      <c r="BV180" s="1894">
        <v>128</v>
      </c>
      <c r="BW180" s="1894">
        <v>0.93769999999999998</v>
      </c>
      <c r="BX180" s="1894">
        <v>58.05</v>
      </c>
      <c r="BY180" s="1894">
        <v>47936</v>
      </c>
      <c r="BZ180" s="1894">
        <f t="shared" si="72"/>
        <v>49550</v>
      </c>
      <c r="CA180" s="1894">
        <f t="shared" si="73"/>
        <v>0</v>
      </c>
      <c r="CB180" s="1894">
        <v>160</v>
      </c>
      <c r="CC180" s="1894">
        <v>110.72</v>
      </c>
      <c r="CD180" s="1894">
        <v>128</v>
      </c>
      <c r="CE180" s="1894">
        <v>0.95579999999999998</v>
      </c>
      <c r="CF180" s="1894">
        <v>64.41</v>
      </c>
      <c r="CG180" s="1894">
        <v>42786</v>
      </c>
      <c r="CH180" s="1894">
        <f t="shared" si="74"/>
        <v>49425</v>
      </c>
      <c r="CI180" s="1894">
        <f t="shared" si="75"/>
        <v>0</v>
      </c>
      <c r="CJ180" s="1894">
        <v>160</v>
      </c>
      <c r="CK180" s="1894">
        <v>107.84</v>
      </c>
      <c r="CL180" s="1894">
        <v>128</v>
      </c>
      <c r="CM180" s="1894">
        <v>0.95730000000000004</v>
      </c>
      <c r="CN180" s="1894">
        <v>71.150000000000006</v>
      </c>
      <c r="CO180" s="1894">
        <v>62614</v>
      </c>
      <c r="CP180" s="1894">
        <f t="shared" si="76"/>
        <v>43481</v>
      </c>
      <c r="CQ180" s="1894">
        <f t="shared" si="77"/>
        <v>19133</v>
      </c>
      <c r="CR180" s="1924">
        <v>160</v>
      </c>
      <c r="CS180" s="1924">
        <v>113.04</v>
      </c>
      <c r="CT180" s="1924">
        <v>128</v>
      </c>
      <c r="CU180" s="1924">
        <v>0.95909999999999995</v>
      </c>
      <c r="CV180" s="1924">
        <v>67.38</v>
      </c>
      <c r="CW180" s="1924">
        <v>56671</v>
      </c>
      <c r="CX180" s="1894">
        <f t="shared" si="78"/>
        <v>50461</v>
      </c>
      <c r="CY180" s="1894">
        <f t="shared" si="79"/>
        <v>6210</v>
      </c>
    </row>
    <row r="181" spans="1:103">
      <c r="A181" s="982">
        <v>121000000032</v>
      </c>
      <c r="B181" s="1923">
        <f t="shared" si="80"/>
        <v>175</v>
      </c>
      <c r="C181" s="1895" t="s">
        <v>3067</v>
      </c>
      <c r="D181" s="1894" t="s">
        <v>524</v>
      </c>
      <c r="E181" s="1895" t="s">
        <v>541</v>
      </c>
      <c r="F181" s="1894" t="s">
        <v>259</v>
      </c>
      <c r="G181" s="1924">
        <v>160</v>
      </c>
      <c r="H181" s="1894">
        <v>160</v>
      </c>
      <c r="I181" s="1894">
        <v>87.92</v>
      </c>
      <c r="J181" s="1894">
        <v>128</v>
      </c>
      <c r="K181" s="1894">
        <v>0.99770000000000003</v>
      </c>
      <c r="L181" s="1894">
        <v>11.99</v>
      </c>
      <c r="M181" s="1894">
        <v>7588</v>
      </c>
      <c r="N181" s="1894">
        <f t="shared" si="58"/>
        <v>37981</v>
      </c>
      <c r="O181" s="1894">
        <f t="shared" si="59"/>
        <v>0</v>
      </c>
      <c r="P181" s="1894">
        <v>160</v>
      </c>
      <c r="Q181" s="1894">
        <v>89.44</v>
      </c>
      <c r="R181" s="1894">
        <v>128</v>
      </c>
      <c r="S181" s="1894">
        <v>0.99750000000000005</v>
      </c>
      <c r="T181" s="1894">
        <v>12.26</v>
      </c>
      <c r="U181" s="1894">
        <v>8158</v>
      </c>
      <c r="V181" s="1894">
        <f t="shared" si="60"/>
        <v>39926</v>
      </c>
      <c r="W181" s="1894">
        <f t="shared" si="61"/>
        <v>0</v>
      </c>
      <c r="X181" s="1894">
        <v>160</v>
      </c>
      <c r="Y181" s="1894">
        <v>92.24</v>
      </c>
      <c r="Z181" s="1894">
        <v>128</v>
      </c>
      <c r="AA181" s="1894">
        <v>0.99660000000000004</v>
      </c>
      <c r="AB181" s="1894">
        <v>9.35</v>
      </c>
      <c r="AC181" s="1894">
        <v>6000</v>
      </c>
      <c r="AD181" s="1894">
        <f t="shared" si="62"/>
        <v>39848</v>
      </c>
      <c r="AE181" s="1894">
        <f t="shared" si="63"/>
        <v>0</v>
      </c>
      <c r="AF181" s="1894">
        <v>160</v>
      </c>
      <c r="AG181" s="1894">
        <v>98.960000000000008</v>
      </c>
      <c r="AH181" s="1894">
        <v>128</v>
      </c>
      <c r="AI181" s="1894">
        <v>0.95779999999999998</v>
      </c>
      <c r="AJ181" s="1894">
        <v>8.93</v>
      </c>
      <c r="AK181" s="1894">
        <v>6784</v>
      </c>
      <c r="AL181" s="1894">
        <f t="shared" si="83"/>
        <v>44176</v>
      </c>
      <c r="AM181" s="1894">
        <f t="shared" si="84"/>
        <v>0</v>
      </c>
      <c r="AN181" s="1894">
        <v>160</v>
      </c>
      <c r="AO181" s="1894">
        <v>81.36</v>
      </c>
      <c r="AP181" s="1894">
        <v>128</v>
      </c>
      <c r="AQ181" s="1894">
        <v>0.97399999999999998</v>
      </c>
      <c r="AR181" s="1894">
        <v>7.05</v>
      </c>
      <c r="AS181" s="1894">
        <v>4270</v>
      </c>
      <c r="AT181" s="1894">
        <f t="shared" si="64"/>
        <v>36319</v>
      </c>
      <c r="AU181" s="1894">
        <f t="shared" si="65"/>
        <v>0</v>
      </c>
      <c r="AV181" s="1894">
        <v>160</v>
      </c>
      <c r="AW181" s="1894">
        <v>115.99999999999999</v>
      </c>
      <c r="AX181" s="1894">
        <v>128</v>
      </c>
      <c r="AY181" s="1894">
        <v>0.97330000000000005</v>
      </c>
      <c r="AZ181" s="1894">
        <v>9.34</v>
      </c>
      <c r="BA181" s="1894">
        <v>7804</v>
      </c>
      <c r="BB181" s="1894">
        <f t="shared" si="66"/>
        <v>50112</v>
      </c>
      <c r="BC181" s="1894">
        <f t="shared" si="67"/>
        <v>0</v>
      </c>
      <c r="BD181" s="1894">
        <v>160</v>
      </c>
      <c r="BE181" s="1894">
        <v>98.16</v>
      </c>
      <c r="BF181" s="1894">
        <v>128</v>
      </c>
      <c r="BG181" s="1894">
        <v>0.97319999999999995</v>
      </c>
      <c r="BH181" s="1894">
        <v>8.5299999999999994</v>
      </c>
      <c r="BI181" s="1894">
        <v>6232</v>
      </c>
      <c r="BJ181" s="1894">
        <f t="shared" si="68"/>
        <v>43819</v>
      </c>
      <c r="BK181" s="1894">
        <f t="shared" si="69"/>
        <v>0</v>
      </c>
      <c r="BL181" s="1894">
        <v>160</v>
      </c>
      <c r="BM181" s="1894">
        <v>94.88</v>
      </c>
      <c r="BN181" s="1894">
        <v>128</v>
      </c>
      <c r="BO181" s="1894">
        <v>0.9778</v>
      </c>
      <c r="BP181" s="1894">
        <v>9.91</v>
      </c>
      <c r="BQ181" s="1894">
        <v>6773</v>
      </c>
      <c r="BR181" s="1894">
        <f t="shared" si="70"/>
        <v>40988</v>
      </c>
      <c r="BS181" s="1894">
        <f t="shared" si="71"/>
        <v>0</v>
      </c>
      <c r="BT181" s="1894">
        <v>160</v>
      </c>
      <c r="BU181" s="1894">
        <v>93.36</v>
      </c>
      <c r="BV181" s="1894">
        <v>128</v>
      </c>
      <c r="BW181" s="1894">
        <v>0.97499999999999998</v>
      </c>
      <c r="BX181" s="1894">
        <v>8.39</v>
      </c>
      <c r="BY181" s="1894">
        <v>5643</v>
      </c>
      <c r="BZ181" s="1894">
        <f t="shared" si="72"/>
        <v>41676</v>
      </c>
      <c r="CA181" s="1894">
        <f t="shared" si="73"/>
        <v>0</v>
      </c>
      <c r="CB181" s="1894">
        <v>160</v>
      </c>
      <c r="CC181" s="1894">
        <v>85.11999999999999</v>
      </c>
      <c r="CD181" s="1894">
        <v>128</v>
      </c>
      <c r="CE181" s="1894">
        <v>0.97970000000000002</v>
      </c>
      <c r="CF181" s="1894">
        <v>11.14</v>
      </c>
      <c r="CG181" s="1894">
        <v>7053</v>
      </c>
      <c r="CH181" s="1894">
        <f t="shared" si="74"/>
        <v>37998</v>
      </c>
      <c r="CI181" s="1894">
        <f t="shared" si="75"/>
        <v>0</v>
      </c>
      <c r="CJ181" s="1894">
        <v>160</v>
      </c>
      <c r="CK181" s="1894">
        <v>105.76</v>
      </c>
      <c r="CL181" s="1894">
        <v>128</v>
      </c>
      <c r="CM181" s="1894">
        <v>0.9829</v>
      </c>
      <c r="CN181" s="1894">
        <v>7.43</v>
      </c>
      <c r="CO181" s="1894">
        <v>5283</v>
      </c>
      <c r="CP181" s="1894">
        <f t="shared" si="76"/>
        <v>42642</v>
      </c>
      <c r="CQ181" s="1894">
        <f t="shared" si="77"/>
        <v>0</v>
      </c>
      <c r="CR181" s="1924">
        <v>160</v>
      </c>
      <c r="CS181" s="1924">
        <v>103.91999999999999</v>
      </c>
      <c r="CT181" s="1924">
        <v>128</v>
      </c>
      <c r="CU181" s="1924">
        <v>0.98099999999999998</v>
      </c>
      <c r="CV181" s="1924">
        <v>9.1199999999999992</v>
      </c>
      <c r="CW181" s="1924">
        <v>5917</v>
      </c>
      <c r="CX181" s="1894">
        <f t="shared" si="78"/>
        <v>46390</v>
      </c>
      <c r="CY181" s="1894">
        <f t="shared" si="79"/>
        <v>0</v>
      </c>
    </row>
    <row r="182" spans="1:103">
      <c r="A182" s="982">
        <v>123000000048</v>
      </c>
      <c r="B182" s="1923">
        <f t="shared" si="80"/>
        <v>176</v>
      </c>
      <c r="C182" s="1895" t="s">
        <v>3068</v>
      </c>
      <c r="D182" s="1894" t="s">
        <v>524</v>
      </c>
      <c r="E182" s="1895" t="s">
        <v>541</v>
      </c>
      <c r="F182" s="1894" t="s">
        <v>259</v>
      </c>
      <c r="G182" s="1924">
        <v>160</v>
      </c>
      <c r="H182" s="1894">
        <v>160</v>
      </c>
      <c r="I182" s="1894">
        <v>100.07999999999998</v>
      </c>
      <c r="J182" s="1894">
        <v>128</v>
      </c>
      <c r="K182" s="1894">
        <v>0.99409999999999998</v>
      </c>
      <c r="L182" s="1894">
        <v>46.9</v>
      </c>
      <c r="M182" s="1894">
        <v>33798</v>
      </c>
      <c r="N182" s="1894">
        <f t="shared" si="58"/>
        <v>43235</v>
      </c>
      <c r="O182" s="1894">
        <f t="shared" si="59"/>
        <v>0</v>
      </c>
      <c r="P182" s="1894">
        <v>160</v>
      </c>
      <c r="Q182" s="1894">
        <v>165.35999999999999</v>
      </c>
      <c r="R182" s="1894">
        <v>165.36</v>
      </c>
      <c r="S182" s="1894">
        <v>0.97689999999999999</v>
      </c>
      <c r="T182" s="1894">
        <v>38.17</v>
      </c>
      <c r="U182" s="1894">
        <v>46959</v>
      </c>
      <c r="V182" s="1894">
        <f t="shared" si="60"/>
        <v>73817</v>
      </c>
      <c r="W182" s="1894">
        <f t="shared" si="61"/>
        <v>0</v>
      </c>
      <c r="X182" s="1894">
        <v>160</v>
      </c>
      <c r="Y182" s="1894">
        <v>213.20000000000002</v>
      </c>
      <c r="Z182" s="1894">
        <v>213.2</v>
      </c>
      <c r="AA182" s="1894">
        <v>0.8982</v>
      </c>
      <c r="AB182" s="1894">
        <v>60.93</v>
      </c>
      <c r="AC182" s="1894">
        <v>93527</v>
      </c>
      <c r="AD182" s="1894">
        <f t="shared" si="62"/>
        <v>92102</v>
      </c>
      <c r="AE182" s="1894">
        <f t="shared" si="63"/>
        <v>1425</v>
      </c>
      <c r="AF182" s="1894">
        <v>160</v>
      </c>
      <c r="AG182" s="1894">
        <v>211.04</v>
      </c>
      <c r="AH182" s="1894">
        <v>211.04</v>
      </c>
      <c r="AI182" s="1894">
        <v>0.91779999999999995</v>
      </c>
      <c r="AJ182" s="1894">
        <v>60.61</v>
      </c>
      <c r="AK182" s="1894">
        <v>95168</v>
      </c>
      <c r="AL182" s="1894">
        <f t="shared" si="83"/>
        <v>94208</v>
      </c>
      <c r="AM182" s="1894">
        <f t="shared" si="84"/>
        <v>960</v>
      </c>
      <c r="AN182" s="1894">
        <v>160</v>
      </c>
      <c r="AO182" s="1894">
        <v>207.12</v>
      </c>
      <c r="AP182" s="1894">
        <v>207.12</v>
      </c>
      <c r="AQ182" s="1894">
        <v>0.95440000000000003</v>
      </c>
      <c r="AR182" s="1894">
        <v>48.82</v>
      </c>
      <c r="AS182" s="1894">
        <v>75236</v>
      </c>
      <c r="AT182" s="1894">
        <f t="shared" si="64"/>
        <v>92458</v>
      </c>
      <c r="AU182" s="1894">
        <f t="shared" si="65"/>
        <v>0</v>
      </c>
      <c r="AV182" s="1894">
        <v>160</v>
      </c>
      <c r="AW182" s="1894">
        <v>208.4</v>
      </c>
      <c r="AX182" s="1894">
        <v>208.4</v>
      </c>
      <c r="AY182" s="1894">
        <v>0.91659999999999997</v>
      </c>
      <c r="AZ182" s="1894">
        <v>54.02</v>
      </c>
      <c r="BA182" s="1894">
        <v>81061</v>
      </c>
      <c r="BB182" s="1894">
        <f t="shared" si="66"/>
        <v>90029</v>
      </c>
      <c r="BC182" s="1894">
        <f t="shared" si="67"/>
        <v>0</v>
      </c>
      <c r="BD182" s="1894">
        <v>160</v>
      </c>
      <c r="BE182" s="1894">
        <v>210.16</v>
      </c>
      <c r="BF182" s="1894">
        <v>210.16</v>
      </c>
      <c r="BG182" s="1894">
        <v>0.95689999999999997</v>
      </c>
      <c r="BH182" s="1894">
        <v>51.92</v>
      </c>
      <c r="BI182" s="1894">
        <v>78570</v>
      </c>
      <c r="BJ182" s="1894">
        <f t="shared" si="68"/>
        <v>93815</v>
      </c>
      <c r="BK182" s="1894">
        <f t="shared" si="69"/>
        <v>0</v>
      </c>
      <c r="BL182" s="1894">
        <v>160</v>
      </c>
      <c r="BM182" s="1894">
        <v>171.68</v>
      </c>
      <c r="BN182" s="1894">
        <v>171.68</v>
      </c>
      <c r="BO182" s="1894">
        <v>0.99180000000000001</v>
      </c>
      <c r="BP182" s="1894">
        <v>50.02</v>
      </c>
      <c r="BQ182" s="1894">
        <v>63896</v>
      </c>
      <c r="BR182" s="1894">
        <f t="shared" si="70"/>
        <v>74166</v>
      </c>
      <c r="BS182" s="1894">
        <f t="shared" si="71"/>
        <v>0</v>
      </c>
      <c r="BT182" s="1894">
        <v>160</v>
      </c>
      <c r="BU182" s="1894">
        <v>157.36000000000001</v>
      </c>
      <c r="BV182" s="1894">
        <v>157.36000000000001</v>
      </c>
      <c r="BW182" s="1894">
        <v>0.99729999999999996</v>
      </c>
      <c r="BX182" s="1894">
        <v>36.85</v>
      </c>
      <c r="BY182" s="1894">
        <v>43141</v>
      </c>
      <c r="BZ182" s="1894">
        <f t="shared" si="72"/>
        <v>70246</v>
      </c>
      <c r="CA182" s="1894">
        <f t="shared" si="73"/>
        <v>0</v>
      </c>
      <c r="CB182" s="1894">
        <v>160</v>
      </c>
      <c r="CC182" s="1894">
        <v>144.48000000000002</v>
      </c>
      <c r="CD182" s="1894">
        <v>144.47999999999999</v>
      </c>
      <c r="CE182" s="1894">
        <v>0.99180000000000001</v>
      </c>
      <c r="CF182" s="1894">
        <v>36.94</v>
      </c>
      <c r="CG182" s="1894">
        <v>39713</v>
      </c>
      <c r="CH182" s="1894">
        <f t="shared" si="74"/>
        <v>64496</v>
      </c>
      <c r="CI182" s="1894">
        <f t="shared" si="75"/>
        <v>0</v>
      </c>
      <c r="CJ182" s="1894">
        <v>160</v>
      </c>
      <c r="CK182" s="1894">
        <v>146.88000000000002</v>
      </c>
      <c r="CL182" s="1894">
        <v>146.88</v>
      </c>
      <c r="CM182" s="1894">
        <v>0.99760000000000004</v>
      </c>
      <c r="CN182" s="1894">
        <v>49.82</v>
      </c>
      <c r="CO182" s="1894">
        <v>49177</v>
      </c>
      <c r="CP182" s="1894">
        <f t="shared" si="76"/>
        <v>59222</v>
      </c>
      <c r="CQ182" s="1894">
        <f t="shared" si="77"/>
        <v>0</v>
      </c>
      <c r="CR182" s="1924">
        <v>160</v>
      </c>
      <c r="CS182" s="1924">
        <v>147.52000000000001</v>
      </c>
      <c r="CT182" s="1924">
        <v>147.52000000000001</v>
      </c>
      <c r="CU182" s="1924">
        <v>0.99829999999999997</v>
      </c>
      <c r="CV182" s="1924">
        <v>49.82</v>
      </c>
      <c r="CW182" s="1924">
        <v>54681</v>
      </c>
      <c r="CX182" s="1894">
        <f t="shared" si="78"/>
        <v>65853</v>
      </c>
      <c r="CY182" s="1894">
        <f t="shared" si="79"/>
        <v>0</v>
      </c>
    </row>
    <row r="183" spans="1:103">
      <c r="A183" s="982">
        <v>124000000003</v>
      </c>
      <c r="B183" s="1923">
        <f t="shared" si="80"/>
        <v>177</v>
      </c>
      <c r="C183" s="1895" t="s">
        <v>3069</v>
      </c>
      <c r="D183" s="1894" t="s">
        <v>524</v>
      </c>
      <c r="E183" s="1895" t="s">
        <v>636</v>
      </c>
      <c r="F183" s="1894" t="s">
        <v>259</v>
      </c>
      <c r="G183" s="1924">
        <v>160</v>
      </c>
      <c r="H183" s="1894">
        <v>160</v>
      </c>
      <c r="I183" s="1894">
        <v>69.959999999999994</v>
      </c>
      <c r="J183" s="1894">
        <v>128</v>
      </c>
      <c r="K183" s="1894">
        <v>0.96930000000000005</v>
      </c>
      <c r="L183" s="1894">
        <v>47.21</v>
      </c>
      <c r="M183" s="1894">
        <v>23781</v>
      </c>
      <c r="N183" s="1894">
        <f t="shared" si="58"/>
        <v>30223</v>
      </c>
      <c r="O183" s="1894">
        <f t="shared" si="59"/>
        <v>0</v>
      </c>
      <c r="P183" s="1894">
        <v>160</v>
      </c>
      <c r="Q183" s="1894">
        <v>54.36</v>
      </c>
      <c r="R183" s="1894">
        <v>128</v>
      </c>
      <c r="S183" s="1894">
        <v>0.96950000000000003</v>
      </c>
      <c r="T183" s="1894">
        <v>57.97</v>
      </c>
      <c r="U183" s="1894">
        <v>23444</v>
      </c>
      <c r="V183" s="1894">
        <f t="shared" si="60"/>
        <v>24266</v>
      </c>
      <c r="W183" s="1894">
        <f t="shared" si="61"/>
        <v>0</v>
      </c>
      <c r="X183" s="1894">
        <v>160</v>
      </c>
      <c r="Y183" s="1894">
        <v>53.639999999999993</v>
      </c>
      <c r="Z183" s="1894">
        <v>128</v>
      </c>
      <c r="AA183" s="1894">
        <v>0.96679999999999999</v>
      </c>
      <c r="AB183" s="1894">
        <v>57.14</v>
      </c>
      <c r="AC183" s="1894">
        <v>22066</v>
      </c>
      <c r="AD183" s="1894">
        <f t="shared" si="62"/>
        <v>23172</v>
      </c>
      <c r="AE183" s="1894">
        <f t="shared" si="63"/>
        <v>0</v>
      </c>
      <c r="AF183" s="1894">
        <v>160</v>
      </c>
      <c r="AG183" s="1894">
        <v>42.599999999999994</v>
      </c>
      <c r="AH183" s="1894">
        <v>128</v>
      </c>
      <c r="AI183" s="1894">
        <v>0.97009999999999996</v>
      </c>
      <c r="AJ183" s="1894">
        <v>65.91</v>
      </c>
      <c r="AK183" s="1894">
        <v>20889</v>
      </c>
      <c r="AL183" s="1894">
        <f t="shared" si="83"/>
        <v>19017</v>
      </c>
      <c r="AM183" s="1894">
        <f t="shared" si="84"/>
        <v>1872</v>
      </c>
      <c r="AN183" s="1894">
        <v>160</v>
      </c>
      <c r="AO183" s="1894">
        <v>44.52</v>
      </c>
      <c r="AP183" s="1894">
        <v>128</v>
      </c>
      <c r="AQ183" s="1894">
        <v>0.99980000000000002</v>
      </c>
      <c r="AR183" s="1894">
        <v>59.54</v>
      </c>
      <c r="AS183" s="1894">
        <v>19722</v>
      </c>
      <c r="AT183" s="1894">
        <f t="shared" si="64"/>
        <v>19874</v>
      </c>
      <c r="AU183" s="1894">
        <f t="shared" si="65"/>
        <v>0</v>
      </c>
      <c r="AV183" s="1894">
        <v>160</v>
      </c>
      <c r="AW183" s="1894">
        <v>52.199999999999996</v>
      </c>
      <c r="AX183" s="1894">
        <v>128</v>
      </c>
      <c r="AY183" s="1894">
        <v>0.99980000000000002</v>
      </c>
      <c r="AZ183" s="1894">
        <v>52.43</v>
      </c>
      <c r="BA183" s="1894">
        <v>16421</v>
      </c>
      <c r="BB183" s="1894">
        <f t="shared" si="66"/>
        <v>22550</v>
      </c>
      <c r="BC183" s="1894">
        <f t="shared" si="67"/>
        <v>0</v>
      </c>
      <c r="BD183" s="1894">
        <v>160</v>
      </c>
      <c r="BE183" s="1894">
        <v>37.799999999999997</v>
      </c>
      <c r="BF183" s="1894">
        <v>128</v>
      </c>
      <c r="BG183" s="1894">
        <v>1</v>
      </c>
      <c r="BH183" s="1894">
        <v>70.38</v>
      </c>
      <c r="BI183" s="1894">
        <v>22984</v>
      </c>
      <c r="BJ183" s="1894">
        <f t="shared" si="68"/>
        <v>16874</v>
      </c>
      <c r="BK183" s="1894">
        <f t="shared" si="69"/>
        <v>6110</v>
      </c>
      <c r="BL183" s="1894">
        <v>160</v>
      </c>
      <c r="BM183" s="1894">
        <v>53.76</v>
      </c>
      <c r="BN183" s="1894">
        <v>128</v>
      </c>
      <c r="BO183" s="1894">
        <v>0.99990000000000001</v>
      </c>
      <c r="BP183" s="1894">
        <v>42.05</v>
      </c>
      <c r="BQ183" s="1894">
        <v>16276</v>
      </c>
      <c r="BR183" s="1894">
        <f t="shared" si="70"/>
        <v>23224</v>
      </c>
      <c r="BS183" s="1894">
        <f t="shared" si="71"/>
        <v>0</v>
      </c>
      <c r="BT183" s="1894">
        <v>160</v>
      </c>
      <c r="BU183" s="1894">
        <v>35.28</v>
      </c>
      <c r="BV183" s="1894">
        <v>128</v>
      </c>
      <c r="BW183" s="1894">
        <v>1</v>
      </c>
      <c r="BX183" s="1894">
        <v>58.94</v>
      </c>
      <c r="BY183" s="1894">
        <v>15470</v>
      </c>
      <c r="BZ183" s="1894">
        <f t="shared" si="72"/>
        <v>15749</v>
      </c>
      <c r="CA183" s="1894">
        <f t="shared" si="73"/>
        <v>0</v>
      </c>
      <c r="CB183" s="1894">
        <v>160</v>
      </c>
      <c r="CC183" s="1894">
        <v>31.44</v>
      </c>
      <c r="CD183" s="1894">
        <v>128</v>
      </c>
      <c r="CE183" s="1894">
        <v>0.99990000000000001</v>
      </c>
      <c r="CF183" s="1894">
        <v>66.48</v>
      </c>
      <c r="CG183" s="1894">
        <v>15550</v>
      </c>
      <c r="CH183" s="1894">
        <f t="shared" si="74"/>
        <v>14035</v>
      </c>
      <c r="CI183" s="1894">
        <f t="shared" si="75"/>
        <v>1515</v>
      </c>
      <c r="CJ183" s="1894">
        <v>160</v>
      </c>
      <c r="CK183" s="1894">
        <v>35.880000000000003</v>
      </c>
      <c r="CL183" s="1894">
        <v>128</v>
      </c>
      <c r="CM183" s="1894">
        <v>1</v>
      </c>
      <c r="CN183" s="1894">
        <v>66.69</v>
      </c>
      <c r="CO183" s="1894">
        <v>16080</v>
      </c>
      <c r="CP183" s="1894">
        <f t="shared" si="76"/>
        <v>14467</v>
      </c>
      <c r="CQ183" s="1894">
        <f t="shared" si="77"/>
        <v>1613</v>
      </c>
      <c r="CR183" s="1924">
        <v>160</v>
      </c>
      <c r="CS183" s="1924">
        <v>41.64</v>
      </c>
      <c r="CT183" s="1924">
        <v>128</v>
      </c>
      <c r="CU183" s="1924">
        <v>0.99980000000000002</v>
      </c>
      <c r="CV183" s="1924">
        <v>63.68</v>
      </c>
      <c r="CW183" s="1924">
        <v>19727</v>
      </c>
      <c r="CX183" s="1894">
        <f t="shared" si="78"/>
        <v>18588</v>
      </c>
      <c r="CY183" s="1894">
        <f t="shared" si="79"/>
        <v>1139</v>
      </c>
    </row>
    <row r="184" spans="1:103">
      <c r="A184" s="982">
        <v>622000000008</v>
      </c>
      <c r="B184" s="1923">
        <f t="shared" si="80"/>
        <v>178</v>
      </c>
      <c r="C184" s="1895" t="s">
        <v>3070</v>
      </c>
      <c r="D184" s="1894" t="s">
        <v>524</v>
      </c>
      <c r="E184" s="1895" t="s">
        <v>629</v>
      </c>
      <c r="F184" s="1894" t="s">
        <v>259</v>
      </c>
      <c r="G184" s="1924">
        <v>160</v>
      </c>
      <c r="H184" s="1894">
        <v>160</v>
      </c>
      <c r="I184" s="1894">
        <v>66</v>
      </c>
      <c r="J184" s="1894">
        <v>160</v>
      </c>
      <c r="K184" s="1894">
        <v>0.94820000000000004</v>
      </c>
      <c r="L184" s="1894">
        <v>0</v>
      </c>
      <c r="M184" s="1894">
        <v>24740</v>
      </c>
      <c r="N184" s="1894">
        <f t="shared" si="58"/>
        <v>28512</v>
      </c>
      <c r="O184" s="1894">
        <f t="shared" si="59"/>
        <v>0</v>
      </c>
      <c r="P184" s="1894">
        <v>160</v>
      </c>
      <c r="Q184" s="1894">
        <v>54</v>
      </c>
      <c r="R184" s="1894">
        <v>160</v>
      </c>
      <c r="S184" s="1894">
        <v>0.94679999999999997</v>
      </c>
      <c r="T184" s="1894">
        <v>0</v>
      </c>
      <c r="U184" s="1894">
        <v>19200</v>
      </c>
      <c r="V184" s="1894">
        <f t="shared" si="60"/>
        <v>24106</v>
      </c>
      <c r="W184" s="1894">
        <f t="shared" si="61"/>
        <v>0</v>
      </c>
      <c r="X184" s="1894">
        <v>160</v>
      </c>
      <c r="Y184" s="1894">
        <v>63.839999999999996</v>
      </c>
      <c r="Z184" s="1894">
        <v>160</v>
      </c>
      <c r="AA184" s="1894">
        <v>0.94189999999999996</v>
      </c>
      <c r="AB184" s="1894">
        <v>0</v>
      </c>
      <c r="AC184" s="1894">
        <v>29085</v>
      </c>
      <c r="AD184" s="1894">
        <f t="shared" si="62"/>
        <v>27579</v>
      </c>
      <c r="AE184" s="1894">
        <f t="shared" si="63"/>
        <v>1506</v>
      </c>
      <c r="AF184" s="1894">
        <v>160</v>
      </c>
      <c r="AG184" s="1894">
        <v>80</v>
      </c>
      <c r="AH184" s="1894">
        <v>160</v>
      </c>
      <c r="AI184" s="1894">
        <v>0.93730000000000002</v>
      </c>
      <c r="AJ184" s="1894">
        <v>0</v>
      </c>
      <c r="AK184" s="1894">
        <v>19623</v>
      </c>
      <c r="AL184" s="1894">
        <f t="shared" si="83"/>
        <v>35712</v>
      </c>
      <c r="AM184" s="1894">
        <f t="shared" si="84"/>
        <v>0</v>
      </c>
      <c r="AN184" s="1894">
        <v>160</v>
      </c>
      <c r="AO184" s="1894">
        <v>78.08</v>
      </c>
      <c r="AP184" s="1894">
        <v>160</v>
      </c>
      <c r="AQ184" s="1894">
        <v>0.93069999999999997</v>
      </c>
      <c r="AR184" s="1894">
        <v>0</v>
      </c>
      <c r="AS184" s="1894">
        <v>20334</v>
      </c>
      <c r="AT184" s="1894">
        <f t="shared" si="64"/>
        <v>34855</v>
      </c>
      <c r="AU184" s="1894">
        <f t="shared" si="65"/>
        <v>0</v>
      </c>
      <c r="AV184" s="1894">
        <v>160</v>
      </c>
      <c r="AW184" s="1894">
        <v>61.12</v>
      </c>
      <c r="AX184" s="1894">
        <v>160</v>
      </c>
      <c r="AY184" s="1894">
        <v>0.93920000000000003</v>
      </c>
      <c r="AZ184" s="1894">
        <v>0</v>
      </c>
      <c r="BA184" s="1894">
        <v>21914</v>
      </c>
      <c r="BB184" s="1894">
        <f t="shared" si="66"/>
        <v>26404</v>
      </c>
      <c r="BC184" s="1894">
        <f t="shared" si="67"/>
        <v>0</v>
      </c>
      <c r="BD184" s="1894">
        <v>160</v>
      </c>
      <c r="BE184" s="1894">
        <v>65.36</v>
      </c>
      <c r="BF184" s="1894">
        <v>160</v>
      </c>
      <c r="BG184" s="1894">
        <v>0.92330000000000001</v>
      </c>
      <c r="BH184" s="1894">
        <v>0</v>
      </c>
      <c r="BI184" s="1894">
        <v>22382</v>
      </c>
      <c r="BJ184" s="1894">
        <f t="shared" si="68"/>
        <v>29177</v>
      </c>
      <c r="BK184" s="1894">
        <f t="shared" si="69"/>
        <v>0</v>
      </c>
      <c r="BL184" s="1894">
        <v>160</v>
      </c>
      <c r="BM184" s="1894">
        <v>67.600000000000009</v>
      </c>
      <c r="BN184" s="1894">
        <v>160</v>
      </c>
      <c r="BO184" s="1894">
        <v>0.91930000000000001</v>
      </c>
      <c r="BP184" s="1894">
        <v>0</v>
      </c>
      <c r="BQ184" s="1894">
        <v>21890</v>
      </c>
      <c r="BR184" s="1894">
        <f t="shared" si="70"/>
        <v>29203</v>
      </c>
      <c r="BS184" s="1894">
        <f t="shared" si="71"/>
        <v>0</v>
      </c>
      <c r="BT184" s="1894">
        <v>160</v>
      </c>
      <c r="BU184" s="1894">
        <v>67.2</v>
      </c>
      <c r="BV184" s="1894">
        <v>160</v>
      </c>
      <c r="BW184" s="1894">
        <v>0.92889999999999995</v>
      </c>
      <c r="BX184" s="1894">
        <v>0</v>
      </c>
      <c r="BY184" s="1894">
        <v>23377</v>
      </c>
      <c r="BZ184" s="1894">
        <f t="shared" si="72"/>
        <v>29998</v>
      </c>
      <c r="CA184" s="1894">
        <f t="shared" si="73"/>
        <v>0</v>
      </c>
      <c r="CB184" s="1894">
        <v>160</v>
      </c>
      <c r="CC184" s="1894">
        <v>70.88</v>
      </c>
      <c r="CD184" s="1894">
        <v>160</v>
      </c>
      <c r="CE184" s="1894">
        <v>0.9294</v>
      </c>
      <c r="CF184" s="1894">
        <v>0</v>
      </c>
      <c r="CG184" s="1894">
        <v>22664</v>
      </c>
      <c r="CH184" s="1894">
        <f t="shared" si="74"/>
        <v>31641</v>
      </c>
      <c r="CI184" s="1894">
        <f t="shared" si="75"/>
        <v>0</v>
      </c>
      <c r="CJ184" s="1894">
        <v>160</v>
      </c>
      <c r="CK184" s="1894">
        <v>63.28</v>
      </c>
      <c r="CL184" s="1894">
        <v>160</v>
      </c>
      <c r="CM184" s="1894">
        <v>0.92220000000000002</v>
      </c>
      <c r="CN184" s="1894">
        <v>0</v>
      </c>
      <c r="CO184" s="1894">
        <v>20164</v>
      </c>
      <c r="CP184" s="1894">
        <f t="shared" si="76"/>
        <v>25514</v>
      </c>
      <c r="CQ184" s="1894">
        <f t="shared" si="77"/>
        <v>0</v>
      </c>
      <c r="CR184" s="1924">
        <v>160</v>
      </c>
      <c r="CS184" s="1924">
        <v>55.04</v>
      </c>
      <c r="CT184" s="1924">
        <v>160</v>
      </c>
      <c r="CU184" s="1924">
        <v>0.91369999999999996</v>
      </c>
      <c r="CV184" s="1924">
        <v>0</v>
      </c>
      <c r="CW184" s="1924">
        <v>16249</v>
      </c>
      <c r="CX184" s="1894">
        <f t="shared" si="78"/>
        <v>24570</v>
      </c>
      <c r="CY184" s="1894">
        <f t="shared" si="79"/>
        <v>0</v>
      </c>
    </row>
    <row r="185" spans="1:103">
      <c r="A185" s="982">
        <v>121000000082</v>
      </c>
      <c r="B185" s="1923">
        <f t="shared" si="80"/>
        <v>179</v>
      </c>
      <c r="C185" s="1895" t="s">
        <v>3071</v>
      </c>
      <c r="D185" s="1894" t="s">
        <v>524</v>
      </c>
      <c r="E185" s="1895" t="s">
        <v>541</v>
      </c>
      <c r="F185" s="1894" t="s">
        <v>259</v>
      </c>
      <c r="G185" s="1924">
        <v>161</v>
      </c>
      <c r="H185" s="1894">
        <v>161</v>
      </c>
      <c r="I185" s="1894">
        <v>75.599999999999994</v>
      </c>
      <c r="J185" s="1894">
        <v>128.80000000000001</v>
      </c>
      <c r="K185" s="1894">
        <v>0.96779999999999999</v>
      </c>
      <c r="L185" s="1894">
        <v>30.31</v>
      </c>
      <c r="M185" s="1894">
        <v>16497</v>
      </c>
      <c r="N185" s="1894">
        <f t="shared" si="58"/>
        <v>32659</v>
      </c>
      <c r="O185" s="1894">
        <f t="shared" si="59"/>
        <v>0</v>
      </c>
      <c r="P185" s="1894">
        <v>161</v>
      </c>
      <c r="Q185" s="1894">
        <v>71.52</v>
      </c>
      <c r="R185" s="1894">
        <v>128.80000000000001</v>
      </c>
      <c r="S185" s="1894">
        <v>0.95909999999999995</v>
      </c>
      <c r="T185" s="1894">
        <v>27.63</v>
      </c>
      <c r="U185" s="1894">
        <v>14700</v>
      </c>
      <c r="V185" s="1894">
        <f t="shared" si="60"/>
        <v>31927</v>
      </c>
      <c r="W185" s="1894">
        <f t="shared" si="61"/>
        <v>0</v>
      </c>
      <c r="X185" s="1894">
        <v>161</v>
      </c>
      <c r="Y185" s="1894">
        <v>99.12</v>
      </c>
      <c r="Z185" s="1894">
        <v>128.80000000000001</v>
      </c>
      <c r="AA185" s="1894">
        <v>0.93710000000000004</v>
      </c>
      <c r="AB185" s="1894">
        <v>14.65</v>
      </c>
      <c r="AC185" s="1894">
        <v>10458</v>
      </c>
      <c r="AD185" s="1894">
        <f t="shared" si="62"/>
        <v>42820</v>
      </c>
      <c r="AE185" s="1894">
        <f t="shared" si="63"/>
        <v>0</v>
      </c>
      <c r="AF185" s="1894">
        <v>161</v>
      </c>
      <c r="AG185" s="1894">
        <v>78</v>
      </c>
      <c r="AH185" s="1894">
        <v>128.80000000000001</v>
      </c>
      <c r="AI185" s="1894">
        <v>0.91090000000000004</v>
      </c>
      <c r="AJ185" s="1894">
        <v>17.25</v>
      </c>
      <c r="AK185" s="1894">
        <v>10008</v>
      </c>
      <c r="AL185" s="1894">
        <f t="shared" si="83"/>
        <v>34819</v>
      </c>
      <c r="AM185" s="1894">
        <f t="shared" si="84"/>
        <v>0</v>
      </c>
      <c r="AN185" s="1894">
        <v>161</v>
      </c>
      <c r="AO185" s="1894">
        <v>79.2</v>
      </c>
      <c r="AP185" s="1894">
        <v>128.80000000000001</v>
      </c>
      <c r="AQ185" s="1894">
        <v>0.81950000000000001</v>
      </c>
      <c r="AR185" s="1894">
        <v>10.67</v>
      </c>
      <c r="AS185" s="1894">
        <v>6285</v>
      </c>
      <c r="AT185" s="1894">
        <f t="shared" si="64"/>
        <v>35355</v>
      </c>
      <c r="AU185" s="1894">
        <f t="shared" si="65"/>
        <v>0</v>
      </c>
      <c r="AV185" s="1894">
        <v>161</v>
      </c>
      <c r="AW185" s="1894">
        <v>77.039999999999992</v>
      </c>
      <c r="AX185" s="1894">
        <v>128.80000000000001</v>
      </c>
      <c r="AY185" s="1894">
        <v>0.9768</v>
      </c>
      <c r="AZ185" s="1894">
        <v>31.02</v>
      </c>
      <c r="BA185" s="1894">
        <v>17205</v>
      </c>
      <c r="BB185" s="1894">
        <f t="shared" si="66"/>
        <v>33281</v>
      </c>
      <c r="BC185" s="1894">
        <f t="shared" si="67"/>
        <v>0</v>
      </c>
      <c r="BD185" s="1894">
        <v>161</v>
      </c>
      <c r="BE185" s="1894">
        <v>84.000000000000014</v>
      </c>
      <c r="BF185" s="1894">
        <v>128.80000000000001</v>
      </c>
      <c r="BG185" s="1894">
        <v>0.99609999999999999</v>
      </c>
      <c r="BH185" s="1894">
        <v>3.73</v>
      </c>
      <c r="BI185" s="1894">
        <v>2334</v>
      </c>
      <c r="BJ185" s="1894">
        <f t="shared" si="68"/>
        <v>37498</v>
      </c>
      <c r="BK185" s="1894">
        <f t="shared" si="69"/>
        <v>0</v>
      </c>
      <c r="BL185" s="1894">
        <v>161</v>
      </c>
      <c r="BM185" s="1894">
        <v>0</v>
      </c>
      <c r="BN185" s="1894">
        <v>128.80000000000001</v>
      </c>
      <c r="BO185" s="1894">
        <v>1</v>
      </c>
      <c r="BP185" s="1894">
        <v>0.03</v>
      </c>
      <c r="BQ185" s="1894">
        <v>30</v>
      </c>
      <c r="BR185" s="1894">
        <f t="shared" si="70"/>
        <v>0</v>
      </c>
      <c r="BS185" s="1894">
        <f t="shared" si="71"/>
        <v>30</v>
      </c>
      <c r="BT185" s="1894">
        <v>161</v>
      </c>
      <c r="BU185" s="1894">
        <v>0</v>
      </c>
      <c r="BV185" s="1894">
        <v>128.80000000000001</v>
      </c>
      <c r="BW185" s="1894">
        <v>0</v>
      </c>
      <c r="BX185" s="1894">
        <v>0</v>
      </c>
      <c r="BY185" s="1894">
        <v>3</v>
      </c>
      <c r="BZ185" s="1894">
        <f t="shared" si="72"/>
        <v>0</v>
      </c>
      <c r="CA185" s="1894">
        <f t="shared" si="73"/>
        <v>3</v>
      </c>
      <c r="CB185" s="1894">
        <v>161</v>
      </c>
      <c r="CC185" s="1894">
        <v>75.84</v>
      </c>
      <c r="CD185" s="1894">
        <v>128.80000000000001</v>
      </c>
      <c r="CE185" s="1894">
        <v>0.99560000000000004</v>
      </c>
      <c r="CF185" s="1894">
        <v>20.56</v>
      </c>
      <c r="CG185" s="1894">
        <v>8232</v>
      </c>
      <c r="CH185" s="1894">
        <f t="shared" si="74"/>
        <v>33855</v>
      </c>
      <c r="CI185" s="1894">
        <f t="shared" si="75"/>
        <v>0</v>
      </c>
      <c r="CJ185" s="1894">
        <v>161</v>
      </c>
      <c r="CK185" s="1894">
        <v>68.64</v>
      </c>
      <c r="CL185" s="1894">
        <v>128.80000000000001</v>
      </c>
      <c r="CM185" s="1894">
        <v>0.998</v>
      </c>
      <c r="CN185" s="1894">
        <v>17.100000000000001</v>
      </c>
      <c r="CO185" s="1894">
        <v>7605</v>
      </c>
      <c r="CP185" s="1894">
        <f t="shared" si="76"/>
        <v>27676</v>
      </c>
      <c r="CQ185" s="1894">
        <f t="shared" si="77"/>
        <v>0</v>
      </c>
      <c r="CR185" s="1924">
        <v>161</v>
      </c>
      <c r="CS185" s="1924">
        <v>54.239999999999995</v>
      </c>
      <c r="CT185" s="1924">
        <v>128.80000000000001</v>
      </c>
      <c r="CU185" s="1924">
        <v>0.94550000000000001</v>
      </c>
      <c r="CV185" s="1924">
        <v>5.56</v>
      </c>
      <c r="CW185" s="1924">
        <v>2316</v>
      </c>
      <c r="CX185" s="1894">
        <f t="shared" si="78"/>
        <v>24213</v>
      </c>
      <c r="CY185" s="1894">
        <f t="shared" si="79"/>
        <v>0</v>
      </c>
    </row>
    <row r="186" spans="1:103">
      <c r="A186" s="982">
        <v>421000000019</v>
      </c>
      <c r="B186" s="1923">
        <f t="shared" si="80"/>
        <v>180</v>
      </c>
      <c r="C186" s="1895" t="s">
        <v>3072</v>
      </c>
      <c r="D186" s="1894" t="s">
        <v>524</v>
      </c>
      <c r="E186" s="1895" t="s">
        <v>541</v>
      </c>
      <c r="F186" s="1894" t="s">
        <v>259</v>
      </c>
      <c r="G186" s="1924">
        <v>161</v>
      </c>
      <c r="H186" s="1894">
        <v>161</v>
      </c>
      <c r="I186" s="1894">
        <v>174.8</v>
      </c>
      <c r="J186" s="1894">
        <v>174.8</v>
      </c>
      <c r="K186" s="1894">
        <v>0.96589999999999998</v>
      </c>
      <c r="L186" s="1894">
        <v>50.25</v>
      </c>
      <c r="M186" s="1894">
        <v>65352</v>
      </c>
      <c r="N186" s="1894">
        <f t="shared" si="58"/>
        <v>75514</v>
      </c>
      <c r="O186" s="1894">
        <f t="shared" si="59"/>
        <v>0</v>
      </c>
      <c r="P186" s="1894">
        <v>161</v>
      </c>
      <c r="Q186" s="1894">
        <v>173.84</v>
      </c>
      <c r="R186" s="1894">
        <v>173.84</v>
      </c>
      <c r="S186" s="1894">
        <v>0.9506</v>
      </c>
      <c r="T186" s="1894">
        <v>46.54</v>
      </c>
      <c r="U186" s="1894">
        <v>62137</v>
      </c>
      <c r="V186" s="1894">
        <f t="shared" si="60"/>
        <v>77602</v>
      </c>
      <c r="W186" s="1894">
        <f t="shared" si="61"/>
        <v>0</v>
      </c>
      <c r="X186" s="1894">
        <v>161</v>
      </c>
      <c r="Y186" s="1894">
        <v>182</v>
      </c>
      <c r="Z186" s="1894">
        <v>182</v>
      </c>
      <c r="AA186" s="1894">
        <v>0.94330000000000003</v>
      </c>
      <c r="AB186" s="1894">
        <v>40.54</v>
      </c>
      <c r="AC186" s="1894">
        <v>53118</v>
      </c>
      <c r="AD186" s="1894">
        <f t="shared" si="62"/>
        <v>78624</v>
      </c>
      <c r="AE186" s="1894">
        <f t="shared" si="63"/>
        <v>0</v>
      </c>
      <c r="AF186" s="1894">
        <v>161</v>
      </c>
      <c r="AG186" s="1894">
        <v>174.72</v>
      </c>
      <c r="AH186" s="1894">
        <v>174.72</v>
      </c>
      <c r="AI186" s="1894">
        <v>0.95169999999999999</v>
      </c>
      <c r="AJ186" s="1894">
        <v>39.97</v>
      </c>
      <c r="AK186" s="1894">
        <v>51957</v>
      </c>
      <c r="AL186" s="1894">
        <f t="shared" si="83"/>
        <v>77995</v>
      </c>
      <c r="AM186" s="1894">
        <f t="shared" si="84"/>
        <v>0</v>
      </c>
      <c r="AN186" s="1894">
        <v>161</v>
      </c>
      <c r="AO186" s="1894">
        <v>40.56</v>
      </c>
      <c r="AP186" s="1894">
        <v>128.80000000000001</v>
      </c>
      <c r="AQ186" s="1894">
        <v>0.62409999999999999</v>
      </c>
      <c r="AR186" s="1894">
        <v>15.04</v>
      </c>
      <c r="AS186" s="1894">
        <v>4539</v>
      </c>
      <c r="AT186" s="1894">
        <f t="shared" si="64"/>
        <v>18106</v>
      </c>
      <c r="AU186" s="1894">
        <f t="shared" si="65"/>
        <v>0</v>
      </c>
      <c r="AV186" s="1894">
        <v>161</v>
      </c>
      <c r="AW186" s="1894">
        <v>44.879999999999995</v>
      </c>
      <c r="AX186" s="1894">
        <v>128.80000000000001</v>
      </c>
      <c r="AY186" s="1894">
        <v>0.52700000000000002</v>
      </c>
      <c r="AZ186" s="1894">
        <v>9.49</v>
      </c>
      <c r="BA186" s="1894">
        <v>3068</v>
      </c>
      <c r="BB186" s="1894">
        <f t="shared" si="66"/>
        <v>19388</v>
      </c>
      <c r="BC186" s="1894">
        <f t="shared" si="67"/>
        <v>0</v>
      </c>
      <c r="BD186" s="1894">
        <v>161</v>
      </c>
      <c r="BE186" s="1894">
        <v>24.4</v>
      </c>
      <c r="BF186" s="1894">
        <v>128.80000000000001</v>
      </c>
      <c r="BG186" s="1894">
        <v>0.35189999999999999</v>
      </c>
      <c r="BH186" s="1894">
        <v>19.52</v>
      </c>
      <c r="BI186" s="1894">
        <v>3543</v>
      </c>
      <c r="BJ186" s="1894">
        <f t="shared" si="68"/>
        <v>10892</v>
      </c>
      <c r="BK186" s="1894">
        <f t="shared" si="69"/>
        <v>0</v>
      </c>
      <c r="BL186" s="1894">
        <v>161</v>
      </c>
      <c r="BM186" s="1894">
        <v>13.200000000000001</v>
      </c>
      <c r="BN186" s="1894">
        <v>128.80000000000001</v>
      </c>
      <c r="BO186" s="1894">
        <v>0.30840000000000001</v>
      </c>
      <c r="BP186" s="1894">
        <v>39.54</v>
      </c>
      <c r="BQ186" s="1894">
        <v>3758</v>
      </c>
      <c r="BR186" s="1894">
        <f t="shared" si="70"/>
        <v>5702</v>
      </c>
      <c r="BS186" s="1894">
        <f t="shared" si="71"/>
        <v>0</v>
      </c>
      <c r="BT186" s="1894">
        <v>161</v>
      </c>
      <c r="BU186" s="1894">
        <v>26.96</v>
      </c>
      <c r="BV186" s="1894">
        <v>128.80000000000001</v>
      </c>
      <c r="BW186" s="1894">
        <v>0.34960000000000002</v>
      </c>
      <c r="BX186" s="1894">
        <v>22.06</v>
      </c>
      <c r="BY186" s="1894">
        <v>4425</v>
      </c>
      <c r="BZ186" s="1894">
        <f t="shared" si="72"/>
        <v>12035</v>
      </c>
      <c r="CA186" s="1894">
        <f t="shared" si="73"/>
        <v>0</v>
      </c>
      <c r="CB186" s="1894">
        <v>161</v>
      </c>
      <c r="CC186" s="1894">
        <v>159.60000000000002</v>
      </c>
      <c r="CD186" s="1894">
        <v>159.6</v>
      </c>
      <c r="CE186" s="1894">
        <v>0.90910000000000002</v>
      </c>
      <c r="CF186" s="1894">
        <v>21.65</v>
      </c>
      <c r="CG186" s="1894">
        <v>25703</v>
      </c>
      <c r="CH186" s="1894">
        <f t="shared" si="74"/>
        <v>71245</v>
      </c>
      <c r="CI186" s="1894">
        <f t="shared" si="75"/>
        <v>0</v>
      </c>
      <c r="CJ186" s="1894">
        <v>161</v>
      </c>
      <c r="CK186" s="1894">
        <v>154.96</v>
      </c>
      <c r="CL186" s="1894">
        <v>154.96</v>
      </c>
      <c r="CM186" s="1894">
        <v>0.91359999999999997</v>
      </c>
      <c r="CN186" s="1894">
        <v>23.2</v>
      </c>
      <c r="CO186" s="1894">
        <v>24160</v>
      </c>
      <c r="CP186" s="1894">
        <f t="shared" si="76"/>
        <v>62480</v>
      </c>
      <c r="CQ186" s="1894">
        <f t="shared" si="77"/>
        <v>0</v>
      </c>
      <c r="CR186" s="1924">
        <v>161</v>
      </c>
      <c r="CS186" s="1924">
        <v>154.32</v>
      </c>
      <c r="CT186" s="1924">
        <v>154.32</v>
      </c>
      <c r="CU186" s="1924">
        <v>0.94820000000000004</v>
      </c>
      <c r="CV186" s="1924">
        <v>47.49</v>
      </c>
      <c r="CW186" s="1924">
        <v>54527</v>
      </c>
      <c r="CX186" s="1894">
        <f t="shared" si="78"/>
        <v>68888</v>
      </c>
      <c r="CY186" s="1894">
        <f t="shared" si="79"/>
        <v>0</v>
      </c>
    </row>
    <row r="187" spans="1:103">
      <c r="A187" s="982">
        <v>121000000025</v>
      </c>
      <c r="B187" s="1923">
        <f t="shared" si="80"/>
        <v>181</v>
      </c>
      <c r="C187" s="1895" t="s">
        <v>3073</v>
      </c>
      <c r="D187" s="1894" t="s">
        <v>524</v>
      </c>
      <c r="E187" s="1895" t="s">
        <v>541</v>
      </c>
      <c r="F187" s="1894" t="s">
        <v>259</v>
      </c>
      <c r="G187" s="1924">
        <v>162</v>
      </c>
      <c r="H187" s="1894">
        <v>162</v>
      </c>
      <c r="I187" s="1894">
        <v>200.8</v>
      </c>
      <c r="J187" s="1894">
        <v>200.8</v>
      </c>
      <c r="K187" s="1894">
        <v>0.96960000000000002</v>
      </c>
      <c r="L187" s="1894">
        <v>50.93</v>
      </c>
      <c r="M187" s="1894">
        <v>73632</v>
      </c>
      <c r="N187" s="1894">
        <f t="shared" si="58"/>
        <v>86746</v>
      </c>
      <c r="O187" s="1894">
        <f t="shared" si="59"/>
        <v>0</v>
      </c>
      <c r="P187" s="1894">
        <v>162</v>
      </c>
      <c r="Q187" s="1894">
        <v>177.6</v>
      </c>
      <c r="R187" s="1894">
        <v>177.6</v>
      </c>
      <c r="S187" s="1894">
        <v>0.97909999999999997</v>
      </c>
      <c r="T187" s="1894">
        <v>52.02</v>
      </c>
      <c r="U187" s="1894">
        <v>68732</v>
      </c>
      <c r="V187" s="1894">
        <f t="shared" si="60"/>
        <v>79281</v>
      </c>
      <c r="W187" s="1894">
        <f t="shared" si="61"/>
        <v>0</v>
      </c>
      <c r="X187" s="1894">
        <v>162</v>
      </c>
      <c r="Y187" s="1894">
        <v>186.4</v>
      </c>
      <c r="Z187" s="1894">
        <v>186.4</v>
      </c>
      <c r="AA187" s="1894">
        <v>0.98250000000000004</v>
      </c>
      <c r="AB187" s="1894">
        <v>50.16</v>
      </c>
      <c r="AC187" s="1894">
        <v>62836</v>
      </c>
      <c r="AD187" s="1894">
        <f t="shared" si="62"/>
        <v>80525</v>
      </c>
      <c r="AE187" s="1894">
        <f t="shared" si="63"/>
        <v>0</v>
      </c>
      <c r="AF187" s="1894">
        <v>162</v>
      </c>
      <c r="AG187" s="1894">
        <v>188.32</v>
      </c>
      <c r="AH187" s="1894">
        <v>188.32</v>
      </c>
      <c r="AI187" s="1894">
        <v>0.98939999999999995</v>
      </c>
      <c r="AJ187" s="1894">
        <v>49.25</v>
      </c>
      <c r="AK187" s="1894">
        <v>73462</v>
      </c>
      <c r="AL187" s="1894">
        <f t="shared" si="83"/>
        <v>84066</v>
      </c>
      <c r="AM187" s="1894">
        <f t="shared" si="84"/>
        <v>0</v>
      </c>
      <c r="AN187" s="1894">
        <v>162</v>
      </c>
      <c r="AO187" s="1894">
        <v>171.36</v>
      </c>
      <c r="AP187" s="1894">
        <v>171.36</v>
      </c>
      <c r="AQ187" s="1894">
        <v>0.98760000000000003</v>
      </c>
      <c r="AR187" s="1894">
        <v>49.93</v>
      </c>
      <c r="AS187" s="1894">
        <v>53390</v>
      </c>
      <c r="AT187" s="1894">
        <f t="shared" si="64"/>
        <v>76495</v>
      </c>
      <c r="AU187" s="1894">
        <f t="shared" si="65"/>
        <v>0</v>
      </c>
      <c r="AV187" s="1894">
        <v>162</v>
      </c>
      <c r="AW187" s="1894">
        <v>207.35999999999999</v>
      </c>
      <c r="AX187" s="1894">
        <v>207.36</v>
      </c>
      <c r="AY187" s="1894">
        <v>0.94110000000000005</v>
      </c>
      <c r="AZ187" s="1894">
        <v>39.96</v>
      </c>
      <c r="BA187" s="1894">
        <v>69610</v>
      </c>
      <c r="BB187" s="1894">
        <f t="shared" si="66"/>
        <v>89580</v>
      </c>
      <c r="BC187" s="1894">
        <f t="shared" si="67"/>
        <v>0</v>
      </c>
      <c r="BD187" s="1894">
        <v>162</v>
      </c>
      <c r="BE187" s="1894">
        <v>172.32</v>
      </c>
      <c r="BF187" s="1894">
        <v>172.32</v>
      </c>
      <c r="BG187" s="1894">
        <v>0.92269999999999996</v>
      </c>
      <c r="BH187" s="1894">
        <v>18.78</v>
      </c>
      <c r="BI187" s="1894">
        <v>20974</v>
      </c>
      <c r="BJ187" s="1894">
        <f t="shared" si="68"/>
        <v>76924</v>
      </c>
      <c r="BK187" s="1894">
        <f t="shared" si="69"/>
        <v>0</v>
      </c>
      <c r="BL187" s="1894">
        <v>162</v>
      </c>
      <c r="BM187" s="1894">
        <v>23.04</v>
      </c>
      <c r="BN187" s="1894">
        <v>129.6</v>
      </c>
      <c r="BO187" s="1894">
        <v>0.79100000000000004</v>
      </c>
      <c r="BP187" s="1894">
        <v>32.68</v>
      </c>
      <c r="BQ187" s="1894">
        <v>6144</v>
      </c>
      <c r="BR187" s="1894">
        <f t="shared" si="70"/>
        <v>9953</v>
      </c>
      <c r="BS187" s="1894">
        <f t="shared" si="71"/>
        <v>0</v>
      </c>
      <c r="BT187" s="1894">
        <v>162</v>
      </c>
      <c r="BU187" s="1894">
        <v>32.479999999999997</v>
      </c>
      <c r="BV187" s="1894">
        <v>129.6</v>
      </c>
      <c r="BW187" s="1894">
        <v>0.67420000000000002</v>
      </c>
      <c r="BX187" s="1894">
        <v>22.46</v>
      </c>
      <c r="BY187" s="1894">
        <v>5428</v>
      </c>
      <c r="BZ187" s="1894">
        <f t="shared" si="72"/>
        <v>14499</v>
      </c>
      <c r="CA187" s="1894">
        <f t="shared" si="73"/>
        <v>0</v>
      </c>
      <c r="CB187" s="1894">
        <v>162</v>
      </c>
      <c r="CC187" s="1894">
        <v>192.16</v>
      </c>
      <c r="CD187" s="1894">
        <v>192.16</v>
      </c>
      <c r="CE187" s="1894">
        <v>0.95660000000000001</v>
      </c>
      <c r="CF187" s="1894">
        <v>39.369999999999997</v>
      </c>
      <c r="CG187" s="1894">
        <v>56288</v>
      </c>
      <c r="CH187" s="1894">
        <f t="shared" si="74"/>
        <v>85780</v>
      </c>
      <c r="CI187" s="1894">
        <f t="shared" si="75"/>
        <v>0</v>
      </c>
      <c r="CJ187" s="1894">
        <v>162</v>
      </c>
      <c r="CK187" s="1894">
        <v>172</v>
      </c>
      <c r="CL187" s="1894">
        <v>172</v>
      </c>
      <c r="CM187" s="1894">
        <v>0.98399999999999999</v>
      </c>
      <c r="CN187" s="1894">
        <v>49.46</v>
      </c>
      <c r="CO187" s="1894">
        <v>57172</v>
      </c>
      <c r="CP187" s="1894">
        <f t="shared" si="76"/>
        <v>69350</v>
      </c>
      <c r="CQ187" s="1894">
        <f t="shared" si="77"/>
        <v>0</v>
      </c>
      <c r="CR187" s="1924">
        <v>162</v>
      </c>
      <c r="CS187" s="1924">
        <v>207.68</v>
      </c>
      <c r="CT187" s="1924">
        <v>207.68</v>
      </c>
      <c r="CU187" s="1924">
        <v>0.97070000000000001</v>
      </c>
      <c r="CV187" s="1924">
        <v>48.57</v>
      </c>
      <c r="CW187" s="1924">
        <v>75054</v>
      </c>
      <c r="CX187" s="1894">
        <f t="shared" si="78"/>
        <v>92708</v>
      </c>
      <c r="CY187" s="1894">
        <f t="shared" si="79"/>
        <v>0</v>
      </c>
    </row>
    <row r="188" spans="1:103">
      <c r="A188" s="982">
        <v>124000000069</v>
      </c>
      <c r="B188" s="1923">
        <f t="shared" si="80"/>
        <v>182</v>
      </c>
      <c r="C188" s="1895" t="s">
        <v>3074</v>
      </c>
      <c r="D188" s="1894" t="s">
        <v>524</v>
      </c>
      <c r="E188" s="1895" t="s">
        <v>623</v>
      </c>
      <c r="F188" s="1894" t="s">
        <v>259</v>
      </c>
      <c r="G188" s="1924">
        <v>165</v>
      </c>
      <c r="H188" s="1894">
        <v>165</v>
      </c>
      <c r="I188" s="1894">
        <v>64</v>
      </c>
      <c r="J188" s="1894">
        <v>165</v>
      </c>
      <c r="K188" s="1894">
        <v>0.999</v>
      </c>
      <c r="L188" s="1894">
        <v>0</v>
      </c>
      <c r="M188" s="1894">
        <v>21008</v>
      </c>
      <c r="N188" s="1894">
        <f t="shared" si="58"/>
        <v>27648</v>
      </c>
      <c r="O188" s="1894">
        <f t="shared" si="59"/>
        <v>0</v>
      </c>
      <c r="P188" s="1894">
        <v>165</v>
      </c>
      <c r="Q188" s="1894">
        <v>53.2</v>
      </c>
      <c r="R188" s="1894">
        <v>165</v>
      </c>
      <c r="S188" s="1894">
        <v>0.99839999999999995</v>
      </c>
      <c r="T188" s="1894">
        <v>0</v>
      </c>
      <c r="U188" s="1894">
        <v>19918</v>
      </c>
      <c r="V188" s="1894">
        <f t="shared" si="60"/>
        <v>23748</v>
      </c>
      <c r="W188" s="1894">
        <f t="shared" si="61"/>
        <v>0</v>
      </c>
      <c r="X188" s="1894">
        <v>165</v>
      </c>
      <c r="Y188" s="1894">
        <v>53.2</v>
      </c>
      <c r="Z188" s="1894">
        <v>165</v>
      </c>
      <c r="AA188" s="1894">
        <v>0.99770000000000003</v>
      </c>
      <c r="AB188" s="1894">
        <v>0</v>
      </c>
      <c r="AC188" s="1894">
        <v>19014</v>
      </c>
      <c r="AD188" s="1894">
        <f t="shared" si="62"/>
        <v>22982</v>
      </c>
      <c r="AE188" s="1894">
        <f t="shared" si="63"/>
        <v>0</v>
      </c>
      <c r="AF188" s="1894">
        <v>165</v>
      </c>
      <c r="AG188" s="1894">
        <v>50.4</v>
      </c>
      <c r="AH188" s="1894">
        <v>165</v>
      </c>
      <c r="AI188" s="1894">
        <v>0.99870000000000003</v>
      </c>
      <c r="AJ188" s="1894">
        <v>0</v>
      </c>
      <c r="AK188" s="1894">
        <v>20198</v>
      </c>
      <c r="AL188" s="1894">
        <f t="shared" si="83"/>
        <v>22499</v>
      </c>
      <c r="AM188" s="1894">
        <f t="shared" si="84"/>
        <v>0</v>
      </c>
      <c r="AN188" s="1894">
        <v>165</v>
      </c>
      <c r="AO188" s="1894">
        <v>48.8</v>
      </c>
      <c r="AP188" s="1894">
        <v>165</v>
      </c>
      <c r="AQ188" s="1894">
        <v>0.99870000000000003</v>
      </c>
      <c r="AR188" s="1894">
        <v>0</v>
      </c>
      <c r="AS188" s="1894">
        <v>19512</v>
      </c>
      <c r="AT188" s="1894">
        <f t="shared" si="64"/>
        <v>21784</v>
      </c>
      <c r="AU188" s="1894">
        <f t="shared" si="65"/>
        <v>0</v>
      </c>
      <c r="AV188" s="1894">
        <v>165</v>
      </c>
      <c r="AW188" s="1894">
        <v>49.120000000000005</v>
      </c>
      <c r="AX188" s="1894">
        <v>165</v>
      </c>
      <c r="AY188" s="1894">
        <v>0.99870000000000003</v>
      </c>
      <c r="AZ188" s="1894">
        <v>0</v>
      </c>
      <c r="BA188" s="1894">
        <v>17382</v>
      </c>
      <c r="BB188" s="1894">
        <f t="shared" si="66"/>
        <v>21220</v>
      </c>
      <c r="BC188" s="1894">
        <f t="shared" si="67"/>
        <v>0</v>
      </c>
      <c r="BD188" s="1894">
        <v>165</v>
      </c>
      <c r="BE188" s="1894">
        <v>54</v>
      </c>
      <c r="BF188" s="1894">
        <v>165</v>
      </c>
      <c r="BG188" s="1894">
        <v>0.99870000000000003</v>
      </c>
      <c r="BH188" s="1894">
        <v>0</v>
      </c>
      <c r="BI188" s="1894">
        <v>20626</v>
      </c>
      <c r="BJ188" s="1894">
        <f t="shared" si="68"/>
        <v>24106</v>
      </c>
      <c r="BK188" s="1894">
        <f t="shared" si="69"/>
        <v>0</v>
      </c>
      <c r="BL188" s="1894">
        <v>165</v>
      </c>
      <c r="BM188" s="1894">
        <v>46</v>
      </c>
      <c r="BN188" s="1894">
        <v>165</v>
      </c>
      <c r="BO188" s="1894">
        <v>0.99760000000000004</v>
      </c>
      <c r="BP188" s="1894">
        <v>0</v>
      </c>
      <c r="BQ188" s="1894">
        <v>14326</v>
      </c>
      <c r="BR188" s="1894">
        <f t="shared" si="70"/>
        <v>19872</v>
      </c>
      <c r="BS188" s="1894">
        <f t="shared" si="71"/>
        <v>0</v>
      </c>
      <c r="BT188" s="1894">
        <v>165</v>
      </c>
      <c r="BU188" s="1894">
        <v>41.760000000000005</v>
      </c>
      <c r="BV188" s="1894">
        <v>165</v>
      </c>
      <c r="BW188" s="1894">
        <v>0.99539999999999995</v>
      </c>
      <c r="BX188" s="1894">
        <v>0</v>
      </c>
      <c r="BY188" s="1894">
        <v>10660</v>
      </c>
      <c r="BZ188" s="1894">
        <f t="shared" si="72"/>
        <v>18642</v>
      </c>
      <c r="CA188" s="1894">
        <f t="shared" si="73"/>
        <v>0</v>
      </c>
      <c r="CB188" s="1894">
        <v>165</v>
      </c>
      <c r="CC188" s="1894">
        <v>41.28</v>
      </c>
      <c r="CD188" s="1894">
        <v>165</v>
      </c>
      <c r="CE188" s="1894">
        <v>0.99460000000000004</v>
      </c>
      <c r="CF188" s="1894">
        <v>0</v>
      </c>
      <c r="CG188" s="1894">
        <v>8896</v>
      </c>
      <c r="CH188" s="1894">
        <f t="shared" si="74"/>
        <v>18427</v>
      </c>
      <c r="CI188" s="1894">
        <f t="shared" si="75"/>
        <v>0</v>
      </c>
      <c r="CJ188" s="1894">
        <v>165</v>
      </c>
      <c r="CK188" s="1894">
        <v>43.68</v>
      </c>
      <c r="CL188" s="1894">
        <v>165</v>
      </c>
      <c r="CM188" s="1894">
        <v>0.99129999999999996</v>
      </c>
      <c r="CN188" s="1894">
        <v>0</v>
      </c>
      <c r="CO188" s="1894">
        <v>4866</v>
      </c>
      <c r="CP188" s="1894">
        <f t="shared" si="76"/>
        <v>17612</v>
      </c>
      <c r="CQ188" s="1894">
        <f t="shared" si="77"/>
        <v>0</v>
      </c>
      <c r="CR188" s="1924">
        <v>165</v>
      </c>
      <c r="CS188" s="1924">
        <v>70.88</v>
      </c>
      <c r="CT188" s="1924">
        <v>165</v>
      </c>
      <c r="CU188" s="1924">
        <v>0.99639999999999995</v>
      </c>
      <c r="CV188" s="1924">
        <v>0</v>
      </c>
      <c r="CW188" s="1924">
        <v>28744</v>
      </c>
      <c r="CX188" s="1894">
        <f t="shared" si="78"/>
        <v>31641</v>
      </c>
      <c r="CY188" s="1894">
        <f t="shared" si="79"/>
        <v>0</v>
      </c>
    </row>
    <row r="189" spans="1:103">
      <c r="A189" s="982">
        <v>124000000065</v>
      </c>
      <c r="B189" s="1923">
        <f t="shared" si="80"/>
        <v>183</v>
      </c>
      <c r="C189" s="1895" t="s">
        <v>3075</v>
      </c>
      <c r="D189" s="1894" t="s">
        <v>524</v>
      </c>
      <c r="E189" s="1895" t="s">
        <v>636</v>
      </c>
      <c r="F189" s="1894" t="s">
        <v>259</v>
      </c>
      <c r="G189" s="1924">
        <v>165</v>
      </c>
      <c r="H189" s="1894">
        <v>165</v>
      </c>
      <c r="I189" s="1894">
        <v>20</v>
      </c>
      <c r="J189" s="1894">
        <v>132</v>
      </c>
      <c r="K189" s="1894">
        <v>0.98580000000000001</v>
      </c>
      <c r="L189" s="1894">
        <v>41.85</v>
      </c>
      <c r="M189" s="1894">
        <v>6228</v>
      </c>
      <c r="N189" s="1894">
        <f t="shared" si="58"/>
        <v>8640</v>
      </c>
      <c r="O189" s="1894">
        <f t="shared" si="59"/>
        <v>0</v>
      </c>
      <c r="P189" s="1894">
        <v>165</v>
      </c>
      <c r="Q189" s="1894">
        <v>20</v>
      </c>
      <c r="R189" s="1894">
        <v>132</v>
      </c>
      <c r="S189" s="1894">
        <v>0.97619999999999996</v>
      </c>
      <c r="T189" s="1894">
        <v>34.409999999999997</v>
      </c>
      <c r="U189" s="1894">
        <v>4790</v>
      </c>
      <c r="V189" s="1894">
        <f t="shared" si="60"/>
        <v>8928</v>
      </c>
      <c r="W189" s="1894">
        <f t="shared" si="61"/>
        <v>0</v>
      </c>
      <c r="X189" s="1894">
        <v>165</v>
      </c>
      <c r="Y189" s="1894">
        <v>20.2</v>
      </c>
      <c r="Z189" s="1894">
        <v>132</v>
      </c>
      <c r="AA189" s="1894">
        <v>0.97409999999999997</v>
      </c>
      <c r="AB189" s="1894">
        <v>31.67</v>
      </c>
      <c r="AC189" s="1894">
        <v>5528</v>
      </c>
      <c r="AD189" s="1894">
        <f t="shared" si="62"/>
        <v>8726</v>
      </c>
      <c r="AE189" s="1894">
        <f t="shared" si="63"/>
        <v>0</v>
      </c>
      <c r="AF189" s="1894">
        <v>165</v>
      </c>
      <c r="AG189" s="1894">
        <v>16.239999999999998</v>
      </c>
      <c r="AH189" s="1894">
        <v>132</v>
      </c>
      <c r="AI189" s="1894">
        <v>0.9667</v>
      </c>
      <c r="AJ189" s="1894">
        <v>37.659999999999997</v>
      </c>
      <c r="AK189" s="1894">
        <v>3816</v>
      </c>
      <c r="AL189" s="1894">
        <f t="shared" si="83"/>
        <v>7250</v>
      </c>
      <c r="AM189" s="1894">
        <f t="shared" si="84"/>
        <v>0</v>
      </c>
      <c r="AN189" s="1894">
        <v>165</v>
      </c>
      <c r="AO189" s="1894">
        <v>16.48</v>
      </c>
      <c r="AP189" s="1894">
        <v>132</v>
      </c>
      <c r="AQ189" s="1894">
        <v>0.96260000000000001</v>
      </c>
      <c r="AR189" s="1894">
        <v>38.4</v>
      </c>
      <c r="AS189" s="1894">
        <v>4556</v>
      </c>
      <c r="AT189" s="1894">
        <f t="shared" si="64"/>
        <v>7357</v>
      </c>
      <c r="AU189" s="1894">
        <f t="shared" si="65"/>
        <v>0</v>
      </c>
      <c r="AV189" s="1894">
        <v>165</v>
      </c>
      <c r="AW189" s="1894">
        <v>19.760000000000002</v>
      </c>
      <c r="AX189" s="1894">
        <v>132</v>
      </c>
      <c r="AY189" s="1894">
        <v>0.96550000000000002</v>
      </c>
      <c r="AZ189" s="1894">
        <v>33.01</v>
      </c>
      <c r="BA189" s="1894">
        <v>4696</v>
      </c>
      <c r="BB189" s="1894">
        <f t="shared" si="66"/>
        <v>8536</v>
      </c>
      <c r="BC189" s="1894">
        <f t="shared" si="67"/>
        <v>0</v>
      </c>
      <c r="BD189" s="1894">
        <v>165</v>
      </c>
      <c r="BE189" s="1894">
        <v>16.48</v>
      </c>
      <c r="BF189" s="1894">
        <v>132</v>
      </c>
      <c r="BG189" s="1894">
        <v>0.95979999999999999</v>
      </c>
      <c r="BH189" s="1894">
        <v>39.840000000000003</v>
      </c>
      <c r="BI189" s="1894">
        <v>4885</v>
      </c>
      <c r="BJ189" s="1894">
        <f t="shared" si="68"/>
        <v>7357</v>
      </c>
      <c r="BK189" s="1894">
        <f t="shared" si="69"/>
        <v>0</v>
      </c>
      <c r="BL189" s="1894">
        <v>165</v>
      </c>
      <c r="BM189" s="1894">
        <v>44.32</v>
      </c>
      <c r="BN189" s="1894">
        <v>132</v>
      </c>
      <c r="BO189" s="1894">
        <v>0.84919999999999995</v>
      </c>
      <c r="BP189" s="1894">
        <v>9.61</v>
      </c>
      <c r="BQ189" s="1894">
        <v>3170</v>
      </c>
      <c r="BR189" s="1894">
        <f t="shared" si="70"/>
        <v>19146</v>
      </c>
      <c r="BS189" s="1894">
        <f t="shared" si="71"/>
        <v>0</v>
      </c>
      <c r="BT189" s="1894">
        <v>165</v>
      </c>
      <c r="BU189" s="1894">
        <v>10.08</v>
      </c>
      <c r="BV189" s="1894">
        <v>132</v>
      </c>
      <c r="BW189" s="1894">
        <v>0.83489999999999998</v>
      </c>
      <c r="BX189" s="1894">
        <v>41.54</v>
      </c>
      <c r="BY189" s="1894">
        <v>3618</v>
      </c>
      <c r="BZ189" s="1894">
        <f t="shared" si="72"/>
        <v>4500</v>
      </c>
      <c r="CA189" s="1894">
        <f t="shared" si="73"/>
        <v>0</v>
      </c>
      <c r="CB189" s="1894">
        <v>165</v>
      </c>
      <c r="CC189" s="1894">
        <v>10.8</v>
      </c>
      <c r="CD189" s="1894">
        <v>132</v>
      </c>
      <c r="CE189" s="1894">
        <v>0.85099999999999998</v>
      </c>
      <c r="CF189" s="1894">
        <v>38.43</v>
      </c>
      <c r="CG189" s="1894">
        <v>3088</v>
      </c>
      <c r="CH189" s="1894">
        <f t="shared" si="74"/>
        <v>4821</v>
      </c>
      <c r="CI189" s="1894">
        <f t="shared" si="75"/>
        <v>0</v>
      </c>
      <c r="CJ189" s="1894">
        <v>165</v>
      </c>
      <c r="CK189" s="1894">
        <v>10.72</v>
      </c>
      <c r="CL189" s="1894">
        <v>132</v>
      </c>
      <c r="CM189" s="1894">
        <v>0.87350000000000005</v>
      </c>
      <c r="CN189" s="1894">
        <v>40.08</v>
      </c>
      <c r="CO189" s="1894">
        <v>2887</v>
      </c>
      <c r="CP189" s="1894">
        <f t="shared" si="76"/>
        <v>4322</v>
      </c>
      <c r="CQ189" s="1894">
        <f t="shared" si="77"/>
        <v>0</v>
      </c>
      <c r="CR189" s="1924">
        <v>165</v>
      </c>
      <c r="CS189" s="1924">
        <v>11.2</v>
      </c>
      <c r="CT189" s="1924">
        <v>132</v>
      </c>
      <c r="CU189" s="1924">
        <v>0.90149999999999997</v>
      </c>
      <c r="CV189" s="1924">
        <v>40.83</v>
      </c>
      <c r="CW189" s="1924">
        <v>3402</v>
      </c>
      <c r="CX189" s="1894">
        <f t="shared" si="78"/>
        <v>5000</v>
      </c>
      <c r="CY189" s="1894">
        <f t="shared" si="79"/>
        <v>0</v>
      </c>
    </row>
    <row r="190" spans="1:103">
      <c r="A190" s="982">
        <v>121000000091</v>
      </c>
      <c r="B190" s="1923">
        <f t="shared" si="80"/>
        <v>184</v>
      </c>
      <c r="C190" s="1895" t="s">
        <v>3076</v>
      </c>
      <c r="D190" s="1894" t="s">
        <v>524</v>
      </c>
      <c r="E190" s="1895" t="s">
        <v>636</v>
      </c>
      <c r="F190" s="1894" t="s">
        <v>259</v>
      </c>
      <c r="G190" s="1924">
        <v>167</v>
      </c>
      <c r="H190" s="1894">
        <v>167</v>
      </c>
      <c r="I190" s="1894">
        <v>32</v>
      </c>
      <c r="J190" s="1894">
        <v>133.6</v>
      </c>
      <c r="K190" s="1894">
        <v>0.86529999999999996</v>
      </c>
      <c r="L190" s="1894">
        <v>24.24</v>
      </c>
      <c r="M190" s="1894">
        <v>5586</v>
      </c>
      <c r="N190" s="1894">
        <f t="shared" si="58"/>
        <v>13824</v>
      </c>
      <c r="O190" s="1894">
        <f t="shared" si="59"/>
        <v>0</v>
      </c>
      <c r="P190" s="1894">
        <v>167</v>
      </c>
      <c r="Q190" s="1894">
        <v>32</v>
      </c>
      <c r="R190" s="1894">
        <v>133.6</v>
      </c>
      <c r="S190" s="1894">
        <v>0.89570000000000005</v>
      </c>
      <c r="T190" s="1894">
        <v>23.52</v>
      </c>
      <c r="U190" s="1894">
        <v>5600</v>
      </c>
      <c r="V190" s="1894">
        <f t="shared" si="60"/>
        <v>14285</v>
      </c>
      <c r="W190" s="1894">
        <f t="shared" si="61"/>
        <v>0</v>
      </c>
      <c r="X190" s="1894">
        <v>167</v>
      </c>
      <c r="Y190" s="1894">
        <v>35.86</v>
      </c>
      <c r="Z190" s="1894">
        <v>133.6</v>
      </c>
      <c r="AA190" s="1894">
        <v>0.8851</v>
      </c>
      <c r="AB190" s="1894">
        <v>18.43</v>
      </c>
      <c r="AC190" s="1894">
        <v>5440</v>
      </c>
      <c r="AD190" s="1894">
        <f t="shared" si="62"/>
        <v>15492</v>
      </c>
      <c r="AE190" s="1894">
        <f t="shared" si="63"/>
        <v>0</v>
      </c>
      <c r="AF190" s="1894">
        <v>167</v>
      </c>
      <c r="AG190" s="1894">
        <v>41.760000000000005</v>
      </c>
      <c r="AH190" s="1894">
        <v>133.6</v>
      </c>
      <c r="AI190" s="1894">
        <v>0.89290000000000003</v>
      </c>
      <c r="AJ190" s="1894">
        <v>28.34</v>
      </c>
      <c r="AK190" s="1894">
        <v>8238</v>
      </c>
      <c r="AL190" s="1894">
        <f t="shared" si="83"/>
        <v>18642</v>
      </c>
      <c r="AM190" s="1894">
        <f t="shared" si="84"/>
        <v>0</v>
      </c>
      <c r="AN190" s="1894">
        <v>167</v>
      </c>
      <c r="AO190" s="1894">
        <v>48.480000000000004</v>
      </c>
      <c r="AP190" s="1894">
        <v>133.6</v>
      </c>
      <c r="AQ190" s="1894">
        <v>0.87790000000000001</v>
      </c>
      <c r="AR190" s="1894">
        <v>26.71</v>
      </c>
      <c r="AS190" s="1894">
        <v>9944</v>
      </c>
      <c r="AT190" s="1894">
        <f t="shared" si="64"/>
        <v>21641</v>
      </c>
      <c r="AU190" s="1894">
        <f t="shared" si="65"/>
        <v>0</v>
      </c>
      <c r="AV190" s="1894">
        <v>167</v>
      </c>
      <c r="AW190" s="1894">
        <v>50.88</v>
      </c>
      <c r="AX190" s="1894">
        <v>133.6</v>
      </c>
      <c r="AY190" s="1894">
        <v>0.88870000000000005</v>
      </c>
      <c r="AZ190" s="1894">
        <v>25.71</v>
      </c>
      <c r="BA190" s="1894">
        <v>9420</v>
      </c>
      <c r="BB190" s="1894">
        <f t="shared" si="66"/>
        <v>21980</v>
      </c>
      <c r="BC190" s="1894">
        <f t="shared" si="67"/>
        <v>0</v>
      </c>
      <c r="BD190" s="1894">
        <v>167</v>
      </c>
      <c r="BE190" s="1894">
        <v>46.400000000000006</v>
      </c>
      <c r="BF190" s="1894">
        <v>133.6</v>
      </c>
      <c r="BG190" s="1894">
        <v>0.85060000000000002</v>
      </c>
      <c r="BH190" s="1894">
        <v>25.34</v>
      </c>
      <c r="BI190" s="1894">
        <v>8182</v>
      </c>
      <c r="BJ190" s="1894">
        <f t="shared" si="68"/>
        <v>20713</v>
      </c>
      <c r="BK190" s="1894">
        <f t="shared" si="69"/>
        <v>0</v>
      </c>
      <c r="BL190" s="1894">
        <v>167</v>
      </c>
      <c r="BM190" s="1894">
        <v>41.92</v>
      </c>
      <c r="BN190" s="1894">
        <v>133.6</v>
      </c>
      <c r="BO190" s="1894">
        <v>0.79869999999999997</v>
      </c>
      <c r="BP190" s="1894">
        <v>26.45</v>
      </c>
      <c r="BQ190" s="1894">
        <v>8516</v>
      </c>
      <c r="BR190" s="1894">
        <f t="shared" si="70"/>
        <v>18109</v>
      </c>
      <c r="BS190" s="1894">
        <f t="shared" si="71"/>
        <v>0</v>
      </c>
      <c r="BT190" s="1894">
        <v>167</v>
      </c>
      <c r="BU190" s="1894">
        <v>35.839999999999996</v>
      </c>
      <c r="BV190" s="1894">
        <v>133.6</v>
      </c>
      <c r="BW190" s="1894">
        <v>0.79159999999999997</v>
      </c>
      <c r="BX190" s="1894">
        <v>28.67</v>
      </c>
      <c r="BY190" s="1894">
        <v>7892</v>
      </c>
      <c r="BZ190" s="1894">
        <f t="shared" si="72"/>
        <v>15999</v>
      </c>
      <c r="CA190" s="1894">
        <f t="shared" si="73"/>
        <v>0</v>
      </c>
      <c r="CB190" s="1894">
        <v>167</v>
      </c>
      <c r="CC190" s="1894">
        <v>25.44</v>
      </c>
      <c r="CD190" s="1894">
        <v>133.6</v>
      </c>
      <c r="CE190" s="1894">
        <v>0.78210000000000002</v>
      </c>
      <c r="CF190" s="1894">
        <v>35.020000000000003</v>
      </c>
      <c r="CG190" s="1894">
        <v>6628</v>
      </c>
      <c r="CH190" s="1894">
        <f t="shared" si="74"/>
        <v>11356</v>
      </c>
      <c r="CI190" s="1894">
        <f t="shared" si="75"/>
        <v>0</v>
      </c>
      <c r="CJ190" s="1894">
        <v>167</v>
      </c>
      <c r="CK190" s="1894">
        <v>32.96</v>
      </c>
      <c r="CL190" s="1894">
        <v>133.6</v>
      </c>
      <c r="CM190" s="1894">
        <v>0.81399999999999995</v>
      </c>
      <c r="CN190" s="1894">
        <v>29.13</v>
      </c>
      <c r="CO190" s="1894">
        <v>6452</v>
      </c>
      <c r="CP190" s="1894">
        <f t="shared" si="76"/>
        <v>13289</v>
      </c>
      <c r="CQ190" s="1894">
        <f t="shared" si="77"/>
        <v>0</v>
      </c>
      <c r="CR190" s="1924">
        <v>167</v>
      </c>
      <c r="CS190" s="1924">
        <v>38.24</v>
      </c>
      <c r="CT190" s="1924">
        <v>133.6</v>
      </c>
      <c r="CU190" s="1924">
        <v>0.81740000000000002</v>
      </c>
      <c r="CV190" s="1924">
        <v>22.81</v>
      </c>
      <c r="CW190" s="1924">
        <v>5444</v>
      </c>
      <c r="CX190" s="1894">
        <f t="shared" si="78"/>
        <v>17070</v>
      </c>
      <c r="CY190" s="1894">
        <f t="shared" si="79"/>
        <v>0</v>
      </c>
    </row>
    <row r="191" spans="1:103">
      <c r="A191" s="982">
        <v>126000000053</v>
      </c>
      <c r="B191" s="1923">
        <f t="shared" si="80"/>
        <v>185</v>
      </c>
      <c r="C191" s="1895" t="s">
        <v>3077</v>
      </c>
      <c r="D191" s="1894" t="s">
        <v>524</v>
      </c>
      <c r="E191" s="1895" t="s">
        <v>541</v>
      </c>
      <c r="F191" s="1894" t="s">
        <v>259</v>
      </c>
      <c r="G191" s="1924">
        <v>167</v>
      </c>
      <c r="H191" s="1894">
        <v>167</v>
      </c>
      <c r="I191" s="1894">
        <v>98.240000000000009</v>
      </c>
      <c r="J191" s="1894">
        <v>133.6</v>
      </c>
      <c r="K191" s="1894">
        <v>0.99550000000000005</v>
      </c>
      <c r="L191" s="1894">
        <v>1.62</v>
      </c>
      <c r="M191" s="1894">
        <v>1569</v>
      </c>
      <c r="N191" s="1894">
        <f t="shared" si="58"/>
        <v>42440</v>
      </c>
      <c r="O191" s="1894">
        <f t="shared" si="59"/>
        <v>0</v>
      </c>
      <c r="P191" s="1894">
        <v>167</v>
      </c>
      <c r="Q191" s="1894">
        <v>101.84</v>
      </c>
      <c r="R191" s="1894">
        <v>133.6</v>
      </c>
      <c r="S191" s="1894">
        <v>0.98650000000000004</v>
      </c>
      <c r="T191" s="1894">
        <v>20.57</v>
      </c>
      <c r="U191" s="1894">
        <v>15588</v>
      </c>
      <c r="V191" s="1894">
        <f t="shared" si="60"/>
        <v>45461</v>
      </c>
      <c r="W191" s="1894">
        <f t="shared" si="61"/>
        <v>0</v>
      </c>
      <c r="X191" s="1894">
        <v>167</v>
      </c>
      <c r="Y191" s="1894">
        <v>112.55999999999999</v>
      </c>
      <c r="Z191" s="1894">
        <v>133.6</v>
      </c>
      <c r="AA191" s="1894">
        <v>0.92020000000000002</v>
      </c>
      <c r="AB191" s="1894">
        <v>10.55</v>
      </c>
      <c r="AC191" s="1894">
        <v>8548</v>
      </c>
      <c r="AD191" s="1894">
        <f t="shared" si="62"/>
        <v>48626</v>
      </c>
      <c r="AE191" s="1894">
        <f t="shared" si="63"/>
        <v>0</v>
      </c>
      <c r="AF191" s="1894">
        <v>167</v>
      </c>
      <c r="AG191" s="1894">
        <v>47.199999999999996</v>
      </c>
      <c r="AH191" s="1894">
        <v>133.6</v>
      </c>
      <c r="AI191" s="1894">
        <v>0.73499999999999999</v>
      </c>
      <c r="AJ191" s="1894">
        <v>10.4</v>
      </c>
      <c r="AK191" s="1894">
        <v>3653</v>
      </c>
      <c r="AL191" s="1894">
        <f t="shared" si="83"/>
        <v>21070</v>
      </c>
      <c r="AM191" s="1894">
        <f t="shared" si="84"/>
        <v>0</v>
      </c>
      <c r="AN191" s="1894">
        <v>167</v>
      </c>
      <c r="AO191" s="1894">
        <v>46.160000000000004</v>
      </c>
      <c r="AP191" s="1894">
        <v>133.6</v>
      </c>
      <c r="AQ191" s="1894">
        <v>0.79290000000000005</v>
      </c>
      <c r="AR191" s="1894">
        <v>14.57</v>
      </c>
      <c r="AS191" s="1894">
        <v>5004</v>
      </c>
      <c r="AT191" s="1894">
        <f t="shared" si="64"/>
        <v>20606</v>
      </c>
      <c r="AU191" s="1894">
        <f t="shared" si="65"/>
        <v>0</v>
      </c>
      <c r="AV191" s="1894">
        <v>167</v>
      </c>
      <c r="AW191" s="1894">
        <v>51.680000000000007</v>
      </c>
      <c r="AX191" s="1894">
        <v>133.6</v>
      </c>
      <c r="AY191" s="1894">
        <v>0.84499999999999997</v>
      </c>
      <c r="AZ191" s="1894">
        <v>18.02</v>
      </c>
      <c r="BA191" s="1894">
        <v>6706</v>
      </c>
      <c r="BB191" s="1894">
        <f t="shared" si="66"/>
        <v>22326</v>
      </c>
      <c r="BC191" s="1894">
        <f t="shared" si="67"/>
        <v>0</v>
      </c>
      <c r="BD191" s="1894">
        <v>167</v>
      </c>
      <c r="BE191" s="1894">
        <v>105.11999999999999</v>
      </c>
      <c r="BF191" s="1894">
        <v>133.6</v>
      </c>
      <c r="BG191" s="1894">
        <v>0.93920000000000003</v>
      </c>
      <c r="BH191" s="1894">
        <v>15.73</v>
      </c>
      <c r="BI191" s="1894">
        <v>12300</v>
      </c>
      <c r="BJ191" s="1894">
        <f t="shared" si="68"/>
        <v>46926</v>
      </c>
      <c r="BK191" s="1894">
        <f t="shared" si="69"/>
        <v>0</v>
      </c>
      <c r="BL191" s="1894">
        <v>167</v>
      </c>
      <c r="BM191" s="1894">
        <v>109.52</v>
      </c>
      <c r="BN191" s="1894">
        <v>133.6</v>
      </c>
      <c r="BO191" s="1894">
        <v>0.99990000000000001</v>
      </c>
      <c r="BP191" s="1894">
        <v>29.94</v>
      </c>
      <c r="BQ191" s="1894">
        <v>23611</v>
      </c>
      <c r="BR191" s="1894">
        <f t="shared" si="70"/>
        <v>47313</v>
      </c>
      <c r="BS191" s="1894">
        <f t="shared" si="71"/>
        <v>0</v>
      </c>
      <c r="BT191" s="1894">
        <v>167</v>
      </c>
      <c r="BU191" s="1894">
        <v>117.28</v>
      </c>
      <c r="BV191" s="1894">
        <v>133.6</v>
      </c>
      <c r="BW191" s="1894">
        <v>0.99990000000000001</v>
      </c>
      <c r="BX191" s="1894">
        <v>24.83</v>
      </c>
      <c r="BY191" s="1894">
        <v>21670</v>
      </c>
      <c r="BZ191" s="1894">
        <f t="shared" si="72"/>
        <v>52354</v>
      </c>
      <c r="CA191" s="1894">
        <f t="shared" si="73"/>
        <v>0</v>
      </c>
      <c r="CB191" s="1894">
        <v>167</v>
      </c>
      <c r="CC191" s="1894">
        <v>126.64</v>
      </c>
      <c r="CD191" s="1894">
        <v>133.6</v>
      </c>
      <c r="CE191" s="1894">
        <v>0.99790000000000001</v>
      </c>
      <c r="CF191" s="1894">
        <v>27.77</v>
      </c>
      <c r="CG191" s="1894">
        <v>26162</v>
      </c>
      <c r="CH191" s="1894">
        <f t="shared" si="74"/>
        <v>56532</v>
      </c>
      <c r="CI191" s="1894">
        <f t="shared" si="75"/>
        <v>0</v>
      </c>
      <c r="CJ191" s="1894">
        <v>167</v>
      </c>
      <c r="CK191" s="1894">
        <v>120.32000000000001</v>
      </c>
      <c r="CL191" s="1894">
        <v>133.6</v>
      </c>
      <c r="CM191" s="1894">
        <v>0.99990000000000001</v>
      </c>
      <c r="CN191" s="1894">
        <v>25.61</v>
      </c>
      <c r="CO191" s="1894">
        <v>20703</v>
      </c>
      <c r="CP191" s="1894">
        <f t="shared" si="76"/>
        <v>48513</v>
      </c>
      <c r="CQ191" s="1894">
        <f t="shared" si="77"/>
        <v>0</v>
      </c>
      <c r="CR191" s="1924">
        <v>167</v>
      </c>
      <c r="CS191" s="1924">
        <v>56.64</v>
      </c>
      <c r="CT191" s="1924">
        <v>133.6</v>
      </c>
      <c r="CU191" s="1924">
        <v>0.99980000000000002</v>
      </c>
      <c r="CV191" s="1924">
        <v>23.9</v>
      </c>
      <c r="CW191" s="1924">
        <v>10071</v>
      </c>
      <c r="CX191" s="1894">
        <f t="shared" si="78"/>
        <v>25284</v>
      </c>
      <c r="CY191" s="1894">
        <f t="shared" si="79"/>
        <v>0</v>
      </c>
    </row>
    <row r="192" spans="1:103">
      <c r="A192" s="982">
        <v>614000000004</v>
      </c>
      <c r="B192" s="1923">
        <f t="shared" si="80"/>
        <v>186</v>
      </c>
      <c r="C192" s="1895" t="s">
        <v>3078</v>
      </c>
      <c r="D192" s="1894" t="s">
        <v>524</v>
      </c>
      <c r="E192" s="1895" t="s">
        <v>636</v>
      </c>
      <c r="F192" s="1894" t="s">
        <v>259</v>
      </c>
      <c r="G192" s="1924">
        <v>167</v>
      </c>
      <c r="H192" s="1894">
        <v>0</v>
      </c>
      <c r="I192" s="1894">
        <v>0</v>
      </c>
      <c r="J192" s="1894">
        <v>0</v>
      </c>
      <c r="K192" s="1894">
        <v>0</v>
      </c>
      <c r="L192" s="1894">
        <v>0</v>
      </c>
      <c r="M192" s="1894">
        <v>0</v>
      </c>
      <c r="N192" s="1894">
        <f t="shared" si="58"/>
        <v>0</v>
      </c>
      <c r="O192" s="1894">
        <f t="shared" si="59"/>
        <v>0</v>
      </c>
      <c r="P192" s="1894">
        <v>0</v>
      </c>
      <c r="Q192" s="1894">
        <v>0</v>
      </c>
      <c r="R192" s="1894">
        <v>0</v>
      </c>
      <c r="S192" s="1894">
        <v>0</v>
      </c>
      <c r="T192" s="1894">
        <v>0</v>
      </c>
      <c r="U192" s="1894">
        <v>0</v>
      </c>
      <c r="V192" s="1894">
        <f t="shared" si="60"/>
        <v>0</v>
      </c>
      <c r="W192" s="1894">
        <f t="shared" si="61"/>
        <v>0</v>
      </c>
      <c r="X192" s="1894">
        <v>0</v>
      </c>
      <c r="Y192" s="1894">
        <v>0</v>
      </c>
      <c r="Z192" s="1894">
        <v>0</v>
      </c>
      <c r="AA192" s="1894">
        <v>0</v>
      </c>
      <c r="AB192" s="1894">
        <v>0</v>
      </c>
      <c r="AC192" s="1894">
        <v>0</v>
      </c>
      <c r="AD192" s="1894">
        <f t="shared" si="62"/>
        <v>0</v>
      </c>
      <c r="AE192" s="1894">
        <f t="shared" si="63"/>
        <v>0</v>
      </c>
      <c r="AF192" s="1894">
        <v>0</v>
      </c>
      <c r="AG192" s="1894">
        <v>0</v>
      </c>
      <c r="AH192" s="1894">
        <v>0</v>
      </c>
      <c r="AI192" s="1894">
        <v>0</v>
      </c>
      <c r="AJ192" s="1894">
        <v>0</v>
      </c>
      <c r="AK192" s="1894">
        <v>0</v>
      </c>
      <c r="AL192" s="1894">
        <f t="shared" si="83"/>
        <v>0</v>
      </c>
      <c r="AM192" s="1894">
        <f t="shared" si="84"/>
        <v>0</v>
      </c>
      <c r="AN192" s="1894">
        <v>0</v>
      </c>
      <c r="AO192" s="1894">
        <v>0</v>
      </c>
      <c r="AP192" s="1894">
        <v>0</v>
      </c>
      <c r="AQ192" s="1894">
        <v>0</v>
      </c>
      <c r="AR192" s="1894">
        <v>0</v>
      </c>
      <c r="AS192" s="1894">
        <v>0</v>
      </c>
      <c r="AT192" s="1894">
        <f t="shared" si="64"/>
        <v>0</v>
      </c>
      <c r="AU192" s="1894">
        <f t="shared" si="65"/>
        <v>0</v>
      </c>
      <c r="AV192" s="1894">
        <v>0</v>
      </c>
      <c r="AW192" s="1894">
        <v>0</v>
      </c>
      <c r="AX192" s="1894">
        <v>0</v>
      </c>
      <c r="AY192" s="1894">
        <v>0</v>
      </c>
      <c r="AZ192" s="1894">
        <v>0</v>
      </c>
      <c r="BA192" s="1894">
        <v>0</v>
      </c>
      <c r="BB192" s="1894">
        <f t="shared" si="66"/>
        <v>0</v>
      </c>
      <c r="BC192" s="1894">
        <f t="shared" si="67"/>
        <v>0</v>
      </c>
      <c r="BD192" s="1894">
        <v>0</v>
      </c>
      <c r="BE192" s="1894">
        <v>0</v>
      </c>
      <c r="BF192" s="1894">
        <v>0</v>
      </c>
      <c r="BG192" s="1894">
        <v>0</v>
      </c>
      <c r="BH192" s="1894">
        <v>0</v>
      </c>
      <c r="BI192" s="1894">
        <v>0</v>
      </c>
      <c r="BJ192" s="1894">
        <f t="shared" si="68"/>
        <v>0</v>
      </c>
      <c r="BK192" s="1894">
        <f t="shared" si="69"/>
        <v>0</v>
      </c>
      <c r="BL192" s="1894">
        <v>167</v>
      </c>
      <c r="BM192" s="1894">
        <v>51.72</v>
      </c>
      <c r="BN192" s="1894">
        <v>133.6</v>
      </c>
      <c r="BO192" s="1894">
        <v>0.98140000000000005</v>
      </c>
      <c r="BP192" s="1894">
        <v>24.12</v>
      </c>
      <c r="BQ192" s="1894">
        <v>10478</v>
      </c>
      <c r="BR192" s="1894">
        <f t="shared" si="70"/>
        <v>22343</v>
      </c>
      <c r="BS192" s="1894">
        <f t="shared" si="71"/>
        <v>0</v>
      </c>
      <c r="BT192" s="1894">
        <v>167</v>
      </c>
      <c r="BU192" s="1894">
        <v>40.44</v>
      </c>
      <c r="BV192" s="1894">
        <v>133.6</v>
      </c>
      <c r="BW192" s="1894">
        <v>0.99419999999999997</v>
      </c>
      <c r="BX192" s="1894">
        <v>33.81</v>
      </c>
      <c r="BY192" s="1894">
        <v>10173</v>
      </c>
      <c r="BZ192" s="1894">
        <f t="shared" si="72"/>
        <v>18052</v>
      </c>
      <c r="CA192" s="1894">
        <f t="shared" si="73"/>
        <v>0</v>
      </c>
      <c r="CB192" s="1894">
        <v>167</v>
      </c>
      <c r="CC192" s="1894">
        <v>40.559999999999995</v>
      </c>
      <c r="CD192" s="1894">
        <v>133.6</v>
      </c>
      <c r="CE192" s="1894">
        <v>0.99550000000000005</v>
      </c>
      <c r="CF192" s="1894">
        <v>30.77</v>
      </c>
      <c r="CG192" s="1894">
        <v>9284</v>
      </c>
      <c r="CH192" s="1894">
        <f t="shared" si="74"/>
        <v>18106</v>
      </c>
      <c r="CI192" s="1894">
        <f t="shared" si="75"/>
        <v>0</v>
      </c>
      <c r="CJ192" s="1894">
        <v>167</v>
      </c>
      <c r="CK192" s="1894">
        <v>51.000000000000007</v>
      </c>
      <c r="CL192" s="1894">
        <v>133.6</v>
      </c>
      <c r="CM192" s="1894">
        <v>0.99770000000000003</v>
      </c>
      <c r="CN192" s="1894">
        <v>31.47</v>
      </c>
      <c r="CO192" s="1894">
        <v>10785</v>
      </c>
      <c r="CP192" s="1894">
        <f t="shared" si="76"/>
        <v>20563</v>
      </c>
      <c r="CQ192" s="1894">
        <f t="shared" si="77"/>
        <v>0</v>
      </c>
      <c r="CR192" s="1924">
        <v>167</v>
      </c>
      <c r="CS192" s="1924">
        <v>57.36</v>
      </c>
      <c r="CT192" s="1924">
        <v>133.6</v>
      </c>
      <c r="CU192" s="1924">
        <v>0.999</v>
      </c>
      <c r="CV192" s="1924">
        <v>32.590000000000003</v>
      </c>
      <c r="CW192" s="1924">
        <v>13908</v>
      </c>
      <c r="CX192" s="1894">
        <f t="shared" si="78"/>
        <v>25606</v>
      </c>
      <c r="CY192" s="1894">
        <f t="shared" si="79"/>
        <v>0</v>
      </c>
    </row>
    <row r="193" spans="1:103">
      <c r="A193" s="982">
        <v>615000000050</v>
      </c>
      <c r="B193" s="1923">
        <f t="shared" si="80"/>
        <v>187</v>
      </c>
      <c r="C193" s="1895" t="s">
        <v>3079</v>
      </c>
      <c r="D193" s="1894" t="s">
        <v>524</v>
      </c>
      <c r="E193" s="1895" t="s">
        <v>541</v>
      </c>
      <c r="F193" s="1894" t="s">
        <v>259</v>
      </c>
      <c r="G193" s="1924">
        <v>167</v>
      </c>
      <c r="H193" s="1894">
        <v>167</v>
      </c>
      <c r="I193" s="1894">
        <v>204.64000000000001</v>
      </c>
      <c r="J193" s="1894">
        <v>204.64</v>
      </c>
      <c r="K193" s="1894">
        <v>0.85170000000000001</v>
      </c>
      <c r="L193" s="1894">
        <v>26.37</v>
      </c>
      <c r="M193" s="1894">
        <v>37551</v>
      </c>
      <c r="N193" s="1894">
        <f t="shared" si="58"/>
        <v>88404</v>
      </c>
      <c r="O193" s="1894">
        <f t="shared" si="59"/>
        <v>0</v>
      </c>
      <c r="P193" s="1894">
        <v>167</v>
      </c>
      <c r="Q193" s="1894">
        <v>207.6</v>
      </c>
      <c r="R193" s="1894">
        <v>207.6</v>
      </c>
      <c r="S193" s="1894">
        <v>0.84199999999999997</v>
      </c>
      <c r="T193" s="1894">
        <v>27</v>
      </c>
      <c r="U193" s="1894">
        <v>40359</v>
      </c>
      <c r="V193" s="1894">
        <f t="shared" si="60"/>
        <v>92673</v>
      </c>
      <c r="W193" s="1894">
        <f t="shared" si="61"/>
        <v>0</v>
      </c>
      <c r="X193" s="1894">
        <v>167</v>
      </c>
      <c r="Y193" s="1894">
        <v>215.35999999999999</v>
      </c>
      <c r="Z193" s="1894">
        <v>215.36</v>
      </c>
      <c r="AA193" s="1894">
        <v>0.8478</v>
      </c>
      <c r="AB193" s="1894">
        <v>23.31</v>
      </c>
      <c r="AC193" s="1894">
        <v>42169</v>
      </c>
      <c r="AD193" s="1894">
        <f t="shared" si="62"/>
        <v>93036</v>
      </c>
      <c r="AE193" s="1894">
        <f t="shared" si="63"/>
        <v>0</v>
      </c>
      <c r="AF193" s="1894">
        <v>167</v>
      </c>
      <c r="AG193" s="1894">
        <v>211.68</v>
      </c>
      <c r="AH193" s="1894">
        <v>211.68</v>
      </c>
      <c r="AI193" s="1894">
        <v>0.85570000000000002</v>
      </c>
      <c r="AJ193" s="1894">
        <v>26.15</v>
      </c>
      <c r="AK193" s="1894">
        <v>41184</v>
      </c>
      <c r="AL193" s="1894">
        <f t="shared" si="83"/>
        <v>94494</v>
      </c>
      <c r="AM193" s="1894">
        <f t="shared" si="84"/>
        <v>0</v>
      </c>
      <c r="AN193" s="1894">
        <v>167</v>
      </c>
      <c r="AO193" s="1894">
        <v>224.40000000000003</v>
      </c>
      <c r="AP193" s="1894">
        <v>224.4</v>
      </c>
      <c r="AQ193" s="1894">
        <v>0.84589999999999999</v>
      </c>
      <c r="AR193" s="1894">
        <v>30.07</v>
      </c>
      <c r="AS193" s="1894">
        <v>50201</v>
      </c>
      <c r="AT193" s="1894">
        <f t="shared" si="64"/>
        <v>100172</v>
      </c>
      <c r="AU193" s="1894">
        <f t="shared" si="65"/>
        <v>0</v>
      </c>
      <c r="AV193" s="1894">
        <v>167</v>
      </c>
      <c r="AW193" s="1894">
        <v>211.44</v>
      </c>
      <c r="AX193" s="1894">
        <v>211.44</v>
      </c>
      <c r="AY193" s="1894">
        <v>0.82669999999999999</v>
      </c>
      <c r="AZ193" s="1894">
        <v>33.5</v>
      </c>
      <c r="BA193" s="1894">
        <v>50997</v>
      </c>
      <c r="BB193" s="1894">
        <f t="shared" si="66"/>
        <v>91342</v>
      </c>
      <c r="BC193" s="1894">
        <f t="shared" si="67"/>
        <v>0</v>
      </c>
      <c r="BD193" s="1894">
        <v>167</v>
      </c>
      <c r="BE193" s="1894">
        <v>223.28</v>
      </c>
      <c r="BF193" s="1894">
        <v>223.28</v>
      </c>
      <c r="BG193" s="1894">
        <v>0.82020000000000004</v>
      </c>
      <c r="BH193" s="1894">
        <v>30.19</v>
      </c>
      <c r="BI193" s="1894">
        <v>50153</v>
      </c>
      <c r="BJ193" s="1894">
        <f t="shared" si="68"/>
        <v>99672</v>
      </c>
      <c r="BK193" s="1894">
        <f t="shared" si="69"/>
        <v>0</v>
      </c>
      <c r="BL193" s="1894">
        <v>167</v>
      </c>
      <c r="BM193" s="1894">
        <v>211.52</v>
      </c>
      <c r="BN193" s="1894">
        <v>211.52</v>
      </c>
      <c r="BO193" s="1894">
        <v>0.80030000000000001</v>
      </c>
      <c r="BP193" s="1894">
        <v>27.28</v>
      </c>
      <c r="BQ193" s="1894">
        <v>41553</v>
      </c>
      <c r="BR193" s="1894">
        <f t="shared" si="70"/>
        <v>91377</v>
      </c>
      <c r="BS193" s="1894">
        <f t="shared" si="71"/>
        <v>0</v>
      </c>
      <c r="BT193" s="1894">
        <v>167</v>
      </c>
      <c r="BU193" s="1894">
        <v>209.76</v>
      </c>
      <c r="BV193" s="1894">
        <v>209.76</v>
      </c>
      <c r="BW193" s="1894">
        <v>0.81</v>
      </c>
      <c r="BX193" s="1894">
        <v>27.42</v>
      </c>
      <c r="BY193" s="1894">
        <v>42786</v>
      </c>
      <c r="BZ193" s="1894">
        <f t="shared" si="72"/>
        <v>93637</v>
      </c>
      <c r="CA193" s="1894">
        <f t="shared" si="73"/>
        <v>0</v>
      </c>
      <c r="CB193" s="1894">
        <v>167</v>
      </c>
      <c r="CC193" s="1894">
        <v>208.64</v>
      </c>
      <c r="CD193" s="1894">
        <v>208.64</v>
      </c>
      <c r="CE193" s="1894">
        <v>0.82699999999999996</v>
      </c>
      <c r="CF193" s="1894">
        <v>10.42</v>
      </c>
      <c r="CG193" s="1894">
        <v>16179</v>
      </c>
      <c r="CH193" s="1894">
        <f t="shared" si="74"/>
        <v>93137</v>
      </c>
      <c r="CI193" s="1894">
        <f t="shared" si="75"/>
        <v>0</v>
      </c>
      <c r="CJ193" s="1894">
        <v>167</v>
      </c>
      <c r="CK193" s="1894">
        <v>5.2</v>
      </c>
      <c r="CL193" s="1894">
        <v>133.6</v>
      </c>
      <c r="CM193" s="1894">
        <v>0.4325</v>
      </c>
      <c r="CN193" s="1894">
        <v>65.36</v>
      </c>
      <c r="CO193" s="1894">
        <v>2284</v>
      </c>
      <c r="CP193" s="1894">
        <f t="shared" si="76"/>
        <v>2097</v>
      </c>
      <c r="CQ193" s="1894">
        <f t="shared" si="77"/>
        <v>187</v>
      </c>
      <c r="CR193" s="1924">
        <v>167</v>
      </c>
      <c r="CS193" s="1924">
        <v>14.16</v>
      </c>
      <c r="CT193" s="1924">
        <v>133.6</v>
      </c>
      <c r="CU193" s="1924">
        <v>0.47199999999999998</v>
      </c>
      <c r="CV193" s="1924">
        <v>26.48</v>
      </c>
      <c r="CW193" s="1924">
        <v>2790</v>
      </c>
      <c r="CX193" s="1894">
        <f t="shared" si="78"/>
        <v>6321</v>
      </c>
      <c r="CY193" s="1894">
        <f t="shared" si="79"/>
        <v>0</v>
      </c>
    </row>
    <row r="194" spans="1:103">
      <c r="A194" s="982">
        <v>614000000007</v>
      </c>
      <c r="B194" s="1923">
        <f t="shared" si="80"/>
        <v>188</v>
      </c>
      <c r="C194" s="1895" t="s">
        <v>3080</v>
      </c>
      <c r="D194" s="1894" t="s">
        <v>613</v>
      </c>
      <c r="E194" s="1895" t="s">
        <v>641</v>
      </c>
      <c r="F194" s="1894" t="s">
        <v>259</v>
      </c>
      <c r="G194" s="1924">
        <v>167</v>
      </c>
      <c r="H194" s="1894">
        <v>0</v>
      </c>
      <c r="I194" s="1894">
        <v>0</v>
      </c>
      <c r="J194" s="1894">
        <v>0</v>
      </c>
      <c r="K194" s="1894">
        <v>0</v>
      </c>
      <c r="L194" s="1894">
        <v>0</v>
      </c>
      <c r="M194" s="1894">
        <v>0</v>
      </c>
      <c r="N194" s="1894">
        <f t="shared" si="58"/>
        <v>0</v>
      </c>
      <c r="O194" s="1894">
        <f t="shared" si="59"/>
        <v>0</v>
      </c>
      <c r="P194" s="1894">
        <v>0</v>
      </c>
      <c r="Q194" s="1894">
        <v>0</v>
      </c>
      <c r="R194" s="1894">
        <v>0</v>
      </c>
      <c r="S194" s="1894">
        <v>0</v>
      </c>
      <c r="T194" s="1894">
        <v>0</v>
      </c>
      <c r="U194" s="1894">
        <v>0</v>
      </c>
      <c r="V194" s="1894">
        <f t="shared" si="60"/>
        <v>0</v>
      </c>
      <c r="W194" s="1894">
        <f t="shared" si="61"/>
        <v>0</v>
      </c>
      <c r="X194" s="1894">
        <v>0</v>
      </c>
      <c r="Y194" s="1894">
        <v>0</v>
      </c>
      <c r="Z194" s="1894">
        <v>0</v>
      </c>
      <c r="AA194" s="1894">
        <v>0</v>
      </c>
      <c r="AB194" s="1894">
        <v>0</v>
      </c>
      <c r="AC194" s="1894">
        <v>0</v>
      </c>
      <c r="AD194" s="1894">
        <f t="shared" si="62"/>
        <v>0</v>
      </c>
      <c r="AE194" s="1894">
        <f t="shared" si="63"/>
        <v>0</v>
      </c>
      <c r="AF194" s="1894">
        <v>0</v>
      </c>
      <c r="AG194" s="1894">
        <v>0</v>
      </c>
      <c r="AH194" s="1894">
        <v>0</v>
      </c>
      <c r="AI194" s="1894">
        <v>0</v>
      </c>
      <c r="AJ194" s="1894">
        <v>0</v>
      </c>
      <c r="AK194" s="1894">
        <v>0</v>
      </c>
      <c r="AL194" s="1894">
        <f t="shared" si="83"/>
        <v>0</v>
      </c>
      <c r="AM194" s="1894">
        <f t="shared" si="84"/>
        <v>0</v>
      </c>
      <c r="AN194" s="1894">
        <v>0</v>
      </c>
      <c r="AO194" s="1894">
        <v>0</v>
      </c>
      <c r="AP194" s="1894">
        <v>0</v>
      </c>
      <c r="AQ194" s="1894">
        <v>0</v>
      </c>
      <c r="AR194" s="1894">
        <v>0</v>
      </c>
      <c r="AS194" s="1894">
        <v>0</v>
      </c>
      <c r="AT194" s="1894">
        <f t="shared" si="64"/>
        <v>0</v>
      </c>
      <c r="AU194" s="1894">
        <f t="shared" si="65"/>
        <v>0</v>
      </c>
      <c r="AV194" s="1894">
        <v>0</v>
      </c>
      <c r="AW194" s="1894">
        <v>0</v>
      </c>
      <c r="AX194" s="1894">
        <v>0</v>
      </c>
      <c r="AY194" s="1894">
        <v>0</v>
      </c>
      <c r="AZ194" s="1894">
        <v>0</v>
      </c>
      <c r="BA194" s="1894">
        <v>0</v>
      </c>
      <c r="BB194" s="1894">
        <f t="shared" si="66"/>
        <v>0</v>
      </c>
      <c r="BC194" s="1894">
        <f t="shared" si="67"/>
        <v>0</v>
      </c>
      <c r="BD194" s="1894">
        <v>0</v>
      </c>
      <c r="BE194" s="1894">
        <v>0</v>
      </c>
      <c r="BF194" s="1894">
        <v>0</v>
      </c>
      <c r="BG194" s="1894">
        <v>0</v>
      </c>
      <c r="BH194" s="1894">
        <v>0</v>
      </c>
      <c r="BI194" s="1894">
        <v>0</v>
      </c>
      <c r="BJ194" s="1894">
        <f t="shared" si="68"/>
        <v>0</v>
      </c>
      <c r="BK194" s="1894">
        <f t="shared" si="69"/>
        <v>0</v>
      </c>
      <c r="BL194" s="1894">
        <v>0</v>
      </c>
      <c r="BM194" s="1894">
        <v>0</v>
      </c>
      <c r="BN194" s="1894">
        <v>0</v>
      </c>
      <c r="BO194" s="1894">
        <v>0</v>
      </c>
      <c r="BP194" s="1894">
        <v>0</v>
      </c>
      <c r="BQ194" s="1894">
        <v>0</v>
      </c>
      <c r="BR194" s="1894">
        <f t="shared" si="70"/>
        <v>0</v>
      </c>
      <c r="BS194" s="1894">
        <f t="shared" si="71"/>
        <v>0</v>
      </c>
      <c r="BT194" s="1894">
        <v>0</v>
      </c>
      <c r="BU194" s="1894">
        <v>0</v>
      </c>
      <c r="BV194" s="1894">
        <v>0</v>
      </c>
      <c r="BW194" s="1894">
        <v>0</v>
      </c>
      <c r="BX194" s="1894">
        <v>0</v>
      </c>
      <c r="BY194" s="1894">
        <v>0</v>
      </c>
      <c r="BZ194" s="1894">
        <f t="shared" si="72"/>
        <v>0</v>
      </c>
      <c r="CA194" s="1894">
        <f t="shared" si="73"/>
        <v>0</v>
      </c>
      <c r="CB194" s="1894">
        <v>0</v>
      </c>
      <c r="CC194" s="1894">
        <v>0</v>
      </c>
      <c r="CD194" s="1894">
        <v>0</v>
      </c>
      <c r="CE194" s="1894">
        <v>0</v>
      </c>
      <c r="CF194" s="1894">
        <v>0</v>
      </c>
      <c r="CG194" s="1894">
        <v>0</v>
      </c>
      <c r="CH194" s="1894">
        <f t="shared" si="74"/>
        <v>0</v>
      </c>
      <c r="CI194" s="1894">
        <f t="shared" si="75"/>
        <v>0</v>
      </c>
      <c r="CJ194" s="1894">
        <v>0</v>
      </c>
      <c r="CK194" s="1894">
        <v>0</v>
      </c>
      <c r="CL194" s="1894">
        <v>0</v>
      </c>
      <c r="CM194" s="1894">
        <v>0</v>
      </c>
      <c r="CN194" s="1894">
        <v>0</v>
      </c>
      <c r="CO194" s="1894">
        <v>0</v>
      </c>
      <c r="CP194" s="1894">
        <f t="shared" si="76"/>
        <v>0</v>
      </c>
      <c r="CQ194" s="1894">
        <f t="shared" si="77"/>
        <v>0</v>
      </c>
      <c r="CR194" s="1924">
        <v>167</v>
      </c>
      <c r="CS194" s="1924">
        <v>143.30000000000001</v>
      </c>
      <c r="CT194" s="1924">
        <v>141</v>
      </c>
      <c r="CU194" s="1924">
        <v>0.99219999999999997</v>
      </c>
      <c r="CV194" s="1924">
        <v>15.97</v>
      </c>
      <c r="CW194" s="1924">
        <v>13514</v>
      </c>
      <c r="CX194" s="1894">
        <f t="shared" si="78"/>
        <v>63969</v>
      </c>
      <c r="CY194" s="1894">
        <f t="shared" si="79"/>
        <v>0</v>
      </c>
    </row>
    <row r="195" spans="1:103">
      <c r="A195" s="982">
        <v>121000000096</v>
      </c>
      <c r="B195" s="1923">
        <f t="shared" si="80"/>
        <v>189</v>
      </c>
      <c r="C195" s="1895" t="s">
        <v>3081</v>
      </c>
      <c r="D195" s="1894" t="s">
        <v>524</v>
      </c>
      <c r="E195" s="1895" t="s">
        <v>2966</v>
      </c>
      <c r="F195" s="1894" t="s">
        <v>259</v>
      </c>
      <c r="G195" s="1924">
        <v>167</v>
      </c>
      <c r="H195" s="1894">
        <v>167</v>
      </c>
      <c r="I195" s="1894">
        <v>126.72000000000001</v>
      </c>
      <c r="J195" s="1894">
        <v>167</v>
      </c>
      <c r="K195" s="1894">
        <v>0.83620000000000005</v>
      </c>
      <c r="L195" s="1894">
        <v>0</v>
      </c>
      <c r="M195" s="1894">
        <v>18472</v>
      </c>
      <c r="N195" s="1894">
        <f t="shared" si="58"/>
        <v>54743</v>
      </c>
      <c r="O195" s="1894">
        <f t="shared" si="59"/>
        <v>0</v>
      </c>
      <c r="P195" s="1894">
        <v>167</v>
      </c>
      <c r="Q195" s="1894">
        <v>140.32</v>
      </c>
      <c r="R195" s="1894">
        <v>167</v>
      </c>
      <c r="S195" s="1894">
        <v>0.82850000000000001</v>
      </c>
      <c r="T195" s="1894">
        <v>0</v>
      </c>
      <c r="U195" s="1894">
        <v>23687</v>
      </c>
      <c r="V195" s="1894">
        <f t="shared" si="60"/>
        <v>62639</v>
      </c>
      <c r="W195" s="1894">
        <f t="shared" si="61"/>
        <v>0</v>
      </c>
      <c r="X195" s="1894">
        <v>167</v>
      </c>
      <c r="Y195" s="1894">
        <v>121.68</v>
      </c>
      <c r="Z195" s="1894">
        <v>167</v>
      </c>
      <c r="AA195" s="1894">
        <v>0.83289999999999997</v>
      </c>
      <c r="AB195" s="1894">
        <v>0</v>
      </c>
      <c r="AC195" s="1894">
        <v>36183</v>
      </c>
      <c r="AD195" s="1894">
        <f t="shared" si="62"/>
        <v>52566</v>
      </c>
      <c r="AE195" s="1894">
        <f t="shared" si="63"/>
        <v>0</v>
      </c>
      <c r="AF195" s="1894">
        <v>167</v>
      </c>
      <c r="AG195" s="1894">
        <v>70.8</v>
      </c>
      <c r="AH195" s="1894">
        <v>167</v>
      </c>
      <c r="AI195" s="1894">
        <v>0.73170000000000002</v>
      </c>
      <c r="AJ195" s="1894">
        <v>0</v>
      </c>
      <c r="AK195" s="1894">
        <v>8650</v>
      </c>
      <c r="AL195" s="1894">
        <f t="shared" si="83"/>
        <v>31605</v>
      </c>
      <c r="AM195" s="1894">
        <f t="shared" si="84"/>
        <v>0</v>
      </c>
      <c r="AN195" s="1894">
        <v>167</v>
      </c>
      <c r="AO195" s="1894">
        <v>57.28</v>
      </c>
      <c r="AP195" s="1894">
        <v>167</v>
      </c>
      <c r="AQ195" s="1894">
        <v>0.67989999999999995</v>
      </c>
      <c r="AR195" s="1894">
        <v>0</v>
      </c>
      <c r="AS195" s="1894">
        <v>8376</v>
      </c>
      <c r="AT195" s="1894">
        <f t="shared" si="64"/>
        <v>25570</v>
      </c>
      <c r="AU195" s="1894">
        <f t="shared" si="65"/>
        <v>0</v>
      </c>
      <c r="AV195" s="1894">
        <v>167</v>
      </c>
      <c r="AW195" s="1894">
        <v>120.8</v>
      </c>
      <c r="AX195" s="1894">
        <v>167</v>
      </c>
      <c r="AY195" s="1894">
        <v>0.77329999999999999</v>
      </c>
      <c r="AZ195" s="1894">
        <v>0</v>
      </c>
      <c r="BA195" s="1894">
        <v>14915</v>
      </c>
      <c r="BB195" s="1894">
        <f t="shared" si="66"/>
        <v>52186</v>
      </c>
      <c r="BC195" s="1894">
        <f t="shared" si="67"/>
        <v>0</v>
      </c>
      <c r="BD195" s="1894">
        <v>167</v>
      </c>
      <c r="BE195" s="1894">
        <v>165.2</v>
      </c>
      <c r="BF195" s="1894">
        <v>167</v>
      </c>
      <c r="BG195" s="1894">
        <v>0.77229999999999999</v>
      </c>
      <c r="BH195" s="1894">
        <v>0</v>
      </c>
      <c r="BI195" s="1894">
        <v>53894</v>
      </c>
      <c r="BJ195" s="1894">
        <f t="shared" si="68"/>
        <v>73745</v>
      </c>
      <c r="BK195" s="1894">
        <f t="shared" si="69"/>
        <v>0</v>
      </c>
      <c r="BL195" s="1894">
        <v>167</v>
      </c>
      <c r="BM195" s="1894">
        <v>111.11999999999999</v>
      </c>
      <c r="BN195" s="1894">
        <v>167</v>
      </c>
      <c r="BO195" s="1894">
        <v>0.66420000000000001</v>
      </c>
      <c r="BP195" s="1894">
        <v>0</v>
      </c>
      <c r="BQ195" s="1894">
        <v>8756</v>
      </c>
      <c r="BR195" s="1894">
        <f t="shared" si="70"/>
        <v>48004</v>
      </c>
      <c r="BS195" s="1894">
        <f t="shared" si="71"/>
        <v>0</v>
      </c>
      <c r="BT195" s="1894">
        <v>167</v>
      </c>
      <c r="BU195" s="1894">
        <v>7.3599999999999994</v>
      </c>
      <c r="BV195" s="1894">
        <v>167</v>
      </c>
      <c r="BW195" s="1894">
        <v>0.32269999999999999</v>
      </c>
      <c r="BX195" s="1894">
        <v>0</v>
      </c>
      <c r="BY195" s="1894">
        <v>1881</v>
      </c>
      <c r="BZ195" s="1894">
        <f t="shared" si="72"/>
        <v>3286</v>
      </c>
      <c r="CA195" s="1894">
        <f t="shared" si="73"/>
        <v>0</v>
      </c>
      <c r="CB195" s="1894">
        <v>167</v>
      </c>
      <c r="CC195" s="1894">
        <v>18.48</v>
      </c>
      <c r="CD195" s="1894">
        <v>167</v>
      </c>
      <c r="CE195" s="1894">
        <v>0.35870000000000002</v>
      </c>
      <c r="CF195" s="1894">
        <v>0</v>
      </c>
      <c r="CG195" s="1894">
        <v>2849</v>
      </c>
      <c r="CH195" s="1894">
        <f t="shared" si="74"/>
        <v>8249</v>
      </c>
      <c r="CI195" s="1894">
        <f t="shared" si="75"/>
        <v>0</v>
      </c>
      <c r="CJ195" s="1894">
        <v>167</v>
      </c>
      <c r="CK195" s="1894">
        <v>59.919999999999995</v>
      </c>
      <c r="CL195" s="1894">
        <v>167</v>
      </c>
      <c r="CM195" s="1894">
        <v>0.68030000000000002</v>
      </c>
      <c r="CN195" s="1894">
        <v>0</v>
      </c>
      <c r="CO195" s="1894">
        <v>9864</v>
      </c>
      <c r="CP195" s="1894">
        <f t="shared" si="76"/>
        <v>24160</v>
      </c>
      <c r="CQ195" s="1894">
        <f t="shared" si="77"/>
        <v>0</v>
      </c>
      <c r="CR195" s="1924">
        <v>167</v>
      </c>
      <c r="CS195" s="1924">
        <v>165.68</v>
      </c>
      <c r="CT195" s="1924">
        <v>167</v>
      </c>
      <c r="CU195" s="1924">
        <v>0.77039999999999997</v>
      </c>
      <c r="CV195" s="1924">
        <v>0</v>
      </c>
      <c r="CW195" s="1924">
        <v>36621</v>
      </c>
      <c r="CX195" s="1894">
        <f t="shared" si="78"/>
        <v>73960</v>
      </c>
      <c r="CY195" s="1894">
        <f t="shared" si="79"/>
        <v>0</v>
      </c>
    </row>
    <row r="196" spans="1:103">
      <c r="A196" s="982">
        <v>121000000095</v>
      </c>
      <c r="B196" s="1923">
        <f t="shared" si="80"/>
        <v>190</v>
      </c>
      <c r="C196" s="1895" t="s">
        <v>3082</v>
      </c>
      <c r="D196" s="1894" t="s">
        <v>524</v>
      </c>
      <c r="E196" s="1895" t="s">
        <v>2966</v>
      </c>
      <c r="F196" s="1894" t="s">
        <v>259</v>
      </c>
      <c r="G196" s="1924">
        <v>167</v>
      </c>
      <c r="H196" s="1894">
        <v>167</v>
      </c>
      <c r="I196" s="1894">
        <v>53.2</v>
      </c>
      <c r="J196" s="1894">
        <v>167</v>
      </c>
      <c r="K196" s="1894">
        <v>0.34229999999999999</v>
      </c>
      <c r="L196" s="1894">
        <v>0</v>
      </c>
      <c r="M196" s="1894">
        <v>11159</v>
      </c>
      <c r="N196" s="1894">
        <f t="shared" si="58"/>
        <v>22982</v>
      </c>
      <c r="O196" s="1894">
        <f t="shared" si="59"/>
        <v>0</v>
      </c>
      <c r="P196" s="1894">
        <v>167</v>
      </c>
      <c r="Q196" s="1894">
        <v>90.32</v>
      </c>
      <c r="R196" s="1894">
        <v>167</v>
      </c>
      <c r="S196" s="1894">
        <v>0.79979999999999996</v>
      </c>
      <c r="T196" s="1894">
        <v>0</v>
      </c>
      <c r="U196" s="1894">
        <v>11866</v>
      </c>
      <c r="V196" s="1894">
        <f t="shared" si="60"/>
        <v>40319</v>
      </c>
      <c r="W196" s="1894">
        <f t="shared" si="61"/>
        <v>0</v>
      </c>
      <c r="X196" s="1894">
        <v>167</v>
      </c>
      <c r="Y196" s="1894">
        <v>114.39999999999999</v>
      </c>
      <c r="Z196" s="1894">
        <v>167</v>
      </c>
      <c r="AA196" s="1894">
        <v>0.94750000000000001</v>
      </c>
      <c r="AB196" s="1894">
        <v>0</v>
      </c>
      <c r="AC196" s="1894">
        <v>33971</v>
      </c>
      <c r="AD196" s="1894">
        <f t="shared" si="62"/>
        <v>49421</v>
      </c>
      <c r="AE196" s="1894">
        <f t="shared" si="63"/>
        <v>0</v>
      </c>
      <c r="AF196" s="1894">
        <v>167</v>
      </c>
      <c r="AG196" s="1894">
        <v>78.56</v>
      </c>
      <c r="AH196" s="1894">
        <v>167</v>
      </c>
      <c r="AI196" s="1894">
        <v>0.86319999999999997</v>
      </c>
      <c r="AJ196" s="1894">
        <v>0</v>
      </c>
      <c r="AK196" s="1894">
        <v>16149</v>
      </c>
      <c r="AL196" s="1894">
        <f t="shared" si="83"/>
        <v>35069</v>
      </c>
      <c r="AM196" s="1894">
        <f t="shared" si="84"/>
        <v>0</v>
      </c>
      <c r="AN196" s="1894">
        <v>167</v>
      </c>
      <c r="AO196" s="1894">
        <v>22</v>
      </c>
      <c r="AP196" s="1894">
        <v>167</v>
      </c>
      <c r="AQ196" s="1894">
        <v>0.29170000000000001</v>
      </c>
      <c r="AR196" s="1894">
        <v>0</v>
      </c>
      <c r="AS196" s="1894">
        <v>5165</v>
      </c>
      <c r="AT196" s="1894">
        <f t="shared" si="64"/>
        <v>9821</v>
      </c>
      <c r="AU196" s="1894">
        <f t="shared" si="65"/>
        <v>0</v>
      </c>
      <c r="AV196" s="1894">
        <v>167</v>
      </c>
      <c r="AW196" s="1894">
        <v>15.440000000000001</v>
      </c>
      <c r="AX196" s="1894">
        <v>167</v>
      </c>
      <c r="AY196" s="1894">
        <v>0.245</v>
      </c>
      <c r="AZ196" s="1894">
        <v>0</v>
      </c>
      <c r="BA196" s="1894">
        <v>3517</v>
      </c>
      <c r="BB196" s="1894">
        <f t="shared" si="66"/>
        <v>6670</v>
      </c>
      <c r="BC196" s="1894">
        <f t="shared" si="67"/>
        <v>0</v>
      </c>
      <c r="BD196" s="1894">
        <v>167</v>
      </c>
      <c r="BE196" s="1894">
        <v>18.8</v>
      </c>
      <c r="BF196" s="1894">
        <v>167</v>
      </c>
      <c r="BG196" s="1894">
        <v>0.1212</v>
      </c>
      <c r="BH196" s="1894">
        <v>0</v>
      </c>
      <c r="BI196" s="1894">
        <v>6101</v>
      </c>
      <c r="BJ196" s="1894">
        <f t="shared" si="68"/>
        <v>8392</v>
      </c>
      <c r="BK196" s="1894">
        <f t="shared" si="69"/>
        <v>0</v>
      </c>
      <c r="BL196" s="1894">
        <v>167</v>
      </c>
      <c r="BM196" s="1894">
        <v>33.839999999999996</v>
      </c>
      <c r="BN196" s="1894">
        <v>167</v>
      </c>
      <c r="BO196" s="1894">
        <v>0.30809999999999998</v>
      </c>
      <c r="BP196" s="1894">
        <v>0</v>
      </c>
      <c r="BQ196" s="1894">
        <v>7854</v>
      </c>
      <c r="BR196" s="1894">
        <f t="shared" si="70"/>
        <v>14619</v>
      </c>
      <c r="BS196" s="1894">
        <f t="shared" si="71"/>
        <v>0</v>
      </c>
      <c r="BT196" s="1894">
        <v>167</v>
      </c>
      <c r="BU196" s="1894">
        <v>18.8</v>
      </c>
      <c r="BV196" s="1894">
        <v>167</v>
      </c>
      <c r="BW196" s="1894">
        <v>0.15260000000000001</v>
      </c>
      <c r="BX196" s="1894">
        <v>0</v>
      </c>
      <c r="BY196" s="1894">
        <v>5183</v>
      </c>
      <c r="BZ196" s="1894">
        <f t="shared" si="72"/>
        <v>8392</v>
      </c>
      <c r="CA196" s="1894">
        <f t="shared" si="73"/>
        <v>0</v>
      </c>
      <c r="CB196" s="1894">
        <v>167</v>
      </c>
      <c r="CC196" s="1894">
        <v>38.64</v>
      </c>
      <c r="CD196" s="1894">
        <v>167</v>
      </c>
      <c r="CE196" s="1894">
        <v>0.60860000000000003</v>
      </c>
      <c r="CF196" s="1894">
        <v>0</v>
      </c>
      <c r="CG196" s="1894">
        <v>5913</v>
      </c>
      <c r="CH196" s="1894">
        <f t="shared" si="74"/>
        <v>17249</v>
      </c>
      <c r="CI196" s="1894">
        <f t="shared" si="75"/>
        <v>0</v>
      </c>
      <c r="CJ196" s="1894">
        <v>167</v>
      </c>
      <c r="CK196" s="1894">
        <v>121.68</v>
      </c>
      <c r="CL196" s="1894">
        <v>167</v>
      </c>
      <c r="CM196" s="1894">
        <v>0.81950000000000001</v>
      </c>
      <c r="CN196" s="1894">
        <v>0</v>
      </c>
      <c r="CO196" s="1894">
        <v>13558</v>
      </c>
      <c r="CP196" s="1894">
        <f t="shared" si="76"/>
        <v>49061</v>
      </c>
      <c r="CQ196" s="1894">
        <f t="shared" si="77"/>
        <v>0</v>
      </c>
      <c r="CR196" s="1924">
        <v>167</v>
      </c>
      <c r="CS196" s="1924">
        <v>122</v>
      </c>
      <c r="CT196" s="1924">
        <v>167</v>
      </c>
      <c r="CU196" s="1924">
        <v>0.97140000000000004</v>
      </c>
      <c r="CV196" s="1924">
        <v>0</v>
      </c>
      <c r="CW196" s="1924">
        <v>25542</v>
      </c>
      <c r="CX196" s="1894">
        <f t="shared" si="78"/>
        <v>54461</v>
      </c>
      <c r="CY196" s="1894">
        <f t="shared" si="79"/>
        <v>0</v>
      </c>
    </row>
    <row r="197" spans="1:103">
      <c r="A197" s="982">
        <v>124000000067</v>
      </c>
      <c r="B197" s="1923">
        <f t="shared" si="80"/>
        <v>191</v>
      </c>
      <c r="C197" s="1895" t="s">
        <v>3083</v>
      </c>
      <c r="D197" s="1894" t="s">
        <v>524</v>
      </c>
      <c r="E197" s="1895" t="s">
        <v>636</v>
      </c>
      <c r="F197" s="1894" t="s">
        <v>259</v>
      </c>
      <c r="G197" s="1924">
        <v>167</v>
      </c>
      <c r="H197" s="1894">
        <v>167</v>
      </c>
      <c r="I197" s="1894">
        <v>42.199999999999996</v>
      </c>
      <c r="J197" s="1894">
        <v>133.6</v>
      </c>
      <c r="K197" s="1894">
        <v>0.98540000000000005</v>
      </c>
      <c r="L197" s="1894">
        <v>42.38</v>
      </c>
      <c r="M197" s="1894">
        <v>15023</v>
      </c>
      <c r="N197" s="1894">
        <f t="shared" si="58"/>
        <v>18230</v>
      </c>
      <c r="O197" s="1894">
        <f t="shared" si="59"/>
        <v>0</v>
      </c>
      <c r="P197" s="1894">
        <v>167</v>
      </c>
      <c r="Q197" s="1894">
        <v>42</v>
      </c>
      <c r="R197" s="1894">
        <v>133.6</v>
      </c>
      <c r="S197" s="1894">
        <v>0.97919999999999996</v>
      </c>
      <c r="T197" s="1894">
        <v>38.07</v>
      </c>
      <c r="U197" s="1894">
        <v>9977</v>
      </c>
      <c r="V197" s="1894">
        <f t="shared" si="60"/>
        <v>18749</v>
      </c>
      <c r="W197" s="1894">
        <f t="shared" si="61"/>
        <v>0</v>
      </c>
      <c r="X197" s="1894">
        <v>167</v>
      </c>
      <c r="Y197" s="1894">
        <v>41.04</v>
      </c>
      <c r="Z197" s="1894">
        <v>133.6</v>
      </c>
      <c r="AA197" s="1894">
        <v>0.95369999999999999</v>
      </c>
      <c r="AB197" s="1894">
        <v>31.54</v>
      </c>
      <c r="AC197" s="1894">
        <v>9941</v>
      </c>
      <c r="AD197" s="1894">
        <f t="shared" si="62"/>
        <v>17729</v>
      </c>
      <c r="AE197" s="1894">
        <f t="shared" si="63"/>
        <v>0</v>
      </c>
      <c r="AF197" s="1894">
        <v>167</v>
      </c>
      <c r="AG197" s="1894">
        <v>44.080000000000005</v>
      </c>
      <c r="AH197" s="1894">
        <v>133.6</v>
      </c>
      <c r="AI197" s="1894">
        <v>0.97219999999999995</v>
      </c>
      <c r="AJ197" s="1894">
        <v>24.32</v>
      </c>
      <c r="AK197" s="1894">
        <v>7461</v>
      </c>
      <c r="AL197" s="1894">
        <f t="shared" si="83"/>
        <v>19677</v>
      </c>
      <c r="AM197" s="1894">
        <f t="shared" si="84"/>
        <v>0</v>
      </c>
      <c r="AN197" s="1894">
        <v>167</v>
      </c>
      <c r="AO197" s="1894">
        <v>30.8</v>
      </c>
      <c r="AP197" s="1894">
        <v>133.6</v>
      </c>
      <c r="AQ197" s="1894">
        <v>0.97689999999999999</v>
      </c>
      <c r="AR197" s="1894">
        <v>19.190000000000001</v>
      </c>
      <c r="AS197" s="1894">
        <v>4256</v>
      </c>
      <c r="AT197" s="1894">
        <f t="shared" si="64"/>
        <v>13749</v>
      </c>
      <c r="AU197" s="1894">
        <f t="shared" si="65"/>
        <v>0</v>
      </c>
      <c r="AV197" s="1894">
        <v>167</v>
      </c>
      <c r="AW197" s="1894">
        <v>44</v>
      </c>
      <c r="AX197" s="1894">
        <v>133.6</v>
      </c>
      <c r="AY197" s="1894">
        <v>0.99050000000000005</v>
      </c>
      <c r="AZ197" s="1894">
        <v>32.11</v>
      </c>
      <c r="BA197" s="1894">
        <v>10850</v>
      </c>
      <c r="BB197" s="1894">
        <f t="shared" si="66"/>
        <v>19008</v>
      </c>
      <c r="BC197" s="1894">
        <f t="shared" si="67"/>
        <v>0</v>
      </c>
      <c r="BD197" s="1894">
        <v>167</v>
      </c>
      <c r="BE197" s="1894">
        <v>48.480000000000004</v>
      </c>
      <c r="BF197" s="1894">
        <v>133.6</v>
      </c>
      <c r="BG197" s="1894">
        <v>0.99009999999999998</v>
      </c>
      <c r="BH197" s="1894">
        <v>43.41</v>
      </c>
      <c r="BI197" s="1894">
        <v>14648</v>
      </c>
      <c r="BJ197" s="1894">
        <f t="shared" si="68"/>
        <v>21641</v>
      </c>
      <c r="BK197" s="1894">
        <f t="shared" si="69"/>
        <v>0</v>
      </c>
      <c r="BL197" s="1894">
        <v>167</v>
      </c>
      <c r="BM197" s="1894">
        <v>40.64</v>
      </c>
      <c r="BN197" s="1894">
        <v>133.6</v>
      </c>
      <c r="BO197" s="1894">
        <v>0.9869</v>
      </c>
      <c r="BP197" s="1894">
        <v>49.93</v>
      </c>
      <c r="BQ197" s="1894">
        <v>15096</v>
      </c>
      <c r="BR197" s="1894">
        <f t="shared" si="70"/>
        <v>17556</v>
      </c>
      <c r="BS197" s="1894">
        <f t="shared" si="71"/>
        <v>0</v>
      </c>
      <c r="BT197" s="1894">
        <v>167</v>
      </c>
      <c r="BU197" s="1894">
        <v>41.52</v>
      </c>
      <c r="BV197" s="1894">
        <v>133.6</v>
      </c>
      <c r="BW197" s="1894">
        <v>0.98419999999999996</v>
      </c>
      <c r="BX197" s="1894">
        <v>51.47</v>
      </c>
      <c r="BY197" s="1894">
        <v>18464</v>
      </c>
      <c r="BZ197" s="1894">
        <f t="shared" si="72"/>
        <v>18535</v>
      </c>
      <c r="CA197" s="1894">
        <f t="shared" si="73"/>
        <v>0</v>
      </c>
      <c r="CB197" s="1894">
        <v>167</v>
      </c>
      <c r="CC197" s="1894">
        <v>45.839999999999996</v>
      </c>
      <c r="CD197" s="1894">
        <v>133.6</v>
      </c>
      <c r="CE197" s="1894">
        <v>0.9859</v>
      </c>
      <c r="CF197" s="1894">
        <v>44.96</v>
      </c>
      <c r="CG197" s="1894">
        <v>15335</v>
      </c>
      <c r="CH197" s="1894">
        <f t="shared" si="74"/>
        <v>20463</v>
      </c>
      <c r="CI197" s="1894">
        <f t="shared" si="75"/>
        <v>0</v>
      </c>
      <c r="CJ197" s="1894">
        <v>167</v>
      </c>
      <c r="CK197" s="1894">
        <v>39.04</v>
      </c>
      <c r="CL197" s="1894">
        <v>133.6</v>
      </c>
      <c r="CM197" s="1894">
        <v>0.98460000000000003</v>
      </c>
      <c r="CN197" s="1894">
        <v>48.95</v>
      </c>
      <c r="CO197" s="1894">
        <v>12842</v>
      </c>
      <c r="CP197" s="1894">
        <f t="shared" si="76"/>
        <v>15741</v>
      </c>
      <c r="CQ197" s="1894">
        <f t="shared" si="77"/>
        <v>0</v>
      </c>
      <c r="CR197" s="1924">
        <v>167</v>
      </c>
      <c r="CS197" s="1924">
        <v>38.479999999999997</v>
      </c>
      <c r="CT197" s="1924">
        <v>133.6</v>
      </c>
      <c r="CU197" s="1924">
        <v>0.98519999999999996</v>
      </c>
      <c r="CV197" s="1924">
        <v>27.92</v>
      </c>
      <c r="CW197" s="1924">
        <v>7992</v>
      </c>
      <c r="CX197" s="1894">
        <f t="shared" si="78"/>
        <v>17177</v>
      </c>
      <c r="CY197" s="1894">
        <f t="shared" si="79"/>
        <v>0</v>
      </c>
    </row>
    <row r="198" spans="1:103">
      <c r="A198" s="982">
        <v>611000000124</v>
      </c>
      <c r="B198" s="1923">
        <f t="shared" si="80"/>
        <v>192</v>
      </c>
      <c r="C198" s="1895" t="s">
        <v>3084</v>
      </c>
      <c r="D198" s="1894" t="s">
        <v>524</v>
      </c>
      <c r="E198" s="1895" t="s">
        <v>636</v>
      </c>
      <c r="F198" s="1894" t="s">
        <v>259</v>
      </c>
      <c r="G198" s="1924">
        <v>167</v>
      </c>
      <c r="H198" s="1894">
        <v>0</v>
      </c>
      <c r="I198" s="1894">
        <v>0</v>
      </c>
      <c r="J198" s="1894">
        <v>0</v>
      </c>
      <c r="K198" s="1894">
        <v>0</v>
      </c>
      <c r="L198" s="1894">
        <v>0</v>
      </c>
      <c r="M198" s="1894">
        <v>0</v>
      </c>
      <c r="N198" s="1894">
        <f t="shared" si="58"/>
        <v>0</v>
      </c>
      <c r="O198" s="1894">
        <f t="shared" si="59"/>
        <v>0</v>
      </c>
      <c r="P198" s="1894">
        <v>0</v>
      </c>
      <c r="Q198" s="1894">
        <v>0</v>
      </c>
      <c r="R198" s="1894">
        <v>0</v>
      </c>
      <c r="S198" s="1894">
        <v>0</v>
      </c>
      <c r="T198" s="1894">
        <v>0</v>
      </c>
      <c r="U198" s="1894">
        <v>0</v>
      </c>
      <c r="V198" s="1894">
        <f t="shared" si="60"/>
        <v>0</v>
      </c>
      <c r="W198" s="1894">
        <f t="shared" si="61"/>
        <v>0</v>
      </c>
      <c r="X198" s="1894">
        <v>0</v>
      </c>
      <c r="Y198" s="1894">
        <v>0</v>
      </c>
      <c r="Z198" s="1894">
        <v>0</v>
      </c>
      <c r="AA198" s="1894">
        <v>0</v>
      </c>
      <c r="AB198" s="1894">
        <v>0</v>
      </c>
      <c r="AC198" s="1894">
        <v>0</v>
      </c>
      <c r="AD198" s="1894">
        <f t="shared" si="62"/>
        <v>0</v>
      </c>
      <c r="AE198" s="1894">
        <f t="shared" si="63"/>
        <v>0</v>
      </c>
      <c r="AF198" s="1894">
        <v>0</v>
      </c>
      <c r="AG198" s="1894">
        <v>0</v>
      </c>
      <c r="AH198" s="1894">
        <v>0</v>
      </c>
      <c r="AI198" s="1894">
        <v>0</v>
      </c>
      <c r="AJ198" s="1894">
        <v>0</v>
      </c>
      <c r="AK198" s="1894">
        <v>0</v>
      </c>
      <c r="AL198" s="1894">
        <f t="shared" si="83"/>
        <v>0</v>
      </c>
      <c r="AM198" s="1894">
        <f t="shared" si="84"/>
        <v>0</v>
      </c>
      <c r="AN198" s="1894">
        <v>0</v>
      </c>
      <c r="AO198" s="1894">
        <v>0</v>
      </c>
      <c r="AP198" s="1894">
        <v>0</v>
      </c>
      <c r="AQ198" s="1894">
        <v>0</v>
      </c>
      <c r="AR198" s="1894">
        <v>0</v>
      </c>
      <c r="AS198" s="1894">
        <v>0</v>
      </c>
      <c r="AT198" s="1894">
        <f t="shared" si="64"/>
        <v>0</v>
      </c>
      <c r="AU198" s="1894">
        <f t="shared" si="65"/>
        <v>0</v>
      </c>
      <c r="AV198" s="1894">
        <v>0</v>
      </c>
      <c r="AW198" s="1894">
        <v>0</v>
      </c>
      <c r="AX198" s="1894">
        <v>0</v>
      </c>
      <c r="AY198" s="1894">
        <v>0</v>
      </c>
      <c r="AZ198" s="1894">
        <v>0</v>
      </c>
      <c r="BA198" s="1894">
        <v>0</v>
      </c>
      <c r="BB198" s="1894">
        <f t="shared" si="66"/>
        <v>0</v>
      </c>
      <c r="BC198" s="1894">
        <f t="shared" si="67"/>
        <v>0</v>
      </c>
      <c r="BD198" s="1894">
        <v>0</v>
      </c>
      <c r="BE198" s="1894">
        <v>0</v>
      </c>
      <c r="BF198" s="1894">
        <v>0</v>
      </c>
      <c r="BG198" s="1894">
        <v>0</v>
      </c>
      <c r="BH198" s="1894">
        <v>0</v>
      </c>
      <c r="BI198" s="1894">
        <v>0</v>
      </c>
      <c r="BJ198" s="1894">
        <f t="shared" si="68"/>
        <v>0</v>
      </c>
      <c r="BK198" s="1894">
        <f t="shared" si="69"/>
        <v>0</v>
      </c>
      <c r="BL198" s="1894">
        <v>0</v>
      </c>
      <c r="BM198" s="1894">
        <v>0</v>
      </c>
      <c r="BN198" s="1894">
        <v>0</v>
      </c>
      <c r="BO198" s="1894">
        <v>0</v>
      </c>
      <c r="BP198" s="1894">
        <v>0</v>
      </c>
      <c r="BQ198" s="1894">
        <v>0</v>
      </c>
      <c r="BR198" s="1894">
        <f t="shared" si="70"/>
        <v>0</v>
      </c>
      <c r="BS198" s="1894">
        <f t="shared" si="71"/>
        <v>0</v>
      </c>
      <c r="BT198" s="1894">
        <v>0</v>
      </c>
      <c r="BU198" s="1894">
        <v>0</v>
      </c>
      <c r="BV198" s="1894">
        <v>0</v>
      </c>
      <c r="BW198" s="1894">
        <v>0</v>
      </c>
      <c r="BX198" s="1894">
        <v>0</v>
      </c>
      <c r="BY198" s="1894">
        <v>0</v>
      </c>
      <c r="BZ198" s="1894">
        <f t="shared" si="72"/>
        <v>0</v>
      </c>
      <c r="CA198" s="1894">
        <f t="shared" si="73"/>
        <v>0</v>
      </c>
      <c r="CB198" s="1894">
        <v>167</v>
      </c>
      <c r="CC198" s="1894">
        <v>3.7199999999999998</v>
      </c>
      <c r="CD198" s="1894">
        <v>133.6</v>
      </c>
      <c r="CE198" s="1894">
        <v>0.625</v>
      </c>
      <c r="CF198" s="1894">
        <v>52.16</v>
      </c>
      <c r="CG198" s="1894">
        <v>1304</v>
      </c>
      <c r="CH198" s="1894">
        <f t="shared" si="74"/>
        <v>1661</v>
      </c>
      <c r="CI198" s="1894">
        <f t="shared" si="75"/>
        <v>0</v>
      </c>
      <c r="CJ198" s="1894">
        <v>167</v>
      </c>
      <c r="CK198" s="1894">
        <v>3.6</v>
      </c>
      <c r="CL198" s="1894">
        <v>133.6</v>
      </c>
      <c r="CM198" s="1894">
        <v>0.62960000000000005</v>
      </c>
      <c r="CN198" s="1894">
        <v>53.9</v>
      </c>
      <c r="CO198" s="1894">
        <v>1304</v>
      </c>
      <c r="CP198" s="1894">
        <f t="shared" si="76"/>
        <v>1452</v>
      </c>
      <c r="CQ198" s="1894">
        <f t="shared" si="77"/>
        <v>0</v>
      </c>
      <c r="CR198" s="1924">
        <v>167</v>
      </c>
      <c r="CS198" s="1924">
        <v>3.8400000000000003</v>
      </c>
      <c r="CT198" s="1924">
        <v>133.6</v>
      </c>
      <c r="CU198" s="1924">
        <v>0.66449999999999998</v>
      </c>
      <c r="CV198" s="1924">
        <v>50.19</v>
      </c>
      <c r="CW198" s="1924">
        <v>1434</v>
      </c>
      <c r="CX198" s="1894">
        <f t="shared" si="78"/>
        <v>1714</v>
      </c>
      <c r="CY198" s="1894">
        <f t="shared" si="79"/>
        <v>0</v>
      </c>
    </row>
    <row r="199" spans="1:103">
      <c r="A199" s="982">
        <v>622000000205</v>
      </c>
      <c r="B199" s="1923">
        <f t="shared" si="80"/>
        <v>193</v>
      </c>
      <c r="C199" s="1895" t="s">
        <v>3085</v>
      </c>
      <c r="D199" s="1894" t="s">
        <v>524</v>
      </c>
      <c r="E199" s="1895" t="s">
        <v>636</v>
      </c>
      <c r="F199" s="1894" t="s">
        <v>259</v>
      </c>
      <c r="G199" s="1924">
        <v>167</v>
      </c>
      <c r="H199" s="1894">
        <v>167</v>
      </c>
      <c r="I199" s="1894">
        <v>5.4399999999999995</v>
      </c>
      <c r="J199" s="1894">
        <v>133.6</v>
      </c>
      <c r="K199" s="1894">
        <v>0.85529999999999995</v>
      </c>
      <c r="L199" s="1894">
        <v>44.61</v>
      </c>
      <c r="M199" s="1894">
        <v>1922</v>
      </c>
      <c r="N199" s="1894">
        <f t="shared" ref="N199:N262" si="85">+ROUND((24*30*0.6*I199),0)</f>
        <v>2350</v>
      </c>
      <c r="O199" s="1894">
        <f t="shared" ref="O199:O262" si="86">+MAX((M199-N199),0)</f>
        <v>0</v>
      </c>
      <c r="P199" s="1894">
        <v>167</v>
      </c>
      <c r="Q199" s="1894">
        <v>5.28</v>
      </c>
      <c r="R199" s="1894">
        <v>133.6</v>
      </c>
      <c r="S199" s="1894">
        <v>0.83330000000000004</v>
      </c>
      <c r="T199" s="1894">
        <v>44.9</v>
      </c>
      <c r="U199" s="1894">
        <v>1764</v>
      </c>
      <c r="V199" s="1894">
        <f t="shared" ref="V199:V262" si="87">+ROUND((24*31*0.6*Q199),0)</f>
        <v>2357</v>
      </c>
      <c r="W199" s="1894">
        <f t="shared" ref="W199:W262" si="88">+MAX((U199-V199),0)</f>
        <v>0</v>
      </c>
      <c r="X199" s="1894">
        <v>167</v>
      </c>
      <c r="Y199" s="1894">
        <v>7.5200000000000005</v>
      </c>
      <c r="Z199" s="1894">
        <v>133.6</v>
      </c>
      <c r="AA199" s="1894">
        <v>0.66620000000000001</v>
      </c>
      <c r="AB199" s="1894">
        <v>29.55</v>
      </c>
      <c r="AC199" s="1894">
        <v>1600</v>
      </c>
      <c r="AD199" s="1894">
        <f t="shared" ref="AD199:AD262" si="89">+ROUND((24*30*0.6*Y199),0)</f>
        <v>3249</v>
      </c>
      <c r="AE199" s="1894">
        <f t="shared" ref="AE199:AE262" si="90">+MAX((AC199-AD199),0)</f>
        <v>0</v>
      </c>
      <c r="AF199" s="1894">
        <v>167</v>
      </c>
      <c r="AG199" s="1894">
        <v>6.2399999999999993</v>
      </c>
      <c r="AH199" s="1894">
        <v>133.6</v>
      </c>
      <c r="AI199" s="1894">
        <v>0.61860000000000004</v>
      </c>
      <c r="AJ199" s="1894">
        <v>31.41</v>
      </c>
      <c r="AK199" s="1894">
        <v>1458</v>
      </c>
      <c r="AL199" s="1894">
        <f t="shared" si="83"/>
        <v>2786</v>
      </c>
      <c r="AM199" s="1894">
        <f t="shared" si="84"/>
        <v>0</v>
      </c>
      <c r="AN199" s="1894">
        <v>167</v>
      </c>
      <c r="AO199" s="1894">
        <v>5.28</v>
      </c>
      <c r="AP199" s="1894">
        <v>133.6</v>
      </c>
      <c r="AQ199" s="1894">
        <v>0.53249999999999997</v>
      </c>
      <c r="AR199" s="1894">
        <v>41.49</v>
      </c>
      <c r="AS199" s="1894">
        <v>1630</v>
      </c>
      <c r="AT199" s="1894">
        <f t="shared" ref="AT199:AT262" si="91">+ROUND((24*31*0.6*AO199),0)</f>
        <v>2357</v>
      </c>
      <c r="AU199" s="1894">
        <f t="shared" ref="AU199:AU262" si="92">+MAX((AS199-AT199),0)</f>
        <v>0</v>
      </c>
      <c r="AV199" s="1894">
        <v>167</v>
      </c>
      <c r="AW199" s="1894">
        <v>108.32</v>
      </c>
      <c r="AX199" s="1894">
        <v>133.6</v>
      </c>
      <c r="AY199" s="1894">
        <v>0.71030000000000004</v>
      </c>
      <c r="AZ199" s="1894">
        <v>1.7</v>
      </c>
      <c r="BA199" s="1894">
        <v>1236</v>
      </c>
      <c r="BB199" s="1894">
        <f t="shared" ref="BB199:BB262" si="93">+ROUND((24*30*0.6*AW199),0)</f>
        <v>46794</v>
      </c>
      <c r="BC199" s="1894">
        <f t="shared" ref="BC199:BC262" si="94">+MAX((BA199-BB199),0)</f>
        <v>0</v>
      </c>
      <c r="BD199" s="1894">
        <v>167</v>
      </c>
      <c r="BE199" s="1894">
        <v>5.6000000000000005</v>
      </c>
      <c r="BF199" s="1894">
        <v>133.6</v>
      </c>
      <c r="BG199" s="1894">
        <v>0.73229999999999995</v>
      </c>
      <c r="BH199" s="1894">
        <v>36.049999999999997</v>
      </c>
      <c r="BI199" s="1894">
        <v>1502</v>
      </c>
      <c r="BJ199" s="1894">
        <f t="shared" ref="BJ199:BJ262" si="95">+ROUND((24*31*0.6*BE199),0)</f>
        <v>2500</v>
      </c>
      <c r="BK199" s="1894">
        <f t="shared" ref="BK199:BK262" si="96">+MAX((BI199-BJ199),0)</f>
        <v>0</v>
      </c>
      <c r="BL199" s="1894">
        <v>167</v>
      </c>
      <c r="BM199" s="1894">
        <v>6.2399999999999993</v>
      </c>
      <c r="BN199" s="1894">
        <v>133.6</v>
      </c>
      <c r="BO199" s="1894">
        <v>0.65349999999999997</v>
      </c>
      <c r="BP199" s="1894">
        <v>36.619999999999997</v>
      </c>
      <c r="BQ199" s="1894">
        <v>1426</v>
      </c>
      <c r="BR199" s="1894">
        <f t="shared" ref="BR199:BR262" si="97">+ROUND((24*30*0.6*BM199),0)</f>
        <v>2696</v>
      </c>
      <c r="BS199" s="1894">
        <f t="shared" ref="BS199:BS262" si="98">+MAX((BQ199-BR199),0)</f>
        <v>0</v>
      </c>
      <c r="BT199" s="1894">
        <v>167</v>
      </c>
      <c r="BU199" s="1894">
        <v>4.96</v>
      </c>
      <c r="BV199" s="1894">
        <v>133.6</v>
      </c>
      <c r="BW199" s="1894">
        <v>0.63639999999999997</v>
      </c>
      <c r="BX199" s="1894">
        <v>47.67</v>
      </c>
      <c r="BY199" s="1894">
        <v>1986</v>
      </c>
      <c r="BZ199" s="1894">
        <f t="shared" ref="BZ199:BZ262" si="99">+ROUND((24*31*0.6*BU199),0)</f>
        <v>2214</v>
      </c>
      <c r="CA199" s="1894">
        <f t="shared" ref="CA199:CA262" si="100">+MAX((BY199-BZ199),0)</f>
        <v>0</v>
      </c>
      <c r="CB199" s="1894">
        <v>167</v>
      </c>
      <c r="CC199" s="1894">
        <v>6.2399999999999993</v>
      </c>
      <c r="CD199" s="1894">
        <v>133.6</v>
      </c>
      <c r="CE199" s="1894">
        <v>0.62609999999999999</v>
      </c>
      <c r="CF199" s="1894">
        <v>38.65</v>
      </c>
      <c r="CG199" s="1894">
        <v>1910</v>
      </c>
      <c r="CH199" s="1894">
        <f t="shared" ref="CH199:CH262" si="101">+ROUND((24*31*0.6*CC199),0)</f>
        <v>2786</v>
      </c>
      <c r="CI199" s="1894">
        <f t="shared" ref="CI199:CI262" si="102">+MAX((CG199-CH199),0)</f>
        <v>0</v>
      </c>
      <c r="CJ199" s="1894">
        <v>167</v>
      </c>
      <c r="CK199" s="1894">
        <v>6.5600000000000005</v>
      </c>
      <c r="CL199" s="1894">
        <v>133.6</v>
      </c>
      <c r="CM199" s="1894">
        <v>0.57930000000000004</v>
      </c>
      <c r="CN199" s="1894">
        <v>38.61</v>
      </c>
      <c r="CO199" s="1894">
        <v>1702</v>
      </c>
      <c r="CP199" s="1894">
        <f t="shared" ref="CP199:CP262" si="103">+ROUND((24*28*0.6*CK199),0)</f>
        <v>2645</v>
      </c>
      <c r="CQ199" s="1894">
        <f t="shared" ref="CQ199:CQ262" si="104">+MAX((CO199-CP199),0)</f>
        <v>0</v>
      </c>
      <c r="CR199" s="1924">
        <v>167</v>
      </c>
      <c r="CS199" s="1924">
        <v>6.72</v>
      </c>
      <c r="CT199" s="1924">
        <v>133.6</v>
      </c>
      <c r="CU199" s="1924">
        <v>0.59519999999999995</v>
      </c>
      <c r="CV199" s="1924">
        <v>35.08</v>
      </c>
      <c r="CW199" s="1924">
        <v>1754</v>
      </c>
      <c r="CX199" s="1894">
        <f t="shared" ref="CX199:CX262" si="105">+ROUND((24*31*0.6*CS199),0)</f>
        <v>3000</v>
      </c>
      <c r="CY199" s="1894">
        <f t="shared" ref="CY199:CY262" si="106">+MAX((CW199-CX199),0)</f>
        <v>0</v>
      </c>
    </row>
    <row r="200" spans="1:103">
      <c r="A200" s="982">
        <v>611000000117</v>
      </c>
      <c r="B200" s="1923">
        <f t="shared" ref="B200:B263" si="107">+B199+1</f>
        <v>194</v>
      </c>
      <c r="C200" s="1895" t="s">
        <v>3086</v>
      </c>
      <c r="D200" s="1894" t="s">
        <v>524</v>
      </c>
      <c r="E200" s="1895" t="s">
        <v>636</v>
      </c>
      <c r="F200" s="1894" t="s">
        <v>259</v>
      </c>
      <c r="G200" s="1924">
        <v>167</v>
      </c>
      <c r="H200" s="1894">
        <v>0</v>
      </c>
      <c r="I200" s="1894">
        <v>0</v>
      </c>
      <c r="J200" s="1894">
        <v>0</v>
      </c>
      <c r="K200" s="1894">
        <v>0</v>
      </c>
      <c r="L200" s="1894">
        <v>0</v>
      </c>
      <c r="M200" s="1894">
        <v>0</v>
      </c>
      <c r="N200" s="1894">
        <f t="shared" si="85"/>
        <v>0</v>
      </c>
      <c r="O200" s="1894">
        <f t="shared" si="86"/>
        <v>0</v>
      </c>
      <c r="P200" s="1894">
        <v>167</v>
      </c>
      <c r="Q200" s="1894">
        <v>21.6</v>
      </c>
      <c r="R200" s="1894">
        <v>133.6</v>
      </c>
      <c r="S200" s="1894">
        <v>0.80520000000000003</v>
      </c>
      <c r="T200" s="1894">
        <v>25.75</v>
      </c>
      <c r="U200" s="1894">
        <v>534</v>
      </c>
      <c r="V200" s="1894">
        <f t="shared" si="87"/>
        <v>9642</v>
      </c>
      <c r="W200" s="1894">
        <f t="shared" si="88"/>
        <v>0</v>
      </c>
      <c r="X200" s="1894">
        <v>167</v>
      </c>
      <c r="Y200" s="1894">
        <v>19.84</v>
      </c>
      <c r="Z200" s="1894">
        <v>133.6</v>
      </c>
      <c r="AA200" s="1894">
        <v>0.81720000000000004</v>
      </c>
      <c r="AB200" s="1894">
        <v>31.5</v>
      </c>
      <c r="AC200" s="1894">
        <v>4050</v>
      </c>
      <c r="AD200" s="1894">
        <f t="shared" si="89"/>
        <v>8571</v>
      </c>
      <c r="AE200" s="1894">
        <f t="shared" si="90"/>
        <v>0</v>
      </c>
      <c r="AF200" s="1894">
        <v>167</v>
      </c>
      <c r="AG200" s="1894">
        <v>18.72</v>
      </c>
      <c r="AH200" s="1894">
        <v>133.6</v>
      </c>
      <c r="AI200" s="1894">
        <v>0.77900000000000003</v>
      </c>
      <c r="AJ200" s="1894">
        <v>34.25</v>
      </c>
      <c r="AK200" s="1894">
        <v>4462</v>
      </c>
      <c r="AL200" s="1894">
        <f t="shared" si="83"/>
        <v>8357</v>
      </c>
      <c r="AM200" s="1894">
        <f t="shared" si="84"/>
        <v>0</v>
      </c>
      <c r="AN200" s="1894">
        <v>167</v>
      </c>
      <c r="AO200" s="1894">
        <v>16.64</v>
      </c>
      <c r="AP200" s="1894">
        <v>133.6</v>
      </c>
      <c r="AQ200" s="1894">
        <v>0.7873</v>
      </c>
      <c r="AR200" s="1894">
        <v>39.01</v>
      </c>
      <c r="AS200" s="1894">
        <v>4674</v>
      </c>
      <c r="AT200" s="1894">
        <f t="shared" si="91"/>
        <v>7428</v>
      </c>
      <c r="AU200" s="1894">
        <f t="shared" si="92"/>
        <v>0</v>
      </c>
      <c r="AV200" s="1894">
        <v>167</v>
      </c>
      <c r="AW200" s="1894">
        <v>23.36</v>
      </c>
      <c r="AX200" s="1894">
        <v>133.6</v>
      </c>
      <c r="AY200" s="1894">
        <v>0.87029999999999996</v>
      </c>
      <c r="AZ200" s="1894">
        <v>31.42</v>
      </c>
      <c r="BA200" s="1894">
        <v>6342</v>
      </c>
      <c r="BB200" s="1894">
        <f t="shared" si="93"/>
        <v>10092</v>
      </c>
      <c r="BC200" s="1894">
        <f t="shared" si="94"/>
        <v>0</v>
      </c>
      <c r="BD200" s="1894">
        <v>167</v>
      </c>
      <c r="BE200" s="1894">
        <v>20.8</v>
      </c>
      <c r="BF200" s="1894">
        <v>133.6</v>
      </c>
      <c r="BG200" s="1894">
        <v>0.8619</v>
      </c>
      <c r="BH200" s="1894">
        <v>31.26</v>
      </c>
      <c r="BI200" s="1894">
        <v>4838</v>
      </c>
      <c r="BJ200" s="1894">
        <f t="shared" si="95"/>
        <v>9285</v>
      </c>
      <c r="BK200" s="1894">
        <f t="shared" si="96"/>
        <v>0</v>
      </c>
      <c r="BL200" s="1894">
        <v>167</v>
      </c>
      <c r="BM200" s="1894">
        <v>32.159999999999997</v>
      </c>
      <c r="BN200" s="1894">
        <v>133.6</v>
      </c>
      <c r="BO200" s="1894">
        <v>0.76649999999999996</v>
      </c>
      <c r="BP200" s="1894">
        <v>17.649999999999999</v>
      </c>
      <c r="BQ200" s="1894">
        <v>4086</v>
      </c>
      <c r="BR200" s="1894">
        <f t="shared" si="97"/>
        <v>13893</v>
      </c>
      <c r="BS200" s="1894">
        <f t="shared" si="98"/>
        <v>0</v>
      </c>
      <c r="BT200" s="1894">
        <v>167</v>
      </c>
      <c r="BU200" s="1894">
        <v>13.28</v>
      </c>
      <c r="BV200" s="1894">
        <v>133.6</v>
      </c>
      <c r="BW200" s="1894">
        <v>0.68830000000000002</v>
      </c>
      <c r="BX200" s="1894">
        <v>39.549999999999997</v>
      </c>
      <c r="BY200" s="1894">
        <v>3908</v>
      </c>
      <c r="BZ200" s="1894">
        <f t="shared" si="99"/>
        <v>5928</v>
      </c>
      <c r="CA200" s="1894">
        <f t="shared" si="100"/>
        <v>0</v>
      </c>
      <c r="CB200" s="1894">
        <v>167</v>
      </c>
      <c r="CC200" s="1894">
        <v>11.68</v>
      </c>
      <c r="CD200" s="1894">
        <v>133.6</v>
      </c>
      <c r="CE200" s="1894">
        <v>0.72729999999999995</v>
      </c>
      <c r="CF200" s="1894">
        <v>38.83</v>
      </c>
      <c r="CG200" s="1894">
        <v>3374</v>
      </c>
      <c r="CH200" s="1894">
        <f t="shared" si="101"/>
        <v>5214</v>
      </c>
      <c r="CI200" s="1894">
        <f t="shared" si="102"/>
        <v>0</v>
      </c>
      <c r="CJ200" s="1894">
        <v>167</v>
      </c>
      <c r="CK200" s="1894">
        <v>16</v>
      </c>
      <c r="CL200" s="1894">
        <v>133.6</v>
      </c>
      <c r="CM200" s="1894">
        <v>0.8266</v>
      </c>
      <c r="CN200" s="1894">
        <v>31.01</v>
      </c>
      <c r="CO200" s="1894">
        <v>3334</v>
      </c>
      <c r="CP200" s="1894">
        <f t="shared" si="103"/>
        <v>6451</v>
      </c>
      <c r="CQ200" s="1894">
        <f t="shared" si="104"/>
        <v>0</v>
      </c>
      <c r="CR200" s="1924">
        <v>167</v>
      </c>
      <c r="CS200" s="1924">
        <v>17.440000000000001</v>
      </c>
      <c r="CT200" s="1924">
        <v>133.6</v>
      </c>
      <c r="CU200" s="1924">
        <v>0.89700000000000002</v>
      </c>
      <c r="CV200" s="1924">
        <v>34</v>
      </c>
      <c r="CW200" s="1924">
        <v>4412</v>
      </c>
      <c r="CX200" s="1894">
        <f t="shared" si="105"/>
        <v>7785</v>
      </c>
      <c r="CY200" s="1894">
        <f t="shared" si="106"/>
        <v>0</v>
      </c>
    </row>
    <row r="201" spans="1:103">
      <c r="A201" s="982">
        <v>124000000066</v>
      </c>
      <c r="B201" s="1923">
        <f t="shared" si="107"/>
        <v>195</v>
      </c>
      <c r="C201" s="1895" t="s">
        <v>3087</v>
      </c>
      <c r="D201" s="1894" t="s">
        <v>524</v>
      </c>
      <c r="E201" s="1895" t="s">
        <v>636</v>
      </c>
      <c r="F201" s="1894" t="s">
        <v>259</v>
      </c>
      <c r="G201" s="1924">
        <v>167</v>
      </c>
      <c r="H201" s="1894">
        <v>167</v>
      </c>
      <c r="I201" s="1894">
        <v>129</v>
      </c>
      <c r="J201" s="1894">
        <v>133.6</v>
      </c>
      <c r="K201" s="1894">
        <v>0.98960000000000004</v>
      </c>
      <c r="L201" s="1894">
        <v>58.59</v>
      </c>
      <c r="M201" s="1894">
        <v>47160</v>
      </c>
      <c r="N201" s="1894">
        <f t="shared" si="85"/>
        <v>55728</v>
      </c>
      <c r="O201" s="1894">
        <f t="shared" si="86"/>
        <v>0</v>
      </c>
      <c r="P201" s="1894">
        <v>167</v>
      </c>
      <c r="Q201" s="1894">
        <v>144.29999999999998</v>
      </c>
      <c r="R201" s="1894">
        <v>144.30000000000001</v>
      </c>
      <c r="S201" s="1894">
        <v>0.98740000000000006</v>
      </c>
      <c r="T201" s="1894">
        <v>49.29</v>
      </c>
      <c r="U201" s="1894">
        <v>59746</v>
      </c>
      <c r="V201" s="1894">
        <f t="shared" si="87"/>
        <v>64416</v>
      </c>
      <c r="W201" s="1894">
        <f t="shared" si="88"/>
        <v>0</v>
      </c>
      <c r="X201" s="1894">
        <v>167</v>
      </c>
      <c r="Y201" s="1894">
        <v>131.28</v>
      </c>
      <c r="Z201" s="1894">
        <v>133.6</v>
      </c>
      <c r="AA201" s="1894">
        <v>0.98619999999999997</v>
      </c>
      <c r="AB201" s="1894">
        <v>47.55</v>
      </c>
      <c r="AC201" s="1894">
        <v>41947</v>
      </c>
      <c r="AD201" s="1894">
        <f t="shared" si="89"/>
        <v>56713</v>
      </c>
      <c r="AE201" s="1894">
        <f t="shared" si="90"/>
        <v>0</v>
      </c>
      <c r="AF201" s="1894">
        <v>167</v>
      </c>
      <c r="AG201" s="1894">
        <v>132.6</v>
      </c>
      <c r="AH201" s="1894">
        <v>133.6</v>
      </c>
      <c r="AI201" s="1894">
        <v>0.98150000000000004</v>
      </c>
      <c r="AJ201" s="1894">
        <v>42.84</v>
      </c>
      <c r="AK201" s="1894">
        <v>44990</v>
      </c>
      <c r="AL201" s="1894">
        <f t="shared" si="83"/>
        <v>59193</v>
      </c>
      <c r="AM201" s="1894">
        <f t="shared" si="84"/>
        <v>0</v>
      </c>
      <c r="AN201" s="1894">
        <v>167</v>
      </c>
      <c r="AO201" s="1894">
        <v>135.6</v>
      </c>
      <c r="AP201" s="1894">
        <v>135.6</v>
      </c>
      <c r="AQ201" s="1894">
        <v>0.97909999999999997</v>
      </c>
      <c r="AR201" s="1894">
        <v>36.200000000000003</v>
      </c>
      <c r="AS201" s="1894">
        <v>36525</v>
      </c>
      <c r="AT201" s="1894">
        <f t="shared" si="91"/>
        <v>60532</v>
      </c>
      <c r="AU201" s="1894">
        <f t="shared" si="92"/>
        <v>0</v>
      </c>
      <c r="AV201" s="1894">
        <v>167</v>
      </c>
      <c r="AW201" s="1894">
        <v>118.2</v>
      </c>
      <c r="AX201" s="1894">
        <v>133.6</v>
      </c>
      <c r="AY201" s="1894">
        <v>0.97989999999999999</v>
      </c>
      <c r="AZ201" s="1894">
        <v>42.19</v>
      </c>
      <c r="BA201" s="1894">
        <v>29923</v>
      </c>
      <c r="BB201" s="1894">
        <f t="shared" si="93"/>
        <v>51062</v>
      </c>
      <c r="BC201" s="1894">
        <f t="shared" si="94"/>
        <v>0</v>
      </c>
      <c r="BD201" s="1894">
        <v>167</v>
      </c>
      <c r="BE201" s="1894">
        <v>105</v>
      </c>
      <c r="BF201" s="1894">
        <v>133.6</v>
      </c>
      <c r="BG201" s="1894">
        <v>0.97440000000000004</v>
      </c>
      <c r="BH201" s="1894">
        <v>47.16</v>
      </c>
      <c r="BI201" s="1894">
        <v>41591</v>
      </c>
      <c r="BJ201" s="1894">
        <f t="shared" si="95"/>
        <v>46872</v>
      </c>
      <c r="BK201" s="1894">
        <f t="shared" si="96"/>
        <v>0</v>
      </c>
      <c r="BL201" s="1894">
        <v>167</v>
      </c>
      <c r="BM201" s="1894">
        <v>87.6</v>
      </c>
      <c r="BN201" s="1894">
        <v>133.6</v>
      </c>
      <c r="BO201" s="1894">
        <v>0.95750000000000002</v>
      </c>
      <c r="BP201" s="1894">
        <v>42.9</v>
      </c>
      <c r="BQ201" s="1894">
        <v>27963</v>
      </c>
      <c r="BR201" s="1894">
        <f t="shared" si="97"/>
        <v>37843</v>
      </c>
      <c r="BS201" s="1894">
        <f t="shared" si="98"/>
        <v>0</v>
      </c>
      <c r="BT201" s="1894">
        <v>167</v>
      </c>
      <c r="BU201" s="1894">
        <v>62.88</v>
      </c>
      <c r="BV201" s="1894">
        <v>133.6</v>
      </c>
      <c r="BW201" s="1894">
        <v>0.95099999999999996</v>
      </c>
      <c r="BX201" s="1894">
        <v>48.96</v>
      </c>
      <c r="BY201" s="1894">
        <v>22903</v>
      </c>
      <c r="BZ201" s="1894">
        <f t="shared" si="99"/>
        <v>28070</v>
      </c>
      <c r="CA201" s="1894">
        <f t="shared" si="100"/>
        <v>0</v>
      </c>
      <c r="CB201" s="1894">
        <v>167</v>
      </c>
      <c r="CC201" s="1894">
        <v>91.8</v>
      </c>
      <c r="CD201" s="1894">
        <v>133.6</v>
      </c>
      <c r="CE201" s="1894">
        <v>0.95079999999999998</v>
      </c>
      <c r="CF201" s="1894">
        <v>33.32</v>
      </c>
      <c r="CG201" s="1894">
        <v>22755</v>
      </c>
      <c r="CH201" s="1894">
        <f t="shared" si="101"/>
        <v>40980</v>
      </c>
      <c r="CI201" s="1894">
        <f t="shared" si="102"/>
        <v>0</v>
      </c>
      <c r="CJ201" s="1894">
        <v>167</v>
      </c>
      <c r="CK201" s="1894">
        <v>94.440000000000012</v>
      </c>
      <c r="CL201" s="1894">
        <v>133.6</v>
      </c>
      <c r="CM201" s="1894">
        <v>0.96640000000000004</v>
      </c>
      <c r="CN201" s="1894">
        <v>39.299999999999997</v>
      </c>
      <c r="CO201" s="1894">
        <v>24939</v>
      </c>
      <c r="CP201" s="1894">
        <f t="shared" si="103"/>
        <v>38078</v>
      </c>
      <c r="CQ201" s="1894">
        <f t="shared" si="104"/>
        <v>0</v>
      </c>
      <c r="CR201" s="1924">
        <v>167</v>
      </c>
      <c r="CS201" s="1924">
        <v>115.44</v>
      </c>
      <c r="CT201" s="1924">
        <v>133.6</v>
      </c>
      <c r="CU201" s="1924">
        <v>0.97799999999999998</v>
      </c>
      <c r="CV201" s="1924">
        <v>39.450000000000003</v>
      </c>
      <c r="CW201" s="1924">
        <v>33880</v>
      </c>
      <c r="CX201" s="1894">
        <f t="shared" si="105"/>
        <v>51532</v>
      </c>
      <c r="CY201" s="1894">
        <f t="shared" si="106"/>
        <v>0</v>
      </c>
    </row>
    <row r="202" spans="1:103">
      <c r="A202" s="982">
        <v>126000000057</v>
      </c>
      <c r="B202" s="1923">
        <f t="shared" si="107"/>
        <v>196</v>
      </c>
      <c r="C202" s="1895" t="s">
        <v>3088</v>
      </c>
      <c r="D202" s="1894" t="s">
        <v>613</v>
      </c>
      <c r="E202" s="1895" t="s">
        <v>541</v>
      </c>
      <c r="F202" s="1894" t="s">
        <v>259</v>
      </c>
      <c r="G202" s="1924">
        <v>167</v>
      </c>
      <c r="H202" s="1894">
        <v>0</v>
      </c>
      <c r="I202" s="1894">
        <v>0</v>
      </c>
      <c r="J202" s="1894">
        <v>0</v>
      </c>
      <c r="K202" s="1894">
        <v>0</v>
      </c>
      <c r="L202" s="1894">
        <v>0</v>
      </c>
      <c r="M202" s="1894">
        <v>0</v>
      </c>
      <c r="N202" s="1894">
        <f t="shared" si="85"/>
        <v>0</v>
      </c>
      <c r="O202" s="1894">
        <f t="shared" si="86"/>
        <v>0</v>
      </c>
      <c r="P202" s="1894">
        <v>0</v>
      </c>
      <c r="Q202" s="1894">
        <v>0</v>
      </c>
      <c r="R202" s="1894">
        <v>0</v>
      </c>
      <c r="S202" s="1894">
        <v>0</v>
      </c>
      <c r="T202" s="1894">
        <v>0</v>
      </c>
      <c r="U202" s="1894">
        <v>0</v>
      </c>
      <c r="V202" s="1894">
        <f t="shared" si="87"/>
        <v>0</v>
      </c>
      <c r="W202" s="1894">
        <f t="shared" si="88"/>
        <v>0</v>
      </c>
      <c r="X202" s="1894">
        <v>0</v>
      </c>
      <c r="Y202" s="1894">
        <v>0</v>
      </c>
      <c r="Z202" s="1894">
        <v>0</v>
      </c>
      <c r="AA202" s="1894">
        <v>0</v>
      </c>
      <c r="AB202" s="1894">
        <v>0</v>
      </c>
      <c r="AC202" s="1894">
        <v>0</v>
      </c>
      <c r="AD202" s="1894">
        <f t="shared" si="89"/>
        <v>0</v>
      </c>
      <c r="AE202" s="1894">
        <f t="shared" si="90"/>
        <v>0</v>
      </c>
      <c r="AF202" s="1894">
        <v>0</v>
      </c>
      <c r="AG202" s="1894">
        <v>0</v>
      </c>
      <c r="AH202" s="1894">
        <v>0</v>
      </c>
      <c r="AI202" s="1894">
        <v>0</v>
      </c>
      <c r="AJ202" s="1894">
        <v>0</v>
      </c>
      <c r="AK202" s="1894">
        <v>0</v>
      </c>
      <c r="AL202" s="1894">
        <f t="shared" si="83"/>
        <v>0</v>
      </c>
      <c r="AM202" s="1894">
        <f t="shared" si="84"/>
        <v>0</v>
      </c>
      <c r="AN202" s="1894">
        <v>0</v>
      </c>
      <c r="AO202" s="1894">
        <v>0</v>
      </c>
      <c r="AP202" s="1894">
        <v>0</v>
      </c>
      <c r="AQ202" s="1894">
        <v>0</v>
      </c>
      <c r="AR202" s="1894">
        <v>0</v>
      </c>
      <c r="AS202" s="1894">
        <v>0</v>
      </c>
      <c r="AT202" s="1894">
        <f t="shared" si="91"/>
        <v>0</v>
      </c>
      <c r="AU202" s="1894">
        <f t="shared" si="92"/>
        <v>0</v>
      </c>
      <c r="AV202" s="1894">
        <v>0</v>
      </c>
      <c r="AW202" s="1894">
        <v>0</v>
      </c>
      <c r="AX202" s="1894">
        <v>0</v>
      </c>
      <c r="AY202" s="1894">
        <v>0</v>
      </c>
      <c r="AZ202" s="1894">
        <v>0</v>
      </c>
      <c r="BA202" s="1894">
        <v>0</v>
      </c>
      <c r="BB202" s="1894">
        <f t="shared" si="93"/>
        <v>0</v>
      </c>
      <c r="BC202" s="1894">
        <f t="shared" si="94"/>
        <v>0</v>
      </c>
      <c r="BD202" s="1894">
        <v>0</v>
      </c>
      <c r="BE202" s="1894">
        <v>0</v>
      </c>
      <c r="BF202" s="1894">
        <v>0</v>
      </c>
      <c r="BG202" s="1894">
        <v>0</v>
      </c>
      <c r="BH202" s="1894">
        <v>0</v>
      </c>
      <c r="BI202" s="1894">
        <v>0</v>
      </c>
      <c r="BJ202" s="1894">
        <f t="shared" si="95"/>
        <v>0</v>
      </c>
      <c r="BK202" s="1894">
        <f t="shared" si="96"/>
        <v>0</v>
      </c>
      <c r="BL202" s="1894">
        <v>0</v>
      </c>
      <c r="BM202" s="1894">
        <v>0</v>
      </c>
      <c r="BN202" s="1894">
        <v>0</v>
      </c>
      <c r="BO202" s="1894">
        <v>0</v>
      </c>
      <c r="BP202" s="1894">
        <v>0</v>
      </c>
      <c r="BQ202" s="1894">
        <v>0</v>
      </c>
      <c r="BR202" s="1894">
        <f t="shared" si="97"/>
        <v>0</v>
      </c>
      <c r="BS202" s="1894">
        <f t="shared" si="98"/>
        <v>0</v>
      </c>
      <c r="BT202" s="1894">
        <v>0</v>
      </c>
      <c r="BU202" s="1894">
        <v>0</v>
      </c>
      <c r="BV202" s="1894">
        <v>0</v>
      </c>
      <c r="BW202" s="1894">
        <v>0</v>
      </c>
      <c r="BX202" s="1894">
        <v>0</v>
      </c>
      <c r="BY202" s="1894">
        <v>0</v>
      </c>
      <c r="BZ202" s="1894">
        <f t="shared" si="99"/>
        <v>0</v>
      </c>
      <c r="CA202" s="1894">
        <f t="shared" si="100"/>
        <v>0</v>
      </c>
      <c r="CB202" s="1894">
        <v>0</v>
      </c>
      <c r="CC202" s="1894">
        <v>0</v>
      </c>
      <c r="CD202" s="1894">
        <v>0</v>
      </c>
      <c r="CE202" s="1894">
        <v>0</v>
      </c>
      <c r="CF202" s="1894">
        <v>0</v>
      </c>
      <c r="CG202" s="1894">
        <v>0</v>
      </c>
      <c r="CH202" s="1894">
        <f t="shared" si="101"/>
        <v>0</v>
      </c>
      <c r="CI202" s="1894">
        <f t="shared" si="102"/>
        <v>0</v>
      </c>
      <c r="CJ202" s="1894">
        <v>0</v>
      </c>
      <c r="CK202" s="1894">
        <v>0</v>
      </c>
      <c r="CL202" s="1894">
        <v>0</v>
      </c>
      <c r="CM202" s="1894">
        <v>0</v>
      </c>
      <c r="CN202" s="1894">
        <v>0</v>
      </c>
      <c r="CO202" s="1894">
        <v>0</v>
      </c>
      <c r="CP202" s="1894">
        <f t="shared" si="103"/>
        <v>0</v>
      </c>
      <c r="CQ202" s="1894">
        <f t="shared" si="104"/>
        <v>0</v>
      </c>
      <c r="CR202" s="1924">
        <v>167</v>
      </c>
      <c r="CS202" s="1924">
        <v>8.5200000000000014</v>
      </c>
      <c r="CT202" s="1924">
        <v>133.6</v>
      </c>
      <c r="CU202" s="1924">
        <v>0.90349999999999997</v>
      </c>
      <c r="CV202" s="1924">
        <v>33.450000000000003</v>
      </c>
      <c r="CW202" s="1924">
        <v>684</v>
      </c>
      <c r="CX202" s="1894">
        <f t="shared" si="105"/>
        <v>3803</v>
      </c>
      <c r="CY202" s="1894">
        <f t="shared" si="106"/>
        <v>0</v>
      </c>
    </row>
    <row r="203" spans="1:103">
      <c r="A203" s="982">
        <v>121000000085</v>
      </c>
      <c r="B203" s="1923">
        <f t="shared" si="107"/>
        <v>197</v>
      </c>
      <c r="C203" s="1895" t="s">
        <v>3089</v>
      </c>
      <c r="D203" s="1894" t="s">
        <v>524</v>
      </c>
      <c r="E203" s="1895" t="s">
        <v>2966</v>
      </c>
      <c r="F203" s="1894" t="s">
        <v>259</v>
      </c>
      <c r="G203" s="1924">
        <v>167</v>
      </c>
      <c r="H203" s="1894">
        <v>167</v>
      </c>
      <c r="I203" s="1894">
        <v>182.95999999999998</v>
      </c>
      <c r="J203" s="1894">
        <v>182.96</v>
      </c>
      <c r="K203" s="1894">
        <v>0.76559999999999995</v>
      </c>
      <c r="L203" s="1894">
        <v>0</v>
      </c>
      <c r="M203" s="1894">
        <v>43530</v>
      </c>
      <c r="N203" s="1894">
        <f t="shared" si="85"/>
        <v>79039</v>
      </c>
      <c r="O203" s="1894">
        <f t="shared" si="86"/>
        <v>0</v>
      </c>
      <c r="P203" s="1894">
        <v>167</v>
      </c>
      <c r="Q203" s="1894">
        <v>164.96</v>
      </c>
      <c r="R203" s="1894">
        <v>167</v>
      </c>
      <c r="S203" s="1894">
        <v>0.76370000000000005</v>
      </c>
      <c r="T203" s="1894">
        <v>0</v>
      </c>
      <c r="U203" s="1894">
        <v>30591</v>
      </c>
      <c r="V203" s="1894">
        <f t="shared" si="87"/>
        <v>73638</v>
      </c>
      <c r="W203" s="1894">
        <f t="shared" si="88"/>
        <v>0</v>
      </c>
      <c r="X203" s="1894">
        <v>167</v>
      </c>
      <c r="Y203" s="1894">
        <v>17.599999999999998</v>
      </c>
      <c r="Z203" s="1894">
        <v>167</v>
      </c>
      <c r="AA203" s="1894">
        <v>0.75839999999999996</v>
      </c>
      <c r="AB203" s="1894">
        <v>0</v>
      </c>
      <c r="AC203" s="1894">
        <v>2596</v>
      </c>
      <c r="AD203" s="1894">
        <f t="shared" si="89"/>
        <v>7603</v>
      </c>
      <c r="AE203" s="1894">
        <f t="shared" si="90"/>
        <v>0</v>
      </c>
      <c r="AF203" s="1894">
        <v>167</v>
      </c>
      <c r="AG203" s="1894">
        <v>126.56</v>
      </c>
      <c r="AH203" s="1894">
        <v>167</v>
      </c>
      <c r="AI203" s="1894">
        <v>0.73409999999999997</v>
      </c>
      <c r="AJ203" s="1894">
        <v>0</v>
      </c>
      <c r="AK203" s="1894">
        <v>12849</v>
      </c>
      <c r="AL203" s="1894">
        <f t="shared" si="83"/>
        <v>56496</v>
      </c>
      <c r="AM203" s="1894">
        <f t="shared" si="84"/>
        <v>0</v>
      </c>
      <c r="AN203" s="1894">
        <v>167</v>
      </c>
      <c r="AO203" s="1894">
        <v>94.8</v>
      </c>
      <c r="AP203" s="1894">
        <v>167</v>
      </c>
      <c r="AQ203" s="1894">
        <v>0.75919999999999999</v>
      </c>
      <c r="AR203" s="1894">
        <v>0</v>
      </c>
      <c r="AS203" s="1894">
        <v>29617</v>
      </c>
      <c r="AT203" s="1894">
        <f t="shared" si="91"/>
        <v>42319</v>
      </c>
      <c r="AU203" s="1894">
        <f t="shared" si="92"/>
        <v>0</v>
      </c>
      <c r="AV203" s="1894">
        <v>167</v>
      </c>
      <c r="AW203" s="1894">
        <v>95.12</v>
      </c>
      <c r="AX203" s="1894">
        <v>167</v>
      </c>
      <c r="AY203" s="1894">
        <v>0.77290000000000003</v>
      </c>
      <c r="AZ203" s="1894">
        <v>0</v>
      </c>
      <c r="BA203" s="1894">
        <v>25511</v>
      </c>
      <c r="BB203" s="1894">
        <f t="shared" si="93"/>
        <v>41092</v>
      </c>
      <c r="BC203" s="1894">
        <f t="shared" si="94"/>
        <v>0</v>
      </c>
      <c r="BD203" s="1894">
        <v>167</v>
      </c>
      <c r="BE203" s="1894">
        <v>50.72</v>
      </c>
      <c r="BF203" s="1894">
        <v>167</v>
      </c>
      <c r="BG203" s="1894">
        <v>0.71889999999999998</v>
      </c>
      <c r="BH203" s="1894">
        <v>0</v>
      </c>
      <c r="BI203" s="1894">
        <v>8561</v>
      </c>
      <c r="BJ203" s="1894">
        <f t="shared" si="95"/>
        <v>22641</v>
      </c>
      <c r="BK203" s="1894">
        <f t="shared" si="96"/>
        <v>0</v>
      </c>
      <c r="BL203" s="1894">
        <v>167</v>
      </c>
      <c r="BM203" s="1894">
        <v>11.76</v>
      </c>
      <c r="BN203" s="1894">
        <v>167</v>
      </c>
      <c r="BO203" s="1894">
        <v>0.61919999999999997</v>
      </c>
      <c r="BP203" s="1894">
        <v>0</v>
      </c>
      <c r="BQ203" s="1894">
        <v>1644</v>
      </c>
      <c r="BR203" s="1894">
        <f t="shared" si="97"/>
        <v>5080</v>
      </c>
      <c r="BS203" s="1894">
        <f t="shared" si="98"/>
        <v>0</v>
      </c>
      <c r="BT203" s="1894">
        <v>167</v>
      </c>
      <c r="BU203" s="1894">
        <v>4.9200000000000008</v>
      </c>
      <c r="BV203" s="1894">
        <v>167</v>
      </c>
      <c r="BW203" s="1894">
        <v>0.42070000000000002</v>
      </c>
      <c r="BX203" s="1894">
        <v>0</v>
      </c>
      <c r="BY203" s="1894">
        <v>1155</v>
      </c>
      <c r="BZ203" s="1894">
        <f t="shared" si="99"/>
        <v>2196</v>
      </c>
      <c r="CA203" s="1894">
        <f t="shared" si="100"/>
        <v>0</v>
      </c>
      <c r="CB203" s="1894">
        <v>167</v>
      </c>
      <c r="CC203" s="1894">
        <v>97.56</v>
      </c>
      <c r="CD203" s="1894">
        <v>167</v>
      </c>
      <c r="CE203" s="1894">
        <v>0.73860000000000003</v>
      </c>
      <c r="CF203" s="1894">
        <v>0</v>
      </c>
      <c r="CG203" s="1894">
        <v>11679</v>
      </c>
      <c r="CH203" s="1894">
        <f t="shared" si="101"/>
        <v>43551</v>
      </c>
      <c r="CI203" s="1894">
        <f t="shared" si="102"/>
        <v>0</v>
      </c>
      <c r="CJ203" s="1894">
        <v>167</v>
      </c>
      <c r="CK203" s="1894">
        <v>147.96</v>
      </c>
      <c r="CL203" s="1894">
        <v>167</v>
      </c>
      <c r="CM203" s="1894">
        <v>0.79579999999999995</v>
      </c>
      <c r="CN203" s="1894">
        <v>0</v>
      </c>
      <c r="CO203" s="1894">
        <v>18495</v>
      </c>
      <c r="CP203" s="1894">
        <f t="shared" si="103"/>
        <v>59657</v>
      </c>
      <c r="CQ203" s="1894">
        <f t="shared" si="104"/>
        <v>0</v>
      </c>
      <c r="CR203" s="1924">
        <v>167</v>
      </c>
      <c r="CS203" s="1924">
        <v>163.80000000000001</v>
      </c>
      <c r="CT203" s="1924">
        <v>167</v>
      </c>
      <c r="CU203" s="1924">
        <v>0.79830000000000001</v>
      </c>
      <c r="CV203" s="1924">
        <v>0</v>
      </c>
      <c r="CW203" s="1924">
        <v>42537</v>
      </c>
      <c r="CX203" s="1894">
        <f t="shared" si="105"/>
        <v>73120</v>
      </c>
      <c r="CY203" s="1894">
        <f t="shared" si="106"/>
        <v>0</v>
      </c>
    </row>
    <row r="204" spans="1:103">
      <c r="A204" s="982">
        <v>622000000202</v>
      </c>
      <c r="B204" s="1923">
        <f t="shared" si="107"/>
        <v>198</v>
      </c>
      <c r="C204" s="1895" t="s">
        <v>3090</v>
      </c>
      <c r="D204" s="1894" t="s">
        <v>524</v>
      </c>
      <c r="E204" s="1895" t="s">
        <v>636</v>
      </c>
      <c r="F204" s="1894" t="s">
        <v>259</v>
      </c>
      <c r="G204" s="1924">
        <v>167</v>
      </c>
      <c r="H204" s="1894">
        <v>167</v>
      </c>
      <c r="I204" s="1894">
        <v>75.2</v>
      </c>
      <c r="J204" s="1894">
        <v>133.6</v>
      </c>
      <c r="K204" s="1894">
        <v>0.88260000000000005</v>
      </c>
      <c r="L204" s="1894">
        <v>17.18</v>
      </c>
      <c r="M204" s="1894">
        <v>9304</v>
      </c>
      <c r="N204" s="1894">
        <f t="shared" si="85"/>
        <v>32486</v>
      </c>
      <c r="O204" s="1894">
        <f t="shared" si="86"/>
        <v>0</v>
      </c>
      <c r="P204" s="1894">
        <v>167</v>
      </c>
      <c r="Q204" s="1894">
        <v>80.72</v>
      </c>
      <c r="R204" s="1894">
        <v>133.6</v>
      </c>
      <c r="S204" s="1894">
        <v>0.86209999999999998</v>
      </c>
      <c r="T204" s="1894">
        <v>16.71</v>
      </c>
      <c r="U204" s="1894">
        <v>9065</v>
      </c>
      <c r="V204" s="1894">
        <f t="shared" si="87"/>
        <v>36033</v>
      </c>
      <c r="W204" s="1894">
        <f t="shared" si="88"/>
        <v>0</v>
      </c>
      <c r="X204" s="1894">
        <v>167</v>
      </c>
      <c r="Y204" s="1894">
        <v>84</v>
      </c>
      <c r="Z204" s="1894">
        <v>133.6</v>
      </c>
      <c r="AA204" s="1894">
        <v>0.86009999999999998</v>
      </c>
      <c r="AB204" s="1894">
        <v>17.420000000000002</v>
      </c>
      <c r="AC204" s="1894">
        <v>11587</v>
      </c>
      <c r="AD204" s="1894">
        <f t="shared" si="89"/>
        <v>36288</v>
      </c>
      <c r="AE204" s="1894">
        <f t="shared" si="90"/>
        <v>0</v>
      </c>
      <c r="AF204" s="1894">
        <v>167</v>
      </c>
      <c r="AG204" s="1894">
        <v>102</v>
      </c>
      <c r="AH204" s="1894">
        <v>133.6</v>
      </c>
      <c r="AI204" s="1894">
        <v>0.85770000000000002</v>
      </c>
      <c r="AJ204" s="1894">
        <v>13.53</v>
      </c>
      <c r="AK204" s="1894">
        <v>10264</v>
      </c>
      <c r="AL204" s="1894">
        <f t="shared" si="83"/>
        <v>45533</v>
      </c>
      <c r="AM204" s="1894">
        <f t="shared" si="84"/>
        <v>0</v>
      </c>
      <c r="AN204" s="1894">
        <v>167</v>
      </c>
      <c r="AO204" s="1894">
        <v>14.399999999999999</v>
      </c>
      <c r="AP204" s="1894">
        <v>133.6</v>
      </c>
      <c r="AQ204" s="1894">
        <v>0.8286</v>
      </c>
      <c r="AR204" s="1894">
        <v>103.85</v>
      </c>
      <c r="AS204" s="1894">
        <v>11126</v>
      </c>
      <c r="AT204" s="1894">
        <f t="shared" si="91"/>
        <v>6428</v>
      </c>
      <c r="AU204" s="1894">
        <f t="shared" si="92"/>
        <v>4698</v>
      </c>
      <c r="AV204" s="1894">
        <v>167</v>
      </c>
      <c r="AW204" s="1894">
        <v>107.36000000000001</v>
      </c>
      <c r="AX204" s="1894">
        <v>133.6</v>
      </c>
      <c r="AY204" s="1894">
        <v>0.82609999999999995</v>
      </c>
      <c r="AZ204" s="1894">
        <v>15.92</v>
      </c>
      <c r="BA204" s="1894">
        <v>12309</v>
      </c>
      <c r="BB204" s="1894">
        <f t="shared" si="93"/>
        <v>46380</v>
      </c>
      <c r="BC204" s="1894">
        <f t="shared" si="94"/>
        <v>0</v>
      </c>
      <c r="BD204" s="1894">
        <v>167</v>
      </c>
      <c r="BE204" s="1894">
        <v>209.76</v>
      </c>
      <c r="BF204" s="1894">
        <v>209.76</v>
      </c>
      <c r="BG204" s="1894">
        <v>0.79610000000000003</v>
      </c>
      <c r="BH204" s="1894">
        <v>8.34</v>
      </c>
      <c r="BI204" s="1894">
        <v>12175</v>
      </c>
      <c r="BJ204" s="1894">
        <f t="shared" si="95"/>
        <v>93637</v>
      </c>
      <c r="BK204" s="1894">
        <f t="shared" si="96"/>
        <v>0</v>
      </c>
      <c r="BL204" s="1894">
        <v>167</v>
      </c>
      <c r="BM204" s="1894">
        <v>115.99999999999999</v>
      </c>
      <c r="BN204" s="1894">
        <v>133.6</v>
      </c>
      <c r="BO204" s="1894">
        <v>0.78580000000000005</v>
      </c>
      <c r="BP204" s="1894">
        <v>14.21</v>
      </c>
      <c r="BQ204" s="1894">
        <v>12264</v>
      </c>
      <c r="BR204" s="1894">
        <f t="shared" si="97"/>
        <v>50112</v>
      </c>
      <c r="BS204" s="1894">
        <f t="shared" si="98"/>
        <v>0</v>
      </c>
      <c r="BT204" s="1894">
        <v>167</v>
      </c>
      <c r="BU204" s="1894">
        <v>97.92</v>
      </c>
      <c r="BV204" s="1894">
        <v>133.6</v>
      </c>
      <c r="BW204" s="1894">
        <v>0.78369999999999995</v>
      </c>
      <c r="BX204" s="1894">
        <v>19.440000000000001</v>
      </c>
      <c r="BY204" s="1894">
        <v>13704</v>
      </c>
      <c r="BZ204" s="1894">
        <f t="shared" si="99"/>
        <v>43711</v>
      </c>
      <c r="CA204" s="1894">
        <f t="shared" si="100"/>
        <v>0</v>
      </c>
      <c r="CB204" s="1894">
        <v>167</v>
      </c>
      <c r="CC204" s="1894">
        <v>102.24</v>
      </c>
      <c r="CD204" s="1894">
        <v>133.6</v>
      </c>
      <c r="CE204" s="1894">
        <v>0.82189999999999996</v>
      </c>
      <c r="CF204" s="1894">
        <v>17.8</v>
      </c>
      <c r="CG204" s="1894">
        <v>14410</v>
      </c>
      <c r="CH204" s="1894">
        <f t="shared" si="101"/>
        <v>45640</v>
      </c>
      <c r="CI204" s="1894">
        <f t="shared" si="102"/>
        <v>0</v>
      </c>
      <c r="CJ204" s="1894">
        <v>167</v>
      </c>
      <c r="CK204" s="1894">
        <v>95.52000000000001</v>
      </c>
      <c r="CL204" s="1894">
        <v>133.6</v>
      </c>
      <c r="CM204" s="1894">
        <v>0.78190000000000004</v>
      </c>
      <c r="CN204" s="1894">
        <v>19.489999999999998</v>
      </c>
      <c r="CO204" s="1894">
        <v>12512</v>
      </c>
      <c r="CP204" s="1894">
        <f t="shared" si="103"/>
        <v>38514</v>
      </c>
      <c r="CQ204" s="1894">
        <f t="shared" si="104"/>
        <v>0</v>
      </c>
      <c r="CR204" s="1924">
        <v>167</v>
      </c>
      <c r="CS204" s="1924">
        <v>100.8</v>
      </c>
      <c r="CT204" s="1924">
        <v>133.6</v>
      </c>
      <c r="CU204" s="1924">
        <v>0.77029999999999998</v>
      </c>
      <c r="CV204" s="1924">
        <v>17.64</v>
      </c>
      <c r="CW204" s="1924">
        <v>13228</v>
      </c>
      <c r="CX204" s="1894">
        <f t="shared" si="105"/>
        <v>44997</v>
      </c>
      <c r="CY204" s="1894">
        <f t="shared" si="106"/>
        <v>0</v>
      </c>
    </row>
    <row r="205" spans="1:103">
      <c r="A205" s="982">
        <v>121000000099</v>
      </c>
      <c r="B205" s="1923">
        <f t="shared" si="107"/>
        <v>199</v>
      </c>
      <c r="C205" s="1895" t="s">
        <v>3091</v>
      </c>
      <c r="D205" s="1894" t="s">
        <v>524</v>
      </c>
      <c r="E205" s="1895" t="s">
        <v>2966</v>
      </c>
      <c r="F205" s="1894" t="s">
        <v>259</v>
      </c>
      <c r="G205" s="1924">
        <v>167</v>
      </c>
      <c r="H205" s="1894">
        <v>0</v>
      </c>
      <c r="I205" s="1894">
        <v>0</v>
      </c>
      <c r="J205" s="1894">
        <v>0</v>
      </c>
      <c r="K205" s="1894">
        <v>0</v>
      </c>
      <c r="L205" s="1894">
        <v>0</v>
      </c>
      <c r="M205" s="1894">
        <v>0</v>
      </c>
      <c r="N205" s="1894">
        <f t="shared" si="85"/>
        <v>0</v>
      </c>
      <c r="O205" s="1894">
        <f t="shared" si="86"/>
        <v>0</v>
      </c>
      <c r="P205" s="1894">
        <v>167</v>
      </c>
      <c r="Q205" s="1894">
        <v>89.36</v>
      </c>
      <c r="R205" s="1894">
        <v>167</v>
      </c>
      <c r="S205" s="1894">
        <v>0.78210000000000002</v>
      </c>
      <c r="T205" s="1894">
        <v>0</v>
      </c>
      <c r="U205" s="1894">
        <v>11978</v>
      </c>
      <c r="V205" s="1894">
        <f t="shared" si="87"/>
        <v>39890</v>
      </c>
      <c r="W205" s="1894">
        <f t="shared" si="88"/>
        <v>0</v>
      </c>
      <c r="X205" s="1894">
        <v>167</v>
      </c>
      <c r="Y205" s="1894">
        <v>124.72000000000001</v>
      </c>
      <c r="Z205" s="1894">
        <v>167</v>
      </c>
      <c r="AA205" s="1894">
        <v>0.7127</v>
      </c>
      <c r="AB205" s="1894">
        <v>0</v>
      </c>
      <c r="AC205" s="1894">
        <v>29654</v>
      </c>
      <c r="AD205" s="1894">
        <f t="shared" si="89"/>
        <v>53879</v>
      </c>
      <c r="AE205" s="1894">
        <f t="shared" si="90"/>
        <v>0</v>
      </c>
      <c r="AF205" s="1894">
        <v>167</v>
      </c>
      <c r="AG205" s="1894">
        <v>24.08</v>
      </c>
      <c r="AH205" s="1894">
        <v>167</v>
      </c>
      <c r="AI205" s="1894">
        <v>0.52649999999999997</v>
      </c>
      <c r="AJ205" s="1894">
        <v>0</v>
      </c>
      <c r="AK205" s="1894">
        <v>2811</v>
      </c>
      <c r="AL205" s="1894">
        <f t="shared" si="83"/>
        <v>10749</v>
      </c>
      <c r="AM205" s="1894">
        <f t="shared" si="84"/>
        <v>0</v>
      </c>
      <c r="AN205" s="1894">
        <v>167</v>
      </c>
      <c r="AO205" s="1894">
        <v>26.08</v>
      </c>
      <c r="AP205" s="1894">
        <v>167</v>
      </c>
      <c r="AQ205" s="1894">
        <v>0.38829999999999998</v>
      </c>
      <c r="AR205" s="1894">
        <v>0</v>
      </c>
      <c r="AS205" s="1894">
        <v>1308</v>
      </c>
      <c r="AT205" s="1894">
        <f t="shared" si="91"/>
        <v>11642</v>
      </c>
      <c r="AU205" s="1894">
        <f t="shared" si="92"/>
        <v>0</v>
      </c>
      <c r="AV205" s="1894">
        <v>167</v>
      </c>
      <c r="AW205" s="1894">
        <v>24.240000000000002</v>
      </c>
      <c r="AX205" s="1894">
        <v>167</v>
      </c>
      <c r="AY205" s="1894">
        <v>0.56299999999999994</v>
      </c>
      <c r="AZ205" s="1894">
        <v>0</v>
      </c>
      <c r="BA205" s="1894">
        <v>5024</v>
      </c>
      <c r="BB205" s="1894">
        <f t="shared" si="93"/>
        <v>10472</v>
      </c>
      <c r="BC205" s="1894">
        <f t="shared" si="94"/>
        <v>0</v>
      </c>
      <c r="BD205" s="1894">
        <v>167</v>
      </c>
      <c r="BE205" s="1894">
        <v>36.96</v>
      </c>
      <c r="BF205" s="1894">
        <v>167</v>
      </c>
      <c r="BG205" s="1894">
        <v>0.54590000000000005</v>
      </c>
      <c r="BH205" s="1894">
        <v>0</v>
      </c>
      <c r="BI205" s="1894">
        <v>8131</v>
      </c>
      <c r="BJ205" s="1894">
        <f t="shared" si="95"/>
        <v>16499</v>
      </c>
      <c r="BK205" s="1894">
        <f t="shared" si="96"/>
        <v>0</v>
      </c>
      <c r="BL205" s="1894">
        <v>167</v>
      </c>
      <c r="BM205" s="1894">
        <v>31.6</v>
      </c>
      <c r="BN205" s="1894">
        <v>167</v>
      </c>
      <c r="BO205" s="1894">
        <v>0.3548</v>
      </c>
      <c r="BP205" s="1894">
        <v>0</v>
      </c>
      <c r="BQ205" s="1894">
        <v>6974</v>
      </c>
      <c r="BR205" s="1894">
        <f t="shared" si="97"/>
        <v>13651</v>
      </c>
      <c r="BS205" s="1894">
        <f t="shared" si="98"/>
        <v>0</v>
      </c>
      <c r="BT205" s="1894">
        <v>167</v>
      </c>
      <c r="BU205" s="1894">
        <v>18.16</v>
      </c>
      <c r="BV205" s="1894">
        <v>167</v>
      </c>
      <c r="BW205" s="1894">
        <v>0.15559999999999999</v>
      </c>
      <c r="BX205" s="1894">
        <v>0</v>
      </c>
      <c r="BY205" s="1894">
        <v>4831</v>
      </c>
      <c r="BZ205" s="1894">
        <f t="shared" si="99"/>
        <v>8107</v>
      </c>
      <c r="CA205" s="1894">
        <f t="shared" si="100"/>
        <v>0</v>
      </c>
      <c r="CB205" s="1894">
        <v>167</v>
      </c>
      <c r="CC205" s="1894">
        <v>18.16</v>
      </c>
      <c r="CD205" s="1894">
        <v>167</v>
      </c>
      <c r="CE205" s="1894">
        <v>0.25719999999999998</v>
      </c>
      <c r="CF205" s="1894">
        <v>0</v>
      </c>
      <c r="CG205" s="1894">
        <v>3755</v>
      </c>
      <c r="CH205" s="1894">
        <f t="shared" si="101"/>
        <v>8107</v>
      </c>
      <c r="CI205" s="1894">
        <f t="shared" si="102"/>
        <v>0</v>
      </c>
      <c r="CJ205" s="1894">
        <v>167</v>
      </c>
      <c r="CK205" s="1894">
        <v>82.72</v>
      </c>
      <c r="CL205" s="1894">
        <v>167</v>
      </c>
      <c r="CM205" s="1894">
        <v>0.56789999999999996</v>
      </c>
      <c r="CN205" s="1894">
        <v>0</v>
      </c>
      <c r="CO205" s="1894">
        <v>15425</v>
      </c>
      <c r="CP205" s="1894">
        <f t="shared" si="103"/>
        <v>33353</v>
      </c>
      <c r="CQ205" s="1894">
        <f t="shared" si="104"/>
        <v>0</v>
      </c>
      <c r="CR205" s="1924">
        <v>167</v>
      </c>
      <c r="CS205" s="1924">
        <v>100.24</v>
      </c>
      <c r="CT205" s="1924">
        <v>167</v>
      </c>
      <c r="CU205" s="1924">
        <v>0.63019999999999998</v>
      </c>
      <c r="CV205" s="1924">
        <v>0</v>
      </c>
      <c r="CW205" s="1924">
        <v>24151</v>
      </c>
      <c r="CX205" s="1894">
        <f t="shared" si="105"/>
        <v>44747</v>
      </c>
      <c r="CY205" s="1894">
        <f t="shared" si="106"/>
        <v>0</v>
      </c>
    </row>
    <row r="206" spans="1:103">
      <c r="A206" s="982">
        <v>121000000058</v>
      </c>
      <c r="B206" s="1923">
        <f t="shared" si="107"/>
        <v>200</v>
      </c>
      <c r="C206" s="1895" t="s">
        <v>3092</v>
      </c>
      <c r="D206" s="1894" t="s">
        <v>524</v>
      </c>
      <c r="E206" s="1895" t="s">
        <v>636</v>
      </c>
      <c r="F206" s="1894" t="s">
        <v>259</v>
      </c>
      <c r="G206" s="1924">
        <v>167</v>
      </c>
      <c r="H206" s="1894">
        <v>167</v>
      </c>
      <c r="I206" s="1894">
        <v>123.36</v>
      </c>
      <c r="J206" s="1894">
        <v>133.6</v>
      </c>
      <c r="K206" s="1894">
        <v>0.92820000000000003</v>
      </c>
      <c r="L206" s="1894">
        <v>28.78</v>
      </c>
      <c r="M206" s="1894">
        <v>25566</v>
      </c>
      <c r="N206" s="1894">
        <f t="shared" si="85"/>
        <v>53292</v>
      </c>
      <c r="O206" s="1894">
        <f t="shared" si="86"/>
        <v>0</v>
      </c>
      <c r="P206" s="1894">
        <v>167</v>
      </c>
      <c r="Q206" s="1894">
        <v>112.32</v>
      </c>
      <c r="R206" s="1894">
        <v>133.6</v>
      </c>
      <c r="S206" s="1894">
        <v>0.92110000000000003</v>
      </c>
      <c r="T206" s="1894">
        <v>31.18</v>
      </c>
      <c r="U206" s="1894">
        <v>26056</v>
      </c>
      <c r="V206" s="1894">
        <f t="shared" si="87"/>
        <v>50140</v>
      </c>
      <c r="W206" s="1894">
        <f t="shared" si="88"/>
        <v>0</v>
      </c>
      <c r="X206" s="1894">
        <v>167</v>
      </c>
      <c r="Y206" s="1894">
        <v>121.92</v>
      </c>
      <c r="Z206" s="1894">
        <v>133.6</v>
      </c>
      <c r="AA206" s="1894">
        <v>0.93320000000000003</v>
      </c>
      <c r="AB206" s="1894">
        <v>31.46</v>
      </c>
      <c r="AC206" s="1894">
        <v>27617</v>
      </c>
      <c r="AD206" s="1894">
        <f t="shared" si="89"/>
        <v>52669</v>
      </c>
      <c r="AE206" s="1894">
        <f t="shared" si="90"/>
        <v>0</v>
      </c>
      <c r="AF206" s="1894">
        <v>167</v>
      </c>
      <c r="AG206" s="1894">
        <v>105.11999999999999</v>
      </c>
      <c r="AH206" s="1894">
        <v>133.6</v>
      </c>
      <c r="AI206" s="1894">
        <v>0.93369999999999997</v>
      </c>
      <c r="AJ206" s="1894">
        <v>26.82</v>
      </c>
      <c r="AK206" s="1894">
        <v>20976</v>
      </c>
      <c r="AL206" s="1894">
        <f t="shared" si="83"/>
        <v>46926</v>
      </c>
      <c r="AM206" s="1894">
        <f t="shared" si="84"/>
        <v>0</v>
      </c>
      <c r="AN206" s="1894">
        <v>167</v>
      </c>
      <c r="AO206" s="1894">
        <v>98.48</v>
      </c>
      <c r="AP206" s="1894">
        <v>133.6</v>
      </c>
      <c r="AQ206" s="1894">
        <v>0.92949999999999999</v>
      </c>
      <c r="AR206" s="1894">
        <v>28.22</v>
      </c>
      <c r="AS206" s="1894">
        <v>20679</v>
      </c>
      <c r="AT206" s="1894">
        <f t="shared" si="91"/>
        <v>43961</v>
      </c>
      <c r="AU206" s="1894">
        <f t="shared" si="92"/>
        <v>0</v>
      </c>
      <c r="AV206" s="1894">
        <v>167</v>
      </c>
      <c r="AW206" s="1894">
        <v>94.8</v>
      </c>
      <c r="AX206" s="1894">
        <v>133.6</v>
      </c>
      <c r="AY206" s="1894">
        <v>0.92530000000000001</v>
      </c>
      <c r="AZ206" s="1894">
        <v>28.02</v>
      </c>
      <c r="BA206" s="1894">
        <v>19123</v>
      </c>
      <c r="BB206" s="1894">
        <f t="shared" si="93"/>
        <v>40954</v>
      </c>
      <c r="BC206" s="1894">
        <f t="shared" si="94"/>
        <v>0</v>
      </c>
      <c r="BD206" s="1894">
        <v>167</v>
      </c>
      <c r="BE206" s="1894">
        <v>98.64</v>
      </c>
      <c r="BF206" s="1894">
        <v>133.6</v>
      </c>
      <c r="BG206" s="1894">
        <v>0.92510000000000003</v>
      </c>
      <c r="BH206" s="1894">
        <v>28.42</v>
      </c>
      <c r="BI206" s="1894">
        <v>20858</v>
      </c>
      <c r="BJ206" s="1894">
        <f t="shared" si="95"/>
        <v>44033</v>
      </c>
      <c r="BK206" s="1894">
        <f t="shared" si="96"/>
        <v>0</v>
      </c>
      <c r="BL206" s="1894">
        <v>167</v>
      </c>
      <c r="BM206" s="1894">
        <v>88</v>
      </c>
      <c r="BN206" s="1894">
        <v>133.6</v>
      </c>
      <c r="BO206" s="1894">
        <v>0.92069999999999996</v>
      </c>
      <c r="BP206" s="1894">
        <v>24.81</v>
      </c>
      <c r="BQ206" s="1894">
        <v>15718</v>
      </c>
      <c r="BR206" s="1894">
        <f t="shared" si="97"/>
        <v>38016</v>
      </c>
      <c r="BS206" s="1894">
        <f t="shared" si="98"/>
        <v>0</v>
      </c>
      <c r="BT206" s="1894">
        <v>167</v>
      </c>
      <c r="BU206" s="1894">
        <v>91.36</v>
      </c>
      <c r="BV206" s="1894">
        <v>133.6</v>
      </c>
      <c r="BW206" s="1894">
        <v>0.92669999999999997</v>
      </c>
      <c r="BX206" s="1894">
        <v>17.86</v>
      </c>
      <c r="BY206" s="1894">
        <v>12137</v>
      </c>
      <c r="BZ206" s="1894">
        <f t="shared" si="99"/>
        <v>40783</v>
      </c>
      <c r="CA206" s="1894">
        <f t="shared" si="100"/>
        <v>0</v>
      </c>
      <c r="CB206" s="1894">
        <v>167</v>
      </c>
      <c r="CC206" s="1894">
        <v>88.160000000000011</v>
      </c>
      <c r="CD206" s="1894">
        <v>133.6</v>
      </c>
      <c r="CE206" s="1894">
        <v>0.9264</v>
      </c>
      <c r="CF206" s="1894">
        <v>18.36</v>
      </c>
      <c r="CG206" s="1894">
        <v>12040</v>
      </c>
      <c r="CH206" s="1894">
        <f t="shared" si="101"/>
        <v>39355</v>
      </c>
      <c r="CI206" s="1894">
        <f t="shared" si="102"/>
        <v>0</v>
      </c>
      <c r="CJ206" s="1894">
        <v>167</v>
      </c>
      <c r="CK206" s="1894">
        <v>91.52</v>
      </c>
      <c r="CL206" s="1894">
        <v>133.6</v>
      </c>
      <c r="CM206" s="1894">
        <v>0.90539999999999998</v>
      </c>
      <c r="CN206" s="1894">
        <v>22.71</v>
      </c>
      <c r="CO206" s="1894">
        <v>13970</v>
      </c>
      <c r="CP206" s="1894">
        <f t="shared" si="103"/>
        <v>36901</v>
      </c>
      <c r="CQ206" s="1894">
        <f t="shared" si="104"/>
        <v>0</v>
      </c>
      <c r="CR206" s="1924">
        <v>167</v>
      </c>
      <c r="CS206" s="1924">
        <v>137.35999999999999</v>
      </c>
      <c r="CT206" s="1924">
        <v>137.36000000000001</v>
      </c>
      <c r="CU206" s="1924">
        <v>0.89639999999999997</v>
      </c>
      <c r="CV206" s="1924">
        <v>17.12</v>
      </c>
      <c r="CW206" s="1924">
        <v>17501</v>
      </c>
      <c r="CX206" s="1894">
        <f t="shared" si="105"/>
        <v>61318</v>
      </c>
      <c r="CY206" s="1894">
        <f t="shared" si="106"/>
        <v>0</v>
      </c>
    </row>
    <row r="207" spans="1:103">
      <c r="A207" s="982">
        <v>121000000080</v>
      </c>
      <c r="B207" s="1923">
        <f t="shared" si="107"/>
        <v>201</v>
      </c>
      <c r="C207" s="1895" t="s">
        <v>3093</v>
      </c>
      <c r="D207" s="1894" t="s">
        <v>524</v>
      </c>
      <c r="E207" s="1895" t="s">
        <v>2966</v>
      </c>
      <c r="F207" s="1894" t="s">
        <v>259</v>
      </c>
      <c r="G207" s="1924">
        <v>167</v>
      </c>
      <c r="H207" s="1894">
        <v>167</v>
      </c>
      <c r="I207" s="1894">
        <v>172.8</v>
      </c>
      <c r="J207" s="1894">
        <v>172.8</v>
      </c>
      <c r="K207" s="1894">
        <v>0.73150000000000004</v>
      </c>
      <c r="L207" s="1894">
        <v>0</v>
      </c>
      <c r="M207" s="1894">
        <v>44672</v>
      </c>
      <c r="N207" s="1894">
        <f t="shared" si="85"/>
        <v>74650</v>
      </c>
      <c r="O207" s="1894">
        <f t="shared" si="86"/>
        <v>0</v>
      </c>
      <c r="P207" s="1894">
        <v>167</v>
      </c>
      <c r="Q207" s="1894">
        <v>195.44</v>
      </c>
      <c r="R207" s="1894">
        <v>195.44</v>
      </c>
      <c r="S207" s="1894">
        <v>0.67949999999999999</v>
      </c>
      <c r="T207" s="1894">
        <v>0</v>
      </c>
      <c r="U207" s="1894">
        <v>38273</v>
      </c>
      <c r="V207" s="1894">
        <f t="shared" si="87"/>
        <v>87244</v>
      </c>
      <c r="W207" s="1894">
        <f t="shared" si="88"/>
        <v>0</v>
      </c>
      <c r="X207" s="1894">
        <v>167</v>
      </c>
      <c r="Y207" s="1894">
        <v>103.36000000000001</v>
      </c>
      <c r="Z207" s="1894">
        <v>167</v>
      </c>
      <c r="AA207" s="1894">
        <v>0.66149999999999998</v>
      </c>
      <c r="AB207" s="1894">
        <v>0</v>
      </c>
      <c r="AC207" s="1894">
        <v>13791</v>
      </c>
      <c r="AD207" s="1894">
        <f t="shared" si="89"/>
        <v>44652</v>
      </c>
      <c r="AE207" s="1894">
        <f t="shared" si="90"/>
        <v>0</v>
      </c>
      <c r="AF207" s="1894">
        <v>167</v>
      </c>
      <c r="AG207" s="1894">
        <v>121.36</v>
      </c>
      <c r="AH207" s="1894">
        <v>167</v>
      </c>
      <c r="AI207" s="1894">
        <v>0.40570000000000001</v>
      </c>
      <c r="AJ207" s="1894">
        <v>0</v>
      </c>
      <c r="AK207" s="1894">
        <v>5193</v>
      </c>
      <c r="AL207" s="1894">
        <f t="shared" si="83"/>
        <v>54175</v>
      </c>
      <c r="AM207" s="1894">
        <f t="shared" si="84"/>
        <v>0</v>
      </c>
      <c r="AN207" s="1894">
        <v>167</v>
      </c>
      <c r="AO207" s="1894">
        <v>56.56</v>
      </c>
      <c r="AP207" s="1894">
        <v>167</v>
      </c>
      <c r="AQ207" s="1894">
        <v>0.52510000000000001</v>
      </c>
      <c r="AR207" s="1894">
        <v>0</v>
      </c>
      <c r="AS207" s="1894">
        <v>6676</v>
      </c>
      <c r="AT207" s="1894">
        <f t="shared" si="91"/>
        <v>25248</v>
      </c>
      <c r="AU207" s="1894">
        <f t="shared" si="92"/>
        <v>0</v>
      </c>
      <c r="AV207" s="1894">
        <v>167</v>
      </c>
      <c r="AW207" s="1894">
        <v>56.24</v>
      </c>
      <c r="AX207" s="1894">
        <v>167</v>
      </c>
      <c r="AY207" s="1894">
        <v>0.61799999999999999</v>
      </c>
      <c r="AZ207" s="1894">
        <v>0</v>
      </c>
      <c r="BA207" s="1894">
        <v>12056</v>
      </c>
      <c r="BB207" s="1894">
        <f t="shared" si="93"/>
        <v>24296</v>
      </c>
      <c r="BC207" s="1894">
        <f t="shared" si="94"/>
        <v>0</v>
      </c>
      <c r="BD207" s="1894">
        <v>167</v>
      </c>
      <c r="BE207" s="1894">
        <v>41.760000000000005</v>
      </c>
      <c r="BF207" s="1894">
        <v>167</v>
      </c>
      <c r="BG207" s="1894">
        <v>0.56179999999999997</v>
      </c>
      <c r="BH207" s="1894">
        <v>0</v>
      </c>
      <c r="BI207" s="1894">
        <v>9541</v>
      </c>
      <c r="BJ207" s="1894">
        <f t="shared" si="95"/>
        <v>18642</v>
      </c>
      <c r="BK207" s="1894">
        <f t="shared" si="96"/>
        <v>0</v>
      </c>
      <c r="BL207" s="1894">
        <v>167</v>
      </c>
      <c r="BM207" s="1894">
        <v>36.559999999999995</v>
      </c>
      <c r="BN207" s="1894">
        <v>167</v>
      </c>
      <c r="BO207" s="1894">
        <v>0.12590000000000001</v>
      </c>
      <c r="BP207" s="1894">
        <v>0</v>
      </c>
      <c r="BQ207" s="1894">
        <v>7720</v>
      </c>
      <c r="BR207" s="1894">
        <f t="shared" si="97"/>
        <v>15794</v>
      </c>
      <c r="BS207" s="1894">
        <f t="shared" si="98"/>
        <v>0</v>
      </c>
      <c r="BT207" s="1894">
        <v>167</v>
      </c>
      <c r="BU207" s="1894">
        <v>31.36</v>
      </c>
      <c r="BV207" s="1894">
        <v>167</v>
      </c>
      <c r="BW207" s="1894">
        <v>0.15260000000000001</v>
      </c>
      <c r="BX207" s="1894">
        <v>0</v>
      </c>
      <c r="BY207" s="1894">
        <v>8577</v>
      </c>
      <c r="BZ207" s="1894">
        <f t="shared" si="99"/>
        <v>13999</v>
      </c>
      <c r="CA207" s="1894">
        <f t="shared" si="100"/>
        <v>0</v>
      </c>
      <c r="CB207" s="1894">
        <v>167</v>
      </c>
      <c r="CC207" s="1894">
        <v>101.03999999999999</v>
      </c>
      <c r="CD207" s="1894">
        <v>167</v>
      </c>
      <c r="CE207" s="1894">
        <v>0.53449999999999998</v>
      </c>
      <c r="CF207" s="1894">
        <v>0</v>
      </c>
      <c r="CG207" s="1894">
        <v>13278</v>
      </c>
      <c r="CH207" s="1894">
        <f t="shared" si="101"/>
        <v>45104</v>
      </c>
      <c r="CI207" s="1894">
        <f t="shared" si="102"/>
        <v>0</v>
      </c>
      <c r="CJ207" s="1894">
        <v>167</v>
      </c>
      <c r="CK207" s="1894">
        <v>120.88000000000001</v>
      </c>
      <c r="CL207" s="1894">
        <v>167</v>
      </c>
      <c r="CM207" s="1894">
        <v>0.59279999999999999</v>
      </c>
      <c r="CN207" s="1894">
        <v>0</v>
      </c>
      <c r="CO207" s="1894">
        <v>17751</v>
      </c>
      <c r="CP207" s="1894">
        <f t="shared" si="103"/>
        <v>48739</v>
      </c>
      <c r="CQ207" s="1894">
        <f t="shared" si="104"/>
        <v>0</v>
      </c>
      <c r="CR207" s="1924">
        <v>167</v>
      </c>
      <c r="CS207" s="1924">
        <v>157.91999999999999</v>
      </c>
      <c r="CT207" s="1924">
        <v>167</v>
      </c>
      <c r="CU207" s="1924">
        <v>0.68689999999999996</v>
      </c>
      <c r="CV207" s="1924">
        <v>0</v>
      </c>
      <c r="CW207" s="1924">
        <v>29876</v>
      </c>
      <c r="CX207" s="1894">
        <f t="shared" si="105"/>
        <v>70495</v>
      </c>
      <c r="CY207" s="1894">
        <f t="shared" si="106"/>
        <v>0</v>
      </c>
    </row>
    <row r="208" spans="1:103">
      <c r="A208" s="982">
        <v>122000000044</v>
      </c>
      <c r="B208" s="1923">
        <f t="shared" si="107"/>
        <v>202</v>
      </c>
      <c r="C208" s="1895" t="s">
        <v>3094</v>
      </c>
      <c r="D208" s="1894" t="s">
        <v>524</v>
      </c>
      <c r="E208" s="1895" t="s">
        <v>541</v>
      </c>
      <c r="F208" s="1894" t="s">
        <v>259</v>
      </c>
      <c r="G208" s="1924">
        <v>167</v>
      </c>
      <c r="H208" s="1894">
        <v>167</v>
      </c>
      <c r="I208" s="1894">
        <v>118.6</v>
      </c>
      <c r="J208" s="1894">
        <v>133.6</v>
      </c>
      <c r="K208" s="1894">
        <v>0.93789999999999996</v>
      </c>
      <c r="L208" s="1894">
        <v>10.09</v>
      </c>
      <c r="M208" s="1894">
        <v>9190</v>
      </c>
      <c r="N208" s="1894">
        <f t="shared" si="85"/>
        <v>51235</v>
      </c>
      <c r="O208" s="1894">
        <f t="shared" si="86"/>
        <v>0</v>
      </c>
      <c r="P208" s="1894">
        <v>167</v>
      </c>
      <c r="Q208" s="1894">
        <v>85.32</v>
      </c>
      <c r="R208" s="1894">
        <v>133.6</v>
      </c>
      <c r="S208" s="1894">
        <v>0.93469999999999998</v>
      </c>
      <c r="T208" s="1894">
        <v>15.41</v>
      </c>
      <c r="U208" s="1894">
        <v>9782</v>
      </c>
      <c r="V208" s="1894">
        <f t="shared" si="87"/>
        <v>38087</v>
      </c>
      <c r="W208" s="1894">
        <f t="shared" si="88"/>
        <v>0</v>
      </c>
      <c r="X208" s="1894">
        <v>167</v>
      </c>
      <c r="Y208" s="1894">
        <v>41.06</v>
      </c>
      <c r="Z208" s="1894">
        <v>133.6</v>
      </c>
      <c r="AA208" s="1894">
        <v>0.86150000000000004</v>
      </c>
      <c r="AB208" s="1894">
        <v>6.6</v>
      </c>
      <c r="AC208" s="1894">
        <v>2080</v>
      </c>
      <c r="AD208" s="1894">
        <f t="shared" si="89"/>
        <v>17738</v>
      </c>
      <c r="AE208" s="1894">
        <f t="shared" si="90"/>
        <v>0</v>
      </c>
      <c r="AF208" s="1894">
        <v>167</v>
      </c>
      <c r="AG208" s="1894">
        <v>13.44</v>
      </c>
      <c r="AH208" s="1894">
        <v>133.6</v>
      </c>
      <c r="AI208" s="1894">
        <v>0.56669999999999998</v>
      </c>
      <c r="AJ208" s="1894">
        <v>27.42</v>
      </c>
      <c r="AK208" s="1894">
        <v>2830</v>
      </c>
      <c r="AL208" s="1894">
        <f t="shared" si="83"/>
        <v>6000</v>
      </c>
      <c r="AM208" s="1894">
        <f t="shared" si="84"/>
        <v>0</v>
      </c>
      <c r="AN208" s="1894">
        <v>167</v>
      </c>
      <c r="AO208" s="1894">
        <v>3.6799999999999997</v>
      </c>
      <c r="AP208" s="1894">
        <v>133.6</v>
      </c>
      <c r="AQ208" s="1894">
        <v>0.3407</v>
      </c>
      <c r="AR208" s="1894">
        <v>103.76</v>
      </c>
      <c r="AS208" s="1894">
        <v>2841</v>
      </c>
      <c r="AT208" s="1894">
        <f t="shared" si="91"/>
        <v>1643</v>
      </c>
      <c r="AU208" s="1894">
        <f t="shared" si="92"/>
        <v>1198</v>
      </c>
      <c r="AV208" s="1894">
        <v>167</v>
      </c>
      <c r="AW208" s="1894">
        <v>6.8000000000000007</v>
      </c>
      <c r="AX208" s="1894">
        <v>133.6</v>
      </c>
      <c r="AY208" s="1894">
        <v>0.27589999999999998</v>
      </c>
      <c r="AZ208" s="1894">
        <v>50.1</v>
      </c>
      <c r="BA208" s="1894">
        <v>2453</v>
      </c>
      <c r="BB208" s="1894">
        <f t="shared" si="93"/>
        <v>2938</v>
      </c>
      <c r="BC208" s="1894">
        <f t="shared" si="94"/>
        <v>0</v>
      </c>
      <c r="BD208" s="1894">
        <v>167</v>
      </c>
      <c r="BE208" s="1894">
        <v>6.2399999999999993</v>
      </c>
      <c r="BF208" s="1894">
        <v>133.6</v>
      </c>
      <c r="BG208" s="1894">
        <v>0.30809999999999998</v>
      </c>
      <c r="BH208" s="1894">
        <v>63.82</v>
      </c>
      <c r="BI208" s="1894">
        <v>2963</v>
      </c>
      <c r="BJ208" s="1894">
        <f t="shared" si="95"/>
        <v>2786</v>
      </c>
      <c r="BK208" s="1894">
        <f t="shared" si="96"/>
        <v>177</v>
      </c>
      <c r="BL208" s="1894">
        <v>167</v>
      </c>
      <c r="BM208" s="1894">
        <v>6.4</v>
      </c>
      <c r="BN208" s="1894">
        <v>133.6</v>
      </c>
      <c r="BO208" s="1894">
        <v>0.22919999999999999</v>
      </c>
      <c r="BP208" s="1894">
        <v>69.66</v>
      </c>
      <c r="BQ208" s="1894">
        <v>3210</v>
      </c>
      <c r="BR208" s="1894">
        <f t="shared" si="97"/>
        <v>2765</v>
      </c>
      <c r="BS208" s="1894">
        <f t="shared" si="98"/>
        <v>445</v>
      </c>
      <c r="BT208" s="1894">
        <v>167</v>
      </c>
      <c r="BU208" s="1894">
        <v>5.84</v>
      </c>
      <c r="BV208" s="1894">
        <v>133.6</v>
      </c>
      <c r="BW208" s="1894">
        <v>0.1963</v>
      </c>
      <c r="BX208" s="1894">
        <v>75.83</v>
      </c>
      <c r="BY208" s="1894">
        <v>3295</v>
      </c>
      <c r="BZ208" s="1894">
        <f t="shared" si="99"/>
        <v>2607</v>
      </c>
      <c r="CA208" s="1894">
        <f t="shared" si="100"/>
        <v>688</v>
      </c>
      <c r="CB208" s="1894">
        <v>167</v>
      </c>
      <c r="CC208" s="1894">
        <v>5.92</v>
      </c>
      <c r="CD208" s="1894">
        <v>133.6</v>
      </c>
      <c r="CE208" s="1894">
        <v>0.23599999999999999</v>
      </c>
      <c r="CF208" s="1894">
        <v>66.95</v>
      </c>
      <c r="CG208" s="1894">
        <v>2949</v>
      </c>
      <c r="CH208" s="1894">
        <f t="shared" si="101"/>
        <v>2643</v>
      </c>
      <c r="CI208" s="1894">
        <f t="shared" si="102"/>
        <v>306</v>
      </c>
      <c r="CJ208" s="1894">
        <v>167</v>
      </c>
      <c r="CK208" s="1894">
        <v>5.4399999999999995</v>
      </c>
      <c r="CL208" s="1894">
        <v>133.6</v>
      </c>
      <c r="CM208" s="1894">
        <v>0.25230000000000002</v>
      </c>
      <c r="CN208" s="1894">
        <v>70.36</v>
      </c>
      <c r="CO208" s="1894">
        <v>2572</v>
      </c>
      <c r="CP208" s="1894">
        <f t="shared" si="103"/>
        <v>2193</v>
      </c>
      <c r="CQ208" s="1894">
        <f t="shared" si="104"/>
        <v>379</v>
      </c>
      <c r="CR208" s="1924">
        <v>167</v>
      </c>
      <c r="CS208" s="1924">
        <v>5.28</v>
      </c>
      <c r="CT208" s="1924">
        <v>133.6</v>
      </c>
      <c r="CU208" s="1924">
        <v>0.2772</v>
      </c>
      <c r="CV208" s="1924">
        <v>62.52</v>
      </c>
      <c r="CW208" s="1924">
        <v>2456</v>
      </c>
      <c r="CX208" s="1894">
        <f t="shared" si="105"/>
        <v>2357</v>
      </c>
      <c r="CY208" s="1894">
        <f t="shared" si="106"/>
        <v>99</v>
      </c>
    </row>
    <row r="209" spans="1:103">
      <c r="A209" s="982">
        <v>123000000121</v>
      </c>
      <c r="B209" s="1923">
        <f t="shared" si="107"/>
        <v>203</v>
      </c>
      <c r="C209" s="1895" t="s">
        <v>3095</v>
      </c>
      <c r="D209" s="1894" t="s">
        <v>524</v>
      </c>
      <c r="E209" s="1895" t="s">
        <v>636</v>
      </c>
      <c r="F209" s="1894" t="s">
        <v>259</v>
      </c>
      <c r="G209" s="1924">
        <v>167</v>
      </c>
      <c r="H209" s="1894">
        <v>167</v>
      </c>
      <c r="I209" s="1894">
        <v>34</v>
      </c>
      <c r="J209" s="1894">
        <v>133.6</v>
      </c>
      <c r="K209" s="1894">
        <v>0.95750000000000002</v>
      </c>
      <c r="L209" s="1894">
        <v>19.54</v>
      </c>
      <c r="M209" s="1894">
        <v>4783</v>
      </c>
      <c r="N209" s="1894">
        <f t="shared" si="85"/>
        <v>14688</v>
      </c>
      <c r="O209" s="1894">
        <f t="shared" si="86"/>
        <v>0</v>
      </c>
      <c r="P209" s="1894">
        <v>167</v>
      </c>
      <c r="Q209" s="1894">
        <v>34.32</v>
      </c>
      <c r="R209" s="1894">
        <v>133.6</v>
      </c>
      <c r="S209" s="1894">
        <v>0.95109999999999995</v>
      </c>
      <c r="T209" s="1894">
        <v>19.23</v>
      </c>
      <c r="U209" s="1894">
        <v>4909</v>
      </c>
      <c r="V209" s="1894">
        <f t="shared" si="87"/>
        <v>15320</v>
      </c>
      <c r="W209" s="1894">
        <f t="shared" si="88"/>
        <v>0</v>
      </c>
      <c r="X209" s="1894">
        <v>167</v>
      </c>
      <c r="Y209" s="1894">
        <v>36.480000000000004</v>
      </c>
      <c r="Z209" s="1894">
        <v>133.6</v>
      </c>
      <c r="AA209" s="1894">
        <v>0.95630000000000004</v>
      </c>
      <c r="AB209" s="1894">
        <v>16.73</v>
      </c>
      <c r="AC209" s="1894">
        <v>4394</v>
      </c>
      <c r="AD209" s="1894">
        <f t="shared" si="89"/>
        <v>15759</v>
      </c>
      <c r="AE209" s="1894">
        <f t="shared" si="90"/>
        <v>0</v>
      </c>
      <c r="AF209" s="1894">
        <v>167</v>
      </c>
      <c r="AG209" s="1894">
        <v>32.24</v>
      </c>
      <c r="AH209" s="1894">
        <v>133.6</v>
      </c>
      <c r="AI209" s="1894">
        <v>0.95779999999999998</v>
      </c>
      <c r="AJ209" s="1894">
        <v>16.600000000000001</v>
      </c>
      <c r="AK209" s="1894">
        <v>3982</v>
      </c>
      <c r="AL209" s="1894">
        <f t="shared" si="83"/>
        <v>14392</v>
      </c>
      <c r="AM209" s="1894">
        <f t="shared" si="84"/>
        <v>0</v>
      </c>
      <c r="AN209" s="1894">
        <v>167</v>
      </c>
      <c r="AO209" s="1894">
        <v>30.240000000000002</v>
      </c>
      <c r="AP209" s="1894">
        <v>133.6</v>
      </c>
      <c r="AQ209" s="1894">
        <v>0.95699999999999996</v>
      </c>
      <c r="AR209" s="1894">
        <v>17.5</v>
      </c>
      <c r="AS209" s="1894">
        <v>3937</v>
      </c>
      <c r="AT209" s="1894">
        <f t="shared" si="91"/>
        <v>13499</v>
      </c>
      <c r="AU209" s="1894">
        <f t="shared" si="92"/>
        <v>0</v>
      </c>
      <c r="AV209" s="1894">
        <v>167</v>
      </c>
      <c r="AW209" s="1894">
        <v>34.08</v>
      </c>
      <c r="AX209" s="1894">
        <v>133.6</v>
      </c>
      <c r="AY209" s="1894">
        <v>0.95850000000000002</v>
      </c>
      <c r="AZ209" s="1894">
        <v>17.39</v>
      </c>
      <c r="BA209" s="1894">
        <v>4268</v>
      </c>
      <c r="BB209" s="1894">
        <f t="shared" si="93"/>
        <v>14723</v>
      </c>
      <c r="BC209" s="1894">
        <f t="shared" si="94"/>
        <v>0</v>
      </c>
      <c r="BD209" s="1894">
        <v>167</v>
      </c>
      <c r="BE209" s="1894">
        <v>30.959999999999997</v>
      </c>
      <c r="BF209" s="1894">
        <v>133.6</v>
      </c>
      <c r="BG209" s="1894">
        <v>0.9597</v>
      </c>
      <c r="BH209" s="1894">
        <v>15.3</v>
      </c>
      <c r="BI209" s="1894">
        <v>3525</v>
      </c>
      <c r="BJ209" s="1894">
        <f t="shared" si="95"/>
        <v>13821</v>
      </c>
      <c r="BK209" s="1894">
        <f t="shared" si="96"/>
        <v>0</v>
      </c>
      <c r="BL209" s="1894">
        <v>167</v>
      </c>
      <c r="BM209" s="1894">
        <v>39</v>
      </c>
      <c r="BN209" s="1894">
        <v>133.6</v>
      </c>
      <c r="BO209" s="1894">
        <v>0.95830000000000004</v>
      </c>
      <c r="BP209" s="1894">
        <v>18.399999999999999</v>
      </c>
      <c r="BQ209" s="1894">
        <v>3329</v>
      </c>
      <c r="BR209" s="1894">
        <f t="shared" si="97"/>
        <v>16848</v>
      </c>
      <c r="BS209" s="1894">
        <f t="shared" si="98"/>
        <v>0</v>
      </c>
      <c r="BT209" s="1894">
        <v>167</v>
      </c>
      <c r="BU209" s="1894">
        <v>28.080000000000002</v>
      </c>
      <c r="BV209" s="1894">
        <v>133.6</v>
      </c>
      <c r="BW209" s="1894">
        <v>0.95540000000000003</v>
      </c>
      <c r="BX209" s="1894">
        <v>17.260000000000002</v>
      </c>
      <c r="BY209" s="1894">
        <v>3723</v>
      </c>
      <c r="BZ209" s="1894">
        <f t="shared" si="99"/>
        <v>12535</v>
      </c>
      <c r="CA209" s="1894">
        <f t="shared" si="100"/>
        <v>0</v>
      </c>
      <c r="CB209" s="1894">
        <v>167</v>
      </c>
      <c r="CC209" s="1894">
        <v>29.16</v>
      </c>
      <c r="CD209" s="1894">
        <v>133.6</v>
      </c>
      <c r="CE209" s="1894">
        <v>0.95850000000000002</v>
      </c>
      <c r="CF209" s="1894">
        <v>15.36</v>
      </c>
      <c r="CG209" s="1894">
        <v>3332</v>
      </c>
      <c r="CH209" s="1894">
        <f t="shared" si="101"/>
        <v>13017</v>
      </c>
      <c r="CI209" s="1894">
        <f t="shared" si="102"/>
        <v>0</v>
      </c>
      <c r="CJ209" s="1894">
        <v>167</v>
      </c>
      <c r="CK209" s="1894">
        <v>27.240000000000002</v>
      </c>
      <c r="CL209" s="1894">
        <v>133.6</v>
      </c>
      <c r="CM209" s="1894">
        <v>0.95960000000000001</v>
      </c>
      <c r="CN209" s="1894">
        <v>17.07</v>
      </c>
      <c r="CO209" s="1894">
        <v>3125</v>
      </c>
      <c r="CP209" s="1894">
        <f t="shared" si="103"/>
        <v>10983</v>
      </c>
      <c r="CQ209" s="1894">
        <f t="shared" si="104"/>
        <v>0</v>
      </c>
      <c r="CR209" s="1924">
        <v>167</v>
      </c>
      <c r="CS209" s="1924">
        <v>26.4</v>
      </c>
      <c r="CT209" s="1924">
        <v>133.6</v>
      </c>
      <c r="CU209" s="1924">
        <v>0.96540000000000004</v>
      </c>
      <c r="CV209" s="1924">
        <v>18.440000000000001</v>
      </c>
      <c r="CW209" s="1924">
        <v>3622</v>
      </c>
      <c r="CX209" s="1894">
        <f t="shared" si="105"/>
        <v>11785</v>
      </c>
      <c r="CY209" s="1894">
        <f t="shared" si="106"/>
        <v>0</v>
      </c>
    </row>
    <row r="210" spans="1:103">
      <c r="A210" s="982">
        <v>124000000050</v>
      </c>
      <c r="B210" s="1923">
        <f t="shared" si="107"/>
        <v>204</v>
      </c>
      <c r="C210" s="1895" t="s">
        <v>3096</v>
      </c>
      <c r="D210" s="1894" t="s">
        <v>524</v>
      </c>
      <c r="E210" s="1895" t="s">
        <v>541</v>
      </c>
      <c r="F210" s="1894" t="s">
        <v>259</v>
      </c>
      <c r="G210" s="1924">
        <v>167</v>
      </c>
      <c r="H210" s="1894">
        <v>167</v>
      </c>
      <c r="I210" s="1894">
        <v>37.44</v>
      </c>
      <c r="J210" s="1894">
        <v>133.6</v>
      </c>
      <c r="K210" s="1894">
        <v>1.0002</v>
      </c>
      <c r="L210" s="1894">
        <v>13.73</v>
      </c>
      <c r="M210" s="1894">
        <v>3700</v>
      </c>
      <c r="N210" s="1894">
        <f t="shared" si="85"/>
        <v>16174</v>
      </c>
      <c r="O210" s="1894">
        <f t="shared" si="86"/>
        <v>0</v>
      </c>
      <c r="P210" s="1894">
        <v>167</v>
      </c>
      <c r="Q210" s="1894">
        <v>37.92</v>
      </c>
      <c r="R210" s="1894">
        <v>133.6</v>
      </c>
      <c r="S210" s="1894">
        <v>0.98209999999999997</v>
      </c>
      <c r="T210" s="1894">
        <v>13.28</v>
      </c>
      <c r="U210" s="1894">
        <v>3746</v>
      </c>
      <c r="V210" s="1894">
        <f t="shared" si="87"/>
        <v>16927</v>
      </c>
      <c r="W210" s="1894">
        <f t="shared" si="88"/>
        <v>0</v>
      </c>
      <c r="X210" s="1894">
        <v>167</v>
      </c>
      <c r="Y210" s="1894">
        <v>43.32</v>
      </c>
      <c r="Z210" s="1894">
        <v>133.6</v>
      </c>
      <c r="AA210" s="1894">
        <v>0.99919999999999998</v>
      </c>
      <c r="AB210" s="1894">
        <v>8.4499999999999993</v>
      </c>
      <c r="AC210" s="1894">
        <v>2636</v>
      </c>
      <c r="AD210" s="1894">
        <f t="shared" si="89"/>
        <v>18714</v>
      </c>
      <c r="AE210" s="1894">
        <f t="shared" si="90"/>
        <v>0</v>
      </c>
      <c r="AF210" s="1894">
        <v>167</v>
      </c>
      <c r="AG210" s="1894">
        <v>44.28</v>
      </c>
      <c r="AH210" s="1894">
        <v>133.6</v>
      </c>
      <c r="AI210" s="1894">
        <v>0.99970000000000003</v>
      </c>
      <c r="AJ210" s="1894">
        <v>11.75</v>
      </c>
      <c r="AK210" s="1894">
        <v>3871</v>
      </c>
      <c r="AL210" s="1894">
        <f t="shared" si="83"/>
        <v>19767</v>
      </c>
      <c r="AM210" s="1894">
        <f t="shared" si="84"/>
        <v>0</v>
      </c>
      <c r="AN210" s="1894">
        <v>167</v>
      </c>
      <c r="AO210" s="1894">
        <v>39.360000000000007</v>
      </c>
      <c r="AP210" s="1894">
        <v>133.6</v>
      </c>
      <c r="AQ210" s="1894">
        <v>0.99860000000000004</v>
      </c>
      <c r="AR210" s="1894">
        <v>10.14</v>
      </c>
      <c r="AS210" s="1894">
        <v>2968</v>
      </c>
      <c r="AT210" s="1894">
        <f t="shared" si="91"/>
        <v>17570</v>
      </c>
      <c r="AU210" s="1894">
        <f t="shared" si="92"/>
        <v>0</v>
      </c>
      <c r="AV210" s="1894">
        <v>167</v>
      </c>
      <c r="AW210" s="1894">
        <v>42.12</v>
      </c>
      <c r="AX210" s="1894">
        <v>133.6</v>
      </c>
      <c r="AY210" s="1894">
        <v>0.99929999999999997</v>
      </c>
      <c r="AZ210" s="1894">
        <v>10.58</v>
      </c>
      <c r="BA210" s="1894">
        <v>3208</v>
      </c>
      <c r="BB210" s="1894">
        <f t="shared" si="93"/>
        <v>18196</v>
      </c>
      <c r="BC210" s="1894">
        <f t="shared" si="94"/>
        <v>0</v>
      </c>
      <c r="BD210" s="1894">
        <v>167</v>
      </c>
      <c r="BE210" s="1894">
        <v>36.72</v>
      </c>
      <c r="BF210" s="1894">
        <v>133.6</v>
      </c>
      <c r="BG210" s="1894">
        <v>0.99890000000000001</v>
      </c>
      <c r="BH210" s="1894">
        <v>10.15</v>
      </c>
      <c r="BI210" s="1894">
        <v>2772</v>
      </c>
      <c r="BJ210" s="1894">
        <f t="shared" si="95"/>
        <v>16392</v>
      </c>
      <c r="BK210" s="1894">
        <f t="shared" si="96"/>
        <v>0</v>
      </c>
      <c r="BL210" s="1894">
        <v>167</v>
      </c>
      <c r="BM210" s="1894">
        <v>38.519999999999996</v>
      </c>
      <c r="BN210" s="1894">
        <v>133.6</v>
      </c>
      <c r="BO210" s="1894">
        <v>0.99880000000000002</v>
      </c>
      <c r="BP210" s="1894">
        <v>9.42</v>
      </c>
      <c r="BQ210" s="1894">
        <v>2613</v>
      </c>
      <c r="BR210" s="1894">
        <f t="shared" si="97"/>
        <v>16641</v>
      </c>
      <c r="BS210" s="1894">
        <f t="shared" si="98"/>
        <v>0</v>
      </c>
      <c r="BT210" s="1894">
        <v>167</v>
      </c>
      <c r="BU210" s="1894">
        <v>56.760000000000005</v>
      </c>
      <c r="BV210" s="1894">
        <v>133.6</v>
      </c>
      <c r="BW210" s="1894">
        <v>0.99860000000000004</v>
      </c>
      <c r="BX210" s="1894">
        <v>3.62</v>
      </c>
      <c r="BY210" s="1894">
        <v>1530</v>
      </c>
      <c r="BZ210" s="1894">
        <f t="shared" si="99"/>
        <v>25338</v>
      </c>
      <c r="CA210" s="1894">
        <f t="shared" si="100"/>
        <v>0</v>
      </c>
      <c r="CB210" s="1894">
        <v>167</v>
      </c>
      <c r="CC210" s="1894">
        <v>35.4</v>
      </c>
      <c r="CD210" s="1894">
        <v>133.6</v>
      </c>
      <c r="CE210" s="1894">
        <v>1</v>
      </c>
      <c r="CF210" s="1894">
        <v>9.6300000000000008</v>
      </c>
      <c r="CG210" s="1894">
        <v>2535</v>
      </c>
      <c r="CH210" s="1894">
        <f t="shared" si="101"/>
        <v>15803</v>
      </c>
      <c r="CI210" s="1894">
        <f t="shared" si="102"/>
        <v>0</v>
      </c>
      <c r="CJ210" s="1894">
        <v>167</v>
      </c>
      <c r="CK210" s="1894">
        <v>37.56</v>
      </c>
      <c r="CL210" s="1894">
        <v>133.6</v>
      </c>
      <c r="CM210" s="1894">
        <v>0.99929999999999997</v>
      </c>
      <c r="CN210" s="1894">
        <v>6.24</v>
      </c>
      <c r="CO210" s="1894">
        <v>1575</v>
      </c>
      <c r="CP210" s="1894">
        <f t="shared" si="103"/>
        <v>15144</v>
      </c>
      <c r="CQ210" s="1894">
        <f t="shared" si="104"/>
        <v>0</v>
      </c>
      <c r="CR210" s="1924">
        <v>167</v>
      </c>
      <c r="CS210" s="1924">
        <v>40.08</v>
      </c>
      <c r="CT210" s="1924">
        <v>133.6</v>
      </c>
      <c r="CU210" s="1924">
        <v>0.99829999999999997</v>
      </c>
      <c r="CV210" s="1924">
        <v>8.01</v>
      </c>
      <c r="CW210" s="1924">
        <v>2390</v>
      </c>
      <c r="CX210" s="1894">
        <f t="shared" si="105"/>
        <v>17892</v>
      </c>
      <c r="CY210" s="1894">
        <f t="shared" si="106"/>
        <v>0</v>
      </c>
    </row>
    <row r="211" spans="1:103">
      <c r="A211" s="982">
        <v>124000000051</v>
      </c>
      <c r="B211" s="1923">
        <f t="shared" si="107"/>
        <v>205</v>
      </c>
      <c r="C211" s="1895" t="s">
        <v>3097</v>
      </c>
      <c r="D211" s="1894" t="s">
        <v>524</v>
      </c>
      <c r="E211" s="1895" t="s">
        <v>636</v>
      </c>
      <c r="F211" s="1894" t="s">
        <v>259</v>
      </c>
      <c r="G211" s="1924">
        <v>167</v>
      </c>
      <c r="H211" s="1894">
        <v>167</v>
      </c>
      <c r="I211" s="1894">
        <v>90.47999999999999</v>
      </c>
      <c r="J211" s="1894">
        <v>133.6</v>
      </c>
      <c r="K211" s="1894">
        <v>0.93269999999999997</v>
      </c>
      <c r="L211" s="1894">
        <v>27.16</v>
      </c>
      <c r="M211" s="1894">
        <v>17693</v>
      </c>
      <c r="N211" s="1894">
        <f t="shared" si="85"/>
        <v>39087</v>
      </c>
      <c r="O211" s="1894">
        <f t="shared" si="86"/>
        <v>0</v>
      </c>
      <c r="P211" s="1894">
        <v>167</v>
      </c>
      <c r="Q211" s="1894">
        <v>90.6</v>
      </c>
      <c r="R211" s="1894">
        <v>133.6</v>
      </c>
      <c r="S211" s="1894">
        <v>0.92410000000000003</v>
      </c>
      <c r="T211" s="1894">
        <v>23.64</v>
      </c>
      <c r="U211" s="1894">
        <v>15936</v>
      </c>
      <c r="V211" s="1894">
        <f t="shared" si="87"/>
        <v>40444</v>
      </c>
      <c r="W211" s="1894">
        <f t="shared" si="88"/>
        <v>0</v>
      </c>
      <c r="X211" s="1894">
        <v>167</v>
      </c>
      <c r="Y211" s="1894">
        <v>100.80000000000001</v>
      </c>
      <c r="Z211" s="1894">
        <v>133.6</v>
      </c>
      <c r="AA211" s="1894">
        <v>0.92730000000000001</v>
      </c>
      <c r="AB211" s="1894">
        <v>23.7</v>
      </c>
      <c r="AC211" s="1894">
        <v>17198</v>
      </c>
      <c r="AD211" s="1894">
        <f t="shared" si="89"/>
        <v>43546</v>
      </c>
      <c r="AE211" s="1894">
        <f t="shared" si="90"/>
        <v>0</v>
      </c>
      <c r="AF211" s="1894">
        <v>167</v>
      </c>
      <c r="AG211" s="1894">
        <v>92.4</v>
      </c>
      <c r="AH211" s="1894">
        <v>133.6</v>
      </c>
      <c r="AI211" s="1894">
        <v>0.93279999999999996</v>
      </c>
      <c r="AJ211" s="1894">
        <v>22.28</v>
      </c>
      <c r="AK211" s="1894">
        <v>15318</v>
      </c>
      <c r="AL211" s="1894">
        <f t="shared" si="83"/>
        <v>41247</v>
      </c>
      <c r="AM211" s="1894">
        <f t="shared" si="84"/>
        <v>0</v>
      </c>
      <c r="AN211" s="1894">
        <v>167</v>
      </c>
      <c r="AO211" s="1894">
        <v>65.760000000000005</v>
      </c>
      <c r="AP211" s="1894">
        <v>133.6</v>
      </c>
      <c r="AQ211" s="1894">
        <v>0.92259999999999998</v>
      </c>
      <c r="AR211" s="1894">
        <v>29.03</v>
      </c>
      <c r="AS211" s="1894">
        <v>14201</v>
      </c>
      <c r="AT211" s="1894">
        <f t="shared" si="91"/>
        <v>29355</v>
      </c>
      <c r="AU211" s="1894">
        <f t="shared" si="92"/>
        <v>0</v>
      </c>
      <c r="AV211" s="1894">
        <v>167</v>
      </c>
      <c r="AW211" s="1894">
        <v>73.44</v>
      </c>
      <c r="AX211" s="1894">
        <v>133.6</v>
      </c>
      <c r="AY211" s="1894">
        <v>0.92749999999999999</v>
      </c>
      <c r="AZ211" s="1894">
        <v>27.25</v>
      </c>
      <c r="BA211" s="1894">
        <v>14409</v>
      </c>
      <c r="BB211" s="1894">
        <f t="shared" si="93"/>
        <v>31726</v>
      </c>
      <c r="BC211" s="1894">
        <f t="shared" si="94"/>
        <v>0</v>
      </c>
      <c r="BD211" s="1894">
        <v>167</v>
      </c>
      <c r="BE211" s="1894">
        <v>74.52</v>
      </c>
      <c r="BF211" s="1894">
        <v>133.6</v>
      </c>
      <c r="BG211" s="1894">
        <v>0.9113</v>
      </c>
      <c r="BH211" s="1894">
        <v>23.87</v>
      </c>
      <c r="BI211" s="1894">
        <v>13235</v>
      </c>
      <c r="BJ211" s="1894">
        <f t="shared" si="95"/>
        <v>33266</v>
      </c>
      <c r="BK211" s="1894">
        <f t="shared" si="96"/>
        <v>0</v>
      </c>
      <c r="BL211" s="1894">
        <v>167</v>
      </c>
      <c r="BM211" s="1894">
        <v>45.120000000000005</v>
      </c>
      <c r="BN211" s="1894">
        <v>133.6</v>
      </c>
      <c r="BO211" s="1894">
        <v>0.89329999999999998</v>
      </c>
      <c r="BP211" s="1894">
        <v>13.33</v>
      </c>
      <c r="BQ211" s="1894">
        <v>4330</v>
      </c>
      <c r="BR211" s="1894">
        <f t="shared" si="97"/>
        <v>19492</v>
      </c>
      <c r="BS211" s="1894">
        <f t="shared" si="98"/>
        <v>0</v>
      </c>
      <c r="BT211" s="1894">
        <v>167</v>
      </c>
      <c r="BU211" s="1894">
        <v>71.52</v>
      </c>
      <c r="BV211" s="1894">
        <v>133.6</v>
      </c>
      <c r="BW211" s="1894">
        <v>0.90490000000000004</v>
      </c>
      <c r="BX211" s="1894">
        <v>16.04</v>
      </c>
      <c r="BY211" s="1894">
        <v>8535</v>
      </c>
      <c r="BZ211" s="1894">
        <f t="shared" si="99"/>
        <v>31927</v>
      </c>
      <c r="CA211" s="1894">
        <f t="shared" si="100"/>
        <v>0</v>
      </c>
      <c r="CB211" s="1894">
        <v>167</v>
      </c>
      <c r="CC211" s="1894">
        <v>57</v>
      </c>
      <c r="CD211" s="1894">
        <v>133.6</v>
      </c>
      <c r="CE211" s="1894">
        <v>0.9325</v>
      </c>
      <c r="CF211" s="1894">
        <v>26.97</v>
      </c>
      <c r="CG211" s="1894">
        <v>11438</v>
      </c>
      <c r="CH211" s="1894">
        <f t="shared" si="101"/>
        <v>25445</v>
      </c>
      <c r="CI211" s="1894">
        <f t="shared" si="102"/>
        <v>0</v>
      </c>
      <c r="CJ211" s="1894">
        <v>167</v>
      </c>
      <c r="CK211" s="1894">
        <v>91.44</v>
      </c>
      <c r="CL211" s="1894">
        <v>133.6</v>
      </c>
      <c r="CM211" s="1894">
        <v>0.92869999999999997</v>
      </c>
      <c r="CN211" s="1894">
        <v>16.89</v>
      </c>
      <c r="CO211" s="1894">
        <v>10379</v>
      </c>
      <c r="CP211" s="1894">
        <f t="shared" si="103"/>
        <v>36869</v>
      </c>
      <c r="CQ211" s="1894">
        <f t="shared" si="104"/>
        <v>0</v>
      </c>
      <c r="CR211" s="1924">
        <v>167</v>
      </c>
      <c r="CS211" s="1924">
        <v>75</v>
      </c>
      <c r="CT211" s="1924">
        <v>133.6</v>
      </c>
      <c r="CU211" s="1924">
        <v>0.92469999999999997</v>
      </c>
      <c r="CV211" s="1924">
        <v>24.4</v>
      </c>
      <c r="CW211" s="1924">
        <v>13613</v>
      </c>
      <c r="CX211" s="1894">
        <f t="shared" si="105"/>
        <v>33480</v>
      </c>
      <c r="CY211" s="1894">
        <f t="shared" si="106"/>
        <v>0</v>
      </c>
    </row>
    <row r="212" spans="1:103">
      <c r="A212" s="982">
        <v>125000000037</v>
      </c>
      <c r="B212" s="1923">
        <f t="shared" si="107"/>
        <v>206</v>
      </c>
      <c r="C212" s="1895" t="s">
        <v>3098</v>
      </c>
      <c r="D212" s="1894" t="s">
        <v>524</v>
      </c>
      <c r="E212" s="1895" t="s">
        <v>541</v>
      </c>
      <c r="F212" s="1894" t="s">
        <v>259</v>
      </c>
      <c r="G212" s="1924">
        <v>167</v>
      </c>
      <c r="H212" s="1894">
        <v>167</v>
      </c>
      <c r="I212" s="1894">
        <v>126</v>
      </c>
      <c r="J212" s="1894">
        <v>133.6</v>
      </c>
      <c r="K212" s="1894">
        <v>0.82879999999999998</v>
      </c>
      <c r="L212" s="1894">
        <v>22.05</v>
      </c>
      <c r="M212" s="1894">
        <v>20007</v>
      </c>
      <c r="N212" s="1894">
        <f t="shared" si="85"/>
        <v>54432</v>
      </c>
      <c r="O212" s="1894">
        <f t="shared" si="86"/>
        <v>0</v>
      </c>
      <c r="P212" s="1894">
        <v>167</v>
      </c>
      <c r="Q212" s="1894">
        <v>139.76</v>
      </c>
      <c r="R212" s="1894">
        <v>139.76</v>
      </c>
      <c r="S212" s="1894">
        <v>0.82330000000000003</v>
      </c>
      <c r="T212" s="1894">
        <v>22.96</v>
      </c>
      <c r="U212" s="1894">
        <v>23877</v>
      </c>
      <c r="V212" s="1894">
        <f t="shared" si="87"/>
        <v>62389</v>
      </c>
      <c r="W212" s="1894">
        <f t="shared" si="88"/>
        <v>0</v>
      </c>
      <c r="X212" s="1894">
        <v>167</v>
      </c>
      <c r="Y212" s="1894">
        <v>126.64</v>
      </c>
      <c r="Z212" s="1894">
        <v>133.6</v>
      </c>
      <c r="AA212" s="1894">
        <v>0.81769999999999998</v>
      </c>
      <c r="AB212" s="1894">
        <v>21.29</v>
      </c>
      <c r="AC212" s="1894">
        <v>19408</v>
      </c>
      <c r="AD212" s="1894">
        <f t="shared" si="89"/>
        <v>54708</v>
      </c>
      <c r="AE212" s="1894">
        <f t="shared" si="90"/>
        <v>0</v>
      </c>
      <c r="AF212" s="1894">
        <v>167</v>
      </c>
      <c r="AG212" s="1894">
        <v>121.92</v>
      </c>
      <c r="AH212" s="1894">
        <v>133.6</v>
      </c>
      <c r="AI212" s="1894">
        <v>0.80889999999999995</v>
      </c>
      <c r="AJ212" s="1894">
        <v>32.06</v>
      </c>
      <c r="AK212" s="1894">
        <v>29077</v>
      </c>
      <c r="AL212" s="1894">
        <f t="shared" si="83"/>
        <v>54425</v>
      </c>
      <c r="AM212" s="1894">
        <f t="shared" si="84"/>
        <v>0</v>
      </c>
      <c r="AN212" s="1894">
        <v>167</v>
      </c>
      <c r="AO212" s="1894">
        <v>186.64000000000001</v>
      </c>
      <c r="AP212" s="1894">
        <v>186.64</v>
      </c>
      <c r="AQ212" s="1894">
        <v>0.78680000000000005</v>
      </c>
      <c r="AR212" s="1894">
        <v>24.08</v>
      </c>
      <c r="AS212" s="1894">
        <v>33443</v>
      </c>
      <c r="AT212" s="1894">
        <f t="shared" si="91"/>
        <v>83316</v>
      </c>
      <c r="AU212" s="1894">
        <f t="shared" si="92"/>
        <v>0</v>
      </c>
      <c r="AV212" s="1894">
        <v>167</v>
      </c>
      <c r="AW212" s="1894">
        <v>173.92000000000002</v>
      </c>
      <c r="AX212" s="1894">
        <v>173.92</v>
      </c>
      <c r="AY212" s="1894">
        <v>0.79339999999999999</v>
      </c>
      <c r="AZ212" s="1894">
        <v>27.94</v>
      </c>
      <c r="BA212" s="1894">
        <v>34982</v>
      </c>
      <c r="BB212" s="1894">
        <f t="shared" si="93"/>
        <v>75133</v>
      </c>
      <c r="BC212" s="1894">
        <f t="shared" si="94"/>
        <v>0</v>
      </c>
      <c r="BD212" s="1894">
        <v>167</v>
      </c>
      <c r="BE212" s="1894">
        <v>175.52</v>
      </c>
      <c r="BF212" s="1894">
        <v>175.52</v>
      </c>
      <c r="BG212" s="1894">
        <v>0.76570000000000005</v>
      </c>
      <c r="BH212" s="1894">
        <v>37.07</v>
      </c>
      <c r="BI212" s="1894">
        <v>48405</v>
      </c>
      <c r="BJ212" s="1894">
        <f t="shared" si="95"/>
        <v>78352</v>
      </c>
      <c r="BK212" s="1894">
        <f t="shared" si="96"/>
        <v>0</v>
      </c>
      <c r="BL212" s="1894">
        <v>167</v>
      </c>
      <c r="BM212" s="1894">
        <v>169.92000000000002</v>
      </c>
      <c r="BN212" s="1894">
        <v>169.92</v>
      </c>
      <c r="BO212" s="1894">
        <v>0.74460000000000004</v>
      </c>
      <c r="BP212" s="1894">
        <v>20.239999999999998</v>
      </c>
      <c r="BQ212" s="1894">
        <v>24761</v>
      </c>
      <c r="BR212" s="1894">
        <f t="shared" si="97"/>
        <v>73405</v>
      </c>
      <c r="BS212" s="1894">
        <f t="shared" si="98"/>
        <v>0</v>
      </c>
      <c r="BT212" s="1894">
        <v>167</v>
      </c>
      <c r="BU212" s="1894">
        <v>190.24</v>
      </c>
      <c r="BV212" s="1894">
        <v>190.24</v>
      </c>
      <c r="BW212" s="1894">
        <v>0.7621</v>
      </c>
      <c r="BX212" s="1894">
        <v>24.7</v>
      </c>
      <c r="BY212" s="1894">
        <v>34955</v>
      </c>
      <c r="BZ212" s="1894">
        <f t="shared" si="99"/>
        <v>84923</v>
      </c>
      <c r="CA212" s="1894">
        <f t="shared" si="100"/>
        <v>0</v>
      </c>
      <c r="CB212" s="1894">
        <v>167</v>
      </c>
      <c r="CC212" s="1894">
        <v>203.92000000000002</v>
      </c>
      <c r="CD212" s="1894">
        <v>203.92</v>
      </c>
      <c r="CE212" s="1894">
        <v>0.77080000000000004</v>
      </c>
      <c r="CF212" s="1894">
        <v>30.39</v>
      </c>
      <c r="CG212" s="1894">
        <v>46114</v>
      </c>
      <c r="CH212" s="1894">
        <f t="shared" si="101"/>
        <v>91030</v>
      </c>
      <c r="CI212" s="1894">
        <f t="shared" si="102"/>
        <v>0</v>
      </c>
      <c r="CJ212" s="1894">
        <v>167</v>
      </c>
      <c r="CK212" s="1894">
        <v>186.32</v>
      </c>
      <c r="CL212" s="1894">
        <v>186.32</v>
      </c>
      <c r="CM212" s="1894">
        <v>0.77629999999999999</v>
      </c>
      <c r="CN212" s="1894">
        <v>25.79</v>
      </c>
      <c r="CO212" s="1894">
        <v>32288</v>
      </c>
      <c r="CP212" s="1894">
        <f t="shared" si="103"/>
        <v>75124</v>
      </c>
      <c r="CQ212" s="1894">
        <f t="shared" si="104"/>
        <v>0</v>
      </c>
      <c r="CR212" s="1924">
        <v>167</v>
      </c>
      <c r="CS212" s="1924">
        <v>171.36</v>
      </c>
      <c r="CT212" s="1924">
        <v>171.36</v>
      </c>
      <c r="CU212" s="1924">
        <v>0.7712</v>
      </c>
      <c r="CV212" s="1924">
        <v>23.71</v>
      </c>
      <c r="CW212" s="1924">
        <v>30233</v>
      </c>
      <c r="CX212" s="1894">
        <f t="shared" si="105"/>
        <v>76495</v>
      </c>
      <c r="CY212" s="1894">
        <f t="shared" si="106"/>
        <v>0</v>
      </c>
    </row>
    <row r="213" spans="1:103">
      <c r="A213" s="982">
        <v>127000000011</v>
      </c>
      <c r="B213" s="1923">
        <f t="shared" si="107"/>
        <v>207</v>
      </c>
      <c r="C213" s="1895" t="s">
        <v>3099</v>
      </c>
      <c r="D213" s="1894" t="s">
        <v>524</v>
      </c>
      <c r="E213" s="1895" t="s">
        <v>2966</v>
      </c>
      <c r="F213" s="1894" t="s">
        <v>259</v>
      </c>
      <c r="G213" s="1924">
        <v>167</v>
      </c>
      <c r="H213" s="1894">
        <v>167</v>
      </c>
      <c r="I213" s="1894">
        <v>167.79999999999998</v>
      </c>
      <c r="J213" s="1894">
        <v>167.8</v>
      </c>
      <c r="K213" s="1894">
        <v>0.77510000000000001</v>
      </c>
      <c r="L213" s="1894">
        <v>0</v>
      </c>
      <c r="M213" s="1894">
        <v>26508</v>
      </c>
      <c r="N213" s="1894">
        <f t="shared" si="85"/>
        <v>72490</v>
      </c>
      <c r="O213" s="1894">
        <f t="shared" si="86"/>
        <v>0</v>
      </c>
      <c r="P213" s="1894">
        <v>167</v>
      </c>
      <c r="Q213" s="1894">
        <v>179.8</v>
      </c>
      <c r="R213" s="1894">
        <v>179.8</v>
      </c>
      <c r="S213" s="1894">
        <v>0.79700000000000004</v>
      </c>
      <c r="T213" s="1894">
        <v>0</v>
      </c>
      <c r="U213" s="1894">
        <v>39298</v>
      </c>
      <c r="V213" s="1894">
        <f t="shared" si="87"/>
        <v>80263</v>
      </c>
      <c r="W213" s="1894">
        <f t="shared" si="88"/>
        <v>0</v>
      </c>
      <c r="X213" s="1894">
        <v>167</v>
      </c>
      <c r="Y213" s="1894">
        <v>195.6</v>
      </c>
      <c r="Z213" s="1894">
        <v>195.6</v>
      </c>
      <c r="AA213" s="1894">
        <v>0.79139999999999999</v>
      </c>
      <c r="AB213" s="1894">
        <v>0</v>
      </c>
      <c r="AC213" s="1894">
        <v>54997</v>
      </c>
      <c r="AD213" s="1894">
        <f t="shared" si="89"/>
        <v>84499</v>
      </c>
      <c r="AE213" s="1894">
        <f t="shared" si="90"/>
        <v>0</v>
      </c>
      <c r="AF213" s="1894">
        <v>167</v>
      </c>
      <c r="AG213" s="1894">
        <v>203.6</v>
      </c>
      <c r="AH213" s="1894">
        <v>203.6</v>
      </c>
      <c r="AI213" s="1894">
        <v>0.76319999999999999</v>
      </c>
      <c r="AJ213" s="1894">
        <v>0</v>
      </c>
      <c r="AK213" s="1894">
        <v>73617</v>
      </c>
      <c r="AL213" s="1894">
        <f t="shared" si="83"/>
        <v>90887</v>
      </c>
      <c r="AM213" s="1894">
        <f t="shared" si="84"/>
        <v>0</v>
      </c>
      <c r="AN213" s="1894">
        <v>167</v>
      </c>
      <c r="AO213" s="1894">
        <v>197.2</v>
      </c>
      <c r="AP213" s="1894">
        <v>197.2</v>
      </c>
      <c r="AQ213" s="1894">
        <v>0.70640000000000003</v>
      </c>
      <c r="AR213" s="1894">
        <v>0</v>
      </c>
      <c r="AS213" s="1894">
        <v>50009</v>
      </c>
      <c r="AT213" s="1894">
        <f t="shared" si="91"/>
        <v>88030</v>
      </c>
      <c r="AU213" s="1894">
        <f t="shared" si="92"/>
        <v>0</v>
      </c>
      <c r="AV213" s="1894">
        <v>167</v>
      </c>
      <c r="AW213" s="1894">
        <v>51.2</v>
      </c>
      <c r="AX213" s="1894">
        <v>167</v>
      </c>
      <c r="AY213" s="1894">
        <v>0.62050000000000005</v>
      </c>
      <c r="AZ213" s="1894">
        <v>0</v>
      </c>
      <c r="BA213" s="1894">
        <v>8703</v>
      </c>
      <c r="BB213" s="1894">
        <f t="shared" si="93"/>
        <v>22118</v>
      </c>
      <c r="BC213" s="1894">
        <f t="shared" si="94"/>
        <v>0</v>
      </c>
      <c r="BD213" s="1894">
        <v>167</v>
      </c>
      <c r="BE213" s="1894">
        <v>55.000000000000007</v>
      </c>
      <c r="BF213" s="1894">
        <v>167</v>
      </c>
      <c r="BG213" s="1894">
        <v>0.56310000000000004</v>
      </c>
      <c r="BH213" s="1894">
        <v>0</v>
      </c>
      <c r="BI213" s="1894">
        <v>6939</v>
      </c>
      <c r="BJ213" s="1894">
        <f t="shared" si="95"/>
        <v>24552</v>
      </c>
      <c r="BK213" s="1894">
        <f t="shared" si="96"/>
        <v>0</v>
      </c>
      <c r="BL213" s="1894">
        <v>167</v>
      </c>
      <c r="BM213" s="1894">
        <v>12.559999999999999</v>
      </c>
      <c r="BN213" s="1894">
        <v>167</v>
      </c>
      <c r="BO213" s="1894">
        <v>0.18540000000000001</v>
      </c>
      <c r="BP213" s="1894">
        <v>0</v>
      </c>
      <c r="BQ213" s="1894">
        <v>3429</v>
      </c>
      <c r="BR213" s="1894">
        <f t="shared" si="97"/>
        <v>5426</v>
      </c>
      <c r="BS213" s="1894">
        <f t="shared" si="98"/>
        <v>0</v>
      </c>
      <c r="BT213" s="1894">
        <v>167</v>
      </c>
      <c r="BU213" s="1894">
        <v>16.16</v>
      </c>
      <c r="BV213" s="1894">
        <v>167</v>
      </c>
      <c r="BW213" s="1894">
        <v>0.14549999999999999</v>
      </c>
      <c r="BX213" s="1894">
        <v>0</v>
      </c>
      <c r="BY213" s="1894">
        <v>5427</v>
      </c>
      <c r="BZ213" s="1894">
        <f t="shared" si="99"/>
        <v>7214</v>
      </c>
      <c r="CA213" s="1894">
        <f t="shared" si="100"/>
        <v>0</v>
      </c>
      <c r="CB213" s="1894">
        <v>167</v>
      </c>
      <c r="CC213" s="1894">
        <v>9.6</v>
      </c>
      <c r="CD213" s="1894">
        <v>167</v>
      </c>
      <c r="CE213" s="1894">
        <v>0.18770000000000001</v>
      </c>
      <c r="CF213" s="1894">
        <v>0</v>
      </c>
      <c r="CG213" s="1894">
        <v>3494</v>
      </c>
      <c r="CH213" s="1894">
        <f t="shared" si="101"/>
        <v>4285</v>
      </c>
      <c r="CI213" s="1894">
        <f t="shared" si="102"/>
        <v>0</v>
      </c>
      <c r="CJ213" s="1894">
        <v>167</v>
      </c>
      <c r="CK213" s="1894">
        <v>84</v>
      </c>
      <c r="CL213" s="1894">
        <v>167</v>
      </c>
      <c r="CM213" s="1894">
        <v>0.64359999999999995</v>
      </c>
      <c r="CN213" s="1894">
        <v>0</v>
      </c>
      <c r="CO213" s="1894">
        <v>10779</v>
      </c>
      <c r="CP213" s="1894">
        <f t="shared" si="103"/>
        <v>33869</v>
      </c>
      <c r="CQ213" s="1894">
        <f t="shared" si="104"/>
        <v>0</v>
      </c>
      <c r="CR213" s="1924">
        <v>167</v>
      </c>
      <c r="CS213" s="1924">
        <v>157.51999999999998</v>
      </c>
      <c r="CT213" s="1924">
        <v>167</v>
      </c>
      <c r="CU213" s="1924">
        <v>0.64900000000000002</v>
      </c>
      <c r="CV213" s="1924">
        <v>0</v>
      </c>
      <c r="CW213" s="1924">
        <v>24925</v>
      </c>
      <c r="CX213" s="1894">
        <f t="shared" si="105"/>
        <v>70317</v>
      </c>
      <c r="CY213" s="1894">
        <f t="shared" si="106"/>
        <v>0</v>
      </c>
    </row>
    <row r="214" spans="1:103">
      <c r="A214" s="982">
        <v>421000000017</v>
      </c>
      <c r="B214" s="1923">
        <f t="shared" si="107"/>
        <v>208</v>
      </c>
      <c r="C214" s="1895" t="s">
        <v>3100</v>
      </c>
      <c r="D214" s="1894" t="s">
        <v>524</v>
      </c>
      <c r="E214" s="1895" t="s">
        <v>541</v>
      </c>
      <c r="F214" s="1894" t="s">
        <v>259</v>
      </c>
      <c r="G214" s="1924">
        <v>167</v>
      </c>
      <c r="H214" s="1894">
        <v>167</v>
      </c>
      <c r="I214" s="1894">
        <v>124.32000000000001</v>
      </c>
      <c r="J214" s="1894">
        <v>133.6</v>
      </c>
      <c r="K214" s="1894">
        <v>0.72870000000000001</v>
      </c>
      <c r="L214" s="1894">
        <v>29.37</v>
      </c>
      <c r="M214" s="1894">
        <v>28922</v>
      </c>
      <c r="N214" s="1894">
        <f t="shared" si="85"/>
        <v>53706</v>
      </c>
      <c r="O214" s="1894">
        <f t="shared" si="86"/>
        <v>0</v>
      </c>
      <c r="P214" s="1894">
        <v>167</v>
      </c>
      <c r="Q214" s="1894">
        <v>177.84</v>
      </c>
      <c r="R214" s="1894">
        <v>177.84</v>
      </c>
      <c r="S214" s="1894">
        <v>0.7359</v>
      </c>
      <c r="T214" s="1894">
        <v>20.05</v>
      </c>
      <c r="U214" s="1894">
        <v>28246</v>
      </c>
      <c r="V214" s="1894">
        <f t="shared" si="87"/>
        <v>79388</v>
      </c>
      <c r="W214" s="1894">
        <f t="shared" si="88"/>
        <v>0</v>
      </c>
      <c r="X214" s="1894">
        <v>167</v>
      </c>
      <c r="Y214" s="1894">
        <v>178.07999999999998</v>
      </c>
      <c r="Z214" s="1894">
        <v>178.08</v>
      </c>
      <c r="AA214" s="1894">
        <v>0.74809999999999999</v>
      </c>
      <c r="AB214" s="1894">
        <v>21.12</v>
      </c>
      <c r="AC214" s="1894">
        <v>27080</v>
      </c>
      <c r="AD214" s="1894">
        <f t="shared" si="89"/>
        <v>76931</v>
      </c>
      <c r="AE214" s="1894">
        <f t="shared" si="90"/>
        <v>0</v>
      </c>
      <c r="AF214" s="1894">
        <v>167</v>
      </c>
      <c r="AG214" s="1894">
        <v>182.88</v>
      </c>
      <c r="AH214" s="1894">
        <v>182.88</v>
      </c>
      <c r="AI214" s="1894">
        <v>0.74309999999999998</v>
      </c>
      <c r="AJ214" s="1894">
        <v>20</v>
      </c>
      <c r="AK214" s="1894">
        <v>27216</v>
      </c>
      <c r="AL214" s="1894">
        <f t="shared" si="83"/>
        <v>81638</v>
      </c>
      <c r="AM214" s="1894">
        <f t="shared" si="84"/>
        <v>0</v>
      </c>
      <c r="AN214" s="1894">
        <v>167</v>
      </c>
      <c r="AO214" s="1894">
        <v>175.76</v>
      </c>
      <c r="AP214" s="1894">
        <v>175.76</v>
      </c>
      <c r="AQ214" s="1894">
        <v>0.74129999999999996</v>
      </c>
      <c r="AR214" s="1894">
        <v>20.329999999999998</v>
      </c>
      <c r="AS214" s="1894">
        <v>26584</v>
      </c>
      <c r="AT214" s="1894">
        <f t="shared" si="91"/>
        <v>78459</v>
      </c>
      <c r="AU214" s="1894">
        <f t="shared" si="92"/>
        <v>0</v>
      </c>
      <c r="AV214" s="1894">
        <v>167</v>
      </c>
      <c r="AW214" s="1894">
        <v>167.92000000000002</v>
      </c>
      <c r="AX214" s="1894">
        <v>167.92</v>
      </c>
      <c r="AY214" s="1894">
        <v>0.73129999999999995</v>
      </c>
      <c r="AZ214" s="1894">
        <v>18.649999999999999</v>
      </c>
      <c r="BA214" s="1894">
        <v>22547</v>
      </c>
      <c r="BB214" s="1894">
        <f t="shared" si="93"/>
        <v>72541</v>
      </c>
      <c r="BC214" s="1894">
        <f t="shared" si="94"/>
        <v>0</v>
      </c>
      <c r="BD214" s="1894">
        <v>167</v>
      </c>
      <c r="BE214" s="1894">
        <v>59.760000000000005</v>
      </c>
      <c r="BF214" s="1894">
        <v>133.6</v>
      </c>
      <c r="BG214" s="1894">
        <v>0.73129999999999995</v>
      </c>
      <c r="BH214" s="1894">
        <v>6.53</v>
      </c>
      <c r="BI214" s="1894">
        <v>2434</v>
      </c>
      <c r="BJ214" s="1894">
        <f t="shared" si="95"/>
        <v>26677</v>
      </c>
      <c r="BK214" s="1894">
        <f t="shared" si="96"/>
        <v>0</v>
      </c>
      <c r="BL214" s="1894">
        <v>167</v>
      </c>
      <c r="BM214" s="1894">
        <v>14.32</v>
      </c>
      <c r="BN214" s="1894">
        <v>133.6</v>
      </c>
      <c r="BO214" s="1894">
        <v>0.56640000000000001</v>
      </c>
      <c r="BP214" s="1894">
        <v>26.35</v>
      </c>
      <c r="BQ214" s="1894">
        <v>3169</v>
      </c>
      <c r="BR214" s="1894">
        <f t="shared" si="97"/>
        <v>6186</v>
      </c>
      <c r="BS214" s="1894">
        <f t="shared" si="98"/>
        <v>0</v>
      </c>
      <c r="BT214" s="1894">
        <v>167</v>
      </c>
      <c r="BU214" s="1894">
        <v>14.799999999999999</v>
      </c>
      <c r="BV214" s="1894">
        <v>133.6</v>
      </c>
      <c r="BW214" s="1894">
        <v>0.54320000000000002</v>
      </c>
      <c r="BX214" s="1894">
        <v>25.29</v>
      </c>
      <c r="BY214" s="1894">
        <v>2785</v>
      </c>
      <c r="BZ214" s="1894">
        <f t="shared" si="99"/>
        <v>6607</v>
      </c>
      <c r="CA214" s="1894">
        <f t="shared" si="100"/>
        <v>0</v>
      </c>
      <c r="CB214" s="1894">
        <v>167</v>
      </c>
      <c r="CC214" s="1894">
        <v>122.24</v>
      </c>
      <c r="CD214" s="1894">
        <v>133.6</v>
      </c>
      <c r="CE214" s="1894">
        <v>0.66810000000000003</v>
      </c>
      <c r="CF214" s="1894">
        <v>7.33</v>
      </c>
      <c r="CG214" s="1894">
        <v>6668</v>
      </c>
      <c r="CH214" s="1894">
        <f t="shared" si="101"/>
        <v>54568</v>
      </c>
      <c r="CI214" s="1894">
        <f t="shared" si="102"/>
        <v>0</v>
      </c>
      <c r="CJ214" s="1894">
        <v>167</v>
      </c>
      <c r="CK214" s="1894">
        <v>142.96</v>
      </c>
      <c r="CL214" s="1894">
        <v>142.96</v>
      </c>
      <c r="CM214" s="1894">
        <v>0.69799999999999995</v>
      </c>
      <c r="CN214" s="1894">
        <v>21.08</v>
      </c>
      <c r="CO214" s="1894">
        <v>20256</v>
      </c>
      <c r="CP214" s="1894">
        <f t="shared" si="103"/>
        <v>57641</v>
      </c>
      <c r="CQ214" s="1894">
        <f t="shared" si="104"/>
        <v>0</v>
      </c>
      <c r="CR214" s="1924">
        <v>167</v>
      </c>
      <c r="CS214" s="1924">
        <v>182.32</v>
      </c>
      <c r="CT214" s="1924">
        <v>182.32</v>
      </c>
      <c r="CU214" s="1924">
        <v>0.70399999999999996</v>
      </c>
      <c r="CV214" s="1924">
        <v>23.58</v>
      </c>
      <c r="CW214" s="1924">
        <v>31981</v>
      </c>
      <c r="CX214" s="1894">
        <f t="shared" si="105"/>
        <v>81388</v>
      </c>
      <c r="CY214" s="1894">
        <f t="shared" si="106"/>
        <v>0</v>
      </c>
    </row>
    <row r="215" spans="1:103">
      <c r="A215" s="982">
        <v>613000000002</v>
      </c>
      <c r="B215" s="1923">
        <f t="shared" si="107"/>
        <v>209</v>
      </c>
      <c r="C215" s="1895" t="s">
        <v>3101</v>
      </c>
      <c r="D215" s="1894" t="s">
        <v>524</v>
      </c>
      <c r="E215" s="1895" t="s">
        <v>541</v>
      </c>
      <c r="F215" s="1894" t="s">
        <v>259</v>
      </c>
      <c r="G215" s="1924">
        <v>167</v>
      </c>
      <c r="H215" s="1894">
        <v>167</v>
      </c>
      <c r="I215" s="1894">
        <v>106</v>
      </c>
      <c r="J215" s="1894">
        <v>133.6</v>
      </c>
      <c r="K215" s="1894">
        <v>0.97170000000000001</v>
      </c>
      <c r="L215" s="1894">
        <v>50.79</v>
      </c>
      <c r="M215" s="1894">
        <v>38760</v>
      </c>
      <c r="N215" s="1894">
        <f t="shared" si="85"/>
        <v>45792</v>
      </c>
      <c r="O215" s="1894">
        <f t="shared" si="86"/>
        <v>0</v>
      </c>
      <c r="P215" s="1894">
        <v>167</v>
      </c>
      <c r="Q215" s="1894">
        <v>104.4</v>
      </c>
      <c r="R215" s="1894">
        <v>133.6</v>
      </c>
      <c r="S215" s="1894">
        <v>0.97540000000000004</v>
      </c>
      <c r="T215" s="1894">
        <v>51.65</v>
      </c>
      <c r="U215" s="1894">
        <v>40121</v>
      </c>
      <c r="V215" s="1894">
        <f t="shared" si="87"/>
        <v>46604</v>
      </c>
      <c r="W215" s="1894">
        <f t="shared" si="88"/>
        <v>0</v>
      </c>
      <c r="X215" s="1894">
        <v>167</v>
      </c>
      <c r="Y215" s="1894">
        <v>96.2</v>
      </c>
      <c r="Z215" s="1894">
        <v>133.6</v>
      </c>
      <c r="AA215" s="1894">
        <v>0.86199999999999999</v>
      </c>
      <c r="AB215" s="1894">
        <v>24.76</v>
      </c>
      <c r="AC215" s="1894">
        <v>17147</v>
      </c>
      <c r="AD215" s="1894">
        <f t="shared" si="89"/>
        <v>41558</v>
      </c>
      <c r="AE215" s="1894">
        <f t="shared" si="90"/>
        <v>0</v>
      </c>
      <c r="AF215" s="1894">
        <v>167</v>
      </c>
      <c r="AG215" s="1894">
        <v>97</v>
      </c>
      <c r="AH215" s="1894">
        <v>133.6</v>
      </c>
      <c r="AI215" s="1894">
        <v>0.91410000000000002</v>
      </c>
      <c r="AJ215" s="1894">
        <v>36.04</v>
      </c>
      <c r="AK215" s="1894">
        <v>26011</v>
      </c>
      <c r="AL215" s="1894">
        <f t="shared" si="83"/>
        <v>43301</v>
      </c>
      <c r="AM215" s="1894">
        <f t="shared" si="84"/>
        <v>0</v>
      </c>
      <c r="AN215" s="1894">
        <v>167</v>
      </c>
      <c r="AO215" s="1894">
        <v>93</v>
      </c>
      <c r="AP215" s="1894">
        <v>133.6</v>
      </c>
      <c r="AQ215" s="1894">
        <v>0.69259999999999999</v>
      </c>
      <c r="AR215" s="1894">
        <v>18.760000000000002</v>
      </c>
      <c r="AS215" s="1894">
        <v>12981</v>
      </c>
      <c r="AT215" s="1894">
        <f t="shared" si="91"/>
        <v>41515</v>
      </c>
      <c r="AU215" s="1894">
        <f t="shared" si="92"/>
        <v>0</v>
      </c>
      <c r="AV215" s="1894">
        <v>167</v>
      </c>
      <c r="AW215" s="1894">
        <v>18.16</v>
      </c>
      <c r="AX215" s="1894">
        <v>133.6</v>
      </c>
      <c r="AY215" s="1894">
        <v>0.27010000000000001</v>
      </c>
      <c r="AZ215" s="1894">
        <v>45.5</v>
      </c>
      <c r="BA215" s="1894">
        <v>5553</v>
      </c>
      <c r="BB215" s="1894">
        <f t="shared" si="93"/>
        <v>7845</v>
      </c>
      <c r="BC215" s="1894">
        <f t="shared" si="94"/>
        <v>0</v>
      </c>
      <c r="BD215" s="1894">
        <v>167</v>
      </c>
      <c r="BE215" s="1894">
        <v>18.72</v>
      </c>
      <c r="BF215" s="1894">
        <v>133.6</v>
      </c>
      <c r="BG215" s="1894">
        <v>0.2843</v>
      </c>
      <c r="BH215" s="1894">
        <v>50.51</v>
      </c>
      <c r="BI215" s="1894">
        <v>7262</v>
      </c>
      <c r="BJ215" s="1894">
        <f t="shared" si="95"/>
        <v>8357</v>
      </c>
      <c r="BK215" s="1894">
        <f t="shared" si="96"/>
        <v>0</v>
      </c>
      <c r="BL215" s="1894">
        <v>167</v>
      </c>
      <c r="BM215" s="1894">
        <v>27.400000000000002</v>
      </c>
      <c r="BN215" s="1894">
        <v>133.6</v>
      </c>
      <c r="BO215" s="1894">
        <v>0.25109999999999999</v>
      </c>
      <c r="BP215" s="1894">
        <v>43.57</v>
      </c>
      <c r="BQ215" s="1894">
        <v>8882</v>
      </c>
      <c r="BR215" s="1894">
        <f t="shared" si="97"/>
        <v>11837</v>
      </c>
      <c r="BS215" s="1894">
        <f t="shared" si="98"/>
        <v>0</v>
      </c>
      <c r="BT215" s="1894">
        <v>167</v>
      </c>
      <c r="BU215" s="1894">
        <v>27.200000000000003</v>
      </c>
      <c r="BV215" s="1894">
        <v>133.6</v>
      </c>
      <c r="BW215" s="1894">
        <v>0.22589999999999999</v>
      </c>
      <c r="BX215" s="1894">
        <v>42.55</v>
      </c>
      <c r="BY215" s="1894">
        <v>8611</v>
      </c>
      <c r="BZ215" s="1894">
        <f t="shared" si="99"/>
        <v>12142</v>
      </c>
      <c r="CA215" s="1894">
        <f t="shared" si="100"/>
        <v>0</v>
      </c>
      <c r="CB215" s="1894">
        <v>167</v>
      </c>
      <c r="CC215" s="1894">
        <v>122.24</v>
      </c>
      <c r="CD215" s="1894">
        <v>133.6</v>
      </c>
      <c r="CE215" s="1894">
        <v>0.82450000000000001</v>
      </c>
      <c r="CF215" s="1894">
        <v>23.35</v>
      </c>
      <c r="CG215" s="1894">
        <v>21240</v>
      </c>
      <c r="CH215" s="1894">
        <f t="shared" si="101"/>
        <v>54568</v>
      </c>
      <c r="CI215" s="1894">
        <f t="shared" si="102"/>
        <v>0</v>
      </c>
      <c r="CJ215" s="1894">
        <v>167</v>
      </c>
      <c r="CK215" s="1894">
        <v>123.2</v>
      </c>
      <c r="CL215" s="1894">
        <v>133.6</v>
      </c>
      <c r="CM215" s="1894">
        <v>0.97699999999999998</v>
      </c>
      <c r="CN215" s="1894">
        <v>60.03</v>
      </c>
      <c r="CO215" s="1894">
        <v>49700</v>
      </c>
      <c r="CP215" s="1894">
        <f t="shared" si="103"/>
        <v>49674</v>
      </c>
      <c r="CQ215" s="1894">
        <f t="shared" si="104"/>
        <v>26</v>
      </c>
      <c r="CR215" s="1924">
        <v>167</v>
      </c>
      <c r="CS215" s="1924">
        <v>116.32000000000001</v>
      </c>
      <c r="CT215" s="1924">
        <v>133.6</v>
      </c>
      <c r="CU215" s="1924">
        <v>0.97670000000000001</v>
      </c>
      <c r="CV215" s="1924">
        <v>53.96</v>
      </c>
      <c r="CW215" s="1924">
        <v>46696</v>
      </c>
      <c r="CX215" s="1894">
        <f t="shared" si="105"/>
        <v>51925</v>
      </c>
      <c r="CY215" s="1894">
        <f t="shared" si="106"/>
        <v>0</v>
      </c>
    </row>
    <row r="216" spans="1:103">
      <c r="A216" s="982">
        <v>613000000014</v>
      </c>
      <c r="B216" s="1923">
        <f t="shared" si="107"/>
        <v>210</v>
      </c>
      <c r="C216" s="1895" t="s">
        <v>3102</v>
      </c>
      <c r="D216" s="1894" t="s">
        <v>524</v>
      </c>
      <c r="E216" s="1895" t="s">
        <v>541</v>
      </c>
      <c r="F216" s="1894" t="s">
        <v>259</v>
      </c>
      <c r="G216" s="1924">
        <v>167</v>
      </c>
      <c r="H216" s="1894">
        <v>167</v>
      </c>
      <c r="I216" s="1894">
        <v>103.19999999999999</v>
      </c>
      <c r="J216" s="1894">
        <v>133.6</v>
      </c>
      <c r="K216" s="1894">
        <v>0.9597</v>
      </c>
      <c r="L216" s="1894">
        <v>63.29</v>
      </c>
      <c r="M216" s="1894">
        <v>45456</v>
      </c>
      <c r="N216" s="1894">
        <f t="shared" si="85"/>
        <v>44582</v>
      </c>
      <c r="O216" s="1894">
        <f t="shared" si="86"/>
        <v>874</v>
      </c>
      <c r="P216" s="1894">
        <v>167</v>
      </c>
      <c r="Q216" s="1894">
        <v>112.2</v>
      </c>
      <c r="R216" s="1894">
        <v>133.6</v>
      </c>
      <c r="S216" s="1894">
        <v>0.88449999999999995</v>
      </c>
      <c r="T216" s="1894">
        <v>43.86</v>
      </c>
      <c r="U216" s="1894">
        <v>34248</v>
      </c>
      <c r="V216" s="1894">
        <f t="shared" si="87"/>
        <v>50086</v>
      </c>
      <c r="W216" s="1894">
        <f t="shared" si="88"/>
        <v>0</v>
      </c>
      <c r="X216" s="1894">
        <v>167</v>
      </c>
      <c r="Y216" s="1894">
        <v>106.8</v>
      </c>
      <c r="Z216" s="1894">
        <v>133.6</v>
      </c>
      <c r="AA216" s="1894">
        <v>0.85240000000000005</v>
      </c>
      <c r="AB216" s="1894">
        <v>29.39</v>
      </c>
      <c r="AC216" s="1894">
        <v>25611</v>
      </c>
      <c r="AD216" s="1894">
        <f t="shared" si="89"/>
        <v>46138</v>
      </c>
      <c r="AE216" s="1894">
        <f t="shared" si="90"/>
        <v>0</v>
      </c>
      <c r="AF216" s="1894">
        <v>167</v>
      </c>
      <c r="AG216" s="1894">
        <v>118.80000000000001</v>
      </c>
      <c r="AH216" s="1894">
        <v>133.6</v>
      </c>
      <c r="AI216" s="1894">
        <v>0.89500000000000002</v>
      </c>
      <c r="AJ216" s="1894">
        <v>18.559999999999999</v>
      </c>
      <c r="AK216" s="1894">
        <v>15348</v>
      </c>
      <c r="AL216" s="1894">
        <f t="shared" si="83"/>
        <v>53032</v>
      </c>
      <c r="AM216" s="1894">
        <f t="shared" si="84"/>
        <v>0</v>
      </c>
      <c r="AN216" s="1894">
        <v>167</v>
      </c>
      <c r="AO216" s="1894">
        <v>119.52</v>
      </c>
      <c r="AP216" s="1894">
        <v>133.6</v>
      </c>
      <c r="AQ216" s="1894">
        <v>0.85809999999999997</v>
      </c>
      <c r="AR216" s="1894">
        <v>28</v>
      </c>
      <c r="AS216" s="1894">
        <v>28116</v>
      </c>
      <c r="AT216" s="1894">
        <f t="shared" si="91"/>
        <v>53354</v>
      </c>
      <c r="AU216" s="1894">
        <f t="shared" si="92"/>
        <v>0</v>
      </c>
      <c r="AV216" s="1894">
        <v>167</v>
      </c>
      <c r="AW216" s="1894">
        <v>10.68</v>
      </c>
      <c r="AX216" s="1894">
        <v>133.6</v>
      </c>
      <c r="AY216" s="1894">
        <v>0.9859</v>
      </c>
      <c r="AZ216" s="1894">
        <v>16.920000000000002</v>
      </c>
      <c r="BA216" s="1894">
        <v>1214</v>
      </c>
      <c r="BB216" s="1894">
        <f t="shared" si="93"/>
        <v>4614</v>
      </c>
      <c r="BC216" s="1894">
        <f t="shared" si="94"/>
        <v>0</v>
      </c>
      <c r="BD216" s="1894">
        <v>167</v>
      </c>
      <c r="BE216" s="1894">
        <v>21.84</v>
      </c>
      <c r="BF216" s="1894">
        <v>133.6</v>
      </c>
      <c r="BG216" s="1894">
        <v>0.48459999999999998</v>
      </c>
      <c r="BH216" s="1894">
        <v>19.84</v>
      </c>
      <c r="BI216" s="1894">
        <v>3328</v>
      </c>
      <c r="BJ216" s="1894">
        <f t="shared" si="95"/>
        <v>9749</v>
      </c>
      <c r="BK216" s="1894">
        <f t="shared" si="96"/>
        <v>0</v>
      </c>
      <c r="BL216" s="1894">
        <v>167</v>
      </c>
      <c r="BM216" s="1894">
        <v>22.2</v>
      </c>
      <c r="BN216" s="1894">
        <v>133.6</v>
      </c>
      <c r="BO216" s="1894">
        <v>0.33929999999999999</v>
      </c>
      <c r="BP216" s="1894">
        <v>26.67</v>
      </c>
      <c r="BQ216" s="1894">
        <v>3837</v>
      </c>
      <c r="BR216" s="1894">
        <f t="shared" si="97"/>
        <v>9590</v>
      </c>
      <c r="BS216" s="1894">
        <f t="shared" si="98"/>
        <v>0</v>
      </c>
      <c r="BT216" s="1894">
        <v>167</v>
      </c>
      <c r="BU216" s="1894">
        <v>43.68</v>
      </c>
      <c r="BV216" s="1894">
        <v>133.6</v>
      </c>
      <c r="BW216" s="1894">
        <v>0.34789999999999999</v>
      </c>
      <c r="BX216" s="1894">
        <v>14.16</v>
      </c>
      <c r="BY216" s="1894">
        <v>5196</v>
      </c>
      <c r="BZ216" s="1894">
        <f t="shared" si="99"/>
        <v>19499</v>
      </c>
      <c r="CA216" s="1894">
        <f t="shared" si="100"/>
        <v>0</v>
      </c>
      <c r="CB216" s="1894">
        <v>167</v>
      </c>
      <c r="CC216" s="1894">
        <v>45.839999999999996</v>
      </c>
      <c r="CD216" s="1894">
        <v>133.6</v>
      </c>
      <c r="CE216" s="1894">
        <v>0.45550000000000002</v>
      </c>
      <c r="CF216" s="1894">
        <v>13.25</v>
      </c>
      <c r="CG216" s="1894">
        <v>4518</v>
      </c>
      <c r="CH216" s="1894">
        <f t="shared" si="101"/>
        <v>20463</v>
      </c>
      <c r="CI216" s="1894">
        <f t="shared" si="102"/>
        <v>0</v>
      </c>
      <c r="CJ216" s="1894">
        <v>167</v>
      </c>
      <c r="CK216" s="1894">
        <v>262.44</v>
      </c>
      <c r="CL216" s="1894">
        <v>262.44</v>
      </c>
      <c r="CM216" s="1894">
        <v>0.72860000000000003</v>
      </c>
      <c r="CN216" s="1894">
        <v>32.11</v>
      </c>
      <c r="CO216" s="1894">
        <v>56624</v>
      </c>
      <c r="CP216" s="1894">
        <f t="shared" si="103"/>
        <v>105816</v>
      </c>
      <c r="CQ216" s="1894">
        <f t="shared" si="104"/>
        <v>0</v>
      </c>
      <c r="CR216" s="1924">
        <v>167</v>
      </c>
      <c r="CS216" s="1924">
        <v>266.76</v>
      </c>
      <c r="CT216" s="1924">
        <v>266.76</v>
      </c>
      <c r="CU216" s="1924">
        <v>0.74929999999999997</v>
      </c>
      <c r="CV216" s="1924">
        <v>45.58</v>
      </c>
      <c r="CW216" s="1924">
        <v>90459</v>
      </c>
      <c r="CX216" s="1894">
        <f t="shared" si="105"/>
        <v>119082</v>
      </c>
      <c r="CY216" s="1894">
        <f t="shared" si="106"/>
        <v>0</v>
      </c>
    </row>
    <row r="217" spans="1:103">
      <c r="A217" s="982">
        <v>613000000026</v>
      </c>
      <c r="B217" s="1923">
        <f t="shared" si="107"/>
        <v>211</v>
      </c>
      <c r="C217" s="1895" t="s">
        <v>3103</v>
      </c>
      <c r="D217" s="1894" t="s">
        <v>524</v>
      </c>
      <c r="E217" s="1895" t="s">
        <v>730</v>
      </c>
      <c r="F217" s="1894" t="s">
        <v>259</v>
      </c>
      <c r="G217" s="1924">
        <v>167</v>
      </c>
      <c r="H217" s="1894">
        <v>167</v>
      </c>
      <c r="I217" s="1894">
        <v>132.47999999999999</v>
      </c>
      <c r="J217" s="1894">
        <v>133.6</v>
      </c>
      <c r="K217" s="1894">
        <v>0.89100000000000001</v>
      </c>
      <c r="L217" s="1894">
        <v>61.86</v>
      </c>
      <c r="M217" s="1894">
        <v>60976</v>
      </c>
      <c r="N217" s="1894">
        <f t="shared" si="85"/>
        <v>57231</v>
      </c>
      <c r="O217" s="1894">
        <f t="shared" si="86"/>
        <v>3745</v>
      </c>
      <c r="P217" s="1894">
        <v>167</v>
      </c>
      <c r="Q217" s="1894">
        <v>136.4</v>
      </c>
      <c r="R217" s="1894">
        <v>136.4</v>
      </c>
      <c r="S217" s="1894">
        <v>0.88849999999999996</v>
      </c>
      <c r="T217" s="1894">
        <v>61.03</v>
      </c>
      <c r="U217" s="1894">
        <v>53947</v>
      </c>
      <c r="V217" s="1894">
        <f t="shared" si="87"/>
        <v>60889</v>
      </c>
      <c r="W217" s="1894">
        <f t="shared" si="88"/>
        <v>0</v>
      </c>
      <c r="X217" s="1894">
        <v>167</v>
      </c>
      <c r="Y217" s="1894">
        <v>133.76</v>
      </c>
      <c r="Z217" s="1894">
        <v>133.76</v>
      </c>
      <c r="AA217" s="1894">
        <v>0.88859999999999995</v>
      </c>
      <c r="AB217" s="1894">
        <v>63.84</v>
      </c>
      <c r="AC217" s="1894">
        <v>71735</v>
      </c>
      <c r="AD217" s="1894">
        <f t="shared" si="89"/>
        <v>57784</v>
      </c>
      <c r="AE217" s="1894">
        <f t="shared" si="90"/>
        <v>13951</v>
      </c>
      <c r="AF217" s="1894">
        <v>167</v>
      </c>
      <c r="AG217" s="1894">
        <v>134.72</v>
      </c>
      <c r="AH217" s="1894">
        <v>134.72</v>
      </c>
      <c r="AI217" s="1894">
        <v>0.88629999999999998</v>
      </c>
      <c r="AJ217" s="1894">
        <v>60.87</v>
      </c>
      <c r="AK217" s="1894">
        <v>59039</v>
      </c>
      <c r="AL217" s="1894">
        <f t="shared" si="83"/>
        <v>60139</v>
      </c>
      <c r="AM217" s="1894">
        <f t="shared" si="84"/>
        <v>0</v>
      </c>
      <c r="AN217" s="1894">
        <v>167</v>
      </c>
      <c r="AO217" s="1894">
        <v>135.60000000000002</v>
      </c>
      <c r="AP217" s="1894">
        <v>135.6</v>
      </c>
      <c r="AQ217" s="1894">
        <v>0.87439999999999996</v>
      </c>
      <c r="AR217" s="1894">
        <v>60.48</v>
      </c>
      <c r="AS217" s="1894">
        <v>61015</v>
      </c>
      <c r="AT217" s="1894">
        <f t="shared" si="91"/>
        <v>60532</v>
      </c>
      <c r="AU217" s="1894">
        <f t="shared" si="92"/>
        <v>483</v>
      </c>
      <c r="AV217" s="1894">
        <v>167</v>
      </c>
      <c r="AW217" s="1894">
        <v>134.4</v>
      </c>
      <c r="AX217" s="1894">
        <v>134.4</v>
      </c>
      <c r="AY217" s="1894">
        <v>0.88119999999999998</v>
      </c>
      <c r="AZ217" s="1894">
        <v>57.84</v>
      </c>
      <c r="BA217" s="1894">
        <v>46644</v>
      </c>
      <c r="BB217" s="1894">
        <f t="shared" si="93"/>
        <v>58061</v>
      </c>
      <c r="BC217" s="1894">
        <f t="shared" si="94"/>
        <v>0</v>
      </c>
      <c r="BD217" s="1894">
        <v>167</v>
      </c>
      <c r="BE217" s="1894">
        <v>135.91999999999999</v>
      </c>
      <c r="BF217" s="1894">
        <v>135.91999999999999</v>
      </c>
      <c r="BG217" s="1894">
        <v>0.87539999999999996</v>
      </c>
      <c r="BH217" s="1894">
        <v>60.89</v>
      </c>
      <c r="BI217" s="1894">
        <v>69517</v>
      </c>
      <c r="BJ217" s="1894">
        <f t="shared" si="95"/>
        <v>60675</v>
      </c>
      <c r="BK217" s="1894">
        <f t="shared" si="96"/>
        <v>8842</v>
      </c>
      <c r="BL217" s="1894">
        <v>167</v>
      </c>
      <c r="BM217" s="1894">
        <v>135.28</v>
      </c>
      <c r="BN217" s="1894">
        <v>135.28</v>
      </c>
      <c r="BO217" s="1894">
        <v>0.87660000000000005</v>
      </c>
      <c r="BP217" s="1894">
        <v>65.2</v>
      </c>
      <c r="BQ217" s="1894">
        <v>65620</v>
      </c>
      <c r="BR217" s="1894">
        <f t="shared" si="97"/>
        <v>58441</v>
      </c>
      <c r="BS217" s="1894">
        <f t="shared" si="98"/>
        <v>7179</v>
      </c>
      <c r="BT217" s="1894">
        <v>167</v>
      </c>
      <c r="BU217" s="1894">
        <v>135.76</v>
      </c>
      <c r="BV217" s="1894">
        <v>135.76</v>
      </c>
      <c r="BW217" s="1894">
        <v>0.87860000000000005</v>
      </c>
      <c r="BX217" s="1894">
        <v>63.08</v>
      </c>
      <c r="BY217" s="1894">
        <v>65765</v>
      </c>
      <c r="BZ217" s="1894">
        <f t="shared" si="99"/>
        <v>60603</v>
      </c>
      <c r="CA217" s="1894">
        <f t="shared" si="100"/>
        <v>5162</v>
      </c>
      <c r="CB217" s="1894">
        <v>167</v>
      </c>
      <c r="CC217" s="1894">
        <v>136</v>
      </c>
      <c r="CD217" s="1894">
        <v>136</v>
      </c>
      <c r="CE217" s="1894">
        <v>0.87749999999999995</v>
      </c>
      <c r="CF217" s="1894">
        <v>68.599999999999994</v>
      </c>
      <c r="CG217" s="1894">
        <v>67169</v>
      </c>
      <c r="CH217" s="1894">
        <f t="shared" si="101"/>
        <v>60710</v>
      </c>
      <c r="CI217" s="1894">
        <f t="shared" si="102"/>
        <v>6459</v>
      </c>
      <c r="CJ217" s="1894">
        <v>167</v>
      </c>
      <c r="CK217" s="1894">
        <v>134.56</v>
      </c>
      <c r="CL217" s="1894">
        <v>134.56</v>
      </c>
      <c r="CM217" s="1894">
        <v>0.88560000000000005</v>
      </c>
      <c r="CN217" s="1894">
        <v>71.3</v>
      </c>
      <c r="CO217" s="1894">
        <v>66772</v>
      </c>
      <c r="CP217" s="1894">
        <f t="shared" si="103"/>
        <v>54255</v>
      </c>
      <c r="CQ217" s="1894">
        <f t="shared" si="104"/>
        <v>12517</v>
      </c>
      <c r="CR217" s="1924">
        <v>167</v>
      </c>
      <c r="CS217" s="1924">
        <v>134.95999999999998</v>
      </c>
      <c r="CT217" s="1924">
        <v>134.96</v>
      </c>
      <c r="CU217" s="1924">
        <v>0.8871</v>
      </c>
      <c r="CV217" s="1924">
        <v>74.23</v>
      </c>
      <c r="CW217" s="1924">
        <v>72126</v>
      </c>
      <c r="CX217" s="1894">
        <f t="shared" si="105"/>
        <v>60246</v>
      </c>
      <c r="CY217" s="1894">
        <f t="shared" si="106"/>
        <v>11880</v>
      </c>
    </row>
    <row r="218" spans="1:103">
      <c r="A218" s="982">
        <v>615000000015</v>
      </c>
      <c r="B218" s="1923">
        <f t="shared" si="107"/>
        <v>212</v>
      </c>
      <c r="C218" s="1895" t="s">
        <v>3104</v>
      </c>
      <c r="D218" s="1894" t="s">
        <v>524</v>
      </c>
      <c r="E218" s="1895" t="s">
        <v>541</v>
      </c>
      <c r="F218" s="1894" t="s">
        <v>259</v>
      </c>
      <c r="G218" s="1924">
        <v>167</v>
      </c>
      <c r="H218" s="1894">
        <v>167</v>
      </c>
      <c r="I218" s="1894">
        <v>202.16</v>
      </c>
      <c r="J218" s="1894">
        <v>202.16</v>
      </c>
      <c r="K218" s="1894">
        <v>0.85670000000000002</v>
      </c>
      <c r="L218" s="1894">
        <v>5.6</v>
      </c>
      <c r="M218" s="1894">
        <v>8144</v>
      </c>
      <c r="N218" s="1894">
        <f t="shared" si="85"/>
        <v>87333</v>
      </c>
      <c r="O218" s="1894">
        <f t="shared" si="86"/>
        <v>0</v>
      </c>
      <c r="P218" s="1894">
        <v>167</v>
      </c>
      <c r="Q218" s="1894">
        <v>194.79999999999998</v>
      </c>
      <c r="R218" s="1894">
        <v>194.8</v>
      </c>
      <c r="S218" s="1894">
        <v>0.93149999999999999</v>
      </c>
      <c r="T218" s="1894">
        <v>4.6500000000000004</v>
      </c>
      <c r="U218" s="1894">
        <v>6746</v>
      </c>
      <c r="V218" s="1894">
        <f t="shared" si="87"/>
        <v>86959</v>
      </c>
      <c r="W218" s="1894">
        <f t="shared" si="88"/>
        <v>0</v>
      </c>
      <c r="X218" s="1894">
        <v>167</v>
      </c>
      <c r="Y218" s="1894">
        <v>205.20000000000002</v>
      </c>
      <c r="Z218" s="1894">
        <v>205.2</v>
      </c>
      <c r="AA218" s="1894">
        <v>0.93179999999999996</v>
      </c>
      <c r="AB218" s="1894">
        <v>2.7</v>
      </c>
      <c r="AC218" s="1894">
        <v>3994</v>
      </c>
      <c r="AD218" s="1894">
        <f t="shared" si="89"/>
        <v>88646</v>
      </c>
      <c r="AE218" s="1894">
        <f t="shared" si="90"/>
        <v>0</v>
      </c>
      <c r="AF218" s="1894">
        <v>167</v>
      </c>
      <c r="AG218" s="1894">
        <v>44.48</v>
      </c>
      <c r="AH218" s="1894">
        <v>133.6</v>
      </c>
      <c r="AI218" s="1894">
        <v>0.79479999999999995</v>
      </c>
      <c r="AJ218" s="1894">
        <v>6.38</v>
      </c>
      <c r="AK218" s="1894">
        <v>2111</v>
      </c>
      <c r="AL218" s="1894">
        <f t="shared" si="83"/>
        <v>19856</v>
      </c>
      <c r="AM218" s="1894">
        <f t="shared" si="84"/>
        <v>0</v>
      </c>
      <c r="AN218" s="1894">
        <v>167</v>
      </c>
      <c r="AO218" s="1894">
        <v>137.52000000000001</v>
      </c>
      <c r="AP218" s="1894">
        <v>137.52000000000001</v>
      </c>
      <c r="AQ218" s="1894">
        <v>0.73160000000000003</v>
      </c>
      <c r="AR218" s="1894">
        <v>2.2400000000000002</v>
      </c>
      <c r="AS218" s="1894">
        <v>1848</v>
      </c>
      <c r="AT218" s="1894">
        <f t="shared" si="91"/>
        <v>61389</v>
      </c>
      <c r="AU218" s="1894">
        <f t="shared" si="92"/>
        <v>0</v>
      </c>
      <c r="AV218" s="1894">
        <v>167</v>
      </c>
      <c r="AW218" s="1894">
        <v>186.4</v>
      </c>
      <c r="AX218" s="1894">
        <v>186.4</v>
      </c>
      <c r="AY218" s="1894">
        <v>0.96489999999999998</v>
      </c>
      <c r="AZ218" s="1894">
        <v>2.2999999999999998</v>
      </c>
      <c r="BA218" s="1894">
        <v>3196</v>
      </c>
      <c r="BB218" s="1894">
        <f t="shared" si="93"/>
        <v>80525</v>
      </c>
      <c r="BC218" s="1894">
        <f t="shared" si="94"/>
        <v>0</v>
      </c>
      <c r="BD218" s="1894">
        <v>167</v>
      </c>
      <c r="BE218" s="1894">
        <v>173.67999999999998</v>
      </c>
      <c r="BF218" s="1894">
        <v>173.68</v>
      </c>
      <c r="BG218" s="1894">
        <v>0.86129999999999995</v>
      </c>
      <c r="BH218" s="1894">
        <v>1.85</v>
      </c>
      <c r="BI218" s="1894">
        <v>2777</v>
      </c>
      <c r="BJ218" s="1894">
        <f t="shared" si="95"/>
        <v>77531</v>
      </c>
      <c r="BK218" s="1894">
        <f t="shared" si="96"/>
        <v>0</v>
      </c>
      <c r="BL218" s="1894">
        <v>167</v>
      </c>
      <c r="BM218" s="1894">
        <v>150.47999999999999</v>
      </c>
      <c r="BN218" s="1894">
        <v>150.47999999999999</v>
      </c>
      <c r="BO218" s="1894">
        <v>0.60740000000000005</v>
      </c>
      <c r="BP218" s="1894">
        <v>2.36</v>
      </c>
      <c r="BQ218" s="1894">
        <v>2560</v>
      </c>
      <c r="BR218" s="1894">
        <f t="shared" si="97"/>
        <v>65007</v>
      </c>
      <c r="BS218" s="1894">
        <f t="shared" si="98"/>
        <v>0</v>
      </c>
      <c r="BT218" s="1894">
        <v>167</v>
      </c>
      <c r="BU218" s="1894">
        <v>34.4</v>
      </c>
      <c r="BV218" s="1894">
        <v>133.6</v>
      </c>
      <c r="BW218" s="1894">
        <v>0.84960000000000002</v>
      </c>
      <c r="BX218" s="1894">
        <v>5.77</v>
      </c>
      <c r="BY218" s="1894">
        <v>1477</v>
      </c>
      <c r="BZ218" s="1894">
        <f t="shared" si="99"/>
        <v>15356</v>
      </c>
      <c r="CA218" s="1894">
        <f t="shared" si="100"/>
        <v>0</v>
      </c>
      <c r="CB218" s="1894">
        <v>167</v>
      </c>
      <c r="CC218" s="1894">
        <v>117.52</v>
      </c>
      <c r="CD218" s="1894">
        <v>133.6</v>
      </c>
      <c r="CE218" s="1894">
        <v>0.98309999999999997</v>
      </c>
      <c r="CF218" s="1894">
        <v>1.56</v>
      </c>
      <c r="CG218" s="1894">
        <v>1361</v>
      </c>
      <c r="CH218" s="1894">
        <f t="shared" si="101"/>
        <v>52461</v>
      </c>
      <c r="CI218" s="1894">
        <f t="shared" si="102"/>
        <v>0</v>
      </c>
      <c r="CJ218" s="1894">
        <v>167</v>
      </c>
      <c r="CK218" s="1894">
        <v>210.88</v>
      </c>
      <c r="CL218" s="1894">
        <v>210.88</v>
      </c>
      <c r="CM218" s="1894">
        <v>0.70320000000000005</v>
      </c>
      <c r="CN218" s="1894">
        <v>4.5199999999999996</v>
      </c>
      <c r="CO218" s="1894">
        <v>6410</v>
      </c>
      <c r="CP218" s="1894">
        <f t="shared" si="103"/>
        <v>85027</v>
      </c>
      <c r="CQ218" s="1894">
        <f t="shared" si="104"/>
        <v>0</v>
      </c>
      <c r="CR218" s="1924">
        <v>167</v>
      </c>
      <c r="CS218" s="1924">
        <v>220.00000000000003</v>
      </c>
      <c r="CT218" s="1924">
        <v>220</v>
      </c>
      <c r="CU218" s="1924">
        <v>0.72030000000000005</v>
      </c>
      <c r="CV218" s="1924">
        <v>5.43</v>
      </c>
      <c r="CW218" s="1924">
        <v>8885</v>
      </c>
      <c r="CX218" s="1894">
        <f t="shared" si="105"/>
        <v>98208</v>
      </c>
      <c r="CY218" s="1894">
        <f t="shared" si="106"/>
        <v>0</v>
      </c>
    </row>
    <row r="219" spans="1:103">
      <c r="A219" s="982">
        <v>621000000037</v>
      </c>
      <c r="B219" s="1923">
        <f t="shared" si="107"/>
        <v>213</v>
      </c>
      <c r="C219" s="1895" t="s">
        <v>3105</v>
      </c>
      <c r="D219" s="1894" t="s">
        <v>524</v>
      </c>
      <c r="E219" s="1895" t="s">
        <v>629</v>
      </c>
      <c r="F219" s="1894" t="s">
        <v>259</v>
      </c>
      <c r="G219" s="1924">
        <v>167</v>
      </c>
      <c r="H219" s="1894">
        <v>167</v>
      </c>
      <c r="I219" s="1894">
        <v>102.56</v>
      </c>
      <c r="J219" s="1894">
        <v>167</v>
      </c>
      <c r="K219" s="1894">
        <v>0.98780000000000001</v>
      </c>
      <c r="L219" s="1894">
        <v>0</v>
      </c>
      <c r="M219" s="1894">
        <v>36931</v>
      </c>
      <c r="N219" s="1894">
        <f t="shared" si="85"/>
        <v>44306</v>
      </c>
      <c r="O219" s="1894">
        <f t="shared" si="86"/>
        <v>0</v>
      </c>
      <c r="P219" s="1894">
        <v>167</v>
      </c>
      <c r="Q219" s="1894">
        <v>102.64</v>
      </c>
      <c r="R219" s="1894">
        <v>167</v>
      </c>
      <c r="S219" s="1894">
        <v>0.98429999999999995</v>
      </c>
      <c r="T219" s="1894">
        <v>0</v>
      </c>
      <c r="U219" s="1894">
        <v>37217</v>
      </c>
      <c r="V219" s="1894">
        <f t="shared" si="87"/>
        <v>45818</v>
      </c>
      <c r="W219" s="1894">
        <f t="shared" si="88"/>
        <v>0</v>
      </c>
      <c r="X219" s="1894">
        <v>167</v>
      </c>
      <c r="Y219" s="1894">
        <v>105.2</v>
      </c>
      <c r="Z219" s="1894">
        <v>167</v>
      </c>
      <c r="AA219" s="1894">
        <v>0.98260000000000003</v>
      </c>
      <c r="AB219" s="1894">
        <v>0</v>
      </c>
      <c r="AC219" s="1894">
        <v>32205</v>
      </c>
      <c r="AD219" s="1894">
        <f t="shared" si="89"/>
        <v>45446</v>
      </c>
      <c r="AE219" s="1894">
        <f t="shared" si="90"/>
        <v>0</v>
      </c>
      <c r="AF219" s="1894">
        <v>167</v>
      </c>
      <c r="AG219" s="1894">
        <v>102</v>
      </c>
      <c r="AH219" s="1894">
        <v>167</v>
      </c>
      <c r="AI219" s="1894">
        <v>0.98519999999999996</v>
      </c>
      <c r="AJ219" s="1894">
        <v>0</v>
      </c>
      <c r="AK219" s="1894">
        <v>35839</v>
      </c>
      <c r="AL219" s="1894">
        <f t="shared" si="83"/>
        <v>45533</v>
      </c>
      <c r="AM219" s="1894">
        <f t="shared" si="84"/>
        <v>0</v>
      </c>
      <c r="AN219" s="1894">
        <v>167</v>
      </c>
      <c r="AO219" s="1894">
        <v>65.36</v>
      </c>
      <c r="AP219" s="1894">
        <v>167</v>
      </c>
      <c r="AQ219" s="1894">
        <v>0.98650000000000004</v>
      </c>
      <c r="AR219" s="1894">
        <v>0</v>
      </c>
      <c r="AS219" s="1894">
        <v>33400</v>
      </c>
      <c r="AT219" s="1894">
        <f t="shared" si="91"/>
        <v>29177</v>
      </c>
      <c r="AU219" s="1894">
        <f t="shared" si="92"/>
        <v>4223</v>
      </c>
      <c r="AV219" s="1894">
        <v>167</v>
      </c>
      <c r="AW219" s="1894">
        <v>105.36000000000001</v>
      </c>
      <c r="AX219" s="1894">
        <v>167</v>
      </c>
      <c r="AY219" s="1894">
        <v>0.9909</v>
      </c>
      <c r="AZ219" s="1894">
        <v>0</v>
      </c>
      <c r="BA219" s="1894">
        <v>27932</v>
      </c>
      <c r="BB219" s="1894">
        <f t="shared" si="93"/>
        <v>45516</v>
      </c>
      <c r="BC219" s="1894">
        <f t="shared" si="94"/>
        <v>0</v>
      </c>
      <c r="BD219" s="1894">
        <v>167</v>
      </c>
      <c r="BE219" s="1894">
        <v>96.16</v>
      </c>
      <c r="BF219" s="1894">
        <v>167</v>
      </c>
      <c r="BG219" s="1894">
        <v>0.98909999999999998</v>
      </c>
      <c r="BH219" s="1894">
        <v>0</v>
      </c>
      <c r="BI219" s="1894">
        <v>31376</v>
      </c>
      <c r="BJ219" s="1894">
        <f t="shared" si="95"/>
        <v>42926</v>
      </c>
      <c r="BK219" s="1894">
        <f t="shared" si="96"/>
        <v>0</v>
      </c>
      <c r="BL219" s="1894">
        <v>167</v>
      </c>
      <c r="BM219" s="1894">
        <v>98.64</v>
      </c>
      <c r="BN219" s="1894">
        <v>167</v>
      </c>
      <c r="BO219" s="1894">
        <v>0.99180000000000001</v>
      </c>
      <c r="BP219" s="1894">
        <v>0</v>
      </c>
      <c r="BQ219" s="1894">
        <v>31710</v>
      </c>
      <c r="BR219" s="1894">
        <f t="shared" si="97"/>
        <v>42612</v>
      </c>
      <c r="BS219" s="1894">
        <f t="shared" si="98"/>
        <v>0</v>
      </c>
      <c r="BT219" s="1894">
        <v>167</v>
      </c>
      <c r="BU219" s="1894">
        <v>0</v>
      </c>
      <c r="BV219" s="1894">
        <v>167</v>
      </c>
      <c r="BW219" s="1894">
        <v>0.98870000000000002</v>
      </c>
      <c r="BX219" s="1894">
        <v>0</v>
      </c>
      <c r="BY219" s="1894">
        <v>30903</v>
      </c>
      <c r="BZ219" s="1894">
        <f t="shared" si="99"/>
        <v>0</v>
      </c>
      <c r="CA219" s="1894">
        <f t="shared" si="100"/>
        <v>30903</v>
      </c>
      <c r="CB219" s="1894">
        <v>167</v>
      </c>
      <c r="CC219" s="1894">
        <v>104.16000000000001</v>
      </c>
      <c r="CD219" s="1894">
        <v>167</v>
      </c>
      <c r="CE219" s="1894">
        <v>0.99239999999999995</v>
      </c>
      <c r="CF219" s="1894">
        <v>0</v>
      </c>
      <c r="CG219" s="1894">
        <v>30144</v>
      </c>
      <c r="CH219" s="1894">
        <f t="shared" si="101"/>
        <v>46497</v>
      </c>
      <c r="CI219" s="1894">
        <f t="shared" si="102"/>
        <v>0</v>
      </c>
      <c r="CJ219" s="1894">
        <v>167</v>
      </c>
      <c r="CK219" s="1894">
        <v>100.47999999999999</v>
      </c>
      <c r="CL219" s="1894">
        <v>167</v>
      </c>
      <c r="CM219" s="1894">
        <v>0.99219999999999997</v>
      </c>
      <c r="CN219" s="1894">
        <v>0</v>
      </c>
      <c r="CO219" s="1894">
        <v>31913</v>
      </c>
      <c r="CP219" s="1894">
        <f t="shared" si="103"/>
        <v>40514</v>
      </c>
      <c r="CQ219" s="1894">
        <f t="shared" si="104"/>
        <v>0</v>
      </c>
      <c r="CR219" s="1924">
        <v>167</v>
      </c>
      <c r="CS219" s="1924">
        <v>97.44</v>
      </c>
      <c r="CT219" s="1924">
        <v>167</v>
      </c>
      <c r="CU219" s="1924">
        <v>0.99</v>
      </c>
      <c r="CV219" s="1924">
        <v>0</v>
      </c>
      <c r="CW219" s="1924">
        <v>31510</v>
      </c>
      <c r="CX219" s="1894">
        <f t="shared" si="105"/>
        <v>43497</v>
      </c>
      <c r="CY219" s="1894">
        <f t="shared" si="106"/>
        <v>0</v>
      </c>
    </row>
    <row r="220" spans="1:103">
      <c r="A220" s="982">
        <v>121000000027</v>
      </c>
      <c r="B220" s="1923">
        <f t="shared" si="107"/>
        <v>214</v>
      </c>
      <c r="C220" s="1895" t="s">
        <v>3642</v>
      </c>
      <c r="D220" s="1894" t="s">
        <v>2930</v>
      </c>
      <c r="E220" s="1895" t="s">
        <v>636</v>
      </c>
      <c r="F220" s="1894" t="s">
        <v>259</v>
      </c>
      <c r="G220" s="1894">
        <v>167</v>
      </c>
      <c r="H220" s="1894">
        <v>167</v>
      </c>
      <c r="I220" s="1894">
        <v>0</v>
      </c>
      <c r="J220" s="1894">
        <v>133.6</v>
      </c>
      <c r="K220" s="1894">
        <v>0</v>
      </c>
      <c r="L220" s="1894">
        <v>0</v>
      </c>
      <c r="M220" s="1925">
        <v>0</v>
      </c>
      <c r="N220" s="1894">
        <f t="shared" si="85"/>
        <v>0</v>
      </c>
      <c r="O220" s="1894">
        <f t="shared" si="86"/>
        <v>0</v>
      </c>
      <c r="P220" s="1894">
        <v>167</v>
      </c>
      <c r="Q220" s="1894">
        <v>0</v>
      </c>
      <c r="R220" s="1894">
        <v>133.6</v>
      </c>
      <c r="S220" s="1894">
        <v>0</v>
      </c>
      <c r="T220" s="1894">
        <v>0</v>
      </c>
      <c r="U220" s="1894">
        <v>0</v>
      </c>
      <c r="V220" s="1894">
        <f t="shared" si="87"/>
        <v>0</v>
      </c>
      <c r="W220" s="1894">
        <f t="shared" si="88"/>
        <v>0</v>
      </c>
      <c r="X220" s="1894">
        <v>167</v>
      </c>
      <c r="Y220" s="1894">
        <v>0</v>
      </c>
      <c r="Z220" s="1894">
        <v>0</v>
      </c>
      <c r="AA220" s="1894">
        <v>0</v>
      </c>
      <c r="AB220" s="1894">
        <v>0</v>
      </c>
      <c r="AC220" s="1894">
        <v>0</v>
      </c>
      <c r="AD220" s="1894">
        <f t="shared" si="89"/>
        <v>0</v>
      </c>
      <c r="AE220" s="1894">
        <f t="shared" si="90"/>
        <v>0</v>
      </c>
      <c r="AF220" s="1894">
        <v>167</v>
      </c>
      <c r="AG220" s="1894">
        <v>0</v>
      </c>
      <c r="AH220" s="1894">
        <v>0</v>
      </c>
      <c r="AI220" s="1894">
        <v>0</v>
      </c>
      <c r="AJ220" s="1894">
        <v>0</v>
      </c>
      <c r="AK220" s="1894">
        <v>0</v>
      </c>
      <c r="AL220" s="1894">
        <v>0</v>
      </c>
      <c r="AM220" s="1894">
        <v>0</v>
      </c>
      <c r="AN220" s="1894">
        <v>167</v>
      </c>
      <c r="AO220" s="1894">
        <v>0</v>
      </c>
      <c r="AP220" s="1894">
        <v>0</v>
      </c>
      <c r="AQ220" s="1894">
        <v>0</v>
      </c>
      <c r="AR220" s="1894">
        <v>0</v>
      </c>
      <c r="AS220" s="1894">
        <v>0</v>
      </c>
      <c r="AT220" s="1894">
        <f t="shared" si="91"/>
        <v>0</v>
      </c>
      <c r="AU220" s="1894">
        <f t="shared" si="92"/>
        <v>0</v>
      </c>
      <c r="AV220" s="1894">
        <v>167</v>
      </c>
      <c r="AW220" s="1894">
        <v>0</v>
      </c>
      <c r="AX220" s="1894">
        <v>0</v>
      </c>
      <c r="AY220" s="1894">
        <v>0</v>
      </c>
      <c r="AZ220" s="1894">
        <v>0</v>
      </c>
      <c r="BA220" s="1894">
        <v>0</v>
      </c>
      <c r="BB220" s="1894">
        <f t="shared" si="93"/>
        <v>0</v>
      </c>
      <c r="BC220" s="1894">
        <f t="shared" si="94"/>
        <v>0</v>
      </c>
      <c r="BD220" s="1894">
        <v>0</v>
      </c>
      <c r="BE220" s="1894">
        <v>0</v>
      </c>
      <c r="BF220" s="1894">
        <v>0</v>
      </c>
      <c r="BG220" s="1894">
        <v>0</v>
      </c>
      <c r="BH220" s="1894">
        <v>0</v>
      </c>
      <c r="BI220" s="1894">
        <v>0</v>
      </c>
      <c r="BJ220" s="1894">
        <f t="shared" si="95"/>
        <v>0</v>
      </c>
      <c r="BK220" s="1894">
        <f t="shared" si="96"/>
        <v>0</v>
      </c>
      <c r="BL220" s="1894">
        <v>0</v>
      </c>
      <c r="BM220" s="1894">
        <v>0</v>
      </c>
      <c r="BN220" s="1894">
        <v>0</v>
      </c>
      <c r="BO220" s="1894">
        <v>0</v>
      </c>
      <c r="BP220" s="1894">
        <v>0</v>
      </c>
      <c r="BQ220" s="1894">
        <v>0</v>
      </c>
      <c r="BR220" s="1894">
        <f t="shared" si="97"/>
        <v>0</v>
      </c>
      <c r="BS220" s="1894">
        <f t="shared" si="98"/>
        <v>0</v>
      </c>
      <c r="BT220" s="1894">
        <v>0</v>
      </c>
      <c r="BU220" s="1894">
        <v>0</v>
      </c>
      <c r="BV220" s="1894">
        <v>0</v>
      </c>
      <c r="BW220" s="1894">
        <v>0</v>
      </c>
      <c r="BX220" s="1894">
        <v>0</v>
      </c>
      <c r="BY220" s="1894">
        <v>0</v>
      </c>
      <c r="BZ220" s="1894">
        <f t="shared" si="99"/>
        <v>0</v>
      </c>
      <c r="CA220" s="1894">
        <f t="shared" si="100"/>
        <v>0</v>
      </c>
      <c r="CB220" s="1894">
        <v>167</v>
      </c>
      <c r="CC220" s="1894">
        <v>0</v>
      </c>
      <c r="CD220" s="1894">
        <v>0</v>
      </c>
      <c r="CE220" s="1894">
        <v>0</v>
      </c>
      <c r="CF220" s="1894">
        <v>0</v>
      </c>
      <c r="CG220" s="1894">
        <v>0</v>
      </c>
      <c r="CH220" s="1894">
        <f t="shared" si="101"/>
        <v>0</v>
      </c>
      <c r="CI220" s="1894">
        <f t="shared" si="102"/>
        <v>0</v>
      </c>
      <c r="CJ220" s="1894">
        <v>0</v>
      </c>
      <c r="CK220" s="1894">
        <v>0</v>
      </c>
      <c r="CL220" s="1894">
        <v>0</v>
      </c>
      <c r="CM220" s="1894">
        <v>0</v>
      </c>
      <c r="CN220" s="1894">
        <v>0</v>
      </c>
      <c r="CO220" s="1894">
        <v>0</v>
      </c>
      <c r="CP220" s="1894">
        <f t="shared" si="103"/>
        <v>0</v>
      </c>
      <c r="CQ220" s="1894">
        <f t="shared" si="104"/>
        <v>0</v>
      </c>
      <c r="CR220" s="1894">
        <v>0</v>
      </c>
      <c r="CS220" s="1894">
        <v>0</v>
      </c>
      <c r="CT220" s="1894">
        <v>0</v>
      </c>
      <c r="CU220" s="1894">
        <v>0</v>
      </c>
      <c r="CV220" s="1894">
        <v>0</v>
      </c>
      <c r="CW220" s="1894">
        <v>0</v>
      </c>
      <c r="CX220" s="1894">
        <f t="shared" si="105"/>
        <v>0</v>
      </c>
      <c r="CY220" s="1894">
        <f t="shared" si="106"/>
        <v>0</v>
      </c>
    </row>
    <row r="221" spans="1:103">
      <c r="A221" s="982">
        <v>126000000042</v>
      </c>
      <c r="B221" s="1923">
        <f t="shared" si="107"/>
        <v>215</v>
      </c>
      <c r="C221" s="1895" t="s">
        <v>3643</v>
      </c>
      <c r="D221" s="1894" t="s">
        <v>2930</v>
      </c>
      <c r="E221" s="1895" t="s">
        <v>636</v>
      </c>
      <c r="F221" s="1894" t="s">
        <v>259</v>
      </c>
      <c r="G221" s="1894">
        <v>167</v>
      </c>
      <c r="H221" s="1894">
        <v>167</v>
      </c>
      <c r="I221" s="1894">
        <v>74.88</v>
      </c>
      <c r="J221" s="1894">
        <v>133.6</v>
      </c>
      <c r="K221" s="1894">
        <v>0.9042</v>
      </c>
      <c r="L221" s="1894">
        <v>29.22</v>
      </c>
      <c r="M221" s="1925">
        <v>15754</v>
      </c>
      <c r="N221" s="1894">
        <f t="shared" si="85"/>
        <v>32348</v>
      </c>
      <c r="O221" s="1894">
        <f t="shared" si="86"/>
        <v>0</v>
      </c>
      <c r="P221" s="1894">
        <v>167</v>
      </c>
      <c r="Q221" s="1894">
        <v>93.600000000000009</v>
      </c>
      <c r="R221" s="1894">
        <v>133.6</v>
      </c>
      <c r="S221" s="1894">
        <v>0.91320000000000001</v>
      </c>
      <c r="T221" s="1894">
        <v>22.6</v>
      </c>
      <c r="U221" s="1894">
        <v>15740</v>
      </c>
      <c r="V221" s="1894">
        <f t="shared" si="87"/>
        <v>41783</v>
      </c>
      <c r="W221" s="1894">
        <f t="shared" si="88"/>
        <v>0</v>
      </c>
      <c r="X221" s="1894">
        <v>167</v>
      </c>
      <c r="Y221" s="1894">
        <v>94.24</v>
      </c>
      <c r="Z221" s="1894">
        <v>133.6</v>
      </c>
      <c r="AA221" s="1894">
        <v>0.92789999999999995</v>
      </c>
      <c r="AB221" s="1894">
        <v>28.48</v>
      </c>
      <c r="AC221" s="1894">
        <v>19326</v>
      </c>
      <c r="AD221" s="1894">
        <f t="shared" si="89"/>
        <v>40712</v>
      </c>
      <c r="AE221" s="1894">
        <f t="shared" si="90"/>
        <v>0</v>
      </c>
      <c r="AF221" s="1894">
        <v>167</v>
      </c>
      <c r="AG221" s="1894">
        <v>88.32</v>
      </c>
      <c r="AH221" s="1894">
        <v>133.6</v>
      </c>
      <c r="AI221" s="1894">
        <v>0.90369999999999995</v>
      </c>
      <c r="AJ221" s="1894">
        <v>21.27</v>
      </c>
      <c r="AK221" s="1894">
        <v>13978</v>
      </c>
      <c r="AL221" s="1894">
        <v>39426</v>
      </c>
      <c r="AM221" s="1894">
        <v>0</v>
      </c>
      <c r="AN221" s="1894">
        <v>167</v>
      </c>
      <c r="AO221" s="1894">
        <v>89.759999999999991</v>
      </c>
      <c r="AP221" s="1894">
        <v>133.6</v>
      </c>
      <c r="AQ221" s="1894">
        <v>0.89059999999999995</v>
      </c>
      <c r="AR221" s="1894">
        <v>20.03</v>
      </c>
      <c r="AS221" s="1894">
        <v>13376</v>
      </c>
      <c r="AT221" s="1894">
        <f t="shared" si="91"/>
        <v>40069</v>
      </c>
      <c r="AU221" s="1894">
        <f t="shared" si="92"/>
        <v>0</v>
      </c>
      <c r="AV221" s="1894">
        <v>0</v>
      </c>
      <c r="AW221" s="1894">
        <v>0</v>
      </c>
      <c r="AX221" s="1894">
        <v>0</v>
      </c>
      <c r="AY221" s="1894">
        <v>0</v>
      </c>
      <c r="AZ221" s="1894">
        <v>0</v>
      </c>
      <c r="BA221" s="1894">
        <v>0</v>
      </c>
      <c r="BB221" s="1894">
        <f t="shared" si="93"/>
        <v>0</v>
      </c>
      <c r="BC221" s="1894">
        <f t="shared" si="94"/>
        <v>0</v>
      </c>
      <c r="BD221" s="1894">
        <v>0</v>
      </c>
      <c r="BE221" s="1894">
        <v>0</v>
      </c>
      <c r="BF221" s="1894">
        <v>0</v>
      </c>
      <c r="BG221" s="1894">
        <v>0</v>
      </c>
      <c r="BH221" s="1894">
        <v>0</v>
      </c>
      <c r="BI221" s="1894">
        <v>0</v>
      </c>
      <c r="BJ221" s="1894">
        <f t="shared" si="95"/>
        <v>0</v>
      </c>
      <c r="BK221" s="1894">
        <f t="shared" si="96"/>
        <v>0</v>
      </c>
      <c r="BL221" s="1894">
        <v>0</v>
      </c>
      <c r="BM221" s="1894">
        <v>0</v>
      </c>
      <c r="BN221" s="1894">
        <v>0</v>
      </c>
      <c r="BO221" s="1894">
        <v>0</v>
      </c>
      <c r="BP221" s="1894">
        <v>0</v>
      </c>
      <c r="BQ221" s="1894">
        <v>0</v>
      </c>
      <c r="BR221" s="1894">
        <f t="shared" si="97"/>
        <v>0</v>
      </c>
      <c r="BS221" s="1894">
        <f t="shared" si="98"/>
        <v>0</v>
      </c>
      <c r="BT221" s="1894">
        <v>0</v>
      </c>
      <c r="BU221" s="1894">
        <v>0</v>
      </c>
      <c r="BV221" s="1894">
        <v>0</v>
      </c>
      <c r="BW221" s="1894">
        <v>0</v>
      </c>
      <c r="BX221" s="1894">
        <v>0</v>
      </c>
      <c r="BY221" s="1894">
        <v>0</v>
      </c>
      <c r="BZ221" s="1894">
        <f t="shared" si="99"/>
        <v>0</v>
      </c>
      <c r="CA221" s="1894">
        <f t="shared" si="100"/>
        <v>0</v>
      </c>
      <c r="CB221" s="1894">
        <v>0</v>
      </c>
      <c r="CC221" s="1894">
        <v>0</v>
      </c>
      <c r="CD221" s="1894">
        <v>0</v>
      </c>
      <c r="CE221" s="1894">
        <v>0</v>
      </c>
      <c r="CF221" s="1894">
        <v>0</v>
      </c>
      <c r="CG221" s="1894">
        <v>0</v>
      </c>
      <c r="CH221" s="1894">
        <f t="shared" si="101"/>
        <v>0</v>
      </c>
      <c r="CI221" s="1894">
        <f t="shared" si="102"/>
        <v>0</v>
      </c>
      <c r="CJ221" s="1894">
        <v>0</v>
      </c>
      <c r="CK221" s="1894">
        <v>0</v>
      </c>
      <c r="CL221" s="1894">
        <v>0</v>
      </c>
      <c r="CM221" s="1894">
        <v>0</v>
      </c>
      <c r="CN221" s="1894">
        <v>0</v>
      </c>
      <c r="CO221" s="1894">
        <v>0</v>
      </c>
      <c r="CP221" s="1894">
        <f t="shared" si="103"/>
        <v>0</v>
      </c>
      <c r="CQ221" s="1894">
        <f t="shared" si="104"/>
        <v>0</v>
      </c>
      <c r="CR221" s="1894">
        <v>0</v>
      </c>
      <c r="CS221" s="1894">
        <v>0</v>
      </c>
      <c r="CT221" s="1894">
        <v>0</v>
      </c>
      <c r="CU221" s="1894">
        <v>0</v>
      </c>
      <c r="CV221" s="1894">
        <v>0</v>
      </c>
      <c r="CW221" s="1894">
        <v>0</v>
      </c>
      <c r="CX221" s="1894">
        <f t="shared" si="105"/>
        <v>0</v>
      </c>
      <c r="CY221" s="1894">
        <f t="shared" si="106"/>
        <v>0</v>
      </c>
    </row>
    <row r="222" spans="1:103">
      <c r="A222" s="982">
        <v>124000000009</v>
      </c>
      <c r="B222" s="1923">
        <f t="shared" si="107"/>
        <v>216</v>
      </c>
      <c r="C222" s="1895" t="s">
        <v>3106</v>
      </c>
      <c r="D222" s="1894" t="s">
        <v>524</v>
      </c>
      <c r="E222" s="1895" t="s">
        <v>730</v>
      </c>
      <c r="F222" s="1894" t="s">
        <v>259</v>
      </c>
      <c r="G222" s="1924">
        <v>167.55</v>
      </c>
      <c r="H222" s="1894">
        <v>167.55</v>
      </c>
      <c r="I222" s="1894">
        <v>86.04</v>
      </c>
      <c r="J222" s="1894">
        <v>134.04</v>
      </c>
      <c r="K222" s="1894">
        <v>0.83599999999999997</v>
      </c>
      <c r="L222" s="1894">
        <v>65.39</v>
      </c>
      <c r="M222" s="1894">
        <v>40507</v>
      </c>
      <c r="N222" s="1894">
        <f t="shared" si="85"/>
        <v>37169</v>
      </c>
      <c r="O222" s="1894">
        <f t="shared" si="86"/>
        <v>3338</v>
      </c>
      <c r="P222" s="1894">
        <v>167.55</v>
      </c>
      <c r="Q222" s="1894">
        <v>88.080000000000013</v>
      </c>
      <c r="R222" s="1894">
        <v>134.04</v>
      </c>
      <c r="S222" s="1894">
        <v>0.8327</v>
      </c>
      <c r="T222" s="1894">
        <v>64.95</v>
      </c>
      <c r="U222" s="1894">
        <v>42563</v>
      </c>
      <c r="V222" s="1894">
        <f t="shared" si="87"/>
        <v>39319</v>
      </c>
      <c r="W222" s="1894">
        <f t="shared" si="88"/>
        <v>3244</v>
      </c>
      <c r="X222" s="1894">
        <v>167.55</v>
      </c>
      <c r="Y222" s="1894">
        <v>91.320000000000007</v>
      </c>
      <c r="Z222" s="1894">
        <v>134.04</v>
      </c>
      <c r="AA222" s="1894">
        <v>0.82979999999999998</v>
      </c>
      <c r="AB222" s="1894">
        <v>57.75</v>
      </c>
      <c r="AC222" s="1894">
        <v>37974</v>
      </c>
      <c r="AD222" s="1894">
        <f t="shared" si="89"/>
        <v>39450</v>
      </c>
      <c r="AE222" s="1894">
        <f t="shared" si="90"/>
        <v>0</v>
      </c>
      <c r="AF222" s="1894">
        <v>167.55</v>
      </c>
      <c r="AG222" s="1894">
        <v>92.88</v>
      </c>
      <c r="AH222" s="1894">
        <v>134.04</v>
      </c>
      <c r="AI222" s="1894">
        <v>0.8286</v>
      </c>
      <c r="AJ222" s="1894">
        <v>60.87</v>
      </c>
      <c r="AK222" s="1894">
        <v>42060</v>
      </c>
      <c r="AL222" s="1894">
        <f t="shared" ref="AL222:AL251" si="108">+ROUND((24*31*0.6*AG222),0)</f>
        <v>41462</v>
      </c>
      <c r="AM222" s="1894">
        <f t="shared" ref="AM222:AM251" si="109">+MAX((AK222-AL222),0)</f>
        <v>598</v>
      </c>
      <c r="AN222" s="1894">
        <v>167.55</v>
      </c>
      <c r="AO222" s="1894">
        <v>99.96</v>
      </c>
      <c r="AP222" s="1894">
        <v>134.04</v>
      </c>
      <c r="AQ222" s="1894">
        <v>0.82099999999999995</v>
      </c>
      <c r="AR222" s="1894">
        <v>54.14</v>
      </c>
      <c r="AS222" s="1894">
        <v>40266</v>
      </c>
      <c r="AT222" s="1894">
        <f t="shared" si="91"/>
        <v>44622</v>
      </c>
      <c r="AU222" s="1894">
        <f t="shared" si="92"/>
        <v>0</v>
      </c>
      <c r="AV222" s="1894">
        <v>167.55</v>
      </c>
      <c r="AW222" s="1894">
        <v>93.36</v>
      </c>
      <c r="AX222" s="1894">
        <v>134.04</v>
      </c>
      <c r="AY222" s="1894">
        <v>0.82889999999999997</v>
      </c>
      <c r="AZ222" s="1894">
        <v>51.98</v>
      </c>
      <c r="BA222" s="1894">
        <v>34941</v>
      </c>
      <c r="BB222" s="1894">
        <f t="shared" si="93"/>
        <v>40332</v>
      </c>
      <c r="BC222" s="1894">
        <f t="shared" si="94"/>
        <v>0</v>
      </c>
      <c r="BD222" s="1894">
        <v>167.55</v>
      </c>
      <c r="BE222" s="1894">
        <v>93.12</v>
      </c>
      <c r="BF222" s="1894">
        <v>134.04</v>
      </c>
      <c r="BG222" s="1894">
        <v>0.81679999999999997</v>
      </c>
      <c r="BH222" s="1894">
        <v>62.81</v>
      </c>
      <c r="BI222" s="1894">
        <v>43518</v>
      </c>
      <c r="BJ222" s="1894">
        <f t="shared" si="95"/>
        <v>41569</v>
      </c>
      <c r="BK222" s="1894">
        <f t="shared" si="96"/>
        <v>1949</v>
      </c>
      <c r="BL222" s="1894">
        <v>167.55</v>
      </c>
      <c r="BM222" s="1894">
        <v>111.72</v>
      </c>
      <c r="BN222" s="1894">
        <v>134.04</v>
      </c>
      <c r="BO222" s="1894">
        <v>0.80669999999999997</v>
      </c>
      <c r="BP222" s="1894">
        <v>50.79</v>
      </c>
      <c r="BQ222" s="1894">
        <v>40851</v>
      </c>
      <c r="BR222" s="1894">
        <f t="shared" si="97"/>
        <v>48263</v>
      </c>
      <c r="BS222" s="1894">
        <f t="shared" si="98"/>
        <v>0</v>
      </c>
      <c r="BT222" s="1894">
        <v>167.55</v>
      </c>
      <c r="BU222" s="1894">
        <v>134.04</v>
      </c>
      <c r="BV222" s="1894">
        <v>134.04</v>
      </c>
      <c r="BW222" s="1894">
        <v>0.66679999999999995</v>
      </c>
      <c r="BX222" s="1894">
        <v>55.28</v>
      </c>
      <c r="BY222" s="1894">
        <v>55132</v>
      </c>
      <c r="BZ222" s="1894">
        <f t="shared" si="99"/>
        <v>59835</v>
      </c>
      <c r="CA222" s="1894">
        <f t="shared" si="100"/>
        <v>0</v>
      </c>
      <c r="CB222" s="1894">
        <v>167.55</v>
      </c>
      <c r="CC222" s="1894">
        <v>127.56</v>
      </c>
      <c r="CD222" s="1894">
        <v>134.04</v>
      </c>
      <c r="CE222" s="1894">
        <v>0.62460000000000004</v>
      </c>
      <c r="CF222" s="1894">
        <v>59.17</v>
      </c>
      <c r="CG222" s="1894">
        <v>56151</v>
      </c>
      <c r="CH222" s="1894">
        <f t="shared" si="101"/>
        <v>56943</v>
      </c>
      <c r="CI222" s="1894">
        <f t="shared" si="102"/>
        <v>0</v>
      </c>
      <c r="CJ222" s="1894">
        <v>167.55</v>
      </c>
      <c r="CK222" s="1894">
        <v>120.48</v>
      </c>
      <c r="CL222" s="1894">
        <v>134.04</v>
      </c>
      <c r="CM222" s="1894">
        <v>0.62339999999999995</v>
      </c>
      <c r="CN222" s="1894">
        <v>63.14</v>
      </c>
      <c r="CO222" s="1894">
        <v>51116</v>
      </c>
      <c r="CP222" s="1894">
        <f t="shared" si="103"/>
        <v>48578</v>
      </c>
      <c r="CQ222" s="1894">
        <f t="shared" si="104"/>
        <v>2538</v>
      </c>
      <c r="CR222" s="1924">
        <v>167.55</v>
      </c>
      <c r="CS222" s="1924">
        <v>117.72000000000001</v>
      </c>
      <c r="CT222" s="1924">
        <v>134.04</v>
      </c>
      <c r="CU222" s="1924">
        <v>0.64470000000000005</v>
      </c>
      <c r="CV222" s="1924">
        <v>63.05</v>
      </c>
      <c r="CW222" s="1924">
        <v>55218</v>
      </c>
      <c r="CX222" s="1894">
        <f t="shared" si="105"/>
        <v>52550</v>
      </c>
      <c r="CY222" s="1894">
        <f t="shared" si="106"/>
        <v>2668</v>
      </c>
    </row>
    <row r="223" spans="1:103">
      <c r="A223" s="982">
        <v>621000000001</v>
      </c>
      <c r="B223" s="1923">
        <f t="shared" si="107"/>
        <v>217</v>
      </c>
      <c r="C223" s="1895" t="s">
        <v>3107</v>
      </c>
      <c r="D223" s="1894" t="s">
        <v>524</v>
      </c>
      <c r="E223" s="1895" t="s">
        <v>541</v>
      </c>
      <c r="F223" s="1894" t="s">
        <v>259</v>
      </c>
      <c r="G223" s="1924">
        <v>170</v>
      </c>
      <c r="H223" s="1894">
        <v>170</v>
      </c>
      <c r="I223" s="1894">
        <v>75</v>
      </c>
      <c r="J223" s="1894">
        <v>136</v>
      </c>
      <c r="K223" s="1894">
        <v>9.7799999999999998E-2</v>
      </c>
      <c r="L223" s="1894">
        <v>47.76</v>
      </c>
      <c r="M223" s="1894">
        <v>25788</v>
      </c>
      <c r="N223" s="1894">
        <f t="shared" si="85"/>
        <v>32400</v>
      </c>
      <c r="O223" s="1894">
        <f t="shared" si="86"/>
        <v>0</v>
      </c>
      <c r="P223" s="1894">
        <v>170</v>
      </c>
      <c r="Q223" s="1894">
        <v>170.39999999999998</v>
      </c>
      <c r="R223" s="1894">
        <v>170.4</v>
      </c>
      <c r="S223" s="1894">
        <v>0.67889999999999995</v>
      </c>
      <c r="T223" s="1894">
        <v>7.81</v>
      </c>
      <c r="U223" s="1894">
        <v>9906</v>
      </c>
      <c r="V223" s="1894">
        <f t="shared" si="87"/>
        <v>76067</v>
      </c>
      <c r="W223" s="1894">
        <f t="shared" si="88"/>
        <v>0</v>
      </c>
      <c r="X223" s="1894">
        <v>170</v>
      </c>
      <c r="Y223" s="1894">
        <v>169.79999999999998</v>
      </c>
      <c r="Z223" s="1894">
        <v>169.8</v>
      </c>
      <c r="AA223" s="1894">
        <v>0.77600000000000002</v>
      </c>
      <c r="AB223" s="1894">
        <v>6.59</v>
      </c>
      <c r="AC223" s="1894">
        <v>8052</v>
      </c>
      <c r="AD223" s="1894">
        <f t="shared" si="89"/>
        <v>73354</v>
      </c>
      <c r="AE223" s="1894">
        <f t="shared" si="90"/>
        <v>0</v>
      </c>
      <c r="AF223" s="1894">
        <v>170</v>
      </c>
      <c r="AG223" s="1894">
        <v>170.39999999999998</v>
      </c>
      <c r="AH223" s="1894">
        <v>170.4</v>
      </c>
      <c r="AI223" s="1894">
        <v>0.66239999999999999</v>
      </c>
      <c r="AJ223" s="1894">
        <v>0.94</v>
      </c>
      <c r="AK223" s="1894">
        <v>1191</v>
      </c>
      <c r="AL223" s="1894">
        <f t="shared" si="108"/>
        <v>76067</v>
      </c>
      <c r="AM223" s="1894">
        <f t="shared" si="109"/>
        <v>0</v>
      </c>
      <c r="AN223" s="1894">
        <v>170</v>
      </c>
      <c r="AO223" s="1894">
        <v>3.6</v>
      </c>
      <c r="AP223" s="1894">
        <v>136</v>
      </c>
      <c r="AQ223" s="1894">
        <v>0</v>
      </c>
      <c r="AR223" s="1894">
        <v>0</v>
      </c>
      <c r="AS223" s="1894">
        <v>0</v>
      </c>
      <c r="AT223" s="1894">
        <f t="shared" si="91"/>
        <v>1607</v>
      </c>
      <c r="AU223" s="1894">
        <f t="shared" si="92"/>
        <v>0</v>
      </c>
      <c r="AV223" s="1894">
        <v>170</v>
      </c>
      <c r="AW223" s="1894">
        <v>166.8</v>
      </c>
      <c r="AX223" s="1894">
        <v>166.8</v>
      </c>
      <c r="AY223" s="1894">
        <v>0.81310000000000004</v>
      </c>
      <c r="AZ223" s="1894">
        <v>11.69</v>
      </c>
      <c r="BA223" s="1894">
        <v>16374</v>
      </c>
      <c r="BB223" s="1894">
        <f t="shared" si="93"/>
        <v>72058</v>
      </c>
      <c r="BC223" s="1894">
        <f t="shared" si="94"/>
        <v>0</v>
      </c>
      <c r="BD223" s="1894">
        <v>170</v>
      </c>
      <c r="BE223" s="1894">
        <v>169.2</v>
      </c>
      <c r="BF223" s="1894">
        <v>169.2</v>
      </c>
      <c r="BG223" s="1894">
        <v>0.73480000000000001</v>
      </c>
      <c r="BH223" s="1894">
        <v>3.89</v>
      </c>
      <c r="BI223" s="1894">
        <v>4266</v>
      </c>
      <c r="BJ223" s="1894">
        <f t="shared" si="95"/>
        <v>75531</v>
      </c>
      <c r="BK223" s="1894">
        <f t="shared" si="96"/>
        <v>0</v>
      </c>
      <c r="BL223" s="1894">
        <v>170</v>
      </c>
      <c r="BM223" s="1894">
        <v>0</v>
      </c>
      <c r="BN223" s="1894">
        <v>136</v>
      </c>
      <c r="BO223" s="1894">
        <v>0</v>
      </c>
      <c r="BP223" s="1894">
        <v>0</v>
      </c>
      <c r="BQ223" s="1894">
        <v>0</v>
      </c>
      <c r="BR223" s="1894">
        <f t="shared" si="97"/>
        <v>0</v>
      </c>
      <c r="BS223" s="1894">
        <f t="shared" si="98"/>
        <v>0</v>
      </c>
      <c r="BT223" s="1894">
        <v>170</v>
      </c>
      <c r="BU223" s="1894">
        <v>134.88</v>
      </c>
      <c r="BV223" s="1894">
        <v>136</v>
      </c>
      <c r="BW223" s="1894">
        <v>0.91879999999999995</v>
      </c>
      <c r="BX223" s="1894">
        <v>4.9400000000000004</v>
      </c>
      <c r="BY223" s="1894">
        <v>4958</v>
      </c>
      <c r="BZ223" s="1894">
        <f t="shared" si="99"/>
        <v>60210</v>
      </c>
      <c r="CA223" s="1894">
        <f t="shared" si="100"/>
        <v>0</v>
      </c>
      <c r="CB223" s="1894">
        <v>170</v>
      </c>
      <c r="CC223" s="1894">
        <v>167.88</v>
      </c>
      <c r="CD223" s="1894">
        <v>167.88</v>
      </c>
      <c r="CE223" s="1894">
        <v>0.96360000000000001</v>
      </c>
      <c r="CF223" s="1894">
        <v>10.39</v>
      </c>
      <c r="CG223" s="1894">
        <v>12975</v>
      </c>
      <c r="CH223" s="1894">
        <f t="shared" si="101"/>
        <v>74942</v>
      </c>
      <c r="CI223" s="1894">
        <f t="shared" si="102"/>
        <v>0</v>
      </c>
      <c r="CJ223" s="1894">
        <v>170</v>
      </c>
      <c r="CK223" s="1894">
        <v>147.47999999999999</v>
      </c>
      <c r="CL223" s="1894">
        <v>147.47999999999999</v>
      </c>
      <c r="CM223" s="1894">
        <v>0.91590000000000005</v>
      </c>
      <c r="CN223" s="1894">
        <v>11.53</v>
      </c>
      <c r="CO223" s="1894">
        <v>11430</v>
      </c>
      <c r="CP223" s="1894">
        <f t="shared" si="103"/>
        <v>59464</v>
      </c>
      <c r="CQ223" s="1894">
        <f t="shared" si="104"/>
        <v>0</v>
      </c>
      <c r="CR223" s="1924">
        <v>170</v>
      </c>
      <c r="CS223" s="1924">
        <v>141.6</v>
      </c>
      <c r="CT223" s="1924">
        <v>141.6</v>
      </c>
      <c r="CU223" s="1924">
        <v>0.89249999999999996</v>
      </c>
      <c r="CV223" s="1924">
        <v>7.85</v>
      </c>
      <c r="CW223" s="1924">
        <v>8268</v>
      </c>
      <c r="CX223" s="1894">
        <f t="shared" si="105"/>
        <v>63210</v>
      </c>
      <c r="CY223" s="1894">
        <f t="shared" si="106"/>
        <v>0</v>
      </c>
    </row>
    <row r="224" spans="1:103">
      <c r="A224" s="982">
        <v>622000000017</v>
      </c>
      <c r="B224" s="1923">
        <f t="shared" si="107"/>
        <v>218</v>
      </c>
      <c r="C224" s="1895" t="s">
        <v>3108</v>
      </c>
      <c r="D224" s="1894" t="s">
        <v>524</v>
      </c>
      <c r="E224" s="1895" t="s">
        <v>629</v>
      </c>
      <c r="F224" s="1894" t="s">
        <v>259</v>
      </c>
      <c r="G224" s="1924">
        <v>170</v>
      </c>
      <c r="H224" s="1894">
        <v>170</v>
      </c>
      <c r="I224" s="1894">
        <v>23.24</v>
      </c>
      <c r="J224" s="1894">
        <v>170</v>
      </c>
      <c r="K224" s="1894">
        <v>0.95599999999999996</v>
      </c>
      <c r="L224" s="1894">
        <v>0</v>
      </c>
      <c r="M224" s="1894">
        <v>7184</v>
      </c>
      <c r="N224" s="1894">
        <f t="shared" si="85"/>
        <v>10040</v>
      </c>
      <c r="O224" s="1894">
        <f t="shared" si="86"/>
        <v>0</v>
      </c>
      <c r="P224" s="1894">
        <v>170</v>
      </c>
      <c r="Q224" s="1894">
        <v>27</v>
      </c>
      <c r="R224" s="1894">
        <v>170</v>
      </c>
      <c r="S224" s="1894">
        <v>0.96299999999999997</v>
      </c>
      <c r="T224" s="1894">
        <v>0</v>
      </c>
      <c r="U224" s="1894">
        <v>7696</v>
      </c>
      <c r="V224" s="1894">
        <f t="shared" si="87"/>
        <v>12053</v>
      </c>
      <c r="W224" s="1894">
        <f t="shared" si="88"/>
        <v>0</v>
      </c>
      <c r="X224" s="1894">
        <v>170</v>
      </c>
      <c r="Y224" s="1894">
        <v>28.24</v>
      </c>
      <c r="Z224" s="1894">
        <v>170</v>
      </c>
      <c r="AA224" s="1894">
        <v>0.96040000000000003</v>
      </c>
      <c r="AB224" s="1894">
        <v>0</v>
      </c>
      <c r="AC224" s="1894">
        <v>7880</v>
      </c>
      <c r="AD224" s="1894">
        <f t="shared" si="89"/>
        <v>12200</v>
      </c>
      <c r="AE224" s="1894">
        <f t="shared" si="90"/>
        <v>0</v>
      </c>
      <c r="AF224" s="1894">
        <v>170</v>
      </c>
      <c r="AG224" s="1894">
        <v>28.64</v>
      </c>
      <c r="AH224" s="1894">
        <v>170</v>
      </c>
      <c r="AI224" s="1894">
        <v>0.96009999999999995</v>
      </c>
      <c r="AJ224" s="1894">
        <v>0</v>
      </c>
      <c r="AK224" s="1894">
        <v>7424</v>
      </c>
      <c r="AL224" s="1894">
        <f t="shared" si="108"/>
        <v>12785</v>
      </c>
      <c r="AM224" s="1894">
        <f t="shared" si="109"/>
        <v>0</v>
      </c>
      <c r="AN224" s="1894">
        <v>170</v>
      </c>
      <c r="AO224" s="1894">
        <v>34.239999999999995</v>
      </c>
      <c r="AP224" s="1894">
        <v>170</v>
      </c>
      <c r="AQ224" s="1894">
        <v>0.94769999999999999</v>
      </c>
      <c r="AR224" s="1894">
        <v>0</v>
      </c>
      <c r="AS224" s="1894">
        <v>6732</v>
      </c>
      <c r="AT224" s="1894">
        <f t="shared" si="91"/>
        <v>15285</v>
      </c>
      <c r="AU224" s="1894">
        <f t="shared" si="92"/>
        <v>0</v>
      </c>
      <c r="AV224" s="1894">
        <v>170</v>
      </c>
      <c r="AW224" s="1894">
        <v>28.48</v>
      </c>
      <c r="AX224" s="1894">
        <v>170</v>
      </c>
      <c r="AY224" s="1894">
        <v>0.94099999999999995</v>
      </c>
      <c r="AZ224" s="1894">
        <v>0</v>
      </c>
      <c r="BA224" s="1894">
        <v>6780</v>
      </c>
      <c r="BB224" s="1894">
        <f t="shared" si="93"/>
        <v>12303</v>
      </c>
      <c r="BC224" s="1894">
        <f t="shared" si="94"/>
        <v>0</v>
      </c>
      <c r="BD224" s="1894">
        <v>170</v>
      </c>
      <c r="BE224" s="1894">
        <v>67.64</v>
      </c>
      <c r="BF224" s="1894">
        <v>170</v>
      </c>
      <c r="BG224" s="1894">
        <v>0.93359999999999999</v>
      </c>
      <c r="BH224" s="1894">
        <v>0</v>
      </c>
      <c r="BI224" s="1894">
        <v>6808</v>
      </c>
      <c r="BJ224" s="1894">
        <f t="shared" si="95"/>
        <v>30194</v>
      </c>
      <c r="BK224" s="1894">
        <f t="shared" si="96"/>
        <v>0</v>
      </c>
      <c r="BL224" s="1894">
        <v>170</v>
      </c>
      <c r="BM224" s="1894">
        <v>21</v>
      </c>
      <c r="BN224" s="1894">
        <v>170</v>
      </c>
      <c r="BO224" s="1894">
        <v>0.90610000000000002</v>
      </c>
      <c r="BP224" s="1894">
        <v>0</v>
      </c>
      <c r="BQ224" s="1894">
        <v>5112</v>
      </c>
      <c r="BR224" s="1894">
        <f t="shared" si="97"/>
        <v>9072</v>
      </c>
      <c r="BS224" s="1894">
        <f t="shared" si="98"/>
        <v>0</v>
      </c>
      <c r="BT224" s="1894">
        <v>170</v>
      </c>
      <c r="BU224" s="1894">
        <v>18.360000000000003</v>
      </c>
      <c r="BV224" s="1894">
        <v>170</v>
      </c>
      <c r="BW224" s="1894">
        <v>0.92679999999999996</v>
      </c>
      <c r="BX224" s="1894">
        <v>0</v>
      </c>
      <c r="BY224" s="1894">
        <v>5960</v>
      </c>
      <c r="BZ224" s="1894">
        <f t="shared" si="99"/>
        <v>8196</v>
      </c>
      <c r="CA224" s="1894">
        <f t="shared" si="100"/>
        <v>0</v>
      </c>
      <c r="CB224" s="1894">
        <v>170</v>
      </c>
      <c r="CC224" s="1894">
        <v>21.48</v>
      </c>
      <c r="CD224" s="1894">
        <v>170</v>
      </c>
      <c r="CE224" s="1894">
        <v>0.93120000000000003</v>
      </c>
      <c r="CF224" s="1894">
        <v>0</v>
      </c>
      <c r="CG224" s="1894">
        <v>6108</v>
      </c>
      <c r="CH224" s="1894">
        <f t="shared" si="101"/>
        <v>9589</v>
      </c>
      <c r="CI224" s="1894">
        <f t="shared" si="102"/>
        <v>0</v>
      </c>
      <c r="CJ224" s="1894">
        <v>170</v>
      </c>
      <c r="CK224" s="1894">
        <v>21.2</v>
      </c>
      <c r="CL224" s="1894">
        <v>170</v>
      </c>
      <c r="CM224" s="1894">
        <v>0.90569999999999995</v>
      </c>
      <c r="CN224" s="1894">
        <v>0</v>
      </c>
      <c r="CO224" s="1894">
        <v>4794</v>
      </c>
      <c r="CP224" s="1894">
        <f t="shared" si="103"/>
        <v>8548</v>
      </c>
      <c r="CQ224" s="1894">
        <f t="shared" si="104"/>
        <v>0</v>
      </c>
      <c r="CR224" s="1924">
        <v>170</v>
      </c>
      <c r="CS224" s="1924">
        <v>21.6</v>
      </c>
      <c r="CT224" s="1924">
        <v>170</v>
      </c>
      <c r="CU224" s="1924">
        <v>0.90569999999999995</v>
      </c>
      <c r="CV224" s="1924">
        <v>0</v>
      </c>
      <c r="CW224" s="1924">
        <v>5028</v>
      </c>
      <c r="CX224" s="1894">
        <f t="shared" si="105"/>
        <v>9642</v>
      </c>
      <c r="CY224" s="1894">
        <f t="shared" si="106"/>
        <v>0</v>
      </c>
    </row>
    <row r="225" spans="1:103">
      <c r="A225" s="982">
        <v>613000000039</v>
      </c>
      <c r="B225" s="1923">
        <f t="shared" si="107"/>
        <v>219</v>
      </c>
      <c r="C225" s="1895" t="s">
        <v>3109</v>
      </c>
      <c r="D225" s="1894" t="s">
        <v>524</v>
      </c>
      <c r="E225" s="1895" t="s">
        <v>737</v>
      </c>
      <c r="F225" s="1894" t="s">
        <v>259</v>
      </c>
      <c r="G225" s="1924">
        <v>171</v>
      </c>
      <c r="H225" s="1894">
        <v>0</v>
      </c>
      <c r="I225" s="1894">
        <v>0</v>
      </c>
      <c r="J225" s="1894">
        <v>0</v>
      </c>
      <c r="K225" s="1894">
        <v>0</v>
      </c>
      <c r="L225" s="1894">
        <v>0</v>
      </c>
      <c r="M225" s="1894">
        <v>0</v>
      </c>
      <c r="N225" s="1894">
        <f t="shared" si="85"/>
        <v>0</v>
      </c>
      <c r="O225" s="1894">
        <f t="shared" si="86"/>
        <v>0</v>
      </c>
      <c r="P225" s="1894">
        <v>0</v>
      </c>
      <c r="Q225" s="1894">
        <v>0</v>
      </c>
      <c r="R225" s="1894">
        <v>0</v>
      </c>
      <c r="S225" s="1894">
        <v>0</v>
      </c>
      <c r="T225" s="1894">
        <v>0</v>
      </c>
      <c r="U225" s="1894">
        <v>0</v>
      </c>
      <c r="V225" s="1894">
        <f t="shared" si="87"/>
        <v>0</v>
      </c>
      <c r="W225" s="1894">
        <f t="shared" si="88"/>
        <v>0</v>
      </c>
      <c r="X225" s="1894">
        <v>0</v>
      </c>
      <c r="Y225" s="1894">
        <v>0</v>
      </c>
      <c r="Z225" s="1894">
        <v>0</v>
      </c>
      <c r="AA225" s="1894">
        <v>0</v>
      </c>
      <c r="AB225" s="1894">
        <v>0</v>
      </c>
      <c r="AC225" s="1894">
        <v>0</v>
      </c>
      <c r="AD225" s="1894">
        <f t="shared" si="89"/>
        <v>0</v>
      </c>
      <c r="AE225" s="1894">
        <f t="shared" si="90"/>
        <v>0</v>
      </c>
      <c r="AF225" s="1894">
        <v>0</v>
      </c>
      <c r="AG225" s="1894">
        <v>0</v>
      </c>
      <c r="AH225" s="1894">
        <v>0</v>
      </c>
      <c r="AI225" s="1894">
        <v>0</v>
      </c>
      <c r="AJ225" s="1894">
        <v>0</v>
      </c>
      <c r="AK225" s="1894">
        <v>0</v>
      </c>
      <c r="AL225" s="1894">
        <f t="shared" si="108"/>
        <v>0</v>
      </c>
      <c r="AM225" s="1894">
        <f t="shared" si="109"/>
        <v>0</v>
      </c>
      <c r="AN225" s="1894">
        <v>0</v>
      </c>
      <c r="AO225" s="1894">
        <v>0</v>
      </c>
      <c r="AP225" s="1894">
        <v>0</v>
      </c>
      <c r="AQ225" s="1894">
        <v>0</v>
      </c>
      <c r="AR225" s="1894">
        <v>0</v>
      </c>
      <c r="AS225" s="1894">
        <v>0</v>
      </c>
      <c r="AT225" s="1894">
        <f t="shared" si="91"/>
        <v>0</v>
      </c>
      <c r="AU225" s="1894">
        <f t="shared" si="92"/>
        <v>0</v>
      </c>
      <c r="AV225" s="1894">
        <v>0</v>
      </c>
      <c r="AW225" s="1894">
        <v>0</v>
      </c>
      <c r="AX225" s="1894">
        <v>0</v>
      </c>
      <c r="AY225" s="1894">
        <v>0</v>
      </c>
      <c r="AZ225" s="1894">
        <v>0</v>
      </c>
      <c r="BA225" s="1894">
        <v>0</v>
      </c>
      <c r="BB225" s="1894">
        <f t="shared" si="93"/>
        <v>0</v>
      </c>
      <c r="BC225" s="1894">
        <f t="shared" si="94"/>
        <v>0</v>
      </c>
      <c r="BD225" s="1894">
        <v>0</v>
      </c>
      <c r="BE225" s="1894">
        <v>0</v>
      </c>
      <c r="BF225" s="1894">
        <v>0</v>
      </c>
      <c r="BG225" s="1894">
        <v>0</v>
      </c>
      <c r="BH225" s="1894">
        <v>0</v>
      </c>
      <c r="BI225" s="1894">
        <v>0</v>
      </c>
      <c r="BJ225" s="1894">
        <f t="shared" si="95"/>
        <v>0</v>
      </c>
      <c r="BK225" s="1894">
        <f t="shared" si="96"/>
        <v>0</v>
      </c>
      <c r="BL225" s="1894">
        <v>0</v>
      </c>
      <c r="BM225" s="1894">
        <v>0</v>
      </c>
      <c r="BN225" s="1894">
        <v>0</v>
      </c>
      <c r="BO225" s="1894">
        <v>0</v>
      </c>
      <c r="BP225" s="1894">
        <v>0</v>
      </c>
      <c r="BQ225" s="1894">
        <v>0</v>
      </c>
      <c r="BR225" s="1894">
        <f t="shared" si="97"/>
        <v>0</v>
      </c>
      <c r="BS225" s="1894">
        <f t="shared" si="98"/>
        <v>0</v>
      </c>
      <c r="BT225" s="1894">
        <v>171</v>
      </c>
      <c r="BU225" s="1894">
        <v>6.3000000000000007</v>
      </c>
      <c r="BV225" s="1894">
        <v>136.80000000000001</v>
      </c>
      <c r="BW225" s="1894">
        <v>0.25</v>
      </c>
      <c r="BX225" s="1894">
        <v>39.68</v>
      </c>
      <c r="BY225" s="1894">
        <v>120</v>
      </c>
      <c r="BZ225" s="1894">
        <f t="shared" si="99"/>
        <v>2812</v>
      </c>
      <c r="CA225" s="1894">
        <f t="shared" si="100"/>
        <v>0</v>
      </c>
      <c r="CB225" s="1894">
        <v>171</v>
      </c>
      <c r="CC225" s="1894">
        <v>9.24</v>
      </c>
      <c r="CD225" s="1894">
        <v>136.80000000000001</v>
      </c>
      <c r="CE225" s="1894">
        <v>0.67710000000000004</v>
      </c>
      <c r="CF225" s="1894">
        <v>39.96</v>
      </c>
      <c r="CG225" s="1894">
        <v>2747</v>
      </c>
      <c r="CH225" s="1894">
        <f t="shared" si="101"/>
        <v>4125</v>
      </c>
      <c r="CI225" s="1894">
        <f t="shared" si="102"/>
        <v>0</v>
      </c>
      <c r="CJ225" s="1894">
        <v>171</v>
      </c>
      <c r="CK225" s="1894">
        <v>6.48</v>
      </c>
      <c r="CL225" s="1894">
        <v>136.80000000000001</v>
      </c>
      <c r="CM225" s="1894">
        <v>0.64319999999999999</v>
      </c>
      <c r="CN225" s="1894">
        <v>53.94</v>
      </c>
      <c r="CO225" s="1894">
        <v>2349</v>
      </c>
      <c r="CP225" s="1894">
        <f t="shared" si="103"/>
        <v>2613</v>
      </c>
      <c r="CQ225" s="1894">
        <f t="shared" si="104"/>
        <v>0</v>
      </c>
      <c r="CR225" s="1924">
        <v>171</v>
      </c>
      <c r="CS225" s="1924">
        <v>5.3999999999999995</v>
      </c>
      <c r="CT225" s="1924">
        <v>136.80000000000001</v>
      </c>
      <c r="CU225" s="1924">
        <v>0.70009999999999994</v>
      </c>
      <c r="CV225" s="1924">
        <v>61.01</v>
      </c>
      <c r="CW225" s="1924">
        <v>2451</v>
      </c>
      <c r="CX225" s="1894">
        <f t="shared" si="105"/>
        <v>2411</v>
      </c>
      <c r="CY225" s="1894">
        <f t="shared" si="106"/>
        <v>40</v>
      </c>
    </row>
    <row r="226" spans="1:103">
      <c r="A226" s="982">
        <v>122000000087</v>
      </c>
      <c r="B226" s="1923">
        <f t="shared" si="107"/>
        <v>220</v>
      </c>
      <c r="C226" s="1895" t="s">
        <v>3110</v>
      </c>
      <c r="D226" s="1894" t="s">
        <v>524</v>
      </c>
      <c r="E226" s="1895" t="s">
        <v>541</v>
      </c>
      <c r="F226" s="1894" t="s">
        <v>259</v>
      </c>
      <c r="G226" s="1924">
        <v>172</v>
      </c>
      <c r="H226" s="1894">
        <v>172</v>
      </c>
      <c r="I226" s="1894">
        <v>132.24</v>
      </c>
      <c r="J226" s="1894">
        <v>137.6</v>
      </c>
      <c r="K226" s="1894">
        <v>0.9919</v>
      </c>
      <c r="L226" s="1894">
        <v>31.13</v>
      </c>
      <c r="M226" s="1894">
        <v>29641</v>
      </c>
      <c r="N226" s="1894">
        <f t="shared" si="85"/>
        <v>57128</v>
      </c>
      <c r="O226" s="1894">
        <f t="shared" si="86"/>
        <v>0</v>
      </c>
      <c r="P226" s="1894">
        <v>172</v>
      </c>
      <c r="Q226" s="1894">
        <v>149.76</v>
      </c>
      <c r="R226" s="1894">
        <v>149.76</v>
      </c>
      <c r="S226" s="1894">
        <v>0.98219999999999996</v>
      </c>
      <c r="T226" s="1894">
        <v>43.17</v>
      </c>
      <c r="U226" s="1894">
        <v>48102</v>
      </c>
      <c r="V226" s="1894">
        <f t="shared" si="87"/>
        <v>66853</v>
      </c>
      <c r="W226" s="1894">
        <f t="shared" si="88"/>
        <v>0</v>
      </c>
      <c r="X226" s="1894">
        <v>172</v>
      </c>
      <c r="Y226" s="1894">
        <v>156.72</v>
      </c>
      <c r="Z226" s="1894">
        <v>156.72</v>
      </c>
      <c r="AA226" s="1894">
        <v>0.94769999999999999</v>
      </c>
      <c r="AB226" s="1894">
        <v>52.26</v>
      </c>
      <c r="AC226" s="1894">
        <v>58971</v>
      </c>
      <c r="AD226" s="1894">
        <f t="shared" si="89"/>
        <v>67703</v>
      </c>
      <c r="AE226" s="1894">
        <f t="shared" si="90"/>
        <v>0</v>
      </c>
      <c r="AF226" s="1894">
        <v>172</v>
      </c>
      <c r="AG226" s="1894">
        <v>164</v>
      </c>
      <c r="AH226" s="1894">
        <v>164</v>
      </c>
      <c r="AI226" s="1894">
        <v>0.9788</v>
      </c>
      <c r="AJ226" s="1894">
        <v>51.69</v>
      </c>
      <c r="AK226" s="1894">
        <v>63072</v>
      </c>
      <c r="AL226" s="1894">
        <f t="shared" si="108"/>
        <v>73210</v>
      </c>
      <c r="AM226" s="1894">
        <f t="shared" si="109"/>
        <v>0</v>
      </c>
      <c r="AN226" s="1894">
        <v>172</v>
      </c>
      <c r="AO226" s="1894">
        <v>160.72</v>
      </c>
      <c r="AP226" s="1894">
        <v>160.72</v>
      </c>
      <c r="AQ226" s="1894">
        <v>0.98809999999999998</v>
      </c>
      <c r="AR226" s="1894">
        <v>47.71</v>
      </c>
      <c r="AS226" s="1894">
        <v>57052</v>
      </c>
      <c r="AT226" s="1894">
        <f t="shared" si="91"/>
        <v>71745</v>
      </c>
      <c r="AU226" s="1894">
        <f t="shared" si="92"/>
        <v>0</v>
      </c>
      <c r="AV226" s="1894">
        <v>172</v>
      </c>
      <c r="AW226" s="1894">
        <v>158.47999999999999</v>
      </c>
      <c r="AX226" s="1894">
        <v>158.47999999999999</v>
      </c>
      <c r="AY226" s="1894">
        <v>0.98229999999999995</v>
      </c>
      <c r="AZ226" s="1894">
        <v>57.24</v>
      </c>
      <c r="BA226" s="1894">
        <v>65314</v>
      </c>
      <c r="BB226" s="1894">
        <f t="shared" si="93"/>
        <v>68463</v>
      </c>
      <c r="BC226" s="1894">
        <f t="shared" si="94"/>
        <v>0</v>
      </c>
      <c r="BD226" s="1894">
        <v>172</v>
      </c>
      <c r="BE226" s="1894">
        <v>145.6</v>
      </c>
      <c r="BF226" s="1894">
        <v>145.6</v>
      </c>
      <c r="BG226" s="1894">
        <v>0.99860000000000004</v>
      </c>
      <c r="BH226" s="1894">
        <v>51.18</v>
      </c>
      <c r="BI226" s="1894">
        <v>55443</v>
      </c>
      <c r="BJ226" s="1894">
        <f t="shared" si="95"/>
        <v>64996</v>
      </c>
      <c r="BK226" s="1894">
        <f t="shared" si="96"/>
        <v>0</v>
      </c>
      <c r="BL226" s="1894">
        <v>172</v>
      </c>
      <c r="BM226" s="1894">
        <v>140.24</v>
      </c>
      <c r="BN226" s="1894">
        <v>140.24</v>
      </c>
      <c r="BO226" s="1894">
        <v>0.9929</v>
      </c>
      <c r="BP226" s="1894">
        <v>45.46</v>
      </c>
      <c r="BQ226" s="1894">
        <v>45905</v>
      </c>
      <c r="BR226" s="1894">
        <f t="shared" si="97"/>
        <v>60584</v>
      </c>
      <c r="BS226" s="1894">
        <f t="shared" si="98"/>
        <v>0</v>
      </c>
      <c r="BT226" s="1894">
        <v>172</v>
      </c>
      <c r="BU226" s="1894">
        <v>134.80000000000001</v>
      </c>
      <c r="BV226" s="1894">
        <v>137.6</v>
      </c>
      <c r="BW226" s="1894">
        <v>0.98119999999999996</v>
      </c>
      <c r="BX226" s="1894">
        <v>28.62</v>
      </c>
      <c r="BY226" s="1894">
        <v>28707</v>
      </c>
      <c r="BZ226" s="1894">
        <f t="shared" si="99"/>
        <v>60175</v>
      </c>
      <c r="CA226" s="1894">
        <f t="shared" si="100"/>
        <v>0</v>
      </c>
      <c r="CB226" s="1894">
        <v>172</v>
      </c>
      <c r="CC226" s="1894">
        <v>135.28</v>
      </c>
      <c r="CD226" s="1894">
        <v>137.6</v>
      </c>
      <c r="CE226" s="1894">
        <v>0.98009999999999997</v>
      </c>
      <c r="CF226" s="1894">
        <v>25.23</v>
      </c>
      <c r="CG226" s="1894">
        <v>25395</v>
      </c>
      <c r="CH226" s="1894">
        <f t="shared" si="101"/>
        <v>60389</v>
      </c>
      <c r="CI226" s="1894">
        <f t="shared" si="102"/>
        <v>0</v>
      </c>
      <c r="CJ226" s="1894">
        <v>172</v>
      </c>
      <c r="CK226" s="1894">
        <v>135.84</v>
      </c>
      <c r="CL226" s="1894">
        <v>137.6</v>
      </c>
      <c r="CM226" s="1894">
        <v>0.98870000000000002</v>
      </c>
      <c r="CN226" s="1894">
        <v>29.09</v>
      </c>
      <c r="CO226" s="1894">
        <v>26555</v>
      </c>
      <c r="CP226" s="1894">
        <f t="shared" si="103"/>
        <v>54771</v>
      </c>
      <c r="CQ226" s="1894">
        <f t="shared" si="104"/>
        <v>0</v>
      </c>
      <c r="CR226" s="1924">
        <v>172</v>
      </c>
      <c r="CS226" s="1924">
        <v>158.88</v>
      </c>
      <c r="CT226" s="1924">
        <v>158.88</v>
      </c>
      <c r="CU226" s="1924">
        <v>0.97409999999999997</v>
      </c>
      <c r="CV226" s="1924">
        <v>29.24</v>
      </c>
      <c r="CW226" s="1924">
        <v>34566</v>
      </c>
      <c r="CX226" s="1894">
        <f t="shared" si="105"/>
        <v>70924</v>
      </c>
      <c r="CY226" s="1894">
        <f t="shared" si="106"/>
        <v>0</v>
      </c>
    </row>
    <row r="227" spans="1:103">
      <c r="A227" s="982">
        <v>122000000053</v>
      </c>
      <c r="B227" s="1923">
        <f t="shared" si="107"/>
        <v>221</v>
      </c>
      <c r="C227" s="1895" t="s">
        <v>3111</v>
      </c>
      <c r="D227" s="1894" t="s">
        <v>524</v>
      </c>
      <c r="E227" s="1895" t="s">
        <v>541</v>
      </c>
      <c r="F227" s="1894" t="s">
        <v>259</v>
      </c>
      <c r="G227" s="1924">
        <v>174</v>
      </c>
      <c r="H227" s="1894">
        <v>174</v>
      </c>
      <c r="I227" s="1894">
        <v>159.91999999999999</v>
      </c>
      <c r="J227" s="1894">
        <v>159.91999999999999</v>
      </c>
      <c r="K227" s="1894">
        <v>0.99590000000000001</v>
      </c>
      <c r="L227" s="1894">
        <v>45.04</v>
      </c>
      <c r="M227" s="1894">
        <v>43212</v>
      </c>
      <c r="N227" s="1894">
        <f t="shared" si="85"/>
        <v>69085</v>
      </c>
      <c r="O227" s="1894">
        <f t="shared" si="86"/>
        <v>0</v>
      </c>
      <c r="P227" s="1894">
        <v>174</v>
      </c>
      <c r="Q227" s="1894">
        <v>256.15999999999997</v>
      </c>
      <c r="R227" s="1894">
        <v>256.16000000000003</v>
      </c>
      <c r="S227" s="1894">
        <v>0.99460000000000004</v>
      </c>
      <c r="T227" s="1894">
        <v>34.299999999999997</v>
      </c>
      <c r="U227" s="1894">
        <v>75920</v>
      </c>
      <c r="V227" s="1894">
        <f t="shared" si="87"/>
        <v>114350</v>
      </c>
      <c r="W227" s="1894">
        <f t="shared" si="88"/>
        <v>0</v>
      </c>
      <c r="X227" s="1894">
        <v>174</v>
      </c>
      <c r="Y227" s="1894">
        <v>267.12</v>
      </c>
      <c r="Z227" s="1894">
        <v>267.12</v>
      </c>
      <c r="AA227" s="1894">
        <v>0.9919</v>
      </c>
      <c r="AB227" s="1894">
        <v>51.17</v>
      </c>
      <c r="AC227" s="1894">
        <v>98409</v>
      </c>
      <c r="AD227" s="1894">
        <f t="shared" si="89"/>
        <v>115396</v>
      </c>
      <c r="AE227" s="1894">
        <f t="shared" si="90"/>
        <v>0</v>
      </c>
      <c r="AF227" s="1894">
        <v>174</v>
      </c>
      <c r="AG227" s="1894">
        <v>241.6</v>
      </c>
      <c r="AH227" s="1894">
        <v>241.6</v>
      </c>
      <c r="AI227" s="1894">
        <v>0.99539999999999995</v>
      </c>
      <c r="AJ227" s="1894">
        <v>35.39</v>
      </c>
      <c r="AK227" s="1894">
        <v>63622</v>
      </c>
      <c r="AL227" s="1894">
        <f t="shared" si="108"/>
        <v>107850</v>
      </c>
      <c r="AM227" s="1894">
        <f t="shared" si="109"/>
        <v>0</v>
      </c>
      <c r="AN227" s="1894">
        <v>174</v>
      </c>
      <c r="AO227" s="1894">
        <v>245.2</v>
      </c>
      <c r="AP227" s="1894">
        <v>245.2</v>
      </c>
      <c r="AQ227" s="1894">
        <v>0.99739999999999995</v>
      </c>
      <c r="AR227" s="1894">
        <v>35.299999999999997</v>
      </c>
      <c r="AS227" s="1894">
        <v>64405</v>
      </c>
      <c r="AT227" s="1894">
        <f t="shared" si="91"/>
        <v>109457</v>
      </c>
      <c r="AU227" s="1894">
        <f t="shared" si="92"/>
        <v>0</v>
      </c>
      <c r="AV227" s="1894">
        <v>174</v>
      </c>
      <c r="AW227" s="1894">
        <v>183.44</v>
      </c>
      <c r="AX227" s="1894">
        <v>183.44</v>
      </c>
      <c r="AY227" s="1894">
        <v>0.99860000000000004</v>
      </c>
      <c r="AZ227" s="1894">
        <v>45.77</v>
      </c>
      <c r="BA227" s="1894">
        <v>54411</v>
      </c>
      <c r="BB227" s="1894">
        <f t="shared" si="93"/>
        <v>79246</v>
      </c>
      <c r="BC227" s="1894">
        <f t="shared" si="94"/>
        <v>0</v>
      </c>
      <c r="BD227" s="1894">
        <v>174</v>
      </c>
      <c r="BE227" s="1894">
        <v>169.52</v>
      </c>
      <c r="BF227" s="1894">
        <v>169.52</v>
      </c>
      <c r="BG227" s="1894">
        <v>0.99939999999999996</v>
      </c>
      <c r="BH227" s="1894">
        <v>36.4</v>
      </c>
      <c r="BI227" s="1894">
        <v>42950</v>
      </c>
      <c r="BJ227" s="1894">
        <f t="shared" si="95"/>
        <v>75674</v>
      </c>
      <c r="BK227" s="1894">
        <f t="shared" si="96"/>
        <v>0</v>
      </c>
      <c r="BL227" s="1894">
        <v>174</v>
      </c>
      <c r="BM227" s="1894">
        <v>164.24</v>
      </c>
      <c r="BN227" s="1894">
        <v>164.24</v>
      </c>
      <c r="BO227" s="1894">
        <v>0.99809999999999999</v>
      </c>
      <c r="BP227" s="1894">
        <v>31.05</v>
      </c>
      <c r="BQ227" s="1894">
        <v>40390</v>
      </c>
      <c r="BR227" s="1894">
        <f t="shared" si="97"/>
        <v>70952</v>
      </c>
      <c r="BS227" s="1894">
        <f t="shared" si="98"/>
        <v>0</v>
      </c>
      <c r="BT227" s="1894">
        <v>174</v>
      </c>
      <c r="BU227" s="1894">
        <v>159.44</v>
      </c>
      <c r="BV227" s="1894">
        <v>159.44</v>
      </c>
      <c r="BW227" s="1894">
        <v>0.99760000000000004</v>
      </c>
      <c r="BX227" s="1894">
        <v>17.7</v>
      </c>
      <c r="BY227" s="1894">
        <v>22348</v>
      </c>
      <c r="BZ227" s="1894">
        <f t="shared" si="99"/>
        <v>71174</v>
      </c>
      <c r="CA227" s="1894">
        <f t="shared" si="100"/>
        <v>0</v>
      </c>
      <c r="CB227" s="1894">
        <v>174</v>
      </c>
      <c r="CC227" s="1894">
        <v>83.2</v>
      </c>
      <c r="CD227" s="1894">
        <v>139.19999999999999</v>
      </c>
      <c r="CE227" s="1894">
        <v>0.99980000000000002</v>
      </c>
      <c r="CF227" s="1894">
        <v>30.45</v>
      </c>
      <c r="CG227" s="1894">
        <v>18848</v>
      </c>
      <c r="CH227" s="1894">
        <f t="shared" si="101"/>
        <v>37140</v>
      </c>
      <c r="CI227" s="1894">
        <f t="shared" si="102"/>
        <v>0</v>
      </c>
      <c r="CJ227" s="1894">
        <v>174</v>
      </c>
      <c r="CK227" s="1894">
        <v>90.48</v>
      </c>
      <c r="CL227" s="1894">
        <v>139.19999999999999</v>
      </c>
      <c r="CM227" s="1894">
        <v>1</v>
      </c>
      <c r="CN227" s="1894">
        <v>34.130000000000003</v>
      </c>
      <c r="CO227" s="1894">
        <v>20752</v>
      </c>
      <c r="CP227" s="1894">
        <f t="shared" si="103"/>
        <v>36482</v>
      </c>
      <c r="CQ227" s="1894">
        <f t="shared" si="104"/>
        <v>0</v>
      </c>
      <c r="CR227" s="1924">
        <v>174</v>
      </c>
      <c r="CS227" s="1924">
        <v>90.16</v>
      </c>
      <c r="CT227" s="1924">
        <v>139.19999999999999</v>
      </c>
      <c r="CU227" s="1924">
        <v>0.99990000000000001</v>
      </c>
      <c r="CV227" s="1924">
        <v>39.520000000000003</v>
      </c>
      <c r="CW227" s="1924">
        <v>26512</v>
      </c>
      <c r="CX227" s="1894">
        <f t="shared" si="105"/>
        <v>40247</v>
      </c>
      <c r="CY227" s="1894">
        <f t="shared" si="106"/>
        <v>0</v>
      </c>
    </row>
    <row r="228" spans="1:103">
      <c r="A228" s="982">
        <v>122000000059</v>
      </c>
      <c r="B228" s="1923">
        <f t="shared" si="107"/>
        <v>222</v>
      </c>
      <c r="C228" s="1895" t="s">
        <v>3112</v>
      </c>
      <c r="D228" s="1894" t="s">
        <v>524</v>
      </c>
      <c r="E228" s="1895" t="s">
        <v>541</v>
      </c>
      <c r="F228" s="1894" t="s">
        <v>259</v>
      </c>
      <c r="G228" s="1924">
        <v>174</v>
      </c>
      <c r="H228" s="1894">
        <v>174</v>
      </c>
      <c r="I228" s="1894">
        <v>167.83999999999997</v>
      </c>
      <c r="J228" s="1894">
        <v>167.84</v>
      </c>
      <c r="K228" s="1894">
        <v>0.97160000000000002</v>
      </c>
      <c r="L228" s="1894">
        <v>12.03</v>
      </c>
      <c r="M228" s="1894">
        <v>12114</v>
      </c>
      <c r="N228" s="1894">
        <f t="shared" si="85"/>
        <v>72507</v>
      </c>
      <c r="O228" s="1894">
        <f t="shared" si="86"/>
        <v>0</v>
      </c>
      <c r="P228" s="1894">
        <v>174</v>
      </c>
      <c r="Q228" s="1894">
        <v>192.64</v>
      </c>
      <c r="R228" s="1894">
        <v>192.64</v>
      </c>
      <c r="S228" s="1894">
        <v>0.98099999999999998</v>
      </c>
      <c r="T228" s="1894">
        <v>39.15</v>
      </c>
      <c r="U228" s="1894">
        <v>65168</v>
      </c>
      <c r="V228" s="1894">
        <f t="shared" si="87"/>
        <v>85994</v>
      </c>
      <c r="W228" s="1894">
        <f t="shared" si="88"/>
        <v>0</v>
      </c>
      <c r="X228" s="1894">
        <v>174</v>
      </c>
      <c r="Y228" s="1894">
        <v>211.04</v>
      </c>
      <c r="Z228" s="1894">
        <v>211.04</v>
      </c>
      <c r="AA228" s="1894">
        <v>0.98850000000000005</v>
      </c>
      <c r="AB228" s="1894">
        <v>66.099999999999994</v>
      </c>
      <c r="AC228" s="1894">
        <v>100442</v>
      </c>
      <c r="AD228" s="1894">
        <f t="shared" si="89"/>
        <v>91169</v>
      </c>
      <c r="AE228" s="1894">
        <f t="shared" si="90"/>
        <v>9273</v>
      </c>
      <c r="AF228" s="1894">
        <v>174</v>
      </c>
      <c r="AG228" s="1894">
        <v>191.52</v>
      </c>
      <c r="AH228" s="1894">
        <v>191.52</v>
      </c>
      <c r="AI228" s="1894">
        <v>0.99460000000000004</v>
      </c>
      <c r="AJ228" s="1894">
        <v>57.3</v>
      </c>
      <c r="AK228" s="1894">
        <v>81652</v>
      </c>
      <c r="AL228" s="1894">
        <f t="shared" si="108"/>
        <v>85495</v>
      </c>
      <c r="AM228" s="1894">
        <f t="shared" si="109"/>
        <v>0</v>
      </c>
      <c r="AN228" s="1894">
        <v>174</v>
      </c>
      <c r="AO228" s="1894">
        <v>183.84</v>
      </c>
      <c r="AP228" s="1894">
        <v>183.84</v>
      </c>
      <c r="AQ228" s="1894">
        <v>0.99590000000000001</v>
      </c>
      <c r="AR228" s="1894">
        <v>52.1</v>
      </c>
      <c r="AS228" s="1894">
        <v>71258</v>
      </c>
      <c r="AT228" s="1894">
        <f t="shared" si="91"/>
        <v>82066</v>
      </c>
      <c r="AU228" s="1894">
        <f t="shared" si="92"/>
        <v>0</v>
      </c>
      <c r="AV228" s="1894">
        <v>174</v>
      </c>
      <c r="AW228" s="1894">
        <v>182.24</v>
      </c>
      <c r="AX228" s="1894">
        <v>182.24</v>
      </c>
      <c r="AY228" s="1894">
        <v>0.99450000000000005</v>
      </c>
      <c r="AZ228" s="1894">
        <v>55.15</v>
      </c>
      <c r="BA228" s="1894">
        <v>72362</v>
      </c>
      <c r="BB228" s="1894">
        <f t="shared" si="93"/>
        <v>78728</v>
      </c>
      <c r="BC228" s="1894">
        <f t="shared" si="94"/>
        <v>0</v>
      </c>
      <c r="BD228" s="1894">
        <v>174</v>
      </c>
      <c r="BE228" s="1894">
        <v>174.72</v>
      </c>
      <c r="BF228" s="1894">
        <v>174.72</v>
      </c>
      <c r="BG228" s="1894">
        <v>0.99450000000000005</v>
      </c>
      <c r="BH228" s="1894">
        <v>43.99</v>
      </c>
      <c r="BI228" s="1894">
        <v>57182</v>
      </c>
      <c r="BJ228" s="1894">
        <f t="shared" si="95"/>
        <v>77995</v>
      </c>
      <c r="BK228" s="1894">
        <f t="shared" si="96"/>
        <v>0</v>
      </c>
      <c r="BL228" s="1894">
        <v>174</v>
      </c>
      <c r="BM228" s="1894">
        <v>167.83999999999997</v>
      </c>
      <c r="BN228" s="1894">
        <v>167.84</v>
      </c>
      <c r="BO228" s="1894">
        <v>0.98939999999999995</v>
      </c>
      <c r="BP228" s="1894">
        <v>31.94</v>
      </c>
      <c r="BQ228" s="1894">
        <v>38592</v>
      </c>
      <c r="BR228" s="1894">
        <f t="shared" si="97"/>
        <v>72507</v>
      </c>
      <c r="BS228" s="1894">
        <f t="shared" si="98"/>
        <v>0</v>
      </c>
      <c r="BT228" s="1894">
        <v>174</v>
      </c>
      <c r="BU228" s="1894">
        <v>159.20000000000002</v>
      </c>
      <c r="BV228" s="1894">
        <v>159.19999999999999</v>
      </c>
      <c r="BW228" s="1894">
        <v>0.97519999999999996</v>
      </c>
      <c r="BX228" s="1894">
        <v>27.06</v>
      </c>
      <c r="BY228" s="1894">
        <v>32056</v>
      </c>
      <c r="BZ228" s="1894">
        <f t="shared" si="99"/>
        <v>71067</v>
      </c>
      <c r="CA228" s="1894">
        <f t="shared" si="100"/>
        <v>0</v>
      </c>
      <c r="CB228" s="1894">
        <v>174</v>
      </c>
      <c r="CC228" s="1894">
        <v>129.44</v>
      </c>
      <c r="CD228" s="1894">
        <v>139.19999999999999</v>
      </c>
      <c r="CE228" s="1894">
        <v>0.96830000000000005</v>
      </c>
      <c r="CF228" s="1894">
        <v>19.84</v>
      </c>
      <c r="CG228" s="1894">
        <v>19102</v>
      </c>
      <c r="CH228" s="1894">
        <f t="shared" si="101"/>
        <v>57782</v>
      </c>
      <c r="CI228" s="1894">
        <f t="shared" si="102"/>
        <v>0</v>
      </c>
      <c r="CJ228" s="1894">
        <v>174</v>
      </c>
      <c r="CK228" s="1894">
        <v>152.80000000000001</v>
      </c>
      <c r="CL228" s="1894">
        <v>152.80000000000001</v>
      </c>
      <c r="CM228" s="1894">
        <v>0.98350000000000004</v>
      </c>
      <c r="CN228" s="1894">
        <v>24.17</v>
      </c>
      <c r="CO228" s="1894">
        <v>24814</v>
      </c>
      <c r="CP228" s="1894">
        <f t="shared" si="103"/>
        <v>61609</v>
      </c>
      <c r="CQ228" s="1894">
        <f t="shared" si="104"/>
        <v>0</v>
      </c>
      <c r="CR228" s="1924">
        <v>174</v>
      </c>
      <c r="CS228" s="1924">
        <v>137.12</v>
      </c>
      <c r="CT228" s="1924">
        <v>139.19999999999999</v>
      </c>
      <c r="CU228" s="1924">
        <v>0.98370000000000002</v>
      </c>
      <c r="CV228" s="1924">
        <v>19.079999999999998</v>
      </c>
      <c r="CW228" s="1924">
        <v>19468</v>
      </c>
      <c r="CX228" s="1894">
        <f t="shared" si="105"/>
        <v>61210</v>
      </c>
      <c r="CY228" s="1894">
        <f t="shared" si="106"/>
        <v>0</v>
      </c>
    </row>
    <row r="229" spans="1:103">
      <c r="A229" s="982">
        <v>122000000090</v>
      </c>
      <c r="B229" s="1923">
        <f t="shared" si="107"/>
        <v>223</v>
      </c>
      <c r="C229" s="1895" t="s">
        <v>3113</v>
      </c>
      <c r="D229" s="1894" t="s">
        <v>524</v>
      </c>
      <c r="E229" s="1895" t="s">
        <v>2966</v>
      </c>
      <c r="F229" s="1894" t="s">
        <v>259</v>
      </c>
      <c r="G229" s="1924">
        <v>174</v>
      </c>
      <c r="H229" s="1894">
        <v>174</v>
      </c>
      <c r="I229" s="1894">
        <v>197.44</v>
      </c>
      <c r="J229" s="1894">
        <v>197.44</v>
      </c>
      <c r="K229" s="1894">
        <v>0.82269999999999999</v>
      </c>
      <c r="L229" s="1894">
        <v>0</v>
      </c>
      <c r="M229" s="1894">
        <v>42811</v>
      </c>
      <c r="N229" s="1894">
        <f t="shared" si="85"/>
        <v>85294</v>
      </c>
      <c r="O229" s="1894">
        <f t="shared" si="86"/>
        <v>0</v>
      </c>
      <c r="P229" s="1894">
        <v>174</v>
      </c>
      <c r="Q229" s="1894">
        <v>172.32</v>
      </c>
      <c r="R229" s="1894">
        <v>174</v>
      </c>
      <c r="S229" s="1894">
        <v>0.8216</v>
      </c>
      <c r="T229" s="1894">
        <v>0</v>
      </c>
      <c r="U229" s="1894">
        <v>44427</v>
      </c>
      <c r="V229" s="1894">
        <f t="shared" si="87"/>
        <v>76924</v>
      </c>
      <c r="W229" s="1894">
        <f t="shared" si="88"/>
        <v>0</v>
      </c>
      <c r="X229" s="1894">
        <v>174</v>
      </c>
      <c r="Y229" s="1894">
        <v>143.52000000000001</v>
      </c>
      <c r="Z229" s="1894">
        <v>174</v>
      </c>
      <c r="AA229" s="1894">
        <v>0.85240000000000005</v>
      </c>
      <c r="AB229" s="1894">
        <v>0</v>
      </c>
      <c r="AC229" s="1894">
        <v>32690</v>
      </c>
      <c r="AD229" s="1894">
        <f t="shared" si="89"/>
        <v>62001</v>
      </c>
      <c r="AE229" s="1894">
        <f t="shared" si="90"/>
        <v>0</v>
      </c>
      <c r="AF229" s="1894">
        <v>174</v>
      </c>
      <c r="AG229" s="1894">
        <v>126.16000000000001</v>
      </c>
      <c r="AH229" s="1894">
        <v>174</v>
      </c>
      <c r="AI229" s="1894">
        <v>0.85419999999999996</v>
      </c>
      <c r="AJ229" s="1894">
        <v>0</v>
      </c>
      <c r="AK229" s="1894">
        <v>12427</v>
      </c>
      <c r="AL229" s="1894">
        <f t="shared" si="108"/>
        <v>56318</v>
      </c>
      <c r="AM229" s="1894">
        <f t="shared" si="109"/>
        <v>0</v>
      </c>
      <c r="AN229" s="1894">
        <v>174</v>
      </c>
      <c r="AO229" s="1894">
        <v>139.44</v>
      </c>
      <c r="AP229" s="1894">
        <v>174</v>
      </c>
      <c r="AQ229" s="1894">
        <v>0.81240000000000001</v>
      </c>
      <c r="AR229" s="1894">
        <v>0</v>
      </c>
      <c r="AS229" s="1894">
        <v>17045</v>
      </c>
      <c r="AT229" s="1894">
        <f t="shared" si="91"/>
        <v>62246</v>
      </c>
      <c r="AU229" s="1894">
        <f t="shared" si="92"/>
        <v>0</v>
      </c>
      <c r="AV229" s="1894">
        <v>174</v>
      </c>
      <c r="AW229" s="1894">
        <v>165.68</v>
      </c>
      <c r="AX229" s="1894">
        <v>174</v>
      </c>
      <c r="AY229" s="1894">
        <v>0.81399999999999995</v>
      </c>
      <c r="AZ229" s="1894">
        <v>0</v>
      </c>
      <c r="BA229" s="1894">
        <v>47881</v>
      </c>
      <c r="BB229" s="1894">
        <f t="shared" si="93"/>
        <v>71574</v>
      </c>
      <c r="BC229" s="1894">
        <f t="shared" si="94"/>
        <v>0</v>
      </c>
      <c r="BD229" s="1894">
        <v>174</v>
      </c>
      <c r="BE229" s="1894">
        <v>161.68</v>
      </c>
      <c r="BF229" s="1894">
        <v>174</v>
      </c>
      <c r="BG229" s="1894">
        <v>0.78600000000000003</v>
      </c>
      <c r="BH229" s="1894">
        <v>0</v>
      </c>
      <c r="BI229" s="1894">
        <v>54215</v>
      </c>
      <c r="BJ229" s="1894">
        <f t="shared" si="95"/>
        <v>72174</v>
      </c>
      <c r="BK229" s="1894">
        <f t="shared" si="96"/>
        <v>0</v>
      </c>
      <c r="BL229" s="1894">
        <v>174</v>
      </c>
      <c r="BM229" s="1894">
        <v>149.36000000000001</v>
      </c>
      <c r="BN229" s="1894">
        <v>174</v>
      </c>
      <c r="BO229" s="1894">
        <v>0.77270000000000005</v>
      </c>
      <c r="BP229" s="1894">
        <v>0</v>
      </c>
      <c r="BQ229" s="1894">
        <v>38229</v>
      </c>
      <c r="BR229" s="1894">
        <f t="shared" si="97"/>
        <v>64524</v>
      </c>
      <c r="BS229" s="1894">
        <f t="shared" si="98"/>
        <v>0</v>
      </c>
      <c r="BT229" s="1894">
        <v>174</v>
      </c>
      <c r="BU229" s="1894">
        <v>15.040000000000001</v>
      </c>
      <c r="BV229" s="1894">
        <v>174</v>
      </c>
      <c r="BW229" s="1894">
        <v>0.48499999999999999</v>
      </c>
      <c r="BX229" s="1894">
        <v>0</v>
      </c>
      <c r="BY229" s="1894">
        <v>3534</v>
      </c>
      <c r="BZ229" s="1894">
        <f t="shared" si="99"/>
        <v>6714</v>
      </c>
      <c r="CA229" s="1894">
        <f t="shared" si="100"/>
        <v>0</v>
      </c>
      <c r="CB229" s="1894">
        <v>174</v>
      </c>
      <c r="CC229" s="1894">
        <v>5.6800000000000006</v>
      </c>
      <c r="CD229" s="1894">
        <v>174</v>
      </c>
      <c r="CE229" s="1894">
        <v>0.35589999999999999</v>
      </c>
      <c r="CF229" s="1894">
        <v>0</v>
      </c>
      <c r="CG229" s="1894">
        <v>2649</v>
      </c>
      <c r="CH229" s="1894">
        <f t="shared" si="101"/>
        <v>2536</v>
      </c>
      <c r="CI229" s="1894">
        <f t="shared" si="102"/>
        <v>113</v>
      </c>
      <c r="CJ229" s="1894">
        <v>174</v>
      </c>
      <c r="CK229" s="1894">
        <v>4.5600000000000005</v>
      </c>
      <c r="CL229" s="1894">
        <v>174</v>
      </c>
      <c r="CM229" s="1894">
        <v>0.30780000000000002</v>
      </c>
      <c r="CN229" s="1894">
        <v>0</v>
      </c>
      <c r="CO229" s="1894">
        <v>510</v>
      </c>
      <c r="CP229" s="1894">
        <f t="shared" si="103"/>
        <v>1839</v>
      </c>
      <c r="CQ229" s="1894">
        <f t="shared" si="104"/>
        <v>0</v>
      </c>
      <c r="CR229" s="1924">
        <v>174</v>
      </c>
      <c r="CS229" s="1924">
        <v>0.72</v>
      </c>
      <c r="CT229" s="1924">
        <v>174</v>
      </c>
      <c r="CU229" s="1924">
        <v>0.5353</v>
      </c>
      <c r="CV229" s="1924">
        <v>0</v>
      </c>
      <c r="CW229" s="1924">
        <v>99</v>
      </c>
      <c r="CX229" s="1894">
        <f t="shared" si="105"/>
        <v>321</v>
      </c>
      <c r="CY229" s="1894">
        <f t="shared" si="106"/>
        <v>0</v>
      </c>
    </row>
    <row r="230" spans="1:103">
      <c r="A230" s="982">
        <v>121000000010</v>
      </c>
      <c r="B230" s="1923">
        <f t="shared" si="107"/>
        <v>224</v>
      </c>
      <c r="C230" s="1895" t="s">
        <v>3114</v>
      </c>
      <c r="D230" s="1894" t="s">
        <v>524</v>
      </c>
      <c r="E230" s="1895" t="s">
        <v>541</v>
      </c>
      <c r="F230" s="1894" t="s">
        <v>259</v>
      </c>
      <c r="G230" s="1924">
        <v>175</v>
      </c>
      <c r="H230" s="1894">
        <v>175</v>
      </c>
      <c r="I230" s="1894">
        <v>139.6</v>
      </c>
      <c r="J230" s="1894">
        <v>140</v>
      </c>
      <c r="K230" s="1894">
        <v>0.99870000000000003</v>
      </c>
      <c r="L230" s="1894">
        <v>62.87</v>
      </c>
      <c r="M230" s="1894">
        <v>63192</v>
      </c>
      <c r="N230" s="1894">
        <f t="shared" si="85"/>
        <v>60307</v>
      </c>
      <c r="O230" s="1894">
        <f t="shared" si="86"/>
        <v>2885</v>
      </c>
      <c r="P230" s="1894">
        <v>175</v>
      </c>
      <c r="Q230" s="1894">
        <v>146</v>
      </c>
      <c r="R230" s="1894">
        <v>146</v>
      </c>
      <c r="S230" s="1894">
        <v>0.99819999999999998</v>
      </c>
      <c r="T230" s="1894">
        <v>51.7</v>
      </c>
      <c r="U230" s="1894">
        <v>56160</v>
      </c>
      <c r="V230" s="1894">
        <f t="shared" si="87"/>
        <v>65174</v>
      </c>
      <c r="W230" s="1894">
        <f t="shared" si="88"/>
        <v>0</v>
      </c>
      <c r="X230" s="1894">
        <v>175</v>
      </c>
      <c r="Y230" s="1894">
        <v>125.12</v>
      </c>
      <c r="Z230" s="1894">
        <v>140</v>
      </c>
      <c r="AA230" s="1894">
        <v>0.99660000000000004</v>
      </c>
      <c r="AB230" s="1894">
        <v>48.77</v>
      </c>
      <c r="AC230" s="1894">
        <v>43935</v>
      </c>
      <c r="AD230" s="1894">
        <f t="shared" si="89"/>
        <v>54052</v>
      </c>
      <c r="AE230" s="1894">
        <f t="shared" si="90"/>
        <v>0</v>
      </c>
      <c r="AF230" s="1894">
        <v>175</v>
      </c>
      <c r="AG230" s="1894">
        <v>122.8</v>
      </c>
      <c r="AH230" s="1894">
        <v>140</v>
      </c>
      <c r="AI230" s="1894">
        <v>0.99609999999999999</v>
      </c>
      <c r="AJ230" s="1894">
        <v>48.49</v>
      </c>
      <c r="AK230" s="1894">
        <v>44300</v>
      </c>
      <c r="AL230" s="1894">
        <f t="shared" si="108"/>
        <v>54818</v>
      </c>
      <c r="AM230" s="1894">
        <f t="shared" si="109"/>
        <v>0</v>
      </c>
      <c r="AN230" s="1894">
        <v>175</v>
      </c>
      <c r="AO230" s="1894">
        <v>133.51999999999998</v>
      </c>
      <c r="AP230" s="1894">
        <v>140</v>
      </c>
      <c r="AQ230" s="1894">
        <v>0.996</v>
      </c>
      <c r="AR230" s="1894">
        <v>40.799999999999997</v>
      </c>
      <c r="AS230" s="1894">
        <v>40531</v>
      </c>
      <c r="AT230" s="1894">
        <f t="shared" si="91"/>
        <v>59603</v>
      </c>
      <c r="AU230" s="1894">
        <f t="shared" si="92"/>
        <v>0</v>
      </c>
      <c r="AV230" s="1894">
        <v>175</v>
      </c>
      <c r="AW230" s="1894">
        <v>118.16</v>
      </c>
      <c r="AX230" s="1894">
        <v>140</v>
      </c>
      <c r="AY230" s="1894">
        <v>0.98229999999999995</v>
      </c>
      <c r="AZ230" s="1894">
        <v>18.940000000000001</v>
      </c>
      <c r="BA230" s="1894">
        <v>16109</v>
      </c>
      <c r="BB230" s="1894">
        <f t="shared" si="93"/>
        <v>51045</v>
      </c>
      <c r="BC230" s="1894">
        <f t="shared" si="94"/>
        <v>0</v>
      </c>
      <c r="BD230" s="1894">
        <v>175</v>
      </c>
      <c r="BE230" s="1894">
        <v>21.2</v>
      </c>
      <c r="BF230" s="1894">
        <v>140</v>
      </c>
      <c r="BG230" s="1894">
        <v>0.86680000000000001</v>
      </c>
      <c r="BH230" s="1894">
        <v>34.86</v>
      </c>
      <c r="BI230" s="1894">
        <v>5498</v>
      </c>
      <c r="BJ230" s="1894">
        <f t="shared" si="95"/>
        <v>9464</v>
      </c>
      <c r="BK230" s="1894">
        <f t="shared" si="96"/>
        <v>0</v>
      </c>
      <c r="BL230" s="1894">
        <v>175</v>
      </c>
      <c r="BM230" s="1894">
        <v>22.96</v>
      </c>
      <c r="BN230" s="1894">
        <v>140</v>
      </c>
      <c r="BO230" s="1894">
        <v>0.82740000000000002</v>
      </c>
      <c r="BP230" s="1894">
        <v>28.88</v>
      </c>
      <c r="BQ230" s="1894">
        <v>4775</v>
      </c>
      <c r="BR230" s="1894">
        <f t="shared" si="97"/>
        <v>9919</v>
      </c>
      <c r="BS230" s="1894">
        <f t="shared" si="98"/>
        <v>0</v>
      </c>
      <c r="BT230" s="1894">
        <v>175</v>
      </c>
      <c r="BU230" s="1894">
        <v>85.2</v>
      </c>
      <c r="BV230" s="1894">
        <v>140</v>
      </c>
      <c r="BW230" s="1894">
        <v>0.88149999999999995</v>
      </c>
      <c r="BX230" s="1894">
        <v>9.65</v>
      </c>
      <c r="BY230" s="1894">
        <v>6114</v>
      </c>
      <c r="BZ230" s="1894">
        <f t="shared" si="99"/>
        <v>38033</v>
      </c>
      <c r="CA230" s="1894">
        <f t="shared" si="100"/>
        <v>0</v>
      </c>
      <c r="CB230" s="1894">
        <v>175</v>
      </c>
      <c r="CC230" s="1894">
        <v>127.36000000000001</v>
      </c>
      <c r="CD230" s="1894">
        <v>140</v>
      </c>
      <c r="CE230" s="1894">
        <v>0.99550000000000005</v>
      </c>
      <c r="CF230" s="1894">
        <v>50.53</v>
      </c>
      <c r="CG230" s="1894">
        <v>47878</v>
      </c>
      <c r="CH230" s="1894">
        <f t="shared" si="101"/>
        <v>56854</v>
      </c>
      <c r="CI230" s="1894">
        <f t="shared" si="102"/>
        <v>0</v>
      </c>
      <c r="CJ230" s="1894">
        <v>175</v>
      </c>
      <c r="CK230" s="1894">
        <v>118.08000000000001</v>
      </c>
      <c r="CL230" s="1894">
        <v>140</v>
      </c>
      <c r="CM230" s="1894">
        <v>0.99670000000000003</v>
      </c>
      <c r="CN230" s="1894">
        <v>60.45</v>
      </c>
      <c r="CO230" s="1894">
        <v>47967</v>
      </c>
      <c r="CP230" s="1894">
        <f t="shared" si="103"/>
        <v>47610</v>
      </c>
      <c r="CQ230" s="1894">
        <f t="shared" si="104"/>
        <v>357</v>
      </c>
      <c r="CR230" s="1924">
        <v>175</v>
      </c>
      <c r="CS230" s="1924">
        <v>124.32000000000001</v>
      </c>
      <c r="CT230" s="1924">
        <v>140</v>
      </c>
      <c r="CU230" s="1924">
        <v>0.99750000000000005</v>
      </c>
      <c r="CV230" s="1924">
        <v>61.83</v>
      </c>
      <c r="CW230" s="1924">
        <v>57192</v>
      </c>
      <c r="CX230" s="1894">
        <f t="shared" si="105"/>
        <v>55496</v>
      </c>
      <c r="CY230" s="1894">
        <f t="shared" si="106"/>
        <v>1696</v>
      </c>
    </row>
    <row r="231" spans="1:103">
      <c r="A231" s="982">
        <v>122000000001</v>
      </c>
      <c r="B231" s="1923">
        <f t="shared" si="107"/>
        <v>225</v>
      </c>
      <c r="C231" s="1895" t="s">
        <v>3115</v>
      </c>
      <c r="D231" s="1894" t="s">
        <v>524</v>
      </c>
      <c r="E231" s="1895" t="s">
        <v>541</v>
      </c>
      <c r="F231" s="1894" t="s">
        <v>259</v>
      </c>
      <c r="G231" s="1924">
        <v>175</v>
      </c>
      <c r="H231" s="1894">
        <v>124</v>
      </c>
      <c r="I231" s="1894">
        <v>140.08000000000001</v>
      </c>
      <c r="J231" s="1894">
        <v>140.08000000000001</v>
      </c>
      <c r="K231" s="1894">
        <v>0.97</v>
      </c>
      <c r="L231" s="1894">
        <v>37.58</v>
      </c>
      <c r="M231" s="1894">
        <v>37900</v>
      </c>
      <c r="N231" s="1894">
        <f t="shared" si="85"/>
        <v>60515</v>
      </c>
      <c r="O231" s="1894">
        <f t="shared" si="86"/>
        <v>0</v>
      </c>
      <c r="P231" s="1894">
        <v>124</v>
      </c>
      <c r="Q231" s="1894">
        <v>190</v>
      </c>
      <c r="R231" s="1894">
        <v>190</v>
      </c>
      <c r="S231" s="1894">
        <v>0.98209999999999997</v>
      </c>
      <c r="T231" s="1894">
        <v>42</v>
      </c>
      <c r="U231" s="1894">
        <v>59378</v>
      </c>
      <c r="V231" s="1894">
        <f t="shared" si="87"/>
        <v>84816</v>
      </c>
      <c r="W231" s="1894">
        <f t="shared" si="88"/>
        <v>0</v>
      </c>
      <c r="X231" s="1894">
        <v>124</v>
      </c>
      <c r="Y231" s="1894">
        <v>268.24</v>
      </c>
      <c r="Z231" s="1894">
        <v>268.24</v>
      </c>
      <c r="AA231" s="1894">
        <v>0.98170000000000002</v>
      </c>
      <c r="AB231" s="1894">
        <v>58.15</v>
      </c>
      <c r="AC231" s="1894">
        <v>112316</v>
      </c>
      <c r="AD231" s="1894">
        <f t="shared" si="89"/>
        <v>115880</v>
      </c>
      <c r="AE231" s="1894">
        <f t="shared" si="90"/>
        <v>0</v>
      </c>
      <c r="AF231" s="1894">
        <v>124</v>
      </c>
      <c r="AG231" s="1894">
        <v>273.12</v>
      </c>
      <c r="AH231" s="1894">
        <v>273.12</v>
      </c>
      <c r="AI231" s="1894">
        <v>0.97389999999999999</v>
      </c>
      <c r="AJ231" s="1894">
        <v>59.61</v>
      </c>
      <c r="AK231" s="1894">
        <v>121124</v>
      </c>
      <c r="AL231" s="1894">
        <f t="shared" si="108"/>
        <v>121921</v>
      </c>
      <c r="AM231" s="1894">
        <f t="shared" si="109"/>
        <v>0</v>
      </c>
      <c r="AN231" s="1894">
        <v>175</v>
      </c>
      <c r="AO231" s="1894">
        <v>275.52</v>
      </c>
      <c r="AP231" s="1894">
        <v>275.52</v>
      </c>
      <c r="AQ231" s="1894">
        <v>0.97199999999999998</v>
      </c>
      <c r="AR231" s="1894">
        <v>44.92</v>
      </c>
      <c r="AS231" s="1894">
        <v>92070</v>
      </c>
      <c r="AT231" s="1894">
        <f t="shared" si="91"/>
        <v>122992</v>
      </c>
      <c r="AU231" s="1894">
        <f t="shared" si="92"/>
        <v>0</v>
      </c>
      <c r="AV231" s="1894">
        <v>175</v>
      </c>
      <c r="AW231" s="1894">
        <v>278.08000000000004</v>
      </c>
      <c r="AX231" s="1894">
        <v>278.08</v>
      </c>
      <c r="AY231" s="1894">
        <v>0.9667</v>
      </c>
      <c r="AZ231" s="1894">
        <v>41.85</v>
      </c>
      <c r="BA231" s="1894">
        <v>83785</v>
      </c>
      <c r="BB231" s="1894">
        <f t="shared" si="93"/>
        <v>120131</v>
      </c>
      <c r="BC231" s="1894">
        <f t="shared" si="94"/>
        <v>0</v>
      </c>
      <c r="BD231" s="1894">
        <v>175</v>
      </c>
      <c r="BE231" s="1894">
        <v>264</v>
      </c>
      <c r="BF231" s="1894">
        <v>264</v>
      </c>
      <c r="BG231" s="1894">
        <v>0.98299999999999998</v>
      </c>
      <c r="BH231" s="1894">
        <v>44.75</v>
      </c>
      <c r="BI231" s="1894">
        <v>87903</v>
      </c>
      <c r="BJ231" s="1894">
        <f t="shared" si="95"/>
        <v>117850</v>
      </c>
      <c r="BK231" s="1894">
        <f t="shared" si="96"/>
        <v>0</v>
      </c>
      <c r="BL231" s="1894">
        <v>175</v>
      </c>
      <c r="BM231" s="1894">
        <v>194.72</v>
      </c>
      <c r="BN231" s="1894">
        <v>194.72</v>
      </c>
      <c r="BO231" s="1894">
        <v>0.97250000000000003</v>
      </c>
      <c r="BP231" s="1894">
        <v>51.88</v>
      </c>
      <c r="BQ231" s="1894">
        <v>72728</v>
      </c>
      <c r="BR231" s="1894">
        <f t="shared" si="97"/>
        <v>84119</v>
      </c>
      <c r="BS231" s="1894">
        <f t="shared" si="98"/>
        <v>0</v>
      </c>
      <c r="BT231" s="1894">
        <v>175</v>
      </c>
      <c r="BU231" s="1894">
        <v>137.28</v>
      </c>
      <c r="BV231" s="1894">
        <v>140</v>
      </c>
      <c r="BW231" s="1894">
        <v>0.95650000000000002</v>
      </c>
      <c r="BX231" s="1894">
        <v>50.76</v>
      </c>
      <c r="BY231" s="1894">
        <v>51840</v>
      </c>
      <c r="BZ231" s="1894">
        <f t="shared" si="99"/>
        <v>61282</v>
      </c>
      <c r="CA231" s="1894">
        <f t="shared" si="100"/>
        <v>0</v>
      </c>
      <c r="CB231" s="1894">
        <v>175</v>
      </c>
      <c r="CC231" s="1894">
        <v>126.72000000000001</v>
      </c>
      <c r="CD231" s="1894">
        <v>140</v>
      </c>
      <c r="CE231" s="1894">
        <v>0.9919</v>
      </c>
      <c r="CF231" s="1894">
        <v>47.13</v>
      </c>
      <c r="CG231" s="1894">
        <v>44434</v>
      </c>
      <c r="CH231" s="1894">
        <f t="shared" si="101"/>
        <v>56568</v>
      </c>
      <c r="CI231" s="1894">
        <f t="shared" si="102"/>
        <v>0</v>
      </c>
      <c r="CJ231" s="1894">
        <v>175</v>
      </c>
      <c r="CK231" s="1894">
        <v>128.63999999999999</v>
      </c>
      <c r="CL231" s="1894">
        <v>140</v>
      </c>
      <c r="CM231" s="1894">
        <v>0.99350000000000005</v>
      </c>
      <c r="CN231" s="1894">
        <v>54.69</v>
      </c>
      <c r="CO231" s="1894">
        <v>47278</v>
      </c>
      <c r="CP231" s="1894">
        <f t="shared" si="103"/>
        <v>51868</v>
      </c>
      <c r="CQ231" s="1894">
        <f t="shared" si="104"/>
        <v>0</v>
      </c>
      <c r="CR231" s="1924">
        <v>175</v>
      </c>
      <c r="CS231" s="1924">
        <v>132.32</v>
      </c>
      <c r="CT231" s="1924">
        <v>140</v>
      </c>
      <c r="CU231" s="1924">
        <v>0.99380000000000002</v>
      </c>
      <c r="CV231" s="1924">
        <v>53.49</v>
      </c>
      <c r="CW231" s="1924">
        <v>52662</v>
      </c>
      <c r="CX231" s="1894">
        <f t="shared" si="105"/>
        <v>59068</v>
      </c>
      <c r="CY231" s="1894">
        <f t="shared" si="106"/>
        <v>0</v>
      </c>
    </row>
    <row r="232" spans="1:103">
      <c r="A232" s="982">
        <v>421000000004</v>
      </c>
      <c r="B232" s="1923">
        <f t="shared" si="107"/>
        <v>226</v>
      </c>
      <c r="C232" s="1895" t="s">
        <v>3116</v>
      </c>
      <c r="D232" s="1894" t="s">
        <v>524</v>
      </c>
      <c r="E232" s="1895" t="s">
        <v>541</v>
      </c>
      <c r="F232" s="1894" t="s">
        <v>259</v>
      </c>
      <c r="G232" s="1924">
        <v>175</v>
      </c>
      <c r="H232" s="1894">
        <v>175</v>
      </c>
      <c r="I232" s="1894">
        <v>175.2</v>
      </c>
      <c r="J232" s="1894">
        <v>175.2</v>
      </c>
      <c r="K232" s="1894">
        <v>0.98599999999999999</v>
      </c>
      <c r="L232" s="1894">
        <v>39.68</v>
      </c>
      <c r="M232" s="1894">
        <v>50060</v>
      </c>
      <c r="N232" s="1894">
        <f t="shared" si="85"/>
        <v>75686</v>
      </c>
      <c r="O232" s="1894">
        <f t="shared" si="86"/>
        <v>0</v>
      </c>
      <c r="P232" s="1894">
        <v>175</v>
      </c>
      <c r="Q232" s="1894">
        <v>175.6</v>
      </c>
      <c r="R232" s="1894">
        <v>175.6</v>
      </c>
      <c r="S232" s="1894">
        <v>0.98299999999999998</v>
      </c>
      <c r="T232" s="1894">
        <v>38.93</v>
      </c>
      <c r="U232" s="1894">
        <v>50866</v>
      </c>
      <c r="V232" s="1894">
        <f t="shared" si="87"/>
        <v>78388</v>
      </c>
      <c r="W232" s="1894">
        <f t="shared" si="88"/>
        <v>0</v>
      </c>
      <c r="X232" s="1894">
        <v>175</v>
      </c>
      <c r="Y232" s="1894">
        <v>186.08</v>
      </c>
      <c r="Z232" s="1894">
        <v>186.08</v>
      </c>
      <c r="AA232" s="1894">
        <v>0.98119999999999996</v>
      </c>
      <c r="AB232" s="1894">
        <v>39</v>
      </c>
      <c r="AC232" s="1894">
        <v>52248</v>
      </c>
      <c r="AD232" s="1894">
        <f t="shared" si="89"/>
        <v>80387</v>
      </c>
      <c r="AE232" s="1894">
        <f t="shared" si="90"/>
        <v>0</v>
      </c>
      <c r="AF232" s="1894">
        <v>175</v>
      </c>
      <c r="AG232" s="1894">
        <v>176.48</v>
      </c>
      <c r="AH232" s="1894">
        <v>176.48</v>
      </c>
      <c r="AI232" s="1894">
        <v>0.98180000000000001</v>
      </c>
      <c r="AJ232" s="1894">
        <v>41.2</v>
      </c>
      <c r="AK232" s="1894">
        <v>54099</v>
      </c>
      <c r="AL232" s="1894">
        <f t="shared" si="108"/>
        <v>78781</v>
      </c>
      <c r="AM232" s="1894">
        <f t="shared" si="109"/>
        <v>0</v>
      </c>
      <c r="AN232" s="1894">
        <v>175</v>
      </c>
      <c r="AO232" s="1894">
        <v>181.04</v>
      </c>
      <c r="AP232" s="1894">
        <v>181.04</v>
      </c>
      <c r="AQ232" s="1894">
        <v>0.97960000000000003</v>
      </c>
      <c r="AR232" s="1894">
        <v>41.58</v>
      </c>
      <c r="AS232" s="1894">
        <v>55999</v>
      </c>
      <c r="AT232" s="1894">
        <f t="shared" si="91"/>
        <v>80816</v>
      </c>
      <c r="AU232" s="1894">
        <f t="shared" si="92"/>
        <v>0</v>
      </c>
      <c r="AV232" s="1894">
        <v>175</v>
      </c>
      <c r="AW232" s="1894">
        <v>180.56</v>
      </c>
      <c r="AX232" s="1894">
        <v>180.56</v>
      </c>
      <c r="AY232" s="1894">
        <v>0.97919999999999996</v>
      </c>
      <c r="AZ232" s="1894">
        <v>37.49</v>
      </c>
      <c r="BA232" s="1894">
        <v>48735</v>
      </c>
      <c r="BB232" s="1894">
        <f t="shared" si="93"/>
        <v>78002</v>
      </c>
      <c r="BC232" s="1894">
        <f t="shared" si="94"/>
        <v>0</v>
      </c>
      <c r="BD232" s="1894">
        <v>175</v>
      </c>
      <c r="BE232" s="1894">
        <v>68.16</v>
      </c>
      <c r="BF232" s="1894">
        <v>140</v>
      </c>
      <c r="BG232" s="1894">
        <v>0.94679999999999997</v>
      </c>
      <c r="BH232" s="1894">
        <v>7.13</v>
      </c>
      <c r="BI232" s="1894">
        <v>3614</v>
      </c>
      <c r="BJ232" s="1894">
        <f t="shared" si="95"/>
        <v>30427</v>
      </c>
      <c r="BK232" s="1894">
        <f t="shared" si="96"/>
        <v>0</v>
      </c>
      <c r="BL232" s="1894">
        <v>175</v>
      </c>
      <c r="BM232" s="1894">
        <v>15.68</v>
      </c>
      <c r="BN232" s="1894">
        <v>140</v>
      </c>
      <c r="BO232" s="1894">
        <v>0.91569999999999996</v>
      </c>
      <c r="BP232" s="1894">
        <v>16.93</v>
      </c>
      <c r="BQ232" s="1894">
        <v>1911</v>
      </c>
      <c r="BR232" s="1894">
        <f t="shared" si="97"/>
        <v>6774</v>
      </c>
      <c r="BS232" s="1894">
        <f t="shared" si="98"/>
        <v>0</v>
      </c>
      <c r="BT232" s="1894">
        <v>175</v>
      </c>
      <c r="BU232" s="1894">
        <v>16.32</v>
      </c>
      <c r="BV232" s="1894">
        <v>140</v>
      </c>
      <c r="BW232" s="1894">
        <v>0.86619999999999997</v>
      </c>
      <c r="BX232" s="1894">
        <v>19.09</v>
      </c>
      <c r="BY232" s="1894">
        <v>2318</v>
      </c>
      <c r="BZ232" s="1894">
        <f t="shared" si="99"/>
        <v>7285</v>
      </c>
      <c r="CA232" s="1894">
        <f t="shared" si="100"/>
        <v>0</v>
      </c>
      <c r="CB232" s="1894">
        <v>175</v>
      </c>
      <c r="CC232" s="1894">
        <v>168.23999999999998</v>
      </c>
      <c r="CD232" s="1894">
        <v>168.24</v>
      </c>
      <c r="CE232" s="1894">
        <v>0.97719999999999996</v>
      </c>
      <c r="CF232" s="1894">
        <v>21.2</v>
      </c>
      <c r="CG232" s="1894">
        <v>26530</v>
      </c>
      <c r="CH232" s="1894">
        <f t="shared" si="101"/>
        <v>75102</v>
      </c>
      <c r="CI232" s="1894">
        <f t="shared" si="102"/>
        <v>0</v>
      </c>
      <c r="CJ232" s="1894">
        <v>175</v>
      </c>
      <c r="CK232" s="1894">
        <v>170.72</v>
      </c>
      <c r="CL232" s="1894">
        <v>170.72</v>
      </c>
      <c r="CM232" s="1894">
        <v>0.97819999999999996</v>
      </c>
      <c r="CN232" s="1894">
        <v>31.46</v>
      </c>
      <c r="CO232" s="1894">
        <v>36087</v>
      </c>
      <c r="CP232" s="1894">
        <f t="shared" si="103"/>
        <v>68834</v>
      </c>
      <c r="CQ232" s="1894">
        <f t="shared" si="104"/>
        <v>0</v>
      </c>
      <c r="CR232" s="1924">
        <v>175</v>
      </c>
      <c r="CS232" s="1924">
        <v>166.16</v>
      </c>
      <c r="CT232" s="1924">
        <v>166.16</v>
      </c>
      <c r="CU232" s="1924">
        <v>0.98080000000000001</v>
      </c>
      <c r="CV232" s="1924">
        <v>40.6</v>
      </c>
      <c r="CW232" s="1924">
        <v>50186</v>
      </c>
      <c r="CX232" s="1894">
        <f t="shared" si="105"/>
        <v>74174</v>
      </c>
      <c r="CY232" s="1894">
        <f t="shared" si="106"/>
        <v>0</v>
      </c>
    </row>
    <row r="233" spans="1:103">
      <c r="A233" s="982">
        <v>122000000014</v>
      </c>
      <c r="B233" s="1923">
        <f t="shared" si="107"/>
        <v>227</v>
      </c>
      <c r="C233" s="1895" t="s">
        <v>3117</v>
      </c>
      <c r="D233" s="1894" t="s">
        <v>524</v>
      </c>
      <c r="E233" s="1895" t="s">
        <v>636</v>
      </c>
      <c r="F233" s="1894" t="s">
        <v>259</v>
      </c>
      <c r="G233" s="1924">
        <v>177</v>
      </c>
      <c r="H233" s="1894">
        <v>177</v>
      </c>
      <c r="I233" s="1894">
        <v>113.99999999999999</v>
      </c>
      <c r="J233" s="1894">
        <v>141.6</v>
      </c>
      <c r="K233" s="1894">
        <v>0.99719999999999998</v>
      </c>
      <c r="L233" s="1894">
        <v>50.65</v>
      </c>
      <c r="M233" s="1894">
        <v>42960</v>
      </c>
      <c r="N233" s="1894">
        <f t="shared" si="85"/>
        <v>49248</v>
      </c>
      <c r="O233" s="1894">
        <f t="shared" si="86"/>
        <v>0</v>
      </c>
      <c r="P233" s="1894">
        <v>177</v>
      </c>
      <c r="Q233" s="1894">
        <v>120.6</v>
      </c>
      <c r="R233" s="1894">
        <v>141.6</v>
      </c>
      <c r="S233" s="1894">
        <v>0.99790000000000001</v>
      </c>
      <c r="T233" s="1894">
        <v>49.54</v>
      </c>
      <c r="U233" s="1894">
        <v>45884</v>
      </c>
      <c r="V233" s="1894">
        <f t="shared" si="87"/>
        <v>53836</v>
      </c>
      <c r="W233" s="1894">
        <f t="shared" si="88"/>
        <v>0</v>
      </c>
      <c r="X233" s="1894">
        <v>177</v>
      </c>
      <c r="Y233" s="1894">
        <v>107.11999999999999</v>
      </c>
      <c r="Z233" s="1894">
        <v>141.6</v>
      </c>
      <c r="AA233" s="1894">
        <v>0.99650000000000005</v>
      </c>
      <c r="AB233" s="1894">
        <v>51.9</v>
      </c>
      <c r="AC233" s="1894">
        <v>42700</v>
      </c>
      <c r="AD233" s="1894">
        <f t="shared" si="89"/>
        <v>46276</v>
      </c>
      <c r="AE233" s="1894">
        <f t="shared" si="90"/>
        <v>0</v>
      </c>
      <c r="AF233" s="1894">
        <v>177</v>
      </c>
      <c r="AG233" s="1894">
        <v>95.04</v>
      </c>
      <c r="AH233" s="1894">
        <v>141.6</v>
      </c>
      <c r="AI233" s="1894">
        <v>0.99529999999999996</v>
      </c>
      <c r="AJ233" s="1894">
        <v>56.4</v>
      </c>
      <c r="AK233" s="1894">
        <v>37306</v>
      </c>
      <c r="AL233" s="1894">
        <f t="shared" si="108"/>
        <v>42426</v>
      </c>
      <c r="AM233" s="1894">
        <f t="shared" si="109"/>
        <v>0</v>
      </c>
      <c r="AN233" s="1894">
        <v>177</v>
      </c>
      <c r="AO233" s="1894">
        <v>100.72000000000001</v>
      </c>
      <c r="AP233" s="1894">
        <v>141.6</v>
      </c>
      <c r="AQ233" s="1894">
        <v>0.99519999999999997</v>
      </c>
      <c r="AR233" s="1894">
        <v>51.72</v>
      </c>
      <c r="AS233" s="1894">
        <v>35004</v>
      </c>
      <c r="AT233" s="1894">
        <f t="shared" si="91"/>
        <v>44961</v>
      </c>
      <c r="AU233" s="1894">
        <f t="shared" si="92"/>
        <v>0</v>
      </c>
      <c r="AV233" s="1894">
        <v>177</v>
      </c>
      <c r="AW233" s="1894">
        <v>114.32</v>
      </c>
      <c r="AX233" s="1894">
        <v>141.6</v>
      </c>
      <c r="AY233" s="1894">
        <v>0.99990000000000001</v>
      </c>
      <c r="AZ233" s="1894">
        <v>46.76</v>
      </c>
      <c r="BA233" s="1894">
        <v>42336</v>
      </c>
      <c r="BB233" s="1894">
        <f t="shared" si="93"/>
        <v>49386</v>
      </c>
      <c r="BC233" s="1894">
        <f t="shared" si="94"/>
        <v>0</v>
      </c>
      <c r="BD233" s="1894">
        <v>177</v>
      </c>
      <c r="BE233" s="1894">
        <v>114.64000000000001</v>
      </c>
      <c r="BF233" s="1894">
        <v>141.6</v>
      </c>
      <c r="BG233" s="1894">
        <v>0.99980000000000002</v>
      </c>
      <c r="BH233" s="1894">
        <v>44.86</v>
      </c>
      <c r="BI233" s="1894">
        <v>41965</v>
      </c>
      <c r="BJ233" s="1894">
        <f t="shared" si="95"/>
        <v>51175</v>
      </c>
      <c r="BK233" s="1894">
        <f t="shared" si="96"/>
        <v>0</v>
      </c>
      <c r="BL233" s="1894">
        <v>177</v>
      </c>
      <c r="BM233" s="1894">
        <v>101.44</v>
      </c>
      <c r="BN233" s="1894">
        <v>141.6</v>
      </c>
      <c r="BO233" s="1894">
        <v>0.99990000000000001</v>
      </c>
      <c r="BP233" s="1894">
        <v>47.65</v>
      </c>
      <c r="BQ233" s="1894">
        <v>34805</v>
      </c>
      <c r="BR233" s="1894">
        <f t="shared" si="97"/>
        <v>43822</v>
      </c>
      <c r="BS233" s="1894">
        <f t="shared" si="98"/>
        <v>0</v>
      </c>
      <c r="BT233" s="1894">
        <v>177</v>
      </c>
      <c r="BU233" s="1894">
        <v>91.84</v>
      </c>
      <c r="BV233" s="1894">
        <v>141.6</v>
      </c>
      <c r="BW233" s="1894">
        <v>0.99990000000000001</v>
      </c>
      <c r="BX233" s="1894">
        <v>52.2</v>
      </c>
      <c r="BY233" s="1894">
        <v>35668</v>
      </c>
      <c r="BZ233" s="1894">
        <f t="shared" si="99"/>
        <v>40997</v>
      </c>
      <c r="CA233" s="1894">
        <f t="shared" si="100"/>
        <v>0</v>
      </c>
      <c r="CB233" s="1894">
        <v>177</v>
      </c>
      <c r="CC233" s="1894">
        <v>69.679999999999993</v>
      </c>
      <c r="CD233" s="1894">
        <v>141.6</v>
      </c>
      <c r="CE233" s="1894">
        <v>0.99990000000000001</v>
      </c>
      <c r="CF233" s="1894">
        <v>68.84</v>
      </c>
      <c r="CG233" s="1894">
        <v>35687</v>
      </c>
      <c r="CH233" s="1894">
        <f t="shared" si="101"/>
        <v>31105</v>
      </c>
      <c r="CI233" s="1894">
        <f t="shared" si="102"/>
        <v>4582</v>
      </c>
      <c r="CJ233" s="1894">
        <v>177</v>
      </c>
      <c r="CK233" s="1894">
        <v>113.44000000000001</v>
      </c>
      <c r="CL233" s="1894">
        <v>141.6</v>
      </c>
      <c r="CM233" s="1894">
        <v>0.99990000000000001</v>
      </c>
      <c r="CN233" s="1894">
        <v>45.31</v>
      </c>
      <c r="CO233" s="1894">
        <v>34544</v>
      </c>
      <c r="CP233" s="1894">
        <f t="shared" si="103"/>
        <v>45739</v>
      </c>
      <c r="CQ233" s="1894">
        <f t="shared" si="104"/>
        <v>0</v>
      </c>
      <c r="CR233" s="1924">
        <v>177</v>
      </c>
      <c r="CS233" s="1924">
        <v>104.71999999999998</v>
      </c>
      <c r="CT233" s="1924">
        <v>141.6</v>
      </c>
      <c r="CU233" s="1924">
        <v>0.99990000000000001</v>
      </c>
      <c r="CV233" s="1924">
        <v>49.45</v>
      </c>
      <c r="CW233" s="1924">
        <v>38526</v>
      </c>
      <c r="CX233" s="1894">
        <f t="shared" si="105"/>
        <v>46747</v>
      </c>
      <c r="CY233" s="1894">
        <f t="shared" si="106"/>
        <v>0</v>
      </c>
    </row>
    <row r="234" spans="1:103">
      <c r="A234" s="982">
        <v>122000000102</v>
      </c>
      <c r="B234" s="1923">
        <f t="shared" si="107"/>
        <v>228</v>
      </c>
      <c r="C234" s="1895" t="s">
        <v>3118</v>
      </c>
      <c r="D234" s="1894" t="s">
        <v>524</v>
      </c>
      <c r="E234" s="1895" t="s">
        <v>636</v>
      </c>
      <c r="F234" s="1894" t="s">
        <v>259</v>
      </c>
      <c r="G234" s="1924">
        <v>177.77</v>
      </c>
      <c r="H234" s="1894">
        <v>0</v>
      </c>
      <c r="I234" s="1894">
        <v>0</v>
      </c>
      <c r="J234" s="1894">
        <v>0</v>
      </c>
      <c r="K234" s="1894">
        <v>0</v>
      </c>
      <c r="L234" s="1894">
        <v>0</v>
      </c>
      <c r="M234" s="1894">
        <v>0</v>
      </c>
      <c r="N234" s="1894">
        <f t="shared" si="85"/>
        <v>0</v>
      </c>
      <c r="O234" s="1894">
        <f t="shared" si="86"/>
        <v>0</v>
      </c>
      <c r="P234" s="1894">
        <v>0</v>
      </c>
      <c r="Q234" s="1894">
        <v>0</v>
      </c>
      <c r="R234" s="1894">
        <v>0</v>
      </c>
      <c r="S234" s="1894">
        <v>0</v>
      </c>
      <c r="T234" s="1894">
        <v>0</v>
      </c>
      <c r="U234" s="1894">
        <v>0</v>
      </c>
      <c r="V234" s="1894">
        <f t="shared" si="87"/>
        <v>0</v>
      </c>
      <c r="W234" s="1894">
        <f t="shared" si="88"/>
        <v>0</v>
      </c>
      <c r="X234" s="1894">
        <v>0</v>
      </c>
      <c r="Y234" s="1894">
        <v>0</v>
      </c>
      <c r="Z234" s="1894">
        <v>0</v>
      </c>
      <c r="AA234" s="1894">
        <v>0</v>
      </c>
      <c r="AB234" s="1894">
        <v>0</v>
      </c>
      <c r="AC234" s="1894">
        <v>0</v>
      </c>
      <c r="AD234" s="1894">
        <f t="shared" si="89"/>
        <v>0</v>
      </c>
      <c r="AE234" s="1894">
        <f t="shared" si="90"/>
        <v>0</v>
      </c>
      <c r="AF234" s="1894">
        <v>0</v>
      </c>
      <c r="AG234" s="1894">
        <v>0</v>
      </c>
      <c r="AH234" s="1894">
        <v>0</v>
      </c>
      <c r="AI234" s="1894">
        <v>0</v>
      </c>
      <c r="AJ234" s="1894">
        <v>0</v>
      </c>
      <c r="AK234" s="1894">
        <v>0</v>
      </c>
      <c r="AL234" s="1894">
        <f t="shared" si="108"/>
        <v>0</v>
      </c>
      <c r="AM234" s="1894">
        <f t="shared" si="109"/>
        <v>0</v>
      </c>
      <c r="AN234" s="1894">
        <v>0</v>
      </c>
      <c r="AO234" s="1894">
        <v>0</v>
      </c>
      <c r="AP234" s="1894">
        <v>0</v>
      </c>
      <c r="AQ234" s="1894">
        <v>0</v>
      </c>
      <c r="AR234" s="1894">
        <v>0</v>
      </c>
      <c r="AS234" s="1894">
        <v>0</v>
      </c>
      <c r="AT234" s="1894">
        <f t="shared" si="91"/>
        <v>0</v>
      </c>
      <c r="AU234" s="1894">
        <f t="shared" si="92"/>
        <v>0</v>
      </c>
      <c r="AV234" s="1894">
        <v>0</v>
      </c>
      <c r="AW234" s="1894">
        <v>0</v>
      </c>
      <c r="AX234" s="1894">
        <v>0</v>
      </c>
      <c r="AY234" s="1894">
        <v>0</v>
      </c>
      <c r="AZ234" s="1894">
        <v>0</v>
      </c>
      <c r="BA234" s="1894">
        <v>0</v>
      </c>
      <c r="BB234" s="1894">
        <f t="shared" si="93"/>
        <v>0</v>
      </c>
      <c r="BC234" s="1894">
        <f t="shared" si="94"/>
        <v>0</v>
      </c>
      <c r="BD234" s="1894">
        <v>0</v>
      </c>
      <c r="BE234" s="1894">
        <v>0</v>
      </c>
      <c r="BF234" s="1894">
        <v>0</v>
      </c>
      <c r="BG234" s="1894">
        <v>0</v>
      </c>
      <c r="BH234" s="1894">
        <v>0</v>
      </c>
      <c r="BI234" s="1894">
        <v>0</v>
      </c>
      <c r="BJ234" s="1894">
        <f t="shared" si="95"/>
        <v>0</v>
      </c>
      <c r="BK234" s="1894">
        <f t="shared" si="96"/>
        <v>0</v>
      </c>
      <c r="BL234" s="1894">
        <v>0</v>
      </c>
      <c r="BM234" s="1894">
        <v>0</v>
      </c>
      <c r="BN234" s="1894">
        <v>0</v>
      </c>
      <c r="BO234" s="1894">
        <v>0</v>
      </c>
      <c r="BP234" s="1894">
        <v>0</v>
      </c>
      <c r="BQ234" s="1894">
        <v>0</v>
      </c>
      <c r="BR234" s="1894">
        <f t="shared" si="97"/>
        <v>0</v>
      </c>
      <c r="BS234" s="1894">
        <f t="shared" si="98"/>
        <v>0</v>
      </c>
      <c r="BT234" s="1894">
        <v>0</v>
      </c>
      <c r="BU234" s="1894">
        <v>0</v>
      </c>
      <c r="BV234" s="1894">
        <v>0</v>
      </c>
      <c r="BW234" s="1894">
        <v>0</v>
      </c>
      <c r="BX234" s="1894">
        <v>0</v>
      </c>
      <c r="BY234" s="1894">
        <v>0</v>
      </c>
      <c r="BZ234" s="1894">
        <f t="shared" si="99"/>
        <v>0</v>
      </c>
      <c r="CA234" s="1894">
        <f t="shared" si="100"/>
        <v>0</v>
      </c>
      <c r="CB234" s="1894">
        <v>177.77</v>
      </c>
      <c r="CC234" s="1894">
        <v>70.88</v>
      </c>
      <c r="CD234" s="1894">
        <v>142.21600000000001</v>
      </c>
      <c r="CE234" s="1894">
        <v>0.99970000000000003</v>
      </c>
      <c r="CF234" s="1894">
        <v>37.479999999999997</v>
      </c>
      <c r="CG234" s="1894">
        <v>19128</v>
      </c>
      <c r="CH234" s="1894">
        <f t="shared" si="101"/>
        <v>31641</v>
      </c>
      <c r="CI234" s="1894">
        <f t="shared" si="102"/>
        <v>0</v>
      </c>
      <c r="CJ234" s="1894">
        <v>177.77</v>
      </c>
      <c r="CK234" s="1894">
        <v>87.039999999999992</v>
      </c>
      <c r="CL234" s="1894">
        <v>142.21600000000001</v>
      </c>
      <c r="CM234" s="1894">
        <v>0.99990000000000001</v>
      </c>
      <c r="CN234" s="1894">
        <v>37.799999999999997</v>
      </c>
      <c r="CO234" s="1894">
        <v>22112</v>
      </c>
      <c r="CP234" s="1894">
        <f t="shared" si="103"/>
        <v>35095</v>
      </c>
      <c r="CQ234" s="1894">
        <f t="shared" si="104"/>
        <v>0</v>
      </c>
      <c r="CR234" s="1924">
        <v>177.77</v>
      </c>
      <c r="CS234" s="1924">
        <v>97.11999999999999</v>
      </c>
      <c r="CT234" s="1924">
        <v>142.21600000000001</v>
      </c>
      <c r="CU234" s="1924">
        <v>0.99990000000000001</v>
      </c>
      <c r="CV234" s="1924">
        <v>37.43</v>
      </c>
      <c r="CW234" s="1924">
        <v>27048</v>
      </c>
      <c r="CX234" s="1894">
        <f t="shared" si="105"/>
        <v>43354</v>
      </c>
      <c r="CY234" s="1894">
        <f t="shared" si="106"/>
        <v>0</v>
      </c>
    </row>
    <row r="235" spans="1:103">
      <c r="A235" s="982">
        <v>622000000206</v>
      </c>
      <c r="B235" s="1923">
        <f t="shared" si="107"/>
        <v>229</v>
      </c>
      <c r="C235" s="1895" t="s">
        <v>3119</v>
      </c>
      <c r="D235" s="1894" t="s">
        <v>524</v>
      </c>
      <c r="E235" s="1895" t="s">
        <v>541</v>
      </c>
      <c r="F235" s="1894" t="s">
        <v>259</v>
      </c>
      <c r="G235" s="1924">
        <v>178</v>
      </c>
      <c r="H235" s="1894">
        <v>178</v>
      </c>
      <c r="I235" s="1894">
        <v>78.08</v>
      </c>
      <c r="J235" s="1894">
        <v>142.4</v>
      </c>
      <c r="K235" s="1894">
        <v>0.89780000000000004</v>
      </c>
      <c r="L235" s="1894">
        <v>22.68</v>
      </c>
      <c r="M235" s="1894">
        <v>11902</v>
      </c>
      <c r="N235" s="1894">
        <f t="shared" si="85"/>
        <v>33731</v>
      </c>
      <c r="O235" s="1894">
        <f t="shared" si="86"/>
        <v>0</v>
      </c>
      <c r="P235" s="1894">
        <v>178</v>
      </c>
      <c r="Q235" s="1894">
        <v>76.959999999999994</v>
      </c>
      <c r="R235" s="1894">
        <v>142.4</v>
      </c>
      <c r="S235" s="1894">
        <v>0.91779999999999995</v>
      </c>
      <c r="T235" s="1894">
        <v>24.24</v>
      </c>
      <c r="U235" s="1894">
        <v>12534</v>
      </c>
      <c r="V235" s="1894">
        <f t="shared" si="87"/>
        <v>34355</v>
      </c>
      <c r="W235" s="1894">
        <f t="shared" si="88"/>
        <v>0</v>
      </c>
      <c r="X235" s="1894">
        <v>178</v>
      </c>
      <c r="Y235" s="1894">
        <v>80.16</v>
      </c>
      <c r="Z235" s="1894">
        <v>142.4</v>
      </c>
      <c r="AA235" s="1894">
        <v>0.94969999999999999</v>
      </c>
      <c r="AB235" s="1894">
        <v>20.87</v>
      </c>
      <c r="AC235" s="1894">
        <v>14858</v>
      </c>
      <c r="AD235" s="1894">
        <f t="shared" si="89"/>
        <v>34629</v>
      </c>
      <c r="AE235" s="1894">
        <f t="shared" si="90"/>
        <v>0</v>
      </c>
      <c r="AF235" s="1894">
        <v>178</v>
      </c>
      <c r="AG235" s="1894">
        <v>89.44</v>
      </c>
      <c r="AH235" s="1894">
        <v>142.4</v>
      </c>
      <c r="AI235" s="1894">
        <v>0.94040000000000001</v>
      </c>
      <c r="AJ235" s="1894">
        <v>23.07</v>
      </c>
      <c r="AK235" s="1894">
        <v>15846</v>
      </c>
      <c r="AL235" s="1894">
        <f t="shared" si="108"/>
        <v>39926</v>
      </c>
      <c r="AM235" s="1894">
        <f t="shared" si="109"/>
        <v>0</v>
      </c>
      <c r="AN235" s="1894">
        <v>178</v>
      </c>
      <c r="AO235" s="1894">
        <v>77.28</v>
      </c>
      <c r="AP235" s="1894">
        <v>142.4</v>
      </c>
      <c r="AQ235" s="1894">
        <v>0.83279999999999998</v>
      </c>
      <c r="AR235" s="1894">
        <v>17.760000000000002</v>
      </c>
      <c r="AS235" s="1894">
        <v>9882</v>
      </c>
      <c r="AT235" s="1894">
        <f t="shared" si="91"/>
        <v>34498</v>
      </c>
      <c r="AU235" s="1894">
        <f t="shared" si="92"/>
        <v>0</v>
      </c>
      <c r="AV235" s="1894">
        <v>178</v>
      </c>
      <c r="AW235" s="1894">
        <v>94.08</v>
      </c>
      <c r="AX235" s="1894">
        <v>142.4</v>
      </c>
      <c r="AY235" s="1894">
        <v>0.36220000000000002</v>
      </c>
      <c r="AZ235" s="1894">
        <v>52.59</v>
      </c>
      <c r="BA235" s="1894">
        <v>32060</v>
      </c>
      <c r="BB235" s="1894">
        <f t="shared" si="93"/>
        <v>40643</v>
      </c>
      <c r="BC235" s="1894">
        <f t="shared" si="94"/>
        <v>0</v>
      </c>
      <c r="BD235" s="1894">
        <v>178</v>
      </c>
      <c r="BE235" s="1894">
        <v>87.36</v>
      </c>
      <c r="BF235" s="1894">
        <v>142.4</v>
      </c>
      <c r="BG235" s="1894">
        <v>0.64490000000000003</v>
      </c>
      <c r="BH235" s="1894">
        <v>29.55</v>
      </c>
      <c r="BI235" s="1894">
        <v>21688</v>
      </c>
      <c r="BJ235" s="1894">
        <f t="shared" si="95"/>
        <v>38998</v>
      </c>
      <c r="BK235" s="1894">
        <f t="shared" si="96"/>
        <v>0</v>
      </c>
      <c r="BL235" s="1894">
        <v>178</v>
      </c>
      <c r="BM235" s="1894">
        <v>86.88</v>
      </c>
      <c r="BN235" s="1894">
        <v>142.4</v>
      </c>
      <c r="BO235" s="1894">
        <v>0.92510000000000003</v>
      </c>
      <c r="BP235" s="1894">
        <v>32.32</v>
      </c>
      <c r="BQ235" s="1894">
        <v>20220</v>
      </c>
      <c r="BR235" s="1894">
        <f t="shared" si="97"/>
        <v>37532</v>
      </c>
      <c r="BS235" s="1894">
        <f t="shared" si="98"/>
        <v>0</v>
      </c>
      <c r="BT235" s="1894">
        <v>178</v>
      </c>
      <c r="BU235" s="1894">
        <v>87.039999999999992</v>
      </c>
      <c r="BV235" s="1894">
        <v>142.4</v>
      </c>
      <c r="BW235" s="1894">
        <v>0.80910000000000004</v>
      </c>
      <c r="BX235" s="1894">
        <v>40.409999999999997</v>
      </c>
      <c r="BY235" s="1894">
        <v>20262</v>
      </c>
      <c r="BZ235" s="1894">
        <f t="shared" si="99"/>
        <v>38855</v>
      </c>
      <c r="CA235" s="1894">
        <f t="shared" si="100"/>
        <v>0</v>
      </c>
      <c r="CB235" s="1894">
        <v>178</v>
      </c>
      <c r="CC235" s="1894">
        <v>65.12</v>
      </c>
      <c r="CD235" s="1894">
        <v>142.4</v>
      </c>
      <c r="CE235" s="1894">
        <v>0.9042</v>
      </c>
      <c r="CF235" s="1894">
        <v>39.07</v>
      </c>
      <c r="CG235" s="1894">
        <v>18320</v>
      </c>
      <c r="CH235" s="1894">
        <f t="shared" si="101"/>
        <v>29070</v>
      </c>
      <c r="CI235" s="1894">
        <f t="shared" si="102"/>
        <v>0</v>
      </c>
      <c r="CJ235" s="1894">
        <v>178</v>
      </c>
      <c r="CK235" s="1894">
        <v>46.08</v>
      </c>
      <c r="CL235" s="1894">
        <v>142.4</v>
      </c>
      <c r="CM235" s="1894">
        <v>0.90249999999999997</v>
      </c>
      <c r="CN235" s="1894">
        <v>38.549999999999997</v>
      </c>
      <c r="CO235" s="1894">
        <v>13216</v>
      </c>
      <c r="CP235" s="1894">
        <f t="shared" si="103"/>
        <v>18579</v>
      </c>
      <c r="CQ235" s="1894">
        <f t="shared" si="104"/>
        <v>0</v>
      </c>
      <c r="CR235" s="1924">
        <v>178</v>
      </c>
      <c r="CS235" s="1924">
        <v>64.48</v>
      </c>
      <c r="CT235" s="1924">
        <v>142.4</v>
      </c>
      <c r="CU235" s="1924">
        <v>0.87880000000000003</v>
      </c>
      <c r="CV235" s="1924">
        <v>34.36</v>
      </c>
      <c r="CW235" s="1924">
        <v>15420</v>
      </c>
      <c r="CX235" s="1894">
        <f t="shared" si="105"/>
        <v>28784</v>
      </c>
      <c r="CY235" s="1894">
        <f t="shared" si="106"/>
        <v>0</v>
      </c>
    </row>
    <row r="236" spans="1:103">
      <c r="A236" s="982">
        <v>121000000097</v>
      </c>
      <c r="B236" s="1923">
        <f t="shared" si="107"/>
        <v>230</v>
      </c>
      <c r="C236" s="1895" t="s">
        <v>3120</v>
      </c>
      <c r="D236" s="1894" t="s">
        <v>524</v>
      </c>
      <c r="E236" s="1895" t="s">
        <v>2966</v>
      </c>
      <c r="F236" s="1894" t="s">
        <v>259</v>
      </c>
      <c r="G236" s="1924">
        <v>178</v>
      </c>
      <c r="H236" s="1894">
        <v>178</v>
      </c>
      <c r="I236" s="1894">
        <v>88.8</v>
      </c>
      <c r="J236" s="1894">
        <v>178</v>
      </c>
      <c r="K236" s="1894">
        <v>0.81499999999999995</v>
      </c>
      <c r="L236" s="1894">
        <v>0</v>
      </c>
      <c r="M236" s="1894">
        <v>1222</v>
      </c>
      <c r="N236" s="1894">
        <f t="shared" si="85"/>
        <v>38362</v>
      </c>
      <c r="O236" s="1894">
        <f t="shared" si="86"/>
        <v>0</v>
      </c>
      <c r="P236" s="1894">
        <v>178</v>
      </c>
      <c r="Q236" s="1894">
        <v>95.84</v>
      </c>
      <c r="R236" s="1894">
        <v>178</v>
      </c>
      <c r="S236" s="1894">
        <v>0.80820000000000003</v>
      </c>
      <c r="T236" s="1894">
        <v>0</v>
      </c>
      <c r="U236" s="1894">
        <v>5498</v>
      </c>
      <c r="V236" s="1894">
        <f t="shared" si="87"/>
        <v>42783</v>
      </c>
      <c r="W236" s="1894">
        <f t="shared" si="88"/>
        <v>0</v>
      </c>
      <c r="X236" s="1894">
        <v>178</v>
      </c>
      <c r="Y236" s="1894">
        <v>14.24</v>
      </c>
      <c r="Z236" s="1894">
        <v>178</v>
      </c>
      <c r="AA236" s="1894">
        <v>0.87150000000000005</v>
      </c>
      <c r="AB236" s="1894">
        <v>0</v>
      </c>
      <c r="AC236" s="1894">
        <v>732</v>
      </c>
      <c r="AD236" s="1894">
        <f t="shared" si="89"/>
        <v>6152</v>
      </c>
      <c r="AE236" s="1894">
        <f t="shared" si="90"/>
        <v>0</v>
      </c>
      <c r="AF236" s="1894">
        <v>178</v>
      </c>
      <c r="AG236" s="1894">
        <v>81.12</v>
      </c>
      <c r="AH236" s="1894">
        <v>178</v>
      </c>
      <c r="AI236" s="1894">
        <v>0.80259999999999998</v>
      </c>
      <c r="AJ236" s="1894">
        <v>0</v>
      </c>
      <c r="AK236" s="1894">
        <v>2696</v>
      </c>
      <c r="AL236" s="1894">
        <f t="shared" si="108"/>
        <v>36212</v>
      </c>
      <c r="AM236" s="1894">
        <f t="shared" si="109"/>
        <v>0</v>
      </c>
      <c r="AN236" s="1894">
        <v>178</v>
      </c>
      <c r="AO236" s="1894">
        <v>86.88</v>
      </c>
      <c r="AP236" s="1894">
        <v>178</v>
      </c>
      <c r="AQ236" s="1894">
        <v>0.7792</v>
      </c>
      <c r="AR236" s="1894">
        <v>0</v>
      </c>
      <c r="AS236" s="1894">
        <v>5734</v>
      </c>
      <c r="AT236" s="1894">
        <f t="shared" si="91"/>
        <v>38783</v>
      </c>
      <c r="AU236" s="1894">
        <f t="shared" si="92"/>
        <v>0</v>
      </c>
      <c r="AV236" s="1894">
        <v>178</v>
      </c>
      <c r="AW236" s="1894">
        <v>95.199999999999989</v>
      </c>
      <c r="AX236" s="1894">
        <v>178</v>
      </c>
      <c r="AY236" s="1894">
        <v>0.76160000000000005</v>
      </c>
      <c r="AZ236" s="1894">
        <v>0</v>
      </c>
      <c r="BA236" s="1894">
        <v>7384</v>
      </c>
      <c r="BB236" s="1894">
        <f t="shared" si="93"/>
        <v>41126</v>
      </c>
      <c r="BC236" s="1894">
        <f t="shared" si="94"/>
        <v>0</v>
      </c>
      <c r="BD236" s="1894">
        <v>178</v>
      </c>
      <c r="BE236" s="1894">
        <v>2.4</v>
      </c>
      <c r="BF236" s="1894">
        <v>178</v>
      </c>
      <c r="BG236" s="1894">
        <v>0.80779999999999996</v>
      </c>
      <c r="BH236" s="1894">
        <v>0</v>
      </c>
      <c r="BI236" s="1894">
        <v>614</v>
      </c>
      <c r="BJ236" s="1894">
        <f t="shared" si="95"/>
        <v>1071</v>
      </c>
      <c r="BK236" s="1894">
        <f t="shared" si="96"/>
        <v>0</v>
      </c>
      <c r="BL236" s="1894">
        <v>178</v>
      </c>
      <c r="BM236" s="1894">
        <v>2.4</v>
      </c>
      <c r="BN236" s="1894">
        <v>178</v>
      </c>
      <c r="BO236" s="1894">
        <v>0.66890000000000005</v>
      </c>
      <c r="BP236" s="1894">
        <v>0</v>
      </c>
      <c r="BQ236" s="1894">
        <v>858</v>
      </c>
      <c r="BR236" s="1894">
        <f t="shared" si="97"/>
        <v>1037</v>
      </c>
      <c r="BS236" s="1894">
        <f t="shared" si="98"/>
        <v>0</v>
      </c>
      <c r="BT236" s="1894">
        <v>178</v>
      </c>
      <c r="BU236" s="1894">
        <v>2.2399999999999998</v>
      </c>
      <c r="BV236" s="1894">
        <v>178</v>
      </c>
      <c r="BW236" s="1894">
        <v>0.65959999999999996</v>
      </c>
      <c r="BX236" s="1894">
        <v>0</v>
      </c>
      <c r="BY236" s="1894">
        <v>764</v>
      </c>
      <c r="BZ236" s="1894">
        <f t="shared" si="99"/>
        <v>1000</v>
      </c>
      <c r="CA236" s="1894">
        <f t="shared" si="100"/>
        <v>0</v>
      </c>
      <c r="CB236" s="1894">
        <v>178</v>
      </c>
      <c r="CC236" s="1894">
        <v>73.599999999999994</v>
      </c>
      <c r="CD236" s="1894">
        <v>178</v>
      </c>
      <c r="CE236" s="1894">
        <v>0.79630000000000001</v>
      </c>
      <c r="CF236" s="1894">
        <v>0</v>
      </c>
      <c r="CG236" s="1894">
        <v>2504</v>
      </c>
      <c r="CH236" s="1894">
        <f t="shared" si="101"/>
        <v>32855</v>
      </c>
      <c r="CI236" s="1894">
        <f t="shared" si="102"/>
        <v>0</v>
      </c>
      <c r="CJ236" s="1894">
        <v>178</v>
      </c>
      <c r="CK236" s="1894">
        <v>110.72</v>
      </c>
      <c r="CL236" s="1894">
        <v>178</v>
      </c>
      <c r="CM236" s="1894">
        <v>0.75439999999999996</v>
      </c>
      <c r="CN236" s="1894">
        <v>0</v>
      </c>
      <c r="CO236" s="1894">
        <v>17114</v>
      </c>
      <c r="CP236" s="1894">
        <f t="shared" si="103"/>
        <v>44642</v>
      </c>
      <c r="CQ236" s="1894">
        <f t="shared" si="104"/>
        <v>0</v>
      </c>
      <c r="CR236" s="1924">
        <v>178</v>
      </c>
      <c r="CS236" s="1924">
        <v>102.71999999999998</v>
      </c>
      <c r="CT236" s="1924">
        <v>178</v>
      </c>
      <c r="CU236" s="1924">
        <v>0.75170000000000003</v>
      </c>
      <c r="CV236" s="1924">
        <v>0</v>
      </c>
      <c r="CW236" s="1924">
        <v>31732</v>
      </c>
      <c r="CX236" s="1894">
        <f t="shared" si="105"/>
        <v>45854</v>
      </c>
      <c r="CY236" s="1894">
        <f t="shared" si="106"/>
        <v>0</v>
      </c>
    </row>
    <row r="237" spans="1:103">
      <c r="A237" s="982">
        <v>122000000098</v>
      </c>
      <c r="B237" s="1923">
        <f t="shared" si="107"/>
        <v>231</v>
      </c>
      <c r="C237" s="1895" t="s">
        <v>3121</v>
      </c>
      <c r="D237" s="1894" t="s">
        <v>524</v>
      </c>
      <c r="E237" s="1895" t="s">
        <v>2966</v>
      </c>
      <c r="F237" s="1894" t="s">
        <v>259</v>
      </c>
      <c r="G237" s="1924">
        <v>178</v>
      </c>
      <c r="H237" s="1894">
        <v>178</v>
      </c>
      <c r="I237" s="1894">
        <v>64.319999999999993</v>
      </c>
      <c r="J237" s="1894">
        <v>142.4</v>
      </c>
      <c r="K237" s="1894">
        <v>0.79269999999999996</v>
      </c>
      <c r="L237" s="1894">
        <v>34.21</v>
      </c>
      <c r="M237" s="1894">
        <v>16898</v>
      </c>
      <c r="N237" s="1894">
        <f t="shared" si="85"/>
        <v>27786</v>
      </c>
      <c r="O237" s="1894">
        <f t="shared" si="86"/>
        <v>0</v>
      </c>
      <c r="P237" s="1894">
        <v>178</v>
      </c>
      <c r="Q237" s="1894">
        <v>91.2</v>
      </c>
      <c r="R237" s="1894">
        <v>142.4</v>
      </c>
      <c r="S237" s="1894">
        <v>0.75239999999999996</v>
      </c>
      <c r="T237" s="1894">
        <v>21.03</v>
      </c>
      <c r="U237" s="1894">
        <v>14270</v>
      </c>
      <c r="V237" s="1894">
        <f t="shared" si="87"/>
        <v>40712</v>
      </c>
      <c r="W237" s="1894">
        <f t="shared" si="88"/>
        <v>0</v>
      </c>
      <c r="X237" s="1894">
        <v>178</v>
      </c>
      <c r="Y237" s="1894">
        <v>106.4</v>
      </c>
      <c r="Z237" s="1894">
        <v>142.4</v>
      </c>
      <c r="AA237" s="1894">
        <v>0.74870000000000003</v>
      </c>
      <c r="AB237" s="1894">
        <v>41.23</v>
      </c>
      <c r="AC237" s="1894">
        <v>31588</v>
      </c>
      <c r="AD237" s="1894">
        <f t="shared" si="89"/>
        <v>45965</v>
      </c>
      <c r="AE237" s="1894">
        <f t="shared" si="90"/>
        <v>0</v>
      </c>
      <c r="AF237" s="1894">
        <v>178</v>
      </c>
      <c r="AG237" s="1894">
        <v>94.88</v>
      </c>
      <c r="AH237" s="1894">
        <v>142.4</v>
      </c>
      <c r="AI237" s="1894">
        <v>0.73219999999999996</v>
      </c>
      <c r="AJ237" s="1894">
        <v>13.89</v>
      </c>
      <c r="AK237" s="1894">
        <v>8538</v>
      </c>
      <c r="AL237" s="1894">
        <f t="shared" si="108"/>
        <v>42354</v>
      </c>
      <c r="AM237" s="1894">
        <f t="shared" si="109"/>
        <v>0</v>
      </c>
      <c r="AN237" s="1894">
        <v>178</v>
      </c>
      <c r="AO237" s="1894">
        <v>65.2</v>
      </c>
      <c r="AP237" s="1894">
        <v>142.4</v>
      </c>
      <c r="AQ237" s="1894">
        <v>0.65600000000000003</v>
      </c>
      <c r="AR237" s="1894">
        <v>11.29</v>
      </c>
      <c r="AS237" s="1894">
        <v>6006</v>
      </c>
      <c r="AT237" s="1894">
        <f t="shared" si="91"/>
        <v>29105</v>
      </c>
      <c r="AU237" s="1894">
        <f t="shared" si="92"/>
        <v>0</v>
      </c>
      <c r="AV237" s="1894">
        <v>178</v>
      </c>
      <c r="AW237" s="1894">
        <v>71.2</v>
      </c>
      <c r="AX237" s="1894">
        <v>142.4</v>
      </c>
      <c r="AY237" s="1894">
        <v>0.66590000000000005</v>
      </c>
      <c r="AZ237" s="1894">
        <v>28.9</v>
      </c>
      <c r="BA237" s="1894">
        <v>13334</v>
      </c>
      <c r="BB237" s="1894">
        <f t="shared" si="93"/>
        <v>30758</v>
      </c>
      <c r="BC237" s="1894">
        <f t="shared" si="94"/>
        <v>0</v>
      </c>
      <c r="BD237" s="1894">
        <v>178</v>
      </c>
      <c r="BE237" s="1894">
        <v>57.28</v>
      </c>
      <c r="BF237" s="1894">
        <v>142.4</v>
      </c>
      <c r="BG237" s="1894">
        <v>0.64329999999999998</v>
      </c>
      <c r="BH237" s="1894">
        <v>30.93</v>
      </c>
      <c r="BI237" s="1894">
        <v>14882</v>
      </c>
      <c r="BJ237" s="1894">
        <f t="shared" si="95"/>
        <v>25570</v>
      </c>
      <c r="BK237" s="1894">
        <f t="shared" si="96"/>
        <v>0</v>
      </c>
      <c r="BL237" s="1894">
        <v>178</v>
      </c>
      <c r="BM237" s="1894">
        <v>24.16</v>
      </c>
      <c r="BN237" s="1894">
        <v>142.4</v>
      </c>
      <c r="BO237" s="1894">
        <v>0.45900000000000002</v>
      </c>
      <c r="BP237" s="1894">
        <v>26.12</v>
      </c>
      <c r="BQ237" s="1894">
        <v>4544</v>
      </c>
      <c r="BR237" s="1894">
        <f t="shared" si="97"/>
        <v>10437</v>
      </c>
      <c r="BS237" s="1894">
        <f t="shared" si="98"/>
        <v>0</v>
      </c>
      <c r="BT237" s="1894">
        <v>178</v>
      </c>
      <c r="BU237" s="1894">
        <v>26.72</v>
      </c>
      <c r="BV237" s="1894">
        <v>142.4</v>
      </c>
      <c r="BW237" s="1894">
        <v>0.61</v>
      </c>
      <c r="BX237" s="1894">
        <v>38.700000000000003</v>
      </c>
      <c r="BY237" s="1894">
        <v>7694</v>
      </c>
      <c r="BZ237" s="1894">
        <f t="shared" si="99"/>
        <v>11928</v>
      </c>
      <c r="CA237" s="1894">
        <f t="shared" si="100"/>
        <v>0</v>
      </c>
      <c r="CB237" s="1894">
        <v>178</v>
      </c>
      <c r="CC237" s="1894">
        <v>24.48</v>
      </c>
      <c r="CD237" s="1894">
        <v>142.4</v>
      </c>
      <c r="CE237" s="1894">
        <v>0.53090000000000004</v>
      </c>
      <c r="CF237" s="1894">
        <v>19.690000000000001</v>
      </c>
      <c r="CG237" s="1894">
        <v>3586</v>
      </c>
      <c r="CH237" s="1894">
        <f t="shared" si="101"/>
        <v>10928</v>
      </c>
      <c r="CI237" s="1894">
        <f t="shared" si="102"/>
        <v>0</v>
      </c>
      <c r="CJ237" s="1894">
        <v>178</v>
      </c>
      <c r="CK237" s="1894">
        <v>48.96</v>
      </c>
      <c r="CL237" s="1894">
        <v>178</v>
      </c>
      <c r="CM237" s="1894">
        <v>0.66639999999999999</v>
      </c>
      <c r="CN237" s="1894">
        <v>0</v>
      </c>
      <c r="CO237" s="1894">
        <v>6380</v>
      </c>
      <c r="CP237" s="1894">
        <f t="shared" si="103"/>
        <v>19741</v>
      </c>
      <c r="CQ237" s="1894">
        <f t="shared" si="104"/>
        <v>0</v>
      </c>
      <c r="CR237" s="1924">
        <v>178</v>
      </c>
      <c r="CS237" s="1924">
        <v>51.04</v>
      </c>
      <c r="CT237" s="1924">
        <v>178</v>
      </c>
      <c r="CU237" s="1924">
        <v>0.55510000000000004</v>
      </c>
      <c r="CV237" s="1924">
        <v>0</v>
      </c>
      <c r="CW237" s="1924">
        <v>4168</v>
      </c>
      <c r="CX237" s="1894">
        <f t="shared" si="105"/>
        <v>22784</v>
      </c>
      <c r="CY237" s="1894">
        <f t="shared" si="106"/>
        <v>0</v>
      </c>
    </row>
    <row r="238" spans="1:103">
      <c r="A238" s="982">
        <v>127000000018</v>
      </c>
      <c r="B238" s="1923">
        <f t="shared" si="107"/>
        <v>232</v>
      </c>
      <c r="C238" s="1895" t="s">
        <v>3122</v>
      </c>
      <c r="D238" s="1894" t="s">
        <v>524</v>
      </c>
      <c r="E238" s="1895" t="s">
        <v>2966</v>
      </c>
      <c r="F238" s="1894" t="s">
        <v>259</v>
      </c>
      <c r="G238" s="1924">
        <v>178</v>
      </c>
      <c r="H238" s="1894">
        <v>178</v>
      </c>
      <c r="I238" s="1894">
        <v>120</v>
      </c>
      <c r="J238" s="1894">
        <v>178</v>
      </c>
      <c r="K238" s="1894">
        <v>0.79879999999999995</v>
      </c>
      <c r="L238" s="1894">
        <v>0</v>
      </c>
      <c r="M238" s="1894">
        <v>7203</v>
      </c>
      <c r="N238" s="1894">
        <f t="shared" si="85"/>
        <v>51840</v>
      </c>
      <c r="O238" s="1894">
        <f t="shared" si="86"/>
        <v>0</v>
      </c>
      <c r="P238" s="1894">
        <v>178</v>
      </c>
      <c r="Q238" s="1894">
        <v>128.4</v>
      </c>
      <c r="R238" s="1894">
        <v>178</v>
      </c>
      <c r="S238" s="1894">
        <v>0.82320000000000004</v>
      </c>
      <c r="T238" s="1894">
        <v>0</v>
      </c>
      <c r="U238" s="1894">
        <v>28797</v>
      </c>
      <c r="V238" s="1894">
        <f t="shared" si="87"/>
        <v>57318</v>
      </c>
      <c r="W238" s="1894">
        <f t="shared" si="88"/>
        <v>0</v>
      </c>
      <c r="X238" s="1894">
        <v>178</v>
      </c>
      <c r="Y238" s="1894">
        <v>142.19999999999999</v>
      </c>
      <c r="Z238" s="1894">
        <v>178</v>
      </c>
      <c r="AA238" s="1894">
        <v>0.83620000000000005</v>
      </c>
      <c r="AB238" s="1894">
        <v>0</v>
      </c>
      <c r="AC238" s="1894">
        <v>44043</v>
      </c>
      <c r="AD238" s="1894">
        <f t="shared" si="89"/>
        <v>61430</v>
      </c>
      <c r="AE238" s="1894">
        <f t="shared" si="90"/>
        <v>0</v>
      </c>
      <c r="AF238" s="1894">
        <v>178</v>
      </c>
      <c r="AG238" s="1894">
        <v>160.80000000000001</v>
      </c>
      <c r="AH238" s="1894">
        <v>178</v>
      </c>
      <c r="AI238" s="1894">
        <v>0.81730000000000003</v>
      </c>
      <c r="AJ238" s="1894">
        <v>0</v>
      </c>
      <c r="AK238" s="1894">
        <v>60243</v>
      </c>
      <c r="AL238" s="1894">
        <f t="shared" si="108"/>
        <v>71781</v>
      </c>
      <c r="AM238" s="1894">
        <f t="shared" si="109"/>
        <v>0</v>
      </c>
      <c r="AN238" s="1894">
        <v>178</v>
      </c>
      <c r="AO238" s="1894">
        <v>121.80000000000001</v>
      </c>
      <c r="AP238" s="1894">
        <v>178</v>
      </c>
      <c r="AQ238" s="1894">
        <v>0.73270000000000002</v>
      </c>
      <c r="AR238" s="1894">
        <v>0</v>
      </c>
      <c r="AS238" s="1894">
        <v>11484</v>
      </c>
      <c r="AT238" s="1894">
        <f t="shared" si="91"/>
        <v>54372</v>
      </c>
      <c r="AU238" s="1894">
        <f t="shared" si="92"/>
        <v>0</v>
      </c>
      <c r="AV238" s="1894">
        <v>178</v>
      </c>
      <c r="AW238" s="1894">
        <v>24.72</v>
      </c>
      <c r="AX238" s="1894">
        <v>178</v>
      </c>
      <c r="AY238" s="1894">
        <v>0.58860000000000001</v>
      </c>
      <c r="AZ238" s="1894">
        <v>0</v>
      </c>
      <c r="BA238" s="1894">
        <v>1896</v>
      </c>
      <c r="BB238" s="1894">
        <f t="shared" si="93"/>
        <v>10679</v>
      </c>
      <c r="BC238" s="1894">
        <f t="shared" si="94"/>
        <v>0</v>
      </c>
      <c r="BD238" s="1894">
        <v>178</v>
      </c>
      <c r="BE238" s="1894">
        <v>2.4</v>
      </c>
      <c r="BF238" s="1894">
        <v>178</v>
      </c>
      <c r="BG238" s="1894">
        <v>0.29449999999999998</v>
      </c>
      <c r="BH238" s="1894">
        <v>0</v>
      </c>
      <c r="BI238" s="1894">
        <v>774</v>
      </c>
      <c r="BJ238" s="1894">
        <f t="shared" si="95"/>
        <v>1071</v>
      </c>
      <c r="BK238" s="1894">
        <f t="shared" si="96"/>
        <v>0</v>
      </c>
      <c r="BL238" s="1894">
        <v>178</v>
      </c>
      <c r="BM238" s="1894">
        <v>6.6</v>
      </c>
      <c r="BN238" s="1894">
        <v>178</v>
      </c>
      <c r="BO238" s="1894">
        <v>0.19520000000000001</v>
      </c>
      <c r="BP238" s="1894">
        <v>0</v>
      </c>
      <c r="BQ238" s="1894">
        <v>2166</v>
      </c>
      <c r="BR238" s="1894">
        <f t="shared" si="97"/>
        <v>2851</v>
      </c>
      <c r="BS238" s="1894">
        <f t="shared" si="98"/>
        <v>0</v>
      </c>
      <c r="BT238" s="1894">
        <v>178</v>
      </c>
      <c r="BU238" s="1894">
        <v>28.32</v>
      </c>
      <c r="BV238" s="1894">
        <v>178</v>
      </c>
      <c r="BW238" s="1894">
        <v>0.34360000000000002</v>
      </c>
      <c r="BX238" s="1894">
        <v>0</v>
      </c>
      <c r="BY238" s="1894">
        <v>4863</v>
      </c>
      <c r="BZ238" s="1894">
        <f t="shared" si="99"/>
        <v>12642</v>
      </c>
      <c r="CA238" s="1894">
        <f t="shared" si="100"/>
        <v>0</v>
      </c>
      <c r="CB238" s="1894">
        <v>178</v>
      </c>
      <c r="CC238" s="1894">
        <v>7.6800000000000006</v>
      </c>
      <c r="CD238" s="1894">
        <v>178</v>
      </c>
      <c r="CE238" s="1894">
        <v>0.2</v>
      </c>
      <c r="CF238" s="1894">
        <v>0</v>
      </c>
      <c r="CG238" s="1894">
        <v>2490</v>
      </c>
      <c r="CH238" s="1894">
        <f t="shared" si="101"/>
        <v>3428</v>
      </c>
      <c r="CI238" s="1894">
        <f t="shared" si="102"/>
        <v>0</v>
      </c>
      <c r="CJ238" s="1894">
        <v>178</v>
      </c>
      <c r="CK238" s="1894">
        <v>29.52</v>
      </c>
      <c r="CL238" s="1894">
        <v>178</v>
      </c>
      <c r="CM238" s="1894">
        <v>0.59240000000000004</v>
      </c>
      <c r="CN238" s="1894">
        <v>0</v>
      </c>
      <c r="CO238" s="1894">
        <v>5970</v>
      </c>
      <c r="CP238" s="1894">
        <f t="shared" si="103"/>
        <v>11902</v>
      </c>
      <c r="CQ238" s="1894">
        <f t="shared" si="104"/>
        <v>0</v>
      </c>
      <c r="CR238" s="1924">
        <v>178</v>
      </c>
      <c r="CS238" s="1924">
        <v>134.88</v>
      </c>
      <c r="CT238" s="1924">
        <v>178</v>
      </c>
      <c r="CU238" s="1924">
        <v>0.65969999999999995</v>
      </c>
      <c r="CV238" s="1924">
        <v>0</v>
      </c>
      <c r="CW238" s="1924">
        <v>11232</v>
      </c>
      <c r="CX238" s="1894">
        <f t="shared" si="105"/>
        <v>60210</v>
      </c>
      <c r="CY238" s="1894">
        <f t="shared" si="106"/>
        <v>0</v>
      </c>
    </row>
    <row r="239" spans="1:103">
      <c r="A239" s="982">
        <v>121000000054</v>
      </c>
      <c r="B239" s="1923">
        <f t="shared" si="107"/>
        <v>233</v>
      </c>
      <c r="C239" s="1895" t="s">
        <v>3123</v>
      </c>
      <c r="D239" s="1894" t="s">
        <v>524</v>
      </c>
      <c r="E239" s="1895" t="s">
        <v>636</v>
      </c>
      <c r="F239" s="1894" t="s">
        <v>259</v>
      </c>
      <c r="G239" s="1924">
        <v>178</v>
      </c>
      <c r="H239" s="1894">
        <v>178</v>
      </c>
      <c r="I239" s="1894">
        <v>101.03999999999999</v>
      </c>
      <c r="J239" s="1894">
        <v>142.4</v>
      </c>
      <c r="K239" s="1894">
        <v>0.95279999999999998</v>
      </c>
      <c r="L239" s="1894">
        <v>28.53</v>
      </c>
      <c r="M239" s="1894">
        <v>20757</v>
      </c>
      <c r="N239" s="1894">
        <f t="shared" si="85"/>
        <v>43649</v>
      </c>
      <c r="O239" s="1894">
        <f t="shared" si="86"/>
        <v>0</v>
      </c>
      <c r="P239" s="1894">
        <v>178</v>
      </c>
      <c r="Q239" s="1894">
        <v>110.64</v>
      </c>
      <c r="R239" s="1894">
        <v>142.4</v>
      </c>
      <c r="S239" s="1894">
        <v>0.95630000000000004</v>
      </c>
      <c r="T239" s="1894">
        <v>23.47</v>
      </c>
      <c r="U239" s="1894">
        <v>19317</v>
      </c>
      <c r="V239" s="1894">
        <f t="shared" si="87"/>
        <v>49390</v>
      </c>
      <c r="W239" s="1894">
        <f t="shared" si="88"/>
        <v>0</v>
      </c>
      <c r="X239" s="1894">
        <v>178</v>
      </c>
      <c r="Y239" s="1894">
        <v>109.2</v>
      </c>
      <c r="Z239" s="1894">
        <v>142.4</v>
      </c>
      <c r="AA239" s="1894">
        <v>0.94599999999999995</v>
      </c>
      <c r="AB239" s="1894">
        <v>27.35</v>
      </c>
      <c r="AC239" s="1894">
        <v>21505</v>
      </c>
      <c r="AD239" s="1894">
        <f t="shared" si="89"/>
        <v>47174</v>
      </c>
      <c r="AE239" s="1894">
        <f t="shared" si="90"/>
        <v>0</v>
      </c>
      <c r="AF239" s="1894">
        <v>178</v>
      </c>
      <c r="AG239" s="1894">
        <v>83.52</v>
      </c>
      <c r="AH239" s="1894">
        <v>142.4</v>
      </c>
      <c r="AI239" s="1894">
        <v>0.97940000000000005</v>
      </c>
      <c r="AJ239" s="1894">
        <v>25.04</v>
      </c>
      <c r="AK239" s="1894">
        <v>15558</v>
      </c>
      <c r="AL239" s="1894">
        <f t="shared" si="108"/>
        <v>37283</v>
      </c>
      <c r="AM239" s="1894">
        <f t="shared" si="109"/>
        <v>0</v>
      </c>
      <c r="AN239" s="1894">
        <v>178</v>
      </c>
      <c r="AO239" s="1894">
        <v>1.8</v>
      </c>
      <c r="AP239" s="1894">
        <v>142.4</v>
      </c>
      <c r="AQ239" s="1894">
        <v>0.97650000000000003</v>
      </c>
      <c r="AR239" s="1894">
        <v>1202.1400000000001</v>
      </c>
      <c r="AS239" s="1894">
        <v>16099</v>
      </c>
      <c r="AT239" s="1894">
        <f t="shared" si="91"/>
        <v>804</v>
      </c>
      <c r="AU239" s="1894">
        <f t="shared" si="92"/>
        <v>15295</v>
      </c>
      <c r="AV239" s="1894">
        <v>178</v>
      </c>
      <c r="AW239" s="1894">
        <v>93.12</v>
      </c>
      <c r="AX239" s="1894">
        <v>142.4</v>
      </c>
      <c r="AY239" s="1894">
        <v>0.97360000000000002</v>
      </c>
      <c r="AZ239" s="1894">
        <v>26.02</v>
      </c>
      <c r="BA239" s="1894">
        <v>17448</v>
      </c>
      <c r="BB239" s="1894">
        <f t="shared" si="93"/>
        <v>40228</v>
      </c>
      <c r="BC239" s="1894">
        <f t="shared" si="94"/>
        <v>0</v>
      </c>
      <c r="BD239" s="1894">
        <v>178</v>
      </c>
      <c r="BE239" s="1894">
        <v>108.96000000000001</v>
      </c>
      <c r="BF239" s="1894">
        <v>142.4</v>
      </c>
      <c r="BG239" s="1894">
        <v>0.97250000000000003</v>
      </c>
      <c r="BH239" s="1894">
        <v>19.079999999999998</v>
      </c>
      <c r="BI239" s="1894">
        <v>15464</v>
      </c>
      <c r="BJ239" s="1894">
        <f t="shared" si="95"/>
        <v>48640</v>
      </c>
      <c r="BK239" s="1894">
        <f t="shared" si="96"/>
        <v>0</v>
      </c>
      <c r="BL239" s="1894">
        <v>178</v>
      </c>
      <c r="BM239" s="1894">
        <v>86.64</v>
      </c>
      <c r="BN239" s="1894">
        <v>142.4</v>
      </c>
      <c r="BO239" s="1894">
        <v>0.96630000000000005</v>
      </c>
      <c r="BP239" s="1894">
        <v>17.3</v>
      </c>
      <c r="BQ239" s="1894">
        <v>10794</v>
      </c>
      <c r="BR239" s="1894">
        <f t="shared" si="97"/>
        <v>37428</v>
      </c>
      <c r="BS239" s="1894">
        <f t="shared" si="98"/>
        <v>0</v>
      </c>
      <c r="BT239" s="1894">
        <v>178</v>
      </c>
      <c r="BU239" s="1894">
        <v>39.119999999999997</v>
      </c>
      <c r="BV239" s="1894">
        <v>142.4</v>
      </c>
      <c r="BW239" s="1894">
        <v>0.95009999999999994</v>
      </c>
      <c r="BX239" s="1894">
        <v>19.86</v>
      </c>
      <c r="BY239" s="1894">
        <v>5781</v>
      </c>
      <c r="BZ239" s="1894">
        <f t="shared" si="99"/>
        <v>17463</v>
      </c>
      <c r="CA239" s="1894">
        <f t="shared" si="100"/>
        <v>0</v>
      </c>
      <c r="CB239" s="1894">
        <v>178</v>
      </c>
      <c r="CC239" s="1894">
        <v>72.36</v>
      </c>
      <c r="CD239" s="1894">
        <v>142.4</v>
      </c>
      <c r="CE239" s="1894">
        <v>0.94720000000000004</v>
      </c>
      <c r="CF239" s="1894">
        <v>11.74</v>
      </c>
      <c r="CG239" s="1894">
        <v>6318</v>
      </c>
      <c r="CH239" s="1894">
        <f t="shared" si="101"/>
        <v>32302</v>
      </c>
      <c r="CI239" s="1894">
        <f t="shared" si="102"/>
        <v>0</v>
      </c>
      <c r="CJ239" s="1894">
        <v>178</v>
      </c>
      <c r="CK239" s="1894">
        <v>85.199999999999989</v>
      </c>
      <c r="CL239" s="1894">
        <v>142.4</v>
      </c>
      <c r="CM239" s="1894">
        <v>0.91959999999999997</v>
      </c>
      <c r="CN239" s="1894">
        <v>15.61</v>
      </c>
      <c r="CO239" s="1894">
        <v>8940</v>
      </c>
      <c r="CP239" s="1894">
        <f t="shared" si="103"/>
        <v>34353</v>
      </c>
      <c r="CQ239" s="1894">
        <f t="shared" si="104"/>
        <v>0</v>
      </c>
      <c r="CR239" s="1924">
        <v>178</v>
      </c>
      <c r="CS239" s="1924">
        <v>86.52</v>
      </c>
      <c r="CT239" s="1924">
        <v>142.4</v>
      </c>
      <c r="CU239" s="1924">
        <v>0.98419999999999996</v>
      </c>
      <c r="CV239" s="1924">
        <v>19.89</v>
      </c>
      <c r="CW239" s="1924">
        <v>12805</v>
      </c>
      <c r="CX239" s="1894">
        <f t="shared" si="105"/>
        <v>38623</v>
      </c>
      <c r="CY239" s="1894">
        <f t="shared" si="106"/>
        <v>0</v>
      </c>
    </row>
    <row r="240" spans="1:103">
      <c r="A240" s="982">
        <v>121000000069</v>
      </c>
      <c r="B240" s="1923">
        <f t="shared" si="107"/>
        <v>234</v>
      </c>
      <c r="C240" s="1895" t="s">
        <v>3124</v>
      </c>
      <c r="D240" s="1894" t="s">
        <v>524</v>
      </c>
      <c r="E240" s="1895" t="s">
        <v>2966</v>
      </c>
      <c r="F240" s="1894" t="s">
        <v>259</v>
      </c>
      <c r="G240" s="1924">
        <v>178</v>
      </c>
      <c r="H240" s="1894">
        <v>178</v>
      </c>
      <c r="I240" s="1894">
        <v>252.32000000000002</v>
      </c>
      <c r="J240" s="1894">
        <v>252.32</v>
      </c>
      <c r="K240" s="1894">
        <v>0.75960000000000005</v>
      </c>
      <c r="L240" s="1894">
        <v>0</v>
      </c>
      <c r="M240" s="1894">
        <v>43412</v>
      </c>
      <c r="N240" s="1894">
        <f t="shared" si="85"/>
        <v>109002</v>
      </c>
      <c r="O240" s="1894">
        <f t="shared" si="86"/>
        <v>0</v>
      </c>
      <c r="P240" s="1894">
        <v>178</v>
      </c>
      <c r="Q240" s="1894">
        <v>264</v>
      </c>
      <c r="R240" s="1894">
        <v>264</v>
      </c>
      <c r="S240" s="1894">
        <v>0.76649999999999996</v>
      </c>
      <c r="T240" s="1894">
        <v>0</v>
      </c>
      <c r="U240" s="1894">
        <v>17556</v>
      </c>
      <c r="V240" s="1894">
        <f t="shared" si="87"/>
        <v>117850</v>
      </c>
      <c r="W240" s="1894">
        <f t="shared" si="88"/>
        <v>0</v>
      </c>
      <c r="X240" s="1894">
        <v>178</v>
      </c>
      <c r="Y240" s="1894">
        <v>221.44</v>
      </c>
      <c r="Z240" s="1894">
        <v>221.44</v>
      </c>
      <c r="AA240" s="1894">
        <v>0.78710000000000002</v>
      </c>
      <c r="AB240" s="1894">
        <v>0</v>
      </c>
      <c r="AC240" s="1894">
        <v>14864</v>
      </c>
      <c r="AD240" s="1894">
        <f t="shared" si="89"/>
        <v>95662</v>
      </c>
      <c r="AE240" s="1894">
        <f t="shared" si="90"/>
        <v>0</v>
      </c>
      <c r="AF240" s="1894">
        <v>178</v>
      </c>
      <c r="AG240" s="1894">
        <v>211.20000000000002</v>
      </c>
      <c r="AH240" s="1894">
        <v>211.2</v>
      </c>
      <c r="AI240" s="1894">
        <v>0.78320000000000001</v>
      </c>
      <c r="AJ240" s="1894">
        <v>0</v>
      </c>
      <c r="AK240" s="1894">
        <v>17628</v>
      </c>
      <c r="AL240" s="1894">
        <f t="shared" si="108"/>
        <v>94280</v>
      </c>
      <c r="AM240" s="1894">
        <f t="shared" si="109"/>
        <v>0</v>
      </c>
      <c r="AN240" s="1894">
        <v>178</v>
      </c>
      <c r="AO240" s="1894">
        <v>208</v>
      </c>
      <c r="AP240" s="1894">
        <v>208</v>
      </c>
      <c r="AQ240" s="1894">
        <v>0.76419999999999999</v>
      </c>
      <c r="AR240" s="1894">
        <v>0</v>
      </c>
      <c r="AS240" s="1894">
        <v>26320</v>
      </c>
      <c r="AT240" s="1894">
        <f t="shared" si="91"/>
        <v>92851</v>
      </c>
      <c r="AU240" s="1894">
        <f t="shared" si="92"/>
        <v>0</v>
      </c>
      <c r="AV240" s="1894">
        <v>178</v>
      </c>
      <c r="AW240" s="1894">
        <v>107.67999999999999</v>
      </c>
      <c r="AX240" s="1894">
        <v>178</v>
      </c>
      <c r="AY240" s="1894">
        <v>0.81320000000000003</v>
      </c>
      <c r="AZ240" s="1894">
        <v>0</v>
      </c>
      <c r="BA240" s="1894">
        <v>13634</v>
      </c>
      <c r="BB240" s="1894">
        <f t="shared" si="93"/>
        <v>46518</v>
      </c>
      <c r="BC240" s="1894">
        <f t="shared" si="94"/>
        <v>0</v>
      </c>
      <c r="BD240" s="1894">
        <v>178</v>
      </c>
      <c r="BE240" s="1894">
        <v>44.96</v>
      </c>
      <c r="BF240" s="1894">
        <v>178</v>
      </c>
      <c r="BG240" s="1894">
        <v>0.81720000000000004</v>
      </c>
      <c r="BH240" s="1894">
        <v>0</v>
      </c>
      <c r="BI240" s="1894">
        <v>10332</v>
      </c>
      <c r="BJ240" s="1894">
        <f t="shared" si="95"/>
        <v>20070</v>
      </c>
      <c r="BK240" s="1894">
        <f t="shared" si="96"/>
        <v>0</v>
      </c>
      <c r="BL240" s="1894">
        <v>178</v>
      </c>
      <c r="BM240" s="1894">
        <v>30.4</v>
      </c>
      <c r="BN240" s="1894">
        <v>178</v>
      </c>
      <c r="BO240" s="1894">
        <v>0.57799999999999996</v>
      </c>
      <c r="BP240" s="1894">
        <v>0</v>
      </c>
      <c r="BQ240" s="1894">
        <v>6242</v>
      </c>
      <c r="BR240" s="1894">
        <f t="shared" si="97"/>
        <v>13133</v>
      </c>
      <c r="BS240" s="1894">
        <f t="shared" si="98"/>
        <v>0</v>
      </c>
      <c r="BT240" s="1894">
        <v>178</v>
      </c>
      <c r="BU240" s="1894">
        <v>115.84</v>
      </c>
      <c r="BV240" s="1894">
        <v>178</v>
      </c>
      <c r="BW240" s="1894">
        <v>0.70899999999999996</v>
      </c>
      <c r="BX240" s="1894">
        <v>0</v>
      </c>
      <c r="BY240" s="1894">
        <v>13294</v>
      </c>
      <c r="BZ240" s="1894">
        <f t="shared" si="99"/>
        <v>51711</v>
      </c>
      <c r="CA240" s="1894">
        <f t="shared" si="100"/>
        <v>0</v>
      </c>
      <c r="CB240" s="1894">
        <v>178</v>
      </c>
      <c r="CC240" s="1894">
        <v>167.83999999999997</v>
      </c>
      <c r="CD240" s="1894">
        <v>178</v>
      </c>
      <c r="CE240" s="1894">
        <v>0.78</v>
      </c>
      <c r="CF240" s="1894">
        <v>0</v>
      </c>
      <c r="CG240" s="1894">
        <v>28986</v>
      </c>
      <c r="CH240" s="1894">
        <f t="shared" si="101"/>
        <v>74924</v>
      </c>
      <c r="CI240" s="1894">
        <f t="shared" si="102"/>
        <v>0</v>
      </c>
      <c r="CJ240" s="1894">
        <v>178</v>
      </c>
      <c r="CK240" s="1894">
        <v>235.2</v>
      </c>
      <c r="CL240" s="1894">
        <v>235.2</v>
      </c>
      <c r="CM240" s="1894">
        <v>0.78280000000000005</v>
      </c>
      <c r="CN240" s="1894">
        <v>0</v>
      </c>
      <c r="CO240" s="1894">
        <v>52906</v>
      </c>
      <c r="CP240" s="1894">
        <f t="shared" si="103"/>
        <v>94833</v>
      </c>
      <c r="CQ240" s="1894">
        <f t="shared" si="104"/>
        <v>0</v>
      </c>
      <c r="CR240" s="1924">
        <v>178</v>
      </c>
      <c r="CS240" s="1924">
        <v>239.04000000000002</v>
      </c>
      <c r="CT240" s="1924">
        <v>239.04</v>
      </c>
      <c r="CU240" s="1924">
        <v>0.77929999999999999</v>
      </c>
      <c r="CV240" s="1924">
        <v>0</v>
      </c>
      <c r="CW240" s="1924">
        <v>38268</v>
      </c>
      <c r="CX240" s="1894">
        <f t="shared" si="105"/>
        <v>106707</v>
      </c>
      <c r="CY240" s="1894">
        <f t="shared" si="106"/>
        <v>0</v>
      </c>
    </row>
    <row r="241" spans="1:103">
      <c r="A241" s="982">
        <v>123000000100</v>
      </c>
      <c r="B241" s="1923">
        <f t="shared" si="107"/>
        <v>235</v>
      </c>
      <c r="C241" s="1895" t="s">
        <v>3125</v>
      </c>
      <c r="D241" s="1894" t="s">
        <v>524</v>
      </c>
      <c r="E241" s="1895" t="s">
        <v>2966</v>
      </c>
      <c r="F241" s="1894" t="s">
        <v>259</v>
      </c>
      <c r="G241" s="1924">
        <v>178</v>
      </c>
      <c r="H241" s="1894">
        <v>178</v>
      </c>
      <c r="I241" s="1894">
        <v>116.96</v>
      </c>
      <c r="J241" s="1894">
        <v>178</v>
      </c>
      <c r="K241" s="1894">
        <v>0.72240000000000004</v>
      </c>
      <c r="L241" s="1894">
        <v>0</v>
      </c>
      <c r="M241" s="1894">
        <v>15390</v>
      </c>
      <c r="N241" s="1894">
        <f t="shared" si="85"/>
        <v>50527</v>
      </c>
      <c r="O241" s="1894">
        <f t="shared" si="86"/>
        <v>0</v>
      </c>
      <c r="P241" s="1894">
        <v>178</v>
      </c>
      <c r="Q241" s="1894">
        <v>149.12</v>
      </c>
      <c r="R241" s="1894">
        <v>178</v>
      </c>
      <c r="S241" s="1894">
        <v>0.74760000000000004</v>
      </c>
      <c r="T241" s="1894">
        <v>0</v>
      </c>
      <c r="U241" s="1894">
        <v>20534</v>
      </c>
      <c r="V241" s="1894">
        <f t="shared" si="87"/>
        <v>66567</v>
      </c>
      <c r="W241" s="1894">
        <f t="shared" si="88"/>
        <v>0</v>
      </c>
      <c r="X241" s="1894">
        <v>178</v>
      </c>
      <c r="Y241" s="1894">
        <v>168.96</v>
      </c>
      <c r="Z241" s="1894">
        <v>178</v>
      </c>
      <c r="AA241" s="1894">
        <v>0.74439999999999995</v>
      </c>
      <c r="AB241" s="1894">
        <v>0</v>
      </c>
      <c r="AC241" s="1894">
        <v>38258</v>
      </c>
      <c r="AD241" s="1894">
        <f t="shared" si="89"/>
        <v>72991</v>
      </c>
      <c r="AE241" s="1894">
        <f t="shared" si="90"/>
        <v>0</v>
      </c>
      <c r="AF241" s="1894">
        <v>178</v>
      </c>
      <c r="AG241" s="1894">
        <v>59.199999999999996</v>
      </c>
      <c r="AH241" s="1894">
        <v>178</v>
      </c>
      <c r="AI241" s="1894">
        <v>0.73440000000000005</v>
      </c>
      <c r="AJ241" s="1894">
        <v>0</v>
      </c>
      <c r="AK241" s="1894">
        <v>7450</v>
      </c>
      <c r="AL241" s="1894">
        <f t="shared" si="108"/>
        <v>26427</v>
      </c>
      <c r="AM241" s="1894">
        <f t="shared" si="109"/>
        <v>0</v>
      </c>
      <c r="AN241" s="1894">
        <v>178</v>
      </c>
      <c r="AO241" s="1894">
        <v>123.83999999999999</v>
      </c>
      <c r="AP241" s="1894">
        <v>178</v>
      </c>
      <c r="AQ241" s="1894">
        <v>0.73570000000000002</v>
      </c>
      <c r="AR241" s="1894">
        <v>0</v>
      </c>
      <c r="AS241" s="1894">
        <v>15632</v>
      </c>
      <c r="AT241" s="1894">
        <f t="shared" si="91"/>
        <v>55282</v>
      </c>
      <c r="AU241" s="1894">
        <f t="shared" si="92"/>
        <v>0</v>
      </c>
      <c r="AV241" s="1894">
        <v>178</v>
      </c>
      <c r="AW241" s="1894">
        <v>121.92</v>
      </c>
      <c r="AX241" s="1894">
        <v>178</v>
      </c>
      <c r="AY241" s="1894">
        <v>0.75719999999999998</v>
      </c>
      <c r="AZ241" s="1894">
        <v>0</v>
      </c>
      <c r="BA241" s="1894">
        <v>31498</v>
      </c>
      <c r="BB241" s="1894">
        <f t="shared" si="93"/>
        <v>52669</v>
      </c>
      <c r="BC241" s="1894">
        <f t="shared" si="94"/>
        <v>0</v>
      </c>
      <c r="BD241" s="1894">
        <v>178</v>
      </c>
      <c r="BE241" s="1894">
        <v>125.44</v>
      </c>
      <c r="BF241" s="1894">
        <v>178</v>
      </c>
      <c r="BG241" s="1894">
        <v>0.70350000000000001</v>
      </c>
      <c r="BH241" s="1894">
        <v>0</v>
      </c>
      <c r="BI241" s="1894">
        <v>32816</v>
      </c>
      <c r="BJ241" s="1894">
        <f t="shared" si="95"/>
        <v>55996</v>
      </c>
      <c r="BK241" s="1894">
        <f t="shared" si="96"/>
        <v>0</v>
      </c>
      <c r="BL241" s="1894">
        <v>178</v>
      </c>
      <c r="BM241" s="1894">
        <v>17.760000000000002</v>
      </c>
      <c r="BN241" s="1894">
        <v>178</v>
      </c>
      <c r="BO241" s="1894">
        <v>0.37</v>
      </c>
      <c r="BP241" s="1894">
        <v>0</v>
      </c>
      <c r="BQ241" s="1894">
        <v>4248</v>
      </c>
      <c r="BR241" s="1894">
        <f t="shared" si="97"/>
        <v>7672</v>
      </c>
      <c r="BS241" s="1894">
        <f t="shared" si="98"/>
        <v>0</v>
      </c>
      <c r="BT241" s="1894">
        <v>178</v>
      </c>
      <c r="BU241" s="1894">
        <v>15.2</v>
      </c>
      <c r="BV241" s="1894">
        <v>178</v>
      </c>
      <c r="BW241" s="1894">
        <v>0.29930000000000001</v>
      </c>
      <c r="BX241" s="1894">
        <v>0</v>
      </c>
      <c r="BY241" s="1894">
        <v>4242</v>
      </c>
      <c r="BZ241" s="1894">
        <f t="shared" si="99"/>
        <v>6785</v>
      </c>
      <c r="CA241" s="1894">
        <f t="shared" si="100"/>
        <v>0</v>
      </c>
      <c r="CB241" s="1894">
        <v>178</v>
      </c>
      <c r="CC241" s="1894">
        <v>7.3599999999999994</v>
      </c>
      <c r="CD241" s="1894">
        <v>178</v>
      </c>
      <c r="CE241" s="1894">
        <v>0.34300000000000003</v>
      </c>
      <c r="CF241" s="1894">
        <v>0</v>
      </c>
      <c r="CG241" s="1894">
        <v>2542</v>
      </c>
      <c r="CH241" s="1894">
        <f t="shared" si="101"/>
        <v>3286</v>
      </c>
      <c r="CI241" s="1894">
        <f t="shared" si="102"/>
        <v>0</v>
      </c>
      <c r="CJ241" s="1894">
        <v>178</v>
      </c>
      <c r="CK241" s="1894">
        <v>57.440000000000005</v>
      </c>
      <c r="CL241" s="1894">
        <v>178</v>
      </c>
      <c r="CM241" s="1894">
        <v>0.75349999999999995</v>
      </c>
      <c r="CN241" s="1894">
        <v>0</v>
      </c>
      <c r="CO241" s="1894">
        <v>6906</v>
      </c>
      <c r="CP241" s="1894">
        <f t="shared" si="103"/>
        <v>23160</v>
      </c>
      <c r="CQ241" s="1894">
        <f t="shared" si="104"/>
        <v>0</v>
      </c>
      <c r="CR241" s="1924">
        <v>178</v>
      </c>
      <c r="CS241" s="1924">
        <v>120.48</v>
      </c>
      <c r="CT241" s="1924">
        <v>178</v>
      </c>
      <c r="CU241" s="1924">
        <v>0.72929999999999995</v>
      </c>
      <c r="CV241" s="1924">
        <v>0</v>
      </c>
      <c r="CW241" s="1924">
        <v>17284</v>
      </c>
      <c r="CX241" s="1894">
        <f t="shared" si="105"/>
        <v>53782</v>
      </c>
      <c r="CY241" s="1894">
        <f t="shared" si="106"/>
        <v>0</v>
      </c>
    </row>
    <row r="242" spans="1:103">
      <c r="A242" s="982">
        <v>123000000102</v>
      </c>
      <c r="B242" s="1923">
        <f t="shared" si="107"/>
        <v>236</v>
      </c>
      <c r="C242" s="1895" t="s">
        <v>3126</v>
      </c>
      <c r="D242" s="1894" t="s">
        <v>524</v>
      </c>
      <c r="E242" s="1895" t="s">
        <v>2966</v>
      </c>
      <c r="F242" s="1894" t="s">
        <v>259</v>
      </c>
      <c r="G242" s="1924">
        <v>178</v>
      </c>
      <c r="H242" s="1894">
        <v>178</v>
      </c>
      <c r="I242" s="1894">
        <v>281.36</v>
      </c>
      <c r="J242" s="1894">
        <v>281.36</v>
      </c>
      <c r="K242" s="1894">
        <v>0.71560000000000001</v>
      </c>
      <c r="L242" s="1894">
        <v>0</v>
      </c>
      <c r="M242" s="1894">
        <v>85194</v>
      </c>
      <c r="N242" s="1894">
        <f t="shared" si="85"/>
        <v>121548</v>
      </c>
      <c r="O242" s="1894">
        <f t="shared" si="86"/>
        <v>0</v>
      </c>
      <c r="P242" s="1894">
        <v>178</v>
      </c>
      <c r="Q242" s="1894">
        <v>255.83999999999997</v>
      </c>
      <c r="R242" s="1894">
        <v>255.84</v>
      </c>
      <c r="S242" s="1894">
        <v>0.73619999999999997</v>
      </c>
      <c r="T242" s="1894">
        <v>0</v>
      </c>
      <c r="U242" s="1894">
        <v>48814</v>
      </c>
      <c r="V242" s="1894">
        <f t="shared" si="87"/>
        <v>114207</v>
      </c>
      <c r="W242" s="1894">
        <f t="shared" si="88"/>
        <v>0</v>
      </c>
      <c r="X242" s="1894">
        <v>178</v>
      </c>
      <c r="Y242" s="1894">
        <v>211.52</v>
      </c>
      <c r="Z242" s="1894">
        <v>211.52</v>
      </c>
      <c r="AA242" s="1894">
        <v>0.75319999999999998</v>
      </c>
      <c r="AB242" s="1894">
        <v>0</v>
      </c>
      <c r="AC242" s="1894">
        <v>30028</v>
      </c>
      <c r="AD242" s="1894">
        <f t="shared" si="89"/>
        <v>91377</v>
      </c>
      <c r="AE242" s="1894">
        <f t="shared" si="90"/>
        <v>0</v>
      </c>
      <c r="AF242" s="1894">
        <v>178</v>
      </c>
      <c r="AG242" s="1894">
        <v>267.36</v>
      </c>
      <c r="AH242" s="1894">
        <v>267.36</v>
      </c>
      <c r="AI242" s="1894">
        <v>0.69889999999999997</v>
      </c>
      <c r="AJ242" s="1894">
        <v>0</v>
      </c>
      <c r="AK242" s="1894">
        <v>68309</v>
      </c>
      <c r="AL242" s="1894">
        <f t="shared" si="108"/>
        <v>119350</v>
      </c>
      <c r="AM242" s="1894">
        <f t="shared" si="109"/>
        <v>0</v>
      </c>
      <c r="AN242" s="1894">
        <v>178</v>
      </c>
      <c r="AO242" s="1894">
        <v>255.92000000000002</v>
      </c>
      <c r="AP242" s="1894">
        <v>255.92</v>
      </c>
      <c r="AQ242" s="1894">
        <v>0.71689999999999998</v>
      </c>
      <c r="AR242" s="1894">
        <v>0</v>
      </c>
      <c r="AS242" s="1894">
        <v>73395</v>
      </c>
      <c r="AT242" s="1894">
        <f t="shared" si="91"/>
        <v>114243</v>
      </c>
      <c r="AU242" s="1894">
        <f t="shared" si="92"/>
        <v>0</v>
      </c>
      <c r="AV242" s="1894">
        <v>178</v>
      </c>
      <c r="AW242" s="1894">
        <v>113.52</v>
      </c>
      <c r="AX242" s="1894">
        <v>178</v>
      </c>
      <c r="AY242" s="1894">
        <v>0.75039999999999996</v>
      </c>
      <c r="AZ242" s="1894">
        <v>0</v>
      </c>
      <c r="BA242" s="1894">
        <v>30215</v>
      </c>
      <c r="BB242" s="1894">
        <f t="shared" si="93"/>
        <v>49041</v>
      </c>
      <c r="BC242" s="1894">
        <f t="shared" si="94"/>
        <v>0</v>
      </c>
      <c r="BD242" s="1894">
        <v>178</v>
      </c>
      <c r="BE242" s="1894">
        <v>127.03999999999999</v>
      </c>
      <c r="BF242" s="1894">
        <v>178</v>
      </c>
      <c r="BG242" s="1894">
        <v>0.73260000000000003</v>
      </c>
      <c r="BH242" s="1894">
        <v>0</v>
      </c>
      <c r="BI242" s="1894">
        <v>32103</v>
      </c>
      <c r="BJ242" s="1894">
        <f t="shared" si="95"/>
        <v>56711</v>
      </c>
      <c r="BK242" s="1894">
        <f t="shared" si="96"/>
        <v>0</v>
      </c>
      <c r="BL242" s="1894">
        <v>178</v>
      </c>
      <c r="BM242" s="1894">
        <v>105.04</v>
      </c>
      <c r="BN242" s="1894">
        <v>178</v>
      </c>
      <c r="BO242" s="1894">
        <v>0.65690000000000004</v>
      </c>
      <c r="BP242" s="1894">
        <v>0</v>
      </c>
      <c r="BQ242" s="1894">
        <v>8963</v>
      </c>
      <c r="BR242" s="1894">
        <f t="shared" si="97"/>
        <v>45377</v>
      </c>
      <c r="BS242" s="1894">
        <f t="shared" si="98"/>
        <v>0</v>
      </c>
      <c r="BT242" s="1894">
        <v>178</v>
      </c>
      <c r="BU242" s="1894">
        <v>26.72</v>
      </c>
      <c r="BV242" s="1894">
        <v>178</v>
      </c>
      <c r="BW242" s="1894">
        <v>0.69569999999999999</v>
      </c>
      <c r="BX242" s="1894">
        <v>0</v>
      </c>
      <c r="BY242" s="1894">
        <v>10117</v>
      </c>
      <c r="BZ242" s="1894">
        <f t="shared" si="99"/>
        <v>11928</v>
      </c>
      <c r="CA242" s="1894">
        <f t="shared" si="100"/>
        <v>0</v>
      </c>
      <c r="CB242" s="1894">
        <v>178</v>
      </c>
      <c r="CC242" s="1894">
        <v>110.16</v>
      </c>
      <c r="CD242" s="1894">
        <v>178</v>
      </c>
      <c r="CE242" s="1894">
        <v>0.78859999999999997</v>
      </c>
      <c r="CF242" s="1894">
        <v>0</v>
      </c>
      <c r="CG242" s="1894">
        <v>21628</v>
      </c>
      <c r="CH242" s="1894">
        <f t="shared" si="101"/>
        <v>49175</v>
      </c>
      <c r="CI242" s="1894">
        <f t="shared" si="102"/>
        <v>0</v>
      </c>
      <c r="CJ242" s="1894">
        <v>178</v>
      </c>
      <c r="CK242" s="1894">
        <v>155.6</v>
      </c>
      <c r="CL242" s="1894">
        <v>178</v>
      </c>
      <c r="CM242" s="1894">
        <v>0.75290000000000001</v>
      </c>
      <c r="CN242" s="1894">
        <v>0</v>
      </c>
      <c r="CO242" s="1894">
        <v>21691</v>
      </c>
      <c r="CP242" s="1894">
        <f t="shared" si="103"/>
        <v>62738</v>
      </c>
      <c r="CQ242" s="1894">
        <f t="shared" si="104"/>
        <v>0</v>
      </c>
      <c r="CR242" s="1924">
        <v>178</v>
      </c>
      <c r="CS242" s="1924">
        <v>184.08</v>
      </c>
      <c r="CT242" s="1924">
        <v>184.08</v>
      </c>
      <c r="CU242" s="1924">
        <v>0.74839999999999995</v>
      </c>
      <c r="CV242" s="1924">
        <v>0</v>
      </c>
      <c r="CW242" s="1924">
        <v>46096</v>
      </c>
      <c r="CX242" s="1894">
        <f t="shared" si="105"/>
        <v>82173</v>
      </c>
      <c r="CY242" s="1894">
        <f t="shared" si="106"/>
        <v>0</v>
      </c>
    </row>
    <row r="243" spans="1:103">
      <c r="A243" s="982">
        <v>123000000103</v>
      </c>
      <c r="B243" s="1923">
        <f t="shared" si="107"/>
        <v>237</v>
      </c>
      <c r="C243" s="1895" t="s">
        <v>3127</v>
      </c>
      <c r="D243" s="1894" t="s">
        <v>524</v>
      </c>
      <c r="E243" s="1895" t="s">
        <v>2966</v>
      </c>
      <c r="F243" s="1894" t="s">
        <v>259</v>
      </c>
      <c r="G243" s="1924">
        <v>178</v>
      </c>
      <c r="H243" s="1894">
        <v>178</v>
      </c>
      <c r="I243" s="1894">
        <v>98.72</v>
      </c>
      <c r="J243" s="1894">
        <v>178</v>
      </c>
      <c r="K243" s="1894">
        <v>0.78879999999999995</v>
      </c>
      <c r="L243" s="1894">
        <v>0</v>
      </c>
      <c r="M243" s="1894">
        <v>16527</v>
      </c>
      <c r="N243" s="1894">
        <f t="shared" si="85"/>
        <v>42647</v>
      </c>
      <c r="O243" s="1894">
        <f t="shared" si="86"/>
        <v>0</v>
      </c>
      <c r="P243" s="1894">
        <v>178</v>
      </c>
      <c r="Q243" s="1894">
        <v>114</v>
      </c>
      <c r="R243" s="1894">
        <v>178</v>
      </c>
      <c r="S243" s="1894">
        <v>0.78759999999999997</v>
      </c>
      <c r="T243" s="1894">
        <v>0</v>
      </c>
      <c r="U243" s="1894">
        <v>20539</v>
      </c>
      <c r="V243" s="1894">
        <f t="shared" si="87"/>
        <v>50890</v>
      </c>
      <c r="W243" s="1894">
        <f t="shared" si="88"/>
        <v>0</v>
      </c>
      <c r="X243" s="1894">
        <v>178</v>
      </c>
      <c r="Y243" s="1894">
        <v>126</v>
      </c>
      <c r="Z243" s="1894">
        <v>178</v>
      </c>
      <c r="AA243" s="1894">
        <v>0.78920000000000001</v>
      </c>
      <c r="AB243" s="1894">
        <v>0</v>
      </c>
      <c r="AC243" s="1894">
        <v>21719</v>
      </c>
      <c r="AD243" s="1894">
        <f t="shared" si="89"/>
        <v>54432</v>
      </c>
      <c r="AE243" s="1894">
        <f t="shared" si="90"/>
        <v>0</v>
      </c>
      <c r="AF243" s="1894">
        <v>178</v>
      </c>
      <c r="AG243" s="1894">
        <v>121.6</v>
      </c>
      <c r="AH243" s="1894">
        <v>178</v>
      </c>
      <c r="AI243" s="1894">
        <v>0.79069999999999996</v>
      </c>
      <c r="AJ243" s="1894">
        <v>0</v>
      </c>
      <c r="AK243" s="1894">
        <v>33432</v>
      </c>
      <c r="AL243" s="1894">
        <f t="shared" si="108"/>
        <v>54282</v>
      </c>
      <c r="AM243" s="1894">
        <f t="shared" si="109"/>
        <v>0</v>
      </c>
      <c r="AN243" s="1894">
        <v>178</v>
      </c>
      <c r="AO243" s="1894">
        <v>108.96</v>
      </c>
      <c r="AP243" s="1894">
        <v>178</v>
      </c>
      <c r="AQ243" s="1894">
        <v>0.77070000000000005</v>
      </c>
      <c r="AR243" s="1894">
        <v>0</v>
      </c>
      <c r="AS243" s="1894">
        <v>16735</v>
      </c>
      <c r="AT243" s="1894">
        <f t="shared" si="91"/>
        <v>48640</v>
      </c>
      <c r="AU243" s="1894">
        <f t="shared" si="92"/>
        <v>0</v>
      </c>
      <c r="AV243" s="1894">
        <v>178</v>
      </c>
      <c r="AW243" s="1894">
        <v>92.8</v>
      </c>
      <c r="AX243" s="1894">
        <v>178</v>
      </c>
      <c r="AY243" s="1894">
        <v>0.78669999999999995</v>
      </c>
      <c r="AZ243" s="1894">
        <v>0</v>
      </c>
      <c r="BA243" s="1894">
        <v>24994</v>
      </c>
      <c r="BB243" s="1894">
        <f t="shared" si="93"/>
        <v>40090</v>
      </c>
      <c r="BC243" s="1894">
        <f t="shared" si="94"/>
        <v>0</v>
      </c>
      <c r="BD243" s="1894">
        <v>178</v>
      </c>
      <c r="BE243" s="1894">
        <v>119.12</v>
      </c>
      <c r="BF243" s="1894">
        <v>178</v>
      </c>
      <c r="BG243" s="1894">
        <v>0.77749999999999997</v>
      </c>
      <c r="BH243" s="1894">
        <v>0</v>
      </c>
      <c r="BI243" s="1894">
        <v>36791</v>
      </c>
      <c r="BJ243" s="1894">
        <f t="shared" si="95"/>
        <v>53175</v>
      </c>
      <c r="BK243" s="1894">
        <f t="shared" si="96"/>
        <v>0</v>
      </c>
      <c r="BL243" s="1894">
        <v>178</v>
      </c>
      <c r="BM243" s="1894">
        <v>117.76</v>
      </c>
      <c r="BN243" s="1894">
        <v>178</v>
      </c>
      <c r="BO243" s="1894">
        <v>0.71909999999999996</v>
      </c>
      <c r="BP243" s="1894">
        <v>0</v>
      </c>
      <c r="BQ243" s="1894">
        <v>26492</v>
      </c>
      <c r="BR243" s="1894">
        <f t="shared" si="97"/>
        <v>50872</v>
      </c>
      <c r="BS243" s="1894">
        <f t="shared" si="98"/>
        <v>0</v>
      </c>
      <c r="BT243" s="1894">
        <v>178</v>
      </c>
      <c r="BU243" s="1894">
        <v>29.52</v>
      </c>
      <c r="BV243" s="1894">
        <v>178</v>
      </c>
      <c r="BW243" s="1894">
        <v>0.31109999999999999</v>
      </c>
      <c r="BX243" s="1894">
        <v>0</v>
      </c>
      <c r="BY243" s="1894">
        <v>5772</v>
      </c>
      <c r="BZ243" s="1894">
        <f t="shared" si="99"/>
        <v>13178</v>
      </c>
      <c r="CA243" s="1894">
        <f t="shared" si="100"/>
        <v>0</v>
      </c>
      <c r="CB243" s="1894">
        <v>178</v>
      </c>
      <c r="CC243" s="1894">
        <v>11.04</v>
      </c>
      <c r="CD243" s="1894">
        <v>178</v>
      </c>
      <c r="CE243" s="1894">
        <v>0.24340000000000001</v>
      </c>
      <c r="CF243" s="1894">
        <v>0</v>
      </c>
      <c r="CG243" s="1894">
        <v>4333</v>
      </c>
      <c r="CH243" s="1894">
        <f t="shared" si="101"/>
        <v>4928</v>
      </c>
      <c r="CI243" s="1894">
        <f t="shared" si="102"/>
        <v>0</v>
      </c>
      <c r="CJ243" s="1894">
        <v>178</v>
      </c>
      <c r="CK243" s="1894">
        <v>17.12</v>
      </c>
      <c r="CL243" s="1894">
        <v>178</v>
      </c>
      <c r="CM243" s="1894">
        <v>0.42699999999999999</v>
      </c>
      <c r="CN243" s="1894">
        <v>0</v>
      </c>
      <c r="CO243" s="1894">
        <v>4042</v>
      </c>
      <c r="CP243" s="1894">
        <f t="shared" si="103"/>
        <v>6903</v>
      </c>
      <c r="CQ243" s="1894">
        <f t="shared" si="104"/>
        <v>0</v>
      </c>
      <c r="CR243" s="1924">
        <v>178</v>
      </c>
      <c r="CS243" s="1924">
        <v>43.28</v>
      </c>
      <c r="CT243" s="1924">
        <v>178</v>
      </c>
      <c r="CU243" s="1924">
        <v>0.69550000000000001</v>
      </c>
      <c r="CV243" s="1924">
        <v>0</v>
      </c>
      <c r="CW243" s="1924">
        <v>6270</v>
      </c>
      <c r="CX243" s="1894">
        <f t="shared" si="105"/>
        <v>19320</v>
      </c>
      <c r="CY243" s="1894">
        <f t="shared" si="106"/>
        <v>0</v>
      </c>
    </row>
    <row r="244" spans="1:103">
      <c r="A244" s="982">
        <v>123000000104</v>
      </c>
      <c r="B244" s="1923">
        <f t="shared" si="107"/>
        <v>238</v>
      </c>
      <c r="C244" s="1895" t="s">
        <v>3128</v>
      </c>
      <c r="D244" s="1894" t="s">
        <v>524</v>
      </c>
      <c r="E244" s="1895" t="s">
        <v>636</v>
      </c>
      <c r="F244" s="1894" t="s">
        <v>259</v>
      </c>
      <c r="G244" s="1924">
        <v>178</v>
      </c>
      <c r="H244" s="1894">
        <v>178</v>
      </c>
      <c r="I244" s="1894">
        <v>128.72</v>
      </c>
      <c r="J244" s="1894">
        <v>142.4</v>
      </c>
      <c r="K244" s="1894">
        <v>0.77790000000000004</v>
      </c>
      <c r="L244" s="1894">
        <v>28.23</v>
      </c>
      <c r="M244" s="1894">
        <v>26161</v>
      </c>
      <c r="N244" s="1894">
        <f t="shared" si="85"/>
        <v>55607</v>
      </c>
      <c r="O244" s="1894">
        <f t="shared" si="86"/>
        <v>0</v>
      </c>
      <c r="P244" s="1894">
        <v>178</v>
      </c>
      <c r="Q244" s="1894">
        <v>141.28</v>
      </c>
      <c r="R244" s="1894">
        <v>142.4</v>
      </c>
      <c r="S244" s="1894">
        <v>0.79920000000000002</v>
      </c>
      <c r="T244" s="1894">
        <v>26.13</v>
      </c>
      <c r="U244" s="1894">
        <v>21262</v>
      </c>
      <c r="V244" s="1894">
        <f t="shared" si="87"/>
        <v>63067</v>
      </c>
      <c r="W244" s="1894">
        <f t="shared" si="88"/>
        <v>0</v>
      </c>
      <c r="X244" s="1894">
        <v>178</v>
      </c>
      <c r="Y244" s="1894">
        <v>138.39999999999998</v>
      </c>
      <c r="Z244" s="1894">
        <v>142.4</v>
      </c>
      <c r="AA244" s="1894">
        <v>0.78049999999999997</v>
      </c>
      <c r="AB244" s="1894">
        <v>32.229999999999997</v>
      </c>
      <c r="AC244" s="1894">
        <v>39606</v>
      </c>
      <c r="AD244" s="1894">
        <f t="shared" si="89"/>
        <v>59789</v>
      </c>
      <c r="AE244" s="1894">
        <f t="shared" si="90"/>
        <v>0</v>
      </c>
      <c r="AF244" s="1894">
        <v>178</v>
      </c>
      <c r="AG244" s="1894">
        <v>110.24000000000001</v>
      </c>
      <c r="AH244" s="1894">
        <v>142.4</v>
      </c>
      <c r="AI244" s="1894">
        <v>0.71970000000000001</v>
      </c>
      <c r="AJ244" s="1894">
        <v>12.06</v>
      </c>
      <c r="AK244" s="1894">
        <v>9889</v>
      </c>
      <c r="AL244" s="1894">
        <f t="shared" si="108"/>
        <v>49211</v>
      </c>
      <c r="AM244" s="1894">
        <f t="shared" si="109"/>
        <v>0</v>
      </c>
      <c r="AN244" s="1894">
        <v>178</v>
      </c>
      <c r="AO244" s="1894">
        <v>113.84</v>
      </c>
      <c r="AP244" s="1894">
        <v>142.4</v>
      </c>
      <c r="AQ244" s="1894">
        <v>0.75149999999999995</v>
      </c>
      <c r="AR244" s="1894">
        <v>26.78</v>
      </c>
      <c r="AS244" s="1894">
        <v>22686</v>
      </c>
      <c r="AT244" s="1894">
        <f t="shared" si="91"/>
        <v>50818</v>
      </c>
      <c r="AU244" s="1894">
        <f t="shared" si="92"/>
        <v>0</v>
      </c>
      <c r="AV244" s="1894">
        <v>178</v>
      </c>
      <c r="AW244" s="1894">
        <v>138.16</v>
      </c>
      <c r="AX244" s="1894">
        <v>142.4</v>
      </c>
      <c r="AY244" s="1894">
        <v>0.76570000000000005</v>
      </c>
      <c r="AZ244" s="1894">
        <v>35.049999999999997</v>
      </c>
      <c r="BA244" s="1894">
        <v>34871</v>
      </c>
      <c r="BB244" s="1894">
        <f t="shared" si="93"/>
        <v>59685</v>
      </c>
      <c r="BC244" s="1894">
        <f t="shared" si="94"/>
        <v>0</v>
      </c>
      <c r="BD244" s="1894">
        <v>178</v>
      </c>
      <c r="BE244" s="1894">
        <v>141.04000000000002</v>
      </c>
      <c r="BF244" s="1894">
        <v>142.4</v>
      </c>
      <c r="BG244" s="1894">
        <v>0.76280000000000003</v>
      </c>
      <c r="BH244" s="1894">
        <v>42.34</v>
      </c>
      <c r="BI244" s="1894">
        <v>44431</v>
      </c>
      <c r="BJ244" s="1894">
        <f t="shared" si="95"/>
        <v>62960</v>
      </c>
      <c r="BK244" s="1894">
        <f t="shared" si="96"/>
        <v>0</v>
      </c>
      <c r="BL244" s="1894">
        <v>178</v>
      </c>
      <c r="BM244" s="1894">
        <v>71.92</v>
      </c>
      <c r="BN244" s="1894">
        <v>142.4</v>
      </c>
      <c r="BO244" s="1894">
        <v>0.65349999999999997</v>
      </c>
      <c r="BP244" s="1894">
        <v>11.31</v>
      </c>
      <c r="BQ244" s="1894">
        <v>5859</v>
      </c>
      <c r="BR244" s="1894">
        <f t="shared" si="97"/>
        <v>31069</v>
      </c>
      <c r="BS244" s="1894">
        <f t="shared" si="98"/>
        <v>0</v>
      </c>
      <c r="BT244" s="1894">
        <v>178</v>
      </c>
      <c r="BU244" s="1894">
        <v>8.7200000000000006</v>
      </c>
      <c r="BV244" s="1894">
        <v>142.4</v>
      </c>
      <c r="BW244" s="1894">
        <v>0.32979999999999998</v>
      </c>
      <c r="BX244" s="1894">
        <v>22.24</v>
      </c>
      <c r="BY244" s="1894">
        <v>1443</v>
      </c>
      <c r="BZ244" s="1894">
        <f t="shared" si="99"/>
        <v>3893</v>
      </c>
      <c r="CA244" s="1894">
        <f t="shared" si="100"/>
        <v>0</v>
      </c>
      <c r="CB244" s="1894">
        <v>178</v>
      </c>
      <c r="CC244" s="1894">
        <v>19.36</v>
      </c>
      <c r="CD244" s="1894">
        <v>142.4</v>
      </c>
      <c r="CE244" s="1894">
        <v>0.77590000000000003</v>
      </c>
      <c r="CF244" s="1894">
        <v>7.28</v>
      </c>
      <c r="CG244" s="1894">
        <v>1049</v>
      </c>
      <c r="CH244" s="1894">
        <f t="shared" si="101"/>
        <v>8642</v>
      </c>
      <c r="CI244" s="1894">
        <f t="shared" si="102"/>
        <v>0</v>
      </c>
      <c r="CJ244" s="1894">
        <v>178</v>
      </c>
      <c r="CK244" s="1894">
        <v>55.600000000000009</v>
      </c>
      <c r="CL244" s="1894">
        <v>142.4</v>
      </c>
      <c r="CM244" s="1894">
        <v>0.72599999999999998</v>
      </c>
      <c r="CN244" s="1894">
        <v>22.95</v>
      </c>
      <c r="CO244" s="1894">
        <v>8575</v>
      </c>
      <c r="CP244" s="1894">
        <f t="shared" si="103"/>
        <v>22418</v>
      </c>
      <c r="CQ244" s="1894">
        <f t="shared" si="104"/>
        <v>0</v>
      </c>
      <c r="CR244" s="1924">
        <v>178</v>
      </c>
      <c r="CS244" s="1924">
        <v>123.27999999999999</v>
      </c>
      <c r="CT244" s="1924">
        <v>142.4</v>
      </c>
      <c r="CU244" s="1924">
        <v>0.71750000000000003</v>
      </c>
      <c r="CV244" s="1924">
        <v>17.27</v>
      </c>
      <c r="CW244" s="1924">
        <v>15842</v>
      </c>
      <c r="CX244" s="1894">
        <f t="shared" si="105"/>
        <v>55032</v>
      </c>
      <c r="CY244" s="1894">
        <f t="shared" si="106"/>
        <v>0</v>
      </c>
    </row>
    <row r="245" spans="1:103">
      <c r="A245" s="982">
        <v>123000000114</v>
      </c>
      <c r="B245" s="1923">
        <f t="shared" si="107"/>
        <v>239</v>
      </c>
      <c r="C245" s="1895" t="s">
        <v>3129</v>
      </c>
      <c r="D245" s="1894" t="s">
        <v>524</v>
      </c>
      <c r="E245" s="1895" t="s">
        <v>2966</v>
      </c>
      <c r="F245" s="1894" t="s">
        <v>259</v>
      </c>
      <c r="G245" s="1924">
        <v>178</v>
      </c>
      <c r="H245" s="1894">
        <v>178</v>
      </c>
      <c r="I245" s="1894">
        <v>208.4</v>
      </c>
      <c r="J245" s="1894">
        <v>208.4</v>
      </c>
      <c r="K245" s="1894">
        <v>0.84960000000000002</v>
      </c>
      <c r="L245" s="1894">
        <v>0</v>
      </c>
      <c r="M245" s="1894">
        <v>45504</v>
      </c>
      <c r="N245" s="1894">
        <f t="shared" si="85"/>
        <v>90029</v>
      </c>
      <c r="O245" s="1894">
        <f t="shared" si="86"/>
        <v>0</v>
      </c>
      <c r="P245" s="1894">
        <v>178</v>
      </c>
      <c r="Q245" s="1894">
        <v>161.20000000000002</v>
      </c>
      <c r="R245" s="1894">
        <v>178</v>
      </c>
      <c r="S245" s="1894">
        <v>0.9748</v>
      </c>
      <c r="T245" s="1894">
        <v>0</v>
      </c>
      <c r="U245" s="1894">
        <v>44196</v>
      </c>
      <c r="V245" s="1894">
        <f t="shared" si="87"/>
        <v>71960</v>
      </c>
      <c r="W245" s="1894">
        <f t="shared" si="88"/>
        <v>0</v>
      </c>
      <c r="X245" s="1894">
        <v>178</v>
      </c>
      <c r="Y245" s="1894">
        <v>147.19999999999999</v>
      </c>
      <c r="Z245" s="1894">
        <v>178</v>
      </c>
      <c r="AA245" s="1894">
        <v>0.9718</v>
      </c>
      <c r="AB245" s="1894">
        <v>0</v>
      </c>
      <c r="AC245" s="1894">
        <v>19423</v>
      </c>
      <c r="AD245" s="1894">
        <f t="shared" si="89"/>
        <v>63590</v>
      </c>
      <c r="AE245" s="1894">
        <f t="shared" si="90"/>
        <v>0</v>
      </c>
      <c r="AF245" s="1894">
        <v>178</v>
      </c>
      <c r="AG245" s="1894">
        <v>145.76</v>
      </c>
      <c r="AH245" s="1894">
        <v>178</v>
      </c>
      <c r="AI245" s="1894">
        <v>0.97919999999999996</v>
      </c>
      <c r="AJ245" s="1894">
        <v>0</v>
      </c>
      <c r="AK245" s="1894">
        <v>34817</v>
      </c>
      <c r="AL245" s="1894">
        <f t="shared" si="108"/>
        <v>65067</v>
      </c>
      <c r="AM245" s="1894">
        <f t="shared" si="109"/>
        <v>0</v>
      </c>
      <c r="AN245" s="1894">
        <v>178</v>
      </c>
      <c r="AO245" s="1894">
        <v>100.16000000000001</v>
      </c>
      <c r="AP245" s="1894">
        <v>178</v>
      </c>
      <c r="AQ245" s="1894">
        <v>0.98340000000000005</v>
      </c>
      <c r="AR245" s="1894">
        <v>0</v>
      </c>
      <c r="AS245" s="1894">
        <v>22257</v>
      </c>
      <c r="AT245" s="1894">
        <f t="shared" si="91"/>
        <v>44711</v>
      </c>
      <c r="AU245" s="1894">
        <f t="shared" si="92"/>
        <v>0</v>
      </c>
      <c r="AV245" s="1894">
        <v>178</v>
      </c>
      <c r="AW245" s="1894">
        <v>136.4</v>
      </c>
      <c r="AX245" s="1894">
        <v>178</v>
      </c>
      <c r="AY245" s="1894">
        <v>0.98319999999999996</v>
      </c>
      <c r="AZ245" s="1894">
        <v>0</v>
      </c>
      <c r="BA245" s="1894">
        <v>37057</v>
      </c>
      <c r="BB245" s="1894">
        <f t="shared" si="93"/>
        <v>58925</v>
      </c>
      <c r="BC245" s="1894">
        <f t="shared" si="94"/>
        <v>0</v>
      </c>
      <c r="BD245" s="1894">
        <v>178</v>
      </c>
      <c r="BE245" s="1894">
        <v>119.52000000000001</v>
      </c>
      <c r="BF245" s="1894">
        <v>178</v>
      </c>
      <c r="BG245" s="1894">
        <v>0.78500000000000003</v>
      </c>
      <c r="BH245" s="1894">
        <v>0</v>
      </c>
      <c r="BI245" s="1894">
        <v>18887</v>
      </c>
      <c r="BJ245" s="1894">
        <f t="shared" si="95"/>
        <v>53354</v>
      </c>
      <c r="BK245" s="1894">
        <f t="shared" si="96"/>
        <v>0</v>
      </c>
      <c r="BL245" s="1894">
        <v>178</v>
      </c>
      <c r="BM245" s="1894">
        <v>36.480000000000004</v>
      </c>
      <c r="BN245" s="1894">
        <v>178</v>
      </c>
      <c r="BO245" s="1894">
        <v>0.77070000000000005</v>
      </c>
      <c r="BP245" s="1894">
        <v>0</v>
      </c>
      <c r="BQ245" s="1894">
        <v>5892</v>
      </c>
      <c r="BR245" s="1894">
        <f t="shared" si="97"/>
        <v>15759</v>
      </c>
      <c r="BS245" s="1894">
        <f t="shared" si="98"/>
        <v>0</v>
      </c>
      <c r="BT245" s="1894">
        <v>178</v>
      </c>
      <c r="BU245" s="1894">
        <v>8.5599999999999987</v>
      </c>
      <c r="BV245" s="1894">
        <v>178</v>
      </c>
      <c r="BW245" s="1894">
        <v>0.62239999999999995</v>
      </c>
      <c r="BX245" s="1894">
        <v>0</v>
      </c>
      <c r="BY245" s="1894">
        <v>1947</v>
      </c>
      <c r="BZ245" s="1894">
        <f t="shared" si="99"/>
        <v>3821</v>
      </c>
      <c r="CA245" s="1894">
        <f t="shared" si="100"/>
        <v>0</v>
      </c>
      <c r="CB245" s="1894">
        <v>178</v>
      </c>
      <c r="CC245" s="1894">
        <v>85.2</v>
      </c>
      <c r="CD245" s="1894">
        <v>178</v>
      </c>
      <c r="CE245" s="1894">
        <v>0.96699999999999997</v>
      </c>
      <c r="CF245" s="1894">
        <v>0</v>
      </c>
      <c r="CG245" s="1894">
        <v>13436</v>
      </c>
      <c r="CH245" s="1894">
        <f t="shared" si="101"/>
        <v>38033</v>
      </c>
      <c r="CI245" s="1894">
        <f t="shared" si="102"/>
        <v>0</v>
      </c>
      <c r="CJ245" s="1894">
        <v>178</v>
      </c>
      <c r="CK245" s="1894">
        <v>159.20000000000002</v>
      </c>
      <c r="CL245" s="1894">
        <v>178</v>
      </c>
      <c r="CM245" s="1894">
        <v>0.98140000000000005</v>
      </c>
      <c r="CN245" s="1894">
        <v>0</v>
      </c>
      <c r="CO245" s="1894">
        <v>28078</v>
      </c>
      <c r="CP245" s="1894">
        <f t="shared" si="103"/>
        <v>64189</v>
      </c>
      <c r="CQ245" s="1894">
        <f t="shared" si="104"/>
        <v>0</v>
      </c>
      <c r="CR245" s="1924">
        <v>178</v>
      </c>
      <c r="CS245" s="1924">
        <v>161.12</v>
      </c>
      <c r="CT245" s="1924">
        <v>178</v>
      </c>
      <c r="CU245" s="1924">
        <v>0.98750000000000004</v>
      </c>
      <c r="CV245" s="1924">
        <v>0</v>
      </c>
      <c r="CW245" s="1924">
        <v>49869</v>
      </c>
      <c r="CX245" s="1894">
        <f t="shared" si="105"/>
        <v>71924</v>
      </c>
      <c r="CY245" s="1894">
        <f t="shared" si="106"/>
        <v>0</v>
      </c>
    </row>
    <row r="246" spans="1:103">
      <c r="A246" s="982">
        <v>126000000007</v>
      </c>
      <c r="B246" s="1923">
        <f t="shared" si="107"/>
        <v>240</v>
      </c>
      <c r="C246" s="1895" t="s">
        <v>3130</v>
      </c>
      <c r="D246" s="1894" t="s">
        <v>524</v>
      </c>
      <c r="E246" s="1895" t="s">
        <v>541</v>
      </c>
      <c r="F246" s="1894" t="s">
        <v>259</v>
      </c>
      <c r="G246" s="1924">
        <v>178</v>
      </c>
      <c r="H246" s="1894">
        <v>178</v>
      </c>
      <c r="I246" s="1894">
        <v>174.06</v>
      </c>
      <c r="J246" s="1894">
        <v>174.06</v>
      </c>
      <c r="K246" s="1894">
        <v>0.9526</v>
      </c>
      <c r="L246" s="1894">
        <v>47.21</v>
      </c>
      <c r="M246" s="1894">
        <v>59160</v>
      </c>
      <c r="N246" s="1894">
        <f t="shared" si="85"/>
        <v>75194</v>
      </c>
      <c r="O246" s="1894">
        <f t="shared" si="86"/>
        <v>0</v>
      </c>
      <c r="P246" s="1894">
        <v>178</v>
      </c>
      <c r="Q246" s="1894">
        <v>174.82</v>
      </c>
      <c r="R246" s="1894">
        <v>174.82</v>
      </c>
      <c r="S246" s="1894">
        <v>0.95779999999999998</v>
      </c>
      <c r="T246" s="1894">
        <v>41.99</v>
      </c>
      <c r="U246" s="1894">
        <v>54614</v>
      </c>
      <c r="V246" s="1894">
        <f t="shared" si="87"/>
        <v>78040</v>
      </c>
      <c r="W246" s="1894">
        <f t="shared" si="88"/>
        <v>0</v>
      </c>
      <c r="X246" s="1894">
        <v>178</v>
      </c>
      <c r="Y246" s="1894">
        <v>166.62</v>
      </c>
      <c r="Z246" s="1894">
        <v>166.62</v>
      </c>
      <c r="AA246" s="1894">
        <v>0.98839999999999995</v>
      </c>
      <c r="AB246" s="1894">
        <v>30.14</v>
      </c>
      <c r="AC246" s="1894">
        <v>36158</v>
      </c>
      <c r="AD246" s="1894">
        <f t="shared" si="89"/>
        <v>71980</v>
      </c>
      <c r="AE246" s="1894">
        <f t="shared" si="90"/>
        <v>0</v>
      </c>
      <c r="AF246" s="1894">
        <v>178</v>
      </c>
      <c r="AG246" s="1894">
        <v>147.62</v>
      </c>
      <c r="AH246" s="1894">
        <v>147.62</v>
      </c>
      <c r="AI246" s="1894">
        <v>0.996</v>
      </c>
      <c r="AJ246" s="1894">
        <v>41.94</v>
      </c>
      <c r="AK246" s="1894">
        <v>46058</v>
      </c>
      <c r="AL246" s="1894">
        <f t="shared" si="108"/>
        <v>65898</v>
      </c>
      <c r="AM246" s="1894">
        <f t="shared" si="109"/>
        <v>0</v>
      </c>
      <c r="AN246" s="1894">
        <v>178</v>
      </c>
      <c r="AO246" s="1894">
        <v>136.82000000000002</v>
      </c>
      <c r="AP246" s="1894">
        <v>142.4</v>
      </c>
      <c r="AQ246" s="1894">
        <v>0.98909999999999998</v>
      </c>
      <c r="AR246" s="1894">
        <v>36.630000000000003</v>
      </c>
      <c r="AS246" s="1894">
        <v>37284</v>
      </c>
      <c r="AT246" s="1894">
        <f t="shared" si="91"/>
        <v>61076</v>
      </c>
      <c r="AU246" s="1894">
        <f t="shared" si="92"/>
        <v>0</v>
      </c>
      <c r="AV246" s="1894">
        <v>178</v>
      </c>
      <c r="AW246" s="1894">
        <v>141.32</v>
      </c>
      <c r="AX246" s="1894">
        <v>142.4</v>
      </c>
      <c r="AY246" s="1894">
        <v>0.96230000000000004</v>
      </c>
      <c r="AZ246" s="1894">
        <v>19.86</v>
      </c>
      <c r="BA246" s="1894">
        <v>20204</v>
      </c>
      <c r="BB246" s="1894">
        <f t="shared" si="93"/>
        <v>61050</v>
      </c>
      <c r="BC246" s="1894">
        <f t="shared" si="94"/>
        <v>0</v>
      </c>
      <c r="BD246" s="1894">
        <v>178</v>
      </c>
      <c r="BE246" s="1894">
        <v>21.5</v>
      </c>
      <c r="BF246" s="1894">
        <v>142.4</v>
      </c>
      <c r="BG246" s="1894">
        <v>0.57410000000000005</v>
      </c>
      <c r="BH246" s="1894">
        <v>24.28</v>
      </c>
      <c r="BI246" s="1894">
        <v>3884</v>
      </c>
      <c r="BJ246" s="1894">
        <f t="shared" si="95"/>
        <v>9598</v>
      </c>
      <c r="BK246" s="1894">
        <f t="shared" si="96"/>
        <v>0</v>
      </c>
      <c r="BL246" s="1894">
        <v>178</v>
      </c>
      <c r="BM246" s="1894">
        <v>23.62</v>
      </c>
      <c r="BN246" s="1894">
        <v>142.4</v>
      </c>
      <c r="BO246" s="1894">
        <v>0.45669999999999999</v>
      </c>
      <c r="BP246" s="1894">
        <v>28.25</v>
      </c>
      <c r="BQ246" s="1894">
        <v>4804</v>
      </c>
      <c r="BR246" s="1894">
        <f t="shared" si="97"/>
        <v>10204</v>
      </c>
      <c r="BS246" s="1894">
        <f t="shared" si="98"/>
        <v>0</v>
      </c>
      <c r="BT246" s="1894">
        <v>178</v>
      </c>
      <c r="BU246" s="1894">
        <v>60.38</v>
      </c>
      <c r="BV246" s="1894">
        <v>142.4</v>
      </c>
      <c r="BW246" s="1894">
        <v>0.51349999999999996</v>
      </c>
      <c r="BX246" s="1894">
        <v>11.35</v>
      </c>
      <c r="BY246" s="1894">
        <v>5098</v>
      </c>
      <c r="BZ246" s="1894">
        <f t="shared" si="99"/>
        <v>26954</v>
      </c>
      <c r="CA246" s="1894">
        <f t="shared" si="100"/>
        <v>0</v>
      </c>
      <c r="CB246" s="1894">
        <v>178</v>
      </c>
      <c r="CC246" s="1894">
        <v>183.76</v>
      </c>
      <c r="CD246" s="1894">
        <v>183.76</v>
      </c>
      <c r="CE246" s="1894">
        <v>0.90959999999999996</v>
      </c>
      <c r="CF246" s="1894">
        <v>27.94</v>
      </c>
      <c r="CG246" s="1894">
        <v>38200</v>
      </c>
      <c r="CH246" s="1894">
        <f t="shared" si="101"/>
        <v>82030</v>
      </c>
      <c r="CI246" s="1894">
        <f t="shared" si="102"/>
        <v>0</v>
      </c>
      <c r="CJ246" s="1894">
        <v>178</v>
      </c>
      <c r="CK246" s="1894">
        <v>171.5</v>
      </c>
      <c r="CL246" s="1894">
        <v>171.5</v>
      </c>
      <c r="CM246" s="1894">
        <v>0.97160000000000002</v>
      </c>
      <c r="CN246" s="1894">
        <v>41.4</v>
      </c>
      <c r="CO246" s="1894">
        <v>47718</v>
      </c>
      <c r="CP246" s="1894">
        <f t="shared" si="103"/>
        <v>69149</v>
      </c>
      <c r="CQ246" s="1894">
        <f t="shared" si="104"/>
        <v>0</v>
      </c>
      <c r="CR246" s="1924">
        <v>178</v>
      </c>
      <c r="CS246" s="1924">
        <v>170.68</v>
      </c>
      <c r="CT246" s="1924">
        <v>170.68</v>
      </c>
      <c r="CU246" s="1924">
        <v>0.97289999999999999</v>
      </c>
      <c r="CV246" s="1924">
        <v>38.58</v>
      </c>
      <c r="CW246" s="1924">
        <v>48996</v>
      </c>
      <c r="CX246" s="1894">
        <f t="shared" si="105"/>
        <v>76192</v>
      </c>
      <c r="CY246" s="1894">
        <f t="shared" si="106"/>
        <v>0</v>
      </c>
    </row>
    <row r="247" spans="1:103">
      <c r="A247" s="982">
        <v>127000000010</v>
      </c>
      <c r="B247" s="1923">
        <f t="shared" si="107"/>
        <v>241</v>
      </c>
      <c r="C247" s="1895" t="s">
        <v>3131</v>
      </c>
      <c r="D247" s="1894" t="s">
        <v>524</v>
      </c>
      <c r="E247" s="1895" t="s">
        <v>2966</v>
      </c>
      <c r="F247" s="1894" t="s">
        <v>259</v>
      </c>
      <c r="G247" s="1924">
        <v>178</v>
      </c>
      <c r="H247" s="1894">
        <v>178</v>
      </c>
      <c r="I247" s="1894">
        <v>132</v>
      </c>
      <c r="J247" s="1894">
        <v>178</v>
      </c>
      <c r="K247" s="1894">
        <v>0.77639999999999998</v>
      </c>
      <c r="L247" s="1894">
        <v>0</v>
      </c>
      <c r="M247" s="1894">
        <v>38877</v>
      </c>
      <c r="N247" s="1894">
        <f t="shared" si="85"/>
        <v>57024</v>
      </c>
      <c r="O247" s="1894">
        <f t="shared" si="86"/>
        <v>0</v>
      </c>
      <c r="P247" s="1894">
        <v>178</v>
      </c>
      <c r="Q247" s="1894">
        <v>142.80000000000001</v>
      </c>
      <c r="R247" s="1894">
        <v>178</v>
      </c>
      <c r="S247" s="1894">
        <v>0.80120000000000002</v>
      </c>
      <c r="T247" s="1894">
        <v>0</v>
      </c>
      <c r="U247" s="1894">
        <v>38614</v>
      </c>
      <c r="V247" s="1894">
        <f t="shared" si="87"/>
        <v>63746</v>
      </c>
      <c r="W247" s="1894">
        <f t="shared" si="88"/>
        <v>0</v>
      </c>
      <c r="X247" s="1894">
        <v>178</v>
      </c>
      <c r="Y247" s="1894">
        <v>133.19999999999999</v>
      </c>
      <c r="Z247" s="1894">
        <v>178</v>
      </c>
      <c r="AA247" s="1894">
        <v>0.80559999999999998</v>
      </c>
      <c r="AB247" s="1894">
        <v>0</v>
      </c>
      <c r="AC247" s="1894">
        <v>33114</v>
      </c>
      <c r="AD247" s="1894">
        <f t="shared" si="89"/>
        <v>57542</v>
      </c>
      <c r="AE247" s="1894">
        <f t="shared" si="90"/>
        <v>0</v>
      </c>
      <c r="AF247" s="1894">
        <v>178</v>
      </c>
      <c r="AG247" s="1894">
        <v>117</v>
      </c>
      <c r="AH247" s="1894">
        <v>178</v>
      </c>
      <c r="AI247" s="1894">
        <v>0.77039999999999997</v>
      </c>
      <c r="AJ247" s="1894">
        <v>0</v>
      </c>
      <c r="AK247" s="1894">
        <v>18801</v>
      </c>
      <c r="AL247" s="1894">
        <f t="shared" si="108"/>
        <v>52229</v>
      </c>
      <c r="AM247" s="1894">
        <f t="shared" si="109"/>
        <v>0</v>
      </c>
      <c r="AN247" s="1894">
        <v>178</v>
      </c>
      <c r="AO247" s="1894">
        <v>129.47999999999999</v>
      </c>
      <c r="AP247" s="1894">
        <v>178</v>
      </c>
      <c r="AQ247" s="1894">
        <v>0.79400000000000004</v>
      </c>
      <c r="AR247" s="1894">
        <v>0</v>
      </c>
      <c r="AS247" s="1894">
        <v>38838</v>
      </c>
      <c r="AT247" s="1894">
        <f t="shared" si="91"/>
        <v>57800</v>
      </c>
      <c r="AU247" s="1894">
        <f t="shared" si="92"/>
        <v>0</v>
      </c>
      <c r="AV247" s="1894">
        <v>178</v>
      </c>
      <c r="AW247" s="1894">
        <v>128.63999999999999</v>
      </c>
      <c r="AX247" s="1894">
        <v>178</v>
      </c>
      <c r="AY247" s="1894">
        <v>0.80159999999999998</v>
      </c>
      <c r="AZ247" s="1894">
        <v>0</v>
      </c>
      <c r="BA247" s="1894">
        <v>35445</v>
      </c>
      <c r="BB247" s="1894">
        <f t="shared" si="93"/>
        <v>55572</v>
      </c>
      <c r="BC247" s="1894">
        <f t="shared" si="94"/>
        <v>0</v>
      </c>
      <c r="BD247" s="1894">
        <v>178</v>
      </c>
      <c r="BE247" s="1894">
        <v>15.96</v>
      </c>
      <c r="BF247" s="1894">
        <v>178</v>
      </c>
      <c r="BG247" s="1894">
        <v>0.65439999999999998</v>
      </c>
      <c r="BH247" s="1894">
        <v>0</v>
      </c>
      <c r="BI247" s="1894">
        <v>1447</v>
      </c>
      <c r="BJ247" s="1894">
        <f t="shared" si="95"/>
        <v>7125</v>
      </c>
      <c r="BK247" s="1894">
        <f t="shared" si="96"/>
        <v>0</v>
      </c>
      <c r="BL247" s="1894">
        <v>178</v>
      </c>
      <c r="BM247" s="1894">
        <v>36.6</v>
      </c>
      <c r="BN247" s="1894">
        <v>178</v>
      </c>
      <c r="BO247" s="1894">
        <v>0.63380000000000003</v>
      </c>
      <c r="BP247" s="1894">
        <v>0</v>
      </c>
      <c r="BQ247" s="1894">
        <v>5189</v>
      </c>
      <c r="BR247" s="1894">
        <f t="shared" si="97"/>
        <v>15811</v>
      </c>
      <c r="BS247" s="1894">
        <f t="shared" si="98"/>
        <v>0</v>
      </c>
      <c r="BT247" s="1894">
        <v>178</v>
      </c>
      <c r="BU247" s="1894">
        <v>9.84</v>
      </c>
      <c r="BV247" s="1894">
        <v>178</v>
      </c>
      <c r="BW247" s="1894">
        <v>0.69399999999999995</v>
      </c>
      <c r="BX247" s="1894">
        <v>0</v>
      </c>
      <c r="BY247" s="1894">
        <v>863</v>
      </c>
      <c r="BZ247" s="1894">
        <f t="shared" si="99"/>
        <v>4393</v>
      </c>
      <c r="CA247" s="1894">
        <f t="shared" si="100"/>
        <v>0</v>
      </c>
      <c r="CB247" s="1894">
        <v>178</v>
      </c>
      <c r="CC247" s="1894">
        <v>23.76</v>
      </c>
      <c r="CD247" s="1894">
        <v>178</v>
      </c>
      <c r="CE247" s="1894">
        <v>0.4587</v>
      </c>
      <c r="CF247" s="1894">
        <v>0</v>
      </c>
      <c r="CG247" s="1894">
        <v>1284</v>
      </c>
      <c r="CH247" s="1894">
        <f t="shared" si="101"/>
        <v>10606</v>
      </c>
      <c r="CI247" s="1894">
        <f t="shared" si="102"/>
        <v>0</v>
      </c>
      <c r="CJ247" s="1894">
        <v>178</v>
      </c>
      <c r="CK247" s="1894">
        <v>0.96</v>
      </c>
      <c r="CL247" s="1894">
        <v>178</v>
      </c>
      <c r="CM247" s="1894">
        <v>1.95E-2</v>
      </c>
      <c r="CN247" s="1894">
        <v>0</v>
      </c>
      <c r="CO247" s="1894">
        <v>564</v>
      </c>
      <c r="CP247" s="1894">
        <f t="shared" si="103"/>
        <v>387</v>
      </c>
      <c r="CQ247" s="1894">
        <f t="shared" si="104"/>
        <v>177</v>
      </c>
      <c r="CR247" s="1924">
        <v>178</v>
      </c>
      <c r="CS247" s="1924">
        <v>92.4</v>
      </c>
      <c r="CT247" s="1924">
        <v>178</v>
      </c>
      <c r="CU247" s="1924">
        <v>0.82969999999999999</v>
      </c>
      <c r="CV247" s="1924">
        <v>0</v>
      </c>
      <c r="CW247" s="1924">
        <v>5344</v>
      </c>
      <c r="CX247" s="1894">
        <f t="shared" si="105"/>
        <v>41247</v>
      </c>
      <c r="CY247" s="1894">
        <f t="shared" si="106"/>
        <v>0</v>
      </c>
    </row>
    <row r="248" spans="1:103">
      <c r="A248" s="982">
        <v>127000000012</v>
      </c>
      <c r="B248" s="1923">
        <f t="shared" si="107"/>
        <v>242</v>
      </c>
      <c r="C248" s="1895" t="s">
        <v>3132</v>
      </c>
      <c r="D248" s="1894" t="s">
        <v>524</v>
      </c>
      <c r="E248" s="1895" t="s">
        <v>2966</v>
      </c>
      <c r="F248" s="1894" t="s">
        <v>259</v>
      </c>
      <c r="G248" s="1924">
        <v>178</v>
      </c>
      <c r="H248" s="1894">
        <v>178</v>
      </c>
      <c r="I248" s="1894">
        <v>210.8</v>
      </c>
      <c r="J248" s="1894">
        <v>210.8</v>
      </c>
      <c r="K248" s="1894">
        <v>0.78879999999999995</v>
      </c>
      <c r="L248" s="1894">
        <v>0</v>
      </c>
      <c r="M248" s="1894">
        <v>24642</v>
      </c>
      <c r="N248" s="1894">
        <f t="shared" si="85"/>
        <v>91066</v>
      </c>
      <c r="O248" s="1894">
        <f t="shared" si="86"/>
        <v>0</v>
      </c>
      <c r="P248" s="1894">
        <v>178</v>
      </c>
      <c r="Q248" s="1894">
        <v>211</v>
      </c>
      <c r="R248" s="1894">
        <v>211</v>
      </c>
      <c r="S248" s="1894">
        <v>0.80500000000000005</v>
      </c>
      <c r="T248" s="1894">
        <v>0</v>
      </c>
      <c r="U248" s="1894">
        <v>47237</v>
      </c>
      <c r="V248" s="1894">
        <f t="shared" si="87"/>
        <v>94190</v>
      </c>
      <c r="W248" s="1894">
        <f t="shared" si="88"/>
        <v>0</v>
      </c>
      <c r="X248" s="1894">
        <v>178</v>
      </c>
      <c r="Y248" s="1894">
        <v>165.6</v>
      </c>
      <c r="Z248" s="1894">
        <v>178</v>
      </c>
      <c r="AA248" s="1894">
        <v>0.77329999999999999</v>
      </c>
      <c r="AB248" s="1894">
        <v>0</v>
      </c>
      <c r="AC248" s="1894">
        <v>23915</v>
      </c>
      <c r="AD248" s="1894">
        <f t="shared" si="89"/>
        <v>71539</v>
      </c>
      <c r="AE248" s="1894">
        <f t="shared" si="90"/>
        <v>0</v>
      </c>
      <c r="AF248" s="1894">
        <v>178</v>
      </c>
      <c r="AG248" s="1894">
        <v>213.20000000000002</v>
      </c>
      <c r="AH248" s="1894">
        <v>213.2</v>
      </c>
      <c r="AI248" s="1894">
        <v>0.81310000000000004</v>
      </c>
      <c r="AJ248" s="1894">
        <v>0</v>
      </c>
      <c r="AK248" s="1894">
        <v>44711</v>
      </c>
      <c r="AL248" s="1894">
        <f t="shared" si="108"/>
        <v>95172</v>
      </c>
      <c r="AM248" s="1894">
        <f t="shared" si="109"/>
        <v>0</v>
      </c>
      <c r="AN248" s="1894">
        <v>178</v>
      </c>
      <c r="AO248" s="1894">
        <v>213.28</v>
      </c>
      <c r="AP248" s="1894">
        <v>213.28</v>
      </c>
      <c r="AQ248" s="1894">
        <v>0.81279999999999997</v>
      </c>
      <c r="AR248" s="1894">
        <v>0</v>
      </c>
      <c r="AS248" s="1894">
        <v>52889</v>
      </c>
      <c r="AT248" s="1894">
        <f t="shared" si="91"/>
        <v>95208</v>
      </c>
      <c r="AU248" s="1894">
        <f t="shared" si="92"/>
        <v>0</v>
      </c>
      <c r="AV248" s="1894">
        <v>178</v>
      </c>
      <c r="AW248" s="1894">
        <v>39.200000000000003</v>
      </c>
      <c r="AX248" s="1894">
        <v>178</v>
      </c>
      <c r="AY248" s="1894">
        <v>0.5363</v>
      </c>
      <c r="AZ248" s="1894">
        <v>0</v>
      </c>
      <c r="BA248" s="1894">
        <v>4585</v>
      </c>
      <c r="BB248" s="1894">
        <f t="shared" si="93"/>
        <v>16934</v>
      </c>
      <c r="BC248" s="1894">
        <f t="shared" si="94"/>
        <v>0</v>
      </c>
      <c r="BD248" s="1894">
        <v>178</v>
      </c>
      <c r="BE248" s="1894">
        <v>43.28</v>
      </c>
      <c r="BF248" s="1894">
        <v>178</v>
      </c>
      <c r="BG248" s="1894">
        <v>0.63980000000000004</v>
      </c>
      <c r="BH248" s="1894">
        <v>0</v>
      </c>
      <c r="BI248" s="1894">
        <v>15745</v>
      </c>
      <c r="BJ248" s="1894">
        <f t="shared" si="95"/>
        <v>19320</v>
      </c>
      <c r="BK248" s="1894">
        <f t="shared" si="96"/>
        <v>0</v>
      </c>
      <c r="BL248" s="1894">
        <v>178</v>
      </c>
      <c r="BM248" s="1894">
        <v>39.119999999999997</v>
      </c>
      <c r="BN248" s="1894">
        <v>178</v>
      </c>
      <c r="BO248" s="1894">
        <v>0.55820000000000003</v>
      </c>
      <c r="BP248" s="1894">
        <v>0</v>
      </c>
      <c r="BQ248" s="1894">
        <v>12650</v>
      </c>
      <c r="BR248" s="1894">
        <f t="shared" si="97"/>
        <v>16900</v>
      </c>
      <c r="BS248" s="1894">
        <f t="shared" si="98"/>
        <v>0</v>
      </c>
      <c r="BT248" s="1894">
        <v>178</v>
      </c>
      <c r="BU248" s="1894">
        <v>16.079999999999998</v>
      </c>
      <c r="BV248" s="1894">
        <v>178</v>
      </c>
      <c r="BW248" s="1894">
        <v>0.1399</v>
      </c>
      <c r="BX248" s="1894">
        <v>0</v>
      </c>
      <c r="BY248" s="1894">
        <v>6962</v>
      </c>
      <c r="BZ248" s="1894">
        <f t="shared" si="99"/>
        <v>7178</v>
      </c>
      <c r="CA248" s="1894">
        <f t="shared" si="100"/>
        <v>0</v>
      </c>
      <c r="CB248" s="1894">
        <v>178</v>
      </c>
      <c r="CC248" s="1894">
        <v>11.68</v>
      </c>
      <c r="CD248" s="1894">
        <v>178</v>
      </c>
      <c r="CE248" s="1894">
        <v>0.19270000000000001</v>
      </c>
      <c r="CF248" s="1894">
        <v>0</v>
      </c>
      <c r="CG248" s="1894">
        <v>4390</v>
      </c>
      <c r="CH248" s="1894">
        <f t="shared" si="101"/>
        <v>5214</v>
      </c>
      <c r="CI248" s="1894">
        <f t="shared" si="102"/>
        <v>0</v>
      </c>
      <c r="CJ248" s="1894">
        <v>178</v>
      </c>
      <c r="CK248" s="1894">
        <v>80.72</v>
      </c>
      <c r="CL248" s="1894">
        <v>178</v>
      </c>
      <c r="CM248" s="1894">
        <v>0.70760000000000001</v>
      </c>
      <c r="CN248" s="1894">
        <v>0</v>
      </c>
      <c r="CO248" s="1894">
        <v>8832</v>
      </c>
      <c r="CP248" s="1894">
        <f t="shared" si="103"/>
        <v>32546</v>
      </c>
      <c r="CQ248" s="1894">
        <f t="shared" si="104"/>
        <v>0</v>
      </c>
      <c r="CR248" s="1924">
        <v>178</v>
      </c>
      <c r="CS248" s="1924">
        <v>114.96</v>
      </c>
      <c r="CT248" s="1924">
        <v>178</v>
      </c>
      <c r="CU248" s="1924">
        <v>0.78590000000000004</v>
      </c>
      <c r="CV248" s="1924">
        <v>0</v>
      </c>
      <c r="CW248" s="1924">
        <v>20116</v>
      </c>
      <c r="CX248" s="1894">
        <f t="shared" si="105"/>
        <v>51318</v>
      </c>
      <c r="CY248" s="1894">
        <f t="shared" si="106"/>
        <v>0</v>
      </c>
    </row>
    <row r="249" spans="1:103">
      <c r="A249" s="982">
        <v>127000000019</v>
      </c>
      <c r="B249" s="1923">
        <f t="shared" si="107"/>
        <v>243</v>
      </c>
      <c r="C249" s="1895" t="s">
        <v>3133</v>
      </c>
      <c r="D249" s="1894" t="s">
        <v>524</v>
      </c>
      <c r="E249" s="1895" t="s">
        <v>2966</v>
      </c>
      <c r="F249" s="1894" t="s">
        <v>259</v>
      </c>
      <c r="G249" s="1924">
        <v>178</v>
      </c>
      <c r="H249" s="1894">
        <v>178</v>
      </c>
      <c r="I249" s="1894">
        <v>75.36</v>
      </c>
      <c r="J249" s="1894">
        <v>178</v>
      </c>
      <c r="K249" s="1894">
        <v>0.92979999999999996</v>
      </c>
      <c r="L249" s="1894">
        <v>0</v>
      </c>
      <c r="M249" s="1894">
        <v>37290</v>
      </c>
      <c r="N249" s="1894">
        <f t="shared" si="85"/>
        <v>32556</v>
      </c>
      <c r="O249" s="1894">
        <f t="shared" si="86"/>
        <v>4734</v>
      </c>
      <c r="P249" s="1894">
        <v>178</v>
      </c>
      <c r="Q249" s="1894">
        <v>84.000000000000014</v>
      </c>
      <c r="R249" s="1894">
        <v>178</v>
      </c>
      <c r="S249" s="1894">
        <v>0.89829999999999999</v>
      </c>
      <c r="T249" s="1894">
        <v>0</v>
      </c>
      <c r="U249" s="1894">
        <v>30859</v>
      </c>
      <c r="V249" s="1894">
        <f t="shared" si="87"/>
        <v>37498</v>
      </c>
      <c r="W249" s="1894">
        <f t="shared" si="88"/>
        <v>0</v>
      </c>
      <c r="X249" s="1894">
        <v>178</v>
      </c>
      <c r="Y249" s="1894">
        <v>78.959999999999994</v>
      </c>
      <c r="Z249" s="1894">
        <v>178</v>
      </c>
      <c r="AA249" s="1894">
        <v>0.88549999999999995</v>
      </c>
      <c r="AB249" s="1894">
        <v>0</v>
      </c>
      <c r="AC249" s="1894">
        <v>33636</v>
      </c>
      <c r="AD249" s="1894">
        <f t="shared" si="89"/>
        <v>34111</v>
      </c>
      <c r="AE249" s="1894">
        <f t="shared" si="90"/>
        <v>0</v>
      </c>
      <c r="AF249" s="1894">
        <v>178</v>
      </c>
      <c r="AG249" s="1894">
        <v>63.72</v>
      </c>
      <c r="AH249" s="1894">
        <v>178</v>
      </c>
      <c r="AI249" s="1894">
        <v>0.87329999999999997</v>
      </c>
      <c r="AJ249" s="1894">
        <v>0</v>
      </c>
      <c r="AK249" s="1894">
        <v>29684</v>
      </c>
      <c r="AL249" s="1894">
        <f t="shared" si="108"/>
        <v>28445</v>
      </c>
      <c r="AM249" s="1894">
        <f t="shared" si="109"/>
        <v>1239</v>
      </c>
      <c r="AN249" s="1894">
        <v>178</v>
      </c>
      <c r="AO249" s="1894">
        <v>60.6</v>
      </c>
      <c r="AP249" s="1894">
        <v>178</v>
      </c>
      <c r="AQ249" s="1894">
        <v>0.86319999999999997</v>
      </c>
      <c r="AR249" s="1894">
        <v>0</v>
      </c>
      <c r="AS249" s="1894">
        <v>24795</v>
      </c>
      <c r="AT249" s="1894">
        <f t="shared" si="91"/>
        <v>27052</v>
      </c>
      <c r="AU249" s="1894">
        <f t="shared" si="92"/>
        <v>0</v>
      </c>
      <c r="AV249" s="1894">
        <v>178</v>
      </c>
      <c r="AW249" s="1894">
        <v>51.72</v>
      </c>
      <c r="AX249" s="1894">
        <v>178</v>
      </c>
      <c r="AY249" s="1894">
        <v>0.85829999999999995</v>
      </c>
      <c r="AZ249" s="1894">
        <v>0</v>
      </c>
      <c r="BA249" s="1894">
        <v>22352</v>
      </c>
      <c r="BB249" s="1894">
        <f t="shared" si="93"/>
        <v>22343</v>
      </c>
      <c r="BC249" s="1894">
        <f t="shared" si="94"/>
        <v>9</v>
      </c>
      <c r="BD249" s="1894">
        <v>178</v>
      </c>
      <c r="BE249" s="1894">
        <v>53.28</v>
      </c>
      <c r="BF249" s="1894">
        <v>178</v>
      </c>
      <c r="BG249" s="1894">
        <v>0.89329999999999998</v>
      </c>
      <c r="BH249" s="1894">
        <v>0</v>
      </c>
      <c r="BI249" s="1894">
        <v>27933</v>
      </c>
      <c r="BJ249" s="1894">
        <f t="shared" si="95"/>
        <v>23784</v>
      </c>
      <c r="BK249" s="1894">
        <f t="shared" si="96"/>
        <v>4149</v>
      </c>
      <c r="BL249" s="1894">
        <v>178</v>
      </c>
      <c r="BM249" s="1894">
        <v>57.96</v>
      </c>
      <c r="BN249" s="1894">
        <v>178</v>
      </c>
      <c r="BO249" s="1894">
        <v>0.92349999999999999</v>
      </c>
      <c r="BP249" s="1894">
        <v>0</v>
      </c>
      <c r="BQ249" s="1894">
        <v>26834</v>
      </c>
      <c r="BR249" s="1894">
        <f t="shared" si="97"/>
        <v>25039</v>
      </c>
      <c r="BS249" s="1894">
        <f t="shared" si="98"/>
        <v>1795</v>
      </c>
      <c r="BT249" s="1894">
        <v>178</v>
      </c>
      <c r="BU249" s="1894">
        <v>65.16</v>
      </c>
      <c r="BV249" s="1894">
        <v>178</v>
      </c>
      <c r="BW249" s="1894">
        <v>0.93640000000000001</v>
      </c>
      <c r="BX249" s="1894">
        <v>0</v>
      </c>
      <c r="BY249" s="1894">
        <v>29724</v>
      </c>
      <c r="BZ249" s="1894">
        <f t="shared" si="99"/>
        <v>29087</v>
      </c>
      <c r="CA249" s="1894">
        <f t="shared" si="100"/>
        <v>637</v>
      </c>
      <c r="CB249" s="1894">
        <v>178</v>
      </c>
      <c r="CC249" s="1894">
        <v>66.960000000000008</v>
      </c>
      <c r="CD249" s="1894">
        <v>178</v>
      </c>
      <c r="CE249" s="1894">
        <v>0.96220000000000006</v>
      </c>
      <c r="CF249" s="1894">
        <v>0</v>
      </c>
      <c r="CG249" s="1894">
        <v>28908</v>
      </c>
      <c r="CH249" s="1894">
        <f t="shared" si="101"/>
        <v>29891</v>
      </c>
      <c r="CI249" s="1894">
        <f t="shared" si="102"/>
        <v>0</v>
      </c>
      <c r="CJ249" s="1894">
        <v>178</v>
      </c>
      <c r="CK249" s="1894">
        <v>60.36</v>
      </c>
      <c r="CL249" s="1894">
        <v>178</v>
      </c>
      <c r="CM249" s="1894">
        <v>0.9627</v>
      </c>
      <c r="CN249" s="1894">
        <v>0</v>
      </c>
      <c r="CO249" s="1894">
        <v>24685</v>
      </c>
      <c r="CP249" s="1894">
        <f t="shared" si="103"/>
        <v>24337</v>
      </c>
      <c r="CQ249" s="1894">
        <f t="shared" si="104"/>
        <v>348</v>
      </c>
      <c r="CR249" s="1924">
        <v>178</v>
      </c>
      <c r="CS249" s="1924">
        <v>62.64</v>
      </c>
      <c r="CT249" s="1924">
        <v>178</v>
      </c>
      <c r="CU249" s="1924">
        <v>0.95120000000000005</v>
      </c>
      <c r="CV249" s="1924">
        <v>0</v>
      </c>
      <c r="CW249" s="1924">
        <v>26824</v>
      </c>
      <c r="CX249" s="1894">
        <f t="shared" si="105"/>
        <v>27962</v>
      </c>
      <c r="CY249" s="1894">
        <f t="shared" si="106"/>
        <v>0</v>
      </c>
    </row>
    <row r="250" spans="1:103">
      <c r="A250" s="982">
        <v>611000000104</v>
      </c>
      <c r="B250" s="1923">
        <f t="shared" si="107"/>
        <v>244</v>
      </c>
      <c r="C250" s="1895" t="s">
        <v>3134</v>
      </c>
      <c r="D250" s="1894" t="s">
        <v>524</v>
      </c>
      <c r="E250" s="1895" t="s">
        <v>636</v>
      </c>
      <c r="F250" s="1894" t="s">
        <v>259</v>
      </c>
      <c r="G250" s="1924">
        <v>178</v>
      </c>
      <c r="H250" s="1894">
        <v>178</v>
      </c>
      <c r="I250" s="1894">
        <v>103.19999999999999</v>
      </c>
      <c r="J250" s="1894">
        <v>142.4</v>
      </c>
      <c r="K250" s="1894">
        <v>0.87909999999999999</v>
      </c>
      <c r="L250" s="1894">
        <v>28.65</v>
      </c>
      <c r="M250" s="1894">
        <v>21289</v>
      </c>
      <c r="N250" s="1894">
        <f t="shared" si="85"/>
        <v>44582</v>
      </c>
      <c r="O250" s="1894">
        <f t="shared" si="86"/>
        <v>0</v>
      </c>
      <c r="P250" s="1894">
        <v>178</v>
      </c>
      <c r="Q250" s="1894">
        <v>100.80000000000001</v>
      </c>
      <c r="R250" s="1894">
        <v>142.4</v>
      </c>
      <c r="S250" s="1894">
        <v>0.87190000000000001</v>
      </c>
      <c r="T250" s="1894">
        <v>26.37</v>
      </c>
      <c r="U250" s="1894">
        <v>19779</v>
      </c>
      <c r="V250" s="1894">
        <f t="shared" si="87"/>
        <v>44997</v>
      </c>
      <c r="W250" s="1894">
        <f t="shared" si="88"/>
        <v>0</v>
      </c>
      <c r="X250" s="1894">
        <v>178</v>
      </c>
      <c r="Y250" s="1894">
        <v>100.08</v>
      </c>
      <c r="Z250" s="1894">
        <v>142.4</v>
      </c>
      <c r="AA250" s="1894">
        <v>0.86519999999999997</v>
      </c>
      <c r="AB250" s="1894">
        <v>29.64</v>
      </c>
      <c r="AC250" s="1894">
        <v>21357</v>
      </c>
      <c r="AD250" s="1894">
        <f t="shared" si="89"/>
        <v>43235</v>
      </c>
      <c r="AE250" s="1894">
        <f t="shared" si="90"/>
        <v>0</v>
      </c>
      <c r="AF250" s="1894">
        <v>178</v>
      </c>
      <c r="AG250" s="1894">
        <v>87.48</v>
      </c>
      <c r="AH250" s="1894">
        <v>142.4</v>
      </c>
      <c r="AI250" s="1894">
        <v>0.83109999999999995</v>
      </c>
      <c r="AJ250" s="1894">
        <v>24.55</v>
      </c>
      <c r="AK250" s="1894">
        <v>15976</v>
      </c>
      <c r="AL250" s="1894">
        <f t="shared" si="108"/>
        <v>39051</v>
      </c>
      <c r="AM250" s="1894">
        <f t="shared" si="109"/>
        <v>0</v>
      </c>
      <c r="AN250" s="1894">
        <v>178</v>
      </c>
      <c r="AO250" s="1894">
        <v>84.24</v>
      </c>
      <c r="AP250" s="1894">
        <v>142.4</v>
      </c>
      <c r="AQ250" s="1894">
        <v>0.84530000000000005</v>
      </c>
      <c r="AR250" s="1894">
        <v>27.65</v>
      </c>
      <c r="AS250" s="1894">
        <v>17331</v>
      </c>
      <c r="AT250" s="1894">
        <f t="shared" si="91"/>
        <v>37605</v>
      </c>
      <c r="AU250" s="1894">
        <f t="shared" si="92"/>
        <v>0</v>
      </c>
      <c r="AV250" s="1894">
        <v>178</v>
      </c>
      <c r="AW250" s="1894">
        <v>85.080000000000013</v>
      </c>
      <c r="AX250" s="1894">
        <v>142.4</v>
      </c>
      <c r="AY250" s="1894">
        <v>0.84340000000000004</v>
      </c>
      <c r="AZ250" s="1894">
        <v>25.42</v>
      </c>
      <c r="BA250" s="1894">
        <v>15570</v>
      </c>
      <c r="BB250" s="1894">
        <f t="shared" si="93"/>
        <v>36755</v>
      </c>
      <c r="BC250" s="1894">
        <f t="shared" si="94"/>
        <v>0</v>
      </c>
      <c r="BD250" s="1894">
        <v>178</v>
      </c>
      <c r="BE250" s="1894">
        <v>85.44</v>
      </c>
      <c r="BF250" s="1894">
        <v>142.4</v>
      </c>
      <c r="BG250" s="1894">
        <v>0.81340000000000001</v>
      </c>
      <c r="BH250" s="1894">
        <v>21</v>
      </c>
      <c r="BI250" s="1894">
        <v>13350</v>
      </c>
      <c r="BJ250" s="1894">
        <f t="shared" si="95"/>
        <v>38140</v>
      </c>
      <c r="BK250" s="1894">
        <f t="shared" si="96"/>
        <v>0</v>
      </c>
      <c r="BL250" s="1894">
        <v>178</v>
      </c>
      <c r="BM250" s="1894">
        <v>81</v>
      </c>
      <c r="BN250" s="1894">
        <v>142.4</v>
      </c>
      <c r="BO250" s="1894">
        <v>0.79239999999999999</v>
      </c>
      <c r="BP250" s="1894">
        <v>18.329999999999998</v>
      </c>
      <c r="BQ250" s="1894">
        <v>10689</v>
      </c>
      <c r="BR250" s="1894">
        <f t="shared" si="97"/>
        <v>34992</v>
      </c>
      <c r="BS250" s="1894">
        <f t="shared" si="98"/>
        <v>0</v>
      </c>
      <c r="BT250" s="1894">
        <v>178</v>
      </c>
      <c r="BU250" s="1894">
        <v>60</v>
      </c>
      <c r="BV250" s="1894">
        <v>142.4</v>
      </c>
      <c r="BW250" s="1894">
        <v>0.78900000000000003</v>
      </c>
      <c r="BX250" s="1894">
        <v>20.63</v>
      </c>
      <c r="BY250" s="1894">
        <v>9211</v>
      </c>
      <c r="BZ250" s="1894">
        <f t="shared" si="99"/>
        <v>26784</v>
      </c>
      <c r="CA250" s="1894">
        <f t="shared" si="100"/>
        <v>0</v>
      </c>
      <c r="CB250" s="1894">
        <v>178</v>
      </c>
      <c r="CC250" s="1894">
        <v>81.239999999999995</v>
      </c>
      <c r="CD250" s="1894">
        <v>142.4</v>
      </c>
      <c r="CE250" s="1894">
        <v>0.82089999999999996</v>
      </c>
      <c r="CF250" s="1894">
        <v>14.69</v>
      </c>
      <c r="CG250" s="1894">
        <v>8879</v>
      </c>
      <c r="CH250" s="1894">
        <f t="shared" si="101"/>
        <v>36266</v>
      </c>
      <c r="CI250" s="1894">
        <f t="shared" si="102"/>
        <v>0</v>
      </c>
      <c r="CJ250" s="1894">
        <v>178</v>
      </c>
      <c r="CK250" s="1894">
        <v>80.760000000000005</v>
      </c>
      <c r="CL250" s="1894">
        <v>142.4</v>
      </c>
      <c r="CM250" s="1894">
        <v>0.80630000000000002</v>
      </c>
      <c r="CN250" s="1894">
        <v>14.18</v>
      </c>
      <c r="CO250" s="1894">
        <v>7695</v>
      </c>
      <c r="CP250" s="1894">
        <f t="shared" si="103"/>
        <v>32562</v>
      </c>
      <c r="CQ250" s="1894">
        <f t="shared" si="104"/>
        <v>0</v>
      </c>
      <c r="CR250" s="1924">
        <v>178</v>
      </c>
      <c r="CS250" s="1924">
        <v>101.44</v>
      </c>
      <c r="CT250" s="1924">
        <v>142.4</v>
      </c>
      <c r="CU250" s="1924">
        <v>0.81200000000000006</v>
      </c>
      <c r="CV250" s="1924">
        <v>12.85</v>
      </c>
      <c r="CW250" s="1924">
        <v>9698</v>
      </c>
      <c r="CX250" s="1894">
        <f t="shared" si="105"/>
        <v>45283</v>
      </c>
      <c r="CY250" s="1894">
        <f t="shared" si="106"/>
        <v>0</v>
      </c>
    </row>
    <row r="251" spans="1:103">
      <c r="A251" s="982">
        <v>615000000034</v>
      </c>
      <c r="B251" s="1923">
        <f t="shared" si="107"/>
        <v>245</v>
      </c>
      <c r="C251" s="1895" t="s">
        <v>3135</v>
      </c>
      <c r="D251" s="1894" t="s">
        <v>2930</v>
      </c>
      <c r="E251" s="1895" t="s">
        <v>541</v>
      </c>
      <c r="F251" s="1894" t="s">
        <v>259</v>
      </c>
      <c r="G251" s="1924">
        <v>178</v>
      </c>
      <c r="H251" s="1894">
        <v>178</v>
      </c>
      <c r="I251" s="1894">
        <v>0</v>
      </c>
      <c r="J251" s="1894">
        <v>142.4</v>
      </c>
      <c r="K251" s="1894">
        <v>0</v>
      </c>
      <c r="L251" s="1894">
        <v>0</v>
      </c>
      <c r="M251" s="1894">
        <v>0</v>
      </c>
      <c r="N251" s="1894">
        <f t="shared" si="85"/>
        <v>0</v>
      </c>
      <c r="O251" s="1894">
        <f t="shared" si="86"/>
        <v>0</v>
      </c>
      <c r="P251" s="1894">
        <v>178</v>
      </c>
      <c r="Q251" s="1894">
        <v>0</v>
      </c>
      <c r="R251" s="1894">
        <v>142.4</v>
      </c>
      <c r="S251" s="1894">
        <v>0</v>
      </c>
      <c r="T251" s="1894">
        <v>0</v>
      </c>
      <c r="U251" s="1894">
        <v>0</v>
      </c>
      <c r="V251" s="1894">
        <f t="shared" si="87"/>
        <v>0</v>
      </c>
      <c r="W251" s="1894">
        <f t="shared" si="88"/>
        <v>0</v>
      </c>
      <c r="X251" s="1894">
        <v>178</v>
      </c>
      <c r="Y251" s="1894">
        <v>0</v>
      </c>
      <c r="Z251" s="1894">
        <v>142.4</v>
      </c>
      <c r="AA251" s="1894">
        <v>0</v>
      </c>
      <c r="AB251" s="1894">
        <v>0</v>
      </c>
      <c r="AC251" s="1894">
        <v>0</v>
      </c>
      <c r="AD251" s="1894">
        <f t="shared" si="89"/>
        <v>0</v>
      </c>
      <c r="AE251" s="1894">
        <f t="shared" si="90"/>
        <v>0</v>
      </c>
      <c r="AF251" s="1894">
        <v>178</v>
      </c>
      <c r="AG251" s="1894">
        <v>0</v>
      </c>
      <c r="AH251" s="1894">
        <v>142.4</v>
      </c>
      <c r="AI251" s="1894">
        <v>0</v>
      </c>
      <c r="AJ251" s="1894">
        <v>0</v>
      </c>
      <c r="AK251" s="1894">
        <v>0</v>
      </c>
      <c r="AL251" s="1894">
        <f t="shared" si="108"/>
        <v>0</v>
      </c>
      <c r="AM251" s="1894">
        <f t="shared" si="109"/>
        <v>0</v>
      </c>
      <c r="AN251" s="1894">
        <v>178</v>
      </c>
      <c r="AO251" s="1894">
        <v>0</v>
      </c>
      <c r="AP251" s="1894">
        <v>142.4</v>
      </c>
      <c r="AQ251" s="1894">
        <v>0</v>
      </c>
      <c r="AR251" s="1894">
        <v>0</v>
      </c>
      <c r="AS251" s="1894">
        <v>0</v>
      </c>
      <c r="AT251" s="1894">
        <f t="shared" si="91"/>
        <v>0</v>
      </c>
      <c r="AU251" s="1894">
        <f t="shared" si="92"/>
        <v>0</v>
      </c>
      <c r="AV251" s="1894">
        <v>178</v>
      </c>
      <c r="AW251" s="1894">
        <v>0</v>
      </c>
      <c r="AX251" s="1894">
        <v>142.4</v>
      </c>
      <c r="AY251" s="1894">
        <v>0</v>
      </c>
      <c r="AZ251" s="1894">
        <v>0</v>
      </c>
      <c r="BA251" s="1894">
        <v>0</v>
      </c>
      <c r="BB251" s="1894">
        <f t="shared" si="93"/>
        <v>0</v>
      </c>
      <c r="BC251" s="1894">
        <f t="shared" si="94"/>
        <v>0</v>
      </c>
      <c r="BD251" s="1894">
        <v>178</v>
      </c>
      <c r="BE251" s="1894">
        <v>0</v>
      </c>
      <c r="BF251" s="1894">
        <v>142.4</v>
      </c>
      <c r="BG251" s="1894">
        <v>0</v>
      </c>
      <c r="BH251" s="1894">
        <v>0</v>
      </c>
      <c r="BI251" s="1894">
        <v>0</v>
      </c>
      <c r="BJ251" s="1894">
        <f t="shared" si="95"/>
        <v>0</v>
      </c>
      <c r="BK251" s="1894">
        <f t="shared" si="96"/>
        <v>0</v>
      </c>
      <c r="BL251" s="1894">
        <v>178</v>
      </c>
      <c r="BM251" s="1894">
        <v>0</v>
      </c>
      <c r="BN251" s="1894">
        <v>142.4</v>
      </c>
      <c r="BO251" s="1894">
        <v>0</v>
      </c>
      <c r="BP251" s="1894">
        <v>0</v>
      </c>
      <c r="BQ251" s="1894">
        <v>0</v>
      </c>
      <c r="BR251" s="1894">
        <f t="shared" si="97"/>
        <v>0</v>
      </c>
      <c r="BS251" s="1894">
        <f t="shared" si="98"/>
        <v>0</v>
      </c>
      <c r="BT251" s="1894">
        <v>178</v>
      </c>
      <c r="BU251" s="1894">
        <v>0</v>
      </c>
      <c r="BV251" s="1894">
        <v>142.4</v>
      </c>
      <c r="BW251" s="1894">
        <v>0</v>
      </c>
      <c r="BX251" s="1894">
        <v>0</v>
      </c>
      <c r="BY251" s="1894">
        <v>0</v>
      </c>
      <c r="BZ251" s="1894">
        <f t="shared" si="99"/>
        <v>0</v>
      </c>
      <c r="CA251" s="1894">
        <f t="shared" si="100"/>
        <v>0</v>
      </c>
      <c r="CB251" s="1894">
        <v>178</v>
      </c>
      <c r="CC251" s="1894">
        <v>0</v>
      </c>
      <c r="CD251" s="1894">
        <v>142.4</v>
      </c>
      <c r="CE251" s="1894">
        <v>0</v>
      </c>
      <c r="CF251" s="1894">
        <v>0</v>
      </c>
      <c r="CG251" s="1894">
        <v>0</v>
      </c>
      <c r="CH251" s="1894">
        <f t="shared" si="101"/>
        <v>0</v>
      </c>
      <c r="CI251" s="1894">
        <f t="shared" si="102"/>
        <v>0</v>
      </c>
      <c r="CJ251" s="1894">
        <v>178</v>
      </c>
      <c r="CK251" s="1894">
        <v>0</v>
      </c>
      <c r="CL251" s="1894">
        <v>142.4</v>
      </c>
      <c r="CM251" s="1894">
        <v>0</v>
      </c>
      <c r="CN251" s="1894">
        <v>0</v>
      </c>
      <c r="CO251" s="1894">
        <v>0</v>
      </c>
      <c r="CP251" s="1894">
        <f t="shared" si="103"/>
        <v>0</v>
      </c>
      <c r="CQ251" s="1894">
        <f t="shared" si="104"/>
        <v>0</v>
      </c>
      <c r="CR251" s="1924">
        <v>178</v>
      </c>
      <c r="CS251" s="1924">
        <v>0</v>
      </c>
      <c r="CT251" s="1924">
        <v>142.4</v>
      </c>
      <c r="CU251" s="1924">
        <v>0</v>
      </c>
      <c r="CV251" s="1924">
        <v>0</v>
      </c>
      <c r="CW251" s="1924">
        <v>0</v>
      </c>
      <c r="CX251" s="1894">
        <f t="shared" si="105"/>
        <v>0</v>
      </c>
      <c r="CY251" s="1894">
        <f t="shared" si="106"/>
        <v>0</v>
      </c>
    </row>
    <row r="252" spans="1:103">
      <c r="A252" s="982">
        <v>123000000058</v>
      </c>
      <c r="B252" s="1923">
        <f t="shared" si="107"/>
        <v>246</v>
      </c>
      <c r="C252" s="1895" t="s">
        <v>3450</v>
      </c>
      <c r="D252" s="1894" t="s">
        <v>2930</v>
      </c>
      <c r="E252" s="1895" t="s">
        <v>541</v>
      </c>
      <c r="F252" s="1894" t="s">
        <v>259</v>
      </c>
      <c r="G252" s="1894">
        <v>178</v>
      </c>
      <c r="H252" s="1894">
        <v>178</v>
      </c>
      <c r="I252" s="1894">
        <v>0</v>
      </c>
      <c r="J252" s="1894">
        <v>142.4</v>
      </c>
      <c r="K252" s="1894">
        <v>1</v>
      </c>
      <c r="L252" s="1894">
        <v>0.7</v>
      </c>
      <c r="M252" s="1925">
        <v>812</v>
      </c>
      <c r="N252" s="1894">
        <f t="shared" si="85"/>
        <v>0</v>
      </c>
      <c r="O252" s="1894">
        <f t="shared" si="86"/>
        <v>812</v>
      </c>
      <c r="P252" s="1894">
        <v>178</v>
      </c>
      <c r="Q252" s="1894">
        <v>0</v>
      </c>
      <c r="R252" s="1894">
        <v>0</v>
      </c>
      <c r="S252" s="1894">
        <v>0</v>
      </c>
      <c r="T252" s="1894">
        <v>0</v>
      </c>
      <c r="U252" s="1894">
        <v>0</v>
      </c>
      <c r="V252" s="1894">
        <f t="shared" si="87"/>
        <v>0</v>
      </c>
      <c r="W252" s="1894">
        <f t="shared" si="88"/>
        <v>0</v>
      </c>
      <c r="X252" s="1894">
        <v>178</v>
      </c>
      <c r="Y252" s="1894">
        <v>0</v>
      </c>
      <c r="Z252" s="1894">
        <v>0</v>
      </c>
      <c r="AA252" s="1894">
        <v>0</v>
      </c>
      <c r="AB252" s="1894">
        <v>0</v>
      </c>
      <c r="AC252" s="1894">
        <v>0</v>
      </c>
      <c r="AD252" s="1894">
        <f t="shared" si="89"/>
        <v>0</v>
      </c>
      <c r="AE252" s="1894">
        <f t="shared" si="90"/>
        <v>0</v>
      </c>
      <c r="AF252" s="1894">
        <v>178</v>
      </c>
      <c r="AG252" s="1894">
        <v>0</v>
      </c>
      <c r="AH252" s="1894">
        <v>0</v>
      </c>
      <c r="AI252" s="1894">
        <v>0</v>
      </c>
      <c r="AJ252" s="1894">
        <v>0</v>
      </c>
      <c r="AK252" s="1894">
        <v>0</v>
      </c>
      <c r="AL252" s="1894">
        <v>0</v>
      </c>
      <c r="AM252" s="1894">
        <v>0</v>
      </c>
      <c r="AN252" s="1894">
        <v>178</v>
      </c>
      <c r="AO252" s="1894">
        <v>0</v>
      </c>
      <c r="AP252" s="1894">
        <v>0</v>
      </c>
      <c r="AQ252" s="1894">
        <v>0</v>
      </c>
      <c r="AR252" s="1894">
        <v>0</v>
      </c>
      <c r="AS252" s="1894">
        <v>0</v>
      </c>
      <c r="AT252" s="1894">
        <f t="shared" si="91"/>
        <v>0</v>
      </c>
      <c r="AU252" s="1894">
        <f t="shared" si="92"/>
        <v>0</v>
      </c>
      <c r="AV252" s="1894">
        <v>178</v>
      </c>
      <c r="AW252" s="1894">
        <v>0</v>
      </c>
      <c r="AX252" s="1894">
        <v>0</v>
      </c>
      <c r="AY252" s="1894">
        <v>0</v>
      </c>
      <c r="AZ252" s="1894">
        <v>0</v>
      </c>
      <c r="BA252" s="1894">
        <v>0</v>
      </c>
      <c r="BB252" s="1894">
        <f t="shared" si="93"/>
        <v>0</v>
      </c>
      <c r="BC252" s="1894">
        <f t="shared" si="94"/>
        <v>0</v>
      </c>
      <c r="BD252" s="1894">
        <v>0</v>
      </c>
      <c r="BE252" s="1894">
        <v>0</v>
      </c>
      <c r="BF252" s="1894">
        <v>0</v>
      </c>
      <c r="BG252" s="1894">
        <v>0</v>
      </c>
      <c r="BH252" s="1894">
        <v>0</v>
      </c>
      <c r="BI252" s="1894">
        <v>0</v>
      </c>
      <c r="BJ252" s="1894">
        <f t="shared" si="95"/>
        <v>0</v>
      </c>
      <c r="BK252" s="1894">
        <f t="shared" si="96"/>
        <v>0</v>
      </c>
      <c r="BL252" s="1894">
        <v>0</v>
      </c>
      <c r="BM252" s="1894">
        <v>0</v>
      </c>
      <c r="BN252" s="1894">
        <v>0</v>
      </c>
      <c r="BO252" s="1894">
        <v>0</v>
      </c>
      <c r="BP252" s="1894">
        <v>0</v>
      </c>
      <c r="BQ252" s="1894">
        <v>0</v>
      </c>
      <c r="BR252" s="1894">
        <f t="shared" si="97"/>
        <v>0</v>
      </c>
      <c r="BS252" s="1894">
        <f t="shared" si="98"/>
        <v>0</v>
      </c>
      <c r="BT252" s="1894">
        <v>0</v>
      </c>
      <c r="BU252" s="1894">
        <v>0</v>
      </c>
      <c r="BV252" s="1894">
        <v>0</v>
      </c>
      <c r="BW252" s="1894">
        <v>0</v>
      </c>
      <c r="BX252" s="1894">
        <v>0</v>
      </c>
      <c r="BY252" s="1894">
        <v>0</v>
      </c>
      <c r="BZ252" s="1894">
        <f t="shared" si="99"/>
        <v>0</v>
      </c>
      <c r="CA252" s="1894">
        <f t="shared" si="100"/>
        <v>0</v>
      </c>
      <c r="CB252" s="1894">
        <v>178</v>
      </c>
      <c r="CC252" s="1894">
        <v>0</v>
      </c>
      <c r="CD252" s="1894">
        <v>0</v>
      </c>
      <c r="CE252" s="1894">
        <v>0</v>
      </c>
      <c r="CF252" s="1894">
        <v>0</v>
      </c>
      <c r="CG252" s="1894">
        <v>0</v>
      </c>
      <c r="CH252" s="1894">
        <f t="shared" si="101"/>
        <v>0</v>
      </c>
      <c r="CI252" s="1894">
        <f t="shared" si="102"/>
        <v>0</v>
      </c>
      <c r="CJ252" s="1894">
        <v>0</v>
      </c>
      <c r="CK252" s="1894">
        <v>0</v>
      </c>
      <c r="CL252" s="1894">
        <v>0</v>
      </c>
      <c r="CM252" s="1894">
        <v>0</v>
      </c>
      <c r="CN252" s="1894">
        <v>0</v>
      </c>
      <c r="CO252" s="1894">
        <v>0</v>
      </c>
      <c r="CP252" s="1894">
        <f t="shared" si="103"/>
        <v>0</v>
      </c>
      <c r="CQ252" s="1894">
        <f t="shared" si="104"/>
        <v>0</v>
      </c>
      <c r="CR252" s="1894">
        <v>0</v>
      </c>
      <c r="CS252" s="1894">
        <v>0</v>
      </c>
      <c r="CT252" s="1894">
        <v>0</v>
      </c>
      <c r="CU252" s="1894">
        <v>0</v>
      </c>
      <c r="CV252" s="1894">
        <v>0</v>
      </c>
      <c r="CW252" s="1894">
        <v>0</v>
      </c>
      <c r="CX252" s="1894">
        <f t="shared" si="105"/>
        <v>0</v>
      </c>
      <c r="CY252" s="1894">
        <f t="shared" si="106"/>
        <v>0</v>
      </c>
    </row>
    <row r="253" spans="1:103">
      <c r="A253" s="982">
        <v>121000000023</v>
      </c>
      <c r="B253" s="1923">
        <f t="shared" si="107"/>
        <v>247</v>
      </c>
      <c r="C253" s="1895" t="s">
        <v>3136</v>
      </c>
      <c r="D253" s="1894" t="s">
        <v>524</v>
      </c>
      <c r="E253" s="1895" t="s">
        <v>541</v>
      </c>
      <c r="F253" s="1894" t="s">
        <v>259</v>
      </c>
      <c r="G253" s="1924">
        <v>179</v>
      </c>
      <c r="H253" s="1894">
        <v>179</v>
      </c>
      <c r="I253" s="1894">
        <v>143.4</v>
      </c>
      <c r="J253" s="1894">
        <v>143.4</v>
      </c>
      <c r="K253" s="1894">
        <v>0.71579999999999999</v>
      </c>
      <c r="L253" s="1894">
        <v>48.19</v>
      </c>
      <c r="M253" s="1894">
        <v>49752</v>
      </c>
      <c r="N253" s="1894">
        <f t="shared" si="85"/>
        <v>61949</v>
      </c>
      <c r="O253" s="1894">
        <f t="shared" si="86"/>
        <v>0</v>
      </c>
      <c r="P253" s="1894">
        <v>179</v>
      </c>
      <c r="Q253" s="1894">
        <v>177.6</v>
      </c>
      <c r="R253" s="1894">
        <v>177.6</v>
      </c>
      <c r="S253" s="1894">
        <v>0.74609999999999999</v>
      </c>
      <c r="T253" s="1894">
        <v>39.49</v>
      </c>
      <c r="U253" s="1894">
        <v>52176</v>
      </c>
      <c r="V253" s="1894">
        <f t="shared" si="87"/>
        <v>79281</v>
      </c>
      <c r="W253" s="1894">
        <f t="shared" si="88"/>
        <v>0</v>
      </c>
      <c r="X253" s="1894">
        <v>179</v>
      </c>
      <c r="Y253" s="1894">
        <v>156.47999999999999</v>
      </c>
      <c r="Z253" s="1894">
        <v>156.47999999999999</v>
      </c>
      <c r="AA253" s="1894">
        <v>0.73350000000000004</v>
      </c>
      <c r="AB253" s="1894">
        <v>34.75</v>
      </c>
      <c r="AC253" s="1894">
        <v>39147</v>
      </c>
      <c r="AD253" s="1894">
        <f t="shared" si="89"/>
        <v>67599</v>
      </c>
      <c r="AE253" s="1894">
        <f t="shared" si="90"/>
        <v>0</v>
      </c>
      <c r="AF253" s="1894">
        <v>179</v>
      </c>
      <c r="AG253" s="1894">
        <v>149.4</v>
      </c>
      <c r="AH253" s="1894">
        <v>149.4</v>
      </c>
      <c r="AI253" s="1894">
        <v>0.72650000000000003</v>
      </c>
      <c r="AJ253" s="1894">
        <v>25.17</v>
      </c>
      <c r="AK253" s="1894">
        <v>27979</v>
      </c>
      <c r="AL253" s="1894">
        <f t="shared" ref="AL253:AL316" si="110">+ROUND((24*31*0.6*AG253),0)</f>
        <v>66692</v>
      </c>
      <c r="AM253" s="1894">
        <f t="shared" ref="AM253:AM316" si="111">+MAX((AK253-AL253),0)</f>
        <v>0</v>
      </c>
      <c r="AN253" s="1894">
        <v>179</v>
      </c>
      <c r="AO253" s="1894">
        <v>142.44</v>
      </c>
      <c r="AP253" s="1894">
        <v>143.19999999999999</v>
      </c>
      <c r="AQ253" s="1894">
        <v>0.75929999999999997</v>
      </c>
      <c r="AR253" s="1894">
        <v>10.029999999999999</v>
      </c>
      <c r="AS253" s="1894">
        <v>10626</v>
      </c>
      <c r="AT253" s="1894">
        <f t="shared" si="91"/>
        <v>63585</v>
      </c>
      <c r="AU253" s="1894">
        <f t="shared" si="92"/>
        <v>0</v>
      </c>
      <c r="AV253" s="1894">
        <v>179</v>
      </c>
      <c r="AW253" s="1894">
        <v>156.96</v>
      </c>
      <c r="AX253" s="1894">
        <v>156.96</v>
      </c>
      <c r="AY253" s="1894">
        <v>0.75600000000000001</v>
      </c>
      <c r="AZ253" s="1894">
        <v>8.18</v>
      </c>
      <c r="BA253" s="1894">
        <v>9242</v>
      </c>
      <c r="BB253" s="1894">
        <f t="shared" si="93"/>
        <v>67807</v>
      </c>
      <c r="BC253" s="1894">
        <f t="shared" si="94"/>
        <v>0</v>
      </c>
      <c r="BD253" s="1894">
        <v>179</v>
      </c>
      <c r="BE253" s="1894">
        <v>33.36</v>
      </c>
      <c r="BF253" s="1894">
        <v>143.19999999999999</v>
      </c>
      <c r="BG253" s="1894">
        <v>0.96299999999999997</v>
      </c>
      <c r="BH253" s="1894">
        <v>5.78</v>
      </c>
      <c r="BI253" s="1894">
        <v>1435</v>
      </c>
      <c r="BJ253" s="1894">
        <f t="shared" si="95"/>
        <v>14892</v>
      </c>
      <c r="BK253" s="1894">
        <f t="shared" si="96"/>
        <v>0</v>
      </c>
      <c r="BL253" s="1894">
        <v>179</v>
      </c>
      <c r="BM253" s="1894">
        <v>10.32</v>
      </c>
      <c r="BN253" s="1894">
        <v>143.19999999999999</v>
      </c>
      <c r="BO253" s="1894">
        <v>1</v>
      </c>
      <c r="BP253" s="1894">
        <v>17.89</v>
      </c>
      <c r="BQ253" s="1894">
        <v>1329</v>
      </c>
      <c r="BR253" s="1894">
        <f t="shared" si="97"/>
        <v>4458</v>
      </c>
      <c r="BS253" s="1894">
        <f t="shared" si="98"/>
        <v>0</v>
      </c>
      <c r="BT253" s="1894">
        <v>179</v>
      </c>
      <c r="BU253" s="1894">
        <v>11.4</v>
      </c>
      <c r="BV253" s="1894">
        <v>143.19999999999999</v>
      </c>
      <c r="BW253" s="1894">
        <v>1.0014000000000001</v>
      </c>
      <c r="BX253" s="1894">
        <v>16.59</v>
      </c>
      <c r="BY253" s="1894">
        <v>1407</v>
      </c>
      <c r="BZ253" s="1894">
        <f t="shared" si="99"/>
        <v>5089</v>
      </c>
      <c r="CA253" s="1894">
        <f t="shared" si="100"/>
        <v>0</v>
      </c>
      <c r="CB253" s="1894">
        <v>179</v>
      </c>
      <c r="CC253" s="1894">
        <v>143.16</v>
      </c>
      <c r="CD253" s="1894">
        <v>143.19999999999999</v>
      </c>
      <c r="CE253" s="1894">
        <v>0.73699999999999999</v>
      </c>
      <c r="CF253" s="1894">
        <v>12.55</v>
      </c>
      <c r="CG253" s="1894">
        <v>13370</v>
      </c>
      <c r="CH253" s="1894">
        <f t="shared" si="101"/>
        <v>63907</v>
      </c>
      <c r="CI253" s="1894">
        <f t="shared" si="102"/>
        <v>0</v>
      </c>
      <c r="CJ253" s="1894">
        <v>179</v>
      </c>
      <c r="CK253" s="1894">
        <v>145.68</v>
      </c>
      <c r="CL253" s="1894">
        <v>145.68</v>
      </c>
      <c r="CM253" s="1894">
        <v>0.71230000000000004</v>
      </c>
      <c r="CN253" s="1894">
        <v>28.98</v>
      </c>
      <c r="CO253" s="1894">
        <v>28374</v>
      </c>
      <c r="CP253" s="1894">
        <f t="shared" si="103"/>
        <v>58738</v>
      </c>
      <c r="CQ253" s="1894">
        <f t="shared" si="104"/>
        <v>0</v>
      </c>
      <c r="CR253" s="1924">
        <v>179</v>
      </c>
      <c r="CS253" s="1924">
        <v>158.4</v>
      </c>
      <c r="CT253" s="1924">
        <v>158.4</v>
      </c>
      <c r="CU253" s="1924">
        <v>0.72529999999999994</v>
      </c>
      <c r="CV253" s="1924">
        <v>31.14</v>
      </c>
      <c r="CW253" s="1924">
        <v>36700</v>
      </c>
      <c r="CX253" s="1894">
        <f t="shared" si="105"/>
        <v>70710</v>
      </c>
      <c r="CY253" s="1894">
        <f t="shared" si="106"/>
        <v>0</v>
      </c>
    </row>
    <row r="254" spans="1:103">
      <c r="A254" s="982">
        <v>621000000058</v>
      </c>
      <c r="B254" s="1923">
        <f t="shared" si="107"/>
        <v>248</v>
      </c>
      <c r="C254" s="1895" t="s">
        <v>3137</v>
      </c>
      <c r="D254" s="1894" t="s">
        <v>524</v>
      </c>
      <c r="E254" s="1895" t="s">
        <v>636</v>
      </c>
      <c r="F254" s="1894" t="s">
        <v>259</v>
      </c>
      <c r="G254" s="1924">
        <v>180</v>
      </c>
      <c r="H254" s="1894">
        <v>180</v>
      </c>
      <c r="I254" s="1894">
        <v>16.48</v>
      </c>
      <c r="J254" s="1894">
        <v>144</v>
      </c>
      <c r="K254" s="1894">
        <v>0.41870000000000002</v>
      </c>
      <c r="L254" s="1894">
        <v>49.47</v>
      </c>
      <c r="M254" s="1894">
        <v>5870</v>
      </c>
      <c r="N254" s="1894">
        <f t="shared" si="85"/>
        <v>7119</v>
      </c>
      <c r="O254" s="1894">
        <f t="shared" si="86"/>
        <v>0</v>
      </c>
      <c r="P254" s="1894">
        <v>180</v>
      </c>
      <c r="Q254" s="1894">
        <v>35.839999999999996</v>
      </c>
      <c r="R254" s="1894">
        <v>144</v>
      </c>
      <c r="S254" s="1894">
        <v>0.38140000000000002</v>
      </c>
      <c r="T254" s="1894">
        <v>26.84</v>
      </c>
      <c r="U254" s="1894">
        <v>7156</v>
      </c>
      <c r="V254" s="1894">
        <f t="shared" si="87"/>
        <v>15999</v>
      </c>
      <c r="W254" s="1894">
        <f t="shared" si="88"/>
        <v>0</v>
      </c>
      <c r="X254" s="1894">
        <v>180</v>
      </c>
      <c r="Y254" s="1894">
        <v>43.2</v>
      </c>
      <c r="Z254" s="1894">
        <v>144</v>
      </c>
      <c r="AA254" s="1894">
        <v>0.3508</v>
      </c>
      <c r="AB254" s="1894">
        <v>27.53</v>
      </c>
      <c r="AC254" s="1894">
        <v>8562</v>
      </c>
      <c r="AD254" s="1894">
        <f t="shared" si="89"/>
        <v>18662</v>
      </c>
      <c r="AE254" s="1894">
        <f t="shared" si="90"/>
        <v>0</v>
      </c>
      <c r="AF254" s="1894">
        <v>180</v>
      </c>
      <c r="AG254" s="1894">
        <v>39.36</v>
      </c>
      <c r="AH254" s="1894">
        <v>144</v>
      </c>
      <c r="AI254" s="1894">
        <v>0.32900000000000001</v>
      </c>
      <c r="AJ254" s="1894">
        <v>32.17</v>
      </c>
      <c r="AK254" s="1894">
        <v>9420</v>
      </c>
      <c r="AL254" s="1894">
        <f t="shared" si="110"/>
        <v>17570</v>
      </c>
      <c r="AM254" s="1894">
        <f t="shared" si="111"/>
        <v>0</v>
      </c>
      <c r="AN254" s="1894">
        <v>180</v>
      </c>
      <c r="AO254" s="1894">
        <v>45.92</v>
      </c>
      <c r="AP254" s="1894">
        <v>144</v>
      </c>
      <c r="AQ254" s="1894">
        <v>0.35110000000000002</v>
      </c>
      <c r="AR254" s="1894">
        <v>29.19</v>
      </c>
      <c r="AS254" s="1894">
        <v>9974</v>
      </c>
      <c r="AT254" s="1894">
        <f t="shared" si="91"/>
        <v>20499</v>
      </c>
      <c r="AU254" s="1894">
        <f t="shared" si="92"/>
        <v>0</v>
      </c>
      <c r="AV254" s="1894">
        <v>180</v>
      </c>
      <c r="AW254" s="1894">
        <v>44.32</v>
      </c>
      <c r="AX254" s="1894">
        <v>144</v>
      </c>
      <c r="AY254" s="1894">
        <v>0.41649999999999998</v>
      </c>
      <c r="AZ254" s="1894">
        <v>27.73</v>
      </c>
      <c r="BA254" s="1894">
        <v>8848</v>
      </c>
      <c r="BB254" s="1894">
        <f t="shared" si="93"/>
        <v>19146</v>
      </c>
      <c r="BC254" s="1894">
        <f t="shared" si="94"/>
        <v>0</v>
      </c>
      <c r="BD254" s="1894">
        <v>180</v>
      </c>
      <c r="BE254" s="1894">
        <v>38.24</v>
      </c>
      <c r="BF254" s="1894">
        <v>144</v>
      </c>
      <c r="BG254" s="1894">
        <v>0.32829999999999998</v>
      </c>
      <c r="BH254" s="1894">
        <v>30.57</v>
      </c>
      <c r="BI254" s="1894">
        <v>8698</v>
      </c>
      <c r="BJ254" s="1894">
        <f t="shared" si="95"/>
        <v>17070</v>
      </c>
      <c r="BK254" s="1894">
        <f t="shared" si="96"/>
        <v>0</v>
      </c>
      <c r="BL254" s="1894">
        <v>180</v>
      </c>
      <c r="BM254" s="1894">
        <v>42.4</v>
      </c>
      <c r="BN254" s="1894">
        <v>144</v>
      </c>
      <c r="BO254" s="1894">
        <v>0.35439999999999999</v>
      </c>
      <c r="BP254" s="1894">
        <v>30.05</v>
      </c>
      <c r="BQ254" s="1894">
        <v>9174</v>
      </c>
      <c r="BR254" s="1894">
        <f t="shared" si="97"/>
        <v>18317</v>
      </c>
      <c r="BS254" s="1894">
        <f t="shared" si="98"/>
        <v>0</v>
      </c>
      <c r="BT254" s="1894">
        <v>180</v>
      </c>
      <c r="BU254" s="1894">
        <v>40.160000000000004</v>
      </c>
      <c r="BV254" s="1894">
        <v>144</v>
      </c>
      <c r="BW254" s="1894">
        <v>0.35759999999999997</v>
      </c>
      <c r="BX254" s="1894">
        <v>31.71</v>
      </c>
      <c r="BY254" s="1894">
        <v>9474</v>
      </c>
      <c r="BZ254" s="1894">
        <f t="shared" si="99"/>
        <v>17927</v>
      </c>
      <c r="CA254" s="1894">
        <f t="shared" si="100"/>
        <v>0</v>
      </c>
      <c r="CB254" s="1894">
        <v>180</v>
      </c>
      <c r="CC254" s="1894">
        <v>44.800000000000004</v>
      </c>
      <c r="CD254" s="1894">
        <v>144</v>
      </c>
      <c r="CE254" s="1894">
        <v>0.37459999999999999</v>
      </c>
      <c r="CF254" s="1894">
        <v>28.32</v>
      </c>
      <c r="CG254" s="1894">
        <v>9438</v>
      </c>
      <c r="CH254" s="1894">
        <f t="shared" si="101"/>
        <v>19999</v>
      </c>
      <c r="CI254" s="1894">
        <f t="shared" si="102"/>
        <v>0</v>
      </c>
      <c r="CJ254" s="1894">
        <v>180</v>
      </c>
      <c r="CK254" s="1894">
        <v>40.799999999999997</v>
      </c>
      <c r="CL254" s="1894">
        <v>144</v>
      </c>
      <c r="CM254" s="1894">
        <v>0.42099999999999999</v>
      </c>
      <c r="CN254" s="1894">
        <v>24.79</v>
      </c>
      <c r="CO254" s="1894">
        <v>6798</v>
      </c>
      <c r="CP254" s="1894">
        <f t="shared" si="103"/>
        <v>16451</v>
      </c>
      <c r="CQ254" s="1894">
        <f t="shared" si="104"/>
        <v>0</v>
      </c>
      <c r="CR254" s="1924">
        <v>180</v>
      </c>
      <c r="CS254" s="1924">
        <v>38.4</v>
      </c>
      <c r="CT254" s="1924">
        <v>144</v>
      </c>
      <c r="CU254" s="1924">
        <v>0.42480000000000001</v>
      </c>
      <c r="CV254" s="1924">
        <v>26.1</v>
      </c>
      <c r="CW254" s="1924">
        <v>7456</v>
      </c>
      <c r="CX254" s="1894">
        <f t="shared" si="105"/>
        <v>17142</v>
      </c>
      <c r="CY254" s="1894">
        <f t="shared" si="106"/>
        <v>0</v>
      </c>
    </row>
    <row r="255" spans="1:103">
      <c r="A255" s="982">
        <v>121000000066</v>
      </c>
      <c r="B255" s="1923">
        <f t="shared" si="107"/>
        <v>249</v>
      </c>
      <c r="C255" s="1895" t="s">
        <v>3138</v>
      </c>
      <c r="D255" s="1894" t="s">
        <v>524</v>
      </c>
      <c r="E255" s="1895" t="s">
        <v>541</v>
      </c>
      <c r="F255" s="1894" t="s">
        <v>259</v>
      </c>
      <c r="G255" s="1924">
        <v>180</v>
      </c>
      <c r="H255" s="1894">
        <v>180</v>
      </c>
      <c r="I255" s="1894">
        <v>148.47999999999999</v>
      </c>
      <c r="J255" s="1894">
        <v>148.47999999999999</v>
      </c>
      <c r="K255" s="1894">
        <v>0.98350000000000004</v>
      </c>
      <c r="L255" s="1894">
        <v>49.04</v>
      </c>
      <c r="M255" s="1894">
        <v>52422</v>
      </c>
      <c r="N255" s="1894">
        <f t="shared" si="85"/>
        <v>64143</v>
      </c>
      <c r="O255" s="1894">
        <f t="shared" si="86"/>
        <v>0</v>
      </c>
      <c r="P255" s="1894">
        <v>180</v>
      </c>
      <c r="Q255" s="1894">
        <v>144.32</v>
      </c>
      <c r="R255" s="1894">
        <v>144.32</v>
      </c>
      <c r="S255" s="1894">
        <v>0.98939999999999995</v>
      </c>
      <c r="T255" s="1894">
        <v>44.99</v>
      </c>
      <c r="U255" s="1894">
        <v>48308</v>
      </c>
      <c r="V255" s="1894">
        <f t="shared" si="87"/>
        <v>64424</v>
      </c>
      <c r="W255" s="1894">
        <f t="shared" si="88"/>
        <v>0</v>
      </c>
      <c r="X255" s="1894">
        <v>180</v>
      </c>
      <c r="Y255" s="1894">
        <v>146.08000000000001</v>
      </c>
      <c r="Z255" s="1894">
        <v>146.08000000000001</v>
      </c>
      <c r="AA255" s="1894">
        <v>0.98860000000000003</v>
      </c>
      <c r="AB255" s="1894">
        <v>40.39</v>
      </c>
      <c r="AC255" s="1894">
        <v>42480</v>
      </c>
      <c r="AD255" s="1894">
        <f t="shared" si="89"/>
        <v>63107</v>
      </c>
      <c r="AE255" s="1894">
        <f t="shared" si="90"/>
        <v>0</v>
      </c>
      <c r="AF255" s="1894">
        <v>180</v>
      </c>
      <c r="AG255" s="1894">
        <v>133.6</v>
      </c>
      <c r="AH255" s="1894">
        <v>144</v>
      </c>
      <c r="AI255" s="1894">
        <v>0.99109999999999998</v>
      </c>
      <c r="AJ255" s="1894">
        <v>29.04</v>
      </c>
      <c r="AK255" s="1894">
        <v>28868</v>
      </c>
      <c r="AL255" s="1894">
        <f t="shared" si="110"/>
        <v>59639</v>
      </c>
      <c r="AM255" s="1894">
        <f t="shared" si="111"/>
        <v>0</v>
      </c>
      <c r="AN255" s="1894">
        <v>180</v>
      </c>
      <c r="AO255" s="1894">
        <v>127.36000000000001</v>
      </c>
      <c r="AP255" s="1894">
        <v>144</v>
      </c>
      <c r="AQ255" s="1894">
        <v>0.93340000000000001</v>
      </c>
      <c r="AR255" s="1894">
        <v>23.74</v>
      </c>
      <c r="AS255" s="1894">
        <v>22498</v>
      </c>
      <c r="AT255" s="1894">
        <f t="shared" si="91"/>
        <v>56854</v>
      </c>
      <c r="AU255" s="1894">
        <f t="shared" si="92"/>
        <v>0</v>
      </c>
      <c r="AV255" s="1894">
        <v>180</v>
      </c>
      <c r="AW255" s="1894">
        <v>148.32</v>
      </c>
      <c r="AX255" s="1894">
        <v>148.32</v>
      </c>
      <c r="AY255" s="1894">
        <v>0.9194</v>
      </c>
      <c r="AZ255" s="1894">
        <v>30.56</v>
      </c>
      <c r="BA255" s="1894">
        <v>32634</v>
      </c>
      <c r="BB255" s="1894">
        <f t="shared" si="93"/>
        <v>64074</v>
      </c>
      <c r="BC255" s="1894">
        <f t="shared" si="94"/>
        <v>0</v>
      </c>
      <c r="BD255" s="1894">
        <v>180</v>
      </c>
      <c r="BE255" s="1894">
        <v>125.6</v>
      </c>
      <c r="BF255" s="1894">
        <v>144</v>
      </c>
      <c r="BG255" s="1894">
        <v>0.96579999999999999</v>
      </c>
      <c r="BH255" s="1894">
        <v>38.69</v>
      </c>
      <c r="BI255" s="1894">
        <v>36158</v>
      </c>
      <c r="BJ255" s="1894">
        <f t="shared" si="95"/>
        <v>56068</v>
      </c>
      <c r="BK255" s="1894">
        <f t="shared" si="96"/>
        <v>0</v>
      </c>
      <c r="BL255" s="1894">
        <v>180</v>
      </c>
      <c r="BM255" s="1894">
        <v>126.24</v>
      </c>
      <c r="BN255" s="1894">
        <v>144</v>
      </c>
      <c r="BO255" s="1894">
        <v>0.97109999999999996</v>
      </c>
      <c r="BP255" s="1894">
        <v>29.56</v>
      </c>
      <c r="BQ255" s="1894">
        <v>26868</v>
      </c>
      <c r="BR255" s="1894">
        <f t="shared" si="97"/>
        <v>54536</v>
      </c>
      <c r="BS255" s="1894">
        <f t="shared" si="98"/>
        <v>0</v>
      </c>
      <c r="BT255" s="1894">
        <v>180</v>
      </c>
      <c r="BU255" s="1894">
        <v>158.07999999999998</v>
      </c>
      <c r="BV255" s="1894">
        <v>158.08000000000001</v>
      </c>
      <c r="BW255" s="1894">
        <v>0.91080000000000005</v>
      </c>
      <c r="BX255" s="1894">
        <v>23.1</v>
      </c>
      <c r="BY255" s="1894">
        <v>27170</v>
      </c>
      <c r="BZ255" s="1894">
        <f t="shared" si="99"/>
        <v>70567</v>
      </c>
      <c r="CA255" s="1894">
        <f t="shared" si="100"/>
        <v>0</v>
      </c>
      <c r="CB255" s="1894">
        <v>180</v>
      </c>
      <c r="CC255" s="1894">
        <v>163.68</v>
      </c>
      <c r="CD255" s="1894">
        <v>163.68</v>
      </c>
      <c r="CE255" s="1894">
        <v>0.92100000000000004</v>
      </c>
      <c r="CF255" s="1894">
        <v>32.869999999999997</v>
      </c>
      <c r="CG255" s="1894">
        <v>40028</v>
      </c>
      <c r="CH255" s="1894">
        <f t="shared" si="101"/>
        <v>73067</v>
      </c>
      <c r="CI255" s="1894">
        <f t="shared" si="102"/>
        <v>0</v>
      </c>
      <c r="CJ255" s="1894">
        <v>180</v>
      </c>
      <c r="CK255" s="1894">
        <v>170.23999999999998</v>
      </c>
      <c r="CL255" s="1894">
        <v>170.24</v>
      </c>
      <c r="CM255" s="1894">
        <v>0.95020000000000004</v>
      </c>
      <c r="CN255" s="1894">
        <v>38.950000000000003</v>
      </c>
      <c r="CO255" s="1894">
        <v>44554</v>
      </c>
      <c r="CP255" s="1894">
        <f t="shared" si="103"/>
        <v>68641</v>
      </c>
      <c r="CQ255" s="1894">
        <f t="shared" si="104"/>
        <v>0</v>
      </c>
      <c r="CR255" s="1924">
        <v>180</v>
      </c>
      <c r="CS255" s="1924">
        <v>175.2</v>
      </c>
      <c r="CT255" s="1924">
        <v>175.2</v>
      </c>
      <c r="CU255" s="1924">
        <v>0.93820000000000003</v>
      </c>
      <c r="CV255" s="1924">
        <v>38.159999999999997</v>
      </c>
      <c r="CW255" s="1924">
        <v>49746</v>
      </c>
      <c r="CX255" s="1894">
        <f t="shared" si="105"/>
        <v>78209</v>
      </c>
      <c r="CY255" s="1894">
        <f t="shared" si="106"/>
        <v>0</v>
      </c>
    </row>
    <row r="256" spans="1:103">
      <c r="A256" s="982">
        <v>125000000026</v>
      </c>
      <c r="B256" s="1923">
        <f t="shared" si="107"/>
        <v>250</v>
      </c>
      <c r="C256" s="1895" t="s">
        <v>3139</v>
      </c>
      <c r="D256" s="1894" t="s">
        <v>524</v>
      </c>
      <c r="E256" s="1895" t="s">
        <v>541</v>
      </c>
      <c r="F256" s="1894" t="s">
        <v>259</v>
      </c>
      <c r="G256" s="1924">
        <v>180</v>
      </c>
      <c r="H256" s="1894">
        <v>180</v>
      </c>
      <c r="I256" s="1894">
        <v>198</v>
      </c>
      <c r="J256" s="1894">
        <v>198</v>
      </c>
      <c r="K256" s="1894">
        <v>0.96589999999999998</v>
      </c>
      <c r="L256" s="1894">
        <v>12.59</v>
      </c>
      <c r="M256" s="1894">
        <v>14954</v>
      </c>
      <c r="N256" s="1894">
        <f t="shared" si="85"/>
        <v>85536</v>
      </c>
      <c r="O256" s="1894">
        <f t="shared" si="86"/>
        <v>0</v>
      </c>
      <c r="P256" s="1894">
        <v>180</v>
      </c>
      <c r="Q256" s="1894">
        <v>194.04000000000002</v>
      </c>
      <c r="R256" s="1894">
        <v>194.04</v>
      </c>
      <c r="S256" s="1894">
        <v>0.91739999999999999</v>
      </c>
      <c r="T256" s="1894">
        <v>11.9</v>
      </c>
      <c r="U256" s="1894">
        <v>19944</v>
      </c>
      <c r="V256" s="1894">
        <f t="shared" si="87"/>
        <v>86619</v>
      </c>
      <c r="W256" s="1894">
        <f t="shared" si="88"/>
        <v>0</v>
      </c>
      <c r="X256" s="1894">
        <v>180</v>
      </c>
      <c r="Y256" s="1894">
        <v>185.76</v>
      </c>
      <c r="Z256" s="1894">
        <v>185.76</v>
      </c>
      <c r="AA256" s="1894">
        <v>0.89659999999999995</v>
      </c>
      <c r="AB256" s="1894">
        <v>11.85</v>
      </c>
      <c r="AC256" s="1894">
        <v>15853</v>
      </c>
      <c r="AD256" s="1894">
        <f t="shared" si="89"/>
        <v>80248</v>
      </c>
      <c r="AE256" s="1894">
        <f t="shared" si="90"/>
        <v>0</v>
      </c>
      <c r="AF256" s="1894">
        <v>180</v>
      </c>
      <c r="AG256" s="1894">
        <v>223.56</v>
      </c>
      <c r="AH256" s="1894">
        <v>223.56</v>
      </c>
      <c r="AI256" s="1894">
        <v>0.94599999999999995</v>
      </c>
      <c r="AJ256" s="1894">
        <v>13.38</v>
      </c>
      <c r="AK256" s="1894">
        <v>22257</v>
      </c>
      <c r="AL256" s="1894">
        <f t="shared" si="110"/>
        <v>99797</v>
      </c>
      <c r="AM256" s="1894">
        <f t="shared" si="111"/>
        <v>0</v>
      </c>
      <c r="AN256" s="1894">
        <v>180</v>
      </c>
      <c r="AO256" s="1894">
        <v>5.4</v>
      </c>
      <c r="AP256" s="1894">
        <v>144</v>
      </c>
      <c r="AQ256" s="1894">
        <v>0.89839999999999998</v>
      </c>
      <c r="AR256" s="1894">
        <v>484.09</v>
      </c>
      <c r="AS256" s="1894">
        <v>19449</v>
      </c>
      <c r="AT256" s="1894">
        <f t="shared" si="91"/>
        <v>2411</v>
      </c>
      <c r="AU256" s="1894">
        <f t="shared" si="92"/>
        <v>17038</v>
      </c>
      <c r="AV256" s="1894">
        <v>180</v>
      </c>
      <c r="AW256" s="1894">
        <v>221.76000000000002</v>
      </c>
      <c r="AX256" s="1894">
        <v>221.76</v>
      </c>
      <c r="AY256" s="1894">
        <v>0.9093</v>
      </c>
      <c r="AZ256" s="1894">
        <v>9.6</v>
      </c>
      <c r="BA256" s="1894">
        <v>15327</v>
      </c>
      <c r="BB256" s="1894">
        <f t="shared" si="93"/>
        <v>95800</v>
      </c>
      <c r="BC256" s="1894">
        <f t="shared" si="94"/>
        <v>0</v>
      </c>
      <c r="BD256" s="1894">
        <v>180</v>
      </c>
      <c r="BE256" s="1894">
        <v>200.16</v>
      </c>
      <c r="BF256" s="1894">
        <v>200.16</v>
      </c>
      <c r="BG256" s="1894">
        <v>0.65259999999999996</v>
      </c>
      <c r="BH256" s="1894">
        <v>8.32</v>
      </c>
      <c r="BI256" s="1894">
        <v>12397</v>
      </c>
      <c r="BJ256" s="1894">
        <f t="shared" si="95"/>
        <v>89351</v>
      </c>
      <c r="BK256" s="1894">
        <f t="shared" si="96"/>
        <v>0</v>
      </c>
      <c r="BL256" s="1894">
        <v>180</v>
      </c>
      <c r="BM256" s="1894">
        <v>245.88</v>
      </c>
      <c r="BN256" s="1894">
        <v>245.88</v>
      </c>
      <c r="BO256" s="1894">
        <v>0.81830000000000003</v>
      </c>
      <c r="BP256" s="1894">
        <v>9.14</v>
      </c>
      <c r="BQ256" s="1894">
        <v>16178</v>
      </c>
      <c r="BR256" s="1894">
        <f t="shared" si="97"/>
        <v>106220</v>
      </c>
      <c r="BS256" s="1894">
        <f t="shared" si="98"/>
        <v>0</v>
      </c>
      <c r="BT256" s="1894">
        <v>180</v>
      </c>
      <c r="BU256" s="1894">
        <v>271.8</v>
      </c>
      <c r="BV256" s="1894">
        <v>271.8</v>
      </c>
      <c r="BW256" s="1894">
        <v>0.88460000000000005</v>
      </c>
      <c r="BX256" s="1894">
        <v>17.649999999999999</v>
      </c>
      <c r="BY256" s="1894">
        <v>29929</v>
      </c>
      <c r="BZ256" s="1894">
        <f t="shared" si="99"/>
        <v>121332</v>
      </c>
      <c r="CA256" s="1894">
        <f t="shared" si="100"/>
        <v>0</v>
      </c>
      <c r="CB256" s="1894">
        <v>180</v>
      </c>
      <c r="CC256" s="1894">
        <v>253.08</v>
      </c>
      <c r="CD256" s="1894">
        <v>253.08</v>
      </c>
      <c r="CE256" s="1894">
        <v>0.89480000000000004</v>
      </c>
      <c r="CF256" s="1894">
        <v>16.37</v>
      </c>
      <c r="CG256" s="1894">
        <v>35788</v>
      </c>
      <c r="CH256" s="1894">
        <f t="shared" si="101"/>
        <v>112975</v>
      </c>
      <c r="CI256" s="1894">
        <f t="shared" si="102"/>
        <v>0</v>
      </c>
      <c r="CJ256" s="1894">
        <v>180</v>
      </c>
      <c r="CK256" s="1894">
        <v>272.52000000000004</v>
      </c>
      <c r="CL256" s="1894">
        <v>272.52</v>
      </c>
      <c r="CM256" s="1894">
        <v>0.87139999999999995</v>
      </c>
      <c r="CN256" s="1894">
        <v>12.08</v>
      </c>
      <c r="CO256" s="1894">
        <v>22127</v>
      </c>
      <c r="CP256" s="1894">
        <f t="shared" si="103"/>
        <v>109880</v>
      </c>
      <c r="CQ256" s="1894">
        <f t="shared" si="104"/>
        <v>0</v>
      </c>
      <c r="CR256" s="1924">
        <v>180</v>
      </c>
      <c r="CS256" s="1924">
        <v>256.68</v>
      </c>
      <c r="CT256" s="1924">
        <v>256.68</v>
      </c>
      <c r="CU256" s="1924">
        <v>0.85160000000000002</v>
      </c>
      <c r="CV256" s="1924">
        <v>13.08</v>
      </c>
      <c r="CW256" s="1924">
        <v>24975</v>
      </c>
      <c r="CX256" s="1894">
        <f t="shared" si="105"/>
        <v>114582</v>
      </c>
      <c r="CY256" s="1894">
        <f t="shared" si="106"/>
        <v>0</v>
      </c>
    </row>
    <row r="257" spans="1:103">
      <c r="A257" s="982">
        <v>611000000089</v>
      </c>
      <c r="B257" s="1923">
        <f t="shared" si="107"/>
        <v>251</v>
      </c>
      <c r="C257" s="1895" t="s">
        <v>3140</v>
      </c>
      <c r="D257" s="1894" t="s">
        <v>524</v>
      </c>
      <c r="E257" s="1895" t="s">
        <v>541</v>
      </c>
      <c r="F257" s="1894" t="s">
        <v>259</v>
      </c>
      <c r="G257" s="1924">
        <v>180</v>
      </c>
      <c r="H257" s="1894">
        <v>180</v>
      </c>
      <c r="I257" s="1894">
        <v>84.96</v>
      </c>
      <c r="J257" s="1894">
        <v>144</v>
      </c>
      <c r="K257" s="1894">
        <v>0.82069999999999999</v>
      </c>
      <c r="L257" s="1894">
        <v>29.36</v>
      </c>
      <c r="M257" s="1894">
        <v>21552</v>
      </c>
      <c r="N257" s="1894">
        <f t="shared" si="85"/>
        <v>36703</v>
      </c>
      <c r="O257" s="1894">
        <f t="shared" si="86"/>
        <v>0</v>
      </c>
      <c r="P257" s="1894">
        <v>180</v>
      </c>
      <c r="Q257" s="1894">
        <v>83.04</v>
      </c>
      <c r="R257" s="1894">
        <v>144</v>
      </c>
      <c r="S257" s="1894">
        <v>0.83799999999999997</v>
      </c>
      <c r="T257" s="1894">
        <v>24.76</v>
      </c>
      <c r="U257" s="1894">
        <v>15300</v>
      </c>
      <c r="V257" s="1894">
        <f t="shared" si="87"/>
        <v>37069</v>
      </c>
      <c r="W257" s="1894">
        <f t="shared" si="88"/>
        <v>0</v>
      </c>
      <c r="X257" s="1894">
        <v>180</v>
      </c>
      <c r="Y257" s="1894">
        <v>88.8</v>
      </c>
      <c r="Z257" s="1894">
        <v>144</v>
      </c>
      <c r="AA257" s="1894">
        <v>0.83760000000000001</v>
      </c>
      <c r="AB257" s="1894">
        <v>22.43</v>
      </c>
      <c r="AC257" s="1894">
        <v>14340</v>
      </c>
      <c r="AD257" s="1894">
        <f t="shared" si="89"/>
        <v>38362</v>
      </c>
      <c r="AE257" s="1894">
        <f t="shared" si="90"/>
        <v>0</v>
      </c>
      <c r="AF257" s="1894">
        <v>180</v>
      </c>
      <c r="AG257" s="1894">
        <v>88.32</v>
      </c>
      <c r="AH257" s="1894">
        <v>144</v>
      </c>
      <c r="AI257" s="1894">
        <v>0.82720000000000005</v>
      </c>
      <c r="AJ257" s="1894">
        <v>20.93</v>
      </c>
      <c r="AK257" s="1894">
        <v>13752</v>
      </c>
      <c r="AL257" s="1894">
        <f t="shared" si="110"/>
        <v>39426</v>
      </c>
      <c r="AM257" s="1894">
        <f t="shared" si="111"/>
        <v>0</v>
      </c>
      <c r="AN257" s="1894">
        <v>180</v>
      </c>
      <c r="AO257" s="1894">
        <v>91.2</v>
      </c>
      <c r="AP257" s="1894">
        <v>144</v>
      </c>
      <c r="AQ257" s="1894">
        <v>0.83299999999999996</v>
      </c>
      <c r="AR257" s="1894">
        <v>21.13</v>
      </c>
      <c r="AS257" s="1894">
        <v>14340</v>
      </c>
      <c r="AT257" s="1894">
        <f t="shared" si="91"/>
        <v>40712</v>
      </c>
      <c r="AU257" s="1894">
        <f t="shared" si="92"/>
        <v>0</v>
      </c>
      <c r="AV257" s="1894">
        <v>180</v>
      </c>
      <c r="AW257" s="1894">
        <v>86.88</v>
      </c>
      <c r="AX257" s="1894">
        <v>144</v>
      </c>
      <c r="AY257" s="1894">
        <v>0.84119999999999995</v>
      </c>
      <c r="AZ257" s="1894">
        <v>23.75</v>
      </c>
      <c r="BA257" s="1894">
        <v>14364</v>
      </c>
      <c r="BB257" s="1894">
        <f t="shared" si="93"/>
        <v>37532</v>
      </c>
      <c r="BC257" s="1894">
        <f t="shared" si="94"/>
        <v>0</v>
      </c>
      <c r="BD257" s="1894">
        <v>180</v>
      </c>
      <c r="BE257" s="1894">
        <v>93.6</v>
      </c>
      <c r="BF257" s="1894">
        <v>144</v>
      </c>
      <c r="BG257" s="1894">
        <v>0.82279999999999998</v>
      </c>
      <c r="BH257" s="1894">
        <v>23.98</v>
      </c>
      <c r="BI257" s="1894">
        <v>17238</v>
      </c>
      <c r="BJ257" s="1894">
        <f t="shared" si="95"/>
        <v>41783</v>
      </c>
      <c r="BK257" s="1894">
        <f t="shared" si="96"/>
        <v>0</v>
      </c>
      <c r="BL257" s="1894">
        <v>180</v>
      </c>
      <c r="BM257" s="1894">
        <v>87.84</v>
      </c>
      <c r="BN257" s="1894">
        <v>144</v>
      </c>
      <c r="BO257" s="1894">
        <v>0.77880000000000005</v>
      </c>
      <c r="BP257" s="1894">
        <v>25.53</v>
      </c>
      <c r="BQ257" s="1894">
        <v>16146</v>
      </c>
      <c r="BR257" s="1894">
        <f t="shared" si="97"/>
        <v>37947</v>
      </c>
      <c r="BS257" s="1894">
        <f t="shared" si="98"/>
        <v>0</v>
      </c>
      <c r="BT257" s="1894">
        <v>180</v>
      </c>
      <c r="BU257" s="1894">
        <v>299.04000000000002</v>
      </c>
      <c r="BV257" s="1894">
        <v>299.04000000000002</v>
      </c>
      <c r="BW257" s="1894">
        <v>0.77780000000000005</v>
      </c>
      <c r="BX257" s="1894">
        <v>6.96</v>
      </c>
      <c r="BY257" s="1894">
        <v>15474</v>
      </c>
      <c r="BZ257" s="1894">
        <f t="shared" si="99"/>
        <v>133491</v>
      </c>
      <c r="CA257" s="1894">
        <f t="shared" si="100"/>
        <v>0</v>
      </c>
      <c r="CB257" s="1894">
        <v>180</v>
      </c>
      <c r="CC257" s="1894">
        <v>83.08</v>
      </c>
      <c r="CD257" s="1894">
        <v>144</v>
      </c>
      <c r="CE257" s="1894">
        <v>0.8085</v>
      </c>
      <c r="CF257" s="1894">
        <v>22.37</v>
      </c>
      <c r="CG257" s="1894">
        <v>13818</v>
      </c>
      <c r="CH257" s="1894">
        <f t="shared" si="101"/>
        <v>37087</v>
      </c>
      <c r="CI257" s="1894">
        <f t="shared" si="102"/>
        <v>0</v>
      </c>
      <c r="CJ257" s="1894">
        <v>180</v>
      </c>
      <c r="CK257" s="1894">
        <v>86.4</v>
      </c>
      <c r="CL257" s="1894">
        <v>144</v>
      </c>
      <c r="CM257" s="1894">
        <v>0.8206</v>
      </c>
      <c r="CN257" s="1894">
        <v>20.69</v>
      </c>
      <c r="CO257" s="1894">
        <v>12012</v>
      </c>
      <c r="CP257" s="1894">
        <f t="shared" si="103"/>
        <v>34836</v>
      </c>
      <c r="CQ257" s="1894">
        <f t="shared" si="104"/>
        <v>0</v>
      </c>
      <c r="CR257" s="1924">
        <v>180</v>
      </c>
      <c r="CS257" s="1924">
        <v>85.44</v>
      </c>
      <c r="CT257" s="1924">
        <v>144</v>
      </c>
      <c r="CU257" s="1924">
        <v>0.82469999999999999</v>
      </c>
      <c r="CV257" s="1924">
        <v>23.38</v>
      </c>
      <c r="CW257" s="1924">
        <v>14862</v>
      </c>
      <c r="CX257" s="1894">
        <f t="shared" si="105"/>
        <v>38140</v>
      </c>
      <c r="CY257" s="1894">
        <f t="shared" si="106"/>
        <v>0</v>
      </c>
    </row>
    <row r="258" spans="1:103">
      <c r="A258" s="982">
        <v>622000000016</v>
      </c>
      <c r="B258" s="1923">
        <f t="shared" si="107"/>
        <v>252</v>
      </c>
      <c r="C258" s="1895" t="s">
        <v>3141</v>
      </c>
      <c r="D258" s="1894" t="s">
        <v>524</v>
      </c>
      <c r="E258" s="1895" t="s">
        <v>629</v>
      </c>
      <c r="F258" s="1894" t="s">
        <v>259</v>
      </c>
      <c r="G258" s="1924">
        <v>182.22</v>
      </c>
      <c r="H258" s="1894">
        <v>182.22</v>
      </c>
      <c r="I258" s="1894">
        <v>97.52</v>
      </c>
      <c r="J258" s="1894">
        <v>182.22</v>
      </c>
      <c r="K258" s="1894">
        <v>0.97170000000000001</v>
      </c>
      <c r="L258" s="1894">
        <v>0</v>
      </c>
      <c r="M258" s="1894">
        <v>31831</v>
      </c>
      <c r="N258" s="1894">
        <f t="shared" si="85"/>
        <v>42129</v>
      </c>
      <c r="O258" s="1894">
        <f t="shared" si="86"/>
        <v>0</v>
      </c>
      <c r="P258" s="1894">
        <v>182.22</v>
      </c>
      <c r="Q258" s="1894">
        <v>96.88</v>
      </c>
      <c r="R258" s="1894">
        <v>182.22</v>
      </c>
      <c r="S258" s="1894">
        <v>0.97030000000000005</v>
      </c>
      <c r="T258" s="1894">
        <v>0</v>
      </c>
      <c r="U258" s="1894">
        <v>44472</v>
      </c>
      <c r="V258" s="1894">
        <f t="shared" si="87"/>
        <v>43247</v>
      </c>
      <c r="W258" s="1894">
        <f t="shared" si="88"/>
        <v>1225</v>
      </c>
      <c r="X258" s="1894">
        <v>182.22</v>
      </c>
      <c r="Y258" s="1894">
        <v>98.8</v>
      </c>
      <c r="Z258" s="1894">
        <v>182.22</v>
      </c>
      <c r="AA258" s="1894">
        <v>0.96889999999999998</v>
      </c>
      <c r="AB258" s="1894">
        <v>0</v>
      </c>
      <c r="AC258" s="1894">
        <v>45338</v>
      </c>
      <c r="AD258" s="1894">
        <f t="shared" si="89"/>
        <v>42682</v>
      </c>
      <c r="AE258" s="1894">
        <f t="shared" si="90"/>
        <v>2656</v>
      </c>
      <c r="AF258" s="1894">
        <v>182.22</v>
      </c>
      <c r="AG258" s="1894">
        <v>101.27999999999999</v>
      </c>
      <c r="AH258" s="1894">
        <v>182.22</v>
      </c>
      <c r="AI258" s="1894">
        <v>0.96930000000000005</v>
      </c>
      <c r="AJ258" s="1894">
        <v>0</v>
      </c>
      <c r="AK258" s="1894">
        <v>38238</v>
      </c>
      <c r="AL258" s="1894">
        <f t="shared" si="110"/>
        <v>45211</v>
      </c>
      <c r="AM258" s="1894">
        <f t="shared" si="111"/>
        <v>0</v>
      </c>
      <c r="AN258" s="1894">
        <v>182.22</v>
      </c>
      <c r="AO258" s="1894">
        <v>106.16000000000001</v>
      </c>
      <c r="AP258" s="1894">
        <v>182.22</v>
      </c>
      <c r="AQ258" s="1894">
        <v>0.96509999999999996</v>
      </c>
      <c r="AR258" s="1894">
        <v>0</v>
      </c>
      <c r="AS258" s="1894">
        <v>34826</v>
      </c>
      <c r="AT258" s="1894">
        <f t="shared" si="91"/>
        <v>47390</v>
      </c>
      <c r="AU258" s="1894">
        <f t="shared" si="92"/>
        <v>0</v>
      </c>
      <c r="AV258" s="1894">
        <v>182.22</v>
      </c>
      <c r="AW258" s="1894">
        <v>108.32</v>
      </c>
      <c r="AX258" s="1894">
        <v>182.22</v>
      </c>
      <c r="AY258" s="1894">
        <v>0.96750000000000003</v>
      </c>
      <c r="AZ258" s="1894">
        <v>0</v>
      </c>
      <c r="BA258" s="1894">
        <v>42528</v>
      </c>
      <c r="BB258" s="1894">
        <f t="shared" si="93"/>
        <v>46794</v>
      </c>
      <c r="BC258" s="1894">
        <f t="shared" si="94"/>
        <v>0</v>
      </c>
      <c r="BD258" s="1894">
        <v>182.22</v>
      </c>
      <c r="BE258" s="1894">
        <v>104</v>
      </c>
      <c r="BF258" s="1894">
        <v>182.22</v>
      </c>
      <c r="BG258" s="1894">
        <v>0.95809999999999995</v>
      </c>
      <c r="BH258" s="1894">
        <v>0</v>
      </c>
      <c r="BI258" s="1894">
        <v>37892</v>
      </c>
      <c r="BJ258" s="1894">
        <f t="shared" si="95"/>
        <v>46426</v>
      </c>
      <c r="BK258" s="1894">
        <f t="shared" si="96"/>
        <v>0</v>
      </c>
      <c r="BL258" s="1894">
        <v>182.22</v>
      </c>
      <c r="BM258" s="1894">
        <v>126</v>
      </c>
      <c r="BN258" s="1894">
        <v>182.22</v>
      </c>
      <c r="BO258" s="1894">
        <v>0.97219999999999995</v>
      </c>
      <c r="BP258" s="1894">
        <v>0</v>
      </c>
      <c r="BQ258" s="1894">
        <v>38841</v>
      </c>
      <c r="BR258" s="1894">
        <f t="shared" si="97"/>
        <v>54432</v>
      </c>
      <c r="BS258" s="1894">
        <f t="shared" si="98"/>
        <v>0</v>
      </c>
      <c r="BT258" s="1894">
        <v>182.22</v>
      </c>
      <c r="BU258" s="1894">
        <v>138.32</v>
      </c>
      <c r="BV258" s="1894">
        <v>182.22</v>
      </c>
      <c r="BW258" s="1894">
        <v>0.97519999999999996</v>
      </c>
      <c r="BX258" s="1894">
        <v>0</v>
      </c>
      <c r="BY258" s="1894">
        <v>48865</v>
      </c>
      <c r="BZ258" s="1894">
        <f t="shared" si="99"/>
        <v>61746</v>
      </c>
      <c r="CA258" s="1894">
        <f t="shared" si="100"/>
        <v>0</v>
      </c>
      <c r="CB258" s="1894">
        <v>182.22</v>
      </c>
      <c r="CC258" s="1894">
        <v>146.96</v>
      </c>
      <c r="CD258" s="1894">
        <v>182.22</v>
      </c>
      <c r="CE258" s="1894">
        <v>0.97440000000000004</v>
      </c>
      <c r="CF258" s="1894">
        <v>0</v>
      </c>
      <c r="CG258" s="1894">
        <v>43603</v>
      </c>
      <c r="CH258" s="1894">
        <f t="shared" si="101"/>
        <v>65603</v>
      </c>
      <c r="CI258" s="1894">
        <f t="shared" si="102"/>
        <v>0</v>
      </c>
      <c r="CJ258" s="1894">
        <v>182.22</v>
      </c>
      <c r="CK258" s="1894">
        <v>127.67999999999999</v>
      </c>
      <c r="CL258" s="1894">
        <v>182.22</v>
      </c>
      <c r="CM258" s="1894">
        <v>0.96719999999999995</v>
      </c>
      <c r="CN258" s="1894">
        <v>0</v>
      </c>
      <c r="CO258" s="1894">
        <v>37411</v>
      </c>
      <c r="CP258" s="1894">
        <f t="shared" si="103"/>
        <v>51481</v>
      </c>
      <c r="CQ258" s="1894">
        <f t="shared" si="104"/>
        <v>0</v>
      </c>
      <c r="CR258" s="1924">
        <v>182.22</v>
      </c>
      <c r="CS258" s="1924">
        <v>109.92</v>
      </c>
      <c r="CT258" s="1924">
        <v>182.22</v>
      </c>
      <c r="CU258" s="1924">
        <v>0.96150000000000002</v>
      </c>
      <c r="CV258" s="1924">
        <v>0</v>
      </c>
      <c r="CW258" s="1924">
        <v>38371</v>
      </c>
      <c r="CX258" s="1894">
        <f t="shared" si="105"/>
        <v>49068</v>
      </c>
      <c r="CY258" s="1894">
        <f t="shared" si="106"/>
        <v>0</v>
      </c>
    </row>
    <row r="259" spans="1:103">
      <c r="A259" s="982">
        <v>123000000079</v>
      </c>
      <c r="B259" s="1923">
        <f t="shared" si="107"/>
        <v>253</v>
      </c>
      <c r="C259" s="1895" t="s">
        <v>3142</v>
      </c>
      <c r="D259" s="1894" t="s">
        <v>524</v>
      </c>
      <c r="E259" s="1895" t="s">
        <v>541</v>
      </c>
      <c r="F259" s="1894" t="s">
        <v>259</v>
      </c>
      <c r="G259" s="1924">
        <v>183</v>
      </c>
      <c r="H259" s="1894">
        <v>183</v>
      </c>
      <c r="I259" s="1894">
        <v>124.56</v>
      </c>
      <c r="J259" s="1894">
        <v>146.4</v>
      </c>
      <c r="K259" s="1894">
        <v>0.98199999999999998</v>
      </c>
      <c r="L259" s="1894">
        <v>53.25</v>
      </c>
      <c r="M259" s="1894">
        <v>41388</v>
      </c>
      <c r="N259" s="1894">
        <f t="shared" si="85"/>
        <v>53810</v>
      </c>
      <c r="O259" s="1894">
        <f t="shared" si="86"/>
        <v>0</v>
      </c>
      <c r="P259" s="1894">
        <v>183</v>
      </c>
      <c r="Q259" s="1894">
        <v>125.2</v>
      </c>
      <c r="R259" s="1894">
        <v>146.4</v>
      </c>
      <c r="S259" s="1894">
        <v>0.97889999999999999</v>
      </c>
      <c r="T259" s="1894">
        <v>44.44</v>
      </c>
      <c r="U259" s="1894">
        <v>46741</v>
      </c>
      <c r="V259" s="1894">
        <f t="shared" si="87"/>
        <v>55889</v>
      </c>
      <c r="W259" s="1894">
        <f t="shared" si="88"/>
        <v>0</v>
      </c>
      <c r="X259" s="1894">
        <v>183</v>
      </c>
      <c r="Y259" s="1894">
        <v>111.04</v>
      </c>
      <c r="Z259" s="1894">
        <v>146.4</v>
      </c>
      <c r="AA259" s="1894">
        <v>0.98050000000000004</v>
      </c>
      <c r="AB259" s="1894">
        <v>42.64</v>
      </c>
      <c r="AC259" s="1894">
        <v>34093</v>
      </c>
      <c r="AD259" s="1894">
        <f t="shared" si="89"/>
        <v>47969</v>
      </c>
      <c r="AE259" s="1894">
        <f t="shared" si="90"/>
        <v>0</v>
      </c>
      <c r="AF259" s="1894">
        <v>183</v>
      </c>
      <c r="AG259" s="1894">
        <v>109.84</v>
      </c>
      <c r="AH259" s="1894">
        <v>146.4</v>
      </c>
      <c r="AI259" s="1894">
        <v>0.97989999999999999</v>
      </c>
      <c r="AJ259" s="1894">
        <v>25.38</v>
      </c>
      <c r="AK259" s="1894">
        <v>20737</v>
      </c>
      <c r="AL259" s="1894">
        <f t="shared" si="110"/>
        <v>49033</v>
      </c>
      <c r="AM259" s="1894">
        <f t="shared" si="111"/>
        <v>0</v>
      </c>
      <c r="AN259" s="1894">
        <v>183</v>
      </c>
      <c r="AO259" s="1894">
        <v>109.11999999999999</v>
      </c>
      <c r="AP259" s="1894">
        <v>146.4</v>
      </c>
      <c r="AQ259" s="1894">
        <v>0.97889999999999999</v>
      </c>
      <c r="AR259" s="1894">
        <v>20.98</v>
      </c>
      <c r="AS259" s="1894">
        <v>17031</v>
      </c>
      <c r="AT259" s="1894">
        <f t="shared" si="91"/>
        <v>48711</v>
      </c>
      <c r="AU259" s="1894">
        <f t="shared" si="92"/>
        <v>0</v>
      </c>
      <c r="AV259" s="1894">
        <v>183</v>
      </c>
      <c r="AW259" s="1894">
        <v>106.16000000000001</v>
      </c>
      <c r="AX259" s="1894">
        <v>146.4</v>
      </c>
      <c r="AY259" s="1894">
        <v>0.97460000000000002</v>
      </c>
      <c r="AZ259" s="1894">
        <v>18.73</v>
      </c>
      <c r="BA259" s="1894">
        <v>14316</v>
      </c>
      <c r="BB259" s="1894">
        <f t="shared" si="93"/>
        <v>45861</v>
      </c>
      <c r="BC259" s="1894">
        <f t="shared" si="94"/>
        <v>0</v>
      </c>
      <c r="BD259" s="1894">
        <v>183</v>
      </c>
      <c r="BE259" s="1894">
        <v>38.56</v>
      </c>
      <c r="BF259" s="1894">
        <v>146.4</v>
      </c>
      <c r="BG259" s="1894">
        <v>0.99470000000000003</v>
      </c>
      <c r="BH259" s="1894">
        <v>6.62</v>
      </c>
      <c r="BI259" s="1894">
        <v>1898</v>
      </c>
      <c r="BJ259" s="1894">
        <f t="shared" si="95"/>
        <v>17213</v>
      </c>
      <c r="BK259" s="1894">
        <f t="shared" si="96"/>
        <v>0</v>
      </c>
      <c r="BL259" s="1894">
        <v>183</v>
      </c>
      <c r="BM259" s="1894">
        <v>22.32</v>
      </c>
      <c r="BN259" s="1894">
        <v>146.4</v>
      </c>
      <c r="BO259" s="1894">
        <v>0.99219999999999997</v>
      </c>
      <c r="BP259" s="1894">
        <v>12.02</v>
      </c>
      <c r="BQ259" s="1894">
        <v>1931</v>
      </c>
      <c r="BR259" s="1894">
        <f t="shared" si="97"/>
        <v>9642</v>
      </c>
      <c r="BS259" s="1894">
        <f t="shared" si="98"/>
        <v>0</v>
      </c>
      <c r="BT259" s="1894">
        <v>183</v>
      </c>
      <c r="BU259" s="1894">
        <v>18.32</v>
      </c>
      <c r="BV259" s="1894">
        <v>146.4</v>
      </c>
      <c r="BW259" s="1894">
        <v>0.99609999999999999</v>
      </c>
      <c r="BX259" s="1894">
        <v>11.46</v>
      </c>
      <c r="BY259" s="1894">
        <v>1562</v>
      </c>
      <c r="BZ259" s="1894">
        <f t="shared" si="99"/>
        <v>8178</v>
      </c>
      <c r="CA259" s="1894">
        <f t="shared" si="100"/>
        <v>0</v>
      </c>
      <c r="CB259" s="1894">
        <v>183</v>
      </c>
      <c r="CC259" s="1894">
        <v>164.96</v>
      </c>
      <c r="CD259" s="1894">
        <v>164.96</v>
      </c>
      <c r="CE259" s="1894">
        <v>0.92689999999999995</v>
      </c>
      <c r="CF259" s="1894">
        <v>38.76</v>
      </c>
      <c r="CG259" s="1894">
        <v>47576</v>
      </c>
      <c r="CH259" s="1894">
        <f t="shared" si="101"/>
        <v>73638</v>
      </c>
      <c r="CI259" s="1894">
        <f t="shared" si="102"/>
        <v>0</v>
      </c>
      <c r="CJ259" s="1894">
        <v>183</v>
      </c>
      <c r="CK259" s="1894">
        <v>162.16</v>
      </c>
      <c r="CL259" s="1894">
        <v>162.16</v>
      </c>
      <c r="CM259" s="1894">
        <v>0.89910000000000001</v>
      </c>
      <c r="CN259" s="1894">
        <v>55.3</v>
      </c>
      <c r="CO259" s="1894">
        <v>60264</v>
      </c>
      <c r="CP259" s="1894">
        <f t="shared" si="103"/>
        <v>65383</v>
      </c>
      <c r="CQ259" s="1894">
        <f t="shared" si="104"/>
        <v>0</v>
      </c>
      <c r="CR259" s="1924">
        <v>183</v>
      </c>
      <c r="CS259" s="1924">
        <v>152</v>
      </c>
      <c r="CT259" s="1924">
        <v>152</v>
      </c>
      <c r="CU259" s="1924">
        <v>0.89200000000000002</v>
      </c>
      <c r="CV259" s="1924">
        <v>56.07</v>
      </c>
      <c r="CW259" s="1924">
        <v>63414</v>
      </c>
      <c r="CX259" s="1894">
        <f t="shared" si="105"/>
        <v>67853</v>
      </c>
      <c r="CY259" s="1894">
        <f t="shared" si="106"/>
        <v>0</v>
      </c>
    </row>
    <row r="260" spans="1:103">
      <c r="A260" s="982">
        <v>125000000030</v>
      </c>
      <c r="B260" s="1923">
        <f t="shared" si="107"/>
        <v>254</v>
      </c>
      <c r="C260" s="1895" t="s">
        <v>3143</v>
      </c>
      <c r="D260" s="1894" t="s">
        <v>524</v>
      </c>
      <c r="E260" s="1895" t="s">
        <v>541</v>
      </c>
      <c r="F260" s="1894" t="s">
        <v>259</v>
      </c>
      <c r="G260" s="1924">
        <v>183</v>
      </c>
      <c r="H260" s="1894">
        <v>183</v>
      </c>
      <c r="I260" s="1894">
        <v>99.36</v>
      </c>
      <c r="J260" s="1894">
        <v>146.4</v>
      </c>
      <c r="K260" s="1894">
        <v>0.35089999999999999</v>
      </c>
      <c r="L260" s="1894">
        <v>4.78</v>
      </c>
      <c r="M260" s="1894">
        <v>3419</v>
      </c>
      <c r="N260" s="1894">
        <f t="shared" si="85"/>
        <v>42924</v>
      </c>
      <c r="O260" s="1894">
        <f t="shared" si="86"/>
        <v>0</v>
      </c>
      <c r="P260" s="1894">
        <v>183</v>
      </c>
      <c r="Q260" s="1894">
        <v>101.28</v>
      </c>
      <c r="R260" s="1894">
        <v>146.4</v>
      </c>
      <c r="S260" s="1894">
        <v>0.3125</v>
      </c>
      <c r="T260" s="1894">
        <v>5.17</v>
      </c>
      <c r="U260" s="1894">
        <v>3894</v>
      </c>
      <c r="V260" s="1894">
        <f t="shared" si="87"/>
        <v>45211</v>
      </c>
      <c r="W260" s="1894">
        <f t="shared" si="88"/>
        <v>0</v>
      </c>
      <c r="X260" s="1894">
        <v>183</v>
      </c>
      <c r="Y260" s="1894">
        <v>99.72</v>
      </c>
      <c r="Z260" s="1894">
        <v>146.4</v>
      </c>
      <c r="AA260" s="1894">
        <v>0.39329999999999998</v>
      </c>
      <c r="AB260" s="1894">
        <v>3.14</v>
      </c>
      <c r="AC260" s="1894">
        <v>2105</v>
      </c>
      <c r="AD260" s="1894">
        <f t="shared" si="89"/>
        <v>43079</v>
      </c>
      <c r="AE260" s="1894">
        <f t="shared" si="90"/>
        <v>0</v>
      </c>
      <c r="AF260" s="1894">
        <v>183</v>
      </c>
      <c r="AG260" s="1894">
        <v>101.52</v>
      </c>
      <c r="AH260" s="1894">
        <v>146.4</v>
      </c>
      <c r="AI260" s="1894">
        <v>0.3165</v>
      </c>
      <c r="AJ260" s="1894">
        <v>5.19</v>
      </c>
      <c r="AK260" s="1894">
        <v>4176</v>
      </c>
      <c r="AL260" s="1894">
        <f t="shared" si="110"/>
        <v>45319</v>
      </c>
      <c r="AM260" s="1894">
        <f t="shared" si="111"/>
        <v>0</v>
      </c>
      <c r="AN260" s="1894">
        <v>183</v>
      </c>
      <c r="AO260" s="1894">
        <v>5.76</v>
      </c>
      <c r="AP260" s="1894">
        <v>146.4</v>
      </c>
      <c r="AQ260" s="1894">
        <v>0.4032</v>
      </c>
      <c r="AR260" s="1894">
        <v>55.05</v>
      </c>
      <c r="AS260" s="1894">
        <v>2207</v>
      </c>
      <c r="AT260" s="1894">
        <f t="shared" si="91"/>
        <v>2571</v>
      </c>
      <c r="AU260" s="1894">
        <f t="shared" si="92"/>
        <v>0</v>
      </c>
      <c r="AV260" s="1894">
        <v>183</v>
      </c>
      <c r="AW260" s="1894">
        <v>27.72</v>
      </c>
      <c r="AX260" s="1894">
        <v>146.4</v>
      </c>
      <c r="AY260" s="1894">
        <v>0.20699999999999999</v>
      </c>
      <c r="AZ260" s="1894">
        <v>24.23</v>
      </c>
      <c r="BA260" s="1894">
        <v>5158</v>
      </c>
      <c r="BB260" s="1894">
        <f t="shared" si="93"/>
        <v>11975</v>
      </c>
      <c r="BC260" s="1894">
        <f t="shared" si="94"/>
        <v>0</v>
      </c>
      <c r="BD260" s="1894">
        <v>183</v>
      </c>
      <c r="BE260" s="1894">
        <v>18.239999999999998</v>
      </c>
      <c r="BF260" s="1894">
        <v>146.4</v>
      </c>
      <c r="BG260" s="1894">
        <v>0.18479999999999999</v>
      </c>
      <c r="BH260" s="1894">
        <v>26.39</v>
      </c>
      <c r="BI260" s="1894">
        <v>3581</v>
      </c>
      <c r="BJ260" s="1894">
        <f t="shared" si="95"/>
        <v>8142</v>
      </c>
      <c r="BK260" s="1894">
        <f t="shared" si="96"/>
        <v>0</v>
      </c>
      <c r="BL260" s="1894">
        <v>183</v>
      </c>
      <c r="BM260" s="1894">
        <v>120.84</v>
      </c>
      <c r="BN260" s="1894">
        <v>146.4</v>
      </c>
      <c r="BO260" s="1894">
        <v>0.53739999999999999</v>
      </c>
      <c r="BP260" s="1894">
        <v>13.09</v>
      </c>
      <c r="BQ260" s="1894">
        <v>11391</v>
      </c>
      <c r="BR260" s="1894">
        <f t="shared" si="97"/>
        <v>52203</v>
      </c>
      <c r="BS260" s="1894">
        <f t="shared" si="98"/>
        <v>0</v>
      </c>
      <c r="BT260" s="1894">
        <v>183</v>
      </c>
      <c r="BU260" s="1894">
        <v>122.88000000000001</v>
      </c>
      <c r="BV260" s="1894">
        <v>146.4</v>
      </c>
      <c r="BW260" s="1894">
        <v>0.57930000000000004</v>
      </c>
      <c r="BX260" s="1894">
        <v>11.85</v>
      </c>
      <c r="BY260" s="1894">
        <v>10830</v>
      </c>
      <c r="BZ260" s="1894">
        <f t="shared" si="99"/>
        <v>54854</v>
      </c>
      <c r="CA260" s="1894">
        <f t="shared" si="100"/>
        <v>0</v>
      </c>
      <c r="CB260" s="1894">
        <v>183</v>
      </c>
      <c r="CC260" s="1894">
        <v>125.88</v>
      </c>
      <c r="CD260" s="1894">
        <v>146.4</v>
      </c>
      <c r="CE260" s="1894">
        <v>0.67879999999999996</v>
      </c>
      <c r="CF260" s="1894">
        <v>14.85</v>
      </c>
      <c r="CG260" s="1894">
        <v>13908</v>
      </c>
      <c r="CH260" s="1894">
        <f t="shared" si="101"/>
        <v>56193</v>
      </c>
      <c r="CI260" s="1894">
        <f t="shared" si="102"/>
        <v>0</v>
      </c>
      <c r="CJ260" s="1894">
        <v>183</v>
      </c>
      <c r="CK260" s="1894">
        <v>121.56</v>
      </c>
      <c r="CL260" s="1894">
        <v>146.4</v>
      </c>
      <c r="CM260" s="1894">
        <v>0.91100000000000003</v>
      </c>
      <c r="CN260" s="1894">
        <v>36.72</v>
      </c>
      <c r="CO260" s="1894">
        <v>29992</v>
      </c>
      <c r="CP260" s="1894">
        <f t="shared" si="103"/>
        <v>49013</v>
      </c>
      <c r="CQ260" s="1894">
        <f t="shared" si="104"/>
        <v>0</v>
      </c>
      <c r="CR260" s="1924">
        <v>183</v>
      </c>
      <c r="CS260" s="1924">
        <v>154.80000000000001</v>
      </c>
      <c r="CT260" s="1924">
        <v>154.80000000000001</v>
      </c>
      <c r="CU260" s="1924">
        <v>0.77210000000000001</v>
      </c>
      <c r="CV260" s="1924">
        <v>12.9</v>
      </c>
      <c r="CW260" s="1924">
        <v>14861</v>
      </c>
      <c r="CX260" s="1894">
        <f t="shared" si="105"/>
        <v>69103</v>
      </c>
      <c r="CY260" s="1894">
        <f t="shared" si="106"/>
        <v>0</v>
      </c>
    </row>
    <row r="261" spans="1:103">
      <c r="A261" s="982">
        <v>622000000120</v>
      </c>
      <c r="B261" s="1923">
        <f t="shared" si="107"/>
        <v>255</v>
      </c>
      <c r="C261" s="1895" t="s">
        <v>3144</v>
      </c>
      <c r="D261" s="1894" t="s">
        <v>524</v>
      </c>
      <c r="E261" s="1895" t="s">
        <v>541</v>
      </c>
      <c r="F261" s="1894" t="s">
        <v>259</v>
      </c>
      <c r="G261" s="1924">
        <v>184</v>
      </c>
      <c r="H261" s="1894">
        <v>184</v>
      </c>
      <c r="I261" s="1894">
        <v>134.16</v>
      </c>
      <c r="J261" s="1894">
        <v>147.19999999999999</v>
      </c>
      <c r="K261" s="1894">
        <v>0.91949999999999998</v>
      </c>
      <c r="L261" s="1894">
        <v>13.3</v>
      </c>
      <c r="M261" s="1894">
        <v>14991</v>
      </c>
      <c r="N261" s="1894">
        <f t="shared" si="85"/>
        <v>57957</v>
      </c>
      <c r="O261" s="1894">
        <f t="shared" si="86"/>
        <v>0</v>
      </c>
      <c r="P261" s="1894">
        <v>184</v>
      </c>
      <c r="Q261" s="1894">
        <v>105</v>
      </c>
      <c r="R261" s="1894">
        <v>147.19999999999999</v>
      </c>
      <c r="S261" s="1894">
        <v>0.90349999999999997</v>
      </c>
      <c r="T261" s="1894">
        <v>14.25</v>
      </c>
      <c r="U261" s="1894">
        <v>9698</v>
      </c>
      <c r="V261" s="1894">
        <f t="shared" si="87"/>
        <v>46872</v>
      </c>
      <c r="W261" s="1894">
        <f t="shared" si="88"/>
        <v>0</v>
      </c>
      <c r="X261" s="1894">
        <v>184</v>
      </c>
      <c r="Y261" s="1894">
        <v>101.52</v>
      </c>
      <c r="Z261" s="1894">
        <v>147.19999999999999</v>
      </c>
      <c r="AA261" s="1894">
        <v>0.90669999999999995</v>
      </c>
      <c r="AB261" s="1894">
        <v>14.71</v>
      </c>
      <c r="AC261" s="1894">
        <v>11110</v>
      </c>
      <c r="AD261" s="1894">
        <f t="shared" si="89"/>
        <v>43857</v>
      </c>
      <c r="AE261" s="1894">
        <f t="shared" si="90"/>
        <v>0</v>
      </c>
      <c r="AF261" s="1894">
        <v>184</v>
      </c>
      <c r="AG261" s="1894">
        <v>86.64</v>
      </c>
      <c r="AH261" s="1894">
        <v>147.19999999999999</v>
      </c>
      <c r="AI261" s="1894">
        <v>0.87739999999999996</v>
      </c>
      <c r="AJ261" s="1894">
        <v>10.88</v>
      </c>
      <c r="AK261" s="1894">
        <v>7011</v>
      </c>
      <c r="AL261" s="1894">
        <f t="shared" si="110"/>
        <v>38676</v>
      </c>
      <c r="AM261" s="1894">
        <f t="shared" si="111"/>
        <v>0</v>
      </c>
      <c r="AN261" s="1894">
        <v>184</v>
      </c>
      <c r="AO261" s="1894">
        <v>120.60000000000001</v>
      </c>
      <c r="AP261" s="1894">
        <v>147.19999999999999</v>
      </c>
      <c r="AQ261" s="1894">
        <v>0.8135</v>
      </c>
      <c r="AR261" s="1894">
        <v>10.83</v>
      </c>
      <c r="AS261" s="1894">
        <v>9720</v>
      </c>
      <c r="AT261" s="1894">
        <f t="shared" si="91"/>
        <v>53836</v>
      </c>
      <c r="AU261" s="1894">
        <f t="shared" si="92"/>
        <v>0</v>
      </c>
      <c r="AV261" s="1894">
        <v>184</v>
      </c>
      <c r="AW261" s="1894">
        <v>135</v>
      </c>
      <c r="AX261" s="1894">
        <v>147.19999999999999</v>
      </c>
      <c r="AY261" s="1894">
        <v>0.76690000000000003</v>
      </c>
      <c r="AZ261" s="1894">
        <v>14.72</v>
      </c>
      <c r="BA261" s="1894">
        <v>14304</v>
      </c>
      <c r="BB261" s="1894">
        <f t="shared" si="93"/>
        <v>58320</v>
      </c>
      <c r="BC261" s="1894">
        <f t="shared" si="94"/>
        <v>0</v>
      </c>
      <c r="BD261" s="1894">
        <v>184</v>
      </c>
      <c r="BE261" s="1894">
        <v>109.92</v>
      </c>
      <c r="BF261" s="1894">
        <v>147.19999999999999</v>
      </c>
      <c r="BG261" s="1894">
        <v>0.78569999999999995</v>
      </c>
      <c r="BH261" s="1894">
        <v>20.89</v>
      </c>
      <c r="BI261" s="1894">
        <v>18188</v>
      </c>
      <c r="BJ261" s="1894">
        <f t="shared" si="95"/>
        <v>49068</v>
      </c>
      <c r="BK261" s="1894">
        <f t="shared" si="96"/>
        <v>0</v>
      </c>
      <c r="BL261" s="1894">
        <v>184</v>
      </c>
      <c r="BM261" s="1894">
        <v>134.28</v>
      </c>
      <c r="BN261" s="1894">
        <v>147.19999999999999</v>
      </c>
      <c r="BO261" s="1894">
        <v>0.79349999999999998</v>
      </c>
      <c r="BP261" s="1894">
        <v>17.78</v>
      </c>
      <c r="BQ261" s="1894">
        <v>16041</v>
      </c>
      <c r="BR261" s="1894">
        <f t="shared" si="97"/>
        <v>58009</v>
      </c>
      <c r="BS261" s="1894">
        <f t="shared" si="98"/>
        <v>0</v>
      </c>
      <c r="BT261" s="1894">
        <v>184</v>
      </c>
      <c r="BU261" s="1894">
        <v>179.4</v>
      </c>
      <c r="BV261" s="1894">
        <v>179.4</v>
      </c>
      <c r="BW261" s="1894">
        <v>0.69810000000000005</v>
      </c>
      <c r="BX261" s="1894">
        <v>14.17</v>
      </c>
      <c r="BY261" s="1894">
        <v>20131</v>
      </c>
      <c r="BZ261" s="1894">
        <f t="shared" si="99"/>
        <v>80084</v>
      </c>
      <c r="CA261" s="1894">
        <f t="shared" si="100"/>
        <v>0</v>
      </c>
      <c r="CB261" s="1894">
        <v>184</v>
      </c>
      <c r="CC261" s="1894">
        <v>125.16000000000001</v>
      </c>
      <c r="CD261" s="1894">
        <v>147.19999999999999</v>
      </c>
      <c r="CE261" s="1894">
        <v>0.72340000000000004</v>
      </c>
      <c r="CF261" s="1894">
        <v>12.1</v>
      </c>
      <c r="CG261" s="1894">
        <v>12723</v>
      </c>
      <c r="CH261" s="1894">
        <f t="shared" si="101"/>
        <v>55871</v>
      </c>
      <c r="CI261" s="1894">
        <f t="shared" si="102"/>
        <v>0</v>
      </c>
      <c r="CJ261" s="1894">
        <v>184</v>
      </c>
      <c r="CK261" s="1894">
        <v>136.91999999999999</v>
      </c>
      <c r="CL261" s="1894">
        <v>147.19999999999999</v>
      </c>
      <c r="CM261" s="1894">
        <v>0.77190000000000003</v>
      </c>
      <c r="CN261" s="1894">
        <v>16.39</v>
      </c>
      <c r="CO261" s="1894">
        <v>12929</v>
      </c>
      <c r="CP261" s="1894">
        <f t="shared" si="103"/>
        <v>55206</v>
      </c>
      <c r="CQ261" s="1894">
        <f t="shared" si="104"/>
        <v>0</v>
      </c>
      <c r="CR261" s="1924">
        <v>184</v>
      </c>
      <c r="CS261" s="1924">
        <v>113.28</v>
      </c>
      <c r="CT261" s="1924">
        <v>147.19999999999999</v>
      </c>
      <c r="CU261" s="1924">
        <v>0.68440000000000001</v>
      </c>
      <c r="CV261" s="1924">
        <v>18.48</v>
      </c>
      <c r="CW261" s="1924">
        <v>13565</v>
      </c>
      <c r="CX261" s="1894">
        <f t="shared" si="105"/>
        <v>50568</v>
      </c>
      <c r="CY261" s="1894">
        <f t="shared" si="106"/>
        <v>0</v>
      </c>
    </row>
    <row r="262" spans="1:103">
      <c r="A262" s="982">
        <v>122000000046</v>
      </c>
      <c r="B262" s="1923">
        <f t="shared" si="107"/>
        <v>256</v>
      </c>
      <c r="C262" s="1895" t="s">
        <v>3145</v>
      </c>
      <c r="D262" s="1894" t="s">
        <v>524</v>
      </c>
      <c r="E262" s="1895" t="s">
        <v>629</v>
      </c>
      <c r="F262" s="1894" t="s">
        <v>259</v>
      </c>
      <c r="G262" s="1924">
        <v>185.56</v>
      </c>
      <c r="H262" s="1894">
        <v>185.56</v>
      </c>
      <c r="I262" s="1894">
        <v>49.800000000000004</v>
      </c>
      <c r="J262" s="1894">
        <v>185.56</v>
      </c>
      <c r="K262" s="1894">
        <v>0.94969999999999999</v>
      </c>
      <c r="L262" s="1894">
        <v>0</v>
      </c>
      <c r="M262" s="1894">
        <v>21597</v>
      </c>
      <c r="N262" s="1894">
        <f t="shared" si="85"/>
        <v>21514</v>
      </c>
      <c r="O262" s="1894">
        <f t="shared" si="86"/>
        <v>83</v>
      </c>
      <c r="P262" s="1894">
        <v>185.56</v>
      </c>
      <c r="Q262" s="1894">
        <v>51.300000000000004</v>
      </c>
      <c r="R262" s="1894">
        <v>185.56</v>
      </c>
      <c r="S262" s="1894">
        <v>0.95040000000000002</v>
      </c>
      <c r="T262" s="1894">
        <v>0</v>
      </c>
      <c r="U262" s="1894">
        <v>19299</v>
      </c>
      <c r="V262" s="1894">
        <f t="shared" si="87"/>
        <v>22900</v>
      </c>
      <c r="W262" s="1894">
        <f t="shared" si="88"/>
        <v>0</v>
      </c>
      <c r="X262" s="1894">
        <v>185.56</v>
      </c>
      <c r="Y262" s="1894">
        <v>53.699999999999996</v>
      </c>
      <c r="Z262" s="1894">
        <v>185.56</v>
      </c>
      <c r="AA262" s="1894">
        <v>0.95350000000000001</v>
      </c>
      <c r="AB262" s="1894">
        <v>0</v>
      </c>
      <c r="AC262" s="1894">
        <v>21357</v>
      </c>
      <c r="AD262" s="1894">
        <f t="shared" si="89"/>
        <v>23198</v>
      </c>
      <c r="AE262" s="1894">
        <f t="shared" si="90"/>
        <v>0</v>
      </c>
      <c r="AF262" s="1894">
        <v>185.56</v>
      </c>
      <c r="AG262" s="1894">
        <v>60.96</v>
      </c>
      <c r="AH262" s="1894">
        <v>185.56</v>
      </c>
      <c r="AI262" s="1894">
        <v>0.96430000000000005</v>
      </c>
      <c r="AJ262" s="1894">
        <v>0</v>
      </c>
      <c r="AK262" s="1894">
        <v>26922</v>
      </c>
      <c r="AL262" s="1894">
        <f t="shared" si="110"/>
        <v>27213</v>
      </c>
      <c r="AM262" s="1894">
        <f t="shared" si="111"/>
        <v>0</v>
      </c>
      <c r="AN262" s="1894">
        <v>185.56</v>
      </c>
      <c r="AO262" s="1894">
        <v>42.12</v>
      </c>
      <c r="AP262" s="1894">
        <v>185.56</v>
      </c>
      <c r="AQ262" s="1894">
        <v>0.94579999999999997</v>
      </c>
      <c r="AR262" s="1894">
        <v>0</v>
      </c>
      <c r="AS262" s="1894">
        <v>20172</v>
      </c>
      <c r="AT262" s="1894">
        <f t="shared" si="91"/>
        <v>18802</v>
      </c>
      <c r="AU262" s="1894">
        <f t="shared" si="92"/>
        <v>1370</v>
      </c>
      <c r="AV262" s="1894">
        <v>185.56</v>
      </c>
      <c r="AW262" s="1894">
        <v>45.72</v>
      </c>
      <c r="AX262" s="1894">
        <v>185.56</v>
      </c>
      <c r="AY262" s="1894">
        <v>0.95030000000000003</v>
      </c>
      <c r="AZ262" s="1894">
        <v>0</v>
      </c>
      <c r="BA262" s="1894">
        <v>18612</v>
      </c>
      <c r="BB262" s="1894">
        <f t="shared" si="93"/>
        <v>19751</v>
      </c>
      <c r="BC262" s="1894">
        <f t="shared" si="94"/>
        <v>0</v>
      </c>
      <c r="BD262" s="1894">
        <v>185.56</v>
      </c>
      <c r="BE262" s="1894">
        <v>49.800000000000004</v>
      </c>
      <c r="BF262" s="1894">
        <v>185.56</v>
      </c>
      <c r="BG262" s="1894">
        <v>0.93569999999999998</v>
      </c>
      <c r="BH262" s="1894">
        <v>0</v>
      </c>
      <c r="BI262" s="1894">
        <v>18144</v>
      </c>
      <c r="BJ262" s="1894">
        <f t="shared" si="95"/>
        <v>22231</v>
      </c>
      <c r="BK262" s="1894">
        <f t="shared" si="96"/>
        <v>0</v>
      </c>
      <c r="BL262" s="1894">
        <v>185.56</v>
      </c>
      <c r="BM262" s="1894">
        <v>43.56</v>
      </c>
      <c r="BN262" s="1894">
        <v>185.56</v>
      </c>
      <c r="BO262" s="1894">
        <v>0.90869999999999995</v>
      </c>
      <c r="BP262" s="1894">
        <v>0</v>
      </c>
      <c r="BQ262" s="1894">
        <v>13884</v>
      </c>
      <c r="BR262" s="1894">
        <f t="shared" si="97"/>
        <v>18818</v>
      </c>
      <c r="BS262" s="1894">
        <f t="shared" si="98"/>
        <v>0</v>
      </c>
      <c r="BT262" s="1894">
        <v>185.56</v>
      </c>
      <c r="BU262" s="1894">
        <v>39.96</v>
      </c>
      <c r="BV262" s="1894">
        <v>185.56</v>
      </c>
      <c r="BW262" s="1894">
        <v>0.90310000000000001</v>
      </c>
      <c r="BX262" s="1894">
        <v>0</v>
      </c>
      <c r="BY262" s="1894">
        <v>13644</v>
      </c>
      <c r="BZ262" s="1894">
        <f t="shared" si="99"/>
        <v>17838</v>
      </c>
      <c r="CA262" s="1894">
        <f t="shared" si="100"/>
        <v>0</v>
      </c>
      <c r="CB262" s="1894">
        <v>185.56</v>
      </c>
      <c r="CC262" s="1894">
        <v>43.32</v>
      </c>
      <c r="CD262" s="1894">
        <v>185.56</v>
      </c>
      <c r="CE262" s="1894">
        <v>0.92020000000000002</v>
      </c>
      <c r="CF262" s="1894">
        <v>0</v>
      </c>
      <c r="CG262" s="1894">
        <v>14551</v>
      </c>
      <c r="CH262" s="1894">
        <f t="shared" si="101"/>
        <v>19338</v>
      </c>
      <c r="CI262" s="1894">
        <f t="shared" si="102"/>
        <v>0</v>
      </c>
      <c r="CJ262" s="1894">
        <v>185.56</v>
      </c>
      <c r="CK262" s="1894">
        <v>45.6</v>
      </c>
      <c r="CL262" s="1894">
        <v>185.56</v>
      </c>
      <c r="CM262" s="1894">
        <v>0.92379999999999995</v>
      </c>
      <c r="CN262" s="1894">
        <v>0</v>
      </c>
      <c r="CO262" s="1894">
        <v>14093</v>
      </c>
      <c r="CP262" s="1894">
        <f t="shared" si="103"/>
        <v>18386</v>
      </c>
      <c r="CQ262" s="1894">
        <f t="shared" si="104"/>
        <v>0</v>
      </c>
      <c r="CR262" s="1924">
        <v>185.56</v>
      </c>
      <c r="CS262" s="1924">
        <v>52.92</v>
      </c>
      <c r="CT262" s="1924">
        <v>185.56</v>
      </c>
      <c r="CU262" s="1924">
        <v>0.92679999999999996</v>
      </c>
      <c r="CV262" s="1924">
        <v>0</v>
      </c>
      <c r="CW262" s="1924">
        <v>17263</v>
      </c>
      <c r="CX262" s="1894">
        <f t="shared" si="105"/>
        <v>23623</v>
      </c>
      <c r="CY262" s="1894">
        <f t="shared" si="106"/>
        <v>0</v>
      </c>
    </row>
    <row r="263" spans="1:103">
      <c r="A263" s="982">
        <v>123000000127</v>
      </c>
      <c r="B263" s="1923">
        <f t="shared" si="107"/>
        <v>257</v>
      </c>
      <c r="C263" s="1895" t="s">
        <v>3146</v>
      </c>
      <c r="D263" s="1894" t="s">
        <v>524</v>
      </c>
      <c r="E263" s="1895" t="s">
        <v>737</v>
      </c>
      <c r="F263" s="1894" t="s">
        <v>259</v>
      </c>
      <c r="G263" s="1924">
        <v>186</v>
      </c>
      <c r="H263" s="1894">
        <v>186</v>
      </c>
      <c r="I263" s="1894">
        <v>12.64</v>
      </c>
      <c r="J263" s="1894">
        <v>148.80000000000001</v>
      </c>
      <c r="K263" s="1894">
        <v>0.9718</v>
      </c>
      <c r="L263" s="1894">
        <v>45.72</v>
      </c>
      <c r="M263" s="1894">
        <v>4161</v>
      </c>
      <c r="N263" s="1894">
        <f t="shared" ref="N263:N326" si="112">+ROUND((24*30*0.6*I263),0)</f>
        <v>5460</v>
      </c>
      <c r="O263" s="1894">
        <f t="shared" ref="O263:O326" si="113">+MAX((M263-N263),0)</f>
        <v>0</v>
      </c>
      <c r="P263" s="1894">
        <v>186</v>
      </c>
      <c r="Q263" s="1894">
        <v>13.44</v>
      </c>
      <c r="R263" s="1894">
        <v>148.80000000000001</v>
      </c>
      <c r="S263" s="1894">
        <v>0.96509999999999996</v>
      </c>
      <c r="T263" s="1894">
        <v>47.94</v>
      </c>
      <c r="U263" s="1894">
        <v>4794</v>
      </c>
      <c r="V263" s="1894">
        <f t="shared" ref="V263:V326" si="114">+ROUND((24*31*0.6*Q263),0)</f>
        <v>6000</v>
      </c>
      <c r="W263" s="1894">
        <f t="shared" ref="W263:W326" si="115">+MAX((U263-V263),0)</f>
        <v>0</v>
      </c>
      <c r="X263" s="1894">
        <v>186</v>
      </c>
      <c r="Y263" s="1894">
        <v>14.399999999999999</v>
      </c>
      <c r="Z263" s="1894">
        <v>148.80000000000001</v>
      </c>
      <c r="AA263" s="1894">
        <v>0.9395</v>
      </c>
      <c r="AB263" s="1894">
        <v>33.03</v>
      </c>
      <c r="AC263" s="1894">
        <v>3425</v>
      </c>
      <c r="AD263" s="1894">
        <f t="shared" ref="AD263:AD326" si="116">+ROUND((24*30*0.6*Y263),0)</f>
        <v>6221</v>
      </c>
      <c r="AE263" s="1894">
        <f t="shared" ref="AE263:AE326" si="117">+MAX((AC263-AD263),0)</f>
        <v>0</v>
      </c>
      <c r="AF263" s="1894">
        <v>186</v>
      </c>
      <c r="AG263" s="1894">
        <v>37.840000000000003</v>
      </c>
      <c r="AH263" s="1894">
        <v>148.80000000000001</v>
      </c>
      <c r="AI263" s="1894">
        <v>0.97570000000000001</v>
      </c>
      <c r="AJ263" s="1894">
        <v>21.8</v>
      </c>
      <c r="AK263" s="1894">
        <v>6138</v>
      </c>
      <c r="AL263" s="1894">
        <f t="shared" si="110"/>
        <v>16892</v>
      </c>
      <c r="AM263" s="1894">
        <f t="shared" si="111"/>
        <v>0</v>
      </c>
      <c r="AN263" s="1894">
        <v>186</v>
      </c>
      <c r="AO263" s="1894">
        <v>16.559999999999999</v>
      </c>
      <c r="AP263" s="1894">
        <v>148.80000000000001</v>
      </c>
      <c r="AQ263" s="1894">
        <v>0.98509999999999998</v>
      </c>
      <c r="AR263" s="1894">
        <v>52.03</v>
      </c>
      <c r="AS263" s="1894">
        <v>6411</v>
      </c>
      <c r="AT263" s="1894">
        <f t="shared" ref="AT263:AT326" si="118">+ROUND((24*31*0.6*AO263),0)</f>
        <v>7392</v>
      </c>
      <c r="AU263" s="1894">
        <f t="shared" ref="AU263:AU326" si="119">+MAX((AS263-AT263),0)</f>
        <v>0</v>
      </c>
      <c r="AV263" s="1894">
        <v>186</v>
      </c>
      <c r="AW263" s="1894">
        <v>15.440000000000001</v>
      </c>
      <c r="AX263" s="1894">
        <v>148.80000000000001</v>
      </c>
      <c r="AY263" s="1894">
        <v>0.97919999999999996</v>
      </c>
      <c r="AZ263" s="1894">
        <v>54.58</v>
      </c>
      <c r="BA263" s="1894">
        <v>6068</v>
      </c>
      <c r="BB263" s="1894">
        <f t="shared" ref="BB263:BB326" si="120">+ROUND((24*30*0.6*AW263),0)</f>
        <v>6670</v>
      </c>
      <c r="BC263" s="1894">
        <f t="shared" ref="BC263:BC326" si="121">+MAX((BA263-BB263),0)</f>
        <v>0</v>
      </c>
      <c r="BD263" s="1894">
        <v>186</v>
      </c>
      <c r="BE263" s="1894">
        <v>16.239999999999998</v>
      </c>
      <c r="BF263" s="1894">
        <v>148.80000000000001</v>
      </c>
      <c r="BG263" s="1894">
        <v>0.90920000000000001</v>
      </c>
      <c r="BH263" s="1894">
        <v>38.49</v>
      </c>
      <c r="BI263" s="1894">
        <v>4650</v>
      </c>
      <c r="BJ263" s="1894">
        <f t="shared" ref="BJ263:BJ326" si="122">+ROUND((24*31*0.6*BE263),0)</f>
        <v>7250</v>
      </c>
      <c r="BK263" s="1894">
        <f t="shared" ref="BK263:BK326" si="123">+MAX((BI263-BJ263),0)</f>
        <v>0</v>
      </c>
      <c r="BL263" s="1894">
        <v>186</v>
      </c>
      <c r="BM263" s="1894">
        <v>13.28</v>
      </c>
      <c r="BN263" s="1894">
        <v>148.80000000000001</v>
      </c>
      <c r="BO263" s="1894">
        <v>0.87960000000000005</v>
      </c>
      <c r="BP263" s="1894">
        <v>51.1</v>
      </c>
      <c r="BQ263" s="1894">
        <v>4886</v>
      </c>
      <c r="BR263" s="1894">
        <f t="shared" ref="BR263:BR326" si="124">+ROUND((24*30*0.6*BM263),0)</f>
        <v>5737</v>
      </c>
      <c r="BS263" s="1894">
        <f t="shared" ref="BS263:BS326" si="125">+MAX((BQ263-BR263),0)</f>
        <v>0</v>
      </c>
      <c r="BT263" s="1894">
        <v>186</v>
      </c>
      <c r="BU263" s="1894">
        <v>11.76</v>
      </c>
      <c r="BV263" s="1894">
        <v>148.80000000000001</v>
      </c>
      <c r="BW263" s="1894">
        <v>0.84150000000000003</v>
      </c>
      <c r="BX263" s="1894">
        <v>48.25</v>
      </c>
      <c r="BY263" s="1894">
        <v>4222</v>
      </c>
      <c r="BZ263" s="1894">
        <f t="shared" ref="BZ263:BZ326" si="126">+ROUND((24*31*0.6*BU263),0)</f>
        <v>5250</v>
      </c>
      <c r="CA263" s="1894">
        <f t="shared" ref="CA263:CA326" si="127">+MAX((BY263-BZ263),0)</f>
        <v>0</v>
      </c>
      <c r="CB263" s="1894">
        <v>186</v>
      </c>
      <c r="CC263" s="1894">
        <v>11.92</v>
      </c>
      <c r="CD263" s="1894">
        <v>148.80000000000001</v>
      </c>
      <c r="CE263" s="1894">
        <v>0.84089999999999998</v>
      </c>
      <c r="CF263" s="1894">
        <v>42.75</v>
      </c>
      <c r="CG263" s="1894">
        <v>3791</v>
      </c>
      <c r="CH263" s="1894">
        <f t="shared" ref="CH263:CH326" si="128">+ROUND((24*31*0.6*CC263),0)</f>
        <v>5321</v>
      </c>
      <c r="CI263" s="1894">
        <f t="shared" ref="CI263:CI326" si="129">+MAX((CG263-CH263),0)</f>
        <v>0</v>
      </c>
      <c r="CJ263" s="1894">
        <v>186</v>
      </c>
      <c r="CK263" s="1894">
        <v>14.96</v>
      </c>
      <c r="CL263" s="1894">
        <v>148.80000000000001</v>
      </c>
      <c r="CM263" s="1894">
        <v>0.9123</v>
      </c>
      <c r="CN263" s="1894">
        <v>46.76</v>
      </c>
      <c r="CO263" s="1894">
        <v>4701</v>
      </c>
      <c r="CP263" s="1894">
        <f t="shared" ref="CP263:CP326" si="130">+ROUND((24*28*0.6*CK263),0)</f>
        <v>6032</v>
      </c>
      <c r="CQ263" s="1894">
        <f t="shared" ref="CQ263:CQ326" si="131">+MAX((CO263-CP263),0)</f>
        <v>0</v>
      </c>
      <c r="CR263" s="1924">
        <v>186</v>
      </c>
      <c r="CS263" s="1924">
        <v>16</v>
      </c>
      <c r="CT263" s="1924">
        <v>148.80000000000001</v>
      </c>
      <c r="CU263" s="1924">
        <v>0.93569999999999998</v>
      </c>
      <c r="CV263" s="1924">
        <v>51.13</v>
      </c>
      <c r="CW263" s="1924">
        <v>6086</v>
      </c>
      <c r="CX263" s="1894">
        <f t="shared" ref="CX263:CX326" si="132">+ROUND((24*31*0.6*CS263),0)</f>
        <v>7142</v>
      </c>
      <c r="CY263" s="1894">
        <f t="shared" ref="CY263:CY326" si="133">+MAX((CW263-CX263),0)</f>
        <v>0</v>
      </c>
    </row>
    <row r="264" spans="1:103">
      <c r="A264" s="982">
        <v>121000000056</v>
      </c>
      <c r="B264" s="1923">
        <f t="shared" ref="B264:B327" si="134">+B263+1</f>
        <v>258</v>
      </c>
      <c r="C264" s="1895" t="s">
        <v>3147</v>
      </c>
      <c r="D264" s="1894" t="s">
        <v>524</v>
      </c>
      <c r="E264" s="1895" t="s">
        <v>2966</v>
      </c>
      <c r="F264" s="1894" t="s">
        <v>259</v>
      </c>
      <c r="G264" s="1924">
        <v>187</v>
      </c>
      <c r="H264" s="1894">
        <v>187</v>
      </c>
      <c r="I264" s="1894">
        <v>31.68</v>
      </c>
      <c r="J264" s="1894">
        <v>187</v>
      </c>
      <c r="K264" s="1894">
        <v>0.9516</v>
      </c>
      <c r="L264" s="1894">
        <v>0</v>
      </c>
      <c r="M264" s="1894">
        <v>890</v>
      </c>
      <c r="N264" s="1894">
        <f t="shared" si="112"/>
        <v>13686</v>
      </c>
      <c r="O264" s="1894">
        <f t="shared" si="113"/>
        <v>0</v>
      </c>
      <c r="P264" s="1894">
        <v>187</v>
      </c>
      <c r="Q264" s="1894">
        <v>51.84</v>
      </c>
      <c r="R264" s="1894">
        <v>187</v>
      </c>
      <c r="S264" s="1894">
        <v>0.83640000000000003</v>
      </c>
      <c r="T264" s="1894">
        <v>0</v>
      </c>
      <c r="U264" s="1894">
        <v>4090</v>
      </c>
      <c r="V264" s="1894">
        <f t="shared" si="114"/>
        <v>23141</v>
      </c>
      <c r="W264" s="1894">
        <f t="shared" si="115"/>
        <v>0</v>
      </c>
      <c r="X264" s="1894">
        <v>187</v>
      </c>
      <c r="Y264" s="1894">
        <v>199.92</v>
      </c>
      <c r="Z264" s="1894">
        <v>199.92</v>
      </c>
      <c r="AA264" s="1894">
        <v>0.80689999999999995</v>
      </c>
      <c r="AB264" s="1894">
        <v>0</v>
      </c>
      <c r="AC264" s="1894">
        <v>14621</v>
      </c>
      <c r="AD264" s="1894">
        <f t="shared" si="116"/>
        <v>86365</v>
      </c>
      <c r="AE264" s="1894">
        <f t="shared" si="117"/>
        <v>0</v>
      </c>
      <c r="AF264" s="1894">
        <v>187</v>
      </c>
      <c r="AG264" s="1894">
        <v>174.96</v>
      </c>
      <c r="AH264" s="1894">
        <v>187</v>
      </c>
      <c r="AI264" s="1894">
        <v>0.79269999999999996</v>
      </c>
      <c r="AJ264" s="1894">
        <v>0</v>
      </c>
      <c r="AK264" s="1894">
        <v>29364</v>
      </c>
      <c r="AL264" s="1894">
        <f t="shared" si="110"/>
        <v>78102</v>
      </c>
      <c r="AM264" s="1894">
        <f t="shared" si="111"/>
        <v>0</v>
      </c>
      <c r="AN264" s="1894">
        <v>187</v>
      </c>
      <c r="AO264" s="1894">
        <v>172.68</v>
      </c>
      <c r="AP264" s="1894">
        <v>187</v>
      </c>
      <c r="AQ264" s="1894">
        <v>0.82789999999999997</v>
      </c>
      <c r="AR264" s="1894">
        <v>0</v>
      </c>
      <c r="AS264" s="1894">
        <v>14343</v>
      </c>
      <c r="AT264" s="1894">
        <f t="shared" si="118"/>
        <v>77084</v>
      </c>
      <c r="AU264" s="1894">
        <f t="shared" si="119"/>
        <v>0</v>
      </c>
      <c r="AV264" s="1894">
        <v>187</v>
      </c>
      <c r="AW264" s="1894">
        <v>138.6</v>
      </c>
      <c r="AX264" s="1894">
        <v>187</v>
      </c>
      <c r="AY264" s="1894">
        <v>0.81010000000000004</v>
      </c>
      <c r="AZ264" s="1894">
        <v>0</v>
      </c>
      <c r="BA264" s="1894">
        <v>14949</v>
      </c>
      <c r="BB264" s="1894">
        <f t="shared" si="120"/>
        <v>59875</v>
      </c>
      <c r="BC264" s="1894">
        <f t="shared" si="121"/>
        <v>0</v>
      </c>
      <c r="BD264" s="1894">
        <v>187</v>
      </c>
      <c r="BE264" s="1894">
        <v>129.47999999999999</v>
      </c>
      <c r="BF264" s="1894">
        <v>187</v>
      </c>
      <c r="BG264" s="1894">
        <v>0.83130000000000004</v>
      </c>
      <c r="BH264" s="1894">
        <v>0</v>
      </c>
      <c r="BI264" s="1894">
        <v>24492</v>
      </c>
      <c r="BJ264" s="1894">
        <f t="shared" si="122"/>
        <v>57800</v>
      </c>
      <c r="BK264" s="1894">
        <f t="shared" si="123"/>
        <v>0</v>
      </c>
      <c r="BL264" s="1894">
        <v>187</v>
      </c>
      <c r="BM264" s="1894">
        <v>112.67999999999999</v>
      </c>
      <c r="BN264" s="1894">
        <v>187</v>
      </c>
      <c r="BO264" s="1894">
        <v>0.83260000000000001</v>
      </c>
      <c r="BP264" s="1894">
        <v>0</v>
      </c>
      <c r="BQ264" s="1894">
        <v>14232</v>
      </c>
      <c r="BR264" s="1894">
        <f t="shared" si="124"/>
        <v>48678</v>
      </c>
      <c r="BS264" s="1894">
        <f t="shared" si="125"/>
        <v>0</v>
      </c>
      <c r="BT264" s="1894">
        <v>187</v>
      </c>
      <c r="BU264" s="1894">
        <v>4.9200000000000008</v>
      </c>
      <c r="BV264" s="1894">
        <v>187</v>
      </c>
      <c r="BW264" s="1894">
        <v>0.98640000000000005</v>
      </c>
      <c r="BX264" s="1894">
        <v>0</v>
      </c>
      <c r="BY264" s="1894">
        <v>444</v>
      </c>
      <c r="BZ264" s="1894">
        <f t="shared" si="126"/>
        <v>2196</v>
      </c>
      <c r="CA264" s="1894">
        <f t="shared" si="127"/>
        <v>0</v>
      </c>
      <c r="CB264" s="1894">
        <v>187</v>
      </c>
      <c r="CC264" s="1894">
        <v>3.6</v>
      </c>
      <c r="CD264" s="1894">
        <v>187</v>
      </c>
      <c r="CE264" s="1894">
        <v>0.99419999999999997</v>
      </c>
      <c r="CF264" s="1894">
        <v>0</v>
      </c>
      <c r="CG264" s="1894">
        <v>345</v>
      </c>
      <c r="CH264" s="1894">
        <f t="shared" si="128"/>
        <v>1607</v>
      </c>
      <c r="CI264" s="1894">
        <f t="shared" si="129"/>
        <v>0</v>
      </c>
      <c r="CJ264" s="1894">
        <v>187</v>
      </c>
      <c r="CK264" s="1894">
        <v>11.280000000000001</v>
      </c>
      <c r="CL264" s="1894">
        <v>187</v>
      </c>
      <c r="CM264" s="1894">
        <v>0.96530000000000005</v>
      </c>
      <c r="CN264" s="1894">
        <v>0</v>
      </c>
      <c r="CO264" s="1894">
        <v>1039</v>
      </c>
      <c r="CP264" s="1894">
        <f t="shared" si="130"/>
        <v>4548</v>
      </c>
      <c r="CQ264" s="1894">
        <f t="shared" si="131"/>
        <v>0</v>
      </c>
      <c r="CR264" s="1924">
        <v>187</v>
      </c>
      <c r="CS264" s="1924">
        <v>31.68</v>
      </c>
      <c r="CT264" s="1924">
        <v>187</v>
      </c>
      <c r="CU264" s="1924">
        <v>0.89870000000000005</v>
      </c>
      <c r="CV264" s="1924">
        <v>0</v>
      </c>
      <c r="CW264" s="1924">
        <v>3140</v>
      </c>
      <c r="CX264" s="1894">
        <f t="shared" si="132"/>
        <v>14142</v>
      </c>
      <c r="CY264" s="1894">
        <f t="shared" si="133"/>
        <v>0</v>
      </c>
    </row>
    <row r="265" spans="1:103">
      <c r="A265" s="982">
        <v>124000000040</v>
      </c>
      <c r="B265" s="1923">
        <f t="shared" si="134"/>
        <v>259</v>
      </c>
      <c r="C265" s="1895" t="s">
        <v>3148</v>
      </c>
      <c r="D265" s="1894" t="s">
        <v>524</v>
      </c>
      <c r="E265" s="1895" t="s">
        <v>541</v>
      </c>
      <c r="F265" s="1894" t="s">
        <v>259</v>
      </c>
      <c r="G265" s="1924">
        <v>187</v>
      </c>
      <c r="H265" s="1894">
        <v>187</v>
      </c>
      <c r="I265" s="1894">
        <v>188</v>
      </c>
      <c r="J265" s="1894">
        <v>188</v>
      </c>
      <c r="K265" s="1894">
        <v>0.67159999999999997</v>
      </c>
      <c r="L265" s="1894">
        <v>65.91</v>
      </c>
      <c r="M265" s="1894">
        <v>95168</v>
      </c>
      <c r="N265" s="1894">
        <f t="shared" si="112"/>
        <v>81216</v>
      </c>
      <c r="O265" s="1894">
        <f t="shared" si="113"/>
        <v>13952</v>
      </c>
      <c r="P265" s="1894">
        <v>187</v>
      </c>
      <c r="Q265" s="1894">
        <v>197.6</v>
      </c>
      <c r="R265" s="1894">
        <v>197.6</v>
      </c>
      <c r="S265" s="1894">
        <v>0.67769999999999997</v>
      </c>
      <c r="T265" s="1894">
        <v>55.09</v>
      </c>
      <c r="U265" s="1894">
        <v>78380</v>
      </c>
      <c r="V265" s="1894">
        <f t="shared" si="114"/>
        <v>88209</v>
      </c>
      <c r="W265" s="1894">
        <f t="shared" si="115"/>
        <v>0</v>
      </c>
      <c r="X265" s="1894">
        <v>187</v>
      </c>
      <c r="Y265" s="1894">
        <v>170</v>
      </c>
      <c r="Z265" s="1894">
        <v>170</v>
      </c>
      <c r="AA265" s="1894">
        <v>0.68689999999999996</v>
      </c>
      <c r="AB265" s="1894">
        <v>52.29</v>
      </c>
      <c r="AC265" s="1894">
        <v>74670</v>
      </c>
      <c r="AD265" s="1894">
        <f t="shared" si="116"/>
        <v>73440</v>
      </c>
      <c r="AE265" s="1894">
        <f t="shared" si="117"/>
        <v>1230</v>
      </c>
      <c r="AF265" s="1894">
        <v>187</v>
      </c>
      <c r="AG265" s="1894">
        <v>174.8</v>
      </c>
      <c r="AH265" s="1894">
        <v>174.8</v>
      </c>
      <c r="AI265" s="1894">
        <v>0.68379999999999996</v>
      </c>
      <c r="AJ265" s="1894">
        <v>42.9</v>
      </c>
      <c r="AK265" s="1894">
        <v>55790</v>
      </c>
      <c r="AL265" s="1894">
        <f t="shared" si="110"/>
        <v>78031</v>
      </c>
      <c r="AM265" s="1894">
        <f t="shared" si="111"/>
        <v>0</v>
      </c>
      <c r="AN265" s="1894">
        <v>187</v>
      </c>
      <c r="AO265" s="1894">
        <v>172.8</v>
      </c>
      <c r="AP265" s="1894">
        <v>172.8</v>
      </c>
      <c r="AQ265" s="1894">
        <v>0.68159999999999998</v>
      </c>
      <c r="AR265" s="1894">
        <v>57.18</v>
      </c>
      <c r="AS265" s="1894">
        <v>73512</v>
      </c>
      <c r="AT265" s="1894">
        <f t="shared" si="118"/>
        <v>77138</v>
      </c>
      <c r="AU265" s="1894">
        <f t="shared" si="119"/>
        <v>0</v>
      </c>
      <c r="AV265" s="1894">
        <v>187</v>
      </c>
      <c r="AW265" s="1894">
        <v>176.8</v>
      </c>
      <c r="AX265" s="1894">
        <v>176.8</v>
      </c>
      <c r="AY265" s="1894">
        <v>0.6794</v>
      </c>
      <c r="AZ265" s="1894">
        <v>40.14</v>
      </c>
      <c r="BA265" s="1894">
        <v>44282</v>
      </c>
      <c r="BB265" s="1894">
        <f t="shared" si="120"/>
        <v>76378</v>
      </c>
      <c r="BC265" s="1894">
        <f t="shared" si="121"/>
        <v>0</v>
      </c>
      <c r="BD265" s="1894">
        <v>187</v>
      </c>
      <c r="BE265" s="1894">
        <v>7.1999999999999993</v>
      </c>
      <c r="BF265" s="1894">
        <v>149.6</v>
      </c>
      <c r="BG265" s="1894">
        <v>0.58709999999999996</v>
      </c>
      <c r="BH265" s="1894">
        <v>38.67</v>
      </c>
      <c r="BI265" s="1894">
        <v>2272</v>
      </c>
      <c r="BJ265" s="1894">
        <f t="shared" si="122"/>
        <v>3214</v>
      </c>
      <c r="BK265" s="1894">
        <f t="shared" si="123"/>
        <v>0</v>
      </c>
      <c r="BL265" s="1894">
        <v>187</v>
      </c>
      <c r="BM265" s="1894">
        <v>41.199999999999996</v>
      </c>
      <c r="BN265" s="1894">
        <v>149.6</v>
      </c>
      <c r="BO265" s="1894">
        <v>0.45340000000000003</v>
      </c>
      <c r="BP265" s="1894">
        <v>11.71</v>
      </c>
      <c r="BQ265" s="1894">
        <v>3590</v>
      </c>
      <c r="BR265" s="1894">
        <f t="shared" si="124"/>
        <v>17798</v>
      </c>
      <c r="BS265" s="1894">
        <f t="shared" si="125"/>
        <v>0</v>
      </c>
      <c r="BT265" s="1894">
        <v>187</v>
      </c>
      <c r="BU265" s="1894">
        <v>177.28</v>
      </c>
      <c r="BV265" s="1894">
        <v>177.28</v>
      </c>
      <c r="BW265" s="1894">
        <v>0.60399999999999998</v>
      </c>
      <c r="BX265" s="1894">
        <v>11.62</v>
      </c>
      <c r="BY265" s="1894">
        <v>15320</v>
      </c>
      <c r="BZ265" s="1894">
        <f t="shared" si="126"/>
        <v>79138</v>
      </c>
      <c r="CA265" s="1894">
        <f t="shared" si="127"/>
        <v>0</v>
      </c>
      <c r="CB265" s="1894">
        <v>187</v>
      </c>
      <c r="CC265" s="1894">
        <v>184.32</v>
      </c>
      <c r="CD265" s="1894">
        <v>184.32</v>
      </c>
      <c r="CE265" s="1894">
        <v>0.6472</v>
      </c>
      <c r="CF265" s="1894">
        <v>55.91</v>
      </c>
      <c r="CG265" s="1894">
        <v>76674</v>
      </c>
      <c r="CH265" s="1894">
        <f t="shared" si="128"/>
        <v>82280</v>
      </c>
      <c r="CI265" s="1894">
        <f t="shared" si="129"/>
        <v>0</v>
      </c>
      <c r="CJ265" s="1894">
        <v>187</v>
      </c>
      <c r="CK265" s="1894">
        <v>180.8</v>
      </c>
      <c r="CL265" s="1894">
        <v>180.8</v>
      </c>
      <c r="CM265" s="1894">
        <v>0.63790000000000002</v>
      </c>
      <c r="CN265" s="1894">
        <v>63.85</v>
      </c>
      <c r="CO265" s="1894">
        <v>77574</v>
      </c>
      <c r="CP265" s="1894">
        <f t="shared" si="130"/>
        <v>72899</v>
      </c>
      <c r="CQ265" s="1894">
        <f t="shared" si="131"/>
        <v>4675</v>
      </c>
      <c r="CR265" s="1924">
        <v>187</v>
      </c>
      <c r="CS265" s="1924">
        <v>177.6</v>
      </c>
      <c r="CT265" s="1924">
        <v>177.6</v>
      </c>
      <c r="CU265" s="1924">
        <v>0.6512</v>
      </c>
      <c r="CV265" s="1924">
        <v>54.11</v>
      </c>
      <c r="CW265" s="1924">
        <v>71498</v>
      </c>
      <c r="CX265" s="1894">
        <f t="shared" si="132"/>
        <v>79281</v>
      </c>
      <c r="CY265" s="1894">
        <f t="shared" si="133"/>
        <v>0</v>
      </c>
    </row>
    <row r="266" spans="1:103">
      <c r="A266" s="982">
        <v>621000000052</v>
      </c>
      <c r="B266" s="1923">
        <f t="shared" si="134"/>
        <v>260</v>
      </c>
      <c r="C266" s="1895" t="s">
        <v>3149</v>
      </c>
      <c r="D266" s="1894" t="s">
        <v>524</v>
      </c>
      <c r="E266" s="1895" t="s">
        <v>636</v>
      </c>
      <c r="F266" s="1894" t="s">
        <v>259</v>
      </c>
      <c r="G266" s="1924">
        <v>187</v>
      </c>
      <c r="H266" s="1894">
        <v>187</v>
      </c>
      <c r="I266" s="1894">
        <v>104.16</v>
      </c>
      <c r="J266" s="1894">
        <v>149.6</v>
      </c>
      <c r="K266" s="1894">
        <v>0.99409999999999998</v>
      </c>
      <c r="L266" s="1894">
        <v>41.18</v>
      </c>
      <c r="M266" s="1894">
        <v>30885</v>
      </c>
      <c r="N266" s="1894">
        <f t="shared" si="112"/>
        <v>44997</v>
      </c>
      <c r="O266" s="1894">
        <f t="shared" si="113"/>
        <v>0</v>
      </c>
      <c r="P266" s="1894">
        <v>187</v>
      </c>
      <c r="Q266" s="1894">
        <v>101.52</v>
      </c>
      <c r="R266" s="1894">
        <v>149.6</v>
      </c>
      <c r="S266" s="1894">
        <v>0.99399999999999999</v>
      </c>
      <c r="T266" s="1894">
        <v>41.96</v>
      </c>
      <c r="U266" s="1894">
        <v>31695</v>
      </c>
      <c r="V266" s="1894">
        <f t="shared" si="114"/>
        <v>45319</v>
      </c>
      <c r="W266" s="1894">
        <f t="shared" si="115"/>
        <v>0</v>
      </c>
      <c r="X266" s="1894">
        <v>187</v>
      </c>
      <c r="Y266" s="1894">
        <v>102.24</v>
      </c>
      <c r="Z266" s="1894">
        <v>149.6</v>
      </c>
      <c r="AA266" s="1894">
        <v>0.99339999999999995</v>
      </c>
      <c r="AB266" s="1894">
        <v>37.97</v>
      </c>
      <c r="AC266" s="1894">
        <v>27948</v>
      </c>
      <c r="AD266" s="1894">
        <f t="shared" si="116"/>
        <v>44168</v>
      </c>
      <c r="AE266" s="1894">
        <f t="shared" si="117"/>
        <v>0</v>
      </c>
      <c r="AF266" s="1894">
        <v>187</v>
      </c>
      <c r="AG266" s="1894">
        <v>90.47999999999999</v>
      </c>
      <c r="AH266" s="1894">
        <v>149.6</v>
      </c>
      <c r="AI266" s="1894">
        <v>0.99390000000000001</v>
      </c>
      <c r="AJ266" s="1894">
        <v>37.54</v>
      </c>
      <c r="AK266" s="1894">
        <v>25269</v>
      </c>
      <c r="AL266" s="1894">
        <f t="shared" si="110"/>
        <v>40390</v>
      </c>
      <c r="AM266" s="1894">
        <f t="shared" si="111"/>
        <v>0</v>
      </c>
      <c r="AN266" s="1894">
        <v>187</v>
      </c>
      <c r="AO266" s="1894">
        <v>101.03999999999999</v>
      </c>
      <c r="AP266" s="1894">
        <v>149.6</v>
      </c>
      <c r="AQ266" s="1894">
        <v>0.99470000000000003</v>
      </c>
      <c r="AR266" s="1894">
        <v>33.93</v>
      </c>
      <c r="AS266" s="1894">
        <v>25503</v>
      </c>
      <c r="AT266" s="1894">
        <f t="shared" si="118"/>
        <v>45104</v>
      </c>
      <c r="AU266" s="1894">
        <f t="shared" si="119"/>
        <v>0</v>
      </c>
      <c r="AV266" s="1894">
        <v>187</v>
      </c>
      <c r="AW266" s="1894">
        <v>98.4</v>
      </c>
      <c r="AX266" s="1894">
        <v>149.6</v>
      </c>
      <c r="AY266" s="1894">
        <v>0.99650000000000005</v>
      </c>
      <c r="AZ266" s="1894">
        <v>35.619999999999997</v>
      </c>
      <c r="BA266" s="1894">
        <v>25239</v>
      </c>
      <c r="BB266" s="1894">
        <f t="shared" si="120"/>
        <v>42509</v>
      </c>
      <c r="BC266" s="1894">
        <f t="shared" si="121"/>
        <v>0</v>
      </c>
      <c r="BD266" s="1894">
        <v>187</v>
      </c>
      <c r="BE266" s="1894">
        <v>85.68</v>
      </c>
      <c r="BF266" s="1894">
        <v>149.6</v>
      </c>
      <c r="BG266" s="1894">
        <v>0.99829999999999997</v>
      </c>
      <c r="BH266" s="1894">
        <v>36.15</v>
      </c>
      <c r="BI266" s="1894">
        <v>23043</v>
      </c>
      <c r="BJ266" s="1894">
        <f t="shared" si="122"/>
        <v>38248</v>
      </c>
      <c r="BK266" s="1894">
        <f t="shared" si="123"/>
        <v>0</v>
      </c>
      <c r="BL266" s="1894">
        <v>187</v>
      </c>
      <c r="BM266" s="1894">
        <v>72.959999999999994</v>
      </c>
      <c r="BN266" s="1894">
        <v>149.6</v>
      </c>
      <c r="BO266" s="1894">
        <v>0.99929999999999997</v>
      </c>
      <c r="BP266" s="1894">
        <v>37.53</v>
      </c>
      <c r="BQ266" s="1894">
        <v>19713</v>
      </c>
      <c r="BR266" s="1894">
        <f t="shared" si="124"/>
        <v>31519</v>
      </c>
      <c r="BS266" s="1894">
        <f t="shared" si="125"/>
        <v>0</v>
      </c>
      <c r="BT266" s="1894">
        <v>187</v>
      </c>
      <c r="BU266" s="1894">
        <v>59.04</v>
      </c>
      <c r="BV266" s="1894">
        <v>149.6</v>
      </c>
      <c r="BW266" s="1894">
        <v>1</v>
      </c>
      <c r="BX266" s="1894">
        <v>41.13</v>
      </c>
      <c r="BY266" s="1894">
        <v>18066</v>
      </c>
      <c r="BZ266" s="1894">
        <f t="shared" si="126"/>
        <v>26355</v>
      </c>
      <c r="CA266" s="1894">
        <f t="shared" si="127"/>
        <v>0</v>
      </c>
      <c r="CB266" s="1894">
        <v>187</v>
      </c>
      <c r="CC266" s="1894">
        <v>69.12</v>
      </c>
      <c r="CD266" s="1894">
        <v>149.6</v>
      </c>
      <c r="CE266" s="1894">
        <v>1</v>
      </c>
      <c r="CF266" s="1894">
        <v>35.880000000000003</v>
      </c>
      <c r="CG266" s="1894">
        <v>18453</v>
      </c>
      <c r="CH266" s="1894">
        <f t="shared" si="128"/>
        <v>30855</v>
      </c>
      <c r="CI266" s="1894">
        <f t="shared" si="129"/>
        <v>0</v>
      </c>
      <c r="CJ266" s="1894">
        <v>187</v>
      </c>
      <c r="CK266" s="1894">
        <v>78</v>
      </c>
      <c r="CL266" s="1894">
        <v>149.6</v>
      </c>
      <c r="CM266" s="1894">
        <v>0.99960000000000004</v>
      </c>
      <c r="CN266" s="1894">
        <v>37.07</v>
      </c>
      <c r="CO266" s="1894">
        <v>19428</v>
      </c>
      <c r="CP266" s="1894">
        <f t="shared" si="130"/>
        <v>31450</v>
      </c>
      <c r="CQ266" s="1894">
        <f t="shared" si="131"/>
        <v>0</v>
      </c>
      <c r="CR266" s="1924">
        <v>187</v>
      </c>
      <c r="CS266" s="1924">
        <v>96</v>
      </c>
      <c r="CT266" s="1924">
        <v>149.6</v>
      </c>
      <c r="CU266" s="1924">
        <v>0.99880000000000002</v>
      </c>
      <c r="CV266" s="1924">
        <v>33.06</v>
      </c>
      <c r="CW266" s="1924">
        <v>23610</v>
      </c>
      <c r="CX266" s="1894">
        <f t="shared" si="132"/>
        <v>42854</v>
      </c>
      <c r="CY266" s="1894">
        <f t="shared" si="133"/>
        <v>0</v>
      </c>
    </row>
    <row r="267" spans="1:103">
      <c r="A267" s="982">
        <v>121000000094</v>
      </c>
      <c r="B267" s="1923">
        <f t="shared" si="134"/>
        <v>261</v>
      </c>
      <c r="C267" s="1895" t="s">
        <v>3150</v>
      </c>
      <c r="D267" s="1894" t="s">
        <v>524</v>
      </c>
      <c r="E267" s="1895" t="s">
        <v>2966</v>
      </c>
      <c r="F267" s="1894" t="s">
        <v>259</v>
      </c>
      <c r="G267" s="1924">
        <v>189</v>
      </c>
      <c r="H267" s="1894">
        <v>189</v>
      </c>
      <c r="I267" s="1894">
        <v>284.48</v>
      </c>
      <c r="J267" s="1894">
        <v>284.48</v>
      </c>
      <c r="K267" s="1894">
        <v>0.73409999999999997</v>
      </c>
      <c r="L267" s="1894">
        <v>0</v>
      </c>
      <c r="M267" s="1894">
        <v>67824</v>
      </c>
      <c r="N267" s="1894">
        <f t="shared" si="112"/>
        <v>122895</v>
      </c>
      <c r="O267" s="1894">
        <f t="shared" si="113"/>
        <v>0</v>
      </c>
      <c r="P267" s="1894">
        <v>189</v>
      </c>
      <c r="Q267" s="1894">
        <v>249.92000000000002</v>
      </c>
      <c r="R267" s="1894">
        <v>249.92</v>
      </c>
      <c r="S267" s="1894">
        <v>0.74760000000000004</v>
      </c>
      <c r="T267" s="1894">
        <v>0</v>
      </c>
      <c r="U267" s="1894">
        <v>71484</v>
      </c>
      <c r="V267" s="1894">
        <f t="shared" si="114"/>
        <v>111564</v>
      </c>
      <c r="W267" s="1894">
        <f t="shared" si="115"/>
        <v>0</v>
      </c>
      <c r="X267" s="1894">
        <v>189</v>
      </c>
      <c r="Y267" s="1894">
        <v>271.52</v>
      </c>
      <c r="Z267" s="1894">
        <v>271.52</v>
      </c>
      <c r="AA267" s="1894">
        <v>0.7762</v>
      </c>
      <c r="AB267" s="1894">
        <v>0</v>
      </c>
      <c r="AC267" s="1894">
        <v>69808</v>
      </c>
      <c r="AD267" s="1894">
        <f t="shared" si="116"/>
        <v>117297</v>
      </c>
      <c r="AE267" s="1894">
        <f t="shared" si="117"/>
        <v>0</v>
      </c>
      <c r="AF267" s="1894">
        <v>189</v>
      </c>
      <c r="AG267" s="1894">
        <v>130.24</v>
      </c>
      <c r="AH267" s="1894">
        <v>189</v>
      </c>
      <c r="AI267" s="1894">
        <v>0.90959999999999996</v>
      </c>
      <c r="AJ267" s="1894">
        <v>0</v>
      </c>
      <c r="AK267" s="1894">
        <v>31338</v>
      </c>
      <c r="AL267" s="1894">
        <f t="shared" si="110"/>
        <v>58139</v>
      </c>
      <c r="AM267" s="1894">
        <f t="shared" si="111"/>
        <v>0</v>
      </c>
      <c r="AN267" s="1894">
        <v>189</v>
      </c>
      <c r="AO267" s="1894">
        <v>143.19999999999999</v>
      </c>
      <c r="AP267" s="1894">
        <v>189</v>
      </c>
      <c r="AQ267" s="1894">
        <v>0.86599999999999999</v>
      </c>
      <c r="AR267" s="1894">
        <v>0</v>
      </c>
      <c r="AS267" s="1894">
        <v>29850</v>
      </c>
      <c r="AT267" s="1894">
        <f t="shared" si="118"/>
        <v>63924</v>
      </c>
      <c r="AU267" s="1894">
        <f t="shared" si="119"/>
        <v>0</v>
      </c>
      <c r="AV267" s="1894">
        <v>189</v>
      </c>
      <c r="AW267" s="1894">
        <v>209.12</v>
      </c>
      <c r="AX267" s="1894">
        <v>209.12</v>
      </c>
      <c r="AY267" s="1894">
        <v>0.84</v>
      </c>
      <c r="AZ267" s="1894">
        <v>0</v>
      </c>
      <c r="BA267" s="1894">
        <v>49596</v>
      </c>
      <c r="BB267" s="1894">
        <f t="shared" si="120"/>
        <v>90340</v>
      </c>
      <c r="BC267" s="1894">
        <f t="shared" si="121"/>
        <v>0</v>
      </c>
      <c r="BD267" s="1894">
        <v>189</v>
      </c>
      <c r="BE267" s="1894">
        <v>186.24</v>
      </c>
      <c r="BF267" s="1894">
        <v>189</v>
      </c>
      <c r="BG267" s="1894">
        <v>0.86719999999999997</v>
      </c>
      <c r="BH267" s="1894">
        <v>0</v>
      </c>
      <c r="BI267" s="1894">
        <v>43678</v>
      </c>
      <c r="BJ267" s="1894">
        <f t="shared" si="122"/>
        <v>83138</v>
      </c>
      <c r="BK267" s="1894">
        <f t="shared" si="123"/>
        <v>0</v>
      </c>
      <c r="BL267" s="1894">
        <v>189</v>
      </c>
      <c r="BM267" s="1894">
        <v>50.239999999999995</v>
      </c>
      <c r="BN267" s="1894">
        <v>189</v>
      </c>
      <c r="BO267" s="1894">
        <v>0.99099999999999999</v>
      </c>
      <c r="BP267" s="1894">
        <v>0</v>
      </c>
      <c r="BQ267" s="1894">
        <v>5606</v>
      </c>
      <c r="BR267" s="1894">
        <f t="shared" si="124"/>
        <v>21704</v>
      </c>
      <c r="BS267" s="1894">
        <f t="shared" si="125"/>
        <v>0</v>
      </c>
      <c r="BT267" s="1894">
        <v>189</v>
      </c>
      <c r="BU267" s="1894">
        <v>21.12</v>
      </c>
      <c r="BV267" s="1894">
        <v>189</v>
      </c>
      <c r="BW267" s="1894">
        <v>0.79820000000000002</v>
      </c>
      <c r="BX267" s="1894">
        <v>0</v>
      </c>
      <c r="BY267" s="1894">
        <v>1616</v>
      </c>
      <c r="BZ267" s="1894">
        <f t="shared" si="126"/>
        <v>9428</v>
      </c>
      <c r="CA267" s="1894">
        <f t="shared" si="127"/>
        <v>0</v>
      </c>
      <c r="CB267" s="1894">
        <v>189</v>
      </c>
      <c r="CC267" s="1894">
        <v>58.4</v>
      </c>
      <c r="CD267" s="1894">
        <v>189</v>
      </c>
      <c r="CE267" s="1894">
        <v>0.9617</v>
      </c>
      <c r="CF267" s="1894">
        <v>0</v>
      </c>
      <c r="CG267" s="1894">
        <v>11450</v>
      </c>
      <c r="CH267" s="1894">
        <f t="shared" si="128"/>
        <v>26070</v>
      </c>
      <c r="CI267" s="1894">
        <f t="shared" si="129"/>
        <v>0</v>
      </c>
      <c r="CJ267" s="1894">
        <v>189</v>
      </c>
      <c r="CK267" s="1894">
        <v>76.959999999999994</v>
      </c>
      <c r="CL267" s="1894">
        <v>189</v>
      </c>
      <c r="CM267" s="1894">
        <v>0.96289999999999998</v>
      </c>
      <c r="CN267" s="1894">
        <v>0</v>
      </c>
      <c r="CO267" s="1894">
        <v>13006</v>
      </c>
      <c r="CP267" s="1894">
        <f t="shared" si="130"/>
        <v>31030</v>
      </c>
      <c r="CQ267" s="1894">
        <f t="shared" si="131"/>
        <v>0</v>
      </c>
      <c r="CR267" s="1924">
        <v>189</v>
      </c>
      <c r="CS267" s="1924">
        <v>138.72</v>
      </c>
      <c r="CT267" s="1924">
        <v>189</v>
      </c>
      <c r="CU267" s="1924">
        <v>0.90039999999999998</v>
      </c>
      <c r="CV267" s="1924">
        <v>0</v>
      </c>
      <c r="CW267" s="1924">
        <v>23542</v>
      </c>
      <c r="CX267" s="1894">
        <f t="shared" si="132"/>
        <v>61925</v>
      </c>
      <c r="CY267" s="1894">
        <f t="shared" si="133"/>
        <v>0</v>
      </c>
    </row>
    <row r="268" spans="1:103">
      <c r="A268" s="982">
        <v>121000000024</v>
      </c>
      <c r="B268" s="1923">
        <f t="shared" si="134"/>
        <v>262</v>
      </c>
      <c r="C268" s="1895" t="s">
        <v>3151</v>
      </c>
      <c r="D268" s="1894" t="s">
        <v>524</v>
      </c>
      <c r="E268" s="1895" t="s">
        <v>541</v>
      </c>
      <c r="F268" s="1894" t="s">
        <v>259</v>
      </c>
      <c r="G268" s="1924">
        <v>189</v>
      </c>
      <c r="H268" s="1894">
        <v>189</v>
      </c>
      <c r="I268" s="1894">
        <v>178.2</v>
      </c>
      <c r="J268" s="1894">
        <v>178.2</v>
      </c>
      <c r="K268" s="1894">
        <v>0.99229999999999996</v>
      </c>
      <c r="L268" s="1894">
        <v>39.24</v>
      </c>
      <c r="M268" s="1894">
        <v>50343</v>
      </c>
      <c r="N268" s="1894">
        <f t="shared" si="112"/>
        <v>76982</v>
      </c>
      <c r="O268" s="1894">
        <f t="shared" si="113"/>
        <v>0</v>
      </c>
      <c r="P268" s="1894">
        <v>189</v>
      </c>
      <c r="Q268" s="1894">
        <v>184.8</v>
      </c>
      <c r="R268" s="1894">
        <v>184.8</v>
      </c>
      <c r="S268" s="1894">
        <v>0.99380000000000002</v>
      </c>
      <c r="T268" s="1894">
        <v>34.979999999999997</v>
      </c>
      <c r="U268" s="1894">
        <v>48098</v>
      </c>
      <c r="V268" s="1894">
        <f t="shared" si="114"/>
        <v>82495</v>
      </c>
      <c r="W268" s="1894">
        <f t="shared" si="115"/>
        <v>0</v>
      </c>
      <c r="X268" s="1894">
        <v>189</v>
      </c>
      <c r="Y268" s="1894">
        <v>174.72</v>
      </c>
      <c r="Z268" s="1894">
        <v>174.72</v>
      </c>
      <c r="AA268" s="1894">
        <v>0.99229999999999996</v>
      </c>
      <c r="AB268" s="1894">
        <v>36.42</v>
      </c>
      <c r="AC268" s="1894">
        <v>38175</v>
      </c>
      <c r="AD268" s="1894">
        <f t="shared" si="116"/>
        <v>75479</v>
      </c>
      <c r="AE268" s="1894">
        <f t="shared" si="117"/>
        <v>0</v>
      </c>
      <c r="AF268" s="1894">
        <v>189</v>
      </c>
      <c r="AG268" s="1894">
        <v>203.88</v>
      </c>
      <c r="AH268" s="1894">
        <v>203.88</v>
      </c>
      <c r="AI268" s="1894">
        <v>0.99119999999999997</v>
      </c>
      <c r="AJ268" s="1894">
        <v>28.57</v>
      </c>
      <c r="AK268" s="1894">
        <v>41946</v>
      </c>
      <c r="AL268" s="1894">
        <f t="shared" si="110"/>
        <v>91012</v>
      </c>
      <c r="AM268" s="1894">
        <f t="shared" si="111"/>
        <v>0</v>
      </c>
      <c r="AN268" s="1894">
        <v>189</v>
      </c>
      <c r="AO268" s="1894">
        <v>140.76</v>
      </c>
      <c r="AP268" s="1894">
        <v>151.19999999999999</v>
      </c>
      <c r="AQ268" s="1894">
        <v>0.99009999999999998</v>
      </c>
      <c r="AR268" s="1894">
        <v>48.51</v>
      </c>
      <c r="AS268" s="1894">
        <v>60636</v>
      </c>
      <c r="AT268" s="1894">
        <f t="shared" si="118"/>
        <v>62835</v>
      </c>
      <c r="AU268" s="1894">
        <f t="shared" si="119"/>
        <v>0</v>
      </c>
      <c r="AV268" s="1894">
        <v>189</v>
      </c>
      <c r="AW268" s="1894">
        <v>176.52</v>
      </c>
      <c r="AX268" s="1894">
        <v>176.52</v>
      </c>
      <c r="AY268" s="1894">
        <v>0.98629999999999995</v>
      </c>
      <c r="AZ268" s="1894">
        <v>29.87</v>
      </c>
      <c r="BA268" s="1894">
        <v>37960</v>
      </c>
      <c r="BB268" s="1894">
        <f t="shared" si="120"/>
        <v>76257</v>
      </c>
      <c r="BC268" s="1894">
        <f t="shared" si="121"/>
        <v>0</v>
      </c>
      <c r="BD268" s="1894">
        <v>189</v>
      </c>
      <c r="BE268" s="1894">
        <v>125.76</v>
      </c>
      <c r="BF268" s="1894">
        <v>151.19999999999999</v>
      </c>
      <c r="BG268" s="1894">
        <v>0.99590000000000001</v>
      </c>
      <c r="BH268" s="1894">
        <v>3.17</v>
      </c>
      <c r="BI268" s="1894">
        <v>2491</v>
      </c>
      <c r="BJ268" s="1894">
        <f t="shared" si="122"/>
        <v>56139</v>
      </c>
      <c r="BK268" s="1894">
        <f t="shared" si="123"/>
        <v>0</v>
      </c>
      <c r="BL268" s="1894">
        <v>189</v>
      </c>
      <c r="BM268" s="1894">
        <v>33.6</v>
      </c>
      <c r="BN268" s="1894">
        <v>151.19999999999999</v>
      </c>
      <c r="BO268" s="1894">
        <v>0.99180000000000001</v>
      </c>
      <c r="BP268" s="1894">
        <v>8.2200000000000006</v>
      </c>
      <c r="BQ268" s="1894">
        <v>2321</v>
      </c>
      <c r="BR268" s="1894">
        <f t="shared" si="124"/>
        <v>14515</v>
      </c>
      <c r="BS268" s="1894">
        <f t="shared" si="125"/>
        <v>0</v>
      </c>
      <c r="BT268" s="1894">
        <v>189</v>
      </c>
      <c r="BU268" s="1894">
        <v>60.480000000000004</v>
      </c>
      <c r="BV268" s="1894">
        <v>151.19999999999999</v>
      </c>
      <c r="BW268" s="1894">
        <v>0.97770000000000001</v>
      </c>
      <c r="BX268" s="1894">
        <v>6.72</v>
      </c>
      <c r="BY268" s="1894">
        <v>2926</v>
      </c>
      <c r="BZ268" s="1894">
        <f t="shared" si="126"/>
        <v>26998</v>
      </c>
      <c r="CA268" s="1894">
        <f t="shared" si="127"/>
        <v>0</v>
      </c>
      <c r="CB268" s="1894">
        <v>189</v>
      </c>
      <c r="CC268" s="1894">
        <v>188.88000000000002</v>
      </c>
      <c r="CD268" s="1894">
        <v>188.88</v>
      </c>
      <c r="CE268" s="1894">
        <v>0.98229999999999995</v>
      </c>
      <c r="CF268" s="1894">
        <v>30.89</v>
      </c>
      <c r="CG268" s="1894">
        <v>43407</v>
      </c>
      <c r="CH268" s="1894">
        <f t="shared" si="128"/>
        <v>84316</v>
      </c>
      <c r="CI268" s="1894">
        <f t="shared" si="129"/>
        <v>0</v>
      </c>
      <c r="CJ268" s="1894">
        <v>189</v>
      </c>
      <c r="CK268" s="1894">
        <v>168.60000000000002</v>
      </c>
      <c r="CL268" s="1894">
        <v>168.6</v>
      </c>
      <c r="CM268" s="1894">
        <v>0.98939999999999995</v>
      </c>
      <c r="CN268" s="1894">
        <v>35.93</v>
      </c>
      <c r="CO268" s="1894">
        <v>37796</v>
      </c>
      <c r="CP268" s="1894">
        <f t="shared" si="130"/>
        <v>67980</v>
      </c>
      <c r="CQ268" s="1894">
        <f t="shared" si="131"/>
        <v>0</v>
      </c>
      <c r="CR268" s="1924">
        <v>189</v>
      </c>
      <c r="CS268" s="1924">
        <v>201.96</v>
      </c>
      <c r="CT268" s="1924">
        <v>201.96</v>
      </c>
      <c r="CU268" s="1924">
        <v>0.98640000000000005</v>
      </c>
      <c r="CV268" s="1924">
        <v>38.700000000000003</v>
      </c>
      <c r="CW268" s="1924">
        <v>52523</v>
      </c>
      <c r="CX268" s="1894">
        <f t="shared" si="132"/>
        <v>90155</v>
      </c>
      <c r="CY268" s="1894">
        <f t="shared" si="133"/>
        <v>0</v>
      </c>
    </row>
    <row r="269" spans="1:103">
      <c r="A269" s="982">
        <v>121000000047</v>
      </c>
      <c r="B269" s="1923">
        <f t="shared" si="134"/>
        <v>263</v>
      </c>
      <c r="C269" s="1895" t="s">
        <v>3152</v>
      </c>
      <c r="D269" s="1894" t="s">
        <v>524</v>
      </c>
      <c r="E269" s="1895" t="s">
        <v>541</v>
      </c>
      <c r="F269" s="1894" t="s">
        <v>259</v>
      </c>
      <c r="G269" s="1924">
        <v>189</v>
      </c>
      <c r="H269" s="1894">
        <v>189</v>
      </c>
      <c r="I269" s="1894">
        <v>115.4</v>
      </c>
      <c r="J269" s="1894">
        <v>151.19999999999999</v>
      </c>
      <c r="K269" s="1894">
        <v>0.80100000000000005</v>
      </c>
      <c r="L269" s="1894">
        <v>8.7100000000000009</v>
      </c>
      <c r="M269" s="1894">
        <v>7238</v>
      </c>
      <c r="N269" s="1894">
        <f t="shared" si="112"/>
        <v>49853</v>
      </c>
      <c r="O269" s="1894">
        <f t="shared" si="113"/>
        <v>0</v>
      </c>
      <c r="P269" s="1894">
        <v>189</v>
      </c>
      <c r="Q269" s="1894">
        <v>255</v>
      </c>
      <c r="R269" s="1894">
        <v>255</v>
      </c>
      <c r="S269" s="1894">
        <v>0.80789999999999995</v>
      </c>
      <c r="T269" s="1894">
        <v>25.3</v>
      </c>
      <c r="U269" s="1894">
        <v>40252</v>
      </c>
      <c r="V269" s="1894">
        <f t="shared" si="114"/>
        <v>113832</v>
      </c>
      <c r="W269" s="1894">
        <f t="shared" si="115"/>
        <v>0</v>
      </c>
      <c r="X269" s="1894">
        <v>189</v>
      </c>
      <c r="Y269" s="1894">
        <v>262.40000000000003</v>
      </c>
      <c r="Z269" s="1894">
        <v>262.39999999999998</v>
      </c>
      <c r="AA269" s="1894">
        <v>0.80420000000000003</v>
      </c>
      <c r="AB269" s="1894">
        <v>44.99</v>
      </c>
      <c r="AC269" s="1894">
        <v>99170</v>
      </c>
      <c r="AD269" s="1894">
        <f t="shared" si="116"/>
        <v>113357</v>
      </c>
      <c r="AE269" s="1894">
        <f t="shared" si="117"/>
        <v>0</v>
      </c>
      <c r="AF269" s="1894">
        <v>189</v>
      </c>
      <c r="AG269" s="1894">
        <v>254.6</v>
      </c>
      <c r="AH269" s="1894">
        <v>254.6</v>
      </c>
      <c r="AI269" s="1894">
        <v>0.79549999999999998</v>
      </c>
      <c r="AJ269" s="1894">
        <v>34.04</v>
      </c>
      <c r="AK269" s="1894">
        <v>64485</v>
      </c>
      <c r="AL269" s="1894">
        <f t="shared" si="110"/>
        <v>113653</v>
      </c>
      <c r="AM269" s="1894">
        <f t="shared" si="111"/>
        <v>0</v>
      </c>
      <c r="AN269" s="1894">
        <v>189</v>
      </c>
      <c r="AO269" s="1894">
        <v>140.80000000000001</v>
      </c>
      <c r="AP269" s="1894">
        <v>151.19999999999999</v>
      </c>
      <c r="AQ269" s="1894">
        <v>0.80940000000000001</v>
      </c>
      <c r="AR269" s="1894">
        <v>43.94</v>
      </c>
      <c r="AS269" s="1894">
        <v>46025</v>
      </c>
      <c r="AT269" s="1894">
        <f t="shared" si="118"/>
        <v>62853</v>
      </c>
      <c r="AU269" s="1894">
        <f t="shared" si="119"/>
        <v>0</v>
      </c>
      <c r="AV269" s="1894">
        <v>189</v>
      </c>
      <c r="AW269" s="1894">
        <v>139.80000000000001</v>
      </c>
      <c r="AX269" s="1894">
        <v>151.19999999999999</v>
      </c>
      <c r="AY269" s="1894">
        <v>0.81930000000000003</v>
      </c>
      <c r="AZ269" s="1894">
        <v>39.29</v>
      </c>
      <c r="BA269" s="1894">
        <v>39543</v>
      </c>
      <c r="BB269" s="1894">
        <f t="shared" si="120"/>
        <v>60394</v>
      </c>
      <c r="BC269" s="1894">
        <f t="shared" si="121"/>
        <v>0</v>
      </c>
      <c r="BD269" s="1894">
        <v>189</v>
      </c>
      <c r="BE269" s="1894">
        <v>133.39999999999998</v>
      </c>
      <c r="BF269" s="1894">
        <v>151.19999999999999</v>
      </c>
      <c r="BG269" s="1894">
        <v>0.81820000000000004</v>
      </c>
      <c r="BH269" s="1894">
        <v>52.02</v>
      </c>
      <c r="BI269" s="1894">
        <v>51632</v>
      </c>
      <c r="BJ269" s="1894">
        <f t="shared" si="122"/>
        <v>59550</v>
      </c>
      <c r="BK269" s="1894">
        <f t="shared" si="123"/>
        <v>0</v>
      </c>
      <c r="BL269" s="1894">
        <v>189</v>
      </c>
      <c r="BM269" s="1894">
        <v>107.2</v>
      </c>
      <c r="BN269" s="1894">
        <v>151.19999999999999</v>
      </c>
      <c r="BO269" s="1894">
        <v>0.88680000000000003</v>
      </c>
      <c r="BP269" s="1894">
        <v>36.19</v>
      </c>
      <c r="BQ269" s="1894">
        <v>27935</v>
      </c>
      <c r="BR269" s="1894">
        <f t="shared" si="124"/>
        <v>46310</v>
      </c>
      <c r="BS269" s="1894">
        <f t="shared" si="125"/>
        <v>0</v>
      </c>
      <c r="BT269" s="1894">
        <v>189</v>
      </c>
      <c r="BU269" s="1894">
        <v>85.4</v>
      </c>
      <c r="BV269" s="1894">
        <v>151.19999999999999</v>
      </c>
      <c r="BW269" s="1894">
        <v>0.98029999999999995</v>
      </c>
      <c r="BX269" s="1894">
        <v>20.04</v>
      </c>
      <c r="BY269" s="1894">
        <v>12733</v>
      </c>
      <c r="BZ269" s="1894">
        <f t="shared" si="126"/>
        <v>38123</v>
      </c>
      <c r="CA269" s="1894">
        <f t="shared" si="127"/>
        <v>0</v>
      </c>
      <c r="CB269" s="1894">
        <v>189</v>
      </c>
      <c r="CC269" s="1894">
        <v>88</v>
      </c>
      <c r="CD269" s="1894">
        <v>151.19999999999999</v>
      </c>
      <c r="CE269" s="1894">
        <v>0.97950000000000004</v>
      </c>
      <c r="CF269" s="1894">
        <v>13.82</v>
      </c>
      <c r="CG269" s="1894">
        <v>9045</v>
      </c>
      <c r="CH269" s="1894">
        <f t="shared" si="128"/>
        <v>39283</v>
      </c>
      <c r="CI269" s="1894">
        <f t="shared" si="129"/>
        <v>0</v>
      </c>
      <c r="CJ269" s="1894">
        <v>189</v>
      </c>
      <c r="CK269" s="1894">
        <v>92.399999999999991</v>
      </c>
      <c r="CL269" s="1894">
        <v>151.19999999999999</v>
      </c>
      <c r="CM269" s="1894">
        <v>0.97370000000000001</v>
      </c>
      <c r="CN269" s="1894">
        <v>15.62</v>
      </c>
      <c r="CO269" s="1894">
        <v>9698</v>
      </c>
      <c r="CP269" s="1894">
        <f t="shared" si="130"/>
        <v>37256</v>
      </c>
      <c r="CQ269" s="1894">
        <f t="shared" si="131"/>
        <v>0</v>
      </c>
      <c r="CR269" s="1924">
        <v>189</v>
      </c>
      <c r="CS269" s="1924">
        <v>97.600000000000009</v>
      </c>
      <c r="CT269" s="1924">
        <v>151.19999999999999</v>
      </c>
      <c r="CU269" s="1924">
        <v>0.96760000000000002</v>
      </c>
      <c r="CV269" s="1924">
        <v>13.4</v>
      </c>
      <c r="CW269" s="1924">
        <v>9733</v>
      </c>
      <c r="CX269" s="1894">
        <f t="shared" si="132"/>
        <v>43569</v>
      </c>
      <c r="CY269" s="1894">
        <f t="shared" si="133"/>
        <v>0</v>
      </c>
    </row>
    <row r="270" spans="1:103">
      <c r="A270" s="982">
        <v>122000000013</v>
      </c>
      <c r="B270" s="1923">
        <f t="shared" si="134"/>
        <v>264</v>
      </c>
      <c r="C270" s="1895" t="s">
        <v>3153</v>
      </c>
      <c r="D270" s="1894" t="s">
        <v>524</v>
      </c>
      <c r="E270" s="1895" t="s">
        <v>623</v>
      </c>
      <c r="F270" s="1894" t="s">
        <v>259</v>
      </c>
      <c r="G270" s="1924">
        <v>189</v>
      </c>
      <c r="H270" s="1894">
        <v>189</v>
      </c>
      <c r="I270" s="1894">
        <v>130</v>
      </c>
      <c r="J270" s="1894">
        <v>151.19999999999999</v>
      </c>
      <c r="K270" s="1894">
        <v>0.97060000000000002</v>
      </c>
      <c r="L270" s="1894">
        <v>51.93</v>
      </c>
      <c r="M270" s="1894">
        <v>53465</v>
      </c>
      <c r="N270" s="1894">
        <f t="shared" si="112"/>
        <v>56160</v>
      </c>
      <c r="O270" s="1894">
        <f t="shared" si="113"/>
        <v>0</v>
      </c>
      <c r="P270" s="1894">
        <v>189</v>
      </c>
      <c r="Q270" s="1894">
        <v>91.5</v>
      </c>
      <c r="R270" s="1894">
        <v>151.19999999999999</v>
      </c>
      <c r="S270" s="1894">
        <v>0.95650000000000002</v>
      </c>
      <c r="T270" s="1894">
        <v>55.45</v>
      </c>
      <c r="U270" s="1894">
        <v>41400</v>
      </c>
      <c r="V270" s="1894">
        <f t="shared" si="114"/>
        <v>40846</v>
      </c>
      <c r="W270" s="1894">
        <f t="shared" si="115"/>
        <v>554</v>
      </c>
      <c r="X270" s="1894">
        <v>189</v>
      </c>
      <c r="Y270" s="1894">
        <v>91</v>
      </c>
      <c r="Z270" s="1894">
        <v>151.19999999999999</v>
      </c>
      <c r="AA270" s="1894">
        <v>0.96579999999999999</v>
      </c>
      <c r="AB270" s="1894">
        <v>45.54</v>
      </c>
      <c r="AC270" s="1894">
        <v>29835</v>
      </c>
      <c r="AD270" s="1894">
        <f t="shared" si="116"/>
        <v>39312</v>
      </c>
      <c r="AE270" s="1894">
        <f t="shared" si="117"/>
        <v>0</v>
      </c>
      <c r="AF270" s="1894">
        <v>189</v>
      </c>
      <c r="AG270" s="1894">
        <v>72</v>
      </c>
      <c r="AH270" s="1894">
        <v>151.19999999999999</v>
      </c>
      <c r="AI270" s="1894">
        <v>0.97289999999999999</v>
      </c>
      <c r="AJ270" s="1894">
        <v>51.68</v>
      </c>
      <c r="AK270" s="1894">
        <v>27683</v>
      </c>
      <c r="AL270" s="1894">
        <f t="shared" si="110"/>
        <v>32141</v>
      </c>
      <c r="AM270" s="1894">
        <f t="shared" si="111"/>
        <v>0</v>
      </c>
      <c r="AN270" s="1894">
        <v>189</v>
      </c>
      <c r="AO270" s="1894">
        <v>67</v>
      </c>
      <c r="AP270" s="1894">
        <v>151.19999999999999</v>
      </c>
      <c r="AQ270" s="1894">
        <v>0.97970000000000002</v>
      </c>
      <c r="AR270" s="1894">
        <v>60.97</v>
      </c>
      <c r="AS270" s="1894">
        <v>30392</v>
      </c>
      <c r="AT270" s="1894">
        <f t="shared" si="118"/>
        <v>29909</v>
      </c>
      <c r="AU270" s="1894">
        <f t="shared" si="119"/>
        <v>483</v>
      </c>
      <c r="AV270" s="1894">
        <v>189</v>
      </c>
      <c r="AW270" s="1894">
        <v>65</v>
      </c>
      <c r="AX270" s="1894">
        <v>151.19999999999999</v>
      </c>
      <c r="AY270" s="1894">
        <v>0.97570000000000001</v>
      </c>
      <c r="AZ270" s="1894">
        <v>62.93</v>
      </c>
      <c r="BA270" s="1894">
        <v>26855</v>
      </c>
      <c r="BB270" s="1894">
        <f t="shared" si="120"/>
        <v>28080</v>
      </c>
      <c r="BC270" s="1894">
        <f t="shared" si="121"/>
        <v>0</v>
      </c>
      <c r="BD270" s="1894">
        <v>189</v>
      </c>
      <c r="BE270" s="1894">
        <v>66.600000000000009</v>
      </c>
      <c r="BF270" s="1894">
        <v>151.19999999999999</v>
      </c>
      <c r="BG270" s="1894">
        <v>0.97240000000000004</v>
      </c>
      <c r="BH270" s="1894">
        <v>49.3</v>
      </c>
      <c r="BI270" s="1894">
        <v>26793.107800000002</v>
      </c>
      <c r="BJ270" s="1894">
        <f t="shared" si="122"/>
        <v>29730</v>
      </c>
      <c r="BK270" s="1894">
        <f t="shared" si="123"/>
        <v>0</v>
      </c>
      <c r="BL270" s="1894">
        <v>189</v>
      </c>
      <c r="BM270" s="1894">
        <v>61.400000000000006</v>
      </c>
      <c r="BN270" s="1894">
        <v>151.19999999999999</v>
      </c>
      <c r="BO270" s="1894">
        <v>0.98</v>
      </c>
      <c r="BP270" s="1894">
        <v>41.95</v>
      </c>
      <c r="BQ270" s="1894">
        <v>18544</v>
      </c>
      <c r="BR270" s="1894">
        <f t="shared" si="124"/>
        <v>26525</v>
      </c>
      <c r="BS270" s="1894">
        <f t="shared" si="125"/>
        <v>0</v>
      </c>
      <c r="BT270" s="1894">
        <v>189</v>
      </c>
      <c r="BU270" s="1894">
        <v>56.4</v>
      </c>
      <c r="BV270" s="1894">
        <v>151.19999999999999</v>
      </c>
      <c r="BW270" s="1894">
        <v>0.97619999999999996</v>
      </c>
      <c r="BX270" s="1894">
        <v>40.1</v>
      </c>
      <c r="BY270" s="1894">
        <v>16828.376499999998</v>
      </c>
      <c r="BZ270" s="1894">
        <f t="shared" si="126"/>
        <v>25177</v>
      </c>
      <c r="CA270" s="1894">
        <f t="shared" si="127"/>
        <v>0</v>
      </c>
      <c r="CB270" s="1894">
        <v>189</v>
      </c>
      <c r="CC270" s="1894">
        <v>54.800000000000004</v>
      </c>
      <c r="CD270" s="1894">
        <v>151.19999999999999</v>
      </c>
      <c r="CE270" s="1894">
        <v>0.96950000000000003</v>
      </c>
      <c r="CF270" s="1894">
        <v>23.59</v>
      </c>
      <c r="CG270" s="1894">
        <v>9620</v>
      </c>
      <c r="CH270" s="1894">
        <f t="shared" si="128"/>
        <v>24463</v>
      </c>
      <c r="CI270" s="1894">
        <f t="shared" si="129"/>
        <v>0</v>
      </c>
      <c r="CJ270" s="1894">
        <v>189</v>
      </c>
      <c r="CK270" s="1894">
        <v>39</v>
      </c>
      <c r="CL270" s="1894">
        <v>189</v>
      </c>
      <c r="CM270" s="1894">
        <v>0.94850000000000001</v>
      </c>
      <c r="CN270" s="1894">
        <v>0</v>
      </c>
      <c r="CO270" s="1894">
        <v>2388</v>
      </c>
      <c r="CP270" s="1894">
        <f t="shared" si="130"/>
        <v>15725</v>
      </c>
      <c r="CQ270" s="1894">
        <f t="shared" si="131"/>
        <v>0</v>
      </c>
      <c r="CR270" s="1924">
        <v>189</v>
      </c>
      <c r="CS270" s="1924">
        <v>66</v>
      </c>
      <c r="CT270" s="1924">
        <v>189</v>
      </c>
      <c r="CU270" s="1924">
        <v>0.98270000000000002</v>
      </c>
      <c r="CV270" s="1924">
        <v>0</v>
      </c>
      <c r="CW270" s="1924">
        <v>20253.323400000001</v>
      </c>
      <c r="CX270" s="1894">
        <f t="shared" si="132"/>
        <v>29462</v>
      </c>
      <c r="CY270" s="1894">
        <f t="shared" si="133"/>
        <v>0</v>
      </c>
    </row>
    <row r="271" spans="1:103">
      <c r="A271" s="982">
        <v>122000000070</v>
      </c>
      <c r="B271" s="1923">
        <f t="shared" si="134"/>
        <v>265</v>
      </c>
      <c r="C271" s="1895" t="s">
        <v>3154</v>
      </c>
      <c r="D271" s="1894" t="s">
        <v>524</v>
      </c>
      <c r="E271" s="1895" t="s">
        <v>541</v>
      </c>
      <c r="F271" s="1894" t="s">
        <v>259</v>
      </c>
      <c r="G271" s="1924">
        <v>189</v>
      </c>
      <c r="H271" s="1894">
        <v>189</v>
      </c>
      <c r="I271" s="1894">
        <v>81</v>
      </c>
      <c r="J271" s="1894">
        <v>151.19999999999999</v>
      </c>
      <c r="K271" s="1894">
        <v>0.96079999999999999</v>
      </c>
      <c r="L271" s="1894">
        <v>27.45</v>
      </c>
      <c r="M271" s="1894">
        <v>17076</v>
      </c>
      <c r="N271" s="1894">
        <f t="shared" si="112"/>
        <v>34992</v>
      </c>
      <c r="O271" s="1894">
        <f t="shared" si="113"/>
        <v>0</v>
      </c>
      <c r="P271" s="1894">
        <v>189</v>
      </c>
      <c r="Q271" s="1894">
        <v>85.92</v>
      </c>
      <c r="R271" s="1894">
        <v>151.19999999999999</v>
      </c>
      <c r="S271" s="1894">
        <v>0.97250000000000003</v>
      </c>
      <c r="T271" s="1894">
        <v>33.14</v>
      </c>
      <c r="U271" s="1894">
        <v>22553</v>
      </c>
      <c r="V271" s="1894">
        <f t="shared" si="114"/>
        <v>38355</v>
      </c>
      <c r="W271" s="1894">
        <f t="shared" si="115"/>
        <v>0</v>
      </c>
      <c r="X271" s="1894">
        <v>189</v>
      </c>
      <c r="Y271" s="1894">
        <v>80.7</v>
      </c>
      <c r="Z271" s="1894">
        <v>151.19999999999999</v>
      </c>
      <c r="AA271" s="1894">
        <v>0.96309999999999996</v>
      </c>
      <c r="AB271" s="1894">
        <v>27.6</v>
      </c>
      <c r="AC271" s="1894">
        <v>17643</v>
      </c>
      <c r="AD271" s="1894">
        <f t="shared" si="116"/>
        <v>34862</v>
      </c>
      <c r="AE271" s="1894">
        <f t="shared" si="117"/>
        <v>0</v>
      </c>
      <c r="AF271" s="1894">
        <v>189</v>
      </c>
      <c r="AG271" s="1894">
        <v>87</v>
      </c>
      <c r="AH271" s="1894">
        <v>151.19999999999999</v>
      </c>
      <c r="AI271" s="1894">
        <v>0.96809999999999996</v>
      </c>
      <c r="AJ271" s="1894">
        <v>28.78</v>
      </c>
      <c r="AK271" s="1894">
        <v>18630</v>
      </c>
      <c r="AL271" s="1894">
        <f t="shared" si="110"/>
        <v>38837</v>
      </c>
      <c r="AM271" s="1894">
        <f t="shared" si="111"/>
        <v>0</v>
      </c>
      <c r="AN271" s="1894">
        <v>189</v>
      </c>
      <c r="AO271" s="1894">
        <v>84.6</v>
      </c>
      <c r="AP271" s="1894">
        <v>151.19999999999999</v>
      </c>
      <c r="AQ271" s="1894">
        <v>0.9476</v>
      </c>
      <c r="AR271" s="1894">
        <v>25.59</v>
      </c>
      <c r="AS271" s="1894">
        <v>16104</v>
      </c>
      <c r="AT271" s="1894">
        <f t="shared" si="118"/>
        <v>37765</v>
      </c>
      <c r="AU271" s="1894">
        <f t="shared" si="119"/>
        <v>0</v>
      </c>
      <c r="AV271" s="1894">
        <v>189</v>
      </c>
      <c r="AW271" s="1894">
        <v>95.04</v>
      </c>
      <c r="AX271" s="1894">
        <v>151.19999999999999</v>
      </c>
      <c r="AY271" s="1894">
        <v>0.98050000000000004</v>
      </c>
      <c r="AZ271" s="1894">
        <v>31.25</v>
      </c>
      <c r="BA271" s="1894">
        <v>19245</v>
      </c>
      <c r="BB271" s="1894">
        <f t="shared" si="120"/>
        <v>41057</v>
      </c>
      <c r="BC271" s="1894">
        <f t="shared" si="121"/>
        <v>0</v>
      </c>
      <c r="BD271" s="1894">
        <v>189</v>
      </c>
      <c r="BE271" s="1894">
        <v>102.84</v>
      </c>
      <c r="BF271" s="1894">
        <v>151.19999999999999</v>
      </c>
      <c r="BG271" s="1894">
        <v>0.9546</v>
      </c>
      <c r="BH271" s="1894">
        <v>21.64</v>
      </c>
      <c r="BI271" s="1894">
        <v>18162</v>
      </c>
      <c r="BJ271" s="1894">
        <f t="shared" si="122"/>
        <v>45908</v>
      </c>
      <c r="BK271" s="1894">
        <f t="shared" si="123"/>
        <v>0</v>
      </c>
      <c r="BL271" s="1894">
        <v>189</v>
      </c>
      <c r="BM271" s="1894">
        <v>120.72</v>
      </c>
      <c r="BN271" s="1894">
        <v>151.19999999999999</v>
      </c>
      <c r="BO271" s="1894">
        <v>0.93799999999999994</v>
      </c>
      <c r="BP271" s="1894">
        <v>19.739999999999998</v>
      </c>
      <c r="BQ271" s="1894">
        <v>17161</v>
      </c>
      <c r="BR271" s="1894">
        <f t="shared" si="124"/>
        <v>52151</v>
      </c>
      <c r="BS271" s="1894">
        <f t="shared" si="125"/>
        <v>0</v>
      </c>
      <c r="BT271" s="1894">
        <v>189</v>
      </c>
      <c r="BU271" s="1894">
        <v>135.23999999999998</v>
      </c>
      <c r="BV271" s="1894">
        <v>151.19999999999999</v>
      </c>
      <c r="BW271" s="1894">
        <v>0.96850000000000003</v>
      </c>
      <c r="BX271" s="1894">
        <v>20.02</v>
      </c>
      <c r="BY271" s="1894">
        <v>20143</v>
      </c>
      <c r="BZ271" s="1894">
        <f t="shared" si="126"/>
        <v>60371</v>
      </c>
      <c r="CA271" s="1894">
        <f t="shared" si="127"/>
        <v>0</v>
      </c>
      <c r="CB271" s="1894">
        <v>189</v>
      </c>
      <c r="CC271" s="1894">
        <v>139.68</v>
      </c>
      <c r="CD271" s="1894">
        <v>151.19999999999999</v>
      </c>
      <c r="CE271" s="1894">
        <v>0.97689999999999999</v>
      </c>
      <c r="CF271" s="1894">
        <v>20.059999999999999</v>
      </c>
      <c r="CG271" s="1894">
        <v>20844</v>
      </c>
      <c r="CH271" s="1894">
        <f t="shared" si="128"/>
        <v>62353</v>
      </c>
      <c r="CI271" s="1894">
        <f t="shared" si="129"/>
        <v>0</v>
      </c>
      <c r="CJ271" s="1894">
        <v>189</v>
      </c>
      <c r="CK271" s="1894">
        <v>132.6</v>
      </c>
      <c r="CL271" s="1894">
        <v>151.19999999999999</v>
      </c>
      <c r="CM271" s="1894">
        <v>0.99729999999999996</v>
      </c>
      <c r="CN271" s="1894">
        <v>17.66</v>
      </c>
      <c r="CO271" s="1894">
        <v>15733</v>
      </c>
      <c r="CP271" s="1894">
        <f t="shared" si="130"/>
        <v>53464</v>
      </c>
      <c r="CQ271" s="1894">
        <f t="shared" si="131"/>
        <v>0</v>
      </c>
      <c r="CR271" s="1924">
        <v>189</v>
      </c>
      <c r="CS271" s="1924">
        <v>96.600000000000009</v>
      </c>
      <c r="CT271" s="1924">
        <v>151.19999999999999</v>
      </c>
      <c r="CU271" s="1924">
        <v>0.997</v>
      </c>
      <c r="CV271" s="1924">
        <v>27.42</v>
      </c>
      <c r="CW271" s="1924">
        <v>19707</v>
      </c>
      <c r="CX271" s="1894">
        <f t="shared" si="132"/>
        <v>43122</v>
      </c>
      <c r="CY271" s="1894">
        <f t="shared" si="133"/>
        <v>0</v>
      </c>
    </row>
    <row r="272" spans="1:103">
      <c r="A272" s="982">
        <v>122000000073</v>
      </c>
      <c r="B272" s="1923">
        <f t="shared" si="134"/>
        <v>266</v>
      </c>
      <c r="C272" s="1895" t="s">
        <v>3155</v>
      </c>
      <c r="D272" s="1894" t="s">
        <v>524</v>
      </c>
      <c r="E272" s="1895" t="s">
        <v>541</v>
      </c>
      <c r="F272" s="1894" t="s">
        <v>259</v>
      </c>
      <c r="G272" s="1924">
        <v>189</v>
      </c>
      <c r="H272" s="1894">
        <v>189</v>
      </c>
      <c r="I272" s="1894">
        <v>116.8</v>
      </c>
      <c r="J272" s="1894">
        <v>151.19999999999999</v>
      </c>
      <c r="K272" s="1894">
        <v>0.98119999999999996</v>
      </c>
      <c r="L272" s="1894">
        <v>34.729999999999997</v>
      </c>
      <c r="M272" s="1894">
        <v>30183</v>
      </c>
      <c r="N272" s="1894">
        <f t="shared" si="112"/>
        <v>50458</v>
      </c>
      <c r="O272" s="1894">
        <f t="shared" si="113"/>
        <v>0</v>
      </c>
      <c r="P272" s="1894">
        <v>189</v>
      </c>
      <c r="Q272" s="1894">
        <v>120</v>
      </c>
      <c r="R272" s="1894">
        <v>151.19999999999999</v>
      </c>
      <c r="S272" s="1894">
        <v>0.97940000000000005</v>
      </c>
      <c r="T272" s="1894">
        <v>34.21</v>
      </c>
      <c r="U272" s="1894">
        <v>31529</v>
      </c>
      <c r="V272" s="1894">
        <f t="shared" si="114"/>
        <v>53568</v>
      </c>
      <c r="W272" s="1894">
        <f t="shared" si="115"/>
        <v>0</v>
      </c>
      <c r="X272" s="1894">
        <v>189</v>
      </c>
      <c r="Y272" s="1894">
        <v>124.72000000000001</v>
      </c>
      <c r="Z272" s="1894">
        <v>151.19999999999999</v>
      </c>
      <c r="AA272" s="1894">
        <v>0.97689999999999999</v>
      </c>
      <c r="AB272" s="1894">
        <v>32.909999999999997</v>
      </c>
      <c r="AC272" s="1894">
        <v>34473</v>
      </c>
      <c r="AD272" s="1894">
        <f t="shared" si="116"/>
        <v>53879</v>
      </c>
      <c r="AE272" s="1894">
        <f t="shared" si="117"/>
        <v>0</v>
      </c>
      <c r="AF272" s="1894">
        <v>189</v>
      </c>
      <c r="AG272" s="1894">
        <v>153.04</v>
      </c>
      <c r="AH272" s="1894">
        <v>153.04</v>
      </c>
      <c r="AI272" s="1894">
        <v>0.97689999999999999</v>
      </c>
      <c r="AJ272" s="1894">
        <v>28.46</v>
      </c>
      <c r="AK272" s="1894">
        <v>32409</v>
      </c>
      <c r="AL272" s="1894">
        <f t="shared" si="110"/>
        <v>68317</v>
      </c>
      <c r="AM272" s="1894">
        <f t="shared" si="111"/>
        <v>0</v>
      </c>
      <c r="AN272" s="1894">
        <v>189</v>
      </c>
      <c r="AO272" s="1894">
        <v>54.64</v>
      </c>
      <c r="AP272" s="1894">
        <v>151.19999999999999</v>
      </c>
      <c r="AQ272" s="1894">
        <v>0.92569999999999997</v>
      </c>
      <c r="AR272" s="1894">
        <v>66.87</v>
      </c>
      <c r="AS272" s="1894">
        <v>27185</v>
      </c>
      <c r="AT272" s="1894">
        <f t="shared" si="118"/>
        <v>24391</v>
      </c>
      <c r="AU272" s="1894">
        <f t="shared" si="119"/>
        <v>2794</v>
      </c>
      <c r="AV272" s="1894">
        <v>189</v>
      </c>
      <c r="AW272" s="1894">
        <v>105.44</v>
      </c>
      <c r="AX272" s="1894">
        <v>151.19999999999999</v>
      </c>
      <c r="AY272" s="1894">
        <v>0.86560000000000004</v>
      </c>
      <c r="AZ272" s="1894">
        <v>32.67</v>
      </c>
      <c r="BA272" s="1894">
        <v>24800</v>
      </c>
      <c r="BB272" s="1894">
        <f t="shared" si="120"/>
        <v>45550</v>
      </c>
      <c r="BC272" s="1894">
        <f t="shared" si="121"/>
        <v>0</v>
      </c>
      <c r="BD272" s="1894">
        <v>189</v>
      </c>
      <c r="BE272" s="1894">
        <v>131.76000000000002</v>
      </c>
      <c r="BF272" s="1894">
        <v>151.19999999999999</v>
      </c>
      <c r="BG272" s="1894">
        <v>0.83069999999999999</v>
      </c>
      <c r="BH272" s="1894">
        <v>29.3</v>
      </c>
      <c r="BI272" s="1894">
        <v>28723</v>
      </c>
      <c r="BJ272" s="1894">
        <f t="shared" si="122"/>
        <v>58818</v>
      </c>
      <c r="BK272" s="1894">
        <f t="shared" si="123"/>
        <v>0</v>
      </c>
      <c r="BL272" s="1894">
        <v>189</v>
      </c>
      <c r="BM272" s="1894">
        <v>127.27999999999999</v>
      </c>
      <c r="BN272" s="1894">
        <v>151.19999999999999</v>
      </c>
      <c r="BO272" s="1894">
        <v>0.84509999999999996</v>
      </c>
      <c r="BP272" s="1894">
        <v>30.11</v>
      </c>
      <c r="BQ272" s="1894">
        <v>27593</v>
      </c>
      <c r="BR272" s="1894">
        <f t="shared" si="124"/>
        <v>54985</v>
      </c>
      <c r="BS272" s="1894">
        <f t="shared" si="125"/>
        <v>0</v>
      </c>
      <c r="BT272" s="1894">
        <v>189</v>
      </c>
      <c r="BU272" s="1894">
        <v>126.64</v>
      </c>
      <c r="BV272" s="1894">
        <v>151.19999999999999</v>
      </c>
      <c r="BW272" s="1894">
        <v>0.84050000000000002</v>
      </c>
      <c r="BX272" s="1894">
        <v>29.63</v>
      </c>
      <c r="BY272" s="1894">
        <v>27922</v>
      </c>
      <c r="BZ272" s="1894">
        <f t="shared" si="126"/>
        <v>56532</v>
      </c>
      <c r="CA272" s="1894">
        <f t="shared" si="127"/>
        <v>0</v>
      </c>
      <c r="CB272" s="1894">
        <v>189</v>
      </c>
      <c r="CC272" s="1894">
        <v>154.96</v>
      </c>
      <c r="CD272" s="1894">
        <v>154.96</v>
      </c>
      <c r="CE272" s="1894">
        <v>0.85780000000000001</v>
      </c>
      <c r="CF272" s="1894">
        <v>24.21</v>
      </c>
      <c r="CG272" s="1894">
        <v>27909</v>
      </c>
      <c r="CH272" s="1894">
        <f t="shared" si="128"/>
        <v>69174</v>
      </c>
      <c r="CI272" s="1894">
        <f t="shared" si="129"/>
        <v>0</v>
      </c>
      <c r="CJ272" s="1894">
        <v>189</v>
      </c>
      <c r="CK272" s="1894">
        <v>170.48000000000002</v>
      </c>
      <c r="CL272" s="1894">
        <v>170.48</v>
      </c>
      <c r="CM272" s="1894">
        <v>0.85960000000000003</v>
      </c>
      <c r="CN272" s="1894">
        <v>27.53</v>
      </c>
      <c r="CO272" s="1894">
        <v>31544</v>
      </c>
      <c r="CP272" s="1894">
        <f t="shared" si="130"/>
        <v>68738</v>
      </c>
      <c r="CQ272" s="1894">
        <f t="shared" si="131"/>
        <v>0</v>
      </c>
      <c r="CR272" s="1924">
        <v>189</v>
      </c>
      <c r="CS272" s="1924">
        <v>156.88</v>
      </c>
      <c r="CT272" s="1924">
        <v>156.88</v>
      </c>
      <c r="CU272" s="1924">
        <v>0.91879999999999995</v>
      </c>
      <c r="CV272" s="1924">
        <v>30.46</v>
      </c>
      <c r="CW272" s="1924">
        <v>35547</v>
      </c>
      <c r="CX272" s="1894">
        <f t="shared" si="132"/>
        <v>70031</v>
      </c>
      <c r="CY272" s="1894">
        <f t="shared" si="133"/>
        <v>0</v>
      </c>
    </row>
    <row r="273" spans="1:103">
      <c r="A273" s="982">
        <v>127000000008</v>
      </c>
      <c r="B273" s="1923">
        <f t="shared" si="134"/>
        <v>267</v>
      </c>
      <c r="C273" s="1895" t="s">
        <v>3156</v>
      </c>
      <c r="D273" s="1894" t="s">
        <v>524</v>
      </c>
      <c r="E273" s="1895" t="s">
        <v>636</v>
      </c>
      <c r="F273" s="1894" t="s">
        <v>259</v>
      </c>
      <c r="G273" s="1924">
        <v>189</v>
      </c>
      <c r="H273" s="1894">
        <v>189</v>
      </c>
      <c r="I273" s="1894">
        <v>44</v>
      </c>
      <c r="J273" s="1894">
        <v>151.19999999999999</v>
      </c>
      <c r="K273" s="1894">
        <v>0.998</v>
      </c>
      <c r="L273" s="1894">
        <v>15.66</v>
      </c>
      <c r="M273" s="1894">
        <v>6284</v>
      </c>
      <c r="N273" s="1894">
        <f t="shared" si="112"/>
        <v>19008</v>
      </c>
      <c r="O273" s="1894">
        <f t="shared" si="113"/>
        <v>0</v>
      </c>
      <c r="P273" s="1894">
        <v>189</v>
      </c>
      <c r="Q273" s="1894">
        <v>40</v>
      </c>
      <c r="R273" s="1894">
        <v>151.19999999999999</v>
      </c>
      <c r="S273" s="1894">
        <v>0.99460000000000004</v>
      </c>
      <c r="T273" s="1894">
        <v>17.61</v>
      </c>
      <c r="U273" s="1894">
        <v>5240</v>
      </c>
      <c r="V273" s="1894">
        <f t="shared" si="114"/>
        <v>17856</v>
      </c>
      <c r="W273" s="1894">
        <f t="shared" si="115"/>
        <v>0</v>
      </c>
      <c r="X273" s="1894">
        <v>189</v>
      </c>
      <c r="Y273" s="1894">
        <v>32</v>
      </c>
      <c r="Z273" s="1894">
        <v>151.19999999999999</v>
      </c>
      <c r="AA273" s="1894">
        <v>0.99370000000000003</v>
      </c>
      <c r="AB273" s="1894">
        <v>16.63</v>
      </c>
      <c r="AC273" s="1894">
        <v>3832</v>
      </c>
      <c r="AD273" s="1894">
        <f t="shared" si="116"/>
        <v>13824</v>
      </c>
      <c r="AE273" s="1894">
        <f t="shared" si="117"/>
        <v>0</v>
      </c>
      <c r="AF273" s="1894">
        <v>189</v>
      </c>
      <c r="AG273" s="1894">
        <v>36</v>
      </c>
      <c r="AH273" s="1894">
        <v>151.19999999999999</v>
      </c>
      <c r="AI273" s="1894">
        <v>0.996</v>
      </c>
      <c r="AJ273" s="1894">
        <v>18.89</v>
      </c>
      <c r="AK273" s="1894">
        <v>5060</v>
      </c>
      <c r="AL273" s="1894">
        <f t="shared" si="110"/>
        <v>16070</v>
      </c>
      <c r="AM273" s="1894">
        <f t="shared" si="111"/>
        <v>0</v>
      </c>
      <c r="AN273" s="1894">
        <v>189</v>
      </c>
      <c r="AO273" s="1894">
        <v>37.6</v>
      </c>
      <c r="AP273" s="1894">
        <v>151.19999999999999</v>
      </c>
      <c r="AQ273" s="1894">
        <v>0.5</v>
      </c>
      <c r="AR273" s="1894">
        <v>33.36</v>
      </c>
      <c r="AS273" s="1894">
        <v>8128</v>
      </c>
      <c r="AT273" s="1894">
        <f t="shared" si="118"/>
        <v>16785</v>
      </c>
      <c r="AU273" s="1894">
        <f t="shared" si="119"/>
        <v>0</v>
      </c>
      <c r="AV273" s="1894">
        <v>189</v>
      </c>
      <c r="AW273" s="1894">
        <v>28.5</v>
      </c>
      <c r="AX273" s="1894">
        <v>151.19999999999999</v>
      </c>
      <c r="AY273" s="1894">
        <v>1.0036</v>
      </c>
      <c r="AZ273" s="1894">
        <v>23.88</v>
      </c>
      <c r="BA273" s="1894">
        <v>4419</v>
      </c>
      <c r="BB273" s="1894">
        <f t="shared" si="120"/>
        <v>12312</v>
      </c>
      <c r="BC273" s="1894">
        <f t="shared" si="121"/>
        <v>0</v>
      </c>
      <c r="BD273" s="1894">
        <v>189</v>
      </c>
      <c r="BE273" s="1894">
        <v>27.96</v>
      </c>
      <c r="BF273" s="1894">
        <v>151.19999999999999</v>
      </c>
      <c r="BG273" s="1894">
        <v>0.98880000000000001</v>
      </c>
      <c r="BH273" s="1894">
        <v>19.84</v>
      </c>
      <c r="BI273" s="1894">
        <v>4393</v>
      </c>
      <c r="BJ273" s="1894">
        <f t="shared" si="122"/>
        <v>12481</v>
      </c>
      <c r="BK273" s="1894">
        <f t="shared" si="123"/>
        <v>0</v>
      </c>
      <c r="BL273" s="1894">
        <v>189</v>
      </c>
      <c r="BM273" s="1894">
        <v>16.8</v>
      </c>
      <c r="BN273" s="1894">
        <v>151.19999999999999</v>
      </c>
      <c r="BO273" s="1894">
        <v>0.9728</v>
      </c>
      <c r="BP273" s="1894">
        <v>22.34</v>
      </c>
      <c r="BQ273" s="1894">
        <v>2612</v>
      </c>
      <c r="BR273" s="1894">
        <f t="shared" si="124"/>
        <v>7258</v>
      </c>
      <c r="BS273" s="1894">
        <f t="shared" si="125"/>
        <v>0</v>
      </c>
      <c r="BT273" s="1894">
        <v>189</v>
      </c>
      <c r="BU273" s="1894">
        <v>8.76</v>
      </c>
      <c r="BV273" s="1894">
        <v>151.19999999999999</v>
      </c>
      <c r="BW273" s="1894">
        <v>0.9587</v>
      </c>
      <c r="BX273" s="1894">
        <v>35.380000000000003</v>
      </c>
      <c r="BY273" s="1894">
        <v>2157</v>
      </c>
      <c r="BZ273" s="1894">
        <f t="shared" si="126"/>
        <v>3910</v>
      </c>
      <c r="CA273" s="1894">
        <f t="shared" si="127"/>
        <v>0</v>
      </c>
      <c r="CB273" s="1894">
        <v>189</v>
      </c>
      <c r="CC273" s="1894">
        <v>7.6800000000000006</v>
      </c>
      <c r="CD273" s="1894">
        <v>151.19999999999999</v>
      </c>
      <c r="CE273" s="1894">
        <v>0.97399999999999998</v>
      </c>
      <c r="CF273" s="1894">
        <v>41.22</v>
      </c>
      <c r="CG273" s="1894">
        <v>2963</v>
      </c>
      <c r="CH273" s="1894">
        <f t="shared" si="128"/>
        <v>3428</v>
      </c>
      <c r="CI273" s="1894">
        <f t="shared" si="129"/>
        <v>0</v>
      </c>
      <c r="CJ273" s="1894">
        <v>189</v>
      </c>
      <c r="CK273" s="1894">
        <v>23.04</v>
      </c>
      <c r="CL273" s="1894">
        <v>151.19999999999999</v>
      </c>
      <c r="CM273" s="1894">
        <v>0.99180000000000001</v>
      </c>
      <c r="CN273" s="1894">
        <v>17.420000000000002</v>
      </c>
      <c r="CO273" s="1894">
        <v>2697</v>
      </c>
      <c r="CP273" s="1894">
        <f t="shared" si="130"/>
        <v>9290</v>
      </c>
      <c r="CQ273" s="1894">
        <f t="shared" si="131"/>
        <v>0</v>
      </c>
      <c r="CR273" s="1924">
        <v>189</v>
      </c>
      <c r="CS273" s="1924">
        <v>32.160000000000004</v>
      </c>
      <c r="CT273" s="1924">
        <v>151.19999999999999</v>
      </c>
      <c r="CU273" s="1924">
        <v>0.99170000000000003</v>
      </c>
      <c r="CV273" s="1924">
        <v>16.760000000000002</v>
      </c>
      <c r="CW273" s="1924">
        <v>4011</v>
      </c>
      <c r="CX273" s="1894">
        <f t="shared" si="132"/>
        <v>14356</v>
      </c>
      <c r="CY273" s="1894">
        <f t="shared" si="133"/>
        <v>0</v>
      </c>
    </row>
    <row r="274" spans="1:103">
      <c r="A274" s="982">
        <v>613000000027</v>
      </c>
      <c r="B274" s="1923">
        <f t="shared" si="134"/>
        <v>268</v>
      </c>
      <c r="C274" s="1895" t="s">
        <v>3157</v>
      </c>
      <c r="D274" s="1894" t="s">
        <v>524</v>
      </c>
      <c r="E274" s="1895" t="s">
        <v>636</v>
      </c>
      <c r="F274" s="1894" t="s">
        <v>259</v>
      </c>
      <c r="G274" s="1924">
        <v>189</v>
      </c>
      <c r="H274" s="1894">
        <v>189</v>
      </c>
      <c r="I274" s="1894">
        <v>18.8</v>
      </c>
      <c r="J274" s="1894">
        <v>151.19999999999999</v>
      </c>
      <c r="K274" s="1894">
        <v>0.3362</v>
      </c>
      <c r="L274" s="1894">
        <v>20.04</v>
      </c>
      <c r="M274" s="1894">
        <v>2712</v>
      </c>
      <c r="N274" s="1894">
        <f t="shared" si="112"/>
        <v>8122</v>
      </c>
      <c r="O274" s="1894">
        <f t="shared" si="113"/>
        <v>0</v>
      </c>
      <c r="P274" s="1894">
        <v>189</v>
      </c>
      <c r="Q274" s="1894">
        <v>17.2</v>
      </c>
      <c r="R274" s="1894">
        <v>151.19999999999999</v>
      </c>
      <c r="S274" s="1894">
        <v>0.31909999999999999</v>
      </c>
      <c r="T274" s="1894">
        <v>16.850000000000001</v>
      </c>
      <c r="U274" s="1894">
        <v>2156</v>
      </c>
      <c r="V274" s="1894">
        <f t="shared" si="114"/>
        <v>7678</v>
      </c>
      <c r="W274" s="1894">
        <f t="shared" si="115"/>
        <v>0</v>
      </c>
      <c r="X274" s="1894">
        <v>189</v>
      </c>
      <c r="Y274" s="1894">
        <v>5.2</v>
      </c>
      <c r="Z274" s="1894">
        <v>151.19999999999999</v>
      </c>
      <c r="AA274" s="1894">
        <v>0.28960000000000002</v>
      </c>
      <c r="AB274" s="1894">
        <v>52.94</v>
      </c>
      <c r="AC274" s="1894">
        <v>1982</v>
      </c>
      <c r="AD274" s="1894">
        <f t="shared" si="116"/>
        <v>2246</v>
      </c>
      <c r="AE274" s="1894">
        <f t="shared" si="117"/>
        <v>0</v>
      </c>
      <c r="AF274" s="1894">
        <v>189</v>
      </c>
      <c r="AG274" s="1894">
        <v>4.8</v>
      </c>
      <c r="AH274" s="1894">
        <v>151.19999999999999</v>
      </c>
      <c r="AI274" s="1894">
        <v>0.25290000000000001</v>
      </c>
      <c r="AJ274" s="1894">
        <v>66.2</v>
      </c>
      <c r="AK274" s="1894">
        <v>2364</v>
      </c>
      <c r="AL274" s="1894">
        <f t="shared" si="110"/>
        <v>2143</v>
      </c>
      <c r="AM274" s="1894">
        <f t="shared" si="111"/>
        <v>221</v>
      </c>
      <c r="AN274" s="1894">
        <v>189</v>
      </c>
      <c r="AO274" s="1894">
        <v>6.8000000000000007</v>
      </c>
      <c r="AP274" s="1894">
        <v>151.19999999999999</v>
      </c>
      <c r="AQ274" s="1894">
        <v>0.2601</v>
      </c>
      <c r="AR274" s="1894">
        <v>49.53</v>
      </c>
      <c r="AS274" s="1894">
        <v>2506</v>
      </c>
      <c r="AT274" s="1894">
        <f t="shared" si="118"/>
        <v>3036</v>
      </c>
      <c r="AU274" s="1894">
        <f t="shared" si="119"/>
        <v>0</v>
      </c>
      <c r="AV274" s="1894">
        <v>189</v>
      </c>
      <c r="AW274" s="1894">
        <v>7.5200000000000005</v>
      </c>
      <c r="AX274" s="1894">
        <v>151.19999999999999</v>
      </c>
      <c r="AY274" s="1894">
        <v>0.24560000000000001</v>
      </c>
      <c r="AZ274" s="1894">
        <v>55.88</v>
      </c>
      <c r="BA274" s="1894">
        <v>2622</v>
      </c>
      <c r="BB274" s="1894">
        <f t="shared" si="120"/>
        <v>3249</v>
      </c>
      <c r="BC274" s="1894">
        <f t="shared" si="121"/>
        <v>0</v>
      </c>
      <c r="BD274" s="1894">
        <v>189</v>
      </c>
      <c r="BE274" s="1894">
        <v>55.2</v>
      </c>
      <c r="BF274" s="1894">
        <v>151.19999999999999</v>
      </c>
      <c r="BG274" s="1894">
        <v>0.28360000000000002</v>
      </c>
      <c r="BH274" s="1894">
        <v>5.93</v>
      </c>
      <c r="BI274" s="1894">
        <v>2672</v>
      </c>
      <c r="BJ274" s="1894">
        <f t="shared" si="122"/>
        <v>24641</v>
      </c>
      <c r="BK274" s="1894">
        <f t="shared" si="123"/>
        <v>0</v>
      </c>
      <c r="BL274" s="1894">
        <v>189</v>
      </c>
      <c r="BM274" s="1894">
        <v>16.8</v>
      </c>
      <c r="BN274" s="1894">
        <v>151.19999999999999</v>
      </c>
      <c r="BO274" s="1894">
        <v>0.33110000000000001</v>
      </c>
      <c r="BP274" s="1894">
        <v>21.6</v>
      </c>
      <c r="BQ274" s="1894">
        <v>2700</v>
      </c>
      <c r="BR274" s="1894">
        <f t="shared" si="124"/>
        <v>7258</v>
      </c>
      <c r="BS274" s="1894">
        <f t="shared" si="125"/>
        <v>0</v>
      </c>
      <c r="BT274" s="1894">
        <v>189</v>
      </c>
      <c r="BU274" s="1894">
        <v>26.8</v>
      </c>
      <c r="BV274" s="1894">
        <v>151.19999999999999</v>
      </c>
      <c r="BW274" s="1894">
        <v>0.38469999999999999</v>
      </c>
      <c r="BX274" s="1894">
        <v>22.11</v>
      </c>
      <c r="BY274" s="1894">
        <v>4408</v>
      </c>
      <c r="BZ274" s="1894">
        <f t="shared" si="126"/>
        <v>11964</v>
      </c>
      <c r="CA274" s="1894">
        <f t="shared" si="127"/>
        <v>0</v>
      </c>
      <c r="CB274" s="1894">
        <v>189</v>
      </c>
      <c r="CC274" s="1894">
        <v>26.72</v>
      </c>
      <c r="CD274" s="1894">
        <v>151.19999999999999</v>
      </c>
      <c r="CE274" s="1894">
        <v>0.36180000000000001</v>
      </c>
      <c r="CF274" s="1894">
        <v>15.07</v>
      </c>
      <c r="CG274" s="1894">
        <v>2996</v>
      </c>
      <c r="CH274" s="1894">
        <f t="shared" si="128"/>
        <v>11928</v>
      </c>
      <c r="CI274" s="1894">
        <f t="shared" si="129"/>
        <v>0</v>
      </c>
      <c r="CJ274" s="1894">
        <v>189</v>
      </c>
      <c r="CK274" s="1894">
        <v>5.92</v>
      </c>
      <c r="CL274" s="1894">
        <v>151.19999999999999</v>
      </c>
      <c r="CM274" s="1894">
        <v>0.34399999999999997</v>
      </c>
      <c r="CN274" s="1894">
        <v>54.95</v>
      </c>
      <c r="CO274" s="1894">
        <v>2186</v>
      </c>
      <c r="CP274" s="1894">
        <f t="shared" si="130"/>
        <v>2387</v>
      </c>
      <c r="CQ274" s="1894">
        <f t="shared" si="131"/>
        <v>0</v>
      </c>
      <c r="CR274" s="1924">
        <v>189</v>
      </c>
      <c r="CS274" s="1924">
        <v>3.84</v>
      </c>
      <c r="CT274" s="1924">
        <v>151.19999999999999</v>
      </c>
      <c r="CU274" s="1924">
        <v>0.46660000000000001</v>
      </c>
      <c r="CV274" s="1924">
        <v>49.35</v>
      </c>
      <c r="CW274" s="1924">
        <v>1410</v>
      </c>
      <c r="CX274" s="1894">
        <f t="shared" si="132"/>
        <v>1714</v>
      </c>
      <c r="CY274" s="1894">
        <f t="shared" si="133"/>
        <v>0</v>
      </c>
    </row>
    <row r="275" spans="1:103">
      <c r="A275" s="982">
        <v>123000000129</v>
      </c>
      <c r="B275" s="1923">
        <f t="shared" si="134"/>
        <v>269</v>
      </c>
      <c r="C275" s="1895" t="s">
        <v>3158</v>
      </c>
      <c r="D275" s="1894" t="s">
        <v>524</v>
      </c>
      <c r="E275" s="1895" t="s">
        <v>636</v>
      </c>
      <c r="F275" s="1894" t="s">
        <v>259</v>
      </c>
      <c r="G275" s="1924">
        <v>189</v>
      </c>
      <c r="H275" s="1894">
        <v>189</v>
      </c>
      <c r="I275" s="1894">
        <v>24.959999999999997</v>
      </c>
      <c r="J275" s="1894">
        <v>151.19999999999999</v>
      </c>
      <c r="K275" s="1894">
        <v>0.94820000000000004</v>
      </c>
      <c r="L275" s="1894">
        <v>17.079999999999998</v>
      </c>
      <c r="M275" s="1894">
        <v>2762</v>
      </c>
      <c r="N275" s="1894">
        <f t="shared" si="112"/>
        <v>10783</v>
      </c>
      <c r="O275" s="1894">
        <f t="shared" si="113"/>
        <v>0</v>
      </c>
      <c r="P275" s="1894">
        <v>189</v>
      </c>
      <c r="Q275" s="1894">
        <v>20.96</v>
      </c>
      <c r="R275" s="1894">
        <v>151.19999999999999</v>
      </c>
      <c r="S275" s="1894">
        <v>0.96489999999999998</v>
      </c>
      <c r="T275" s="1894">
        <v>20.48</v>
      </c>
      <c r="U275" s="1894">
        <v>3194</v>
      </c>
      <c r="V275" s="1894">
        <f t="shared" si="114"/>
        <v>9357</v>
      </c>
      <c r="W275" s="1894">
        <f t="shared" si="115"/>
        <v>0</v>
      </c>
      <c r="X275" s="1894">
        <v>189</v>
      </c>
      <c r="Y275" s="1894">
        <v>21.279999999999998</v>
      </c>
      <c r="Z275" s="1894">
        <v>151.19999999999999</v>
      </c>
      <c r="AA275" s="1894">
        <v>0.96440000000000003</v>
      </c>
      <c r="AB275" s="1894">
        <v>19.11</v>
      </c>
      <c r="AC275" s="1894">
        <v>2928</v>
      </c>
      <c r="AD275" s="1894">
        <f t="shared" si="116"/>
        <v>9193</v>
      </c>
      <c r="AE275" s="1894">
        <f t="shared" si="117"/>
        <v>0</v>
      </c>
      <c r="AF275" s="1894">
        <v>189</v>
      </c>
      <c r="AG275" s="1894">
        <v>19.759999999999998</v>
      </c>
      <c r="AH275" s="1894">
        <v>151.19999999999999</v>
      </c>
      <c r="AI275" s="1894">
        <v>0.95150000000000001</v>
      </c>
      <c r="AJ275" s="1894">
        <v>21.6</v>
      </c>
      <c r="AK275" s="1894">
        <v>3176</v>
      </c>
      <c r="AL275" s="1894">
        <f t="shared" si="110"/>
        <v>8821</v>
      </c>
      <c r="AM275" s="1894">
        <f t="shared" si="111"/>
        <v>0</v>
      </c>
      <c r="AN275" s="1894">
        <v>189</v>
      </c>
      <c r="AO275" s="1894">
        <v>21.92</v>
      </c>
      <c r="AP275" s="1894">
        <v>151.19999999999999</v>
      </c>
      <c r="AQ275" s="1894">
        <v>0.95789999999999997</v>
      </c>
      <c r="AR275" s="1894">
        <v>21.57</v>
      </c>
      <c r="AS275" s="1894">
        <v>3518</v>
      </c>
      <c r="AT275" s="1894">
        <f t="shared" si="118"/>
        <v>9785</v>
      </c>
      <c r="AU275" s="1894">
        <f t="shared" si="119"/>
        <v>0</v>
      </c>
      <c r="AV275" s="1894">
        <v>189</v>
      </c>
      <c r="AW275" s="1894">
        <v>40.64</v>
      </c>
      <c r="AX275" s="1894">
        <v>151.19999999999999</v>
      </c>
      <c r="AY275" s="1894">
        <v>0.95069999999999999</v>
      </c>
      <c r="AZ275" s="1894">
        <v>12.83</v>
      </c>
      <c r="BA275" s="1894">
        <v>3755</v>
      </c>
      <c r="BB275" s="1894">
        <f t="shared" si="120"/>
        <v>17556</v>
      </c>
      <c r="BC275" s="1894">
        <f t="shared" si="121"/>
        <v>0</v>
      </c>
      <c r="BD275" s="1894">
        <v>189</v>
      </c>
      <c r="BE275" s="1894">
        <v>39.119999999999997</v>
      </c>
      <c r="BF275" s="1894">
        <v>151.19999999999999</v>
      </c>
      <c r="BG275" s="1894">
        <v>0.93489999999999995</v>
      </c>
      <c r="BH275" s="1894">
        <v>12.67</v>
      </c>
      <c r="BI275" s="1894">
        <v>3689</v>
      </c>
      <c r="BJ275" s="1894">
        <f t="shared" si="122"/>
        <v>17463</v>
      </c>
      <c r="BK275" s="1894">
        <f t="shared" si="123"/>
        <v>0</v>
      </c>
      <c r="BL275" s="1894">
        <v>189</v>
      </c>
      <c r="BM275" s="1894">
        <v>20.080000000000002</v>
      </c>
      <c r="BN275" s="1894">
        <v>151.19999999999999</v>
      </c>
      <c r="BO275" s="1894">
        <v>0.94679999999999997</v>
      </c>
      <c r="BP275" s="1894">
        <v>22.24</v>
      </c>
      <c r="BQ275" s="1894">
        <v>3216</v>
      </c>
      <c r="BR275" s="1894">
        <f t="shared" si="124"/>
        <v>8675</v>
      </c>
      <c r="BS275" s="1894">
        <f t="shared" si="125"/>
        <v>0</v>
      </c>
      <c r="BT275" s="1894">
        <v>189</v>
      </c>
      <c r="BU275" s="1894">
        <v>20.16</v>
      </c>
      <c r="BV275" s="1894">
        <v>151.19999999999999</v>
      </c>
      <c r="BW275" s="1894">
        <v>0.94040000000000001</v>
      </c>
      <c r="BX275" s="1894">
        <v>19.71</v>
      </c>
      <c r="BY275" s="1894">
        <v>2956</v>
      </c>
      <c r="BZ275" s="1894">
        <f t="shared" si="126"/>
        <v>8999</v>
      </c>
      <c r="CA275" s="1894">
        <f t="shared" si="127"/>
        <v>0</v>
      </c>
      <c r="CB275" s="1894">
        <v>189</v>
      </c>
      <c r="CC275" s="1894">
        <v>24.72</v>
      </c>
      <c r="CD275" s="1894">
        <v>151.19999999999999</v>
      </c>
      <c r="CE275" s="1894">
        <v>0.95609999999999995</v>
      </c>
      <c r="CF275" s="1894">
        <v>16.84</v>
      </c>
      <c r="CG275" s="1894">
        <v>3098</v>
      </c>
      <c r="CH275" s="1894">
        <f t="shared" si="128"/>
        <v>11035</v>
      </c>
      <c r="CI275" s="1894">
        <f t="shared" si="129"/>
        <v>0</v>
      </c>
      <c r="CJ275" s="1894">
        <v>189</v>
      </c>
      <c r="CK275" s="1894">
        <v>23.36</v>
      </c>
      <c r="CL275" s="1894">
        <v>151.19999999999999</v>
      </c>
      <c r="CM275" s="1894">
        <v>0.95899999999999996</v>
      </c>
      <c r="CN275" s="1894">
        <v>18.34</v>
      </c>
      <c r="CO275" s="1894">
        <v>2879</v>
      </c>
      <c r="CP275" s="1894">
        <f t="shared" si="130"/>
        <v>9419</v>
      </c>
      <c r="CQ275" s="1894">
        <f t="shared" si="131"/>
        <v>0</v>
      </c>
      <c r="CR275" s="1924">
        <v>189</v>
      </c>
      <c r="CS275" s="1924">
        <v>34.72</v>
      </c>
      <c r="CT275" s="1924">
        <v>151.19999999999999</v>
      </c>
      <c r="CU275" s="1924">
        <v>0.96379999999999999</v>
      </c>
      <c r="CV275" s="1924">
        <v>14.25</v>
      </c>
      <c r="CW275" s="1924">
        <v>3682</v>
      </c>
      <c r="CX275" s="1894">
        <f t="shared" si="132"/>
        <v>15499</v>
      </c>
      <c r="CY275" s="1894">
        <f t="shared" si="133"/>
        <v>0</v>
      </c>
    </row>
    <row r="276" spans="1:103">
      <c r="A276" s="982">
        <v>122000000092</v>
      </c>
      <c r="B276" s="1923">
        <f t="shared" si="134"/>
        <v>270</v>
      </c>
      <c r="C276" s="1895" t="s">
        <v>3159</v>
      </c>
      <c r="D276" s="1894" t="s">
        <v>524</v>
      </c>
      <c r="E276" s="1895" t="s">
        <v>636</v>
      </c>
      <c r="F276" s="1894" t="s">
        <v>259</v>
      </c>
      <c r="G276" s="1924">
        <v>190</v>
      </c>
      <c r="H276" s="1894">
        <v>190</v>
      </c>
      <c r="I276" s="1894">
        <v>64.8</v>
      </c>
      <c r="J276" s="1894">
        <v>152</v>
      </c>
      <c r="K276" s="1894">
        <v>0.9254</v>
      </c>
      <c r="L276" s="1894">
        <v>26.9</v>
      </c>
      <c r="M276" s="1894">
        <v>11715</v>
      </c>
      <c r="N276" s="1894">
        <f t="shared" si="112"/>
        <v>27994</v>
      </c>
      <c r="O276" s="1894">
        <f t="shared" si="113"/>
        <v>0</v>
      </c>
      <c r="P276" s="1894">
        <v>190</v>
      </c>
      <c r="Q276" s="1894">
        <v>147</v>
      </c>
      <c r="R276" s="1894">
        <v>152</v>
      </c>
      <c r="S276" s="1894">
        <v>0.8962</v>
      </c>
      <c r="T276" s="1894">
        <v>17.68</v>
      </c>
      <c r="U276" s="1894">
        <v>20589</v>
      </c>
      <c r="V276" s="1894">
        <f t="shared" si="114"/>
        <v>65621</v>
      </c>
      <c r="W276" s="1894">
        <f t="shared" si="115"/>
        <v>0</v>
      </c>
      <c r="X276" s="1894">
        <v>190</v>
      </c>
      <c r="Y276" s="1894">
        <v>142.08000000000001</v>
      </c>
      <c r="Z276" s="1894">
        <v>152</v>
      </c>
      <c r="AA276" s="1894">
        <v>0.86980000000000002</v>
      </c>
      <c r="AB276" s="1894">
        <v>22.4</v>
      </c>
      <c r="AC276" s="1894">
        <v>21390</v>
      </c>
      <c r="AD276" s="1894">
        <f t="shared" si="116"/>
        <v>61379</v>
      </c>
      <c r="AE276" s="1894">
        <f t="shared" si="117"/>
        <v>0</v>
      </c>
      <c r="AF276" s="1894">
        <v>190</v>
      </c>
      <c r="AG276" s="1894">
        <v>146.88</v>
      </c>
      <c r="AH276" s="1894">
        <v>152</v>
      </c>
      <c r="AI276" s="1894">
        <v>0.85360000000000003</v>
      </c>
      <c r="AJ276" s="1894">
        <v>25.14</v>
      </c>
      <c r="AK276" s="1894">
        <v>29241</v>
      </c>
      <c r="AL276" s="1894">
        <f t="shared" si="110"/>
        <v>65567</v>
      </c>
      <c r="AM276" s="1894">
        <f t="shared" si="111"/>
        <v>0</v>
      </c>
      <c r="AN276" s="1894">
        <v>190</v>
      </c>
      <c r="AO276" s="1894">
        <v>4.8</v>
      </c>
      <c r="AP276" s="1894">
        <v>152</v>
      </c>
      <c r="AQ276" s="1894">
        <v>0.85440000000000005</v>
      </c>
      <c r="AR276" s="1894">
        <v>677.08</v>
      </c>
      <c r="AS276" s="1894">
        <v>24180</v>
      </c>
      <c r="AT276" s="1894">
        <f t="shared" si="118"/>
        <v>2143</v>
      </c>
      <c r="AU276" s="1894">
        <f t="shared" si="119"/>
        <v>22037</v>
      </c>
      <c r="AV276" s="1894">
        <v>190</v>
      </c>
      <c r="AW276" s="1894">
        <v>118.08</v>
      </c>
      <c r="AX276" s="1894">
        <v>152</v>
      </c>
      <c r="AY276" s="1894">
        <v>0.86539999999999995</v>
      </c>
      <c r="AZ276" s="1894">
        <v>23.62</v>
      </c>
      <c r="BA276" s="1894">
        <v>20082</v>
      </c>
      <c r="BB276" s="1894">
        <f t="shared" si="120"/>
        <v>51011</v>
      </c>
      <c r="BC276" s="1894">
        <f t="shared" si="121"/>
        <v>0</v>
      </c>
      <c r="BD276" s="1894">
        <v>190</v>
      </c>
      <c r="BE276" s="1894">
        <v>97.44</v>
      </c>
      <c r="BF276" s="1894">
        <v>152</v>
      </c>
      <c r="BG276" s="1894">
        <v>0.91249999999999998</v>
      </c>
      <c r="BH276" s="1894">
        <v>18.84</v>
      </c>
      <c r="BI276" s="1894">
        <v>13656</v>
      </c>
      <c r="BJ276" s="1894">
        <f t="shared" si="122"/>
        <v>43497</v>
      </c>
      <c r="BK276" s="1894">
        <f t="shared" si="123"/>
        <v>0</v>
      </c>
      <c r="BL276" s="1894">
        <v>190</v>
      </c>
      <c r="BM276" s="1894">
        <v>99.839999999999989</v>
      </c>
      <c r="BN276" s="1894">
        <v>152</v>
      </c>
      <c r="BO276" s="1894">
        <v>0.92530000000000001</v>
      </c>
      <c r="BP276" s="1894">
        <v>11.69</v>
      </c>
      <c r="BQ276" s="1894">
        <v>8403</v>
      </c>
      <c r="BR276" s="1894">
        <f t="shared" si="124"/>
        <v>43131</v>
      </c>
      <c r="BS276" s="1894">
        <f t="shared" si="125"/>
        <v>0</v>
      </c>
      <c r="BT276" s="1894">
        <v>190</v>
      </c>
      <c r="BU276" s="1894">
        <v>75.84</v>
      </c>
      <c r="BV276" s="1894">
        <v>152</v>
      </c>
      <c r="BW276" s="1894">
        <v>0.93320000000000003</v>
      </c>
      <c r="BX276" s="1894">
        <v>13.87</v>
      </c>
      <c r="BY276" s="1894">
        <v>7824</v>
      </c>
      <c r="BZ276" s="1894">
        <f t="shared" si="126"/>
        <v>33855</v>
      </c>
      <c r="CA276" s="1894">
        <f t="shared" si="127"/>
        <v>0</v>
      </c>
      <c r="CB276" s="1894">
        <v>190</v>
      </c>
      <c r="CC276" s="1894">
        <v>19.680000000000003</v>
      </c>
      <c r="CD276" s="1894">
        <v>152</v>
      </c>
      <c r="CE276" s="1894">
        <v>0.94110000000000005</v>
      </c>
      <c r="CF276" s="1894">
        <v>54.71</v>
      </c>
      <c r="CG276" s="1894">
        <v>8010</v>
      </c>
      <c r="CH276" s="1894">
        <f t="shared" si="128"/>
        <v>8785</v>
      </c>
      <c r="CI276" s="1894">
        <f t="shared" si="129"/>
        <v>0</v>
      </c>
      <c r="CJ276" s="1894">
        <v>190</v>
      </c>
      <c r="CK276" s="1894">
        <v>72.239999999999995</v>
      </c>
      <c r="CL276" s="1894">
        <v>152</v>
      </c>
      <c r="CM276" s="1894">
        <v>0.94699999999999995</v>
      </c>
      <c r="CN276" s="1894">
        <v>15.99</v>
      </c>
      <c r="CO276" s="1894">
        <v>7761</v>
      </c>
      <c r="CP276" s="1894">
        <f t="shared" si="130"/>
        <v>29127</v>
      </c>
      <c r="CQ276" s="1894">
        <f t="shared" si="131"/>
        <v>0</v>
      </c>
      <c r="CR276" s="1924">
        <v>190</v>
      </c>
      <c r="CS276" s="1924">
        <v>121.44</v>
      </c>
      <c r="CT276" s="1924">
        <v>152</v>
      </c>
      <c r="CU276" s="1924">
        <v>0.93730000000000002</v>
      </c>
      <c r="CV276" s="1924">
        <v>10.76</v>
      </c>
      <c r="CW276" s="1924">
        <v>9726</v>
      </c>
      <c r="CX276" s="1894">
        <f t="shared" si="132"/>
        <v>54211</v>
      </c>
      <c r="CY276" s="1894">
        <f t="shared" si="133"/>
        <v>0</v>
      </c>
    </row>
    <row r="277" spans="1:103">
      <c r="A277" s="982">
        <v>611000000107</v>
      </c>
      <c r="B277" s="1923">
        <f t="shared" si="134"/>
        <v>271</v>
      </c>
      <c r="C277" s="1895" t="s">
        <v>3160</v>
      </c>
      <c r="D277" s="1894" t="s">
        <v>524</v>
      </c>
      <c r="E277" s="1895" t="s">
        <v>636</v>
      </c>
      <c r="F277" s="1894" t="s">
        <v>259</v>
      </c>
      <c r="G277" s="1924">
        <v>193</v>
      </c>
      <c r="H277" s="1894">
        <v>193</v>
      </c>
      <c r="I277" s="1894">
        <v>63.2</v>
      </c>
      <c r="J277" s="1894">
        <v>154.4</v>
      </c>
      <c r="K277" s="1894">
        <v>0.99590000000000001</v>
      </c>
      <c r="L277" s="1894">
        <v>57.94</v>
      </c>
      <c r="M277" s="1894">
        <v>26364</v>
      </c>
      <c r="N277" s="1894">
        <f t="shared" si="112"/>
        <v>27302</v>
      </c>
      <c r="O277" s="1894">
        <f t="shared" si="113"/>
        <v>0</v>
      </c>
      <c r="P277" s="1894">
        <v>193</v>
      </c>
      <c r="Q277" s="1894">
        <v>59.68</v>
      </c>
      <c r="R277" s="1894">
        <v>154.4</v>
      </c>
      <c r="S277" s="1894">
        <v>0.9929</v>
      </c>
      <c r="T277" s="1894">
        <v>53.65</v>
      </c>
      <c r="U277" s="1894">
        <v>19210</v>
      </c>
      <c r="V277" s="1894">
        <f t="shared" si="114"/>
        <v>26641</v>
      </c>
      <c r="W277" s="1894">
        <f t="shared" si="115"/>
        <v>0</v>
      </c>
      <c r="X277" s="1894">
        <v>193</v>
      </c>
      <c r="Y277" s="1894">
        <v>68.320000000000007</v>
      </c>
      <c r="Z277" s="1894">
        <v>154.4</v>
      </c>
      <c r="AA277" s="1894">
        <v>0.99319999999999997</v>
      </c>
      <c r="AB277" s="1894">
        <v>27.42</v>
      </c>
      <c r="AC277" s="1894">
        <v>16188</v>
      </c>
      <c r="AD277" s="1894">
        <f t="shared" si="116"/>
        <v>29514</v>
      </c>
      <c r="AE277" s="1894">
        <f t="shared" si="117"/>
        <v>0</v>
      </c>
      <c r="AF277" s="1894">
        <v>193</v>
      </c>
      <c r="AG277" s="1894">
        <v>58.56</v>
      </c>
      <c r="AH277" s="1894">
        <v>154.4</v>
      </c>
      <c r="AI277" s="1894">
        <v>0.98250000000000004</v>
      </c>
      <c r="AJ277" s="1894">
        <v>47.86</v>
      </c>
      <c r="AK277" s="1894">
        <v>20850</v>
      </c>
      <c r="AL277" s="1894">
        <f t="shared" si="110"/>
        <v>26141</v>
      </c>
      <c r="AM277" s="1894">
        <f t="shared" si="111"/>
        <v>0</v>
      </c>
      <c r="AN277" s="1894">
        <v>193</v>
      </c>
      <c r="AO277" s="1894">
        <v>56.64</v>
      </c>
      <c r="AP277" s="1894">
        <v>154.4</v>
      </c>
      <c r="AQ277" s="1894">
        <v>0.99060000000000004</v>
      </c>
      <c r="AR277" s="1894">
        <v>46.39</v>
      </c>
      <c r="AS277" s="1894">
        <v>19550</v>
      </c>
      <c r="AT277" s="1894">
        <f t="shared" si="118"/>
        <v>25284</v>
      </c>
      <c r="AU277" s="1894">
        <f t="shared" si="119"/>
        <v>0</v>
      </c>
      <c r="AV277" s="1894">
        <v>193</v>
      </c>
      <c r="AW277" s="1894">
        <v>51.04</v>
      </c>
      <c r="AX277" s="1894">
        <v>154.4</v>
      </c>
      <c r="AY277" s="1894">
        <v>0.9919</v>
      </c>
      <c r="AZ277" s="1894">
        <v>59.25</v>
      </c>
      <c r="BA277" s="1894">
        <v>21772</v>
      </c>
      <c r="BB277" s="1894">
        <f t="shared" si="120"/>
        <v>22049</v>
      </c>
      <c r="BC277" s="1894">
        <f t="shared" si="121"/>
        <v>0</v>
      </c>
      <c r="BD277" s="1894">
        <v>193</v>
      </c>
      <c r="BE277" s="1894">
        <v>45.12</v>
      </c>
      <c r="BF277" s="1894">
        <v>154.4</v>
      </c>
      <c r="BG277" s="1894">
        <v>0.98550000000000004</v>
      </c>
      <c r="BH277" s="1894">
        <v>51.24</v>
      </c>
      <c r="BI277" s="1894">
        <v>17202</v>
      </c>
      <c r="BJ277" s="1894">
        <f t="shared" si="122"/>
        <v>20142</v>
      </c>
      <c r="BK277" s="1894">
        <f t="shared" si="123"/>
        <v>0</v>
      </c>
      <c r="BL277" s="1894">
        <v>193</v>
      </c>
      <c r="BM277" s="1894">
        <v>40.160000000000004</v>
      </c>
      <c r="BN277" s="1894">
        <v>154.4</v>
      </c>
      <c r="BO277" s="1894">
        <v>0.97860000000000003</v>
      </c>
      <c r="BP277" s="1894">
        <v>43.8</v>
      </c>
      <c r="BQ277" s="1894">
        <v>12664</v>
      </c>
      <c r="BR277" s="1894">
        <f t="shared" si="124"/>
        <v>17349</v>
      </c>
      <c r="BS277" s="1894">
        <f t="shared" si="125"/>
        <v>0</v>
      </c>
      <c r="BT277" s="1894">
        <v>193</v>
      </c>
      <c r="BU277" s="1894">
        <v>33.28</v>
      </c>
      <c r="BV277" s="1894">
        <v>154.4</v>
      </c>
      <c r="BW277" s="1894">
        <v>0.95750000000000002</v>
      </c>
      <c r="BX277" s="1894">
        <v>40.31</v>
      </c>
      <c r="BY277" s="1894">
        <v>9982</v>
      </c>
      <c r="BZ277" s="1894">
        <f t="shared" si="126"/>
        <v>14856</v>
      </c>
      <c r="CA277" s="1894">
        <f t="shared" si="127"/>
        <v>0</v>
      </c>
      <c r="CB277" s="1894">
        <v>193</v>
      </c>
      <c r="CC277" s="1894">
        <v>28.16</v>
      </c>
      <c r="CD277" s="1894">
        <v>154.4</v>
      </c>
      <c r="CE277" s="1894">
        <v>0.96909999999999996</v>
      </c>
      <c r="CF277" s="1894">
        <v>49.56</v>
      </c>
      <c r="CG277" s="1894">
        <v>10384</v>
      </c>
      <c r="CH277" s="1894">
        <f t="shared" si="128"/>
        <v>12571</v>
      </c>
      <c r="CI277" s="1894">
        <f t="shared" si="129"/>
        <v>0</v>
      </c>
      <c r="CJ277" s="1894">
        <v>193</v>
      </c>
      <c r="CK277" s="1894">
        <v>30.72</v>
      </c>
      <c r="CL277" s="1894">
        <v>154.4</v>
      </c>
      <c r="CM277" s="1894">
        <v>0.97189999999999999</v>
      </c>
      <c r="CN277" s="1894">
        <v>52.78</v>
      </c>
      <c r="CO277" s="1894">
        <v>10896</v>
      </c>
      <c r="CP277" s="1894">
        <f t="shared" si="130"/>
        <v>12386</v>
      </c>
      <c r="CQ277" s="1894">
        <f t="shared" si="131"/>
        <v>0</v>
      </c>
      <c r="CR277" s="1924">
        <v>193</v>
      </c>
      <c r="CS277" s="1924">
        <v>39.839999999999996</v>
      </c>
      <c r="CT277" s="1924">
        <v>154.4</v>
      </c>
      <c r="CU277" s="1924">
        <v>0.99139999999999995</v>
      </c>
      <c r="CV277" s="1924">
        <v>51.95</v>
      </c>
      <c r="CW277" s="1924">
        <v>15398</v>
      </c>
      <c r="CX277" s="1894">
        <f t="shared" si="132"/>
        <v>17785</v>
      </c>
      <c r="CY277" s="1894">
        <f t="shared" si="133"/>
        <v>0</v>
      </c>
    </row>
    <row r="278" spans="1:103">
      <c r="A278" s="982">
        <v>124000000019</v>
      </c>
      <c r="B278" s="1923">
        <f t="shared" si="134"/>
        <v>272</v>
      </c>
      <c r="C278" s="1895" t="s">
        <v>3161</v>
      </c>
      <c r="D278" s="1894" t="s">
        <v>524</v>
      </c>
      <c r="E278" s="1895" t="s">
        <v>636</v>
      </c>
      <c r="F278" s="1894" t="s">
        <v>259</v>
      </c>
      <c r="G278" s="1924">
        <v>193</v>
      </c>
      <c r="H278" s="1894">
        <v>193</v>
      </c>
      <c r="I278" s="1894">
        <v>90.6</v>
      </c>
      <c r="J278" s="1894">
        <v>154.4</v>
      </c>
      <c r="K278" s="1894">
        <v>0.99639999999999995</v>
      </c>
      <c r="L278" s="1894">
        <v>23</v>
      </c>
      <c r="M278" s="1894">
        <v>15006</v>
      </c>
      <c r="N278" s="1894">
        <f t="shared" si="112"/>
        <v>39139</v>
      </c>
      <c r="O278" s="1894">
        <f t="shared" si="113"/>
        <v>0</v>
      </c>
      <c r="P278" s="1894">
        <v>193</v>
      </c>
      <c r="Q278" s="1894">
        <v>88.56</v>
      </c>
      <c r="R278" s="1894">
        <v>154.4</v>
      </c>
      <c r="S278" s="1894">
        <v>0.99560000000000004</v>
      </c>
      <c r="T278" s="1894">
        <v>33.130000000000003</v>
      </c>
      <c r="U278" s="1894">
        <v>21831</v>
      </c>
      <c r="V278" s="1894">
        <f t="shared" si="114"/>
        <v>39533</v>
      </c>
      <c r="W278" s="1894">
        <f t="shared" si="115"/>
        <v>0</v>
      </c>
      <c r="X278" s="1894">
        <v>193</v>
      </c>
      <c r="Y278" s="1894">
        <v>93.47999999999999</v>
      </c>
      <c r="Z278" s="1894">
        <v>154.4</v>
      </c>
      <c r="AA278" s="1894">
        <v>0.99350000000000005</v>
      </c>
      <c r="AB278" s="1894">
        <v>28.45</v>
      </c>
      <c r="AC278" s="1894">
        <v>19146</v>
      </c>
      <c r="AD278" s="1894">
        <f t="shared" si="116"/>
        <v>40383</v>
      </c>
      <c r="AE278" s="1894">
        <f t="shared" si="117"/>
        <v>0</v>
      </c>
      <c r="AF278" s="1894">
        <v>193</v>
      </c>
      <c r="AG278" s="1894">
        <v>81.72</v>
      </c>
      <c r="AH278" s="1894">
        <v>154.4</v>
      </c>
      <c r="AI278" s="1894">
        <v>0.99160000000000004</v>
      </c>
      <c r="AJ278" s="1894">
        <v>33.64</v>
      </c>
      <c r="AK278" s="1894">
        <v>20451</v>
      </c>
      <c r="AL278" s="1894">
        <f t="shared" si="110"/>
        <v>36480</v>
      </c>
      <c r="AM278" s="1894">
        <f t="shared" si="111"/>
        <v>0</v>
      </c>
      <c r="AN278" s="1894">
        <v>193</v>
      </c>
      <c r="AO278" s="1894">
        <v>88.679999999999993</v>
      </c>
      <c r="AP278" s="1894">
        <v>154.4</v>
      </c>
      <c r="AQ278" s="1894">
        <v>0.99060000000000004</v>
      </c>
      <c r="AR278" s="1894">
        <v>30.08</v>
      </c>
      <c r="AS278" s="1894">
        <v>19845</v>
      </c>
      <c r="AT278" s="1894">
        <f t="shared" si="118"/>
        <v>39587</v>
      </c>
      <c r="AU278" s="1894">
        <f t="shared" si="119"/>
        <v>0</v>
      </c>
      <c r="AV278" s="1894">
        <v>193</v>
      </c>
      <c r="AW278" s="1894">
        <v>88.199999999999989</v>
      </c>
      <c r="AX278" s="1894">
        <v>154.4</v>
      </c>
      <c r="AY278" s="1894">
        <v>0.9919</v>
      </c>
      <c r="AZ278" s="1894">
        <v>35.53</v>
      </c>
      <c r="BA278" s="1894">
        <v>22564</v>
      </c>
      <c r="BB278" s="1894">
        <f t="shared" si="120"/>
        <v>38102</v>
      </c>
      <c r="BC278" s="1894">
        <f t="shared" si="121"/>
        <v>0</v>
      </c>
      <c r="BD278" s="1894">
        <v>193</v>
      </c>
      <c r="BE278" s="1894">
        <v>79.680000000000007</v>
      </c>
      <c r="BF278" s="1894">
        <v>154.4</v>
      </c>
      <c r="BG278" s="1894">
        <v>0.99299999999999999</v>
      </c>
      <c r="BH278" s="1894">
        <v>26.07</v>
      </c>
      <c r="BI278" s="1894">
        <v>15453</v>
      </c>
      <c r="BJ278" s="1894">
        <f t="shared" si="122"/>
        <v>35569</v>
      </c>
      <c r="BK278" s="1894">
        <f t="shared" si="123"/>
        <v>0</v>
      </c>
      <c r="BL278" s="1894">
        <v>193</v>
      </c>
      <c r="BM278" s="1894">
        <v>50.519999999999996</v>
      </c>
      <c r="BN278" s="1894">
        <v>154.4</v>
      </c>
      <c r="BO278" s="1894">
        <v>0.97650000000000003</v>
      </c>
      <c r="BP278" s="1894">
        <v>45.64</v>
      </c>
      <c r="BQ278" s="1894">
        <v>16602</v>
      </c>
      <c r="BR278" s="1894">
        <f t="shared" si="124"/>
        <v>21825</v>
      </c>
      <c r="BS278" s="1894">
        <f t="shared" si="125"/>
        <v>0</v>
      </c>
      <c r="BT278" s="1894">
        <v>193</v>
      </c>
      <c r="BU278" s="1894">
        <v>44.28</v>
      </c>
      <c r="BV278" s="1894">
        <v>154.4</v>
      </c>
      <c r="BW278" s="1894">
        <v>0.97</v>
      </c>
      <c r="BX278" s="1894">
        <v>44.16</v>
      </c>
      <c r="BY278" s="1894">
        <v>14547</v>
      </c>
      <c r="BZ278" s="1894">
        <f t="shared" si="126"/>
        <v>19767</v>
      </c>
      <c r="CA278" s="1894">
        <f t="shared" si="127"/>
        <v>0</v>
      </c>
      <c r="CB278" s="1894">
        <v>193</v>
      </c>
      <c r="CC278" s="1894">
        <v>52.32</v>
      </c>
      <c r="CD278" s="1894">
        <v>154.4</v>
      </c>
      <c r="CE278" s="1894">
        <v>0.97489999999999999</v>
      </c>
      <c r="CF278" s="1894">
        <v>38.090000000000003</v>
      </c>
      <c r="CG278" s="1894">
        <v>14828</v>
      </c>
      <c r="CH278" s="1894">
        <f t="shared" si="128"/>
        <v>23356</v>
      </c>
      <c r="CI278" s="1894">
        <f t="shared" si="129"/>
        <v>0</v>
      </c>
      <c r="CJ278" s="1894">
        <v>193</v>
      </c>
      <c r="CK278" s="1894">
        <v>62.76</v>
      </c>
      <c r="CL278" s="1894">
        <v>154.4</v>
      </c>
      <c r="CM278" s="1894">
        <v>0.97360000000000002</v>
      </c>
      <c r="CN278" s="1894">
        <v>39.049999999999997</v>
      </c>
      <c r="CO278" s="1894">
        <v>16468</v>
      </c>
      <c r="CP278" s="1894">
        <f t="shared" si="130"/>
        <v>25305</v>
      </c>
      <c r="CQ278" s="1894">
        <f t="shared" si="131"/>
        <v>0</v>
      </c>
      <c r="CR278" s="1924">
        <v>193</v>
      </c>
      <c r="CS278" s="1924">
        <v>71.760000000000005</v>
      </c>
      <c r="CT278" s="1924">
        <v>154.4</v>
      </c>
      <c r="CU278" s="1924">
        <v>0.98340000000000005</v>
      </c>
      <c r="CV278" s="1924">
        <v>39.18</v>
      </c>
      <c r="CW278" s="1924">
        <v>20918</v>
      </c>
      <c r="CX278" s="1894">
        <f t="shared" si="132"/>
        <v>32034</v>
      </c>
      <c r="CY278" s="1894">
        <f t="shared" si="133"/>
        <v>0</v>
      </c>
    </row>
    <row r="279" spans="1:103">
      <c r="A279" s="982">
        <v>621000000035</v>
      </c>
      <c r="B279" s="1923">
        <f t="shared" si="134"/>
        <v>273</v>
      </c>
      <c r="C279" s="1895" t="s">
        <v>3162</v>
      </c>
      <c r="D279" s="1894" t="s">
        <v>524</v>
      </c>
      <c r="E279" s="1895" t="s">
        <v>636</v>
      </c>
      <c r="F279" s="1894" t="s">
        <v>259</v>
      </c>
      <c r="G279" s="1924">
        <v>193</v>
      </c>
      <c r="H279" s="1894">
        <v>193</v>
      </c>
      <c r="I279" s="1894">
        <v>75.599999999999994</v>
      </c>
      <c r="J279" s="1894">
        <v>154.4</v>
      </c>
      <c r="K279" s="1894">
        <v>0.99939999999999996</v>
      </c>
      <c r="L279" s="1894">
        <v>29.93</v>
      </c>
      <c r="M279" s="1894">
        <v>16290</v>
      </c>
      <c r="N279" s="1894">
        <f t="shared" si="112"/>
        <v>32659</v>
      </c>
      <c r="O279" s="1894">
        <f t="shared" si="113"/>
        <v>0</v>
      </c>
      <c r="P279" s="1894">
        <v>193</v>
      </c>
      <c r="Q279" s="1894">
        <v>67.8</v>
      </c>
      <c r="R279" s="1894">
        <v>154.4</v>
      </c>
      <c r="S279" s="1894">
        <v>0.99950000000000006</v>
      </c>
      <c r="T279" s="1894">
        <v>31.16</v>
      </c>
      <c r="U279" s="1894">
        <v>15209</v>
      </c>
      <c r="V279" s="1894">
        <f t="shared" si="114"/>
        <v>30266</v>
      </c>
      <c r="W279" s="1894">
        <f t="shared" si="115"/>
        <v>0</v>
      </c>
      <c r="X279" s="1894">
        <v>193</v>
      </c>
      <c r="Y279" s="1894">
        <v>79.08</v>
      </c>
      <c r="Z279" s="1894">
        <v>154.4</v>
      </c>
      <c r="AA279" s="1894">
        <v>0.99919999999999998</v>
      </c>
      <c r="AB279" s="1894">
        <v>30.82</v>
      </c>
      <c r="AC279" s="1894">
        <v>18135</v>
      </c>
      <c r="AD279" s="1894">
        <f t="shared" si="116"/>
        <v>34163</v>
      </c>
      <c r="AE279" s="1894">
        <f t="shared" si="117"/>
        <v>0</v>
      </c>
      <c r="AF279" s="1894">
        <v>193</v>
      </c>
      <c r="AG279" s="1894">
        <v>61.440000000000005</v>
      </c>
      <c r="AH279" s="1894">
        <v>154.4</v>
      </c>
      <c r="AI279" s="1894">
        <v>0.99909999999999999</v>
      </c>
      <c r="AJ279" s="1894">
        <v>31.48</v>
      </c>
      <c r="AK279" s="1894">
        <v>12532</v>
      </c>
      <c r="AL279" s="1894">
        <f t="shared" si="110"/>
        <v>27427</v>
      </c>
      <c r="AM279" s="1894">
        <f t="shared" si="111"/>
        <v>0</v>
      </c>
      <c r="AN279" s="1894">
        <v>193</v>
      </c>
      <c r="AO279" s="1894">
        <v>11.159999999999998</v>
      </c>
      <c r="AP279" s="1894">
        <v>154.4</v>
      </c>
      <c r="AQ279" s="1894">
        <v>0.99870000000000003</v>
      </c>
      <c r="AR279" s="1894">
        <v>157.63999999999999</v>
      </c>
      <c r="AS279" s="1894">
        <v>14778</v>
      </c>
      <c r="AT279" s="1894">
        <f t="shared" si="118"/>
        <v>4982</v>
      </c>
      <c r="AU279" s="1894">
        <f t="shared" si="119"/>
        <v>9796</v>
      </c>
      <c r="AV279" s="1894">
        <v>193</v>
      </c>
      <c r="AW279" s="1894">
        <v>66.36</v>
      </c>
      <c r="AX279" s="1894">
        <v>154.4</v>
      </c>
      <c r="AY279" s="1894">
        <v>0.999</v>
      </c>
      <c r="AZ279" s="1894">
        <v>26.56</v>
      </c>
      <c r="BA279" s="1894">
        <v>11420</v>
      </c>
      <c r="BB279" s="1894">
        <f t="shared" si="120"/>
        <v>28668</v>
      </c>
      <c r="BC279" s="1894">
        <f t="shared" si="121"/>
        <v>0</v>
      </c>
      <c r="BD279" s="1894">
        <v>193</v>
      </c>
      <c r="BE279" s="1894">
        <v>52.199999999999996</v>
      </c>
      <c r="BF279" s="1894">
        <v>154.4</v>
      </c>
      <c r="BG279" s="1894">
        <v>0.99809999999999999</v>
      </c>
      <c r="BH279" s="1894">
        <v>30.27</v>
      </c>
      <c r="BI279" s="1894">
        <v>11757</v>
      </c>
      <c r="BJ279" s="1894">
        <f t="shared" si="122"/>
        <v>23302</v>
      </c>
      <c r="BK279" s="1894">
        <f t="shared" si="123"/>
        <v>0</v>
      </c>
      <c r="BL279" s="1894">
        <v>193</v>
      </c>
      <c r="BM279" s="1894">
        <v>34.800000000000004</v>
      </c>
      <c r="BN279" s="1894">
        <v>154.4</v>
      </c>
      <c r="BO279" s="1894">
        <v>0.99680000000000002</v>
      </c>
      <c r="BP279" s="1894">
        <v>37.58</v>
      </c>
      <c r="BQ279" s="1894">
        <v>10043</v>
      </c>
      <c r="BR279" s="1894">
        <f t="shared" si="124"/>
        <v>15034</v>
      </c>
      <c r="BS279" s="1894">
        <f t="shared" si="125"/>
        <v>0</v>
      </c>
      <c r="BT279" s="1894">
        <v>193</v>
      </c>
      <c r="BU279" s="1894">
        <v>22.44</v>
      </c>
      <c r="BV279" s="1894">
        <v>154.4</v>
      </c>
      <c r="BW279" s="1894">
        <v>0.99509999999999998</v>
      </c>
      <c r="BX279" s="1894">
        <v>52.65</v>
      </c>
      <c r="BY279" s="1894">
        <v>9074</v>
      </c>
      <c r="BZ279" s="1894">
        <f t="shared" si="126"/>
        <v>10017</v>
      </c>
      <c r="CA279" s="1894">
        <f t="shared" si="127"/>
        <v>0</v>
      </c>
      <c r="CB279" s="1894">
        <v>193</v>
      </c>
      <c r="CC279" s="1894">
        <v>25.68</v>
      </c>
      <c r="CD279" s="1894">
        <v>154.4</v>
      </c>
      <c r="CE279" s="1894">
        <v>0.99509999999999998</v>
      </c>
      <c r="CF279" s="1894">
        <v>47.38</v>
      </c>
      <c r="CG279" s="1894">
        <v>9053</v>
      </c>
      <c r="CH279" s="1894">
        <f t="shared" si="128"/>
        <v>11464</v>
      </c>
      <c r="CI279" s="1894">
        <f t="shared" si="129"/>
        <v>0</v>
      </c>
      <c r="CJ279" s="1894">
        <v>193</v>
      </c>
      <c r="CK279" s="1894">
        <v>33.6</v>
      </c>
      <c r="CL279" s="1894">
        <v>154.4</v>
      </c>
      <c r="CM279" s="1894">
        <v>0.99509999999999998</v>
      </c>
      <c r="CN279" s="1894">
        <v>34.479999999999997</v>
      </c>
      <c r="CO279" s="1894">
        <v>7785</v>
      </c>
      <c r="CP279" s="1894">
        <f t="shared" si="130"/>
        <v>13548</v>
      </c>
      <c r="CQ279" s="1894">
        <f t="shared" si="131"/>
        <v>0</v>
      </c>
      <c r="CR279" s="1924">
        <v>193</v>
      </c>
      <c r="CS279" s="1924">
        <v>38.760000000000005</v>
      </c>
      <c r="CT279" s="1924">
        <v>154.4</v>
      </c>
      <c r="CU279" s="1924">
        <v>0.99690000000000001</v>
      </c>
      <c r="CV279" s="1924">
        <v>36.9</v>
      </c>
      <c r="CW279" s="1924">
        <v>10642</v>
      </c>
      <c r="CX279" s="1894">
        <f t="shared" si="132"/>
        <v>17302</v>
      </c>
      <c r="CY279" s="1894">
        <f t="shared" si="133"/>
        <v>0</v>
      </c>
    </row>
    <row r="280" spans="1:103">
      <c r="A280" s="982">
        <v>126000000015</v>
      </c>
      <c r="B280" s="1923">
        <f t="shared" si="134"/>
        <v>274</v>
      </c>
      <c r="C280" s="1895" t="s">
        <v>3163</v>
      </c>
      <c r="D280" s="1894" t="s">
        <v>524</v>
      </c>
      <c r="E280" s="1895" t="s">
        <v>541</v>
      </c>
      <c r="F280" s="1894" t="s">
        <v>259</v>
      </c>
      <c r="G280" s="1924">
        <v>195</v>
      </c>
      <c r="H280" s="1894">
        <v>195</v>
      </c>
      <c r="I280" s="1894">
        <v>175.6</v>
      </c>
      <c r="J280" s="1894">
        <v>175.6</v>
      </c>
      <c r="K280" s="1894">
        <v>0.8518</v>
      </c>
      <c r="L280" s="1894">
        <v>25.27</v>
      </c>
      <c r="M280" s="1894">
        <v>31946</v>
      </c>
      <c r="N280" s="1894">
        <f t="shared" si="112"/>
        <v>75859</v>
      </c>
      <c r="O280" s="1894">
        <f t="shared" si="113"/>
        <v>0</v>
      </c>
      <c r="P280" s="1894">
        <v>195</v>
      </c>
      <c r="Q280" s="1894">
        <v>157.20000000000002</v>
      </c>
      <c r="R280" s="1894">
        <v>157.19999999999999</v>
      </c>
      <c r="S280" s="1894">
        <v>0.8075</v>
      </c>
      <c r="T280" s="1894">
        <v>30.01</v>
      </c>
      <c r="U280" s="1894">
        <v>35096</v>
      </c>
      <c r="V280" s="1894">
        <f t="shared" si="114"/>
        <v>70174</v>
      </c>
      <c r="W280" s="1894">
        <f t="shared" si="115"/>
        <v>0</v>
      </c>
      <c r="X280" s="1894">
        <v>195</v>
      </c>
      <c r="Y280" s="1894">
        <v>155.6</v>
      </c>
      <c r="Z280" s="1894">
        <v>156</v>
      </c>
      <c r="AA280" s="1894">
        <v>0.81310000000000004</v>
      </c>
      <c r="AB280" s="1894">
        <v>17.8</v>
      </c>
      <c r="AC280" s="1894">
        <v>19944</v>
      </c>
      <c r="AD280" s="1894">
        <f t="shared" si="116"/>
        <v>67219</v>
      </c>
      <c r="AE280" s="1894">
        <f t="shared" si="117"/>
        <v>0</v>
      </c>
      <c r="AF280" s="1894">
        <v>195</v>
      </c>
      <c r="AG280" s="1894">
        <v>173.2</v>
      </c>
      <c r="AH280" s="1894">
        <v>173.2</v>
      </c>
      <c r="AI280" s="1894">
        <v>0.71060000000000001</v>
      </c>
      <c r="AJ280" s="1894">
        <v>11.38</v>
      </c>
      <c r="AK280" s="1894">
        <v>14662</v>
      </c>
      <c r="AL280" s="1894">
        <f t="shared" si="110"/>
        <v>77316</v>
      </c>
      <c r="AM280" s="1894">
        <f t="shared" si="111"/>
        <v>0</v>
      </c>
      <c r="AN280" s="1894">
        <v>195</v>
      </c>
      <c r="AO280" s="1894">
        <v>9.6</v>
      </c>
      <c r="AP280" s="1894">
        <v>156</v>
      </c>
      <c r="AQ280" s="1894">
        <v>0.99829999999999997</v>
      </c>
      <c r="AR280" s="1894">
        <v>16.940000000000001</v>
      </c>
      <c r="AS280" s="1894">
        <v>1210</v>
      </c>
      <c r="AT280" s="1894">
        <f t="shared" si="118"/>
        <v>4285</v>
      </c>
      <c r="AU280" s="1894">
        <f t="shared" si="119"/>
        <v>0</v>
      </c>
      <c r="AV280" s="1894">
        <v>195</v>
      </c>
      <c r="AW280" s="1894">
        <v>157.36000000000001</v>
      </c>
      <c r="AX280" s="1894">
        <v>157.36000000000001</v>
      </c>
      <c r="AY280" s="1894">
        <v>0.73</v>
      </c>
      <c r="AZ280" s="1894">
        <v>2.5</v>
      </c>
      <c r="BA280" s="1894">
        <v>2452</v>
      </c>
      <c r="BB280" s="1894">
        <f t="shared" si="120"/>
        <v>67980</v>
      </c>
      <c r="BC280" s="1894">
        <f t="shared" si="121"/>
        <v>0</v>
      </c>
      <c r="BD280" s="1894">
        <v>195</v>
      </c>
      <c r="BE280" s="1894">
        <v>162.79999999999998</v>
      </c>
      <c r="BF280" s="1894">
        <v>162.80000000000001</v>
      </c>
      <c r="BG280" s="1894">
        <v>0.83530000000000004</v>
      </c>
      <c r="BH280" s="1894">
        <v>10.42</v>
      </c>
      <c r="BI280" s="1894">
        <v>12623</v>
      </c>
      <c r="BJ280" s="1894">
        <f t="shared" si="122"/>
        <v>72674</v>
      </c>
      <c r="BK280" s="1894">
        <f t="shared" si="123"/>
        <v>0</v>
      </c>
      <c r="BL280" s="1894">
        <v>195</v>
      </c>
      <c r="BM280" s="1894">
        <v>133.28</v>
      </c>
      <c r="BN280" s="1894">
        <v>156</v>
      </c>
      <c r="BO280" s="1894">
        <v>0.96479999999999999</v>
      </c>
      <c r="BP280" s="1894">
        <v>19</v>
      </c>
      <c r="BQ280" s="1894">
        <v>19444</v>
      </c>
      <c r="BR280" s="1894">
        <f t="shared" si="124"/>
        <v>57577</v>
      </c>
      <c r="BS280" s="1894">
        <f t="shared" si="125"/>
        <v>0</v>
      </c>
      <c r="BT280" s="1894">
        <v>195</v>
      </c>
      <c r="BU280" s="1894">
        <v>145.28</v>
      </c>
      <c r="BV280" s="1894">
        <v>156</v>
      </c>
      <c r="BW280" s="1894">
        <v>0.9476</v>
      </c>
      <c r="BX280" s="1894">
        <v>22.77</v>
      </c>
      <c r="BY280" s="1894">
        <v>26202</v>
      </c>
      <c r="BZ280" s="1894">
        <f t="shared" si="126"/>
        <v>64853</v>
      </c>
      <c r="CA280" s="1894">
        <f t="shared" si="127"/>
        <v>0</v>
      </c>
      <c r="CB280" s="1894">
        <v>195</v>
      </c>
      <c r="CC280" s="1894">
        <v>137.04000000000002</v>
      </c>
      <c r="CD280" s="1894">
        <v>156</v>
      </c>
      <c r="CE280" s="1894">
        <v>0.94789999999999996</v>
      </c>
      <c r="CF280" s="1894">
        <v>18.36</v>
      </c>
      <c r="CG280" s="1894">
        <v>18715</v>
      </c>
      <c r="CH280" s="1894">
        <f t="shared" si="128"/>
        <v>61175</v>
      </c>
      <c r="CI280" s="1894">
        <f t="shared" si="129"/>
        <v>0</v>
      </c>
      <c r="CJ280" s="1894">
        <v>195</v>
      </c>
      <c r="CK280" s="1894">
        <v>112.55999999999999</v>
      </c>
      <c r="CL280" s="1894">
        <v>156</v>
      </c>
      <c r="CM280" s="1894">
        <v>0.97289999999999999</v>
      </c>
      <c r="CN280" s="1894">
        <v>30.97</v>
      </c>
      <c r="CO280" s="1894">
        <v>23423</v>
      </c>
      <c r="CP280" s="1894">
        <f t="shared" si="130"/>
        <v>45384</v>
      </c>
      <c r="CQ280" s="1894">
        <f t="shared" si="131"/>
        <v>0</v>
      </c>
      <c r="CR280" s="1924">
        <v>195</v>
      </c>
      <c r="CS280" s="1924">
        <v>119.03999999999999</v>
      </c>
      <c r="CT280" s="1924">
        <v>156</v>
      </c>
      <c r="CU280" s="1924">
        <v>0.98540000000000005</v>
      </c>
      <c r="CV280" s="1924">
        <v>28.88</v>
      </c>
      <c r="CW280" s="1924">
        <v>25575</v>
      </c>
      <c r="CX280" s="1894">
        <f t="shared" si="132"/>
        <v>53139</v>
      </c>
      <c r="CY280" s="1894">
        <f t="shared" si="133"/>
        <v>0</v>
      </c>
    </row>
    <row r="281" spans="1:103">
      <c r="A281" s="982">
        <v>421000000005</v>
      </c>
      <c r="B281" s="1923">
        <f t="shared" si="134"/>
        <v>275</v>
      </c>
      <c r="C281" s="1895" t="s">
        <v>3164</v>
      </c>
      <c r="D281" s="1894" t="s">
        <v>524</v>
      </c>
      <c r="E281" s="1895" t="s">
        <v>541</v>
      </c>
      <c r="F281" s="1894" t="s">
        <v>259</v>
      </c>
      <c r="G281" s="1924">
        <v>195</v>
      </c>
      <c r="H281" s="1894">
        <v>195</v>
      </c>
      <c r="I281" s="1894">
        <v>148.96</v>
      </c>
      <c r="J281" s="1894">
        <v>156</v>
      </c>
      <c r="K281" s="1894">
        <v>0.72160000000000002</v>
      </c>
      <c r="L281" s="1894">
        <v>42.56</v>
      </c>
      <c r="M281" s="1894">
        <v>45650</v>
      </c>
      <c r="N281" s="1894">
        <f t="shared" si="112"/>
        <v>64351</v>
      </c>
      <c r="O281" s="1894">
        <f t="shared" si="113"/>
        <v>0</v>
      </c>
      <c r="P281" s="1894">
        <v>195</v>
      </c>
      <c r="Q281" s="1894">
        <v>161.20000000000002</v>
      </c>
      <c r="R281" s="1894">
        <v>161.19999999999999</v>
      </c>
      <c r="S281" s="1894">
        <v>0.74099999999999999</v>
      </c>
      <c r="T281" s="1894">
        <v>47.21</v>
      </c>
      <c r="U281" s="1894">
        <v>56623</v>
      </c>
      <c r="V281" s="1894">
        <f t="shared" si="114"/>
        <v>71960</v>
      </c>
      <c r="W281" s="1894">
        <f t="shared" si="115"/>
        <v>0</v>
      </c>
      <c r="X281" s="1894">
        <v>195</v>
      </c>
      <c r="Y281" s="1894">
        <v>165.44</v>
      </c>
      <c r="Z281" s="1894">
        <v>165.44</v>
      </c>
      <c r="AA281" s="1894">
        <v>0.72589999999999999</v>
      </c>
      <c r="AB281" s="1894">
        <v>33.229999999999997</v>
      </c>
      <c r="AC281" s="1894">
        <v>39582</v>
      </c>
      <c r="AD281" s="1894">
        <f t="shared" si="116"/>
        <v>71470</v>
      </c>
      <c r="AE281" s="1894">
        <f t="shared" si="117"/>
        <v>0</v>
      </c>
      <c r="AF281" s="1894">
        <v>195</v>
      </c>
      <c r="AG281" s="1894">
        <v>174.72</v>
      </c>
      <c r="AH281" s="1894">
        <v>174.72</v>
      </c>
      <c r="AI281" s="1894">
        <v>0.74580000000000002</v>
      </c>
      <c r="AJ281" s="1894">
        <v>38.33</v>
      </c>
      <c r="AK281" s="1894">
        <v>49824</v>
      </c>
      <c r="AL281" s="1894">
        <f t="shared" si="110"/>
        <v>77995</v>
      </c>
      <c r="AM281" s="1894">
        <f t="shared" si="111"/>
        <v>0</v>
      </c>
      <c r="AN281" s="1894">
        <v>195</v>
      </c>
      <c r="AO281" s="1894">
        <v>151.76000000000002</v>
      </c>
      <c r="AP281" s="1894">
        <v>156</v>
      </c>
      <c r="AQ281" s="1894">
        <v>0.72060000000000002</v>
      </c>
      <c r="AR281" s="1894">
        <v>17.73</v>
      </c>
      <c r="AS281" s="1894">
        <v>20020</v>
      </c>
      <c r="AT281" s="1894">
        <f t="shared" si="118"/>
        <v>67746</v>
      </c>
      <c r="AU281" s="1894">
        <f t="shared" si="119"/>
        <v>0</v>
      </c>
      <c r="AV281" s="1894">
        <v>195</v>
      </c>
      <c r="AW281" s="1894">
        <v>160.80000000000001</v>
      </c>
      <c r="AX281" s="1894">
        <v>160.80000000000001</v>
      </c>
      <c r="AY281" s="1894">
        <v>0.7399</v>
      </c>
      <c r="AZ281" s="1894">
        <v>17.12</v>
      </c>
      <c r="BA281" s="1894">
        <v>19818</v>
      </c>
      <c r="BB281" s="1894">
        <f t="shared" si="120"/>
        <v>69466</v>
      </c>
      <c r="BC281" s="1894">
        <f t="shared" si="121"/>
        <v>0</v>
      </c>
      <c r="BD281" s="1894">
        <v>195</v>
      </c>
      <c r="BE281" s="1894">
        <v>42.16</v>
      </c>
      <c r="BF281" s="1894">
        <v>156</v>
      </c>
      <c r="BG281" s="1894">
        <v>0.67769999999999997</v>
      </c>
      <c r="BH281" s="1894">
        <v>5.83</v>
      </c>
      <c r="BI281" s="1894">
        <v>1828</v>
      </c>
      <c r="BJ281" s="1894">
        <f t="shared" si="122"/>
        <v>18820</v>
      </c>
      <c r="BK281" s="1894">
        <f t="shared" si="123"/>
        <v>0</v>
      </c>
      <c r="BL281" s="1894">
        <v>195</v>
      </c>
      <c r="BM281" s="1894">
        <v>15.6</v>
      </c>
      <c r="BN281" s="1894">
        <v>156</v>
      </c>
      <c r="BO281" s="1894">
        <v>0.89259999999999995</v>
      </c>
      <c r="BP281" s="1894">
        <v>14.1</v>
      </c>
      <c r="BQ281" s="1894">
        <v>1584</v>
      </c>
      <c r="BR281" s="1894">
        <f t="shared" si="124"/>
        <v>6739</v>
      </c>
      <c r="BS281" s="1894">
        <f t="shared" si="125"/>
        <v>0</v>
      </c>
      <c r="BT281" s="1894">
        <v>195</v>
      </c>
      <c r="BU281" s="1894">
        <v>128.16</v>
      </c>
      <c r="BV281" s="1894">
        <v>156</v>
      </c>
      <c r="BW281" s="1894">
        <v>0.86609999999999998</v>
      </c>
      <c r="BX281" s="1894">
        <v>5.96</v>
      </c>
      <c r="BY281" s="1894">
        <v>5687</v>
      </c>
      <c r="BZ281" s="1894">
        <f t="shared" si="126"/>
        <v>57211</v>
      </c>
      <c r="CA281" s="1894">
        <f t="shared" si="127"/>
        <v>0</v>
      </c>
      <c r="CB281" s="1894">
        <v>195</v>
      </c>
      <c r="CC281" s="1894">
        <v>178.32</v>
      </c>
      <c r="CD281" s="1894">
        <v>178.32</v>
      </c>
      <c r="CE281" s="1894">
        <v>0.9476</v>
      </c>
      <c r="CF281" s="1894">
        <v>31.36</v>
      </c>
      <c r="CG281" s="1894">
        <v>41600</v>
      </c>
      <c r="CH281" s="1894">
        <f t="shared" si="128"/>
        <v>79602</v>
      </c>
      <c r="CI281" s="1894">
        <f t="shared" si="129"/>
        <v>0</v>
      </c>
      <c r="CJ281" s="1894">
        <v>195</v>
      </c>
      <c r="CK281" s="1894">
        <v>182.4</v>
      </c>
      <c r="CL281" s="1894">
        <v>182.4</v>
      </c>
      <c r="CM281" s="1894">
        <v>0.9345</v>
      </c>
      <c r="CN281" s="1894">
        <v>42.49</v>
      </c>
      <c r="CO281" s="1894">
        <v>52076</v>
      </c>
      <c r="CP281" s="1894">
        <f t="shared" si="130"/>
        <v>73544</v>
      </c>
      <c r="CQ281" s="1894">
        <f t="shared" si="131"/>
        <v>0</v>
      </c>
      <c r="CR281" s="1924">
        <v>195</v>
      </c>
      <c r="CS281" s="1924">
        <v>175.76</v>
      </c>
      <c r="CT281" s="1924">
        <v>175.76</v>
      </c>
      <c r="CU281" s="1924">
        <v>0.93069999999999997</v>
      </c>
      <c r="CV281" s="1924">
        <v>45.82</v>
      </c>
      <c r="CW281" s="1924">
        <v>59912</v>
      </c>
      <c r="CX281" s="1894">
        <f t="shared" si="132"/>
        <v>78459</v>
      </c>
      <c r="CY281" s="1894">
        <f t="shared" si="133"/>
        <v>0</v>
      </c>
    </row>
    <row r="282" spans="1:103">
      <c r="A282" s="982">
        <v>123000000138</v>
      </c>
      <c r="B282" s="1923">
        <f t="shared" si="134"/>
        <v>276</v>
      </c>
      <c r="C282" s="1895" t="s">
        <v>3165</v>
      </c>
      <c r="D282" s="1894" t="s">
        <v>524</v>
      </c>
      <c r="E282" s="1895" t="s">
        <v>2966</v>
      </c>
      <c r="F282" s="1894" t="s">
        <v>259</v>
      </c>
      <c r="G282" s="1924">
        <v>200</v>
      </c>
      <c r="H282" s="1894">
        <v>0</v>
      </c>
      <c r="I282" s="1894">
        <v>0</v>
      </c>
      <c r="J282" s="1894">
        <v>0</v>
      </c>
      <c r="K282" s="1894">
        <v>0</v>
      </c>
      <c r="L282" s="1894">
        <v>0</v>
      </c>
      <c r="M282" s="1894">
        <v>0</v>
      </c>
      <c r="N282" s="1894">
        <f t="shared" si="112"/>
        <v>0</v>
      </c>
      <c r="O282" s="1894">
        <f t="shared" si="113"/>
        <v>0</v>
      </c>
      <c r="P282" s="1894">
        <v>0</v>
      </c>
      <c r="Q282" s="1894">
        <v>0</v>
      </c>
      <c r="R282" s="1894">
        <v>0</v>
      </c>
      <c r="S282" s="1894">
        <v>0</v>
      </c>
      <c r="T282" s="1894">
        <v>0</v>
      </c>
      <c r="U282" s="1894">
        <v>0</v>
      </c>
      <c r="V282" s="1894">
        <f t="shared" si="114"/>
        <v>0</v>
      </c>
      <c r="W282" s="1894">
        <f t="shared" si="115"/>
        <v>0</v>
      </c>
      <c r="X282" s="1894">
        <v>0</v>
      </c>
      <c r="Y282" s="1894">
        <v>0</v>
      </c>
      <c r="Z282" s="1894">
        <v>0</v>
      </c>
      <c r="AA282" s="1894">
        <v>0</v>
      </c>
      <c r="AB282" s="1894">
        <v>0</v>
      </c>
      <c r="AC282" s="1894">
        <v>0</v>
      </c>
      <c r="AD282" s="1894">
        <f t="shared" si="116"/>
        <v>0</v>
      </c>
      <c r="AE282" s="1894">
        <f t="shared" si="117"/>
        <v>0</v>
      </c>
      <c r="AF282" s="1894">
        <v>0</v>
      </c>
      <c r="AG282" s="1894">
        <v>0</v>
      </c>
      <c r="AH282" s="1894">
        <v>0</v>
      </c>
      <c r="AI282" s="1894">
        <v>0</v>
      </c>
      <c r="AJ282" s="1894">
        <v>0</v>
      </c>
      <c r="AK282" s="1894">
        <v>0</v>
      </c>
      <c r="AL282" s="1894">
        <f t="shared" si="110"/>
        <v>0</v>
      </c>
      <c r="AM282" s="1894">
        <f t="shared" si="111"/>
        <v>0</v>
      </c>
      <c r="AN282" s="1894">
        <v>0</v>
      </c>
      <c r="AO282" s="1894">
        <v>0</v>
      </c>
      <c r="AP282" s="1894">
        <v>0</v>
      </c>
      <c r="AQ282" s="1894">
        <v>0</v>
      </c>
      <c r="AR282" s="1894">
        <v>0</v>
      </c>
      <c r="AS282" s="1894">
        <v>0</v>
      </c>
      <c r="AT282" s="1894">
        <f t="shared" si="118"/>
        <v>0</v>
      </c>
      <c r="AU282" s="1894">
        <f t="shared" si="119"/>
        <v>0</v>
      </c>
      <c r="AV282" s="1894">
        <v>0</v>
      </c>
      <c r="AW282" s="1894">
        <v>0</v>
      </c>
      <c r="AX282" s="1894">
        <v>0</v>
      </c>
      <c r="AY282" s="1894">
        <v>0</v>
      </c>
      <c r="AZ282" s="1894">
        <v>0</v>
      </c>
      <c r="BA282" s="1894">
        <v>0</v>
      </c>
      <c r="BB282" s="1894">
        <f t="shared" si="120"/>
        <v>0</v>
      </c>
      <c r="BC282" s="1894">
        <f t="shared" si="121"/>
        <v>0</v>
      </c>
      <c r="BD282" s="1894">
        <v>200</v>
      </c>
      <c r="BE282" s="1894">
        <v>47.89</v>
      </c>
      <c r="BF282" s="1894">
        <v>200</v>
      </c>
      <c r="BG282" s="1894">
        <v>0.75</v>
      </c>
      <c r="BH282" s="1894">
        <v>8.9</v>
      </c>
      <c r="BI282" s="1894">
        <v>2661</v>
      </c>
      <c r="BJ282" s="1894">
        <f t="shared" si="122"/>
        <v>21378</v>
      </c>
      <c r="BK282" s="1894">
        <f t="shared" si="123"/>
        <v>0</v>
      </c>
      <c r="BL282" s="1894">
        <v>200</v>
      </c>
      <c r="BM282" s="1894">
        <v>26.57</v>
      </c>
      <c r="BN282" s="1894">
        <v>200</v>
      </c>
      <c r="BO282" s="1894">
        <v>0.30549999999999999</v>
      </c>
      <c r="BP282" s="1894">
        <v>23.98</v>
      </c>
      <c r="BQ282" s="1894">
        <v>6270</v>
      </c>
      <c r="BR282" s="1894">
        <f t="shared" si="124"/>
        <v>11478</v>
      </c>
      <c r="BS282" s="1894">
        <f t="shared" si="125"/>
        <v>0</v>
      </c>
      <c r="BT282" s="1894">
        <v>200</v>
      </c>
      <c r="BU282" s="1894">
        <v>35.69</v>
      </c>
      <c r="BV282" s="1894">
        <v>200</v>
      </c>
      <c r="BW282" s="1894">
        <v>0.192</v>
      </c>
      <c r="BX282" s="1894">
        <v>21.62</v>
      </c>
      <c r="BY282" s="1894">
        <v>5740</v>
      </c>
      <c r="BZ282" s="1894">
        <f t="shared" si="126"/>
        <v>15932</v>
      </c>
      <c r="CA282" s="1894">
        <f t="shared" si="127"/>
        <v>0</v>
      </c>
      <c r="CB282" s="1894">
        <v>200</v>
      </c>
      <c r="CC282" s="1894">
        <v>10.73</v>
      </c>
      <c r="CD282" s="1894">
        <v>200</v>
      </c>
      <c r="CE282" s="1894">
        <v>0.19980000000000001</v>
      </c>
      <c r="CF282" s="1894">
        <v>31.68</v>
      </c>
      <c r="CG282" s="1894">
        <v>2529</v>
      </c>
      <c r="CH282" s="1894">
        <f t="shared" si="128"/>
        <v>4790</v>
      </c>
      <c r="CI282" s="1894">
        <f t="shared" si="129"/>
        <v>0</v>
      </c>
      <c r="CJ282" s="1894">
        <v>200</v>
      </c>
      <c r="CK282" s="1894">
        <v>91.13</v>
      </c>
      <c r="CL282" s="1894">
        <v>200</v>
      </c>
      <c r="CM282" s="1894">
        <v>0.68689999999999996</v>
      </c>
      <c r="CN282" s="1894">
        <v>8.91</v>
      </c>
      <c r="CO282" s="1894">
        <v>5455</v>
      </c>
      <c r="CP282" s="1894">
        <f t="shared" si="130"/>
        <v>36744</v>
      </c>
      <c r="CQ282" s="1894">
        <f t="shared" si="131"/>
        <v>0</v>
      </c>
      <c r="CR282" s="1924">
        <v>200</v>
      </c>
      <c r="CS282" s="1924">
        <v>118.37</v>
      </c>
      <c r="CT282" s="1924">
        <v>200</v>
      </c>
      <c r="CU282" s="1924">
        <v>0.70020000000000004</v>
      </c>
      <c r="CV282" s="1924">
        <v>10.15</v>
      </c>
      <c r="CW282" s="1924">
        <v>8936</v>
      </c>
      <c r="CX282" s="1894">
        <f t="shared" si="132"/>
        <v>52840</v>
      </c>
      <c r="CY282" s="1894">
        <f t="shared" si="133"/>
        <v>0</v>
      </c>
    </row>
    <row r="283" spans="1:103">
      <c r="A283" s="982">
        <v>123000000134</v>
      </c>
      <c r="B283" s="1923">
        <f t="shared" si="134"/>
        <v>277</v>
      </c>
      <c r="C283" s="1895" t="s">
        <v>3166</v>
      </c>
      <c r="D283" s="1894" t="s">
        <v>524</v>
      </c>
      <c r="E283" s="1895" t="s">
        <v>541</v>
      </c>
      <c r="F283" s="1894" t="s">
        <v>259</v>
      </c>
      <c r="G283" s="1924">
        <v>200</v>
      </c>
      <c r="H283" s="1894">
        <v>0</v>
      </c>
      <c r="I283" s="1894">
        <v>0</v>
      </c>
      <c r="J283" s="1894">
        <v>0</v>
      </c>
      <c r="K283" s="1894">
        <v>0</v>
      </c>
      <c r="L283" s="1894">
        <v>0</v>
      </c>
      <c r="M283" s="1894">
        <v>0</v>
      </c>
      <c r="N283" s="1894">
        <f t="shared" si="112"/>
        <v>0</v>
      </c>
      <c r="O283" s="1894">
        <f t="shared" si="113"/>
        <v>0</v>
      </c>
      <c r="P283" s="1894">
        <v>0</v>
      </c>
      <c r="Q283" s="1894">
        <v>0</v>
      </c>
      <c r="R283" s="1894">
        <v>0</v>
      </c>
      <c r="S283" s="1894">
        <v>0</v>
      </c>
      <c r="T283" s="1894">
        <v>0</v>
      </c>
      <c r="U283" s="1894">
        <v>0</v>
      </c>
      <c r="V283" s="1894">
        <f t="shared" si="114"/>
        <v>0</v>
      </c>
      <c r="W283" s="1894">
        <f t="shared" si="115"/>
        <v>0</v>
      </c>
      <c r="X283" s="1894">
        <v>200</v>
      </c>
      <c r="Y283" s="1894">
        <v>68</v>
      </c>
      <c r="Z283" s="1894">
        <v>160</v>
      </c>
      <c r="AA283" s="1894">
        <v>0.95630000000000004</v>
      </c>
      <c r="AB283" s="1894">
        <v>34.549999999999997</v>
      </c>
      <c r="AC283" s="1894">
        <v>21428</v>
      </c>
      <c r="AD283" s="1894">
        <f t="shared" si="116"/>
        <v>29376</v>
      </c>
      <c r="AE283" s="1894">
        <f t="shared" si="117"/>
        <v>0</v>
      </c>
      <c r="AF283" s="1894">
        <v>200</v>
      </c>
      <c r="AG283" s="1894">
        <v>63.519999999999996</v>
      </c>
      <c r="AH283" s="1894">
        <v>160</v>
      </c>
      <c r="AI283" s="1894">
        <v>0.97370000000000001</v>
      </c>
      <c r="AJ283" s="1894">
        <v>41.49</v>
      </c>
      <c r="AK283" s="1894">
        <v>19610</v>
      </c>
      <c r="AL283" s="1894">
        <f t="shared" si="110"/>
        <v>28355</v>
      </c>
      <c r="AM283" s="1894">
        <f t="shared" si="111"/>
        <v>0</v>
      </c>
      <c r="AN283" s="1894">
        <v>200</v>
      </c>
      <c r="AO283" s="1894">
        <v>29.599999999999998</v>
      </c>
      <c r="AP283" s="1894">
        <v>160</v>
      </c>
      <c r="AQ283" s="1894">
        <v>0.94579999999999997</v>
      </c>
      <c r="AR283" s="1894">
        <v>88.35</v>
      </c>
      <c r="AS283" s="1894">
        <v>19456</v>
      </c>
      <c r="AT283" s="1894">
        <f t="shared" si="118"/>
        <v>13213</v>
      </c>
      <c r="AU283" s="1894">
        <f t="shared" si="119"/>
        <v>6243</v>
      </c>
      <c r="AV283" s="1894">
        <v>200</v>
      </c>
      <c r="AW283" s="1894">
        <v>75.2</v>
      </c>
      <c r="AX283" s="1894">
        <v>160</v>
      </c>
      <c r="AY283" s="1894">
        <v>0.98909999999999998</v>
      </c>
      <c r="AZ283" s="1894">
        <v>37.74</v>
      </c>
      <c r="BA283" s="1894">
        <v>20434</v>
      </c>
      <c r="BB283" s="1894">
        <f t="shared" si="120"/>
        <v>32486</v>
      </c>
      <c r="BC283" s="1894">
        <f t="shared" si="121"/>
        <v>0</v>
      </c>
      <c r="BD283" s="1894">
        <v>200</v>
      </c>
      <c r="BE283" s="1894">
        <v>78.08</v>
      </c>
      <c r="BF283" s="1894">
        <v>160</v>
      </c>
      <c r="BG283" s="1894">
        <v>0.98650000000000004</v>
      </c>
      <c r="BH283" s="1894">
        <v>38.58</v>
      </c>
      <c r="BI283" s="1894">
        <v>22414</v>
      </c>
      <c r="BJ283" s="1894">
        <f t="shared" si="122"/>
        <v>34855</v>
      </c>
      <c r="BK283" s="1894">
        <f t="shared" si="123"/>
        <v>0</v>
      </c>
      <c r="BL283" s="1894">
        <v>200</v>
      </c>
      <c r="BM283" s="1894">
        <v>74.239999999999995</v>
      </c>
      <c r="BN283" s="1894">
        <v>160</v>
      </c>
      <c r="BO283" s="1894">
        <v>0.98580000000000001</v>
      </c>
      <c r="BP283" s="1894">
        <v>46.12</v>
      </c>
      <c r="BQ283" s="1894">
        <v>24654</v>
      </c>
      <c r="BR283" s="1894">
        <f t="shared" si="124"/>
        <v>32072</v>
      </c>
      <c r="BS283" s="1894">
        <f t="shared" si="125"/>
        <v>0</v>
      </c>
      <c r="BT283" s="1894">
        <v>200</v>
      </c>
      <c r="BU283" s="1894">
        <v>83.04</v>
      </c>
      <c r="BV283" s="1894">
        <v>160</v>
      </c>
      <c r="BW283" s="1894">
        <v>0.97829999999999995</v>
      </c>
      <c r="BX283" s="1894">
        <v>34.799999999999997</v>
      </c>
      <c r="BY283" s="1894">
        <v>21498</v>
      </c>
      <c r="BZ283" s="1894">
        <f t="shared" si="126"/>
        <v>37069</v>
      </c>
      <c r="CA283" s="1894">
        <f t="shared" si="127"/>
        <v>0</v>
      </c>
      <c r="CB283" s="1894">
        <v>200</v>
      </c>
      <c r="CC283" s="1894">
        <v>89.44</v>
      </c>
      <c r="CD283" s="1894">
        <v>160</v>
      </c>
      <c r="CE283" s="1894">
        <v>0.94</v>
      </c>
      <c r="CF283" s="1894">
        <v>27.58</v>
      </c>
      <c r="CG283" s="1894">
        <v>18354</v>
      </c>
      <c r="CH283" s="1894">
        <f t="shared" si="128"/>
        <v>39926</v>
      </c>
      <c r="CI283" s="1894">
        <f t="shared" si="129"/>
        <v>0</v>
      </c>
      <c r="CJ283" s="1894">
        <v>200</v>
      </c>
      <c r="CK283" s="1894">
        <v>68.64</v>
      </c>
      <c r="CL283" s="1894">
        <v>160</v>
      </c>
      <c r="CM283" s="1894">
        <v>0.97850000000000004</v>
      </c>
      <c r="CN283" s="1894">
        <v>33.950000000000003</v>
      </c>
      <c r="CO283" s="1894">
        <v>15658</v>
      </c>
      <c r="CP283" s="1894">
        <f t="shared" si="130"/>
        <v>27676</v>
      </c>
      <c r="CQ283" s="1894">
        <f t="shared" si="131"/>
        <v>0</v>
      </c>
      <c r="CR283" s="1924">
        <v>200</v>
      </c>
      <c r="CS283" s="1924">
        <v>70.399999999999991</v>
      </c>
      <c r="CT283" s="1924">
        <v>160</v>
      </c>
      <c r="CU283" s="1924">
        <v>0.98229999999999995</v>
      </c>
      <c r="CV283" s="1924">
        <v>40.49</v>
      </c>
      <c r="CW283" s="1924">
        <v>21210</v>
      </c>
      <c r="CX283" s="1894">
        <f t="shared" si="132"/>
        <v>31427</v>
      </c>
      <c r="CY283" s="1894">
        <f t="shared" si="133"/>
        <v>0</v>
      </c>
    </row>
    <row r="284" spans="1:103">
      <c r="A284" s="982">
        <v>124000000077</v>
      </c>
      <c r="B284" s="1923">
        <f t="shared" si="134"/>
        <v>278</v>
      </c>
      <c r="C284" s="1895" t="s">
        <v>3167</v>
      </c>
      <c r="D284" s="1894" t="s">
        <v>524</v>
      </c>
      <c r="E284" s="1895" t="s">
        <v>541</v>
      </c>
      <c r="F284" s="1894" t="s">
        <v>259</v>
      </c>
      <c r="G284" s="1924">
        <v>200</v>
      </c>
      <c r="H284" s="1894">
        <v>0</v>
      </c>
      <c r="I284" s="1894">
        <v>0</v>
      </c>
      <c r="J284" s="1894">
        <v>0</v>
      </c>
      <c r="K284" s="1894">
        <v>0</v>
      </c>
      <c r="L284" s="1894">
        <v>0</v>
      </c>
      <c r="M284" s="1894">
        <v>0</v>
      </c>
      <c r="N284" s="1894">
        <f t="shared" si="112"/>
        <v>0</v>
      </c>
      <c r="O284" s="1894">
        <f t="shared" si="113"/>
        <v>0</v>
      </c>
      <c r="P284" s="1894">
        <v>0</v>
      </c>
      <c r="Q284" s="1894">
        <v>0</v>
      </c>
      <c r="R284" s="1894">
        <v>0</v>
      </c>
      <c r="S284" s="1894">
        <v>0</v>
      </c>
      <c r="T284" s="1894">
        <v>0</v>
      </c>
      <c r="U284" s="1894">
        <v>0</v>
      </c>
      <c r="V284" s="1894">
        <f t="shared" si="114"/>
        <v>0</v>
      </c>
      <c r="W284" s="1894">
        <f t="shared" si="115"/>
        <v>0</v>
      </c>
      <c r="X284" s="1894">
        <v>0</v>
      </c>
      <c r="Y284" s="1894">
        <v>0</v>
      </c>
      <c r="Z284" s="1894">
        <v>0</v>
      </c>
      <c r="AA284" s="1894">
        <v>0</v>
      </c>
      <c r="AB284" s="1894">
        <v>0</v>
      </c>
      <c r="AC284" s="1894">
        <v>0</v>
      </c>
      <c r="AD284" s="1894">
        <f t="shared" si="116"/>
        <v>0</v>
      </c>
      <c r="AE284" s="1894">
        <f t="shared" si="117"/>
        <v>0</v>
      </c>
      <c r="AF284" s="1894">
        <v>0</v>
      </c>
      <c r="AG284" s="1894">
        <v>0</v>
      </c>
      <c r="AH284" s="1894">
        <v>0</v>
      </c>
      <c r="AI284" s="1894">
        <v>0</v>
      </c>
      <c r="AJ284" s="1894">
        <v>0</v>
      </c>
      <c r="AK284" s="1894">
        <v>0</v>
      </c>
      <c r="AL284" s="1894">
        <f t="shared" si="110"/>
        <v>0</v>
      </c>
      <c r="AM284" s="1894">
        <f t="shared" si="111"/>
        <v>0</v>
      </c>
      <c r="AN284" s="1894">
        <v>0</v>
      </c>
      <c r="AO284" s="1894">
        <v>0</v>
      </c>
      <c r="AP284" s="1894">
        <v>0</v>
      </c>
      <c r="AQ284" s="1894">
        <v>0</v>
      </c>
      <c r="AR284" s="1894">
        <v>0</v>
      </c>
      <c r="AS284" s="1894">
        <v>0</v>
      </c>
      <c r="AT284" s="1894">
        <f t="shared" si="118"/>
        <v>0</v>
      </c>
      <c r="AU284" s="1894">
        <f t="shared" si="119"/>
        <v>0</v>
      </c>
      <c r="AV284" s="1894">
        <v>0</v>
      </c>
      <c r="AW284" s="1894">
        <v>0</v>
      </c>
      <c r="AX284" s="1894">
        <v>0</v>
      </c>
      <c r="AY284" s="1894">
        <v>0</v>
      </c>
      <c r="AZ284" s="1894">
        <v>0</v>
      </c>
      <c r="BA284" s="1894">
        <v>0</v>
      </c>
      <c r="BB284" s="1894">
        <f t="shared" si="120"/>
        <v>0</v>
      </c>
      <c r="BC284" s="1894">
        <f t="shared" si="121"/>
        <v>0</v>
      </c>
      <c r="BD284" s="1894">
        <v>0</v>
      </c>
      <c r="BE284" s="1894">
        <v>0</v>
      </c>
      <c r="BF284" s="1894">
        <v>0</v>
      </c>
      <c r="BG284" s="1894">
        <v>0</v>
      </c>
      <c r="BH284" s="1894">
        <v>0</v>
      </c>
      <c r="BI284" s="1894">
        <v>0</v>
      </c>
      <c r="BJ284" s="1894">
        <f t="shared" si="122"/>
        <v>0</v>
      </c>
      <c r="BK284" s="1894">
        <f t="shared" si="123"/>
        <v>0</v>
      </c>
      <c r="BL284" s="1894">
        <v>0</v>
      </c>
      <c r="BM284" s="1894">
        <v>0</v>
      </c>
      <c r="BN284" s="1894">
        <v>0</v>
      </c>
      <c r="BO284" s="1894">
        <v>0</v>
      </c>
      <c r="BP284" s="1894">
        <v>0</v>
      </c>
      <c r="BQ284" s="1894">
        <v>0</v>
      </c>
      <c r="BR284" s="1894">
        <f t="shared" si="124"/>
        <v>0</v>
      </c>
      <c r="BS284" s="1894">
        <f t="shared" si="125"/>
        <v>0</v>
      </c>
      <c r="BT284" s="1894">
        <v>0</v>
      </c>
      <c r="BU284" s="1894">
        <v>0</v>
      </c>
      <c r="BV284" s="1894">
        <v>0</v>
      </c>
      <c r="BW284" s="1894">
        <v>0</v>
      </c>
      <c r="BX284" s="1894">
        <v>0</v>
      </c>
      <c r="BY284" s="1894">
        <v>0</v>
      </c>
      <c r="BZ284" s="1894">
        <f t="shared" si="126"/>
        <v>0</v>
      </c>
      <c r="CA284" s="1894">
        <f t="shared" si="127"/>
        <v>0</v>
      </c>
      <c r="CB284" s="1894">
        <v>200</v>
      </c>
      <c r="CC284" s="1894">
        <v>118.80000000000001</v>
      </c>
      <c r="CD284" s="1894">
        <v>160</v>
      </c>
      <c r="CE284" s="1894">
        <v>0.99850000000000005</v>
      </c>
      <c r="CF284" s="1894">
        <v>29.44</v>
      </c>
      <c r="CG284" s="1894">
        <v>26865</v>
      </c>
      <c r="CH284" s="1894">
        <f t="shared" si="128"/>
        <v>53032</v>
      </c>
      <c r="CI284" s="1894">
        <f t="shared" si="129"/>
        <v>0</v>
      </c>
      <c r="CJ284" s="1894">
        <v>200</v>
      </c>
      <c r="CK284" s="1894">
        <v>120.11999999999999</v>
      </c>
      <c r="CL284" s="1894">
        <v>160</v>
      </c>
      <c r="CM284" s="1894">
        <v>0.99960000000000004</v>
      </c>
      <c r="CN284" s="1894">
        <v>59.72</v>
      </c>
      <c r="CO284" s="1894">
        <v>48210</v>
      </c>
      <c r="CP284" s="1894">
        <f t="shared" si="130"/>
        <v>48432</v>
      </c>
      <c r="CQ284" s="1894">
        <f t="shared" si="131"/>
        <v>0</v>
      </c>
      <c r="CR284" s="1924">
        <v>200</v>
      </c>
      <c r="CS284" s="1924">
        <v>126.47999999999999</v>
      </c>
      <c r="CT284" s="1924">
        <v>160</v>
      </c>
      <c r="CU284" s="1924">
        <v>0.99960000000000004</v>
      </c>
      <c r="CV284" s="1924">
        <v>51.11</v>
      </c>
      <c r="CW284" s="1924">
        <v>43437</v>
      </c>
      <c r="CX284" s="1894">
        <f t="shared" si="132"/>
        <v>56461</v>
      </c>
      <c r="CY284" s="1894">
        <f t="shared" si="133"/>
        <v>0</v>
      </c>
    </row>
    <row r="285" spans="1:103">
      <c r="A285" s="982">
        <v>621000000060</v>
      </c>
      <c r="B285" s="1923">
        <f t="shared" si="134"/>
        <v>279</v>
      </c>
      <c r="C285" s="1895" t="s">
        <v>3168</v>
      </c>
      <c r="D285" s="1894" t="s">
        <v>524</v>
      </c>
      <c r="E285" s="1895" t="s">
        <v>2966</v>
      </c>
      <c r="F285" s="1894" t="s">
        <v>259</v>
      </c>
      <c r="G285" s="1924">
        <v>200</v>
      </c>
      <c r="H285" s="1894">
        <v>200</v>
      </c>
      <c r="I285" s="1894">
        <v>54</v>
      </c>
      <c r="J285" s="1894">
        <v>200</v>
      </c>
      <c r="K285" s="1894">
        <v>0.95140000000000002</v>
      </c>
      <c r="L285" s="1894">
        <v>29.73</v>
      </c>
      <c r="M285" s="1894">
        <v>11559</v>
      </c>
      <c r="N285" s="1894">
        <f t="shared" si="112"/>
        <v>23328</v>
      </c>
      <c r="O285" s="1894">
        <f t="shared" si="113"/>
        <v>0</v>
      </c>
      <c r="P285" s="1894">
        <v>200</v>
      </c>
      <c r="Q285" s="1894">
        <v>54.400000000000006</v>
      </c>
      <c r="R285" s="1894">
        <v>200</v>
      </c>
      <c r="S285" s="1894">
        <v>0.98340000000000005</v>
      </c>
      <c r="T285" s="1894">
        <v>187.79</v>
      </c>
      <c r="U285" s="1894">
        <v>63746</v>
      </c>
      <c r="V285" s="1894">
        <f t="shared" si="114"/>
        <v>24284</v>
      </c>
      <c r="W285" s="1894">
        <f t="shared" si="115"/>
        <v>39462</v>
      </c>
      <c r="X285" s="1894">
        <v>200</v>
      </c>
      <c r="Y285" s="1894">
        <v>73.92</v>
      </c>
      <c r="Z285" s="1894">
        <v>200</v>
      </c>
      <c r="AA285" s="1894">
        <v>0.96579999999999999</v>
      </c>
      <c r="AB285" s="1894">
        <v>22.82</v>
      </c>
      <c r="AC285" s="1894">
        <v>14168</v>
      </c>
      <c r="AD285" s="1894">
        <f t="shared" si="116"/>
        <v>31933</v>
      </c>
      <c r="AE285" s="1894">
        <f t="shared" si="117"/>
        <v>0</v>
      </c>
      <c r="AF285" s="1894">
        <v>200</v>
      </c>
      <c r="AG285" s="1894">
        <v>60.96</v>
      </c>
      <c r="AH285" s="1894">
        <v>200</v>
      </c>
      <c r="AI285" s="1894">
        <v>0.94</v>
      </c>
      <c r="AJ285" s="1894">
        <v>21.11</v>
      </c>
      <c r="AK285" s="1894">
        <v>9576</v>
      </c>
      <c r="AL285" s="1894">
        <f t="shared" si="110"/>
        <v>27213</v>
      </c>
      <c r="AM285" s="1894">
        <f t="shared" si="111"/>
        <v>0</v>
      </c>
      <c r="AN285" s="1894">
        <v>200</v>
      </c>
      <c r="AO285" s="1894">
        <v>90.08</v>
      </c>
      <c r="AP285" s="1894">
        <v>200</v>
      </c>
      <c r="AQ285" s="1894">
        <v>0.97189999999999999</v>
      </c>
      <c r="AR285" s="1894">
        <v>32.450000000000003</v>
      </c>
      <c r="AS285" s="1894">
        <v>21750</v>
      </c>
      <c r="AT285" s="1894">
        <f t="shared" si="118"/>
        <v>40212</v>
      </c>
      <c r="AU285" s="1894">
        <f t="shared" si="119"/>
        <v>0</v>
      </c>
      <c r="AV285" s="1894">
        <v>200</v>
      </c>
      <c r="AW285" s="1894">
        <v>63.04</v>
      </c>
      <c r="AX285" s="1894">
        <v>200</v>
      </c>
      <c r="AY285" s="1894">
        <v>0.93389999999999995</v>
      </c>
      <c r="AZ285" s="1894">
        <v>24.36</v>
      </c>
      <c r="BA285" s="1894">
        <v>11058</v>
      </c>
      <c r="BB285" s="1894">
        <f t="shared" si="120"/>
        <v>27233</v>
      </c>
      <c r="BC285" s="1894">
        <f t="shared" si="121"/>
        <v>0</v>
      </c>
      <c r="BD285" s="1894">
        <v>200</v>
      </c>
      <c r="BE285" s="1894">
        <v>91.84</v>
      </c>
      <c r="BF285" s="1894">
        <v>200</v>
      </c>
      <c r="BG285" s="1894">
        <v>0.94089999999999996</v>
      </c>
      <c r="BH285" s="1894">
        <v>22.74</v>
      </c>
      <c r="BI285" s="1894">
        <v>15540</v>
      </c>
      <c r="BJ285" s="1894">
        <f t="shared" si="122"/>
        <v>40997</v>
      </c>
      <c r="BK285" s="1894">
        <f t="shared" si="123"/>
        <v>0</v>
      </c>
      <c r="BL285" s="1894">
        <v>200</v>
      </c>
      <c r="BM285" s="1894">
        <v>97.92</v>
      </c>
      <c r="BN285" s="1894">
        <v>200</v>
      </c>
      <c r="BO285" s="1894">
        <v>0.97689999999999999</v>
      </c>
      <c r="BP285" s="1894">
        <v>37.6</v>
      </c>
      <c r="BQ285" s="1894">
        <v>26510</v>
      </c>
      <c r="BR285" s="1894">
        <f t="shared" si="124"/>
        <v>42301</v>
      </c>
      <c r="BS285" s="1894">
        <f t="shared" si="125"/>
        <v>0</v>
      </c>
      <c r="BT285" s="1894">
        <v>200</v>
      </c>
      <c r="BU285" s="1894">
        <v>47.199999999999996</v>
      </c>
      <c r="BV285" s="1894">
        <v>200</v>
      </c>
      <c r="BW285" s="1894">
        <v>0.88490000000000002</v>
      </c>
      <c r="BX285" s="1894">
        <v>19.399999999999999</v>
      </c>
      <c r="BY285" s="1894">
        <v>6812</v>
      </c>
      <c r="BZ285" s="1894">
        <f t="shared" si="126"/>
        <v>21070</v>
      </c>
      <c r="CA285" s="1894">
        <f t="shared" si="127"/>
        <v>0</v>
      </c>
      <c r="CB285" s="1894">
        <v>200</v>
      </c>
      <c r="CC285" s="1894">
        <v>47.199999999999996</v>
      </c>
      <c r="CD285" s="1894">
        <v>200</v>
      </c>
      <c r="CE285" s="1894">
        <v>0.89439999999999997</v>
      </c>
      <c r="CF285" s="1894">
        <v>21.58</v>
      </c>
      <c r="CG285" s="1894">
        <v>7578</v>
      </c>
      <c r="CH285" s="1894">
        <f t="shared" si="128"/>
        <v>21070</v>
      </c>
      <c r="CI285" s="1894">
        <f t="shared" si="129"/>
        <v>0</v>
      </c>
      <c r="CJ285" s="1894">
        <v>200</v>
      </c>
      <c r="CK285" s="1894">
        <v>56.64</v>
      </c>
      <c r="CL285" s="1894">
        <v>200</v>
      </c>
      <c r="CM285" s="1894">
        <v>0.92830000000000001</v>
      </c>
      <c r="CN285" s="1894">
        <v>22.08</v>
      </c>
      <c r="CO285" s="1894">
        <v>8404</v>
      </c>
      <c r="CP285" s="1894">
        <f t="shared" si="130"/>
        <v>22837</v>
      </c>
      <c r="CQ285" s="1894">
        <f t="shared" si="131"/>
        <v>0</v>
      </c>
      <c r="CR285" s="1924">
        <v>200</v>
      </c>
      <c r="CS285" s="1924">
        <v>95.679999999999993</v>
      </c>
      <c r="CT285" s="1924">
        <v>200</v>
      </c>
      <c r="CU285" s="1924">
        <v>0.98470000000000002</v>
      </c>
      <c r="CV285" s="1924">
        <v>39.58</v>
      </c>
      <c r="CW285" s="1924">
        <v>28176</v>
      </c>
      <c r="CX285" s="1894">
        <f t="shared" si="132"/>
        <v>42712</v>
      </c>
      <c r="CY285" s="1894">
        <f t="shared" si="133"/>
        <v>0</v>
      </c>
    </row>
    <row r="286" spans="1:103">
      <c r="A286" s="982">
        <v>124000000070</v>
      </c>
      <c r="B286" s="1923">
        <f t="shared" si="134"/>
        <v>280</v>
      </c>
      <c r="C286" s="1895" t="s">
        <v>3169</v>
      </c>
      <c r="D286" s="1894" t="s">
        <v>524</v>
      </c>
      <c r="E286" s="1895" t="s">
        <v>737</v>
      </c>
      <c r="F286" s="1894" t="s">
        <v>259</v>
      </c>
      <c r="G286" s="1924">
        <v>200</v>
      </c>
      <c r="H286" s="1894">
        <v>200</v>
      </c>
      <c r="I286" s="1894">
        <v>34</v>
      </c>
      <c r="J286" s="1894">
        <v>160</v>
      </c>
      <c r="K286" s="1894">
        <v>0.92190000000000005</v>
      </c>
      <c r="L286" s="1894">
        <v>19.579999999999998</v>
      </c>
      <c r="M286" s="1894">
        <v>4794</v>
      </c>
      <c r="N286" s="1894">
        <f t="shared" si="112"/>
        <v>14688</v>
      </c>
      <c r="O286" s="1894">
        <f t="shared" si="113"/>
        <v>0</v>
      </c>
      <c r="P286" s="1894">
        <v>200</v>
      </c>
      <c r="Q286" s="1894">
        <v>40</v>
      </c>
      <c r="R286" s="1894">
        <v>160</v>
      </c>
      <c r="S286" s="1894">
        <v>0.94740000000000002</v>
      </c>
      <c r="T286" s="1894">
        <v>38.909999999999997</v>
      </c>
      <c r="U286" s="1894">
        <v>9712</v>
      </c>
      <c r="V286" s="1894">
        <f t="shared" si="114"/>
        <v>17856</v>
      </c>
      <c r="W286" s="1894">
        <f t="shared" si="115"/>
        <v>0</v>
      </c>
      <c r="X286" s="1894">
        <v>200</v>
      </c>
      <c r="Y286" s="1894">
        <v>43.84</v>
      </c>
      <c r="Z286" s="1894">
        <v>160</v>
      </c>
      <c r="AA286" s="1894">
        <v>0.95960000000000001</v>
      </c>
      <c r="AB286" s="1894">
        <v>20.51</v>
      </c>
      <c r="AC286" s="1894">
        <v>7338</v>
      </c>
      <c r="AD286" s="1894">
        <f t="shared" si="116"/>
        <v>18939</v>
      </c>
      <c r="AE286" s="1894">
        <f t="shared" si="117"/>
        <v>0</v>
      </c>
      <c r="AF286" s="1894">
        <v>200</v>
      </c>
      <c r="AG286" s="1894">
        <v>120.96000000000001</v>
      </c>
      <c r="AH286" s="1894">
        <v>160</v>
      </c>
      <c r="AI286" s="1894">
        <v>0.94850000000000001</v>
      </c>
      <c r="AJ286" s="1894">
        <v>28.81</v>
      </c>
      <c r="AK286" s="1894">
        <v>22583</v>
      </c>
      <c r="AL286" s="1894">
        <f t="shared" si="110"/>
        <v>53997</v>
      </c>
      <c r="AM286" s="1894">
        <f t="shared" si="111"/>
        <v>0</v>
      </c>
      <c r="AN286" s="1894">
        <v>200</v>
      </c>
      <c r="AO286" s="1894">
        <v>134.63999999999999</v>
      </c>
      <c r="AP286" s="1894">
        <v>160</v>
      </c>
      <c r="AQ286" s="1894">
        <v>0.94550000000000001</v>
      </c>
      <c r="AR286" s="1894">
        <v>25.01</v>
      </c>
      <c r="AS286" s="1894">
        <v>25058</v>
      </c>
      <c r="AT286" s="1894">
        <f t="shared" si="118"/>
        <v>60103</v>
      </c>
      <c r="AU286" s="1894">
        <f t="shared" si="119"/>
        <v>0</v>
      </c>
      <c r="AV286" s="1894">
        <v>200</v>
      </c>
      <c r="AW286" s="1894">
        <v>88.080000000000013</v>
      </c>
      <c r="AX286" s="1894">
        <v>160</v>
      </c>
      <c r="AY286" s="1894">
        <v>0.94220000000000004</v>
      </c>
      <c r="AZ286" s="1894">
        <v>37.799999999999997</v>
      </c>
      <c r="BA286" s="1894">
        <v>23975</v>
      </c>
      <c r="BB286" s="1894">
        <f t="shared" si="120"/>
        <v>38051</v>
      </c>
      <c r="BC286" s="1894">
        <f t="shared" si="121"/>
        <v>0</v>
      </c>
      <c r="BD286" s="1894">
        <v>200</v>
      </c>
      <c r="BE286" s="1894">
        <v>132.96</v>
      </c>
      <c r="BF286" s="1894">
        <v>160</v>
      </c>
      <c r="BG286" s="1894">
        <v>0.93520000000000003</v>
      </c>
      <c r="BH286" s="1894">
        <v>29.49</v>
      </c>
      <c r="BI286" s="1894">
        <v>28227</v>
      </c>
      <c r="BJ286" s="1894">
        <f t="shared" si="122"/>
        <v>59353</v>
      </c>
      <c r="BK286" s="1894">
        <f t="shared" si="123"/>
        <v>0</v>
      </c>
      <c r="BL286" s="1894">
        <v>200</v>
      </c>
      <c r="BM286" s="1894">
        <v>102.60000000000001</v>
      </c>
      <c r="BN286" s="1894">
        <v>160</v>
      </c>
      <c r="BO286" s="1894">
        <v>0.91879999999999995</v>
      </c>
      <c r="BP286" s="1894">
        <v>34.770000000000003</v>
      </c>
      <c r="BQ286" s="1894">
        <v>27399</v>
      </c>
      <c r="BR286" s="1894">
        <f t="shared" si="124"/>
        <v>44323</v>
      </c>
      <c r="BS286" s="1894">
        <f t="shared" si="125"/>
        <v>0</v>
      </c>
      <c r="BT286" s="1894">
        <v>200</v>
      </c>
      <c r="BU286" s="1894">
        <v>138.84</v>
      </c>
      <c r="BV286" s="1894">
        <v>160</v>
      </c>
      <c r="BW286" s="1894">
        <v>0.89690000000000003</v>
      </c>
      <c r="BX286" s="1894">
        <v>26.2</v>
      </c>
      <c r="BY286" s="1894">
        <v>27068</v>
      </c>
      <c r="BZ286" s="1894">
        <f t="shared" si="126"/>
        <v>61978</v>
      </c>
      <c r="CA286" s="1894">
        <f t="shared" si="127"/>
        <v>0</v>
      </c>
      <c r="CB286" s="1894">
        <v>200</v>
      </c>
      <c r="CC286" s="1894">
        <v>137.04</v>
      </c>
      <c r="CD286" s="1894">
        <v>160</v>
      </c>
      <c r="CE286" s="1894">
        <v>0.89580000000000004</v>
      </c>
      <c r="CF286" s="1894">
        <v>25.3</v>
      </c>
      <c r="CG286" s="1894">
        <v>29123</v>
      </c>
      <c r="CH286" s="1894">
        <f t="shared" si="128"/>
        <v>61175</v>
      </c>
      <c r="CI286" s="1894">
        <f t="shared" si="129"/>
        <v>0</v>
      </c>
      <c r="CJ286" s="1894">
        <v>200</v>
      </c>
      <c r="CK286" s="1894">
        <v>120.60000000000001</v>
      </c>
      <c r="CL286" s="1894">
        <v>160</v>
      </c>
      <c r="CM286" s="1894">
        <v>0.93930000000000002</v>
      </c>
      <c r="CN286" s="1894">
        <v>30.03</v>
      </c>
      <c r="CO286" s="1894">
        <v>24339</v>
      </c>
      <c r="CP286" s="1894">
        <f t="shared" si="130"/>
        <v>48626</v>
      </c>
      <c r="CQ286" s="1894">
        <f t="shared" si="131"/>
        <v>0</v>
      </c>
      <c r="CR286" s="1924">
        <v>200</v>
      </c>
      <c r="CS286" s="1924">
        <v>153.11999999999998</v>
      </c>
      <c r="CT286" s="1924">
        <v>160</v>
      </c>
      <c r="CU286" s="1924">
        <v>0.93500000000000005</v>
      </c>
      <c r="CV286" s="1924">
        <v>30.4</v>
      </c>
      <c r="CW286" s="1924">
        <v>34630</v>
      </c>
      <c r="CX286" s="1894">
        <f t="shared" si="132"/>
        <v>68353</v>
      </c>
      <c r="CY286" s="1894">
        <f t="shared" si="133"/>
        <v>0</v>
      </c>
    </row>
    <row r="287" spans="1:103">
      <c r="A287" s="982">
        <v>622000000193</v>
      </c>
      <c r="B287" s="1923">
        <f t="shared" si="134"/>
        <v>281</v>
      </c>
      <c r="C287" s="1895" t="s">
        <v>690</v>
      </c>
      <c r="D287" s="1894" t="s">
        <v>524</v>
      </c>
      <c r="E287" s="1895" t="s">
        <v>636</v>
      </c>
      <c r="F287" s="1894" t="s">
        <v>259</v>
      </c>
      <c r="G287" s="1924">
        <v>200</v>
      </c>
      <c r="H287" s="1894">
        <v>200</v>
      </c>
      <c r="I287" s="1894">
        <v>196.96</v>
      </c>
      <c r="J287" s="1894">
        <v>196.96</v>
      </c>
      <c r="K287" s="1894">
        <v>0.99299999999999999</v>
      </c>
      <c r="L287" s="1894">
        <v>62.62</v>
      </c>
      <c r="M287" s="1894">
        <v>91758</v>
      </c>
      <c r="N287" s="1894">
        <f t="shared" si="112"/>
        <v>85087</v>
      </c>
      <c r="O287" s="1894">
        <f t="shared" si="113"/>
        <v>6671</v>
      </c>
      <c r="P287" s="1894">
        <v>200</v>
      </c>
      <c r="Q287" s="1894">
        <v>221.11999999999998</v>
      </c>
      <c r="R287" s="1894">
        <v>221.12</v>
      </c>
      <c r="S287" s="1894">
        <v>0.99309999999999998</v>
      </c>
      <c r="T287" s="1894">
        <v>60.72</v>
      </c>
      <c r="U287" s="1894">
        <v>80556</v>
      </c>
      <c r="V287" s="1894">
        <f t="shared" si="114"/>
        <v>98708</v>
      </c>
      <c r="W287" s="1894">
        <f t="shared" si="115"/>
        <v>0</v>
      </c>
      <c r="X287" s="1894">
        <v>200</v>
      </c>
      <c r="Y287" s="1894">
        <v>245.76</v>
      </c>
      <c r="Z287" s="1894">
        <v>245.76</v>
      </c>
      <c r="AA287" s="1894">
        <v>0.99309999999999998</v>
      </c>
      <c r="AB287" s="1894">
        <v>57.01</v>
      </c>
      <c r="AC287" s="1894">
        <v>117686</v>
      </c>
      <c r="AD287" s="1894">
        <f t="shared" si="116"/>
        <v>106168</v>
      </c>
      <c r="AE287" s="1894">
        <f t="shared" si="117"/>
        <v>11518</v>
      </c>
      <c r="AF287" s="1894">
        <v>200</v>
      </c>
      <c r="AG287" s="1894">
        <v>172.32</v>
      </c>
      <c r="AH287" s="1894">
        <v>172.32</v>
      </c>
      <c r="AI287" s="1894">
        <v>0.9909</v>
      </c>
      <c r="AJ287" s="1894">
        <v>58.52</v>
      </c>
      <c r="AK287" s="1894">
        <v>79866</v>
      </c>
      <c r="AL287" s="1894">
        <f t="shared" si="110"/>
        <v>76924</v>
      </c>
      <c r="AM287" s="1894">
        <f t="shared" si="111"/>
        <v>2942</v>
      </c>
      <c r="AN287" s="1894">
        <v>200</v>
      </c>
      <c r="AO287" s="1894">
        <v>197.76</v>
      </c>
      <c r="AP287" s="1894">
        <v>197.76</v>
      </c>
      <c r="AQ287" s="1894">
        <v>0.98929999999999996</v>
      </c>
      <c r="AR287" s="1894">
        <v>54.52</v>
      </c>
      <c r="AS287" s="1894">
        <v>69872</v>
      </c>
      <c r="AT287" s="1894">
        <f t="shared" si="118"/>
        <v>88280</v>
      </c>
      <c r="AU287" s="1894">
        <f t="shared" si="119"/>
        <v>0</v>
      </c>
      <c r="AV287" s="1894">
        <v>200</v>
      </c>
      <c r="AW287" s="1894">
        <v>196.16</v>
      </c>
      <c r="AX287" s="1894">
        <v>196.16</v>
      </c>
      <c r="AY287" s="1894">
        <v>0.98950000000000005</v>
      </c>
      <c r="AZ287" s="1894">
        <v>53.19</v>
      </c>
      <c r="BA287" s="1894">
        <v>85146</v>
      </c>
      <c r="BB287" s="1894">
        <f t="shared" si="120"/>
        <v>84741</v>
      </c>
      <c r="BC287" s="1894">
        <f t="shared" si="121"/>
        <v>405</v>
      </c>
      <c r="BD287" s="1894">
        <v>200</v>
      </c>
      <c r="BE287" s="1894">
        <v>121.92</v>
      </c>
      <c r="BF287" s="1894">
        <v>160</v>
      </c>
      <c r="BG287" s="1894">
        <v>0.97270000000000001</v>
      </c>
      <c r="BH287" s="1894">
        <v>61.58</v>
      </c>
      <c r="BI287" s="1894">
        <v>55862</v>
      </c>
      <c r="BJ287" s="1894">
        <f t="shared" si="122"/>
        <v>54425</v>
      </c>
      <c r="BK287" s="1894">
        <f t="shared" si="123"/>
        <v>1437</v>
      </c>
      <c r="BL287" s="1894">
        <v>200</v>
      </c>
      <c r="BM287" s="1894">
        <v>122.56</v>
      </c>
      <c r="BN287" s="1894">
        <v>160</v>
      </c>
      <c r="BO287" s="1894">
        <v>0.96740000000000004</v>
      </c>
      <c r="BP287" s="1894">
        <v>59.17</v>
      </c>
      <c r="BQ287" s="1894">
        <v>45254</v>
      </c>
      <c r="BR287" s="1894">
        <f t="shared" si="124"/>
        <v>52946</v>
      </c>
      <c r="BS287" s="1894">
        <f t="shared" si="125"/>
        <v>0</v>
      </c>
      <c r="BT287" s="1894">
        <v>200</v>
      </c>
      <c r="BU287" s="1894">
        <v>136.64000000000001</v>
      </c>
      <c r="BV287" s="1894">
        <v>160</v>
      </c>
      <c r="BW287" s="1894">
        <v>0.96970000000000001</v>
      </c>
      <c r="BX287" s="1894">
        <v>58.52</v>
      </c>
      <c r="BY287" s="1894">
        <v>63332</v>
      </c>
      <c r="BZ287" s="1894">
        <f t="shared" si="126"/>
        <v>60996</v>
      </c>
      <c r="CA287" s="1894">
        <f t="shared" si="127"/>
        <v>2336</v>
      </c>
      <c r="CB287" s="1894">
        <v>200</v>
      </c>
      <c r="CC287" s="1894">
        <v>120</v>
      </c>
      <c r="CD287" s="1894">
        <v>160</v>
      </c>
      <c r="CE287" s="1894">
        <v>0.96750000000000003</v>
      </c>
      <c r="CF287" s="1894">
        <v>62.34</v>
      </c>
      <c r="CG287" s="1894">
        <v>53864</v>
      </c>
      <c r="CH287" s="1894">
        <f t="shared" si="128"/>
        <v>53568</v>
      </c>
      <c r="CI287" s="1894">
        <f t="shared" si="129"/>
        <v>296</v>
      </c>
      <c r="CJ287" s="1894">
        <v>200</v>
      </c>
      <c r="CK287" s="1894">
        <v>112.32</v>
      </c>
      <c r="CL287" s="1894">
        <v>160</v>
      </c>
      <c r="CM287" s="1894">
        <v>0.96519999999999995</v>
      </c>
      <c r="CN287" s="1894">
        <v>66.03</v>
      </c>
      <c r="CO287" s="1894">
        <v>51618</v>
      </c>
      <c r="CP287" s="1894">
        <f t="shared" si="130"/>
        <v>45287</v>
      </c>
      <c r="CQ287" s="1894">
        <f t="shared" si="131"/>
        <v>6331</v>
      </c>
      <c r="CR287" s="1924">
        <v>200</v>
      </c>
      <c r="CS287" s="1924">
        <v>119.36</v>
      </c>
      <c r="CT287" s="1924">
        <v>160</v>
      </c>
      <c r="CU287" s="1924">
        <v>0.96560000000000001</v>
      </c>
      <c r="CV287" s="1924">
        <v>63.97</v>
      </c>
      <c r="CW287" s="1924">
        <v>53146</v>
      </c>
      <c r="CX287" s="1894">
        <f t="shared" si="132"/>
        <v>53282</v>
      </c>
      <c r="CY287" s="1894">
        <f t="shared" si="133"/>
        <v>0</v>
      </c>
    </row>
    <row r="288" spans="1:103">
      <c r="A288" s="982">
        <v>622000000215</v>
      </c>
      <c r="B288" s="1923">
        <f t="shared" si="134"/>
        <v>282</v>
      </c>
      <c r="C288" s="1895" t="s">
        <v>3170</v>
      </c>
      <c r="D288" s="1894" t="s">
        <v>524</v>
      </c>
      <c r="E288" s="1895" t="s">
        <v>541</v>
      </c>
      <c r="F288" s="1894" t="s">
        <v>259</v>
      </c>
      <c r="G288" s="1924">
        <v>200</v>
      </c>
      <c r="H288" s="1894">
        <v>0</v>
      </c>
      <c r="I288" s="1894">
        <v>0</v>
      </c>
      <c r="J288" s="1894">
        <v>0</v>
      </c>
      <c r="K288" s="1894">
        <v>0</v>
      </c>
      <c r="L288" s="1894">
        <v>0</v>
      </c>
      <c r="M288" s="1894">
        <v>0</v>
      </c>
      <c r="N288" s="1894">
        <f t="shared" si="112"/>
        <v>0</v>
      </c>
      <c r="O288" s="1894">
        <f t="shared" si="113"/>
        <v>0</v>
      </c>
      <c r="P288" s="1894">
        <v>0</v>
      </c>
      <c r="Q288" s="1894">
        <v>0</v>
      </c>
      <c r="R288" s="1894">
        <v>0</v>
      </c>
      <c r="S288" s="1894">
        <v>0</v>
      </c>
      <c r="T288" s="1894">
        <v>0</v>
      </c>
      <c r="U288" s="1894">
        <v>0</v>
      </c>
      <c r="V288" s="1894">
        <f t="shared" si="114"/>
        <v>0</v>
      </c>
      <c r="W288" s="1894">
        <f t="shared" si="115"/>
        <v>0</v>
      </c>
      <c r="X288" s="1894">
        <v>0</v>
      </c>
      <c r="Y288" s="1894">
        <v>0</v>
      </c>
      <c r="Z288" s="1894">
        <v>0</v>
      </c>
      <c r="AA288" s="1894">
        <v>0</v>
      </c>
      <c r="AB288" s="1894">
        <v>0</v>
      </c>
      <c r="AC288" s="1894">
        <v>0</v>
      </c>
      <c r="AD288" s="1894">
        <f t="shared" si="116"/>
        <v>0</v>
      </c>
      <c r="AE288" s="1894">
        <f t="shared" si="117"/>
        <v>0</v>
      </c>
      <c r="AF288" s="1894">
        <v>0</v>
      </c>
      <c r="AG288" s="1894">
        <v>0</v>
      </c>
      <c r="AH288" s="1894">
        <v>0</v>
      </c>
      <c r="AI288" s="1894">
        <v>0</v>
      </c>
      <c r="AJ288" s="1894">
        <v>0</v>
      </c>
      <c r="AK288" s="1894">
        <v>0</v>
      </c>
      <c r="AL288" s="1894">
        <f t="shared" si="110"/>
        <v>0</v>
      </c>
      <c r="AM288" s="1894">
        <f t="shared" si="111"/>
        <v>0</v>
      </c>
      <c r="AN288" s="1894">
        <v>0</v>
      </c>
      <c r="AO288" s="1894">
        <v>0</v>
      </c>
      <c r="AP288" s="1894">
        <v>0</v>
      </c>
      <c r="AQ288" s="1894">
        <v>0</v>
      </c>
      <c r="AR288" s="1894">
        <v>0</v>
      </c>
      <c r="AS288" s="1894">
        <v>0</v>
      </c>
      <c r="AT288" s="1894">
        <f t="shared" si="118"/>
        <v>0</v>
      </c>
      <c r="AU288" s="1894">
        <f t="shared" si="119"/>
        <v>0</v>
      </c>
      <c r="AV288" s="1894">
        <v>0</v>
      </c>
      <c r="AW288" s="1894">
        <v>0</v>
      </c>
      <c r="AX288" s="1894">
        <v>0</v>
      </c>
      <c r="AY288" s="1894">
        <v>0</v>
      </c>
      <c r="AZ288" s="1894">
        <v>0</v>
      </c>
      <c r="BA288" s="1894">
        <v>0</v>
      </c>
      <c r="BB288" s="1894">
        <f t="shared" si="120"/>
        <v>0</v>
      </c>
      <c r="BC288" s="1894">
        <f t="shared" si="121"/>
        <v>0</v>
      </c>
      <c r="BD288" s="1894">
        <v>0</v>
      </c>
      <c r="BE288" s="1894">
        <v>0</v>
      </c>
      <c r="BF288" s="1894">
        <v>0</v>
      </c>
      <c r="BG288" s="1894">
        <v>0</v>
      </c>
      <c r="BH288" s="1894">
        <v>0</v>
      </c>
      <c r="BI288" s="1894">
        <v>0</v>
      </c>
      <c r="BJ288" s="1894">
        <f t="shared" si="122"/>
        <v>0</v>
      </c>
      <c r="BK288" s="1894">
        <f t="shared" si="123"/>
        <v>0</v>
      </c>
      <c r="BL288" s="1894">
        <v>0</v>
      </c>
      <c r="BM288" s="1894">
        <v>0</v>
      </c>
      <c r="BN288" s="1894">
        <v>0</v>
      </c>
      <c r="BO288" s="1894">
        <v>0</v>
      </c>
      <c r="BP288" s="1894">
        <v>0</v>
      </c>
      <c r="BQ288" s="1894">
        <v>0</v>
      </c>
      <c r="BR288" s="1894">
        <f t="shared" si="124"/>
        <v>0</v>
      </c>
      <c r="BS288" s="1894">
        <f t="shared" si="125"/>
        <v>0</v>
      </c>
      <c r="BT288" s="1894">
        <v>0</v>
      </c>
      <c r="BU288" s="1894">
        <v>0</v>
      </c>
      <c r="BV288" s="1894">
        <v>0</v>
      </c>
      <c r="BW288" s="1894">
        <v>0</v>
      </c>
      <c r="BX288" s="1894">
        <v>0</v>
      </c>
      <c r="BY288" s="1894">
        <v>0</v>
      </c>
      <c r="BZ288" s="1894">
        <f t="shared" si="126"/>
        <v>0</v>
      </c>
      <c r="CA288" s="1894">
        <f t="shared" si="127"/>
        <v>0</v>
      </c>
      <c r="CB288" s="1894">
        <v>200</v>
      </c>
      <c r="CC288" s="1894">
        <v>14.4</v>
      </c>
      <c r="CD288" s="1894">
        <v>160</v>
      </c>
      <c r="CE288" s="1894">
        <v>0.91300000000000003</v>
      </c>
      <c r="CF288" s="1894">
        <v>15.53</v>
      </c>
      <c r="CG288" s="1894">
        <v>161</v>
      </c>
      <c r="CH288" s="1894">
        <f t="shared" si="128"/>
        <v>6428</v>
      </c>
      <c r="CI288" s="1894">
        <f t="shared" si="129"/>
        <v>0</v>
      </c>
      <c r="CJ288" s="1894">
        <v>200</v>
      </c>
      <c r="CK288" s="1894">
        <v>101.16</v>
      </c>
      <c r="CL288" s="1894">
        <v>160</v>
      </c>
      <c r="CM288" s="1894">
        <v>0.67510000000000003</v>
      </c>
      <c r="CN288" s="1894">
        <v>4.6900000000000004</v>
      </c>
      <c r="CO288" s="1894">
        <v>3189</v>
      </c>
      <c r="CP288" s="1894">
        <f t="shared" si="130"/>
        <v>40788</v>
      </c>
      <c r="CQ288" s="1894">
        <f t="shared" si="131"/>
        <v>0</v>
      </c>
      <c r="CR288" s="1924">
        <v>200</v>
      </c>
      <c r="CS288" s="1924">
        <v>111.35999999999999</v>
      </c>
      <c r="CT288" s="1924">
        <v>160</v>
      </c>
      <c r="CU288" s="1924">
        <v>0.62229999999999996</v>
      </c>
      <c r="CV288" s="1924">
        <v>11.2</v>
      </c>
      <c r="CW288" s="1924">
        <v>9282</v>
      </c>
      <c r="CX288" s="1894">
        <f t="shared" si="132"/>
        <v>49711</v>
      </c>
      <c r="CY288" s="1894">
        <f t="shared" si="133"/>
        <v>0</v>
      </c>
    </row>
    <row r="289" spans="1:103">
      <c r="A289" s="982">
        <v>123000000124</v>
      </c>
      <c r="B289" s="1923">
        <f t="shared" si="134"/>
        <v>283</v>
      </c>
      <c r="C289" s="1895" t="s">
        <v>3171</v>
      </c>
      <c r="D289" s="1894" t="s">
        <v>524</v>
      </c>
      <c r="E289" s="1895" t="s">
        <v>2966</v>
      </c>
      <c r="F289" s="1894" t="s">
        <v>259</v>
      </c>
      <c r="G289" s="1924">
        <v>200</v>
      </c>
      <c r="H289" s="1894">
        <v>200</v>
      </c>
      <c r="I289" s="1894">
        <v>73.44</v>
      </c>
      <c r="J289" s="1894">
        <v>200</v>
      </c>
      <c r="K289" s="1894">
        <v>0.81269999999999998</v>
      </c>
      <c r="L289" s="1894">
        <v>0</v>
      </c>
      <c r="M289" s="1894">
        <v>19050</v>
      </c>
      <c r="N289" s="1894">
        <f t="shared" si="112"/>
        <v>31726</v>
      </c>
      <c r="O289" s="1894">
        <f t="shared" si="113"/>
        <v>0</v>
      </c>
      <c r="P289" s="1894">
        <v>200</v>
      </c>
      <c r="Q289" s="1894">
        <v>101.64</v>
      </c>
      <c r="R289" s="1894">
        <v>200</v>
      </c>
      <c r="S289" s="1894">
        <v>0.67930000000000001</v>
      </c>
      <c r="T289" s="1894">
        <v>0</v>
      </c>
      <c r="U289" s="1894">
        <v>23565</v>
      </c>
      <c r="V289" s="1894">
        <f t="shared" si="114"/>
        <v>45372</v>
      </c>
      <c r="W289" s="1894">
        <f t="shared" si="115"/>
        <v>0</v>
      </c>
      <c r="X289" s="1894">
        <v>200</v>
      </c>
      <c r="Y289" s="1894">
        <v>90.72</v>
      </c>
      <c r="Z289" s="1894">
        <v>200</v>
      </c>
      <c r="AA289" s="1894">
        <v>0.67120000000000002</v>
      </c>
      <c r="AB289" s="1894">
        <v>0</v>
      </c>
      <c r="AC289" s="1894">
        <v>16232</v>
      </c>
      <c r="AD289" s="1894">
        <f t="shared" si="116"/>
        <v>39191</v>
      </c>
      <c r="AE289" s="1894">
        <f t="shared" si="117"/>
        <v>0</v>
      </c>
      <c r="AF289" s="1894">
        <v>200</v>
      </c>
      <c r="AG289" s="1894">
        <v>93.6</v>
      </c>
      <c r="AH289" s="1894">
        <v>200</v>
      </c>
      <c r="AI289" s="1894">
        <v>0.65980000000000005</v>
      </c>
      <c r="AJ289" s="1894">
        <v>0</v>
      </c>
      <c r="AK289" s="1894">
        <v>9010</v>
      </c>
      <c r="AL289" s="1894">
        <f t="shared" si="110"/>
        <v>41783</v>
      </c>
      <c r="AM289" s="1894">
        <f t="shared" si="111"/>
        <v>0</v>
      </c>
      <c r="AN289" s="1894">
        <v>200</v>
      </c>
      <c r="AO289" s="1894">
        <v>105.36</v>
      </c>
      <c r="AP289" s="1894">
        <v>200</v>
      </c>
      <c r="AQ289" s="1894">
        <v>0.61339999999999995</v>
      </c>
      <c r="AR289" s="1894">
        <v>0</v>
      </c>
      <c r="AS289" s="1894">
        <v>20032</v>
      </c>
      <c r="AT289" s="1894">
        <f t="shared" si="118"/>
        <v>47033</v>
      </c>
      <c r="AU289" s="1894">
        <f t="shared" si="119"/>
        <v>0</v>
      </c>
      <c r="AV289" s="1894">
        <v>200</v>
      </c>
      <c r="AW289" s="1894">
        <v>97.68</v>
      </c>
      <c r="AX289" s="1894">
        <v>200</v>
      </c>
      <c r="AY289" s="1894">
        <v>0.63100000000000001</v>
      </c>
      <c r="AZ289" s="1894">
        <v>0</v>
      </c>
      <c r="BA289" s="1894">
        <v>22682</v>
      </c>
      <c r="BB289" s="1894">
        <f t="shared" si="120"/>
        <v>42198</v>
      </c>
      <c r="BC289" s="1894">
        <f t="shared" si="121"/>
        <v>0</v>
      </c>
      <c r="BD289" s="1894">
        <v>200</v>
      </c>
      <c r="BE289" s="1894">
        <v>85.56</v>
      </c>
      <c r="BF289" s="1894">
        <v>200</v>
      </c>
      <c r="BG289" s="1894">
        <v>0.64059999999999995</v>
      </c>
      <c r="BH289" s="1894">
        <v>0</v>
      </c>
      <c r="BI289" s="1894">
        <v>21198</v>
      </c>
      <c r="BJ289" s="1894">
        <f t="shared" si="122"/>
        <v>38194</v>
      </c>
      <c r="BK289" s="1894">
        <f t="shared" si="123"/>
        <v>0</v>
      </c>
      <c r="BL289" s="1894">
        <v>200</v>
      </c>
      <c r="BM289" s="1894">
        <v>3.6</v>
      </c>
      <c r="BN289" s="1894">
        <v>200</v>
      </c>
      <c r="BO289" s="1894">
        <v>0.56640000000000001</v>
      </c>
      <c r="BP289" s="1894">
        <v>0</v>
      </c>
      <c r="BQ289" s="1894">
        <v>978</v>
      </c>
      <c r="BR289" s="1894">
        <f t="shared" si="124"/>
        <v>1555</v>
      </c>
      <c r="BS289" s="1894">
        <f t="shared" si="125"/>
        <v>0</v>
      </c>
      <c r="BT289" s="1894">
        <v>200</v>
      </c>
      <c r="BU289" s="1894">
        <v>3.7199999999999998</v>
      </c>
      <c r="BV289" s="1894">
        <v>200</v>
      </c>
      <c r="BW289" s="1894">
        <v>0.44829999999999998</v>
      </c>
      <c r="BX289" s="1894">
        <v>0</v>
      </c>
      <c r="BY289" s="1894">
        <v>1249</v>
      </c>
      <c r="BZ289" s="1894">
        <f t="shared" si="126"/>
        <v>1661</v>
      </c>
      <c r="CA289" s="1894">
        <f t="shared" si="127"/>
        <v>0</v>
      </c>
      <c r="CB289" s="1894">
        <v>200</v>
      </c>
      <c r="CC289" s="1894">
        <v>93.6</v>
      </c>
      <c r="CD289" s="1894">
        <v>200</v>
      </c>
      <c r="CE289" s="1894">
        <v>0.76900000000000002</v>
      </c>
      <c r="CF289" s="1894">
        <v>0</v>
      </c>
      <c r="CG289" s="1894">
        <v>6788</v>
      </c>
      <c r="CH289" s="1894">
        <f t="shared" si="128"/>
        <v>41783</v>
      </c>
      <c r="CI289" s="1894">
        <f t="shared" si="129"/>
        <v>0</v>
      </c>
      <c r="CJ289" s="1894">
        <v>200</v>
      </c>
      <c r="CK289" s="1894">
        <v>124.08000000000001</v>
      </c>
      <c r="CL289" s="1894">
        <v>200</v>
      </c>
      <c r="CM289" s="1894">
        <v>0.64759999999999995</v>
      </c>
      <c r="CN289" s="1894">
        <v>0</v>
      </c>
      <c r="CO289" s="1894">
        <v>13332</v>
      </c>
      <c r="CP289" s="1894">
        <f t="shared" si="130"/>
        <v>50029</v>
      </c>
      <c r="CQ289" s="1894">
        <f t="shared" si="131"/>
        <v>0</v>
      </c>
      <c r="CR289" s="1924">
        <v>200</v>
      </c>
      <c r="CS289" s="1924">
        <v>137.04</v>
      </c>
      <c r="CT289" s="1924">
        <v>200</v>
      </c>
      <c r="CU289" s="1924">
        <v>0.61380000000000001</v>
      </c>
      <c r="CV289" s="1924">
        <v>0</v>
      </c>
      <c r="CW289" s="1924">
        <v>27094</v>
      </c>
      <c r="CX289" s="1894">
        <f t="shared" si="132"/>
        <v>61175</v>
      </c>
      <c r="CY289" s="1894">
        <f t="shared" si="133"/>
        <v>0</v>
      </c>
    </row>
    <row r="290" spans="1:103">
      <c r="A290" s="982">
        <v>124000000068</v>
      </c>
      <c r="B290" s="1923">
        <f t="shared" si="134"/>
        <v>284</v>
      </c>
      <c r="C290" s="1895" t="s">
        <v>3172</v>
      </c>
      <c r="D290" s="1894" t="s">
        <v>524</v>
      </c>
      <c r="E290" s="1895" t="s">
        <v>737</v>
      </c>
      <c r="F290" s="1894" t="s">
        <v>259</v>
      </c>
      <c r="G290" s="1924">
        <v>200</v>
      </c>
      <c r="H290" s="1894">
        <v>200</v>
      </c>
      <c r="I290" s="1894">
        <v>19.559999999999999</v>
      </c>
      <c r="J290" s="1894">
        <v>160</v>
      </c>
      <c r="K290" s="1894">
        <v>0.91769999999999996</v>
      </c>
      <c r="L290" s="1894">
        <v>24.26</v>
      </c>
      <c r="M290" s="1894">
        <v>3416</v>
      </c>
      <c r="N290" s="1894">
        <f t="shared" si="112"/>
        <v>8450</v>
      </c>
      <c r="O290" s="1894">
        <f t="shared" si="113"/>
        <v>0</v>
      </c>
      <c r="P290" s="1894">
        <v>200</v>
      </c>
      <c r="Q290" s="1894">
        <v>61.440000000000005</v>
      </c>
      <c r="R290" s="1894">
        <v>160</v>
      </c>
      <c r="S290" s="1894">
        <v>0.92149999999999999</v>
      </c>
      <c r="T290" s="1894">
        <v>7.11</v>
      </c>
      <c r="U290" s="1894">
        <v>3252</v>
      </c>
      <c r="V290" s="1894">
        <f t="shared" si="114"/>
        <v>27427</v>
      </c>
      <c r="W290" s="1894">
        <f t="shared" si="115"/>
        <v>0</v>
      </c>
      <c r="X290" s="1894">
        <v>200</v>
      </c>
      <c r="Y290" s="1894">
        <v>68.88</v>
      </c>
      <c r="Z290" s="1894">
        <v>160</v>
      </c>
      <c r="AA290" s="1894">
        <v>0.93530000000000002</v>
      </c>
      <c r="AB290" s="1894">
        <v>7.98</v>
      </c>
      <c r="AC290" s="1894">
        <v>3696</v>
      </c>
      <c r="AD290" s="1894">
        <f t="shared" si="116"/>
        <v>29756</v>
      </c>
      <c r="AE290" s="1894">
        <f t="shared" si="117"/>
        <v>0</v>
      </c>
      <c r="AF290" s="1894">
        <v>200</v>
      </c>
      <c r="AG290" s="1894">
        <v>72.84</v>
      </c>
      <c r="AH290" s="1894">
        <v>160</v>
      </c>
      <c r="AI290" s="1894">
        <v>0.90849999999999997</v>
      </c>
      <c r="AJ290" s="1894">
        <v>7.44</v>
      </c>
      <c r="AK290" s="1894">
        <v>3641</v>
      </c>
      <c r="AL290" s="1894">
        <f t="shared" si="110"/>
        <v>32516</v>
      </c>
      <c r="AM290" s="1894">
        <f t="shared" si="111"/>
        <v>0</v>
      </c>
      <c r="AN290" s="1894">
        <v>200</v>
      </c>
      <c r="AO290" s="1894">
        <v>69</v>
      </c>
      <c r="AP290" s="1894">
        <v>160</v>
      </c>
      <c r="AQ290" s="1894">
        <v>0.79779999999999995</v>
      </c>
      <c r="AR290" s="1894">
        <v>7.59</v>
      </c>
      <c r="AS290" s="1894">
        <v>3894</v>
      </c>
      <c r="AT290" s="1894">
        <f t="shared" si="118"/>
        <v>30802</v>
      </c>
      <c r="AU290" s="1894">
        <f t="shared" si="119"/>
        <v>0</v>
      </c>
      <c r="AV290" s="1894">
        <v>200</v>
      </c>
      <c r="AW290" s="1894">
        <v>58.56</v>
      </c>
      <c r="AX290" s="1894">
        <v>160</v>
      </c>
      <c r="AY290" s="1894">
        <v>0.86119999999999997</v>
      </c>
      <c r="AZ290" s="1894">
        <v>7.34</v>
      </c>
      <c r="BA290" s="1894">
        <v>3610</v>
      </c>
      <c r="BB290" s="1894">
        <f t="shared" si="120"/>
        <v>25298</v>
      </c>
      <c r="BC290" s="1894">
        <f t="shared" si="121"/>
        <v>0</v>
      </c>
      <c r="BD290" s="1894">
        <v>200</v>
      </c>
      <c r="BE290" s="1894">
        <v>68.759999999999991</v>
      </c>
      <c r="BF290" s="1894">
        <v>160</v>
      </c>
      <c r="BG290" s="1894">
        <v>0.89770000000000005</v>
      </c>
      <c r="BH290" s="1894">
        <v>5.72</v>
      </c>
      <c r="BI290" s="1894">
        <v>2924</v>
      </c>
      <c r="BJ290" s="1894">
        <f t="shared" si="122"/>
        <v>30694</v>
      </c>
      <c r="BK290" s="1894">
        <f t="shared" si="123"/>
        <v>0</v>
      </c>
      <c r="BL290" s="1894">
        <v>200</v>
      </c>
      <c r="BM290" s="1894">
        <v>51.24</v>
      </c>
      <c r="BN290" s="1894">
        <v>160</v>
      </c>
      <c r="BO290" s="1894">
        <v>0.84199999999999997</v>
      </c>
      <c r="BP290" s="1894">
        <v>3.88</v>
      </c>
      <c r="BQ290" s="1894">
        <v>1431</v>
      </c>
      <c r="BR290" s="1894">
        <f t="shared" si="124"/>
        <v>22136</v>
      </c>
      <c r="BS290" s="1894">
        <f t="shared" si="125"/>
        <v>0</v>
      </c>
      <c r="BT290" s="1894">
        <v>200</v>
      </c>
      <c r="BU290" s="1894">
        <v>34.44</v>
      </c>
      <c r="BV290" s="1894">
        <v>160</v>
      </c>
      <c r="BW290" s="1894">
        <v>0.80620000000000003</v>
      </c>
      <c r="BX290" s="1894">
        <v>5.4</v>
      </c>
      <c r="BY290" s="1894">
        <v>1383</v>
      </c>
      <c r="BZ290" s="1894">
        <f t="shared" si="126"/>
        <v>15374</v>
      </c>
      <c r="CA290" s="1894">
        <f t="shared" si="127"/>
        <v>0</v>
      </c>
      <c r="CB290" s="1894">
        <v>200</v>
      </c>
      <c r="CC290" s="1894">
        <v>67.44</v>
      </c>
      <c r="CD290" s="1894">
        <v>160</v>
      </c>
      <c r="CE290" s="1894">
        <v>0.80449999999999999</v>
      </c>
      <c r="CF290" s="1894">
        <v>2.74</v>
      </c>
      <c r="CG290" s="1894">
        <v>1376</v>
      </c>
      <c r="CH290" s="1894">
        <f t="shared" si="128"/>
        <v>30105</v>
      </c>
      <c r="CI290" s="1894">
        <f t="shared" si="129"/>
        <v>0</v>
      </c>
      <c r="CJ290" s="1894">
        <v>200</v>
      </c>
      <c r="CK290" s="1894">
        <v>67.2</v>
      </c>
      <c r="CL290" s="1894">
        <v>160</v>
      </c>
      <c r="CM290" s="1894">
        <v>0.83930000000000005</v>
      </c>
      <c r="CN290" s="1894">
        <v>3.25</v>
      </c>
      <c r="CO290" s="1894">
        <v>1469</v>
      </c>
      <c r="CP290" s="1894">
        <f t="shared" si="130"/>
        <v>27095</v>
      </c>
      <c r="CQ290" s="1894">
        <f t="shared" si="131"/>
        <v>0</v>
      </c>
      <c r="CR290" s="1924">
        <v>200</v>
      </c>
      <c r="CS290" s="1924">
        <v>69.12</v>
      </c>
      <c r="CT290" s="1924">
        <v>160</v>
      </c>
      <c r="CU290" s="1924">
        <v>0.89039999999999997</v>
      </c>
      <c r="CV290" s="1924">
        <v>4.13</v>
      </c>
      <c r="CW290" s="1924">
        <v>2126</v>
      </c>
      <c r="CX290" s="1894">
        <f t="shared" si="132"/>
        <v>30855</v>
      </c>
      <c r="CY290" s="1894">
        <f t="shared" si="133"/>
        <v>0</v>
      </c>
    </row>
    <row r="291" spans="1:103">
      <c r="A291" s="982">
        <v>123000000123</v>
      </c>
      <c r="B291" s="1923">
        <f t="shared" si="134"/>
        <v>285</v>
      </c>
      <c r="C291" s="1895" t="s">
        <v>3173</v>
      </c>
      <c r="D291" s="1894" t="s">
        <v>524</v>
      </c>
      <c r="E291" s="1895" t="s">
        <v>2966</v>
      </c>
      <c r="F291" s="1894" t="s">
        <v>259</v>
      </c>
      <c r="G291" s="1924">
        <v>200</v>
      </c>
      <c r="H291" s="1894">
        <v>200</v>
      </c>
      <c r="I291" s="1894">
        <v>120.48</v>
      </c>
      <c r="J291" s="1894">
        <v>200</v>
      </c>
      <c r="K291" s="1894">
        <v>0.85980000000000001</v>
      </c>
      <c r="L291" s="1894">
        <v>0</v>
      </c>
      <c r="M291" s="1894">
        <v>12890</v>
      </c>
      <c r="N291" s="1894">
        <f t="shared" si="112"/>
        <v>52047</v>
      </c>
      <c r="O291" s="1894">
        <f t="shared" si="113"/>
        <v>0</v>
      </c>
      <c r="P291" s="1894">
        <v>200</v>
      </c>
      <c r="Q291" s="1894">
        <v>158.72</v>
      </c>
      <c r="R291" s="1894">
        <v>200</v>
      </c>
      <c r="S291" s="1894">
        <v>0.86209999999999998</v>
      </c>
      <c r="T291" s="1894">
        <v>0</v>
      </c>
      <c r="U291" s="1894">
        <v>12996</v>
      </c>
      <c r="V291" s="1894">
        <f t="shared" si="114"/>
        <v>70853</v>
      </c>
      <c r="W291" s="1894">
        <f t="shared" si="115"/>
        <v>0</v>
      </c>
      <c r="X291" s="1894">
        <v>200</v>
      </c>
      <c r="Y291" s="1894">
        <v>197.6</v>
      </c>
      <c r="Z291" s="1894">
        <v>200</v>
      </c>
      <c r="AA291" s="1894">
        <v>0.79339999999999999</v>
      </c>
      <c r="AB291" s="1894">
        <v>0</v>
      </c>
      <c r="AC291" s="1894">
        <v>23054</v>
      </c>
      <c r="AD291" s="1894">
        <f t="shared" si="116"/>
        <v>85363</v>
      </c>
      <c r="AE291" s="1894">
        <f t="shared" si="117"/>
        <v>0</v>
      </c>
      <c r="AF291" s="1894">
        <v>200</v>
      </c>
      <c r="AG291" s="1894">
        <v>25.6</v>
      </c>
      <c r="AH291" s="1894">
        <v>200</v>
      </c>
      <c r="AI291" s="1894">
        <v>0.92279999999999995</v>
      </c>
      <c r="AJ291" s="1894">
        <v>0</v>
      </c>
      <c r="AK291" s="1894">
        <v>1840</v>
      </c>
      <c r="AL291" s="1894">
        <f t="shared" si="110"/>
        <v>11428</v>
      </c>
      <c r="AM291" s="1894">
        <f t="shared" si="111"/>
        <v>0</v>
      </c>
      <c r="AN291" s="1894">
        <v>200</v>
      </c>
      <c r="AO291" s="1894">
        <v>143.35999999999999</v>
      </c>
      <c r="AP291" s="1894">
        <v>200</v>
      </c>
      <c r="AQ291" s="1894">
        <v>0.86280000000000001</v>
      </c>
      <c r="AR291" s="1894">
        <v>0</v>
      </c>
      <c r="AS291" s="1894">
        <v>5236</v>
      </c>
      <c r="AT291" s="1894">
        <f t="shared" si="118"/>
        <v>63996</v>
      </c>
      <c r="AU291" s="1894">
        <f t="shared" si="119"/>
        <v>0</v>
      </c>
      <c r="AV291" s="1894">
        <v>200</v>
      </c>
      <c r="AW291" s="1894">
        <v>140</v>
      </c>
      <c r="AX291" s="1894">
        <v>200</v>
      </c>
      <c r="AY291" s="1894">
        <v>0.8105</v>
      </c>
      <c r="AZ291" s="1894">
        <v>0</v>
      </c>
      <c r="BA291" s="1894">
        <v>15824</v>
      </c>
      <c r="BB291" s="1894">
        <f t="shared" si="120"/>
        <v>60480</v>
      </c>
      <c r="BC291" s="1894">
        <f t="shared" si="121"/>
        <v>0</v>
      </c>
      <c r="BD291" s="1894">
        <v>200</v>
      </c>
      <c r="BE291" s="1894">
        <v>126.56</v>
      </c>
      <c r="BF291" s="1894">
        <v>200</v>
      </c>
      <c r="BG291" s="1894">
        <v>0.80130000000000001</v>
      </c>
      <c r="BH291" s="1894">
        <v>0</v>
      </c>
      <c r="BI291" s="1894">
        <v>24478</v>
      </c>
      <c r="BJ291" s="1894">
        <f t="shared" si="122"/>
        <v>56496</v>
      </c>
      <c r="BK291" s="1894">
        <f t="shared" si="123"/>
        <v>0</v>
      </c>
      <c r="BL291" s="1894">
        <v>200</v>
      </c>
      <c r="BM291" s="1894">
        <v>11.200000000000001</v>
      </c>
      <c r="BN291" s="1894">
        <v>200</v>
      </c>
      <c r="BO291" s="1894">
        <v>0.82399999999999995</v>
      </c>
      <c r="BP291" s="1894">
        <v>0</v>
      </c>
      <c r="BQ291" s="1894">
        <v>1864</v>
      </c>
      <c r="BR291" s="1894">
        <f t="shared" si="124"/>
        <v>4838</v>
      </c>
      <c r="BS291" s="1894">
        <f t="shared" si="125"/>
        <v>0</v>
      </c>
      <c r="BT291" s="1894">
        <v>200</v>
      </c>
      <c r="BU291" s="1894">
        <v>8.16</v>
      </c>
      <c r="BV291" s="1894">
        <v>200</v>
      </c>
      <c r="BW291" s="1894">
        <v>0.73899999999999999</v>
      </c>
      <c r="BX291" s="1894">
        <v>0</v>
      </c>
      <c r="BY291" s="1894">
        <v>1188</v>
      </c>
      <c r="BZ291" s="1894">
        <f t="shared" si="126"/>
        <v>3643</v>
      </c>
      <c r="CA291" s="1894">
        <f t="shared" si="127"/>
        <v>0</v>
      </c>
      <c r="CB291" s="1894">
        <v>200</v>
      </c>
      <c r="CC291" s="1894">
        <v>14.24</v>
      </c>
      <c r="CD291" s="1894">
        <v>200</v>
      </c>
      <c r="CE291" s="1894">
        <v>0.8226</v>
      </c>
      <c r="CF291" s="1894">
        <v>0</v>
      </c>
      <c r="CG291" s="1894">
        <v>1218</v>
      </c>
      <c r="CH291" s="1894">
        <f t="shared" si="128"/>
        <v>6357</v>
      </c>
      <c r="CI291" s="1894">
        <f t="shared" si="129"/>
        <v>0</v>
      </c>
      <c r="CJ291" s="1894">
        <v>200</v>
      </c>
      <c r="CK291" s="1894">
        <v>90.56</v>
      </c>
      <c r="CL291" s="1894">
        <v>200</v>
      </c>
      <c r="CM291" s="1894">
        <v>0.82789999999999997</v>
      </c>
      <c r="CN291" s="1894">
        <v>0</v>
      </c>
      <c r="CO291" s="1894">
        <v>9728</v>
      </c>
      <c r="CP291" s="1894">
        <f t="shared" si="130"/>
        <v>36514</v>
      </c>
      <c r="CQ291" s="1894">
        <f t="shared" si="131"/>
        <v>0</v>
      </c>
      <c r="CR291" s="1924">
        <v>200</v>
      </c>
      <c r="CS291" s="1924">
        <v>134.24</v>
      </c>
      <c r="CT291" s="1924">
        <v>200</v>
      </c>
      <c r="CU291" s="1924">
        <v>0.77780000000000005</v>
      </c>
      <c r="CV291" s="1924">
        <v>0</v>
      </c>
      <c r="CW291" s="1924">
        <v>22730</v>
      </c>
      <c r="CX291" s="1894">
        <f t="shared" si="132"/>
        <v>59925</v>
      </c>
      <c r="CY291" s="1894">
        <f t="shared" si="133"/>
        <v>0</v>
      </c>
    </row>
    <row r="292" spans="1:103">
      <c r="A292" s="982">
        <v>621000000056</v>
      </c>
      <c r="B292" s="1923">
        <f t="shared" si="134"/>
        <v>286</v>
      </c>
      <c r="C292" s="1895" t="s">
        <v>3174</v>
      </c>
      <c r="D292" s="1894" t="s">
        <v>524</v>
      </c>
      <c r="E292" s="1895" t="s">
        <v>541</v>
      </c>
      <c r="F292" s="1894" t="s">
        <v>259</v>
      </c>
      <c r="G292" s="1924">
        <v>200</v>
      </c>
      <c r="H292" s="1894">
        <v>200</v>
      </c>
      <c r="I292" s="1894">
        <v>0.84</v>
      </c>
      <c r="J292" s="1894">
        <v>160</v>
      </c>
      <c r="K292" s="1894">
        <v>0.99809999999999999</v>
      </c>
      <c r="L292" s="1894">
        <v>89.12</v>
      </c>
      <c r="M292" s="1894">
        <v>539</v>
      </c>
      <c r="N292" s="1894">
        <f t="shared" si="112"/>
        <v>363</v>
      </c>
      <c r="O292" s="1894">
        <f t="shared" si="113"/>
        <v>176</v>
      </c>
      <c r="P292" s="1894">
        <v>200</v>
      </c>
      <c r="Q292" s="1894">
        <v>1.08</v>
      </c>
      <c r="R292" s="1894">
        <v>160</v>
      </c>
      <c r="S292" s="1894">
        <v>1</v>
      </c>
      <c r="T292" s="1894">
        <v>63.1</v>
      </c>
      <c r="U292" s="1894">
        <v>507</v>
      </c>
      <c r="V292" s="1894">
        <f t="shared" si="114"/>
        <v>482</v>
      </c>
      <c r="W292" s="1894">
        <f t="shared" si="115"/>
        <v>25</v>
      </c>
      <c r="X292" s="1894">
        <v>200</v>
      </c>
      <c r="Y292" s="1894">
        <v>1.08</v>
      </c>
      <c r="Z292" s="1894">
        <v>160</v>
      </c>
      <c r="AA292" s="1894">
        <v>1</v>
      </c>
      <c r="AB292" s="1894">
        <v>59.03</v>
      </c>
      <c r="AC292" s="1894">
        <v>459</v>
      </c>
      <c r="AD292" s="1894">
        <f t="shared" si="116"/>
        <v>467</v>
      </c>
      <c r="AE292" s="1894">
        <f t="shared" si="117"/>
        <v>0</v>
      </c>
      <c r="AF292" s="1894">
        <v>200</v>
      </c>
      <c r="AG292" s="1894">
        <v>61.440000000000005</v>
      </c>
      <c r="AH292" s="1894">
        <v>160</v>
      </c>
      <c r="AI292" s="1894">
        <v>0.97509999999999997</v>
      </c>
      <c r="AJ292" s="1894">
        <v>1.58</v>
      </c>
      <c r="AK292" s="1894">
        <v>723</v>
      </c>
      <c r="AL292" s="1894">
        <f t="shared" si="110"/>
        <v>27427</v>
      </c>
      <c r="AM292" s="1894">
        <f t="shared" si="111"/>
        <v>0</v>
      </c>
      <c r="AN292" s="1894">
        <v>200</v>
      </c>
      <c r="AO292" s="1894">
        <v>0.96000000000000008</v>
      </c>
      <c r="AP292" s="1894">
        <v>160</v>
      </c>
      <c r="AQ292" s="1894">
        <v>1</v>
      </c>
      <c r="AR292" s="1894">
        <v>82.33</v>
      </c>
      <c r="AS292" s="1894">
        <v>588</v>
      </c>
      <c r="AT292" s="1894">
        <f t="shared" si="118"/>
        <v>429</v>
      </c>
      <c r="AU292" s="1894">
        <f t="shared" si="119"/>
        <v>159</v>
      </c>
      <c r="AV292" s="1894">
        <v>200</v>
      </c>
      <c r="AW292" s="1894">
        <v>52.559999999999995</v>
      </c>
      <c r="AX292" s="1894">
        <v>160</v>
      </c>
      <c r="AY292" s="1894">
        <v>1</v>
      </c>
      <c r="AZ292" s="1894">
        <v>1.53</v>
      </c>
      <c r="BA292" s="1894">
        <v>578</v>
      </c>
      <c r="BB292" s="1894">
        <f t="shared" si="120"/>
        <v>22706</v>
      </c>
      <c r="BC292" s="1894">
        <f t="shared" si="121"/>
        <v>0</v>
      </c>
      <c r="BD292" s="1894">
        <v>200</v>
      </c>
      <c r="BE292" s="1894">
        <v>59.88</v>
      </c>
      <c r="BF292" s="1894">
        <v>160</v>
      </c>
      <c r="BG292" s="1894">
        <v>0.99539999999999995</v>
      </c>
      <c r="BH292" s="1894">
        <v>1.49</v>
      </c>
      <c r="BI292" s="1894">
        <v>666</v>
      </c>
      <c r="BJ292" s="1894">
        <f t="shared" si="122"/>
        <v>26730</v>
      </c>
      <c r="BK292" s="1894">
        <f t="shared" si="123"/>
        <v>0</v>
      </c>
      <c r="BL292" s="1894">
        <v>200</v>
      </c>
      <c r="BM292" s="1894">
        <v>77.759999999999991</v>
      </c>
      <c r="BN292" s="1894">
        <v>160</v>
      </c>
      <c r="BO292" s="1894">
        <v>0.95879999999999999</v>
      </c>
      <c r="BP292" s="1894">
        <v>1.61</v>
      </c>
      <c r="BQ292" s="1894">
        <v>900</v>
      </c>
      <c r="BR292" s="1894">
        <f t="shared" si="124"/>
        <v>33592</v>
      </c>
      <c r="BS292" s="1894">
        <f t="shared" si="125"/>
        <v>0</v>
      </c>
      <c r="BT292" s="1894">
        <v>200</v>
      </c>
      <c r="BU292" s="1894">
        <v>52.199999999999996</v>
      </c>
      <c r="BV292" s="1894">
        <v>160</v>
      </c>
      <c r="BW292" s="1894">
        <v>0.98680000000000001</v>
      </c>
      <c r="BX292" s="1894">
        <v>1.96</v>
      </c>
      <c r="BY292" s="1894">
        <v>760</v>
      </c>
      <c r="BZ292" s="1894">
        <f t="shared" si="126"/>
        <v>23302</v>
      </c>
      <c r="CA292" s="1894">
        <f t="shared" si="127"/>
        <v>0</v>
      </c>
      <c r="CB292" s="1894">
        <v>200</v>
      </c>
      <c r="CC292" s="1894">
        <v>0.96000000000000008</v>
      </c>
      <c r="CD292" s="1894">
        <v>160</v>
      </c>
      <c r="CE292" s="1894">
        <v>1</v>
      </c>
      <c r="CF292" s="1894">
        <v>78.41</v>
      </c>
      <c r="CG292" s="1894">
        <v>560</v>
      </c>
      <c r="CH292" s="1894">
        <f t="shared" si="128"/>
        <v>429</v>
      </c>
      <c r="CI292" s="1894">
        <f t="shared" si="129"/>
        <v>131</v>
      </c>
      <c r="CJ292" s="1894">
        <v>200</v>
      </c>
      <c r="CK292" s="1894">
        <v>0.84</v>
      </c>
      <c r="CL292" s="1894">
        <v>160</v>
      </c>
      <c r="CM292" s="1894">
        <v>1</v>
      </c>
      <c r="CN292" s="1894">
        <v>88.4</v>
      </c>
      <c r="CO292" s="1894">
        <v>499</v>
      </c>
      <c r="CP292" s="1894">
        <f t="shared" si="130"/>
        <v>339</v>
      </c>
      <c r="CQ292" s="1894">
        <f t="shared" si="131"/>
        <v>160</v>
      </c>
      <c r="CR292" s="1924">
        <v>200</v>
      </c>
      <c r="CS292" s="1924">
        <v>57.120000000000005</v>
      </c>
      <c r="CT292" s="1924">
        <v>160</v>
      </c>
      <c r="CU292" s="1924">
        <v>0.96109999999999995</v>
      </c>
      <c r="CV292" s="1924">
        <v>2.12</v>
      </c>
      <c r="CW292" s="1924">
        <v>902</v>
      </c>
      <c r="CX292" s="1894">
        <f t="shared" si="132"/>
        <v>25498</v>
      </c>
      <c r="CY292" s="1894">
        <f t="shared" si="133"/>
        <v>0</v>
      </c>
    </row>
    <row r="293" spans="1:103">
      <c r="A293" s="982">
        <v>622000000210</v>
      </c>
      <c r="B293" s="1923">
        <f t="shared" si="134"/>
        <v>287</v>
      </c>
      <c r="C293" s="1895" t="s">
        <v>3175</v>
      </c>
      <c r="D293" s="1894" t="s">
        <v>524</v>
      </c>
      <c r="E293" s="1895" t="s">
        <v>629</v>
      </c>
      <c r="F293" s="1894" t="s">
        <v>259</v>
      </c>
      <c r="G293" s="1924">
        <v>200</v>
      </c>
      <c r="H293" s="1894">
        <v>0</v>
      </c>
      <c r="I293" s="1894">
        <v>0</v>
      </c>
      <c r="J293" s="1894">
        <v>0</v>
      </c>
      <c r="K293" s="1894">
        <v>0</v>
      </c>
      <c r="L293" s="1894">
        <v>0</v>
      </c>
      <c r="M293" s="1894">
        <v>0</v>
      </c>
      <c r="N293" s="1894">
        <f t="shared" si="112"/>
        <v>0</v>
      </c>
      <c r="O293" s="1894">
        <f t="shared" si="113"/>
        <v>0</v>
      </c>
      <c r="P293" s="1894">
        <v>0</v>
      </c>
      <c r="Q293" s="1894">
        <v>0</v>
      </c>
      <c r="R293" s="1894">
        <v>0</v>
      </c>
      <c r="S293" s="1894">
        <v>0</v>
      </c>
      <c r="T293" s="1894">
        <v>0</v>
      </c>
      <c r="U293" s="1894">
        <v>0</v>
      </c>
      <c r="V293" s="1894">
        <f t="shared" si="114"/>
        <v>0</v>
      </c>
      <c r="W293" s="1894">
        <f t="shared" si="115"/>
        <v>0</v>
      </c>
      <c r="X293" s="1894">
        <v>0</v>
      </c>
      <c r="Y293" s="1894">
        <v>0</v>
      </c>
      <c r="Z293" s="1894">
        <v>0</v>
      </c>
      <c r="AA293" s="1894">
        <v>0</v>
      </c>
      <c r="AB293" s="1894">
        <v>0</v>
      </c>
      <c r="AC293" s="1894">
        <v>0</v>
      </c>
      <c r="AD293" s="1894">
        <f t="shared" si="116"/>
        <v>0</v>
      </c>
      <c r="AE293" s="1894">
        <f t="shared" si="117"/>
        <v>0</v>
      </c>
      <c r="AF293" s="1894">
        <v>0</v>
      </c>
      <c r="AG293" s="1894">
        <v>0</v>
      </c>
      <c r="AH293" s="1894">
        <v>0</v>
      </c>
      <c r="AI293" s="1894">
        <v>0</v>
      </c>
      <c r="AJ293" s="1894">
        <v>0</v>
      </c>
      <c r="AK293" s="1894">
        <v>0</v>
      </c>
      <c r="AL293" s="1894">
        <f t="shared" si="110"/>
        <v>0</v>
      </c>
      <c r="AM293" s="1894">
        <f t="shared" si="111"/>
        <v>0</v>
      </c>
      <c r="AN293" s="1894">
        <v>0</v>
      </c>
      <c r="AO293" s="1894">
        <v>0</v>
      </c>
      <c r="AP293" s="1894">
        <v>0</v>
      </c>
      <c r="AQ293" s="1894">
        <v>0</v>
      </c>
      <c r="AR293" s="1894">
        <v>0</v>
      </c>
      <c r="AS293" s="1894">
        <v>0</v>
      </c>
      <c r="AT293" s="1894">
        <f t="shared" si="118"/>
        <v>0</v>
      </c>
      <c r="AU293" s="1894">
        <f t="shared" si="119"/>
        <v>0</v>
      </c>
      <c r="AV293" s="1894">
        <v>200</v>
      </c>
      <c r="AW293" s="1894">
        <v>56.800000000000004</v>
      </c>
      <c r="AX293" s="1894">
        <v>200</v>
      </c>
      <c r="AY293" s="1894">
        <v>0.95589999999999997</v>
      </c>
      <c r="AZ293" s="1894">
        <v>0</v>
      </c>
      <c r="BA293" s="1894">
        <v>6695</v>
      </c>
      <c r="BB293" s="1894">
        <f t="shared" si="120"/>
        <v>24538</v>
      </c>
      <c r="BC293" s="1894">
        <f t="shared" si="121"/>
        <v>0</v>
      </c>
      <c r="BD293" s="1894">
        <v>200</v>
      </c>
      <c r="BE293" s="1894">
        <v>81.600000000000009</v>
      </c>
      <c r="BF293" s="1894">
        <v>200</v>
      </c>
      <c r="BG293" s="1894">
        <v>0.98599999999999999</v>
      </c>
      <c r="BH293" s="1894">
        <v>0</v>
      </c>
      <c r="BI293" s="1894">
        <v>29316</v>
      </c>
      <c r="BJ293" s="1894">
        <f t="shared" si="122"/>
        <v>36426</v>
      </c>
      <c r="BK293" s="1894">
        <f t="shared" si="123"/>
        <v>0</v>
      </c>
      <c r="BL293" s="1894">
        <v>200</v>
      </c>
      <c r="BM293" s="1894">
        <v>92.4</v>
      </c>
      <c r="BN293" s="1894">
        <v>200</v>
      </c>
      <c r="BO293" s="1894">
        <v>0.99660000000000004</v>
      </c>
      <c r="BP293" s="1894">
        <v>0</v>
      </c>
      <c r="BQ293" s="1894">
        <v>23475</v>
      </c>
      <c r="BR293" s="1894">
        <f t="shared" si="124"/>
        <v>39917</v>
      </c>
      <c r="BS293" s="1894">
        <f t="shared" si="125"/>
        <v>0</v>
      </c>
      <c r="BT293" s="1894">
        <v>200</v>
      </c>
      <c r="BU293" s="1894">
        <v>110.16000000000001</v>
      </c>
      <c r="BV293" s="1894">
        <v>200</v>
      </c>
      <c r="BW293" s="1894">
        <v>0.99760000000000004</v>
      </c>
      <c r="BX293" s="1894">
        <v>0</v>
      </c>
      <c r="BY293" s="1894">
        <v>37632</v>
      </c>
      <c r="BZ293" s="1894">
        <f t="shared" si="126"/>
        <v>49175</v>
      </c>
      <c r="CA293" s="1894">
        <f t="shared" si="127"/>
        <v>0</v>
      </c>
      <c r="CB293" s="1894">
        <v>200</v>
      </c>
      <c r="CC293" s="1894">
        <v>110.88</v>
      </c>
      <c r="CD293" s="1894">
        <v>200</v>
      </c>
      <c r="CE293" s="1894">
        <v>0.998</v>
      </c>
      <c r="CF293" s="1894">
        <v>0</v>
      </c>
      <c r="CG293" s="1894">
        <v>32304</v>
      </c>
      <c r="CH293" s="1894">
        <f t="shared" si="128"/>
        <v>49497</v>
      </c>
      <c r="CI293" s="1894">
        <f t="shared" si="129"/>
        <v>0</v>
      </c>
      <c r="CJ293" s="1894">
        <v>200</v>
      </c>
      <c r="CK293" s="1894">
        <v>102.00000000000001</v>
      </c>
      <c r="CL293" s="1894">
        <v>200</v>
      </c>
      <c r="CM293" s="1894">
        <v>0.99760000000000004</v>
      </c>
      <c r="CN293" s="1894">
        <v>0</v>
      </c>
      <c r="CO293" s="1894">
        <v>27252</v>
      </c>
      <c r="CP293" s="1894">
        <f t="shared" si="130"/>
        <v>41126</v>
      </c>
      <c r="CQ293" s="1894">
        <f t="shared" si="131"/>
        <v>0</v>
      </c>
      <c r="CR293" s="1924">
        <v>200</v>
      </c>
      <c r="CS293" s="1924">
        <v>88.56</v>
      </c>
      <c r="CT293" s="1924">
        <v>200</v>
      </c>
      <c r="CU293" s="1924">
        <v>0.99839999999999995</v>
      </c>
      <c r="CV293" s="1924">
        <v>0</v>
      </c>
      <c r="CW293" s="1924">
        <v>32895</v>
      </c>
      <c r="CX293" s="1894">
        <f t="shared" si="132"/>
        <v>39533</v>
      </c>
      <c r="CY293" s="1894">
        <f t="shared" si="133"/>
        <v>0</v>
      </c>
    </row>
    <row r="294" spans="1:103">
      <c r="A294" s="982">
        <v>121000000061</v>
      </c>
      <c r="B294" s="1923">
        <f t="shared" si="134"/>
        <v>288</v>
      </c>
      <c r="C294" s="1895" t="s">
        <v>3176</v>
      </c>
      <c r="D294" s="1894" t="s">
        <v>524</v>
      </c>
      <c r="E294" s="1895" t="s">
        <v>2966</v>
      </c>
      <c r="F294" s="1894" t="s">
        <v>259</v>
      </c>
      <c r="G294" s="1924">
        <v>200</v>
      </c>
      <c r="H294" s="1894">
        <v>200</v>
      </c>
      <c r="I294" s="1894">
        <v>284.48</v>
      </c>
      <c r="J294" s="1894">
        <v>284.48</v>
      </c>
      <c r="K294" s="1894">
        <v>0.75309999999999999</v>
      </c>
      <c r="L294" s="1894">
        <v>0</v>
      </c>
      <c r="M294" s="1894">
        <v>63182</v>
      </c>
      <c r="N294" s="1894">
        <f t="shared" si="112"/>
        <v>122895</v>
      </c>
      <c r="O294" s="1894">
        <f t="shared" si="113"/>
        <v>0</v>
      </c>
      <c r="P294" s="1894">
        <v>200</v>
      </c>
      <c r="Q294" s="1894">
        <v>278.56</v>
      </c>
      <c r="R294" s="1894">
        <v>278.56</v>
      </c>
      <c r="S294" s="1894">
        <v>0.72440000000000004</v>
      </c>
      <c r="T294" s="1894">
        <v>0</v>
      </c>
      <c r="U294" s="1894">
        <v>78674</v>
      </c>
      <c r="V294" s="1894">
        <f t="shared" si="114"/>
        <v>124349</v>
      </c>
      <c r="W294" s="1894">
        <f t="shared" si="115"/>
        <v>0</v>
      </c>
      <c r="X294" s="1894">
        <v>200</v>
      </c>
      <c r="Y294" s="1894">
        <v>200.15999999999997</v>
      </c>
      <c r="Z294" s="1894">
        <v>200.16</v>
      </c>
      <c r="AA294" s="1894">
        <v>0.71150000000000002</v>
      </c>
      <c r="AB294" s="1894">
        <v>0</v>
      </c>
      <c r="AC294" s="1894">
        <v>32860</v>
      </c>
      <c r="AD294" s="1894">
        <f t="shared" si="116"/>
        <v>86469</v>
      </c>
      <c r="AE294" s="1894">
        <f t="shared" si="117"/>
        <v>0</v>
      </c>
      <c r="AF294" s="1894">
        <v>200</v>
      </c>
      <c r="AG294" s="1894">
        <v>73.760000000000005</v>
      </c>
      <c r="AH294" s="1894">
        <v>200</v>
      </c>
      <c r="AI294" s="1894">
        <v>0.83199999999999996</v>
      </c>
      <c r="AJ294" s="1894">
        <v>0</v>
      </c>
      <c r="AK294" s="1894">
        <v>8836</v>
      </c>
      <c r="AL294" s="1894">
        <f t="shared" si="110"/>
        <v>32926</v>
      </c>
      <c r="AM294" s="1894">
        <f t="shared" si="111"/>
        <v>0</v>
      </c>
      <c r="AN294" s="1894">
        <v>200</v>
      </c>
      <c r="AO294" s="1894">
        <v>94.72</v>
      </c>
      <c r="AP294" s="1894">
        <v>200</v>
      </c>
      <c r="AQ294" s="1894">
        <v>0.78059999999999996</v>
      </c>
      <c r="AR294" s="1894">
        <v>0</v>
      </c>
      <c r="AS294" s="1894">
        <v>21730</v>
      </c>
      <c r="AT294" s="1894">
        <f t="shared" si="118"/>
        <v>42283</v>
      </c>
      <c r="AU294" s="1894">
        <f t="shared" si="119"/>
        <v>0</v>
      </c>
      <c r="AV294" s="1894">
        <v>200</v>
      </c>
      <c r="AW294" s="1894">
        <v>104.16000000000001</v>
      </c>
      <c r="AX294" s="1894">
        <v>200</v>
      </c>
      <c r="AY294" s="1894">
        <v>0.77349999999999997</v>
      </c>
      <c r="AZ294" s="1894">
        <v>0</v>
      </c>
      <c r="BA294" s="1894">
        <v>30886</v>
      </c>
      <c r="BB294" s="1894">
        <f t="shared" si="120"/>
        <v>44997</v>
      </c>
      <c r="BC294" s="1894">
        <f t="shared" si="121"/>
        <v>0</v>
      </c>
      <c r="BD294" s="1894">
        <v>200</v>
      </c>
      <c r="BE294" s="1894">
        <v>111.04</v>
      </c>
      <c r="BF294" s="1894">
        <v>200</v>
      </c>
      <c r="BG294" s="1894">
        <v>0.75349999999999995</v>
      </c>
      <c r="BH294" s="1894">
        <v>0</v>
      </c>
      <c r="BI294" s="1894">
        <v>26696</v>
      </c>
      <c r="BJ294" s="1894">
        <f t="shared" si="122"/>
        <v>49568</v>
      </c>
      <c r="BK294" s="1894">
        <f t="shared" si="123"/>
        <v>0</v>
      </c>
      <c r="BL294" s="1894">
        <v>200</v>
      </c>
      <c r="BM294" s="1894">
        <v>46.56</v>
      </c>
      <c r="BN294" s="1894">
        <v>200</v>
      </c>
      <c r="BO294" s="1894">
        <v>0.69110000000000005</v>
      </c>
      <c r="BP294" s="1894">
        <v>0</v>
      </c>
      <c r="BQ294" s="1894">
        <v>7938</v>
      </c>
      <c r="BR294" s="1894">
        <f t="shared" si="124"/>
        <v>20114</v>
      </c>
      <c r="BS294" s="1894">
        <f t="shared" si="125"/>
        <v>0</v>
      </c>
      <c r="BT294" s="1894">
        <v>200</v>
      </c>
      <c r="BU294" s="1894">
        <v>15.2</v>
      </c>
      <c r="BV294" s="1894">
        <v>200</v>
      </c>
      <c r="BW294" s="1894">
        <v>0.58220000000000005</v>
      </c>
      <c r="BX294" s="1894">
        <v>0</v>
      </c>
      <c r="BY294" s="1894">
        <v>3016</v>
      </c>
      <c r="BZ294" s="1894">
        <f t="shared" si="126"/>
        <v>6785</v>
      </c>
      <c r="CA294" s="1894">
        <f t="shared" si="127"/>
        <v>0</v>
      </c>
      <c r="CB294" s="1894">
        <v>200</v>
      </c>
      <c r="CC294" s="1894">
        <v>125.27999999999999</v>
      </c>
      <c r="CD294" s="1894">
        <v>200</v>
      </c>
      <c r="CE294" s="1894">
        <v>0.80820000000000003</v>
      </c>
      <c r="CF294" s="1894">
        <v>0</v>
      </c>
      <c r="CG294" s="1894">
        <v>25566</v>
      </c>
      <c r="CH294" s="1894">
        <f t="shared" si="128"/>
        <v>55925</v>
      </c>
      <c r="CI294" s="1894">
        <f t="shared" si="129"/>
        <v>0</v>
      </c>
      <c r="CJ294" s="1894">
        <v>200</v>
      </c>
      <c r="CK294" s="1894">
        <v>260.64</v>
      </c>
      <c r="CL294" s="1894">
        <v>260.64</v>
      </c>
      <c r="CM294" s="1894">
        <v>0.7661</v>
      </c>
      <c r="CN294" s="1894">
        <v>0</v>
      </c>
      <c r="CO294" s="1894">
        <v>47118</v>
      </c>
      <c r="CP294" s="1894">
        <f t="shared" si="130"/>
        <v>105090</v>
      </c>
      <c r="CQ294" s="1894">
        <f t="shared" si="131"/>
        <v>0</v>
      </c>
      <c r="CR294" s="1924">
        <v>200</v>
      </c>
      <c r="CS294" s="1924">
        <v>300.48</v>
      </c>
      <c r="CT294" s="1924">
        <v>300.48</v>
      </c>
      <c r="CU294" s="1924">
        <v>0.72909999999999997</v>
      </c>
      <c r="CV294" s="1924">
        <v>0</v>
      </c>
      <c r="CW294" s="1924">
        <v>84996</v>
      </c>
      <c r="CX294" s="1894">
        <f t="shared" si="132"/>
        <v>134134</v>
      </c>
      <c r="CY294" s="1894">
        <f t="shared" si="133"/>
        <v>0</v>
      </c>
    </row>
    <row r="295" spans="1:103">
      <c r="A295" s="982">
        <v>122000000027</v>
      </c>
      <c r="B295" s="1923">
        <f t="shared" si="134"/>
        <v>289</v>
      </c>
      <c r="C295" s="1895" t="s">
        <v>3177</v>
      </c>
      <c r="D295" s="1894" t="s">
        <v>524</v>
      </c>
      <c r="E295" s="1895" t="s">
        <v>541</v>
      </c>
      <c r="F295" s="1894" t="s">
        <v>259</v>
      </c>
      <c r="G295" s="1924">
        <v>200</v>
      </c>
      <c r="H295" s="1894">
        <v>200</v>
      </c>
      <c r="I295" s="1894">
        <v>228.79999999999998</v>
      </c>
      <c r="J295" s="1894">
        <v>228.8</v>
      </c>
      <c r="K295" s="1894">
        <v>0.80830000000000002</v>
      </c>
      <c r="L295" s="1894">
        <v>23.27</v>
      </c>
      <c r="M295" s="1894">
        <v>38328</v>
      </c>
      <c r="N295" s="1894">
        <f t="shared" si="112"/>
        <v>98842</v>
      </c>
      <c r="O295" s="1894">
        <f t="shared" si="113"/>
        <v>0</v>
      </c>
      <c r="P295" s="1894">
        <v>200</v>
      </c>
      <c r="Q295" s="1894">
        <v>260</v>
      </c>
      <c r="R295" s="1894">
        <v>260</v>
      </c>
      <c r="S295" s="1894">
        <v>0.93540000000000001</v>
      </c>
      <c r="T295" s="1894">
        <v>35.44</v>
      </c>
      <c r="U295" s="1894">
        <v>68560</v>
      </c>
      <c r="V295" s="1894">
        <f t="shared" si="114"/>
        <v>116064</v>
      </c>
      <c r="W295" s="1894">
        <f t="shared" si="115"/>
        <v>0</v>
      </c>
      <c r="X295" s="1894">
        <v>200</v>
      </c>
      <c r="Y295" s="1894">
        <v>309.44</v>
      </c>
      <c r="Z295" s="1894">
        <v>309.44</v>
      </c>
      <c r="AA295" s="1894">
        <v>0.91900000000000004</v>
      </c>
      <c r="AB295" s="1894">
        <v>52.73</v>
      </c>
      <c r="AC295" s="1894">
        <v>113572</v>
      </c>
      <c r="AD295" s="1894">
        <f t="shared" si="116"/>
        <v>133678</v>
      </c>
      <c r="AE295" s="1894">
        <f t="shared" si="117"/>
        <v>0</v>
      </c>
      <c r="AF295" s="1894">
        <v>200</v>
      </c>
      <c r="AG295" s="1894">
        <v>305.76</v>
      </c>
      <c r="AH295" s="1894">
        <v>305.76</v>
      </c>
      <c r="AI295" s="1894">
        <v>0.91720000000000002</v>
      </c>
      <c r="AJ295" s="1894">
        <v>53.04</v>
      </c>
      <c r="AK295" s="1894">
        <v>124556</v>
      </c>
      <c r="AL295" s="1894">
        <f t="shared" si="110"/>
        <v>136491</v>
      </c>
      <c r="AM295" s="1894">
        <f t="shared" si="111"/>
        <v>0</v>
      </c>
      <c r="AN295" s="1894">
        <v>200</v>
      </c>
      <c r="AO295" s="1894">
        <v>176.8</v>
      </c>
      <c r="AP295" s="1894">
        <v>176.8</v>
      </c>
      <c r="AQ295" s="1894">
        <v>0.90449999999999997</v>
      </c>
      <c r="AR295" s="1894">
        <v>63.7</v>
      </c>
      <c r="AS295" s="1894">
        <v>83790</v>
      </c>
      <c r="AT295" s="1894">
        <f t="shared" si="118"/>
        <v>78924</v>
      </c>
      <c r="AU295" s="1894">
        <f t="shared" si="119"/>
        <v>4866</v>
      </c>
      <c r="AV295" s="1894">
        <v>200</v>
      </c>
      <c r="AW295" s="1894">
        <v>329.44</v>
      </c>
      <c r="AX295" s="1894">
        <v>329.44</v>
      </c>
      <c r="AY295" s="1894">
        <v>0.8528</v>
      </c>
      <c r="AZ295" s="1894">
        <v>32.85</v>
      </c>
      <c r="BA295" s="1894">
        <v>77908</v>
      </c>
      <c r="BB295" s="1894">
        <f t="shared" si="120"/>
        <v>142318</v>
      </c>
      <c r="BC295" s="1894">
        <f t="shared" si="121"/>
        <v>0</v>
      </c>
      <c r="BD295" s="1894">
        <v>200</v>
      </c>
      <c r="BE295" s="1894">
        <v>277.12</v>
      </c>
      <c r="BF295" s="1894">
        <v>277.12</v>
      </c>
      <c r="BG295" s="1894">
        <v>0.82550000000000001</v>
      </c>
      <c r="BH295" s="1894">
        <v>37.26</v>
      </c>
      <c r="BI295" s="1894">
        <v>76818</v>
      </c>
      <c r="BJ295" s="1894">
        <f t="shared" si="122"/>
        <v>123706</v>
      </c>
      <c r="BK295" s="1894">
        <f t="shared" si="123"/>
        <v>0</v>
      </c>
      <c r="BL295" s="1894">
        <v>200</v>
      </c>
      <c r="BM295" s="1894">
        <v>228.96</v>
      </c>
      <c r="BN295" s="1894">
        <v>228.96</v>
      </c>
      <c r="BO295" s="1894">
        <v>0.82099999999999995</v>
      </c>
      <c r="BP295" s="1894">
        <v>31.12</v>
      </c>
      <c r="BQ295" s="1894">
        <v>51308</v>
      </c>
      <c r="BR295" s="1894">
        <f t="shared" si="124"/>
        <v>98911</v>
      </c>
      <c r="BS295" s="1894">
        <f t="shared" si="125"/>
        <v>0</v>
      </c>
      <c r="BT295" s="1894">
        <v>200</v>
      </c>
      <c r="BU295" s="1894">
        <v>157.44</v>
      </c>
      <c r="BV295" s="1894">
        <v>160</v>
      </c>
      <c r="BW295" s="1894">
        <v>0.81200000000000006</v>
      </c>
      <c r="BX295" s="1894">
        <v>13.96</v>
      </c>
      <c r="BY295" s="1894">
        <v>16356</v>
      </c>
      <c r="BZ295" s="1894">
        <f t="shared" si="126"/>
        <v>70281</v>
      </c>
      <c r="CA295" s="1894">
        <f t="shared" si="127"/>
        <v>0</v>
      </c>
      <c r="CB295" s="1894">
        <v>200</v>
      </c>
      <c r="CC295" s="1894">
        <v>109.44</v>
      </c>
      <c r="CD295" s="1894">
        <v>160</v>
      </c>
      <c r="CE295" s="1894">
        <v>0.78690000000000004</v>
      </c>
      <c r="CF295" s="1894">
        <v>15.79</v>
      </c>
      <c r="CG295" s="1894">
        <v>12854</v>
      </c>
      <c r="CH295" s="1894">
        <f t="shared" si="128"/>
        <v>48854</v>
      </c>
      <c r="CI295" s="1894">
        <f t="shared" si="129"/>
        <v>0</v>
      </c>
      <c r="CJ295" s="1894">
        <v>200</v>
      </c>
      <c r="CK295" s="1894">
        <v>113.6</v>
      </c>
      <c r="CL295" s="1894">
        <v>160</v>
      </c>
      <c r="CM295" s="1894">
        <v>0.83750000000000002</v>
      </c>
      <c r="CN295" s="1894">
        <v>6.93</v>
      </c>
      <c r="CO295" s="1894">
        <v>5294</v>
      </c>
      <c r="CP295" s="1894">
        <f t="shared" si="130"/>
        <v>45804</v>
      </c>
      <c r="CQ295" s="1894">
        <f t="shared" si="131"/>
        <v>0</v>
      </c>
      <c r="CR295" s="1924">
        <v>200</v>
      </c>
      <c r="CS295" s="1924">
        <v>128.16</v>
      </c>
      <c r="CT295" s="1924">
        <v>160</v>
      </c>
      <c r="CU295" s="1924">
        <v>0.76119999999999999</v>
      </c>
      <c r="CV295" s="1924">
        <v>16.93</v>
      </c>
      <c r="CW295" s="1924">
        <v>16144</v>
      </c>
      <c r="CX295" s="1894">
        <f t="shared" si="132"/>
        <v>57211</v>
      </c>
      <c r="CY295" s="1894">
        <f t="shared" si="133"/>
        <v>0</v>
      </c>
    </row>
    <row r="296" spans="1:103">
      <c r="A296" s="982">
        <v>122000000057</v>
      </c>
      <c r="B296" s="1923">
        <f t="shared" si="134"/>
        <v>290</v>
      </c>
      <c r="C296" s="1895" t="s">
        <v>3178</v>
      </c>
      <c r="D296" s="1894" t="s">
        <v>524</v>
      </c>
      <c r="E296" s="1895" t="s">
        <v>541</v>
      </c>
      <c r="F296" s="1894" t="s">
        <v>259</v>
      </c>
      <c r="G296" s="1924">
        <v>200</v>
      </c>
      <c r="H296" s="1894">
        <v>200</v>
      </c>
      <c r="I296" s="1894">
        <v>88</v>
      </c>
      <c r="J296" s="1894">
        <v>160</v>
      </c>
      <c r="K296" s="1894">
        <v>0.95889999999999997</v>
      </c>
      <c r="L296" s="1894">
        <v>44.67</v>
      </c>
      <c r="M296" s="1894">
        <v>30188</v>
      </c>
      <c r="N296" s="1894">
        <f t="shared" si="112"/>
        <v>38016</v>
      </c>
      <c r="O296" s="1894">
        <f t="shared" si="113"/>
        <v>0</v>
      </c>
      <c r="P296" s="1894">
        <v>200</v>
      </c>
      <c r="Q296" s="1894">
        <v>82.399999999999991</v>
      </c>
      <c r="R296" s="1894">
        <v>160</v>
      </c>
      <c r="S296" s="1894">
        <v>0.95820000000000005</v>
      </c>
      <c r="T296" s="1894">
        <v>48.79</v>
      </c>
      <c r="U296" s="1894">
        <v>29912</v>
      </c>
      <c r="V296" s="1894">
        <f t="shared" si="114"/>
        <v>36783</v>
      </c>
      <c r="W296" s="1894">
        <f t="shared" si="115"/>
        <v>0</v>
      </c>
      <c r="X296" s="1894">
        <v>200</v>
      </c>
      <c r="Y296" s="1894">
        <v>78.400000000000006</v>
      </c>
      <c r="Z296" s="1894">
        <v>160</v>
      </c>
      <c r="AA296" s="1894">
        <v>0.95720000000000005</v>
      </c>
      <c r="AB296" s="1894">
        <v>48.74</v>
      </c>
      <c r="AC296" s="1894">
        <v>28428</v>
      </c>
      <c r="AD296" s="1894">
        <f t="shared" si="116"/>
        <v>33869</v>
      </c>
      <c r="AE296" s="1894">
        <f t="shared" si="117"/>
        <v>0</v>
      </c>
      <c r="AF296" s="1894">
        <v>200</v>
      </c>
      <c r="AG296" s="1894">
        <v>84</v>
      </c>
      <c r="AH296" s="1894">
        <v>160</v>
      </c>
      <c r="AI296" s="1894">
        <v>0.95740000000000003</v>
      </c>
      <c r="AJ296" s="1894">
        <v>50.26</v>
      </c>
      <c r="AK296" s="1894">
        <v>31408</v>
      </c>
      <c r="AL296" s="1894">
        <f t="shared" si="110"/>
        <v>37498</v>
      </c>
      <c r="AM296" s="1894">
        <f t="shared" si="111"/>
        <v>0</v>
      </c>
      <c r="AN296" s="1894">
        <v>200</v>
      </c>
      <c r="AO296" s="1894">
        <v>84</v>
      </c>
      <c r="AP296" s="1894">
        <v>160</v>
      </c>
      <c r="AQ296" s="1894">
        <v>0.95489999999999997</v>
      </c>
      <c r="AR296" s="1894">
        <v>44.6</v>
      </c>
      <c r="AS296" s="1894">
        <v>27876</v>
      </c>
      <c r="AT296" s="1894">
        <f t="shared" si="118"/>
        <v>37498</v>
      </c>
      <c r="AU296" s="1894">
        <f t="shared" si="119"/>
        <v>0</v>
      </c>
      <c r="AV296" s="1894">
        <v>200</v>
      </c>
      <c r="AW296" s="1894">
        <v>81.599999999999994</v>
      </c>
      <c r="AX296" s="1894">
        <v>160</v>
      </c>
      <c r="AY296" s="1894">
        <v>0.95369999999999999</v>
      </c>
      <c r="AZ296" s="1894">
        <v>45.27</v>
      </c>
      <c r="BA296" s="1894">
        <v>25708</v>
      </c>
      <c r="BB296" s="1894">
        <f t="shared" si="120"/>
        <v>35251</v>
      </c>
      <c r="BC296" s="1894">
        <f t="shared" si="121"/>
        <v>0</v>
      </c>
      <c r="BD296" s="1894">
        <v>200</v>
      </c>
      <c r="BE296" s="1894">
        <v>70.399999999999991</v>
      </c>
      <c r="BF296" s="1894">
        <v>160</v>
      </c>
      <c r="BG296" s="1894">
        <v>0.94899999999999995</v>
      </c>
      <c r="BH296" s="1894">
        <v>51.86</v>
      </c>
      <c r="BI296" s="1894">
        <v>27164</v>
      </c>
      <c r="BJ296" s="1894">
        <f t="shared" si="122"/>
        <v>31427</v>
      </c>
      <c r="BK296" s="1894">
        <f t="shared" si="123"/>
        <v>0</v>
      </c>
      <c r="BL296" s="1894">
        <v>200</v>
      </c>
      <c r="BM296" s="1894">
        <v>77.600000000000009</v>
      </c>
      <c r="BN296" s="1894">
        <v>160</v>
      </c>
      <c r="BO296" s="1894">
        <v>0.94820000000000004</v>
      </c>
      <c r="BP296" s="1894">
        <v>52.06</v>
      </c>
      <c r="BQ296" s="1894">
        <v>28116</v>
      </c>
      <c r="BR296" s="1894">
        <f t="shared" si="124"/>
        <v>33523</v>
      </c>
      <c r="BS296" s="1894">
        <f t="shared" si="125"/>
        <v>0</v>
      </c>
      <c r="BT296" s="1894">
        <v>200</v>
      </c>
      <c r="BU296" s="1894">
        <v>79.2</v>
      </c>
      <c r="BV296" s="1894">
        <v>160</v>
      </c>
      <c r="BW296" s="1894">
        <v>0.94510000000000005</v>
      </c>
      <c r="BX296" s="1894">
        <v>52.35</v>
      </c>
      <c r="BY296" s="1894">
        <v>30848</v>
      </c>
      <c r="BZ296" s="1894">
        <f t="shared" si="126"/>
        <v>35355</v>
      </c>
      <c r="CA296" s="1894">
        <f t="shared" si="127"/>
        <v>0</v>
      </c>
      <c r="CB296" s="1894">
        <v>200</v>
      </c>
      <c r="CC296" s="1894">
        <v>69.599999999999994</v>
      </c>
      <c r="CD296" s="1894">
        <v>160</v>
      </c>
      <c r="CE296" s="1894">
        <v>0.94869999999999999</v>
      </c>
      <c r="CF296" s="1894">
        <v>53.46</v>
      </c>
      <c r="CG296" s="1894">
        <v>30364</v>
      </c>
      <c r="CH296" s="1894">
        <f t="shared" si="128"/>
        <v>31069</v>
      </c>
      <c r="CI296" s="1894">
        <f t="shared" si="129"/>
        <v>0</v>
      </c>
      <c r="CJ296" s="1894">
        <v>200</v>
      </c>
      <c r="CK296" s="1894">
        <v>100.8</v>
      </c>
      <c r="CL296" s="1894">
        <v>160</v>
      </c>
      <c r="CM296" s="1894">
        <v>0.95240000000000002</v>
      </c>
      <c r="CN296" s="1894">
        <v>41.43</v>
      </c>
      <c r="CO296" s="1894">
        <v>25056</v>
      </c>
      <c r="CP296" s="1894">
        <f t="shared" si="130"/>
        <v>40643</v>
      </c>
      <c r="CQ296" s="1894">
        <f t="shared" si="131"/>
        <v>0</v>
      </c>
      <c r="CR296" s="1924">
        <v>200</v>
      </c>
      <c r="CS296" s="1924">
        <v>100.8</v>
      </c>
      <c r="CT296" s="1924">
        <v>160</v>
      </c>
      <c r="CU296" s="1924">
        <v>0.95120000000000005</v>
      </c>
      <c r="CV296" s="1924">
        <v>41.13</v>
      </c>
      <c r="CW296" s="1924">
        <v>30844</v>
      </c>
      <c r="CX296" s="1894">
        <f t="shared" si="132"/>
        <v>44997</v>
      </c>
      <c r="CY296" s="1894">
        <f t="shared" si="133"/>
        <v>0</v>
      </c>
    </row>
    <row r="297" spans="1:103">
      <c r="A297" s="982">
        <v>122000000081</v>
      </c>
      <c r="B297" s="1923">
        <f t="shared" si="134"/>
        <v>291</v>
      </c>
      <c r="C297" s="1895" t="s">
        <v>3179</v>
      </c>
      <c r="D297" s="1894" t="s">
        <v>524</v>
      </c>
      <c r="E297" s="1895" t="s">
        <v>541</v>
      </c>
      <c r="F297" s="1894" t="s">
        <v>259</v>
      </c>
      <c r="G297" s="1924">
        <v>200</v>
      </c>
      <c r="H297" s="1894">
        <v>200</v>
      </c>
      <c r="I297" s="1894">
        <v>120.8</v>
      </c>
      <c r="J297" s="1894">
        <v>160</v>
      </c>
      <c r="K297" s="1894">
        <v>0.93010000000000004</v>
      </c>
      <c r="L297" s="1894">
        <v>22.66</v>
      </c>
      <c r="M297" s="1894">
        <v>22996</v>
      </c>
      <c r="N297" s="1894">
        <f t="shared" si="112"/>
        <v>52186</v>
      </c>
      <c r="O297" s="1894">
        <f t="shared" si="113"/>
        <v>0</v>
      </c>
      <c r="P297" s="1894">
        <v>200</v>
      </c>
      <c r="Q297" s="1894">
        <v>115.99999999999999</v>
      </c>
      <c r="R297" s="1894">
        <v>160</v>
      </c>
      <c r="S297" s="1894">
        <v>0.97809999999999997</v>
      </c>
      <c r="T297" s="1894">
        <v>25.09</v>
      </c>
      <c r="U297" s="1894">
        <v>20258</v>
      </c>
      <c r="V297" s="1894">
        <f t="shared" si="114"/>
        <v>51782</v>
      </c>
      <c r="W297" s="1894">
        <f t="shared" si="115"/>
        <v>0</v>
      </c>
      <c r="X297" s="1894">
        <v>200</v>
      </c>
      <c r="Y297" s="1894">
        <v>106.80000000000001</v>
      </c>
      <c r="Z297" s="1894">
        <v>160</v>
      </c>
      <c r="AA297" s="1894">
        <v>0.86170000000000002</v>
      </c>
      <c r="AB297" s="1894">
        <v>24.95</v>
      </c>
      <c r="AC297" s="1894">
        <v>17267</v>
      </c>
      <c r="AD297" s="1894">
        <f t="shared" si="116"/>
        <v>46138</v>
      </c>
      <c r="AE297" s="1894">
        <f t="shared" si="117"/>
        <v>0</v>
      </c>
      <c r="AF297" s="1894">
        <v>200</v>
      </c>
      <c r="AG297" s="1894">
        <v>103.03999999999999</v>
      </c>
      <c r="AH297" s="1894">
        <v>160</v>
      </c>
      <c r="AI297" s="1894">
        <v>0.95150000000000001</v>
      </c>
      <c r="AJ297" s="1894">
        <v>29.65</v>
      </c>
      <c r="AK297" s="1894">
        <v>26397</v>
      </c>
      <c r="AL297" s="1894">
        <f t="shared" si="110"/>
        <v>45997</v>
      </c>
      <c r="AM297" s="1894">
        <f t="shared" si="111"/>
        <v>0</v>
      </c>
      <c r="AN297" s="1894">
        <v>200</v>
      </c>
      <c r="AO297" s="1894">
        <v>9.5200000000000014</v>
      </c>
      <c r="AP297" s="1894">
        <v>160</v>
      </c>
      <c r="AQ297" s="1894">
        <v>0.97750000000000004</v>
      </c>
      <c r="AR297" s="1894">
        <v>182.55</v>
      </c>
      <c r="AS297" s="1894">
        <v>12930</v>
      </c>
      <c r="AT297" s="1894">
        <f t="shared" si="118"/>
        <v>4250</v>
      </c>
      <c r="AU297" s="1894">
        <f t="shared" si="119"/>
        <v>8680</v>
      </c>
      <c r="AV297" s="1894">
        <v>200</v>
      </c>
      <c r="AW297" s="1894">
        <v>85.11999999999999</v>
      </c>
      <c r="AX297" s="1894">
        <v>160</v>
      </c>
      <c r="AY297" s="1894">
        <v>0.97160000000000002</v>
      </c>
      <c r="AZ297" s="1894">
        <v>22.29</v>
      </c>
      <c r="BA297" s="1894">
        <v>13662</v>
      </c>
      <c r="BB297" s="1894">
        <f t="shared" si="120"/>
        <v>36772</v>
      </c>
      <c r="BC297" s="1894">
        <f t="shared" si="121"/>
        <v>0</v>
      </c>
      <c r="BD297" s="1894">
        <v>200</v>
      </c>
      <c r="BE297" s="1894">
        <v>64.64</v>
      </c>
      <c r="BF297" s="1894">
        <v>160</v>
      </c>
      <c r="BG297" s="1894">
        <v>0.91100000000000003</v>
      </c>
      <c r="BH297" s="1894">
        <v>16.52</v>
      </c>
      <c r="BI297" s="1894">
        <v>7944</v>
      </c>
      <c r="BJ297" s="1894">
        <f t="shared" si="122"/>
        <v>28855</v>
      </c>
      <c r="BK297" s="1894">
        <f t="shared" si="123"/>
        <v>0</v>
      </c>
      <c r="BL297" s="1894">
        <v>200</v>
      </c>
      <c r="BM297" s="1894">
        <v>64.16</v>
      </c>
      <c r="BN297" s="1894">
        <v>160</v>
      </c>
      <c r="BO297" s="1894">
        <v>0.84960000000000002</v>
      </c>
      <c r="BP297" s="1894">
        <v>20.059999999999999</v>
      </c>
      <c r="BQ297" s="1894">
        <v>9267</v>
      </c>
      <c r="BR297" s="1894">
        <f t="shared" si="124"/>
        <v>27717</v>
      </c>
      <c r="BS297" s="1894">
        <f t="shared" si="125"/>
        <v>0</v>
      </c>
      <c r="BT297" s="1894">
        <v>200</v>
      </c>
      <c r="BU297" s="1894">
        <v>56.8</v>
      </c>
      <c r="BV297" s="1894">
        <v>160</v>
      </c>
      <c r="BW297" s="1894">
        <v>0.92369999999999997</v>
      </c>
      <c r="BX297" s="1894">
        <v>23.87</v>
      </c>
      <c r="BY297" s="1894">
        <v>10089</v>
      </c>
      <c r="BZ297" s="1894">
        <f t="shared" si="126"/>
        <v>25356</v>
      </c>
      <c r="CA297" s="1894">
        <f t="shared" si="127"/>
        <v>0</v>
      </c>
      <c r="CB297" s="1894">
        <v>200</v>
      </c>
      <c r="CC297" s="1894">
        <v>54.32</v>
      </c>
      <c r="CD297" s="1894">
        <v>160</v>
      </c>
      <c r="CE297" s="1894">
        <v>0.95750000000000002</v>
      </c>
      <c r="CF297" s="1894">
        <v>20.05</v>
      </c>
      <c r="CG297" s="1894">
        <v>8105</v>
      </c>
      <c r="CH297" s="1894">
        <f t="shared" si="128"/>
        <v>24248</v>
      </c>
      <c r="CI297" s="1894">
        <f t="shared" si="129"/>
        <v>0</v>
      </c>
      <c r="CJ297" s="1894">
        <v>200</v>
      </c>
      <c r="CK297" s="1894">
        <v>61.28</v>
      </c>
      <c r="CL297" s="1894">
        <v>160</v>
      </c>
      <c r="CM297" s="1894">
        <v>0.95469999999999999</v>
      </c>
      <c r="CN297" s="1894">
        <v>20.239999999999998</v>
      </c>
      <c r="CO297" s="1894">
        <v>8335</v>
      </c>
      <c r="CP297" s="1894">
        <f t="shared" si="130"/>
        <v>24708</v>
      </c>
      <c r="CQ297" s="1894">
        <f t="shared" si="131"/>
        <v>0</v>
      </c>
      <c r="CR297" s="1924">
        <v>200</v>
      </c>
      <c r="CS297" s="1924">
        <v>58.56</v>
      </c>
      <c r="CT297" s="1924">
        <v>160</v>
      </c>
      <c r="CU297" s="1924">
        <v>0.95930000000000004</v>
      </c>
      <c r="CV297" s="1924">
        <v>23.27</v>
      </c>
      <c r="CW297" s="1924">
        <v>10140</v>
      </c>
      <c r="CX297" s="1894">
        <f t="shared" si="132"/>
        <v>26141</v>
      </c>
      <c r="CY297" s="1894">
        <f t="shared" si="133"/>
        <v>0</v>
      </c>
    </row>
    <row r="298" spans="1:103">
      <c r="A298" s="982">
        <v>123000000084</v>
      </c>
      <c r="B298" s="1923">
        <f t="shared" si="134"/>
        <v>292</v>
      </c>
      <c r="C298" s="1895" t="s">
        <v>3180</v>
      </c>
      <c r="D298" s="1894" t="s">
        <v>2930</v>
      </c>
      <c r="E298" s="1895" t="s">
        <v>541</v>
      </c>
      <c r="F298" s="1894" t="s">
        <v>259</v>
      </c>
      <c r="G298" s="1924">
        <v>200</v>
      </c>
      <c r="H298" s="1894">
        <v>200</v>
      </c>
      <c r="I298" s="1894">
        <v>87.039999999999992</v>
      </c>
      <c r="J298" s="1894">
        <v>160</v>
      </c>
      <c r="K298" s="1894">
        <v>0.78480000000000005</v>
      </c>
      <c r="L298" s="1894">
        <v>15.81</v>
      </c>
      <c r="M298" s="1894">
        <v>9910</v>
      </c>
      <c r="N298" s="1894">
        <f t="shared" si="112"/>
        <v>37601</v>
      </c>
      <c r="O298" s="1894">
        <f t="shared" si="113"/>
        <v>0</v>
      </c>
      <c r="P298" s="1894">
        <v>200</v>
      </c>
      <c r="Q298" s="1894">
        <v>90.56</v>
      </c>
      <c r="R298" s="1894">
        <v>160</v>
      </c>
      <c r="S298" s="1894">
        <v>0.82110000000000005</v>
      </c>
      <c r="T298" s="1894">
        <v>19.399999999999999</v>
      </c>
      <c r="U298" s="1894">
        <v>13074</v>
      </c>
      <c r="V298" s="1894">
        <f t="shared" si="114"/>
        <v>40426</v>
      </c>
      <c r="W298" s="1894">
        <f t="shared" si="115"/>
        <v>0</v>
      </c>
      <c r="X298" s="1894">
        <v>200</v>
      </c>
      <c r="Y298" s="1894">
        <v>87.039999999999992</v>
      </c>
      <c r="Z298" s="1894">
        <v>160</v>
      </c>
      <c r="AA298" s="1894">
        <v>0.80079999999999996</v>
      </c>
      <c r="AB298" s="1894">
        <v>16.440000000000001</v>
      </c>
      <c r="AC298" s="1894">
        <v>10304</v>
      </c>
      <c r="AD298" s="1894">
        <f t="shared" si="116"/>
        <v>37601</v>
      </c>
      <c r="AE298" s="1894">
        <f t="shared" si="117"/>
        <v>0</v>
      </c>
      <c r="AF298" s="1894">
        <v>200</v>
      </c>
      <c r="AG298" s="1894">
        <v>92</v>
      </c>
      <c r="AH298" s="1894">
        <v>160</v>
      </c>
      <c r="AI298" s="1894">
        <v>0.74680000000000002</v>
      </c>
      <c r="AJ298" s="1894">
        <v>8.8000000000000007</v>
      </c>
      <c r="AK298" s="1894">
        <v>5632</v>
      </c>
      <c r="AL298" s="1894">
        <f t="shared" si="110"/>
        <v>41069</v>
      </c>
      <c r="AM298" s="1894">
        <f t="shared" si="111"/>
        <v>0</v>
      </c>
      <c r="AN298" s="1894">
        <v>200</v>
      </c>
      <c r="AO298" s="1894">
        <v>76</v>
      </c>
      <c r="AP298" s="1894">
        <v>160</v>
      </c>
      <c r="AQ298" s="1894">
        <v>0</v>
      </c>
      <c r="AR298" s="1894">
        <v>0</v>
      </c>
      <c r="AS298" s="1894">
        <v>0</v>
      </c>
      <c r="AT298" s="1894">
        <f t="shared" si="118"/>
        <v>33926</v>
      </c>
      <c r="AU298" s="1894">
        <f t="shared" si="119"/>
        <v>0</v>
      </c>
      <c r="AV298" s="1894">
        <v>200</v>
      </c>
      <c r="AW298" s="1894">
        <v>0</v>
      </c>
      <c r="AX298" s="1894">
        <v>160</v>
      </c>
      <c r="AY298" s="1894">
        <v>0</v>
      </c>
      <c r="AZ298" s="1894">
        <v>0</v>
      </c>
      <c r="BA298" s="1894">
        <v>0</v>
      </c>
      <c r="BB298" s="1894">
        <f t="shared" si="120"/>
        <v>0</v>
      </c>
      <c r="BC298" s="1894">
        <f t="shared" si="121"/>
        <v>0</v>
      </c>
      <c r="BD298" s="1894">
        <v>200</v>
      </c>
      <c r="BE298" s="1894">
        <v>0</v>
      </c>
      <c r="BF298" s="1894">
        <v>160</v>
      </c>
      <c r="BG298" s="1894">
        <v>0</v>
      </c>
      <c r="BH298" s="1894">
        <v>0</v>
      </c>
      <c r="BI298" s="1894">
        <v>0</v>
      </c>
      <c r="BJ298" s="1894">
        <f t="shared" si="122"/>
        <v>0</v>
      </c>
      <c r="BK298" s="1894">
        <f t="shared" si="123"/>
        <v>0</v>
      </c>
      <c r="BL298" s="1894">
        <v>200</v>
      </c>
      <c r="BM298" s="1894">
        <v>0</v>
      </c>
      <c r="BN298" s="1894">
        <v>160</v>
      </c>
      <c r="BO298" s="1894">
        <v>0</v>
      </c>
      <c r="BP298" s="1894">
        <v>0</v>
      </c>
      <c r="BQ298" s="1894">
        <v>0</v>
      </c>
      <c r="BR298" s="1894">
        <f t="shared" si="124"/>
        <v>0</v>
      </c>
      <c r="BS298" s="1894">
        <f t="shared" si="125"/>
        <v>0</v>
      </c>
      <c r="BT298" s="1894">
        <v>200</v>
      </c>
      <c r="BU298" s="1894">
        <v>0</v>
      </c>
      <c r="BV298" s="1894">
        <v>160</v>
      </c>
      <c r="BW298" s="1894">
        <v>0</v>
      </c>
      <c r="BX298" s="1894">
        <v>0</v>
      </c>
      <c r="BY298" s="1894">
        <v>0</v>
      </c>
      <c r="BZ298" s="1894">
        <f t="shared" si="126"/>
        <v>0</v>
      </c>
      <c r="CA298" s="1894">
        <f t="shared" si="127"/>
        <v>0</v>
      </c>
      <c r="CB298" s="1894">
        <v>200</v>
      </c>
      <c r="CC298" s="1894">
        <v>0</v>
      </c>
      <c r="CD298" s="1894">
        <v>160</v>
      </c>
      <c r="CE298" s="1894">
        <v>0</v>
      </c>
      <c r="CF298" s="1894">
        <v>0</v>
      </c>
      <c r="CG298" s="1894">
        <v>0</v>
      </c>
      <c r="CH298" s="1894">
        <f t="shared" si="128"/>
        <v>0</v>
      </c>
      <c r="CI298" s="1894">
        <f t="shared" si="129"/>
        <v>0</v>
      </c>
      <c r="CJ298" s="1894">
        <v>200</v>
      </c>
      <c r="CK298" s="1894">
        <v>0</v>
      </c>
      <c r="CL298" s="1894">
        <v>160</v>
      </c>
      <c r="CM298" s="1894">
        <v>0</v>
      </c>
      <c r="CN298" s="1894">
        <v>0</v>
      </c>
      <c r="CO298" s="1894">
        <v>0</v>
      </c>
      <c r="CP298" s="1894">
        <f t="shared" si="130"/>
        <v>0</v>
      </c>
      <c r="CQ298" s="1894">
        <f t="shared" si="131"/>
        <v>0</v>
      </c>
      <c r="CR298" s="1924">
        <v>200</v>
      </c>
      <c r="CS298" s="1924">
        <v>0</v>
      </c>
      <c r="CT298" s="1924">
        <v>160</v>
      </c>
      <c r="CU298" s="1924">
        <v>0</v>
      </c>
      <c r="CV298" s="1924">
        <v>0</v>
      </c>
      <c r="CW298" s="1924">
        <v>0</v>
      </c>
      <c r="CX298" s="1894">
        <f t="shared" si="132"/>
        <v>0</v>
      </c>
      <c r="CY298" s="1894">
        <f t="shared" si="133"/>
        <v>0</v>
      </c>
    </row>
    <row r="299" spans="1:103">
      <c r="A299" s="982">
        <v>123000000112</v>
      </c>
      <c r="B299" s="1923">
        <f t="shared" si="134"/>
        <v>293</v>
      </c>
      <c r="C299" s="1895" t="s">
        <v>3181</v>
      </c>
      <c r="D299" s="1894" t="s">
        <v>524</v>
      </c>
      <c r="E299" s="1895" t="s">
        <v>2966</v>
      </c>
      <c r="F299" s="1894" t="s">
        <v>259</v>
      </c>
      <c r="G299" s="1924">
        <v>200</v>
      </c>
      <c r="H299" s="1894">
        <v>200</v>
      </c>
      <c r="I299" s="1894">
        <v>26.72</v>
      </c>
      <c r="J299" s="1894">
        <v>200</v>
      </c>
      <c r="K299" s="1894">
        <v>0.86529999999999996</v>
      </c>
      <c r="L299" s="1894">
        <v>0</v>
      </c>
      <c r="M299" s="1894">
        <v>5362</v>
      </c>
      <c r="N299" s="1894">
        <f t="shared" si="112"/>
        <v>11543</v>
      </c>
      <c r="O299" s="1894">
        <f t="shared" si="113"/>
        <v>0</v>
      </c>
      <c r="P299" s="1894">
        <v>200</v>
      </c>
      <c r="Q299" s="1894">
        <v>35.68</v>
      </c>
      <c r="R299" s="1894">
        <v>200</v>
      </c>
      <c r="S299" s="1894">
        <v>0.86170000000000002</v>
      </c>
      <c r="T299" s="1894">
        <v>0</v>
      </c>
      <c r="U299" s="1894">
        <v>7348</v>
      </c>
      <c r="V299" s="1894">
        <f t="shared" si="114"/>
        <v>15928</v>
      </c>
      <c r="W299" s="1894">
        <f t="shared" si="115"/>
        <v>0</v>
      </c>
      <c r="X299" s="1894">
        <v>200</v>
      </c>
      <c r="Y299" s="1894">
        <v>40.160000000000004</v>
      </c>
      <c r="Z299" s="1894">
        <v>200</v>
      </c>
      <c r="AA299" s="1894">
        <v>0.8579</v>
      </c>
      <c r="AB299" s="1894">
        <v>0</v>
      </c>
      <c r="AC299" s="1894">
        <v>9882</v>
      </c>
      <c r="AD299" s="1894">
        <f t="shared" si="116"/>
        <v>17349</v>
      </c>
      <c r="AE299" s="1894">
        <f t="shared" si="117"/>
        <v>0</v>
      </c>
      <c r="AF299" s="1894">
        <v>200</v>
      </c>
      <c r="AG299" s="1894">
        <v>33.6</v>
      </c>
      <c r="AH299" s="1894">
        <v>200</v>
      </c>
      <c r="AI299" s="1894">
        <v>0.8286</v>
      </c>
      <c r="AJ299" s="1894">
        <v>0</v>
      </c>
      <c r="AK299" s="1894">
        <v>5440</v>
      </c>
      <c r="AL299" s="1894">
        <f t="shared" si="110"/>
        <v>14999</v>
      </c>
      <c r="AM299" s="1894">
        <f t="shared" si="111"/>
        <v>0</v>
      </c>
      <c r="AN299" s="1894">
        <v>200</v>
      </c>
      <c r="AO299" s="1894">
        <v>24.16</v>
      </c>
      <c r="AP299" s="1894">
        <v>200</v>
      </c>
      <c r="AQ299" s="1894">
        <v>0.82040000000000002</v>
      </c>
      <c r="AR299" s="1894">
        <v>0</v>
      </c>
      <c r="AS299" s="1894">
        <v>4746</v>
      </c>
      <c r="AT299" s="1894">
        <f t="shared" si="118"/>
        <v>10785</v>
      </c>
      <c r="AU299" s="1894">
        <f t="shared" si="119"/>
        <v>0</v>
      </c>
      <c r="AV299" s="1894">
        <v>200</v>
      </c>
      <c r="AW299" s="1894">
        <v>38.56</v>
      </c>
      <c r="AX299" s="1894">
        <v>200</v>
      </c>
      <c r="AY299" s="1894">
        <v>0.76929999999999998</v>
      </c>
      <c r="AZ299" s="1894">
        <v>0</v>
      </c>
      <c r="BA299" s="1894">
        <v>5150</v>
      </c>
      <c r="BB299" s="1894">
        <f t="shared" si="120"/>
        <v>16658</v>
      </c>
      <c r="BC299" s="1894">
        <f t="shared" si="121"/>
        <v>0</v>
      </c>
      <c r="BD299" s="1894">
        <v>200</v>
      </c>
      <c r="BE299" s="1894">
        <v>55.04</v>
      </c>
      <c r="BF299" s="1894">
        <v>200</v>
      </c>
      <c r="BG299" s="1894">
        <v>0.69040000000000001</v>
      </c>
      <c r="BH299" s="1894">
        <v>0</v>
      </c>
      <c r="BI299" s="1894">
        <v>12392</v>
      </c>
      <c r="BJ299" s="1894">
        <f t="shared" si="122"/>
        <v>24570</v>
      </c>
      <c r="BK299" s="1894">
        <f t="shared" si="123"/>
        <v>0</v>
      </c>
      <c r="BL299" s="1894">
        <v>200</v>
      </c>
      <c r="BM299" s="1894">
        <v>72.960000000000008</v>
      </c>
      <c r="BN299" s="1894">
        <v>200</v>
      </c>
      <c r="BO299" s="1894">
        <v>0.65059999999999996</v>
      </c>
      <c r="BP299" s="1894">
        <v>0</v>
      </c>
      <c r="BQ299" s="1894">
        <v>17864</v>
      </c>
      <c r="BR299" s="1894">
        <f t="shared" si="124"/>
        <v>31519</v>
      </c>
      <c r="BS299" s="1894">
        <f t="shared" si="125"/>
        <v>0</v>
      </c>
      <c r="BT299" s="1894">
        <v>200</v>
      </c>
      <c r="BU299" s="1894">
        <v>53.280000000000008</v>
      </c>
      <c r="BV299" s="1894">
        <v>200</v>
      </c>
      <c r="BW299" s="1894">
        <v>0.68269999999999997</v>
      </c>
      <c r="BX299" s="1894">
        <v>0</v>
      </c>
      <c r="BY299" s="1894">
        <v>12740</v>
      </c>
      <c r="BZ299" s="1894">
        <f t="shared" si="126"/>
        <v>23784</v>
      </c>
      <c r="CA299" s="1894">
        <f t="shared" si="127"/>
        <v>0</v>
      </c>
      <c r="CB299" s="1894">
        <v>200</v>
      </c>
      <c r="CC299" s="1894">
        <v>10.879999999999999</v>
      </c>
      <c r="CD299" s="1894">
        <v>200</v>
      </c>
      <c r="CE299" s="1894">
        <v>0.65349999999999997</v>
      </c>
      <c r="CF299" s="1894">
        <v>0</v>
      </c>
      <c r="CG299" s="1894">
        <v>2482</v>
      </c>
      <c r="CH299" s="1894">
        <f t="shared" si="128"/>
        <v>4857</v>
      </c>
      <c r="CI299" s="1894">
        <f t="shared" si="129"/>
        <v>0</v>
      </c>
      <c r="CJ299" s="1894">
        <v>200</v>
      </c>
      <c r="CK299" s="1894">
        <v>20</v>
      </c>
      <c r="CL299" s="1894">
        <v>200</v>
      </c>
      <c r="CM299" s="1894">
        <v>0.76580000000000004</v>
      </c>
      <c r="CN299" s="1894">
        <v>0</v>
      </c>
      <c r="CO299" s="1894">
        <v>2784</v>
      </c>
      <c r="CP299" s="1894">
        <f t="shared" si="130"/>
        <v>8064</v>
      </c>
      <c r="CQ299" s="1894">
        <f t="shared" si="131"/>
        <v>0</v>
      </c>
      <c r="CR299" s="1924">
        <v>200</v>
      </c>
      <c r="CS299" s="1924">
        <v>19.68</v>
      </c>
      <c r="CT299" s="1924">
        <v>200</v>
      </c>
      <c r="CU299" s="1924">
        <v>0.80520000000000003</v>
      </c>
      <c r="CV299" s="1924">
        <v>0</v>
      </c>
      <c r="CW299" s="1924">
        <v>4714</v>
      </c>
      <c r="CX299" s="1894">
        <f t="shared" si="132"/>
        <v>8785</v>
      </c>
      <c r="CY299" s="1894">
        <f t="shared" si="133"/>
        <v>0</v>
      </c>
    </row>
    <row r="300" spans="1:103">
      <c r="A300" s="982">
        <v>124000000057</v>
      </c>
      <c r="B300" s="1923">
        <f t="shared" si="134"/>
        <v>294</v>
      </c>
      <c r="C300" s="1895" t="s">
        <v>3182</v>
      </c>
      <c r="D300" s="1894" t="s">
        <v>524</v>
      </c>
      <c r="E300" s="1895" t="s">
        <v>737</v>
      </c>
      <c r="F300" s="1894" t="s">
        <v>259</v>
      </c>
      <c r="G300" s="1924">
        <v>200</v>
      </c>
      <c r="H300" s="1894">
        <v>200</v>
      </c>
      <c r="I300" s="1894">
        <v>44.800000000000004</v>
      </c>
      <c r="J300" s="1894">
        <v>160</v>
      </c>
      <c r="K300" s="1894">
        <v>0.97299999999999998</v>
      </c>
      <c r="L300" s="1894">
        <v>67.760000000000005</v>
      </c>
      <c r="M300" s="1894">
        <v>21856</v>
      </c>
      <c r="N300" s="1894">
        <f t="shared" si="112"/>
        <v>19354</v>
      </c>
      <c r="O300" s="1894">
        <f t="shared" si="113"/>
        <v>2502</v>
      </c>
      <c r="P300" s="1894">
        <v>200</v>
      </c>
      <c r="Q300" s="1894">
        <v>42.72</v>
      </c>
      <c r="R300" s="1894">
        <v>160</v>
      </c>
      <c r="S300" s="1894">
        <v>0.96640000000000004</v>
      </c>
      <c r="T300" s="1894">
        <v>67.989999999999995</v>
      </c>
      <c r="U300" s="1894">
        <v>21610</v>
      </c>
      <c r="V300" s="1894">
        <f t="shared" si="114"/>
        <v>19070</v>
      </c>
      <c r="W300" s="1894">
        <f t="shared" si="115"/>
        <v>2540</v>
      </c>
      <c r="X300" s="1894">
        <v>200</v>
      </c>
      <c r="Y300" s="1894">
        <v>43.2</v>
      </c>
      <c r="Z300" s="1894">
        <v>160</v>
      </c>
      <c r="AA300" s="1894">
        <v>0.97130000000000005</v>
      </c>
      <c r="AB300" s="1894">
        <v>62.89</v>
      </c>
      <c r="AC300" s="1894">
        <v>18908</v>
      </c>
      <c r="AD300" s="1894">
        <f t="shared" si="116"/>
        <v>18662</v>
      </c>
      <c r="AE300" s="1894">
        <f t="shared" si="117"/>
        <v>246</v>
      </c>
      <c r="AF300" s="1894">
        <v>200</v>
      </c>
      <c r="AG300" s="1894">
        <v>51.04</v>
      </c>
      <c r="AH300" s="1894">
        <v>160</v>
      </c>
      <c r="AI300" s="1894">
        <v>0.95279999999999998</v>
      </c>
      <c r="AJ300" s="1894">
        <v>63.06</v>
      </c>
      <c r="AK300" s="1894">
        <v>24720</v>
      </c>
      <c r="AL300" s="1894">
        <f t="shared" si="110"/>
        <v>22784</v>
      </c>
      <c r="AM300" s="1894">
        <f t="shared" si="111"/>
        <v>1936</v>
      </c>
      <c r="AN300" s="1894">
        <v>200</v>
      </c>
      <c r="AO300" s="1894">
        <v>40.64</v>
      </c>
      <c r="AP300" s="1894">
        <v>160</v>
      </c>
      <c r="AQ300" s="1894">
        <v>0.96360000000000001</v>
      </c>
      <c r="AR300" s="1894">
        <v>68</v>
      </c>
      <c r="AS300" s="1894">
        <v>20560</v>
      </c>
      <c r="AT300" s="1894">
        <f t="shared" si="118"/>
        <v>18142</v>
      </c>
      <c r="AU300" s="1894">
        <f t="shared" si="119"/>
        <v>2418</v>
      </c>
      <c r="AV300" s="1894">
        <v>200</v>
      </c>
      <c r="AW300" s="1894">
        <v>50.080000000000005</v>
      </c>
      <c r="AX300" s="1894">
        <v>160</v>
      </c>
      <c r="AY300" s="1894">
        <v>0.95830000000000004</v>
      </c>
      <c r="AZ300" s="1894">
        <v>56.59</v>
      </c>
      <c r="BA300" s="1894">
        <v>20404</v>
      </c>
      <c r="BB300" s="1894">
        <f t="shared" si="120"/>
        <v>21635</v>
      </c>
      <c r="BC300" s="1894">
        <f t="shared" si="121"/>
        <v>0</v>
      </c>
      <c r="BD300" s="1894">
        <v>200</v>
      </c>
      <c r="BE300" s="1894">
        <v>48</v>
      </c>
      <c r="BF300" s="1894">
        <v>160</v>
      </c>
      <c r="BG300" s="1894">
        <v>0.95779999999999998</v>
      </c>
      <c r="BH300" s="1894">
        <v>57.05</v>
      </c>
      <c r="BI300" s="1894">
        <v>17088</v>
      </c>
      <c r="BJ300" s="1894">
        <f t="shared" si="122"/>
        <v>21427</v>
      </c>
      <c r="BK300" s="1894">
        <f t="shared" si="123"/>
        <v>0</v>
      </c>
      <c r="BL300" s="1894">
        <v>200</v>
      </c>
      <c r="BM300" s="1894">
        <v>40.160000000000004</v>
      </c>
      <c r="BN300" s="1894">
        <v>160</v>
      </c>
      <c r="BO300" s="1894">
        <v>0.95760000000000001</v>
      </c>
      <c r="BP300" s="1894">
        <v>65.819999999999993</v>
      </c>
      <c r="BQ300" s="1894">
        <v>19666</v>
      </c>
      <c r="BR300" s="1894">
        <f t="shared" si="124"/>
        <v>17349</v>
      </c>
      <c r="BS300" s="1894">
        <f t="shared" si="125"/>
        <v>2317</v>
      </c>
      <c r="BT300" s="1894">
        <v>200</v>
      </c>
      <c r="BU300" s="1894">
        <v>42.4</v>
      </c>
      <c r="BV300" s="1894">
        <v>160</v>
      </c>
      <c r="BW300" s="1894">
        <v>0.96930000000000005</v>
      </c>
      <c r="BX300" s="1894">
        <v>56.47</v>
      </c>
      <c r="BY300" s="1894">
        <v>17814</v>
      </c>
      <c r="BZ300" s="1894">
        <f t="shared" si="126"/>
        <v>18927</v>
      </c>
      <c r="CA300" s="1894">
        <f t="shared" si="127"/>
        <v>0</v>
      </c>
      <c r="CB300" s="1894">
        <v>200</v>
      </c>
      <c r="CC300" s="1894">
        <v>39.68</v>
      </c>
      <c r="CD300" s="1894">
        <v>160</v>
      </c>
      <c r="CE300" s="1894">
        <v>0.98029999999999995</v>
      </c>
      <c r="CF300" s="1894">
        <v>59.22</v>
      </c>
      <c r="CG300" s="1894">
        <v>19740</v>
      </c>
      <c r="CH300" s="1894">
        <f t="shared" si="128"/>
        <v>17713</v>
      </c>
      <c r="CI300" s="1894">
        <f t="shared" si="129"/>
        <v>2027</v>
      </c>
      <c r="CJ300" s="1894">
        <v>200</v>
      </c>
      <c r="CK300" s="1894">
        <v>45.440000000000005</v>
      </c>
      <c r="CL300" s="1894">
        <v>160</v>
      </c>
      <c r="CM300" s="1894">
        <v>0.96020000000000005</v>
      </c>
      <c r="CN300" s="1894">
        <v>58.35</v>
      </c>
      <c r="CO300" s="1894">
        <v>17818</v>
      </c>
      <c r="CP300" s="1894">
        <f t="shared" si="130"/>
        <v>18321</v>
      </c>
      <c r="CQ300" s="1894">
        <f t="shared" si="131"/>
        <v>0</v>
      </c>
      <c r="CR300" s="1924">
        <v>200</v>
      </c>
      <c r="CS300" s="1924">
        <v>42.08</v>
      </c>
      <c r="CT300" s="1924">
        <v>160</v>
      </c>
      <c r="CU300" s="1924">
        <v>0.96830000000000005</v>
      </c>
      <c r="CV300" s="1924">
        <v>63.26</v>
      </c>
      <c r="CW300" s="1924">
        <v>19806</v>
      </c>
      <c r="CX300" s="1894">
        <f t="shared" si="132"/>
        <v>18785</v>
      </c>
      <c r="CY300" s="1894">
        <f t="shared" si="133"/>
        <v>1021</v>
      </c>
    </row>
    <row r="301" spans="1:103">
      <c r="A301" s="982">
        <v>124000000061</v>
      </c>
      <c r="B301" s="1923">
        <f t="shared" si="134"/>
        <v>295</v>
      </c>
      <c r="C301" s="1895" t="s">
        <v>3183</v>
      </c>
      <c r="D301" s="1894" t="s">
        <v>524</v>
      </c>
      <c r="E301" s="1895" t="s">
        <v>737</v>
      </c>
      <c r="F301" s="1894" t="s">
        <v>259</v>
      </c>
      <c r="G301" s="1924">
        <v>200</v>
      </c>
      <c r="H301" s="1894">
        <v>200</v>
      </c>
      <c r="I301" s="1894">
        <v>22</v>
      </c>
      <c r="J301" s="1894">
        <v>160</v>
      </c>
      <c r="K301" s="1894">
        <v>0.97270000000000001</v>
      </c>
      <c r="L301" s="1894">
        <v>18.989999999999998</v>
      </c>
      <c r="M301" s="1894">
        <v>3008</v>
      </c>
      <c r="N301" s="1894">
        <f t="shared" si="112"/>
        <v>9504</v>
      </c>
      <c r="O301" s="1894">
        <f t="shared" si="113"/>
        <v>0</v>
      </c>
      <c r="P301" s="1894">
        <v>200</v>
      </c>
      <c r="Q301" s="1894">
        <v>18.399999999999999</v>
      </c>
      <c r="R301" s="1894">
        <v>160</v>
      </c>
      <c r="S301" s="1894">
        <v>0.97350000000000003</v>
      </c>
      <c r="T301" s="1894">
        <v>14.93</v>
      </c>
      <c r="U301" s="1894">
        <v>2044</v>
      </c>
      <c r="V301" s="1894">
        <f t="shared" si="114"/>
        <v>8214</v>
      </c>
      <c r="W301" s="1894">
        <f t="shared" si="115"/>
        <v>0</v>
      </c>
      <c r="X301" s="1894">
        <v>200</v>
      </c>
      <c r="Y301" s="1894">
        <v>23.200000000000003</v>
      </c>
      <c r="Z301" s="1894">
        <v>160</v>
      </c>
      <c r="AA301" s="1894">
        <v>0.97809999999999997</v>
      </c>
      <c r="AB301" s="1894">
        <v>14.22</v>
      </c>
      <c r="AC301" s="1894">
        <v>2376</v>
      </c>
      <c r="AD301" s="1894">
        <f t="shared" si="116"/>
        <v>10022</v>
      </c>
      <c r="AE301" s="1894">
        <f t="shared" si="117"/>
        <v>0</v>
      </c>
      <c r="AF301" s="1894">
        <v>200</v>
      </c>
      <c r="AG301" s="1894">
        <v>76.319999999999993</v>
      </c>
      <c r="AH301" s="1894">
        <v>160</v>
      </c>
      <c r="AI301" s="1894">
        <v>0.98509999999999998</v>
      </c>
      <c r="AJ301" s="1894">
        <v>2.94</v>
      </c>
      <c r="AK301" s="1894">
        <v>1346</v>
      </c>
      <c r="AL301" s="1894">
        <f t="shared" si="110"/>
        <v>34069</v>
      </c>
      <c r="AM301" s="1894">
        <f t="shared" si="111"/>
        <v>0</v>
      </c>
      <c r="AN301" s="1894">
        <v>200</v>
      </c>
      <c r="AO301" s="1894">
        <v>12.8</v>
      </c>
      <c r="AP301" s="1894">
        <v>160</v>
      </c>
      <c r="AQ301" s="1894">
        <v>0.98909999999999998</v>
      </c>
      <c r="AR301" s="1894">
        <v>19.93</v>
      </c>
      <c r="AS301" s="1894">
        <v>2204</v>
      </c>
      <c r="AT301" s="1894">
        <f t="shared" si="118"/>
        <v>5714</v>
      </c>
      <c r="AU301" s="1894">
        <f t="shared" si="119"/>
        <v>0</v>
      </c>
      <c r="AV301" s="1894">
        <v>200</v>
      </c>
      <c r="AW301" s="1894">
        <v>23.4</v>
      </c>
      <c r="AX301" s="1894">
        <v>160</v>
      </c>
      <c r="AY301" s="1894">
        <v>0.99480000000000002</v>
      </c>
      <c r="AZ301" s="1894">
        <v>19.97</v>
      </c>
      <c r="BA301" s="1894">
        <v>3477</v>
      </c>
      <c r="BB301" s="1894">
        <f t="shared" si="120"/>
        <v>10109</v>
      </c>
      <c r="BC301" s="1894">
        <f t="shared" si="121"/>
        <v>0</v>
      </c>
      <c r="BD301" s="1894">
        <v>200</v>
      </c>
      <c r="BE301" s="1894">
        <v>33.72</v>
      </c>
      <c r="BF301" s="1894">
        <v>160</v>
      </c>
      <c r="BG301" s="1894">
        <v>0.98770000000000002</v>
      </c>
      <c r="BH301" s="1894">
        <v>20.57</v>
      </c>
      <c r="BI301" s="1894">
        <v>4161</v>
      </c>
      <c r="BJ301" s="1894">
        <f t="shared" si="122"/>
        <v>15053</v>
      </c>
      <c r="BK301" s="1894">
        <f t="shared" si="123"/>
        <v>0</v>
      </c>
      <c r="BL301" s="1894">
        <v>200</v>
      </c>
      <c r="BM301" s="1894">
        <v>41.76</v>
      </c>
      <c r="BN301" s="1894">
        <v>160</v>
      </c>
      <c r="BO301" s="1894">
        <v>0.9788</v>
      </c>
      <c r="BP301" s="1894">
        <v>26.26</v>
      </c>
      <c r="BQ301" s="1894">
        <v>8421</v>
      </c>
      <c r="BR301" s="1894">
        <f t="shared" si="124"/>
        <v>18040</v>
      </c>
      <c r="BS301" s="1894">
        <f t="shared" si="125"/>
        <v>0</v>
      </c>
      <c r="BT301" s="1894">
        <v>200</v>
      </c>
      <c r="BU301" s="1894">
        <v>29.88</v>
      </c>
      <c r="BV301" s="1894">
        <v>160</v>
      </c>
      <c r="BW301" s="1894">
        <v>0.96499999999999997</v>
      </c>
      <c r="BX301" s="1894">
        <v>33.9</v>
      </c>
      <c r="BY301" s="1894">
        <v>8508</v>
      </c>
      <c r="BZ301" s="1894">
        <f t="shared" si="126"/>
        <v>13338</v>
      </c>
      <c r="CA301" s="1894">
        <f t="shared" si="127"/>
        <v>0</v>
      </c>
      <c r="CB301" s="1894">
        <v>200</v>
      </c>
      <c r="CC301" s="1894">
        <v>34.56</v>
      </c>
      <c r="CD301" s="1894">
        <v>160</v>
      </c>
      <c r="CE301" s="1894">
        <v>0.94930000000000003</v>
      </c>
      <c r="CF301" s="1894">
        <v>29.43</v>
      </c>
      <c r="CG301" s="1894">
        <v>7566</v>
      </c>
      <c r="CH301" s="1894">
        <f t="shared" si="128"/>
        <v>15428</v>
      </c>
      <c r="CI301" s="1894">
        <f t="shared" si="129"/>
        <v>0</v>
      </c>
      <c r="CJ301" s="1894">
        <v>200</v>
      </c>
      <c r="CK301" s="1894">
        <v>40</v>
      </c>
      <c r="CL301" s="1894">
        <v>160</v>
      </c>
      <c r="CM301" s="1894">
        <v>0.94830000000000003</v>
      </c>
      <c r="CN301" s="1894">
        <v>38.979999999999997</v>
      </c>
      <c r="CO301" s="1894">
        <v>7858</v>
      </c>
      <c r="CP301" s="1894">
        <f t="shared" si="130"/>
        <v>16128</v>
      </c>
      <c r="CQ301" s="1894">
        <f t="shared" si="131"/>
        <v>0</v>
      </c>
      <c r="CR301" s="1924">
        <v>200</v>
      </c>
      <c r="CS301" s="1924">
        <v>26.240000000000002</v>
      </c>
      <c r="CT301" s="1924">
        <v>160</v>
      </c>
      <c r="CU301" s="1924">
        <v>0.97589999999999999</v>
      </c>
      <c r="CV301" s="1924">
        <v>42.09</v>
      </c>
      <c r="CW301" s="1924">
        <v>8218</v>
      </c>
      <c r="CX301" s="1894">
        <f t="shared" si="132"/>
        <v>11714</v>
      </c>
      <c r="CY301" s="1894">
        <f t="shared" si="133"/>
        <v>0</v>
      </c>
    </row>
    <row r="302" spans="1:103">
      <c r="A302" s="982">
        <v>126000000035</v>
      </c>
      <c r="B302" s="1923">
        <f t="shared" si="134"/>
        <v>296</v>
      </c>
      <c r="C302" s="1895" t="s">
        <v>3184</v>
      </c>
      <c r="D302" s="1894" t="s">
        <v>524</v>
      </c>
      <c r="E302" s="1895" t="s">
        <v>541</v>
      </c>
      <c r="F302" s="1894" t="s">
        <v>259</v>
      </c>
      <c r="G302" s="1924">
        <v>200</v>
      </c>
      <c r="H302" s="1894">
        <v>200</v>
      </c>
      <c r="I302" s="1894">
        <v>245.12</v>
      </c>
      <c r="J302" s="1894">
        <v>245.12</v>
      </c>
      <c r="K302" s="1894">
        <v>0.91720000000000002</v>
      </c>
      <c r="L302" s="1894">
        <v>26.4</v>
      </c>
      <c r="M302" s="1894">
        <v>46590</v>
      </c>
      <c r="N302" s="1894">
        <f t="shared" si="112"/>
        <v>105892</v>
      </c>
      <c r="O302" s="1894">
        <f t="shared" si="113"/>
        <v>0</v>
      </c>
      <c r="P302" s="1894">
        <v>200</v>
      </c>
      <c r="Q302" s="1894">
        <v>288.47999999999996</v>
      </c>
      <c r="R302" s="1894">
        <v>288.48</v>
      </c>
      <c r="S302" s="1894">
        <v>0.91249999999999998</v>
      </c>
      <c r="T302" s="1894">
        <v>27.63</v>
      </c>
      <c r="U302" s="1894">
        <v>59296</v>
      </c>
      <c r="V302" s="1894">
        <f t="shared" si="114"/>
        <v>128777</v>
      </c>
      <c r="W302" s="1894">
        <f t="shared" si="115"/>
        <v>0</v>
      </c>
      <c r="X302" s="1894">
        <v>200</v>
      </c>
      <c r="Y302" s="1894">
        <v>239.12</v>
      </c>
      <c r="Z302" s="1894">
        <v>239.12</v>
      </c>
      <c r="AA302" s="1894">
        <v>0.89249999999999996</v>
      </c>
      <c r="AB302" s="1894">
        <v>28.48</v>
      </c>
      <c r="AC302" s="1894">
        <v>49040</v>
      </c>
      <c r="AD302" s="1894">
        <f t="shared" si="116"/>
        <v>103300</v>
      </c>
      <c r="AE302" s="1894">
        <f t="shared" si="117"/>
        <v>0</v>
      </c>
      <c r="AF302" s="1894">
        <v>200</v>
      </c>
      <c r="AG302" s="1894">
        <v>271.28000000000003</v>
      </c>
      <c r="AH302" s="1894">
        <v>271.27999999999997</v>
      </c>
      <c r="AI302" s="1894">
        <v>0.87939999999999996</v>
      </c>
      <c r="AJ302" s="1894">
        <v>28.5</v>
      </c>
      <c r="AK302" s="1894">
        <v>57516</v>
      </c>
      <c r="AL302" s="1894">
        <f t="shared" si="110"/>
        <v>121099</v>
      </c>
      <c r="AM302" s="1894">
        <f t="shared" si="111"/>
        <v>0</v>
      </c>
      <c r="AN302" s="1894">
        <v>200</v>
      </c>
      <c r="AO302" s="1894">
        <v>269.52</v>
      </c>
      <c r="AP302" s="1894">
        <v>269.52</v>
      </c>
      <c r="AQ302" s="1894">
        <v>0.80969999999999998</v>
      </c>
      <c r="AR302" s="1894">
        <v>30.79</v>
      </c>
      <c r="AS302" s="1894">
        <v>61744</v>
      </c>
      <c r="AT302" s="1894">
        <f t="shared" si="118"/>
        <v>120314</v>
      </c>
      <c r="AU302" s="1894">
        <f t="shared" si="119"/>
        <v>0</v>
      </c>
      <c r="AV302" s="1894">
        <v>200</v>
      </c>
      <c r="AW302" s="1894">
        <v>273.91999999999996</v>
      </c>
      <c r="AX302" s="1894">
        <v>273.92</v>
      </c>
      <c r="AY302" s="1894">
        <v>0.79569999999999996</v>
      </c>
      <c r="AZ302" s="1894">
        <v>11.64</v>
      </c>
      <c r="BA302" s="1894">
        <v>22961</v>
      </c>
      <c r="BB302" s="1894">
        <f t="shared" si="120"/>
        <v>118333</v>
      </c>
      <c r="BC302" s="1894">
        <f t="shared" si="121"/>
        <v>0</v>
      </c>
      <c r="BD302" s="1894">
        <v>200</v>
      </c>
      <c r="BE302" s="1894">
        <v>142.56</v>
      </c>
      <c r="BF302" s="1894">
        <v>160</v>
      </c>
      <c r="BG302" s="1894">
        <v>0.97050000000000003</v>
      </c>
      <c r="BH302" s="1894">
        <v>4.13</v>
      </c>
      <c r="BI302" s="1894">
        <v>4380</v>
      </c>
      <c r="BJ302" s="1894">
        <f t="shared" si="122"/>
        <v>63639</v>
      </c>
      <c r="BK302" s="1894">
        <f t="shared" si="123"/>
        <v>0</v>
      </c>
      <c r="BL302" s="1894">
        <v>200</v>
      </c>
      <c r="BM302" s="1894">
        <v>14.48</v>
      </c>
      <c r="BN302" s="1894">
        <v>160</v>
      </c>
      <c r="BO302" s="1894">
        <v>0.9909</v>
      </c>
      <c r="BP302" s="1894">
        <v>37.090000000000003</v>
      </c>
      <c r="BQ302" s="1894">
        <v>3738</v>
      </c>
      <c r="BR302" s="1894">
        <f t="shared" si="124"/>
        <v>6255</v>
      </c>
      <c r="BS302" s="1894">
        <f t="shared" si="125"/>
        <v>0</v>
      </c>
      <c r="BT302" s="1894">
        <v>200</v>
      </c>
      <c r="BU302" s="1894">
        <v>215.04</v>
      </c>
      <c r="BV302" s="1894">
        <v>215.04</v>
      </c>
      <c r="BW302" s="1894">
        <v>0.88239999999999996</v>
      </c>
      <c r="BX302" s="1894">
        <v>4.1500000000000004</v>
      </c>
      <c r="BY302" s="1894">
        <v>6846</v>
      </c>
      <c r="BZ302" s="1894">
        <f t="shared" si="126"/>
        <v>95994</v>
      </c>
      <c r="CA302" s="1894">
        <f t="shared" si="127"/>
        <v>0</v>
      </c>
      <c r="CB302" s="1894">
        <v>200</v>
      </c>
      <c r="CC302" s="1894">
        <v>264.32000000000005</v>
      </c>
      <c r="CD302" s="1894">
        <v>264.32</v>
      </c>
      <c r="CE302" s="1894">
        <v>0.74990000000000001</v>
      </c>
      <c r="CF302" s="1894">
        <v>33.99</v>
      </c>
      <c r="CG302" s="1894">
        <v>66851</v>
      </c>
      <c r="CH302" s="1894">
        <f t="shared" si="128"/>
        <v>117992</v>
      </c>
      <c r="CI302" s="1894">
        <f t="shared" si="129"/>
        <v>0</v>
      </c>
      <c r="CJ302" s="1894">
        <v>200</v>
      </c>
      <c r="CK302" s="1894">
        <v>282</v>
      </c>
      <c r="CL302" s="1894">
        <v>282</v>
      </c>
      <c r="CM302" s="1894">
        <v>0.76160000000000005</v>
      </c>
      <c r="CN302" s="1894">
        <v>38.6</v>
      </c>
      <c r="CO302" s="1894">
        <v>73141</v>
      </c>
      <c r="CP302" s="1894">
        <f t="shared" si="130"/>
        <v>113702</v>
      </c>
      <c r="CQ302" s="1894">
        <f t="shared" si="131"/>
        <v>0</v>
      </c>
      <c r="CR302" s="1924">
        <v>200</v>
      </c>
      <c r="CS302" s="1924">
        <v>303.68</v>
      </c>
      <c r="CT302" s="1924">
        <v>303.68</v>
      </c>
      <c r="CU302" s="1924">
        <v>0.77090000000000003</v>
      </c>
      <c r="CV302" s="1924">
        <v>36.94</v>
      </c>
      <c r="CW302" s="1924">
        <v>83471</v>
      </c>
      <c r="CX302" s="1894">
        <f t="shared" si="132"/>
        <v>135563</v>
      </c>
      <c r="CY302" s="1894">
        <f t="shared" si="133"/>
        <v>0</v>
      </c>
    </row>
    <row r="303" spans="1:103">
      <c r="A303" s="982">
        <v>615000000013</v>
      </c>
      <c r="B303" s="1923">
        <f t="shared" si="134"/>
        <v>297</v>
      </c>
      <c r="C303" s="1895" t="s">
        <v>3008</v>
      </c>
      <c r="D303" s="1894" t="s">
        <v>524</v>
      </c>
      <c r="E303" s="1895" t="s">
        <v>541</v>
      </c>
      <c r="F303" s="1894" t="s">
        <v>259</v>
      </c>
      <c r="G303" s="1924">
        <v>200</v>
      </c>
      <c r="H303" s="1894">
        <v>200</v>
      </c>
      <c r="I303" s="1894">
        <v>7.2</v>
      </c>
      <c r="J303" s="1894">
        <v>160</v>
      </c>
      <c r="K303" s="1894">
        <v>0.59099999999999997</v>
      </c>
      <c r="L303" s="1894">
        <v>38.92</v>
      </c>
      <c r="M303" s="1894">
        <v>2421</v>
      </c>
      <c r="N303" s="1894">
        <f t="shared" si="112"/>
        <v>3110</v>
      </c>
      <c r="O303" s="1894">
        <f t="shared" si="113"/>
        <v>0</v>
      </c>
      <c r="P303" s="1894">
        <v>200</v>
      </c>
      <c r="Q303" s="1894">
        <v>12.24</v>
      </c>
      <c r="R303" s="1894">
        <v>160</v>
      </c>
      <c r="S303" s="1894">
        <v>0.5</v>
      </c>
      <c r="T303" s="1894">
        <v>23.19</v>
      </c>
      <c r="U303" s="1894">
        <v>2112</v>
      </c>
      <c r="V303" s="1894">
        <f t="shared" si="114"/>
        <v>5464</v>
      </c>
      <c r="W303" s="1894">
        <f t="shared" si="115"/>
        <v>0</v>
      </c>
      <c r="X303" s="1894">
        <v>200</v>
      </c>
      <c r="Y303" s="1894">
        <v>6.72</v>
      </c>
      <c r="Z303" s="1894">
        <v>160</v>
      </c>
      <c r="AA303" s="1894">
        <v>0.51790000000000003</v>
      </c>
      <c r="AB303" s="1894">
        <v>46.56</v>
      </c>
      <c r="AC303" s="1894">
        <v>2253</v>
      </c>
      <c r="AD303" s="1894">
        <f t="shared" si="116"/>
        <v>2903</v>
      </c>
      <c r="AE303" s="1894">
        <f t="shared" si="117"/>
        <v>0</v>
      </c>
      <c r="AF303" s="1894">
        <v>200</v>
      </c>
      <c r="AG303" s="1894">
        <v>5.52</v>
      </c>
      <c r="AH303" s="1894">
        <v>160</v>
      </c>
      <c r="AI303" s="1894">
        <v>0.48680000000000001</v>
      </c>
      <c r="AJ303" s="1894">
        <v>63.92</v>
      </c>
      <c r="AK303" s="1894">
        <v>2625</v>
      </c>
      <c r="AL303" s="1894">
        <f t="shared" si="110"/>
        <v>2464</v>
      </c>
      <c r="AM303" s="1894">
        <f t="shared" si="111"/>
        <v>161</v>
      </c>
      <c r="AN303" s="1894">
        <v>200</v>
      </c>
      <c r="AO303" s="1894">
        <v>6.72</v>
      </c>
      <c r="AP303" s="1894">
        <v>160</v>
      </c>
      <c r="AQ303" s="1894">
        <v>0.39219999999999999</v>
      </c>
      <c r="AR303" s="1894">
        <v>50.94</v>
      </c>
      <c r="AS303" s="1894">
        <v>2547</v>
      </c>
      <c r="AT303" s="1894">
        <f t="shared" si="118"/>
        <v>3000</v>
      </c>
      <c r="AU303" s="1894">
        <f t="shared" si="119"/>
        <v>0</v>
      </c>
      <c r="AV303" s="1894">
        <v>200</v>
      </c>
      <c r="AW303" s="1894">
        <v>20.16</v>
      </c>
      <c r="AX303" s="1894">
        <v>160</v>
      </c>
      <c r="AY303" s="1894">
        <v>0.3735</v>
      </c>
      <c r="AZ303" s="1894">
        <v>17.32</v>
      </c>
      <c r="BA303" s="1894">
        <v>2514</v>
      </c>
      <c r="BB303" s="1894">
        <f t="shared" si="120"/>
        <v>8709</v>
      </c>
      <c r="BC303" s="1894">
        <f t="shared" si="121"/>
        <v>0</v>
      </c>
      <c r="BD303" s="1894">
        <v>200</v>
      </c>
      <c r="BE303" s="1894">
        <v>34.56</v>
      </c>
      <c r="BF303" s="1894">
        <v>160</v>
      </c>
      <c r="BG303" s="1894">
        <v>0.37390000000000001</v>
      </c>
      <c r="BH303" s="1894">
        <v>11.57</v>
      </c>
      <c r="BI303" s="1894">
        <v>2976</v>
      </c>
      <c r="BJ303" s="1894">
        <f t="shared" si="122"/>
        <v>15428</v>
      </c>
      <c r="BK303" s="1894">
        <f t="shared" si="123"/>
        <v>0</v>
      </c>
      <c r="BL303" s="1894">
        <v>200</v>
      </c>
      <c r="BM303" s="1894">
        <v>7.92</v>
      </c>
      <c r="BN303" s="1894">
        <v>160</v>
      </c>
      <c r="BO303" s="1894">
        <v>0.32990000000000003</v>
      </c>
      <c r="BP303" s="1894">
        <v>57.71</v>
      </c>
      <c r="BQ303" s="1894">
        <v>3291</v>
      </c>
      <c r="BR303" s="1894">
        <f t="shared" si="124"/>
        <v>3421</v>
      </c>
      <c r="BS303" s="1894">
        <f t="shared" si="125"/>
        <v>0</v>
      </c>
      <c r="BT303" s="1894">
        <v>200</v>
      </c>
      <c r="BU303" s="1894">
        <v>7.4399999999999995</v>
      </c>
      <c r="BV303" s="1894">
        <v>160</v>
      </c>
      <c r="BW303" s="1894">
        <v>0.3286</v>
      </c>
      <c r="BX303" s="1894">
        <v>61.68</v>
      </c>
      <c r="BY303" s="1894">
        <v>3414</v>
      </c>
      <c r="BZ303" s="1894">
        <f t="shared" si="126"/>
        <v>3321</v>
      </c>
      <c r="CA303" s="1894">
        <f t="shared" si="127"/>
        <v>93</v>
      </c>
      <c r="CB303" s="1894">
        <v>200</v>
      </c>
      <c r="CC303" s="1894">
        <v>15.6</v>
      </c>
      <c r="CD303" s="1894">
        <v>160</v>
      </c>
      <c r="CE303" s="1894">
        <v>0.32879999999999998</v>
      </c>
      <c r="CF303" s="1894">
        <v>28.85</v>
      </c>
      <c r="CG303" s="1894">
        <v>3348</v>
      </c>
      <c r="CH303" s="1894">
        <f t="shared" si="128"/>
        <v>6964</v>
      </c>
      <c r="CI303" s="1894">
        <f t="shared" si="129"/>
        <v>0</v>
      </c>
      <c r="CJ303" s="1894">
        <v>200</v>
      </c>
      <c r="CK303" s="1894">
        <v>7.92</v>
      </c>
      <c r="CL303" s="1894">
        <v>160</v>
      </c>
      <c r="CM303" s="1894">
        <v>0.32550000000000001</v>
      </c>
      <c r="CN303" s="1894">
        <v>55.41</v>
      </c>
      <c r="CO303" s="1894">
        <v>2949</v>
      </c>
      <c r="CP303" s="1894">
        <f t="shared" si="130"/>
        <v>3193</v>
      </c>
      <c r="CQ303" s="1894">
        <f t="shared" si="131"/>
        <v>0</v>
      </c>
      <c r="CR303" s="1924">
        <v>200</v>
      </c>
      <c r="CS303" s="1924">
        <v>6.48</v>
      </c>
      <c r="CT303" s="1924">
        <v>160</v>
      </c>
      <c r="CU303" s="1924">
        <v>0.34139999999999998</v>
      </c>
      <c r="CV303" s="1924">
        <v>58.68</v>
      </c>
      <c r="CW303" s="1924">
        <v>2829</v>
      </c>
      <c r="CX303" s="1894">
        <f t="shared" si="132"/>
        <v>2893</v>
      </c>
      <c r="CY303" s="1894">
        <f t="shared" si="133"/>
        <v>0</v>
      </c>
    </row>
    <row r="304" spans="1:103">
      <c r="A304" s="982">
        <v>611000000098</v>
      </c>
      <c r="B304" s="1923">
        <f t="shared" si="134"/>
        <v>298</v>
      </c>
      <c r="C304" s="1895" t="s">
        <v>3185</v>
      </c>
      <c r="D304" s="1894" t="s">
        <v>524</v>
      </c>
      <c r="E304" s="1895" t="s">
        <v>636</v>
      </c>
      <c r="F304" s="1894" t="s">
        <v>259</v>
      </c>
      <c r="G304" s="1924">
        <v>200</v>
      </c>
      <c r="H304" s="1894">
        <v>200</v>
      </c>
      <c r="I304" s="1894">
        <v>103.36000000000001</v>
      </c>
      <c r="J304" s="1894">
        <v>160</v>
      </c>
      <c r="K304" s="1894">
        <v>0.97430000000000005</v>
      </c>
      <c r="L304" s="1894">
        <v>45.79</v>
      </c>
      <c r="M304" s="1894">
        <v>30672</v>
      </c>
      <c r="N304" s="1894">
        <f t="shared" si="112"/>
        <v>44652</v>
      </c>
      <c r="O304" s="1894">
        <f t="shared" si="113"/>
        <v>0</v>
      </c>
      <c r="P304" s="1894">
        <v>200</v>
      </c>
      <c r="Q304" s="1894">
        <v>99.36</v>
      </c>
      <c r="R304" s="1894">
        <v>160</v>
      </c>
      <c r="S304" s="1894">
        <v>0.97509999999999997</v>
      </c>
      <c r="T304" s="1894">
        <v>51.18</v>
      </c>
      <c r="U304" s="1894">
        <v>41492</v>
      </c>
      <c r="V304" s="1894">
        <f t="shared" si="114"/>
        <v>44354</v>
      </c>
      <c r="W304" s="1894">
        <f t="shared" si="115"/>
        <v>0</v>
      </c>
      <c r="X304" s="1894">
        <v>200</v>
      </c>
      <c r="Y304" s="1894">
        <v>107.36000000000001</v>
      </c>
      <c r="Z304" s="1894">
        <v>160</v>
      </c>
      <c r="AA304" s="1894">
        <v>0.97430000000000005</v>
      </c>
      <c r="AB304" s="1894">
        <v>47.29</v>
      </c>
      <c r="AC304" s="1894">
        <v>36552</v>
      </c>
      <c r="AD304" s="1894">
        <f t="shared" si="116"/>
        <v>46380</v>
      </c>
      <c r="AE304" s="1894">
        <f t="shared" si="117"/>
        <v>0</v>
      </c>
      <c r="AF304" s="1894">
        <v>200</v>
      </c>
      <c r="AG304" s="1894">
        <v>89.28</v>
      </c>
      <c r="AH304" s="1894">
        <v>160</v>
      </c>
      <c r="AI304" s="1894">
        <v>0.97309999999999997</v>
      </c>
      <c r="AJ304" s="1894">
        <v>48.82</v>
      </c>
      <c r="AK304" s="1894">
        <v>32428</v>
      </c>
      <c r="AL304" s="1894">
        <f t="shared" si="110"/>
        <v>39855</v>
      </c>
      <c r="AM304" s="1894">
        <f t="shared" si="111"/>
        <v>0</v>
      </c>
      <c r="AN304" s="1894">
        <v>200</v>
      </c>
      <c r="AO304" s="1894">
        <v>99.039999999999992</v>
      </c>
      <c r="AP304" s="1894">
        <v>160</v>
      </c>
      <c r="AQ304" s="1894">
        <v>0.9748</v>
      </c>
      <c r="AR304" s="1894">
        <v>45.25</v>
      </c>
      <c r="AS304" s="1894">
        <v>33342</v>
      </c>
      <c r="AT304" s="1894">
        <f t="shared" si="118"/>
        <v>44211</v>
      </c>
      <c r="AU304" s="1894">
        <f t="shared" si="119"/>
        <v>0</v>
      </c>
      <c r="AV304" s="1894">
        <v>200</v>
      </c>
      <c r="AW304" s="1894">
        <v>98.72</v>
      </c>
      <c r="AX304" s="1894">
        <v>160</v>
      </c>
      <c r="AY304" s="1894">
        <v>0.97750000000000004</v>
      </c>
      <c r="AZ304" s="1894">
        <v>47.29</v>
      </c>
      <c r="BA304" s="1894">
        <v>33612</v>
      </c>
      <c r="BB304" s="1894">
        <f t="shared" si="120"/>
        <v>42647</v>
      </c>
      <c r="BC304" s="1894">
        <f t="shared" si="121"/>
        <v>0</v>
      </c>
      <c r="BD304" s="1894">
        <v>200</v>
      </c>
      <c r="BE304" s="1894">
        <v>97.76</v>
      </c>
      <c r="BF304" s="1894">
        <v>160</v>
      </c>
      <c r="BG304" s="1894">
        <v>0.97189999999999999</v>
      </c>
      <c r="BH304" s="1894">
        <v>40.049999999999997</v>
      </c>
      <c r="BI304" s="1894">
        <v>29128</v>
      </c>
      <c r="BJ304" s="1894">
        <f t="shared" si="122"/>
        <v>43640</v>
      </c>
      <c r="BK304" s="1894">
        <f t="shared" si="123"/>
        <v>0</v>
      </c>
      <c r="BL304" s="1894">
        <v>200</v>
      </c>
      <c r="BM304" s="1894">
        <v>70.72</v>
      </c>
      <c r="BN304" s="1894">
        <v>160</v>
      </c>
      <c r="BO304" s="1894">
        <v>0.96399999999999997</v>
      </c>
      <c r="BP304" s="1894">
        <v>47.11</v>
      </c>
      <c r="BQ304" s="1894">
        <v>23990</v>
      </c>
      <c r="BR304" s="1894">
        <f t="shared" si="124"/>
        <v>30551</v>
      </c>
      <c r="BS304" s="1894">
        <f t="shared" si="125"/>
        <v>0</v>
      </c>
      <c r="BT304" s="1894">
        <v>200</v>
      </c>
      <c r="BU304" s="1894">
        <v>67.52</v>
      </c>
      <c r="BV304" s="1894">
        <v>160</v>
      </c>
      <c r="BW304" s="1894">
        <v>0.9597</v>
      </c>
      <c r="BX304" s="1894">
        <v>46.63</v>
      </c>
      <c r="BY304" s="1894">
        <v>23424</v>
      </c>
      <c r="BZ304" s="1894">
        <f t="shared" si="126"/>
        <v>30141</v>
      </c>
      <c r="CA304" s="1894">
        <f t="shared" si="127"/>
        <v>0</v>
      </c>
      <c r="CB304" s="1894">
        <v>200</v>
      </c>
      <c r="CC304" s="1894">
        <v>74.56</v>
      </c>
      <c r="CD304" s="1894">
        <v>160</v>
      </c>
      <c r="CE304" s="1894">
        <v>0.96540000000000004</v>
      </c>
      <c r="CF304" s="1894">
        <v>42.52</v>
      </c>
      <c r="CG304" s="1894">
        <v>23588</v>
      </c>
      <c r="CH304" s="1894">
        <f t="shared" si="128"/>
        <v>33284</v>
      </c>
      <c r="CI304" s="1894">
        <f t="shared" si="129"/>
        <v>0</v>
      </c>
      <c r="CJ304" s="1894">
        <v>200</v>
      </c>
      <c r="CK304" s="1894">
        <v>67.679999999999993</v>
      </c>
      <c r="CL304" s="1894">
        <v>160</v>
      </c>
      <c r="CM304" s="1894">
        <v>0.96579999999999999</v>
      </c>
      <c r="CN304" s="1894">
        <v>48.93</v>
      </c>
      <c r="CO304" s="1894">
        <v>22254</v>
      </c>
      <c r="CP304" s="1894">
        <f t="shared" si="130"/>
        <v>27289</v>
      </c>
      <c r="CQ304" s="1894">
        <f t="shared" si="131"/>
        <v>0</v>
      </c>
      <c r="CR304" s="1924">
        <v>200</v>
      </c>
      <c r="CS304" s="1924">
        <v>79.2</v>
      </c>
      <c r="CT304" s="1924">
        <v>160</v>
      </c>
      <c r="CU304" s="1924">
        <v>0.97260000000000002</v>
      </c>
      <c r="CV304" s="1924">
        <v>43.57</v>
      </c>
      <c r="CW304" s="1924">
        <v>25674</v>
      </c>
      <c r="CX304" s="1894">
        <f t="shared" si="132"/>
        <v>35355</v>
      </c>
      <c r="CY304" s="1894">
        <f t="shared" si="133"/>
        <v>0</v>
      </c>
    </row>
    <row r="305" spans="1:103">
      <c r="A305" s="982">
        <v>622000000037</v>
      </c>
      <c r="B305" s="1923">
        <f t="shared" si="134"/>
        <v>299</v>
      </c>
      <c r="C305" s="1895" t="s">
        <v>3186</v>
      </c>
      <c r="D305" s="1894" t="s">
        <v>524</v>
      </c>
      <c r="E305" s="1895" t="s">
        <v>541</v>
      </c>
      <c r="F305" s="1894" t="s">
        <v>259</v>
      </c>
      <c r="G305" s="1924">
        <v>200</v>
      </c>
      <c r="H305" s="1894">
        <v>200</v>
      </c>
      <c r="I305" s="1894">
        <v>115.19999999999999</v>
      </c>
      <c r="J305" s="1894">
        <v>160</v>
      </c>
      <c r="K305" s="1894">
        <v>0.91200000000000003</v>
      </c>
      <c r="L305" s="1894">
        <v>49.47</v>
      </c>
      <c r="M305" s="1894">
        <v>42400</v>
      </c>
      <c r="N305" s="1894">
        <f t="shared" si="112"/>
        <v>49766</v>
      </c>
      <c r="O305" s="1894">
        <f t="shared" si="113"/>
        <v>0</v>
      </c>
      <c r="P305" s="1894">
        <v>200</v>
      </c>
      <c r="Q305" s="1894">
        <v>109.92</v>
      </c>
      <c r="R305" s="1894">
        <v>160</v>
      </c>
      <c r="S305" s="1894">
        <v>0.90490000000000004</v>
      </c>
      <c r="T305" s="1894">
        <v>52.05</v>
      </c>
      <c r="U305" s="1894">
        <v>39822</v>
      </c>
      <c r="V305" s="1894">
        <f t="shared" si="114"/>
        <v>49068</v>
      </c>
      <c r="W305" s="1894">
        <f t="shared" si="115"/>
        <v>0</v>
      </c>
      <c r="X305" s="1894">
        <v>200</v>
      </c>
      <c r="Y305" s="1894">
        <v>112.32</v>
      </c>
      <c r="Z305" s="1894">
        <v>160</v>
      </c>
      <c r="AA305" s="1894">
        <v>0.90010000000000001</v>
      </c>
      <c r="AB305" s="1894">
        <v>51.67</v>
      </c>
      <c r="AC305" s="1894">
        <v>51532</v>
      </c>
      <c r="AD305" s="1894">
        <f t="shared" si="116"/>
        <v>48522</v>
      </c>
      <c r="AE305" s="1894">
        <f t="shared" si="117"/>
        <v>3010</v>
      </c>
      <c r="AF305" s="1894">
        <v>200</v>
      </c>
      <c r="AG305" s="1894">
        <v>117.44000000000001</v>
      </c>
      <c r="AH305" s="1894">
        <v>160</v>
      </c>
      <c r="AI305" s="1894">
        <v>0.90510000000000002</v>
      </c>
      <c r="AJ305" s="1894">
        <v>43.55</v>
      </c>
      <c r="AK305" s="1894">
        <v>38054</v>
      </c>
      <c r="AL305" s="1894">
        <f t="shared" si="110"/>
        <v>52425</v>
      </c>
      <c r="AM305" s="1894">
        <f t="shared" si="111"/>
        <v>0</v>
      </c>
      <c r="AN305" s="1894">
        <v>200</v>
      </c>
      <c r="AO305" s="1894">
        <v>123.36</v>
      </c>
      <c r="AP305" s="1894">
        <v>160</v>
      </c>
      <c r="AQ305" s="1894">
        <v>0.9002</v>
      </c>
      <c r="AR305" s="1894">
        <v>45.33</v>
      </c>
      <c r="AS305" s="1894">
        <v>36236</v>
      </c>
      <c r="AT305" s="1894">
        <f t="shared" si="118"/>
        <v>55068</v>
      </c>
      <c r="AU305" s="1894">
        <f t="shared" si="119"/>
        <v>0</v>
      </c>
      <c r="AV305" s="1894">
        <v>200</v>
      </c>
      <c r="AW305" s="1894">
        <v>119.03999999999999</v>
      </c>
      <c r="AX305" s="1894">
        <v>160</v>
      </c>
      <c r="AY305" s="1894">
        <v>0.91690000000000005</v>
      </c>
      <c r="AZ305" s="1894">
        <v>54.17</v>
      </c>
      <c r="BA305" s="1894">
        <v>43336</v>
      </c>
      <c r="BB305" s="1894">
        <f t="shared" si="120"/>
        <v>51425</v>
      </c>
      <c r="BC305" s="1894">
        <f t="shared" si="121"/>
        <v>0</v>
      </c>
      <c r="BD305" s="1894">
        <v>200</v>
      </c>
      <c r="BE305" s="1894">
        <v>133.44</v>
      </c>
      <c r="BF305" s="1894">
        <v>160</v>
      </c>
      <c r="BG305" s="1894">
        <v>0.93149999999999999</v>
      </c>
      <c r="BH305" s="1894">
        <v>53.04</v>
      </c>
      <c r="BI305" s="1894">
        <v>45864</v>
      </c>
      <c r="BJ305" s="1894">
        <f t="shared" si="122"/>
        <v>59568</v>
      </c>
      <c r="BK305" s="1894">
        <f t="shared" si="123"/>
        <v>0</v>
      </c>
      <c r="BL305" s="1894">
        <v>200</v>
      </c>
      <c r="BM305" s="1894">
        <v>141.28</v>
      </c>
      <c r="BN305" s="1894">
        <v>160</v>
      </c>
      <c r="BO305" s="1894">
        <v>0.92589999999999995</v>
      </c>
      <c r="BP305" s="1894">
        <v>51.48</v>
      </c>
      <c r="BQ305" s="1894">
        <v>69818</v>
      </c>
      <c r="BR305" s="1894">
        <f t="shared" si="124"/>
        <v>61033</v>
      </c>
      <c r="BS305" s="1894">
        <f t="shared" si="125"/>
        <v>8785</v>
      </c>
      <c r="BT305" s="1894">
        <v>200</v>
      </c>
      <c r="BU305" s="1894">
        <v>152.80000000000001</v>
      </c>
      <c r="BV305" s="1894">
        <v>160</v>
      </c>
      <c r="BW305" s="1894">
        <v>0.93189999999999995</v>
      </c>
      <c r="BX305" s="1894">
        <v>46.59</v>
      </c>
      <c r="BY305" s="1894">
        <v>52960</v>
      </c>
      <c r="BZ305" s="1894">
        <f t="shared" si="126"/>
        <v>68210</v>
      </c>
      <c r="CA305" s="1894">
        <f t="shared" si="127"/>
        <v>0</v>
      </c>
      <c r="CB305" s="1894">
        <v>200</v>
      </c>
      <c r="CC305" s="1894">
        <v>145.92000000000002</v>
      </c>
      <c r="CD305" s="1894">
        <v>160</v>
      </c>
      <c r="CE305" s="1894">
        <v>0.92669999999999997</v>
      </c>
      <c r="CF305" s="1894">
        <v>49.34</v>
      </c>
      <c r="CG305" s="1894">
        <v>53562</v>
      </c>
      <c r="CH305" s="1894">
        <f t="shared" si="128"/>
        <v>65139</v>
      </c>
      <c r="CI305" s="1894">
        <f t="shared" si="129"/>
        <v>0</v>
      </c>
      <c r="CJ305" s="1894">
        <v>200</v>
      </c>
      <c r="CK305" s="1894">
        <v>144.16</v>
      </c>
      <c r="CL305" s="1894">
        <v>160</v>
      </c>
      <c r="CM305" s="1894">
        <v>0.90200000000000002</v>
      </c>
      <c r="CN305" s="1894">
        <v>46.76</v>
      </c>
      <c r="CO305" s="1894">
        <v>45298</v>
      </c>
      <c r="CP305" s="1894">
        <f t="shared" si="130"/>
        <v>58125</v>
      </c>
      <c r="CQ305" s="1894">
        <f t="shared" si="131"/>
        <v>0</v>
      </c>
      <c r="CR305" s="1924">
        <v>200</v>
      </c>
      <c r="CS305" s="1924">
        <v>117.75999999999999</v>
      </c>
      <c r="CT305" s="1924">
        <v>160</v>
      </c>
      <c r="CU305" s="1924">
        <v>0.88919999999999999</v>
      </c>
      <c r="CV305" s="1924">
        <v>49.84</v>
      </c>
      <c r="CW305" s="1924">
        <v>35214</v>
      </c>
      <c r="CX305" s="1894">
        <f t="shared" si="132"/>
        <v>52568</v>
      </c>
      <c r="CY305" s="1894">
        <f t="shared" si="133"/>
        <v>0</v>
      </c>
    </row>
    <row r="306" spans="1:103">
      <c r="A306" s="982">
        <v>621000000028</v>
      </c>
      <c r="B306" s="1923">
        <f t="shared" si="134"/>
        <v>300</v>
      </c>
      <c r="C306" s="1895" t="s">
        <v>3187</v>
      </c>
      <c r="D306" s="1894" t="s">
        <v>524</v>
      </c>
      <c r="E306" s="1895" t="s">
        <v>737</v>
      </c>
      <c r="F306" s="1894" t="s">
        <v>259</v>
      </c>
      <c r="G306" s="1924">
        <v>200</v>
      </c>
      <c r="H306" s="1894">
        <v>200</v>
      </c>
      <c r="I306" s="1894">
        <v>13.95</v>
      </c>
      <c r="J306" s="1894">
        <v>160</v>
      </c>
      <c r="K306" s="1894">
        <v>0.99950000000000006</v>
      </c>
      <c r="L306" s="1894">
        <v>49.21</v>
      </c>
      <c r="M306" s="1894">
        <v>4943</v>
      </c>
      <c r="N306" s="1894">
        <f t="shared" si="112"/>
        <v>6026</v>
      </c>
      <c r="O306" s="1894">
        <f t="shared" si="113"/>
        <v>0</v>
      </c>
      <c r="P306" s="1894">
        <v>200</v>
      </c>
      <c r="Q306" s="1894">
        <v>13.25</v>
      </c>
      <c r="R306" s="1894">
        <v>160</v>
      </c>
      <c r="S306" s="1894">
        <v>1</v>
      </c>
      <c r="T306" s="1894">
        <v>47.44</v>
      </c>
      <c r="U306" s="1894">
        <v>4677</v>
      </c>
      <c r="V306" s="1894">
        <f t="shared" si="114"/>
        <v>5915</v>
      </c>
      <c r="W306" s="1894">
        <f t="shared" si="115"/>
        <v>0</v>
      </c>
      <c r="X306" s="1894">
        <v>200</v>
      </c>
      <c r="Y306" s="1894">
        <v>14.05</v>
      </c>
      <c r="Z306" s="1894">
        <v>160</v>
      </c>
      <c r="AA306" s="1894">
        <v>0.99790000000000001</v>
      </c>
      <c r="AB306" s="1894">
        <v>33.5</v>
      </c>
      <c r="AC306" s="1894">
        <v>3389</v>
      </c>
      <c r="AD306" s="1894">
        <f t="shared" si="116"/>
        <v>6070</v>
      </c>
      <c r="AE306" s="1894">
        <f t="shared" si="117"/>
        <v>0</v>
      </c>
      <c r="AF306" s="1894">
        <v>200</v>
      </c>
      <c r="AG306" s="1894">
        <v>10.35</v>
      </c>
      <c r="AH306" s="1894">
        <v>160</v>
      </c>
      <c r="AI306" s="1894">
        <v>0.99790000000000001</v>
      </c>
      <c r="AJ306" s="1894">
        <v>2.23</v>
      </c>
      <c r="AK306" s="1894">
        <v>3313</v>
      </c>
      <c r="AL306" s="1894">
        <f t="shared" si="110"/>
        <v>4620</v>
      </c>
      <c r="AM306" s="1894">
        <f t="shared" si="111"/>
        <v>0</v>
      </c>
      <c r="AN306" s="1894">
        <v>200</v>
      </c>
      <c r="AO306" s="1894">
        <v>9.85</v>
      </c>
      <c r="AP306" s="1894">
        <v>160</v>
      </c>
      <c r="AQ306" s="1894">
        <v>0.99660000000000004</v>
      </c>
      <c r="AR306" s="1894">
        <v>2.41</v>
      </c>
      <c r="AS306" s="1894">
        <v>3592</v>
      </c>
      <c r="AT306" s="1894">
        <f t="shared" si="118"/>
        <v>4397</v>
      </c>
      <c r="AU306" s="1894">
        <f t="shared" si="119"/>
        <v>0</v>
      </c>
      <c r="AV306" s="1894">
        <v>200</v>
      </c>
      <c r="AW306" s="1894">
        <v>11.05</v>
      </c>
      <c r="AX306" s="1894">
        <v>160</v>
      </c>
      <c r="AY306" s="1894">
        <v>0.99570000000000003</v>
      </c>
      <c r="AZ306" s="1894">
        <v>32.159999999999997</v>
      </c>
      <c r="BA306" s="1894">
        <v>2559</v>
      </c>
      <c r="BB306" s="1894">
        <f t="shared" si="120"/>
        <v>4774</v>
      </c>
      <c r="BC306" s="1894">
        <f t="shared" si="121"/>
        <v>0</v>
      </c>
      <c r="BD306" s="1894">
        <v>200</v>
      </c>
      <c r="BE306" s="1894">
        <v>9.9499999999999993</v>
      </c>
      <c r="BF306" s="1894">
        <v>160</v>
      </c>
      <c r="BG306" s="1894">
        <v>0.99460000000000004</v>
      </c>
      <c r="BH306" s="1894">
        <v>37.69</v>
      </c>
      <c r="BI306" s="1894">
        <v>2790</v>
      </c>
      <c r="BJ306" s="1894">
        <f t="shared" si="122"/>
        <v>4442</v>
      </c>
      <c r="BK306" s="1894">
        <f t="shared" si="123"/>
        <v>0</v>
      </c>
      <c r="BL306" s="1894">
        <v>200</v>
      </c>
      <c r="BM306" s="1894">
        <v>18.75</v>
      </c>
      <c r="BN306" s="1894">
        <v>160</v>
      </c>
      <c r="BO306" s="1894">
        <v>0.98719999999999997</v>
      </c>
      <c r="BP306" s="1894">
        <v>21.34</v>
      </c>
      <c r="BQ306" s="1894">
        <v>2881</v>
      </c>
      <c r="BR306" s="1894">
        <f t="shared" si="124"/>
        <v>8100</v>
      </c>
      <c r="BS306" s="1894">
        <f t="shared" si="125"/>
        <v>0</v>
      </c>
      <c r="BT306" s="1894">
        <v>200</v>
      </c>
      <c r="BU306" s="1894">
        <v>11.25</v>
      </c>
      <c r="BV306" s="1894">
        <v>160</v>
      </c>
      <c r="BW306" s="1894">
        <v>0.99099999999999999</v>
      </c>
      <c r="BX306" s="1894">
        <v>34.979999999999997</v>
      </c>
      <c r="BY306" s="1894">
        <v>2928</v>
      </c>
      <c r="BZ306" s="1894">
        <f t="shared" si="126"/>
        <v>5022</v>
      </c>
      <c r="CA306" s="1894">
        <f t="shared" si="127"/>
        <v>0</v>
      </c>
      <c r="CB306" s="1894">
        <v>200</v>
      </c>
      <c r="CC306" s="1894">
        <v>11.55</v>
      </c>
      <c r="CD306" s="1894">
        <v>160</v>
      </c>
      <c r="CE306" s="1894">
        <v>0.99329999999999996</v>
      </c>
      <c r="CF306" s="1894">
        <v>36.69</v>
      </c>
      <c r="CG306" s="1894">
        <v>3153</v>
      </c>
      <c r="CH306" s="1894">
        <f t="shared" si="128"/>
        <v>5156</v>
      </c>
      <c r="CI306" s="1894">
        <f t="shared" si="129"/>
        <v>0</v>
      </c>
      <c r="CJ306" s="1894">
        <v>200</v>
      </c>
      <c r="CK306" s="1894">
        <v>26.4</v>
      </c>
      <c r="CL306" s="1894">
        <v>160</v>
      </c>
      <c r="CM306" s="1894">
        <v>0.75800000000000001</v>
      </c>
      <c r="CN306" s="1894">
        <v>16.25</v>
      </c>
      <c r="CO306" s="1894">
        <v>6033</v>
      </c>
      <c r="CP306" s="1894">
        <f t="shared" si="130"/>
        <v>10644</v>
      </c>
      <c r="CQ306" s="1894">
        <f t="shared" si="131"/>
        <v>0</v>
      </c>
      <c r="CR306" s="1924">
        <v>200</v>
      </c>
      <c r="CS306" s="1924">
        <v>20.689999999999998</v>
      </c>
      <c r="CT306" s="1924">
        <v>160</v>
      </c>
      <c r="CU306" s="1924">
        <v>0.77049999999999996</v>
      </c>
      <c r="CV306" s="1924">
        <v>43.47</v>
      </c>
      <c r="CW306" s="1924">
        <v>6691</v>
      </c>
      <c r="CX306" s="1894">
        <f t="shared" si="132"/>
        <v>9236</v>
      </c>
      <c r="CY306" s="1894">
        <f t="shared" si="133"/>
        <v>0</v>
      </c>
    </row>
    <row r="307" spans="1:103">
      <c r="A307" s="982">
        <v>615000000036</v>
      </c>
      <c r="B307" s="1923">
        <f t="shared" si="134"/>
        <v>301</v>
      </c>
      <c r="C307" s="1895" t="s">
        <v>3188</v>
      </c>
      <c r="D307" s="1894" t="s">
        <v>524</v>
      </c>
      <c r="E307" s="1895" t="s">
        <v>541</v>
      </c>
      <c r="F307" s="1894" t="s">
        <v>259</v>
      </c>
      <c r="G307" s="1924">
        <v>200</v>
      </c>
      <c r="H307" s="1894">
        <v>200</v>
      </c>
      <c r="I307" s="1894">
        <v>187.20000000000002</v>
      </c>
      <c r="J307" s="1894">
        <v>187.2</v>
      </c>
      <c r="K307" s="1894">
        <v>0.98960000000000004</v>
      </c>
      <c r="L307" s="1894">
        <v>53.94</v>
      </c>
      <c r="M307" s="1894">
        <v>72705</v>
      </c>
      <c r="N307" s="1894">
        <f t="shared" si="112"/>
        <v>80870</v>
      </c>
      <c r="O307" s="1894">
        <f t="shared" si="113"/>
        <v>0</v>
      </c>
      <c r="P307" s="1894">
        <v>200</v>
      </c>
      <c r="Q307" s="1894">
        <v>176.16</v>
      </c>
      <c r="R307" s="1894">
        <v>176.16</v>
      </c>
      <c r="S307" s="1894">
        <v>0.98640000000000005</v>
      </c>
      <c r="T307" s="1894">
        <v>45.57</v>
      </c>
      <c r="U307" s="1894">
        <v>59724</v>
      </c>
      <c r="V307" s="1894">
        <f t="shared" si="114"/>
        <v>78638</v>
      </c>
      <c r="W307" s="1894">
        <f t="shared" si="115"/>
        <v>0</v>
      </c>
      <c r="X307" s="1894">
        <v>200</v>
      </c>
      <c r="Y307" s="1894">
        <v>171.28</v>
      </c>
      <c r="Z307" s="1894">
        <v>171.28</v>
      </c>
      <c r="AA307" s="1894">
        <v>0.98899999999999999</v>
      </c>
      <c r="AB307" s="1894">
        <v>42.85</v>
      </c>
      <c r="AC307" s="1894">
        <v>52845</v>
      </c>
      <c r="AD307" s="1894">
        <f t="shared" si="116"/>
        <v>73993</v>
      </c>
      <c r="AE307" s="1894">
        <f t="shared" si="117"/>
        <v>0</v>
      </c>
      <c r="AF307" s="1894">
        <v>200</v>
      </c>
      <c r="AG307" s="1894">
        <v>180.32</v>
      </c>
      <c r="AH307" s="1894">
        <v>180.32</v>
      </c>
      <c r="AI307" s="1894">
        <v>0.9798</v>
      </c>
      <c r="AJ307" s="1894">
        <v>34.99</v>
      </c>
      <c r="AK307" s="1894">
        <v>45422</v>
      </c>
      <c r="AL307" s="1894">
        <f t="shared" si="110"/>
        <v>80495</v>
      </c>
      <c r="AM307" s="1894">
        <f t="shared" si="111"/>
        <v>0</v>
      </c>
      <c r="AN307" s="1894">
        <v>200</v>
      </c>
      <c r="AO307" s="1894">
        <v>176.4</v>
      </c>
      <c r="AP307" s="1894">
        <v>176.4</v>
      </c>
      <c r="AQ307" s="1894">
        <v>0.98119999999999996</v>
      </c>
      <c r="AR307" s="1894">
        <v>32.909999999999997</v>
      </c>
      <c r="AS307" s="1894">
        <v>36226</v>
      </c>
      <c r="AT307" s="1894">
        <f t="shared" si="118"/>
        <v>78745</v>
      </c>
      <c r="AU307" s="1894">
        <f t="shared" si="119"/>
        <v>0</v>
      </c>
      <c r="AV307" s="1894">
        <v>200</v>
      </c>
      <c r="AW307" s="1894">
        <v>173.67999999999998</v>
      </c>
      <c r="AX307" s="1894">
        <v>173.68</v>
      </c>
      <c r="AY307" s="1894">
        <v>0.9849</v>
      </c>
      <c r="AZ307" s="1894">
        <v>44.45</v>
      </c>
      <c r="BA307" s="1894">
        <v>61143</v>
      </c>
      <c r="BB307" s="1894">
        <f t="shared" si="120"/>
        <v>75030</v>
      </c>
      <c r="BC307" s="1894">
        <f t="shared" si="121"/>
        <v>0</v>
      </c>
      <c r="BD307" s="1894">
        <v>200</v>
      </c>
      <c r="BE307" s="1894">
        <v>186.16</v>
      </c>
      <c r="BF307" s="1894">
        <v>186.16</v>
      </c>
      <c r="BG307" s="1894">
        <v>0.97250000000000003</v>
      </c>
      <c r="BH307" s="1894">
        <v>47.82</v>
      </c>
      <c r="BI307" s="1894">
        <v>72637</v>
      </c>
      <c r="BJ307" s="1894">
        <f t="shared" si="122"/>
        <v>83102</v>
      </c>
      <c r="BK307" s="1894">
        <f t="shared" si="123"/>
        <v>0</v>
      </c>
      <c r="BL307" s="1894">
        <v>200</v>
      </c>
      <c r="BM307" s="1894">
        <v>193.12</v>
      </c>
      <c r="BN307" s="1894">
        <v>193.12</v>
      </c>
      <c r="BO307" s="1894">
        <v>0.97040000000000004</v>
      </c>
      <c r="BP307" s="1894">
        <v>49.22</v>
      </c>
      <c r="BQ307" s="1894">
        <v>68435</v>
      </c>
      <c r="BR307" s="1894">
        <f t="shared" si="124"/>
        <v>83428</v>
      </c>
      <c r="BS307" s="1894">
        <f t="shared" si="125"/>
        <v>0</v>
      </c>
      <c r="BT307" s="1894">
        <v>200</v>
      </c>
      <c r="BU307" s="1894">
        <v>186.4</v>
      </c>
      <c r="BV307" s="1894">
        <v>186.4</v>
      </c>
      <c r="BW307" s="1894">
        <v>0.97460000000000002</v>
      </c>
      <c r="BX307" s="1894">
        <v>50.19</v>
      </c>
      <c r="BY307" s="1894">
        <v>69603</v>
      </c>
      <c r="BZ307" s="1894">
        <f t="shared" si="126"/>
        <v>83209</v>
      </c>
      <c r="CA307" s="1894">
        <f t="shared" si="127"/>
        <v>0</v>
      </c>
      <c r="CB307" s="1894">
        <v>200</v>
      </c>
      <c r="CC307" s="1894">
        <v>191.6</v>
      </c>
      <c r="CD307" s="1894">
        <v>191.6</v>
      </c>
      <c r="CE307" s="1894">
        <v>0.97160000000000002</v>
      </c>
      <c r="CF307" s="1894">
        <v>50.69</v>
      </c>
      <c r="CG307" s="1894">
        <v>72263</v>
      </c>
      <c r="CH307" s="1894">
        <f t="shared" si="128"/>
        <v>85530</v>
      </c>
      <c r="CI307" s="1894">
        <f t="shared" si="129"/>
        <v>0</v>
      </c>
      <c r="CJ307" s="1894">
        <v>200</v>
      </c>
      <c r="CK307" s="1894">
        <v>166</v>
      </c>
      <c r="CL307" s="1894">
        <v>166</v>
      </c>
      <c r="CM307" s="1894">
        <v>0.97270000000000001</v>
      </c>
      <c r="CN307" s="1894">
        <v>51.45</v>
      </c>
      <c r="CO307" s="1894">
        <v>57397</v>
      </c>
      <c r="CP307" s="1894">
        <f t="shared" si="130"/>
        <v>66931</v>
      </c>
      <c r="CQ307" s="1894">
        <f t="shared" si="131"/>
        <v>0</v>
      </c>
      <c r="CR307" s="1924">
        <v>200</v>
      </c>
      <c r="CS307" s="1924">
        <v>162.24</v>
      </c>
      <c r="CT307" s="1924">
        <v>162.24</v>
      </c>
      <c r="CU307" s="1924">
        <v>0.9819</v>
      </c>
      <c r="CV307" s="1924">
        <v>53.43</v>
      </c>
      <c r="CW307" s="1924">
        <v>64492</v>
      </c>
      <c r="CX307" s="1894">
        <f t="shared" si="132"/>
        <v>72424</v>
      </c>
      <c r="CY307" s="1894">
        <f t="shared" si="133"/>
        <v>0</v>
      </c>
    </row>
    <row r="308" spans="1:103">
      <c r="A308" s="982">
        <v>615000000037</v>
      </c>
      <c r="B308" s="1923">
        <f t="shared" si="134"/>
        <v>302</v>
      </c>
      <c r="C308" s="1895" t="s">
        <v>3189</v>
      </c>
      <c r="D308" s="1894" t="s">
        <v>524</v>
      </c>
      <c r="E308" s="1895" t="s">
        <v>541</v>
      </c>
      <c r="F308" s="1894" t="s">
        <v>259</v>
      </c>
      <c r="G308" s="1924">
        <v>200</v>
      </c>
      <c r="H308" s="1894">
        <v>200</v>
      </c>
      <c r="I308" s="1894">
        <v>89.2</v>
      </c>
      <c r="J308" s="1894">
        <v>160</v>
      </c>
      <c r="K308" s="1894">
        <v>0.65280000000000005</v>
      </c>
      <c r="L308" s="1894">
        <v>23.42</v>
      </c>
      <c r="M308" s="1894">
        <v>18052</v>
      </c>
      <c r="N308" s="1894">
        <f t="shared" si="112"/>
        <v>38534</v>
      </c>
      <c r="O308" s="1894">
        <f t="shared" si="113"/>
        <v>0</v>
      </c>
      <c r="P308" s="1894">
        <v>200</v>
      </c>
      <c r="Q308" s="1894">
        <v>139.19999999999999</v>
      </c>
      <c r="R308" s="1894">
        <v>160</v>
      </c>
      <c r="S308" s="1894">
        <v>0.71440000000000003</v>
      </c>
      <c r="T308" s="1894">
        <v>9.4499999999999993</v>
      </c>
      <c r="U308" s="1894">
        <v>9784</v>
      </c>
      <c r="V308" s="1894">
        <f t="shared" si="114"/>
        <v>62139</v>
      </c>
      <c r="W308" s="1894">
        <f t="shared" si="115"/>
        <v>0</v>
      </c>
      <c r="X308" s="1894">
        <v>200</v>
      </c>
      <c r="Y308" s="1894">
        <v>16</v>
      </c>
      <c r="Z308" s="1894">
        <v>160</v>
      </c>
      <c r="AA308" s="1894">
        <v>0.70679999999999998</v>
      </c>
      <c r="AB308" s="1894">
        <v>72.5</v>
      </c>
      <c r="AC308" s="1894">
        <v>8352</v>
      </c>
      <c r="AD308" s="1894">
        <f t="shared" si="116"/>
        <v>6912</v>
      </c>
      <c r="AE308" s="1894">
        <f t="shared" si="117"/>
        <v>1440</v>
      </c>
      <c r="AF308" s="1894">
        <v>200</v>
      </c>
      <c r="AG308" s="1894">
        <v>124</v>
      </c>
      <c r="AH308" s="1894">
        <v>160</v>
      </c>
      <c r="AI308" s="1894">
        <v>0.73460000000000003</v>
      </c>
      <c r="AJ308" s="1894">
        <v>6.36</v>
      </c>
      <c r="AK308" s="1894">
        <v>5864</v>
      </c>
      <c r="AL308" s="1894">
        <f t="shared" si="110"/>
        <v>55354</v>
      </c>
      <c r="AM308" s="1894">
        <f t="shared" si="111"/>
        <v>0</v>
      </c>
      <c r="AN308" s="1894">
        <v>200</v>
      </c>
      <c r="AO308" s="1894">
        <v>137.6</v>
      </c>
      <c r="AP308" s="1894">
        <v>160</v>
      </c>
      <c r="AQ308" s="1894">
        <v>0.68089999999999995</v>
      </c>
      <c r="AR308" s="1894">
        <v>11.37</v>
      </c>
      <c r="AS308" s="1894">
        <v>11640</v>
      </c>
      <c r="AT308" s="1894">
        <f t="shared" si="118"/>
        <v>61425</v>
      </c>
      <c r="AU308" s="1894">
        <f t="shared" si="119"/>
        <v>0</v>
      </c>
      <c r="AV308" s="1894">
        <v>200</v>
      </c>
      <c r="AW308" s="1894">
        <v>131.20000000000002</v>
      </c>
      <c r="AX308" s="1894">
        <v>160</v>
      </c>
      <c r="AY308" s="1894">
        <v>0.8296</v>
      </c>
      <c r="AZ308" s="1894">
        <v>5.34</v>
      </c>
      <c r="BA308" s="1894">
        <v>5048</v>
      </c>
      <c r="BB308" s="1894">
        <f t="shared" si="120"/>
        <v>56678</v>
      </c>
      <c r="BC308" s="1894">
        <f t="shared" si="121"/>
        <v>0</v>
      </c>
      <c r="BD308" s="1894">
        <v>200</v>
      </c>
      <c r="BE308" s="1894">
        <v>157.20000000000002</v>
      </c>
      <c r="BF308" s="1894">
        <v>160</v>
      </c>
      <c r="BG308" s="1894">
        <v>0.59150000000000003</v>
      </c>
      <c r="BH308" s="1894">
        <v>29.62</v>
      </c>
      <c r="BI308" s="1894">
        <v>34638</v>
      </c>
      <c r="BJ308" s="1894">
        <f t="shared" si="122"/>
        <v>70174</v>
      </c>
      <c r="BK308" s="1894">
        <f t="shared" si="123"/>
        <v>0</v>
      </c>
      <c r="BL308" s="1894">
        <v>200</v>
      </c>
      <c r="BM308" s="1894">
        <v>154.4</v>
      </c>
      <c r="BN308" s="1894">
        <v>160</v>
      </c>
      <c r="BO308" s="1894">
        <v>0.54979999999999996</v>
      </c>
      <c r="BP308" s="1894">
        <v>40.47</v>
      </c>
      <c r="BQ308" s="1894">
        <v>44994</v>
      </c>
      <c r="BR308" s="1894">
        <f t="shared" si="124"/>
        <v>66701</v>
      </c>
      <c r="BS308" s="1894">
        <f t="shared" si="125"/>
        <v>0</v>
      </c>
      <c r="BT308" s="1894">
        <v>200</v>
      </c>
      <c r="BU308" s="1894">
        <v>156.80000000000001</v>
      </c>
      <c r="BV308" s="1894">
        <v>160</v>
      </c>
      <c r="BW308" s="1894">
        <v>0.55159999999999998</v>
      </c>
      <c r="BX308" s="1894">
        <v>27.29</v>
      </c>
      <c r="BY308" s="1894">
        <v>31838</v>
      </c>
      <c r="BZ308" s="1894">
        <f t="shared" si="126"/>
        <v>69996</v>
      </c>
      <c r="CA308" s="1894">
        <f t="shared" si="127"/>
        <v>0</v>
      </c>
      <c r="CB308" s="1894">
        <v>200</v>
      </c>
      <c r="CC308" s="1894">
        <v>155.6</v>
      </c>
      <c r="CD308" s="1894">
        <v>160</v>
      </c>
      <c r="CE308" s="1894">
        <v>0.59730000000000005</v>
      </c>
      <c r="CF308" s="1894">
        <v>12.93</v>
      </c>
      <c r="CG308" s="1894">
        <v>14970</v>
      </c>
      <c r="CH308" s="1894">
        <f t="shared" si="128"/>
        <v>69460</v>
      </c>
      <c r="CI308" s="1894">
        <f t="shared" si="129"/>
        <v>0</v>
      </c>
      <c r="CJ308" s="1894">
        <v>200</v>
      </c>
      <c r="CK308" s="1894">
        <v>138.39999999999998</v>
      </c>
      <c r="CL308" s="1894">
        <v>160</v>
      </c>
      <c r="CM308" s="1894">
        <v>0.58040000000000003</v>
      </c>
      <c r="CN308" s="1894">
        <v>24.52</v>
      </c>
      <c r="CO308" s="1894">
        <v>22802</v>
      </c>
      <c r="CP308" s="1894">
        <f t="shared" si="130"/>
        <v>55803</v>
      </c>
      <c r="CQ308" s="1894">
        <f t="shared" si="131"/>
        <v>0</v>
      </c>
      <c r="CR308" s="1924">
        <v>200</v>
      </c>
      <c r="CS308" s="1924">
        <v>146.80000000000001</v>
      </c>
      <c r="CT308" s="1924">
        <v>160</v>
      </c>
      <c r="CU308" s="1924">
        <v>0.5575</v>
      </c>
      <c r="CV308" s="1924">
        <v>29.45</v>
      </c>
      <c r="CW308" s="1924">
        <v>32168</v>
      </c>
      <c r="CX308" s="1894">
        <f t="shared" si="132"/>
        <v>65532</v>
      </c>
      <c r="CY308" s="1894">
        <f t="shared" si="133"/>
        <v>0</v>
      </c>
    </row>
    <row r="309" spans="1:103">
      <c r="A309" s="982">
        <v>621000000043</v>
      </c>
      <c r="B309" s="1923">
        <f t="shared" si="134"/>
        <v>303</v>
      </c>
      <c r="C309" s="1895" t="s">
        <v>3190</v>
      </c>
      <c r="D309" s="1894" t="s">
        <v>524</v>
      </c>
      <c r="E309" s="1895" t="s">
        <v>636</v>
      </c>
      <c r="F309" s="1894" t="s">
        <v>259</v>
      </c>
      <c r="G309" s="1924">
        <v>200</v>
      </c>
      <c r="H309" s="1894">
        <v>200</v>
      </c>
      <c r="I309" s="1894">
        <v>132.47999999999999</v>
      </c>
      <c r="J309" s="1894">
        <v>160</v>
      </c>
      <c r="K309" s="1894">
        <v>0.99450000000000005</v>
      </c>
      <c r="L309" s="1894">
        <v>21.93</v>
      </c>
      <c r="M309" s="1894">
        <v>20917</v>
      </c>
      <c r="N309" s="1894">
        <f t="shared" si="112"/>
        <v>57231</v>
      </c>
      <c r="O309" s="1894">
        <f t="shared" si="113"/>
        <v>0</v>
      </c>
      <c r="P309" s="1894">
        <v>200</v>
      </c>
      <c r="Q309" s="1894">
        <v>125.2</v>
      </c>
      <c r="R309" s="1894">
        <v>160</v>
      </c>
      <c r="S309" s="1894">
        <v>0.99239999999999995</v>
      </c>
      <c r="T309" s="1894">
        <v>22.83</v>
      </c>
      <c r="U309" s="1894">
        <v>21269</v>
      </c>
      <c r="V309" s="1894">
        <f t="shared" si="114"/>
        <v>55889</v>
      </c>
      <c r="W309" s="1894">
        <f t="shared" si="115"/>
        <v>0</v>
      </c>
      <c r="X309" s="1894">
        <v>200</v>
      </c>
      <c r="Y309" s="1894">
        <v>134.47999999999999</v>
      </c>
      <c r="Z309" s="1894">
        <v>160</v>
      </c>
      <c r="AA309" s="1894">
        <v>0.98780000000000001</v>
      </c>
      <c r="AB309" s="1894">
        <v>20.23</v>
      </c>
      <c r="AC309" s="1894">
        <v>19586</v>
      </c>
      <c r="AD309" s="1894">
        <f t="shared" si="116"/>
        <v>58095</v>
      </c>
      <c r="AE309" s="1894">
        <f t="shared" si="117"/>
        <v>0</v>
      </c>
      <c r="AF309" s="1894">
        <v>200</v>
      </c>
      <c r="AG309" s="1894">
        <v>112.24000000000001</v>
      </c>
      <c r="AH309" s="1894">
        <v>160</v>
      </c>
      <c r="AI309" s="1894">
        <v>0.98170000000000002</v>
      </c>
      <c r="AJ309" s="1894">
        <v>18.46</v>
      </c>
      <c r="AK309" s="1894">
        <v>15416</v>
      </c>
      <c r="AL309" s="1894">
        <f t="shared" si="110"/>
        <v>50104</v>
      </c>
      <c r="AM309" s="1894">
        <f t="shared" si="111"/>
        <v>0</v>
      </c>
      <c r="AN309" s="1894">
        <v>200</v>
      </c>
      <c r="AO309" s="1894">
        <v>113.68</v>
      </c>
      <c r="AP309" s="1894">
        <v>160</v>
      </c>
      <c r="AQ309" s="1894">
        <v>0.98409999999999997</v>
      </c>
      <c r="AR309" s="1894">
        <v>17.86</v>
      </c>
      <c r="AS309" s="1894">
        <v>15108</v>
      </c>
      <c r="AT309" s="1894">
        <f t="shared" si="118"/>
        <v>50747</v>
      </c>
      <c r="AU309" s="1894">
        <f t="shared" si="119"/>
        <v>0</v>
      </c>
      <c r="AV309" s="1894">
        <v>200</v>
      </c>
      <c r="AW309" s="1894">
        <v>107.52</v>
      </c>
      <c r="AX309" s="1894">
        <v>160</v>
      </c>
      <c r="AY309" s="1894">
        <v>0.96970000000000001</v>
      </c>
      <c r="AZ309" s="1894">
        <v>20.36</v>
      </c>
      <c r="BA309" s="1894">
        <v>15764</v>
      </c>
      <c r="BB309" s="1894">
        <f t="shared" si="120"/>
        <v>46449</v>
      </c>
      <c r="BC309" s="1894">
        <f t="shared" si="121"/>
        <v>0</v>
      </c>
      <c r="BD309" s="1894">
        <v>200</v>
      </c>
      <c r="BE309" s="1894">
        <v>86.48</v>
      </c>
      <c r="BF309" s="1894">
        <v>160</v>
      </c>
      <c r="BG309" s="1894">
        <v>1.0027999999999999</v>
      </c>
      <c r="BH309" s="1894">
        <v>25.8</v>
      </c>
      <c r="BI309" s="1894">
        <v>16603</v>
      </c>
      <c r="BJ309" s="1894">
        <f t="shared" si="122"/>
        <v>38605</v>
      </c>
      <c r="BK309" s="1894">
        <f t="shared" si="123"/>
        <v>0</v>
      </c>
      <c r="BL309" s="1894">
        <v>200</v>
      </c>
      <c r="BM309" s="1894">
        <v>48.88</v>
      </c>
      <c r="BN309" s="1894">
        <v>160</v>
      </c>
      <c r="BO309" s="1894">
        <v>0.96989999999999998</v>
      </c>
      <c r="BP309" s="1894">
        <v>31.28</v>
      </c>
      <c r="BQ309" s="1894">
        <v>11009</v>
      </c>
      <c r="BR309" s="1894">
        <f t="shared" si="124"/>
        <v>21116</v>
      </c>
      <c r="BS309" s="1894">
        <f t="shared" si="125"/>
        <v>0</v>
      </c>
      <c r="BT309" s="1894">
        <v>200</v>
      </c>
      <c r="BU309" s="1894">
        <v>42.16</v>
      </c>
      <c r="BV309" s="1894">
        <v>160</v>
      </c>
      <c r="BW309" s="1894">
        <v>0.93769999999999998</v>
      </c>
      <c r="BX309" s="1894">
        <v>31.16</v>
      </c>
      <c r="BY309" s="1894">
        <v>9774</v>
      </c>
      <c r="BZ309" s="1894">
        <f t="shared" si="126"/>
        <v>18820</v>
      </c>
      <c r="CA309" s="1894">
        <f t="shared" si="127"/>
        <v>0</v>
      </c>
      <c r="CB309" s="1894">
        <v>200</v>
      </c>
      <c r="CC309" s="1894">
        <v>46.32</v>
      </c>
      <c r="CD309" s="1894">
        <v>160</v>
      </c>
      <c r="CE309" s="1894">
        <v>0.99629999999999996</v>
      </c>
      <c r="CF309" s="1894">
        <v>31.39</v>
      </c>
      <c r="CG309" s="1894">
        <v>10817</v>
      </c>
      <c r="CH309" s="1894">
        <f t="shared" si="128"/>
        <v>20677</v>
      </c>
      <c r="CI309" s="1894">
        <f t="shared" si="129"/>
        <v>0</v>
      </c>
      <c r="CJ309" s="1894">
        <v>200</v>
      </c>
      <c r="CK309" s="1894">
        <v>49.6</v>
      </c>
      <c r="CL309" s="1894">
        <v>160</v>
      </c>
      <c r="CM309" s="1894">
        <v>0.97109999999999996</v>
      </c>
      <c r="CN309" s="1894">
        <v>30.75</v>
      </c>
      <c r="CO309" s="1894">
        <v>10248</v>
      </c>
      <c r="CP309" s="1894">
        <f t="shared" si="130"/>
        <v>19999</v>
      </c>
      <c r="CQ309" s="1894">
        <f t="shared" si="131"/>
        <v>0</v>
      </c>
      <c r="CR309" s="1924">
        <v>200</v>
      </c>
      <c r="CS309" s="1924">
        <v>74</v>
      </c>
      <c r="CT309" s="1924">
        <v>160</v>
      </c>
      <c r="CU309" s="1924">
        <v>0.97650000000000003</v>
      </c>
      <c r="CV309" s="1924">
        <v>24.23</v>
      </c>
      <c r="CW309" s="1924">
        <v>13342</v>
      </c>
      <c r="CX309" s="1894">
        <f t="shared" si="132"/>
        <v>33034</v>
      </c>
      <c r="CY309" s="1894">
        <f t="shared" si="133"/>
        <v>0</v>
      </c>
    </row>
    <row r="310" spans="1:103">
      <c r="A310" s="982">
        <v>123000000135</v>
      </c>
      <c r="B310" s="1923">
        <f t="shared" si="134"/>
        <v>304</v>
      </c>
      <c r="C310" s="1895" t="s">
        <v>3191</v>
      </c>
      <c r="D310" s="1894" t="s">
        <v>524</v>
      </c>
      <c r="E310" s="1895" t="s">
        <v>541</v>
      </c>
      <c r="F310" s="1894" t="s">
        <v>259</v>
      </c>
      <c r="G310" s="1924">
        <v>201</v>
      </c>
      <c r="H310" s="1894">
        <v>0</v>
      </c>
      <c r="I310" s="1894">
        <v>0</v>
      </c>
      <c r="J310" s="1894">
        <v>0</v>
      </c>
      <c r="K310" s="1894">
        <v>0</v>
      </c>
      <c r="L310" s="1894">
        <v>0</v>
      </c>
      <c r="M310" s="1894">
        <v>0</v>
      </c>
      <c r="N310" s="1894">
        <f t="shared" si="112"/>
        <v>0</v>
      </c>
      <c r="O310" s="1894">
        <f t="shared" si="113"/>
        <v>0</v>
      </c>
      <c r="P310" s="1894">
        <v>0</v>
      </c>
      <c r="Q310" s="1894">
        <v>0</v>
      </c>
      <c r="R310" s="1894">
        <v>0</v>
      </c>
      <c r="S310" s="1894">
        <v>0</v>
      </c>
      <c r="T310" s="1894">
        <v>0</v>
      </c>
      <c r="U310" s="1894">
        <v>0</v>
      </c>
      <c r="V310" s="1894">
        <f t="shared" si="114"/>
        <v>0</v>
      </c>
      <c r="W310" s="1894">
        <f t="shared" si="115"/>
        <v>0</v>
      </c>
      <c r="X310" s="1894">
        <v>0</v>
      </c>
      <c r="Y310" s="1894">
        <v>0</v>
      </c>
      <c r="Z310" s="1894">
        <v>0</v>
      </c>
      <c r="AA310" s="1894">
        <v>0</v>
      </c>
      <c r="AB310" s="1894">
        <v>0</v>
      </c>
      <c r="AC310" s="1894">
        <v>0</v>
      </c>
      <c r="AD310" s="1894">
        <f t="shared" si="116"/>
        <v>0</v>
      </c>
      <c r="AE310" s="1894">
        <f t="shared" si="117"/>
        <v>0</v>
      </c>
      <c r="AF310" s="1894">
        <v>201</v>
      </c>
      <c r="AG310" s="1894">
        <v>90</v>
      </c>
      <c r="AH310" s="1894">
        <v>160.80000000000001</v>
      </c>
      <c r="AI310" s="1894">
        <v>0.6825</v>
      </c>
      <c r="AJ310" s="1894">
        <v>5.19</v>
      </c>
      <c r="AK310" s="1894">
        <v>2580</v>
      </c>
      <c r="AL310" s="1894">
        <f t="shared" si="110"/>
        <v>40176</v>
      </c>
      <c r="AM310" s="1894">
        <f t="shared" si="111"/>
        <v>0</v>
      </c>
      <c r="AN310" s="1894">
        <v>201</v>
      </c>
      <c r="AO310" s="1894">
        <v>68.040000000000006</v>
      </c>
      <c r="AP310" s="1894">
        <v>160.80000000000001</v>
      </c>
      <c r="AQ310" s="1894">
        <v>0.99990000000000001</v>
      </c>
      <c r="AR310" s="1894">
        <v>67.92</v>
      </c>
      <c r="AS310" s="1894">
        <v>36603</v>
      </c>
      <c r="AT310" s="1894">
        <f t="shared" si="118"/>
        <v>30373</v>
      </c>
      <c r="AU310" s="1894">
        <f t="shared" si="119"/>
        <v>6230</v>
      </c>
      <c r="AV310" s="1894">
        <v>201</v>
      </c>
      <c r="AW310" s="1894">
        <v>118.68</v>
      </c>
      <c r="AX310" s="1894">
        <v>160.80000000000001</v>
      </c>
      <c r="AY310" s="1894">
        <v>0.95830000000000004</v>
      </c>
      <c r="AZ310" s="1894">
        <v>31.17</v>
      </c>
      <c r="BA310" s="1894">
        <v>24858</v>
      </c>
      <c r="BB310" s="1894">
        <f t="shared" si="120"/>
        <v>51270</v>
      </c>
      <c r="BC310" s="1894">
        <f t="shared" si="121"/>
        <v>0</v>
      </c>
      <c r="BD310" s="1894">
        <v>201</v>
      </c>
      <c r="BE310" s="1894">
        <v>55.32</v>
      </c>
      <c r="BF310" s="1894">
        <v>160.80000000000001</v>
      </c>
      <c r="BG310" s="1894">
        <v>0.98329999999999995</v>
      </c>
      <c r="BH310" s="1894">
        <v>64.42</v>
      </c>
      <c r="BI310" s="1894">
        <v>26514</v>
      </c>
      <c r="BJ310" s="1894">
        <f t="shared" si="122"/>
        <v>24695</v>
      </c>
      <c r="BK310" s="1894">
        <f t="shared" si="123"/>
        <v>1819</v>
      </c>
      <c r="BL310" s="1894">
        <v>201</v>
      </c>
      <c r="BM310" s="1894">
        <v>107.52</v>
      </c>
      <c r="BN310" s="1894">
        <v>160.80000000000001</v>
      </c>
      <c r="BO310" s="1894">
        <v>0.99219999999999997</v>
      </c>
      <c r="BP310" s="1894">
        <v>51.92</v>
      </c>
      <c r="BQ310" s="1894">
        <v>42873</v>
      </c>
      <c r="BR310" s="1894">
        <f t="shared" si="124"/>
        <v>46449</v>
      </c>
      <c r="BS310" s="1894">
        <f t="shared" si="125"/>
        <v>0</v>
      </c>
      <c r="BT310" s="1894">
        <v>201</v>
      </c>
      <c r="BU310" s="1894">
        <v>112.92</v>
      </c>
      <c r="BV310" s="1894">
        <v>160.80000000000001</v>
      </c>
      <c r="BW310" s="1894">
        <v>0.98929999999999996</v>
      </c>
      <c r="BX310" s="1894">
        <v>44.19</v>
      </c>
      <c r="BY310" s="1894">
        <v>34728</v>
      </c>
      <c r="BZ310" s="1894">
        <f t="shared" si="126"/>
        <v>50407</v>
      </c>
      <c r="CA310" s="1894">
        <f t="shared" si="127"/>
        <v>0</v>
      </c>
      <c r="CB310" s="1894">
        <v>201</v>
      </c>
      <c r="CC310" s="1894">
        <v>112.2</v>
      </c>
      <c r="CD310" s="1894">
        <v>160.80000000000001</v>
      </c>
      <c r="CE310" s="1894">
        <v>0.98570000000000002</v>
      </c>
      <c r="CF310" s="1894">
        <v>42.09</v>
      </c>
      <c r="CG310" s="1894">
        <v>36266</v>
      </c>
      <c r="CH310" s="1894">
        <f t="shared" si="128"/>
        <v>50086</v>
      </c>
      <c r="CI310" s="1894">
        <f t="shared" si="129"/>
        <v>0</v>
      </c>
      <c r="CJ310" s="1894">
        <v>201</v>
      </c>
      <c r="CK310" s="1894">
        <v>127.44</v>
      </c>
      <c r="CL310" s="1894">
        <v>160.80000000000001</v>
      </c>
      <c r="CM310" s="1894">
        <v>0.98960000000000004</v>
      </c>
      <c r="CN310" s="1894">
        <v>50.73</v>
      </c>
      <c r="CO310" s="1894">
        <v>44994</v>
      </c>
      <c r="CP310" s="1894">
        <f t="shared" si="130"/>
        <v>51384</v>
      </c>
      <c r="CQ310" s="1894">
        <f t="shared" si="131"/>
        <v>0</v>
      </c>
      <c r="CR310" s="1924">
        <v>201</v>
      </c>
      <c r="CS310" s="1924">
        <v>128.04</v>
      </c>
      <c r="CT310" s="1924">
        <v>160.80000000000001</v>
      </c>
      <c r="CU310" s="1924">
        <v>0.99339999999999995</v>
      </c>
      <c r="CV310" s="1924">
        <v>53.07</v>
      </c>
      <c r="CW310" s="1924">
        <v>52182</v>
      </c>
      <c r="CX310" s="1894">
        <f t="shared" si="132"/>
        <v>57157</v>
      </c>
      <c r="CY310" s="1894">
        <f t="shared" si="133"/>
        <v>0</v>
      </c>
    </row>
    <row r="311" spans="1:103">
      <c r="A311" s="982">
        <v>621000000042</v>
      </c>
      <c r="B311" s="1923">
        <f t="shared" si="134"/>
        <v>305</v>
      </c>
      <c r="C311" s="1895" t="s">
        <v>3192</v>
      </c>
      <c r="D311" s="1894" t="s">
        <v>524</v>
      </c>
      <c r="E311" s="1895" t="s">
        <v>541</v>
      </c>
      <c r="F311" s="1894" t="s">
        <v>259</v>
      </c>
      <c r="G311" s="1924">
        <v>201</v>
      </c>
      <c r="H311" s="1894">
        <v>201</v>
      </c>
      <c r="I311" s="1894">
        <v>170.28</v>
      </c>
      <c r="J311" s="1894">
        <v>170.28</v>
      </c>
      <c r="K311" s="1894">
        <v>0.66290000000000004</v>
      </c>
      <c r="L311" s="1894">
        <v>29.94</v>
      </c>
      <c r="M311" s="1894">
        <v>36709</v>
      </c>
      <c r="N311" s="1894">
        <f t="shared" si="112"/>
        <v>73561</v>
      </c>
      <c r="O311" s="1894">
        <f t="shared" si="113"/>
        <v>0</v>
      </c>
      <c r="P311" s="1894">
        <v>201</v>
      </c>
      <c r="Q311" s="1894">
        <v>171.6</v>
      </c>
      <c r="R311" s="1894">
        <v>171.6</v>
      </c>
      <c r="S311" s="1894">
        <v>0.64629999999999999</v>
      </c>
      <c r="T311" s="1894">
        <v>43.7</v>
      </c>
      <c r="U311" s="1894">
        <v>55794</v>
      </c>
      <c r="V311" s="1894">
        <f t="shared" si="114"/>
        <v>76602</v>
      </c>
      <c r="W311" s="1894">
        <f t="shared" si="115"/>
        <v>0</v>
      </c>
      <c r="X311" s="1894">
        <v>201</v>
      </c>
      <c r="Y311" s="1894">
        <v>198.12</v>
      </c>
      <c r="Z311" s="1894">
        <v>198.12</v>
      </c>
      <c r="AA311" s="1894">
        <v>0.64300000000000002</v>
      </c>
      <c r="AB311" s="1894">
        <v>31.87</v>
      </c>
      <c r="AC311" s="1894">
        <v>45455</v>
      </c>
      <c r="AD311" s="1894">
        <f t="shared" si="116"/>
        <v>85588</v>
      </c>
      <c r="AE311" s="1894">
        <f t="shared" si="117"/>
        <v>0</v>
      </c>
      <c r="AF311" s="1894">
        <v>201</v>
      </c>
      <c r="AG311" s="1894">
        <v>186.95999999999998</v>
      </c>
      <c r="AH311" s="1894">
        <v>186.96</v>
      </c>
      <c r="AI311" s="1894">
        <v>0.6079</v>
      </c>
      <c r="AJ311" s="1894">
        <v>18.7</v>
      </c>
      <c r="AK311" s="1894">
        <v>26007</v>
      </c>
      <c r="AL311" s="1894">
        <f t="shared" si="110"/>
        <v>83459</v>
      </c>
      <c r="AM311" s="1894">
        <f t="shared" si="111"/>
        <v>0</v>
      </c>
      <c r="AN311" s="1894">
        <v>201</v>
      </c>
      <c r="AO311" s="1894">
        <v>12.72</v>
      </c>
      <c r="AP311" s="1894">
        <v>160.80000000000001</v>
      </c>
      <c r="AQ311" s="1894">
        <v>0.40160000000000001</v>
      </c>
      <c r="AR311" s="1894">
        <v>42.26</v>
      </c>
      <c r="AS311" s="1894">
        <v>3999</v>
      </c>
      <c r="AT311" s="1894">
        <f t="shared" si="118"/>
        <v>5678</v>
      </c>
      <c r="AU311" s="1894">
        <f t="shared" si="119"/>
        <v>0</v>
      </c>
      <c r="AV311" s="1894">
        <v>201</v>
      </c>
      <c r="AW311" s="1894">
        <v>12.84</v>
      </c>
      <c r="AX311" s="1894">
        <v>160.80000000000001</v>
      </c>
      <c r="AY311" s="1894">
        <v>0.39739999999999998</v>
      </c>
      <c r="AZ311" s="1894">
        <v>28.96</v>
      </c>
      <c r="BA311" s="1894">
        <v>2677</v>
      </c>
      <c r="BB311" s="1894">
        <f t="shared" si="120"/>
        <v>5547</v>
      </c>
      <c r="BC311" s="1894">
        <f t="shared" si="121"/>
        <v>0</v>
      </c>
      <c r="BD311" s="1894">
        <v>201</v>
      </c>
      <c r="BE311" s="1894">
        <v>10.92</v>
      </c>
      <c r="BF311" s="1894">
        <v>160.80000000000001</v>
      </c>
      <c r="BG311" s="1894">
        <v>0.28170000000000001</v>
      </c>
      <c r="BH311" s="1894">
        <v>34.07</v>
      </c>
      <c r="BI311" s="1894">
        <v>2768</v>
      </c>
      <c r="BJ311" s="1894">
        <f t="shared" si="122"/>
        <v>4875</v>
      </c>
      <c r="BK311" s="1894">
        <f t="shared" si="123"/>
        <v>0</v>
      </c>
      <c r="BL311" s="1894">
        <v>201</v>
      </c>
      <c r="BM311" s="1894">
        <v>9.36</v>
      </c>
      <c r="BN311" s="1894">
        <v>160.80000000000001</v>
      </c>
      <c r="BO311" s="1894">
        <v>0.27110000000000001</v>
      </c>
      <c r="BP311" s="1894">
        <v>43.89</v>
      </c>
      <c r="BQ311" s="1894">
        <v>2958</v>
      </c>
      <c r="BR311" s="1894">
        <f t="shared" si="124"/>
        <v>4044</v>
      </c>
      <c r="BS311" s="1894">
        <f t="shared" si="125"/>
        <v>0</v>
      </c>
      <c r="BT311" s="1894">
        <v>201</v>
      </c>
      <c r="BU311" s="1894">
        <v>89.04</v>
      </c>
      <c r="BV311" s="1894">
        <v>160.80000000000001</v>
      </c>
      <c r="BW311" s="1894">
        <v>0.39290000000000003</v>
      </c>
      <c r="BX311" s="1894">
        <v>5.5</v>
      </c>
      <c r="BY311" s="1894">
        <v>3642</v>
      </c>
      <c r="BZ311" s="1894">
        <f t="shared" si="126"/>
        <v>39747</v>
      </c>
      <c r="CA311" s="1894">
        <f t="shared" si="127"/>
        <v>0</v>
      </c>
      <c r="CB311" s="1894">
        <v>201</v>
      </c>
      <c r="CC311" s="1894">
        <v>167.88</v>
      </c>
      <c r="CD311" s="1894">
        <v>167.88</v>
      </c>
      <c r="CE311" s="1894">
        <v>0.56930000000000003</v>
      </c>
      <c r="CF311" s="1894">
        <v>29.85</v>
      </c>
      <c r="CG311" s="1894">
        <v>37285</v>
      </c>
      <c r="CH311" s="1894">
        <f t="shared" si="128"/>
        <v>74942</v>
      </c>
      <c r="CI311" s="1894">
        <f t="shared" si="129"/>
        <v>0</v>
      </c>
      <c r="CJ311" s="1894">
        <v>201</v>
      </c>
      <c r="CK311" s="1894">
        <v>167.88</v>
      </c>
      <c r="CL311" s="1894">
        <v>167.88</v>
      </c>
      <c r="CM311" s="1894">
        <v>0.59119999999999995</v>
      </c>
      <c r="CN311" s="1894">
        <v>56.44</v>
      </c>
      <c r="CO311" s="1894">
        <v>63672</v>
      </c>
      <c r="CP311" s="1894">
        <f t="shared" si="130"/>
        <v>67689</v>
      </c>
      <c r="CQ311" s="1894">
        <f t="shared" si="131"/>
        <v>0</v>
      </c>
      <c r="CR311" s="1924">
        <v>201</v>
      </c>
      <c r="CS311" s="1924">
        <v>150.96</v>
      </c>
      <c r="CT311" s="1924">
        <v>160.80000000000001</v>
      </c>
      <c r="CU311" s="1924">
        <v>0.57099999999999995</v>
      </c>
      <c r="CV311" s="1924">
        <v>21.39</v>
      </c>
      <c r="CW311" s="1924">
        <v>24023</v>
      </c>
      <c r="CX311" s="1894">
        <f t="shared" si="132"/>
        <v>67389</v>
      </c>
      <c r="CY311" s="1894">
        <f t="shared" si="133"/>
        <v>0</v>
      </c>
    </row>
    <row r="312" spans="1:103">
      <c r="A312" s="982">
        <v>615000000048</v>
      </c>
      <c r="B312" s="1923">
        <f t="shared" si="134"/>
        <v>306</v>
      </c>
      <c r="C312" s="1895" t="s">
        <v>3193</v>
      </c>
      <c r="D312" s="1894" t="s">
        <v>524</v>
      </c>
      <c r="E312" s="1895" t="s">
        <v>541</v>
      </c>
      <c r="F312" s="1894" t="s">
        <v>259</v>
      </c>
      <c r="G312" s="1924">
        <v>202</v>
      </c>
      <c r="H312" s="1894">
        <v>202</v>
      </c>
      <c r="I312" s="1894">
        <v>222.24</v>
      </c>
      <c r="J312" s="1894">
        <v>222.24</v>
      </c>
      <c r="K312" s="1894">
        <v>0.74929999999999997</v>
      </c>
      <c r="L312" s="1894">
        <v>16.18</v>
      </c>
      <c r="M312" s="1894">
        <v>31062</v>
      </c>
      <c r="N312" s="1894">
        <f t="shared" si="112"/>
        <v>96008</v>
      </c>
      <c r="O312" s="1894">
        <f t="shared" si="113"/>
        <v>0</v>
      </c>
      <c r="P312" s="1894">
        <v>202</v>
      </c>
      <c r="Q312" s="1894">
        <v>236.4</v>
      </c>
      <c r="R312" s="1894">
        <v>236.4</v>
      </c>
      <c r="S312" s="1894">
        <v>0.69530000000000003</v>
      </c>
      <c r="T312" s="1894">
        <v>7.26</v>
      </c>
      <c r="U312" s="1894">
        <v>12762</v>
      </c>
      <c r="V312" s="1894">
        <f t="shared" si="114"/>
        <v>105529</v>
      </c>
      <c r="W312" s="1894">
        <f t="shared" si="115"/>
        <v>0</v>
      </c>
      <c r="X312" s="1894">
        <v>202</v>
      </c>
      <c r="Y312" s="1894">
        <v>232.32</v>
      </c>
      <c r="Z312" s="1894">
        <v>232.32</v>
      </c>
      <c r="AA312" s="1894">
        <v>0.62170000000000003</v>
      </c>
      <c r="AB312" s="1894">
        <v>4.12</v>
      </c>
      <c r="AC312" s="1894">
        <v>6885</v>
      </c>
      <c r="AD312" s="1894">
        <f t="shared" si="116"/>
        <v>100362</v>
      </c>
      <c r="AE312" s="1894">
        <f t="shared" si="117"/>
        <v>0</v>
      </c>
      <c r="AF312" s="1894">
        <v>202</v>
      </c>
      <c r="AG312" s="1894">
        <v>10.56</v>
      </c>
      <c r="AH312" s="1894">
        <v>161.6</v>
      </c>
      <c r="AI312" s="1894">
        <v>0.22259999999999999</v>
      </c>
      <c r="AJ312" s="1894">
        <v>29.33</v>
      </c>
      <c r="AK312" s="1894">
        <v>2304</v>
      </c>
      <c r="AL312" s="1894">
        <f t="shared" si="110"/>
        <v>4714</v>
      </c>
      <c r="AM312" s="1894">
        <f t="shared" si="111"/>
        <v>0</v>
      </c>
      <c r="AN312" s="1894">
        <v>202</v>
      </c>
      <c r="AO312" s="1894">
        <v>204.96</v>
      </c>
      <c r="AP312" s="1894">
        <v>204.96</v>
      </c>
      <c r="AQ312" s="1894">
        <v>0.56340000000000001</v>
      </c>
      <c r="AR312" s="1894">
        <v>4.3499999999999996</v>
      </c>
      <c r="AS312" s="1894">
        <v>6639</v>
      </c>
      <c r="AT312" s="1894">
        <f t="shared" si="118"/>
        <v>91494</v>
      </c>
      <c r="AU312" s="1894">
        <f t="shared" si="119"/>
        <v>0</v>
      </c>
      <c r="AV312" s="1894">
        <v>202</v>
      </c>
      <c r="AW312" s="1894">
        <v>252.95999999999998</v>
      </c>
      <c r="AX312" s="1894">
        <v>252.96</v>
      </c>
      <c r="AY312" s="1894">
        <v>0.6996</v>
      </c>
      <c r="AZ312" s="1894">
        <v>21.28</v>
      </c>
      <c r="BA312" s="1894">
        <v>38760</v>
      </c>
      <c r="BB312" s="1894">
        <f t="shared" si="120"/>
        <v>109279</v>
      </c>
      <c r="BC312" s="1894">
        <f t="shared" si="121"/>
        <v>0</v>
      </c>
      <c r="BD312" s="1894">
        <v>202</v>
      </c>
      <c r="BE312" s="1894">
        <v>216.48000000000002</v>
      </c>
      <c r="BF312" s="1894">
        <v>216.48</v>
      </c>
      <c r="BG312" s="1894">
        <v>0.67569999999999997</v>
      </c>
      <c r="BH312" s="1894">
        <v>25.91</v>
      </c>
      <c r="BI312" s="1894">
        <v>41724</v>
      </c>
      <c r="BJ312" s="1894">
        <f t="shared" si="122"/>
        <v>96637</v>
      </c>
      <c r="BK312" s="1894">
        <f t="shared" si="123"/>
        <v>0</v>
      </c>
      <c r="BL312" s="1894">
        <v>202</v>
      </c>
      <c r="BM312" s="1894">
        <v>245.52</v>
      </c>
      <c r="BN312" s="1894">
        <v>245.52</v>
      </c>
      <c r="BO312" s="1894">
        <v>0.68830000000000002</v>
      </c>
      <c r="BP312" s="1894">
        <v>24.25</v>
      </c>
      <c r="BQ312" s="1894">
        <v>42870</v>
      </c>
      <c r="BR312" s="1894">
        <f t="shared" si="124"/>
        <v>106065</v>
      </c>
      <c r="BS312" s="1894">
        <f t="shared" si="125"/>
        <v>0</v>
      </c>
      <c r="BT312" s="1894">
        <v>202</v>
      </c>
      <c r="BU312" s="1894">
        <v>245.28</v>
      </c>
      <c r="BV312" s="1894">
        <v>245.28</v>
      </c>
      <c r="BW312" s="1894">
        <v>0.69020000000000004</v>
      </c>
      <c r="BX312" s="1894">
        <v>24.87</v>
      </c>
      <c r="BY312" s="1894">
        <v>45378</v>
      </c>
      <c r="BZ312" s="1894">
        <f t="shared" si="126"/>
        <v>109493</v>
      </c>
      <c r="CA312" s="1894">
        <f t="shared" si="127"/>
        <v>0</v>
      </c>
      <c r="CB312" s="1894">
        <v>202</v>
      </c>
      <c r="CC312" s="1894">
        <v>243.84</v>
      </c>
      <c r="CD312" s="1894">
        <v>243.84</v>
      </c>
      <c r="CE312" s="1894">
        <v>0.71909999999999996</v>
      </c>
      <c r="CF312" s="1894">
        <v>25.3</v>
      </c>
      <c r="CG312" s="1894">
        <v>45894</v>
      </c>
      <c r="CH312" s="1894">
        <f t="shared" si="128"/>
        <v>108850</v>
      </c>
      <c r="CI312" s="1894">
        <f t="shared" si="129"/>
        <v>0</v>
      </c>
      <c r="CJ312" s="1894">
        <v>202</v>
      </c>
      <c r="CK312" s="1894">
        <v>285.83999999999997</v>
      </c>
      <c r="CL312" s="1894">
        <v>285.83999999999997</v>
      </c>
      <c r="CM312" s="1894">
        <v>0.68630000000000002</v>
      </c>
      <c r="CN312" s="1894">
        <v>21.65</v>
      </c>
      <c r="CO312" s="1894">
        <v>41583</v>
      </c>
      <c r="CP312" s="1894">
        <f t="shared" si="130"/>
        <v>115251</v>
      </c>
      <c r="CQ312" s="1894">
        <f t="shared" si="131"/>
        <v>0</v>
      </c>
      <c r="CR312" s="1924">
        <v>202</v>
      </c>
      <c r="CS312" s="1924">
        <v>260.64</v>
      </c>
      <c r="CT312" s="1924">
        <v>260.64</v>
      </c>
      <c r="CU312" s="1924">
        <v>0.85919999999999996</v>
      </c>
      <c r="CV312" s="1924">
        <v>20.14</v>
      </c>
      <c r="CW312" s="1924">
        <v>39057</v>
      </c>
      <c r="CX312" s="1894">
        <f t="shared" si="132"/>
        <v>116350</v>
      </c>
      <c r="CY312" s="1894">
        <f t="shared" si="133"/>
        <v>0</v>
      </c>
    </row>
    <row r="313" spans="1:103">
      <c r="A313" s="982">
        <v>615000000052</v>
      </c>
      <c r="B313" s="1923">
        <f t="shared" si="134"/>
        <v>307</v>
      </c>
      <c r="C313" s="1895" t="s">
        <v>3194</v>
      </c>
      <c r="D313" s="1894" t="s">
        <v>524</v>
      </c>
      <c r="E313" s="1895" t="s">
        <v>737</v>
      </c>
      <c r="F313" s="1894" t="s">
        <v>259</v>
      </c>
      <c r="G313" s="1924">
        <v>202</v>
      </c>
      <c r="H313" s="1894">
        <v>202</v>
      </c>
      <c r="I313" s="1894">
        <v>0</v>
      </c>
      <c r="J313" s="1894">
        <v>161.6</v>
      </c>
      <c r="K313" s="1894">
        <v>0</v>
      </c>
      <c r="L313" s="1894">
        <v>0</v>
      </c>
      <c r="M313" s="1894">
        <v>0</v>
      </c>
      <c r="N313" s="1894">
        <f t="shared" si="112"/>
        <v>0</v>
      </c>
      <c r="O313" s="1894">
        <f t="shared" si="113"/>
        <v>0</v>
      </c>
      <c r="P313" s="1894">
        <v>202</v>
      </c>
      <c r="Q313" s="1894">
        <v>0.4</v>
      </c>
      <c r="R313" s="1894">
        <v>161.6</v>
      </c>
      <c r="S313" s="1894">
        <v>0.69230000000000003</v>
      </c>
      <c r="T313" s="1894">
        <v>27.08</v>
      </c>
      <c r="U313" s="1894">
        <v>78</v>
      </c>
      <c r="V313" s="1894">
        <f t="shared" si="114"/>
        <v>179</v>
      </c>
      <c r="W313" s="1894">
        <f t="shared" si="115"/>
        <v>0</v>
      </c>
      <c r="X313" s="1894">
        <v>202</v>
      </c>
      <c r="Y313" s="1894">
        <v>22.32</v>
      </c>
      <c r="Z313" s="1894">
        <v>161.6</v>
      </c>
      <c r="AA313" s="1894">
        <v>0.48649999999999999</v>
      </c>
      <c r="AB313" s="1894">
        <v>6.96</v>
      </c>
      <c r="AC313" s="1894">
        <v>1118</v>
      </c>
      <c r="AD313" s="1894">
        <f t="shared" si="116"/>
        <v>9642</v>
      </c>
      <c r="AE313" s="1894">
        <f t="shared" si="117"/>
        <v>0</v>
      </c>
      <c r="AF313" s="1894">
        <v>202</v>
      </c>
      <c r="AG313" s="1894">
        <v>31.759999999999998</v>
      </c>
      <c r="AH313" s="1894">
        <v>161.6</v>
      </c>
      <c r="AI313" s="1894">
        <v>0.63249999999999995</v>
      </c>
      <c r="AJ313" s="1894">
        <v>7.07</v>
      </c>
      <c r="AK313" s="1894">
        <v>1456</v>
      </c>
      <c r="AL313" s="1894">
        <f t="shared" si="110"/>
        <v>14178</v>
      </c>
      <c r="AM313" s="1894">
        <f t="shared" si="111"/>
        <v>0</v>
      </c>
      <c r="AN313" s="1894">
        <v>202</v>
      </c>
      <c r="AO313" s="1894">
        <v>12.879999999999999</v>
      </c>
      <c r="AP313" s="1894">
        <v>161.6</v>
      </c>
      <c r="AQ313" s="1894">
        <v>0.44729999999999998</v>
      </c>
      <c r="AR313" s="1894">
        <v>12.81</v>
      </c>
      <c r="AS313" s="1894">
        <v>1386</v>
      </c>
      <c r="AT313" s="1894">
        <f t="shared" si="118"/>
        <v>5750</v>
      </c>
      <c r="AU313" s="1894">
        <f t="shared" si="119"/>
        <v>0</v>
      </c>
      <c r="AV313" s="1894">
        <v>202</v>
      </c>
      <c r="AW313" s="1894">
        <v>26.400000000000002</v>
      </c>
      <c r="AX313" s="1894">
        <v>161.6</v>
      </c>
      <c r="AY313" s="1894">
        <v>0.50609999999999999</v>
      </c>
      <c r="AZ313" s="1894">
        <v>7.88</v>
      </c>
      <c r="BA313" s="1894">
        <v>1547</v>
      </c>
      <c r="BB313" s="1894">
        <f t="shared" si="120"/>
        <v>11405</v>
      </c>
      <c r="BC313" s="1894">
        <f t="shared" si="121"/>
        <v>0</v>
      </c>
      <c r="BD313" s="1894">
        <v>202</v>
      </c>
      <c r="BE313" s="1894">
        <v>7.76</v>
      </c>
      <c r="BF313" s="1894">
        <v>161.6</v>
      </c>
      <c r="BG313" s="1894">
        <v>0.40360000000000001</v>
      </c>
      <c r="BH313" s="1894">
        <v>16.989999999999998</v>
      </c>
      <c r="BI313" s="1894">
        <v>981</v>
      </c>
      <c r="BJ313" s="1894">
        <f t="shared" si="122"/>
        <v>3464</v>
      </c>
      <c r="BK313" s="1894">
        <f t="shared" si="123"/>
        <v>0</v>
      </c>
      <c r="BL313" s="1894">
        <v>202</v>
      </c>
      <c r="BM313" s="1894">
        <v>33.76</v>
      </c>
      <c r="BN313" s="1894">
        <v>161.6</v>
      </c>
      <c r="BO313" s="1894">
        <v>0.32150000000000001</v>
      </c>
      <c r="BP313" s="1894">
        <v>6.14</v>
      </c>
      <c r="BQ313" s="1894">
        <v>1493</v>
      </c>
      <c r="BR313" s="1894">
        <f t="shared" si="124"/>
        <v>14584</v>
      </c>
      <c r="BS313" s="1894">
        <f t="shared" si="125"/>
        <v>0</v>
      </c>
      <c r="BT313" s="1894">
        <v>202</v>
      </c>
      <c r="BU313" s="1894">
        <v>4.8</v>
      </c>
      <c r="BV313" s="1894">
        <v>161.6</v>
      </c>
      <c r="BW313" s="1894">
        <v>0.29449999999999998</v>
      </c>
      <c r="BX313" s="1894">
        <v>44.02</v>
      </c>
      <c r="BY313" s="1894">
        <v>1572</v>
      </c>
      <c r="BZ313" s="1894">
        <f t="shared" si="126"/>
        <v>2143</v>
      </c>
      <c r="CA313" s="1894">
        <f t="shared" si="127"/>
        <v>0</v>
      </c>
      <c r="CB313" s="1894">
        <v>202</v>
      </c>
      <c r="CC313" s="1894">
        <v>5.36</v>
      </c>
      <c r="CD313" s="1894">
        <v>161.6</v>
      </c>
      <c r="CE313" s="1894">
        <v>0.35620000000000002</v>
      </c>
      <c r="CF313" s="1894">
        <v>36.229999999999997</v>
      </c>
      <c r="CG313" s="1894">
        <v>1165</v>
      </c>
      <c r="CH313" s="1894">
        <f t="shared" si="128"/>
        <v>2393</v>
      </c>
      <c r="CI313" s="1894">
        <f t="shared" si="129"/>
        <v>0</v>
      </c>
      <c r="CJ313" s="1894">
        <v>202</v>
      </c>
      <c r="CK313" s="1894">
        <v>24</v>
      </c>
      <c r="CL313" s="1894">
        <v>161.6</v>
      </c>
      <c r="CM313" s="1894">
        <v>0.50539999999999996</v>
      </c>
      <c r="CN313" s="1894">
        <v>10.26</v>
      </c>
      <c r="CO313" s="1894">
        <v>2010</v>
      </c>
      <c r="CP313" s="1894">
        <f t="shared" si="130"/>
        <v>9677</v>
      </c>
      <c r="CQ313" s="1894">
        <f t="shared" si="131"/>
        <v>0</v>
      </c>
      <c r="CR313" s="1924">
        <v>202</v>
      </c>
      <c r="CS313" s="1924">
        <v>23.599999999999998</v>
      </c>
      <c r="CT313" s="1924">
        <v>161.6</v>
      </c>
      <c r="CU313" s="1924">
        <v>0.49469999999999997</v>
      </c>
      <c r="CV313" s="1924">
        <v>8.74</v>
      </c>
      <c r="CW313" s="1924">
        <v>1534</v>
      </c>
      <c r="CX313" s="1894">
        <f t="shared" si="132"/>
        <v>10535</v>
      </c>
      <c r="CY313" s="1894">
        <f t="shared" si="133"/>
        <v>0</v>
      </c>
    </row>
    <row r="314" spans="1:103">
      <c r="A314" s="982">
        <v>615000000059</v>
      </c>
      <c r="B314" s="1923">
        <f t="shared" si="134"/>
        <v>308</v>
      </c>
      <c r="C314" s="1895" t="s">
        <v>3195</v>
      </c>
      <c r="D314" s="1894" t="s">
        <v>524</v>
      </c>
      <c r="E314" s="1895" t="s">
        <v>541</v>
      </c>
      <c r="F314" s="1894" t="s">
        <v>259</v>
      </c>
      <c r="G314" s="1924">
        <v>202</v>
      </c>
      <c r="H314" s="1894">
        <v>0</v>
      </c>
      <c r="I314" s="1894">
        <v>0</v>
      </c>
      <c r="J314" s="1894">
        <v>0</v>
      </c>
      <c r="K314" s="1894">
        <v>0</v>
      </c>
      <c r="L314" s="1894">
        <v>0</v>
      </c>
      <c r="M314" s="1894">
        <v>0</v>
      </c>
      <c r="N314" s="1894">
        <f t="shared" si="112"/>
        <v>0</v>
      </c>
      <c r="O314" s="1894">
        <f t="shared" si="113"/>
        <v>0</v>
      </c>
      <c r="P314" s="1894">
        <v>0</v>
      </c>
      <c r="Q314" s="1894">
        <v>0</v>
      </c>
      <c r="R314" s="1894">
        <v>0</v>
      </c>
      <c r="S314" s="1894">
        <v>0</v>
      </c>
      <c r="T314" s="1894">
        <v>0</v>
      </c>
      <c r="U314" s="1894">
        <v>0</v>
      </c>
      <c r="V314" s="1894">
        <f t="shared" si="114"/>
        <v>0</v>
      </c>
      <c r="W314" s="1894">
        <f t="shared" si="115"/>
        <v>0</v>
      </c>
      <c r="X314" s="1894">
        <v>0</v>
      </c>
      <c r="Y314" s="1894">
        <v>0</v>
      </c>
      <c r="Z314" s="1894">
        <v>0</v>
      </c>
      <c r="AA314" s="1894">
        <v>0</v>
      </c>
      <c r="AB314" s="1894">
        <v>0</v>
      </c>
      <c r="AC314" s="1894">
        <v>0</v>
      </c>
      <c r="AD314" s="1894">
        <f t="shared" si="116"/>
        <v>0</v>
      </c>
      <c r="AE314" s="1894">
        <f t="shared" si="117"/>
        <v>0</v>
      </c>
      <c r="AF314" s="1894">
        <v>0</v>
      </c>
      <c r="AG314" s="1894">
        <v>0</v>
      </c>
      <c r="AH314" s="1894">
        <v>0</v>
      </c>
      <c r="AI314" s="1894">
        <v>0</v>
      </c>
      <c r="AJ314" s="1894">
        <v>0</v>
      </c>
      <c r="AK314" s="1894">
        <v>0</v>
      </c>
      <c r="AL314" s="1894">
        <f t="shared" si="110"/>
        <v>0</v>
      </c>
      <c r="AM314" s="1894">
        <f t="shared" si="111"/>
        <v>0</v>
      </c>
      <c r="AN314" s="1894">
        <v>0</v>
      </c>
      <c r="AO314" s="1894">
        <v>0</v>
      </c>
      <c r="AP314" s="1894">
        <v>0</v>
      </c>
      <c r="AQ314" s="1894">
        <v>0</v>
      </c>
      <c r="AR314" s="1894">
        <v>0</v>
      </c>
      <c r="AS314" s="1894">
        <v>0</v>
      </c>
      <c r="AT314" s="1894">
        <f t="shared" si="118"/>
        <v>0</v>
      </c>
      <c r="AU314" s="1894">
        <f t="shared" si="119"/>
        <v>0</v>
      </c>
      <c r="AV314" s="1894">
        <v>0</v>
      </c>
      <c r="AW314" s="1894">
        <v>0</v>
      </c>
      <c r="AX314" s="1894">
        <v>0</v>
      </c>
      <c r="AY314" s="1894">
        <v>0</v>
      </c>
      <c r="AZ314" s="1894">
        <v>0</v>
      </c>
      <c r="BA314" s="1894">
        <v>0</v>
      </c>
      <c r="BB314" s="1894">
        <f t="shared" si="120"/>
        <v>0</v>
      </c>
      <c r="BC314" s="1894">
        <f t="shared" si="121"/>
        <v>0</v>
      </c>
      <c r="BD314" s="1894">
        <v>0</v>
      </c>
      <c r="BE314" s="1894">
        <v>0</v>
      </c>
      <c r="BF314" s="1894">
        <v>0</v>
      </c>
      <c r="BG314" s="1894">
        <v>0</v>
      </c>
      <c r="BH314" s="1894">
        <v>0</v>
      </c>
      <c r="BI314" s="1894">
        <v>0</v>
      </c>
      <c r="BJ314" s="1894">
        <f t="shared" si="122"/>
        <v>0</v>
      </c>
      <c r="BK314" s="1894">
        <f t="shared" si="123"/>
        <v>0</v>
      </c>
      <c r="BL314" s="1894">
        <v>0</v>
      </c>
      <c r="BM314" s="1894">
        <v>0</v>
      </c>
      <c r="BN314" s="1894">
        <v>0</v>
      </c>
      <c r="BO314" s="1894">
        <v>0</v>
      </c>
      <c r="BP314" s="1894">
        <v>0</v>
      </c>
      <c r="BQ314" s="1894">
        <v>0</v>
      </c>
      <c r="BR314" s="1894">
        <f t="shared" si="124"/>
        <v>0</v>
      </c>
      <c r="BS314" s="1894">
        <f t="shared" si="125"/>
        <v>0</v>
      </c>
      <c r="BT314" s="1894">
        <v>0</v>
      </c>
      <c r="BU314" s="1894">
        <v>0</v>
      </c>
      <c r="BV314" s="1894">
        <v>0</v>
      </c>
      <c r="BW314" s="1894">
        <v>0</v>
      </c>
      <c r="BX314" s="1894">
        <v>0</v>
      </c>
      <c r="BY314" s="1894">
        <v>0</v>
      </c>
      <c r="BZ314" s="1894">
        <f t="shared" si="126"/>
        <v>0</v>
      </c>
      <c r="CA314" s="1894">
        <f t="shared" si="127"/>
        <v>0</v>
      </c>
      <c r="CB314" s="1894">
        <v>0</v>
      </c>
      <c r="CC314" s="1894">
        <v>0</v>
      </c>
      <c r="CD314" s="1894">
        <v>0</v>
      </c>
      <c r="CE314" s="1894">
        <v>0</v>
      </c>
      <c r="CF314" s="1894">
        <v>0</v>
      </c>
      <c r="CG314" s="1894">
        <v>0</v>
      </c>
      <c r="CH314" s="1894">
        <f t="shared" si="128"/>
        <v>0</v>
      </c>
      <c r="CI314" s="1894">
        <f t="shared" si="129"/>
        <v>0</v>
      </c>
      <c r="CJ314" s="1894">
        <v>202</v>
      </c>
      <c r="CK314" s="1894">
        <v>6.72</v>
      </c>
      <c r="CL314" s="1894">
        <v>161.6</v>
      </c>
      <c r="CM314" s="1894">
        <v>0.2394</v>
      </c>
      <c r="CN314" s="1894">
        <v>41.44</v>
      </c>
      <c r="CO314" s="1894">
        <v>401</v>
      </c>
      <c r="CP314" s="1894">
        <f t="shared" si="130"/>
        <v>2710</v>
      </c>
      <c r="CQ314" s="1894">
        <f t="shared" si="131"/>
        <v>0</v>
      </c>
      <c r="CR314" s="1924">
        <v>202</v>
      </c>
      <c r="CS314" s="1924">
        <v>180.35999999999999</v>
      </c>
      <c r="CT314" s="1924">
        <v>180.36</v>
      </c>
      <c r="CU314" s="1924">
        <v>0.54430000000000001</v>
      </c>
      <c r="CV314" s="1924">
        <v>3.87</v>
      </c>
      <c r="CW314" s="1924">
        <v>5188</v>
      </c>
      <c r="CX314" s="1894">
        <f t="shared" si="132"/>
        <v>80513</v>
      </c>
      <c r="CY314" s="1894">
        <f t="shared" si="133"/>
        <v>0</v>
      </c>
    </row>
    <row r="315" spans="1:103">
      <c r="A315" s="982">
        <v>622000000160</v>
      </c>
      <c r="B315" s="1923">
        <f t="shared" si="134"/>
        <v>309</v>
      </c>
      <c r="C315" s="1895" t="s">
        <v>3196</v>
      </c>
      <c r="D315" s="1894" t="s">
        <v>524</v>
      </c>
      <c r="E315" s="1895" t="s">
        <v>737</v>
      </c>
      <c r="F315" s="1894" t="s">
        <v>259</v>
      </c>
      <c r="G315" s="1924">
        <v>204</v>
      </c>
      <c r="H315" s="1894">
        <v>204</v>
      </c>
      <c r="I315" s="1894">
        <v>74.7</v>
      </c>
      <c r="J315" s="1894">
        <v>163.19999999999999</v>
      </c>
      <c r="K315" s="1894">
        <v>0.98519999999999996</v>
      </c>
      <c r="L315" s="1894">
        <v>14.24</v>
      </c>
      <c r="M315" s="1894">
        <v>7658</v>
      </c>
      <c r="N315" s="1894">
        <f t="shared" si="112"/>
        <v>32270</v>
      </c>
      <c r="O315" s="1894">
        <f t="shared" si="113"/>
        <v>0</v>
      </c>
      <c r="P315" s="1894">
        <v>204</v>
      </c>
      <c r="Q315" s="1894">
        <v>54</v>
      </c>
      <c r="R315" s="1894">
        <v>163.19999999999999</v>
      </c>
      <c r="S315" s="1894">
        <v>0.97840000000000005</v>
      </c>
      <c r="T315" s="1894">
        <v>21.58</v>
      </c>
      <c r="U315" s="1894">
        <v>8671</v>
      </c>
      <c r="V315" s="1894">
        <f t="shared" si="114"/>
        <v>24106</v>
      </c>
      <c r="W315" s="1894">
        <f t="shared" si="115"/>
        <v>0</v>
      </c>
      <c r="X315" s="1894">
        <v>204</v>
      </c>
      <c r="Y315" s="1894">
        <v>54</v>
      </c>
      <c r="Z315" s="1894">
        <v>163.19999999999999</v>
      </c>
      <c r="AA315" s="1894">
        <v>0.98360000000000003</v>
      </c>
      <c r="AB315" s="1894">
        <v>20.9</v>
      </c>
      <c r="AC315" s="1894">
        <v>8127</v>
      </c>
      <c r="AD315" s="1894">
        <f t="shared" si="116"/>
        <v>23328</v>
      </c>
      <c r="AE315" s="1894">
        <f t="shared" si="117"/>
        <v>0</v>
      </c>
      <c r="AF315" s="1894">
        <v>204</v>
      </c>
      <c r="AG315" s="1894">
        <v>51.599999999999994</v>
      </c>
      <c r="AH315" s="1894">
        <v>163.19999999999999</v>
      </c>
      <c r="AI315" s="1894">
        <v>0.97770000000000001</v>
      </c>
      <c r="AJ315" s="1894">
        <v>21.4</v>
      </c>
      <c r="AK315" s="1894">
        <v>8214</v>
      </c>
      <c r="AL315" s="1894">
        <f t="shared" si="110"/>
        <v>23034</v>
      </c>
      <c r="AM315" s="1894">
        <f t="shared" si="111"/>
        <v>0</v>
      </c>
      <c r="AN315" s="1894">
        <v>204</v>
      </c>
      <c r="AO315" s="1894">
        <v>55.199999999999996</v>
      </c>
      <c r="AP315" s="1894">
        <v>163.19999999999999</v>
      </c>
      <c r="AQ315" s="1894">
        <v>0.95709999999999995</v>
      </c>
      <c r="AR315" s="1894">
        <v>18.82</v>
      </c>
      <c r="AS315" s="1894">
        <v>7729</v>
      </c>
      <c r="AT315" s="1894">
        <f t="shared" si="118"/>
        <v>24641</v>
      </c>
      <c r="AU315" s="1894">
        <f t="shared" si="119"/>
        <v>0</v>
      </c>
      <c r="AV315" s="1894">
        <v>204</v>
      </c>
      <c r="AW315" s="1894">
        <v>43.56</v>
      </c>
      <c r="AX315" s="1894">
        <v>163.19999999999999</v>
      </c>
      <c r="AY315" s="1894">
        <v>0.97250000000000003</v>
      </c>
      <c r="AZ315" s="1894">
        <v>25.92</v>
      </c>
      <c r="BA315" s="1894">
        <v>6232</v>
      </c>
      <c r="BB315" s="1894">
        <f t="shared" si="120"/>
        <v>18818</v>
      </c>
      <c r="BC315" s="1894">
        <f t="shared" si="121"/>
        <v>0</v>
      </c>
      <c r="BD315" s="1894">
        <v>204</v>
      </c>
      <c r="BE315" s="1894">
        <v>44.699999999999996</v>
      </c>
      <c r="BF315" s="1894">
        <v>163.19999999999999</v>
      </c>
      <c r="BG315" s="1894">
        <v>0.97130000000000005</v>
      </c>
      <c r="BH315" s="1894">
        <v>21.86</v>
      </c>
      <c r="BI315" s="1894">
        <v>8676</v>
      </c>
      <c r="BJ315" s="1894">
        <f t="shared" si="122"/>
        <v>19954</v>
      </c>
      <c r="BK315" s="1894">
        <f t="shared" si="123"/>
        <v>0</v>
      </c>
      <c r="BL315" s="1894">
        <v>204</v>
      </c>
      <c r="BM315" s="1894">
        <v>49.2</v>
      </c>
      <c r="BN315" s="1894">
        <v>163.19999999999999</v>
      </c>
      <c r="BO315" s="1894">
        <v>0.96450000000000002</v>
      </c>
      <c r="BP315" s="1894">
        <v>18.25</v>
      </c>
      <c r="BQ315" s="1894">
        <v>6681</v>
      </c>
      <c r="BR315" s="1894">
        <f t="shared" si="124"/>
        <v>21254</v>
      </c>
      <c r="BS315" s="1894">
        <f t="shared" si="125"/>
        <v>0</v>
      </c>
      <c r="BT315" s="1894">
        <v>204</v>
      </c>
      <c r="BU315" s="1894">
        <v>25.799999999999997</v>
      </c>
      <c r="BV315" s="1894">
        <v>163.19999999999999</v>
      </c>
      <c r="BW315" s="1894">
        <v>0.96840000000000004</v>
      </c>
      <c r="BX315" s="1894">
        <v>37.21</v>
      </c>
      <c r="BY315" s="1894">
        <v>7142</v>
      </c>
      <c r="BZ315" s="1894">
        <f t="shared" si="126"/>
        <v>11517</v>
      </c>
      <c r="CA315" s="1894">
        <f t="shared" si="127"/>
        <v>0</v>
      </c>
      <c r="CB315" s="1894">
        <v>204</v>
      </c>
      <c r="CC315" s="1894">
        <v>34.32</v>
      </c>
      <c r="CD315" s="1894">
        <v>163.19999999999999</v>
      </c>
      <c r="CE315" s="1894">
        <v>0.95499999999999996</v>
      </c>
      <c r="CF315" s="1894">
        <v>29.55</v>
      </c>
      <c r="CG315" s="1894">
        <v>7545</v>
      </c>
      <c r="CH315" s="1894">
        <f t="shared" si="128"/>
        <v>15320</v>
      </c>
      <c r="CI315" s="1894">
        <f t="shared" si="129"/>
        <v>0</v>
      </c>
      <c r="CJ315" s="1894">
        <v>204</v>
      </c>
      <c r="CK315" s="1894">
        <v>37.08</v>
      </c>
      <c r="CL315" s="1894">
        <v>163.19999999999999</v>
      </c>
      <c r="CM315" s="1894">
        <v>0.96519999999999995</v>
      </c>
      <c r="CN315" s="1894">
        <v>29.95</v>
      </c>
      <c r="CO315" s="1894">
        <v>7462</v>
      </c>
      <c r="CP315" s="1894">
        <f t="shared" si="130"/>
        <v>14951</v>
      </c>
      <c r="CQ315" s="1894">
        <f t="shared" si="131"/>
        <v>0</v>
      </c>
      <c r="CR315" s="1924">
        <v>204</v>
      </c>
      <c r="CS315" s="1924">
        <v>34.800000000000004</v>
      </c>
      <c r="CT315" s="1924">
        <v>163.19999999999999</v>
      </c>
      <c r="CU315" s="1924">
        <v>0.97699999999999998</v>
      </c>
      <c r="CV315" s="1924">
        <v>32.299999999999997</v>
      </c>
      <c r="CW315" s="1924">
        <v>8363</v>
      </c>
      <c r="CX315" s="1894">
        <f t="shared" si="132"/>
        <v>15535</v>
      </c>
      <c r="CY315" s="1894">
        <f t="shared" si="133"/>
        <v>0</v>
      </c>
    </row>
    <row r="316" spans="1:103">
      <c r="A316" s="982">
        <v>125000000005</v>
      </c>
      <c r="B316" s="1923">
        <f t="shared" si="134"/>
        <v>310</v>
      </c>
      <c r="C316" s="1895" t="s">
        <v>3197</v>
      </c>
      <c r="D316" s="1894" t="s">
        <v>524</v>
      </c>
      <c r="E316" s="1895" t="s">
        <v>2966</v>
      </c>
      <c r="F316" s="1894" t="s">
        <v>259</v>
      </c>
      <c r="G316" s="1924">
        <v>205</v>
      </c>
      <c r="H316" s="1894">
        <v>205</v>
      </c>
      <c r="I316" s="1894">
        <v>255.00000000000003</v>
      </c>
      <c r="J316" s="1894">
        <v>255</v>
      </c>
      <c r="K316" s="1894">
        <v>0.91639999999999999</v>
      </c>
      <c r="L316" s="1894">
        <v>0</v>
      </c>
      <c r="M316" s="1894">
        <v>144855</v>
      </c>
      <c r="N316" s="1894">
        <f t="shared" si="112"/>
        <v>110160</v>
      </c>
      <c r="O316" s="1894">
        <f t="shared" si="113"/>
        <v>34695</v>
      </c>
      <c r="P316" s="1894">
        <v>205</v>
      </c>
      <c r="Q316" s="1894">
        <v>255.00000000000003</v>
      </c>
      <c r="R316" s="1894">
        <v>255</v>
      </c>
      <c r="S316" s="1894">
        <v>0.91269999999999996</v>
      </c>
      <c r="T316" s="1894">
        <v>0</v>
      </c>
      <c r="U316" s="1894">
        <v>135420</v>
      </c>
      <c r="V316" s="1894">
        <f t="shared" si="114"/>
        <v>113832</v>
      </c>
      <c r="W316" s="1894">
        <f t="shared" si="115"/>
        <v>21588</v>
      </c>
      <c r="X316" s="1894">
        <v>205</v>
      </c>
      <c r="Y316" s="1894">
        <v>267.60000000000002</v>
      </c>
      <c r="Z316" s="1894">
        <v>267.60000000000002</v>
      </c>
      <c r="AA316" s="1894">
        <v>0.91610000000000003</v>
      </c>
      <c r="AB316" s="1894">
        <v>0</v>
      </c>
      <c r="AC316" s="1894">
        <v>156450</v>
      </c>
      <c r="AD316" s="1894">
        <f t="shared" si="116"/>
        <v>115603</v>
      </c>
      <c r="AE316" s="1894">
        <f t="shared" si="117"/>
        <v>40847</v>
      </c>
      <c r="AF316" s="1894">
        <v>205</v>
      </c>
      <c r="AG316" s="1894">
        <v>246</v>
      </c>
      <c r="AH316" s="1894">
        <v>246</v>
      </c>
      <c r="AI316" s="1894">
        <v>0.91959999999999997</v>
      </c>
      <c r="AJ316" s="1894">
        <v>0</v>
      </c>
      <c r="AK316" s="1894">
        <v>128843</v>
      </c>
      <c r="AL316" s="1894">
        <f t="shared" si="110"/>
        <v>109814</v>
      </c>
      <c r="AM316" s="1894">
        <f t="shared" si="111"/>
        <v>19029</v>
      </c>
      <c r="AN316" s="1894">
        <v>205</v>
      </c>
      <c r="AO316" s="1894">
        <v>226.8</v>
      </c>
      <c r="AP316" s="1894">
        <v>226.8</v>
      </c>
      <c r="AQ316" s="1894">
        <v>0.92179999999999995</v>
      </c>
      <c r="AR316" s="1894">
        <v>0</v>
      </c>
      <c r="AS316" s="1894">
        <v>117195</v>
      </c>
      <c r="AT316" s="1894">
        <f t="shared" si="118"/>
        <v>101244</v>
      </c>
      <c r="AU316" s="1894">
        <f t="shared" si="119"/>
        <v>15951</v>
      </c>
      <c r="AV316" s="1894">
        <v>205</v>
      </c>
      <c r="AW316" s="1894">
        <v>232.2</v>
      </c>
      <c r="AX316" s="1894">
        <v>232.2</v>
      </c>
      <c r="AY316" s="1894">
        <v>0.92230000000000001</v>
      </c>
      <c r="AZ316" s="1894">
        <v>0</v>
      </c>
      <c r="BA316" s="1894">
        <v>127898</v>
      </c>
      <c r="BB316" s="1894">
        <f t="shared" si="120"/>
        <v>100310</v>
      </c>
      <c r="BC316" s="1894">
        <f t="shared" si="121"/>
        <v>27588</v>
      </c>
      <c r="BD316" s="1894">
        <v>205</v>
      </c>
      <c r="BE316" s="1894">
        <v>217.79999999999998</v>
      </c>
      <c r="BF316" s="1894">
        <v>217.8</v>
      </c>
      <c r="BG316" s="1894">
        <v>0.93010000000000004</v>
      </c>
      <c r="BH316" s="1894">
        <v>0</v>
      </c>
      <c r="BI316" s="1894">
        <v>118845</v>
      </c>
      <c r="BJ316" s="1894">
        <f t="shared" si="122"/>
        <v>97226</v>
      </c>
      <c r="BK316" s="1894">
        <f t="shared" si="123"/>
        <v>21619</v>
      </c>
      <c r="BL316" s="1894">
        <v>205</v>
      </c>
      <c r="BM316" s="1894">
        <v>184.8</v>
      </c>
      <c r="BN316" s="1894">
        <v>205</v>
      </c>
      <c r="BO316" s="1894">
        <v>0.94499999999999995</v>
      </c>
      <c r="BP316" s="1894">
        <v>0</v>
      </c>
      <c r="BQ316" s="1894">
        <v>106455</v>
      </c>
      <c r="BR316" s="1894">
        <f t="shared" si="124"/>
        <v>79834</v>
      </c>
      <c r="BS316" s="1894">
        <f t="shared" si="125"/>
        <v>26621</v>
      </c>
      <c r="BT316" s="1894">
        <v>205</v>
      </c>
      <c r="BU316" s="1894">
        <v>183.6</v>
      </c>
      <c r="BV316" s="1894">
        <v>205</v>
      </c>
      <c r="BW316" s="1894">
        <v>0.95140000000000002</v>
      </c>
      <c r="BX316" s="1894">
        <v>0</v>
      </c>
      <c r="BY316" s="1894">
        <v>111743</v>
      </c>
      <c r="BZ316" s="1894">
        <f t="shared" si="126"/>
        <v>81959</v>
      </c>
      <c r="CA316" s="1894">
        <f t="shared" si="127"/>
        <v>29784</v>
      </c>
      <c r="CB316" s="1894">
        <v>205</v>
      </c>
      <c r="CC316" s="1894">
        <v>200.4</v>
      </c>
      <c r="CD316" s="1894">
        <v>205</v>
      </c>
      <c r="CE316" s="1894">
        <v>0.95269999999999999</v>
      </c>
      <c r="CF316" s="1894">
        <v>0</v>
      </c>
      <c r="CG316" s="1894">
        <v>105278</v>
      </c>
      <c r="CH316" s="1894">
        <f t="shared" si="128"/>
        <v>89459</v>
      </c>
      <c r="CI316" s="1894">
        <f t="shared" si="129"/>
        <v>15819</v>
      </c>
      <c r="CJ316" s="1894">
        <v>205</v>
      </c>
      <c r="CK316" s="1894">
        <v>212.99999999999997</v>
      </c>
      <c r="CL316" s="1894">
        <v>213</v>
      </c>
      <c r="CM316" s="1894">
        <v>0.94650000000000001</v>
      </c>
      <c r="CN316" s="1894">
        <v>0</v>
      </c>
      <c r="CO316" s="1894">
        <v>95482</v>
      </c>
      <c r="CP316" s="1894">
        <f t="shared" si="130"/>
        <v>85882</v>
      </c>
      <c r="CQ316" s="1894">
        <f t="shared" si="131"/>
        <v>9600</v>
      </c>
      <c r="CR316" s="1924">
        <v>205</v>
      </c>
      <c r="CS316" s="1924">
        <v>232.2</v>
      </c>
      <c r="CT316" s="1924">
        <v>232.2</v>
      </c>
      <c r="CU316" s="1924">
        <v>0.93759999999999999</v>
      </c>
      <c r="CV316" s="1924">
        <v>0</v>
      </c>
      <c r="CW316" s="1924">
        <v>139507</v>
      </c>
      <c r="CX316" s="1894">
        <f t="shared" si="132"/>
        <v>103654</v>
      </c>
      <c r="CY316" s="1894">
        <f t="shared" si="133"/>
        <v>35853</v>
      </c>
    </row>
    <row r="317" spans="1:103">
      <c r="A317" s="982">
        <v>621000000062</v>
      </c>
      <c r="B317" s="1923">
        <f t="shared" si="134"/>
        <v>311</v>
      </c>
      <c r="C317" s="1895" t="s">
        <v>3198</v>
      </c>
      <c r="D317" s="1894" t="s">
        <v>524</v>
      </c>
      <c r="E317" s="1895" t="s">
        <v>541</v>
      </c>
      <c r="F317" s="1894" t="s">
        <v>259</v>
      </c>
      <c r="G317" s="1924">
        <v>205</v>
      </c>
      <c r="H317" s="1894">
        <v>0</v>
      </c>
      <c r="I317" s="1894">
        <v>0</v>
      </c>
      <c r="J317" s="1894">
        <v>0</v>
      </c>
      <c r="K317" s="1894">
        <v>0</v>
      </c>
      <c r="L317" s="1894">
        <v>0</v>
      </c>
      <c r="M317" s="1894">
        <v>0</v>
      </c>
      <c r="N317" s="1894">
        <f t="shared" si="112"/>
        <v>0</v>
      </c>
      <c r="O317" s="1894">
        <f t="shared" si="113"/>
        <v>0</v>
      </c>
      <c r="P317" s="1894">
        <v>205</v>
      </c>
      <c r="Q317" s="1894">
        <v>2.4</v>
      </c>
      <c r="R317" s="1894">
        <v>164</v>
      </c>
      <c r="S317" s="1894">
        <v>0.32240000000000002</v>
      </c>
      <c r="T317" s="1894">
        <v>63.75</v>
      </c>
      <c r="U317" s="1894">
        <v>918</v>
      </c>
      <c r="V317" s="1894">
        <f t="shared" si="114"/>
        <v>1071</v>
      </c>
      <c r="W317" s="1894">
        <f t="shared" si="115"/>
        <v>0</v>
      </c>
      <c r="X317" s="1894">
        <v>205</v>
      </c>
      <c r="Y317" s="1894">
        <v>2.88</v>
      </c>
      <c r="Z317" s="1894">
        <v>164</v>
      </c>
      <c r="AA317" s="1894">
        <v>0.31480000000000002</v>
      </c>
      <c r="AB317" s="1894">
        <v>59.12</v>
      </c>
      <c r="AC317" s="1894">
        <v>1226</v>
      </c>
      <c r="AD317" s="1894">
        <f t="shared" si="116"/>
        <v>1244</v>
      </c>
      <c r="AE317" s="1894">
        <f t="shared" si="117"/>
        <v>0</v>
      </c>
      <c r="AF317" s="1894">
        <v>205</v>
      </c>
      <c r="AG317" s="1894">
        <v>3.6799999999999997</v>
      </c>
      <c r="AH317" s="1894">
        <v>164</v>
      </c>
      <c r="AI317" s="1894">
        <v>0.33989999999999998</v>
      </c>
      <c r="AJ317" s="1894">
        <v>53.52</v>
      </c>
      <c r="AK317" s="1894">
        <v>1418</v>
      </c>
      <c r="AL317" s="1894">
        <f t="shared" ref="AL317:AL380" si="135">+ROUND((24*31*0.6*AG317),0)</f>
        <v>1643</v>
      </c>
      <c r="AM317" s="1894">
        <f t="shared" ref="AM317:AM380" si="136">+MAX((AK317-AL317),0)</f>
        <v>0</v>
      </c>
      <c r="AN317" s="1894">
        <v>205</v>
      </c>
      <c r="AO317" s="1894">
        <v>54.559999999999995</v>
      </c>
      <c r="AP317" s="1894">
        <v>164</v>
      </c>
      <c r="AQ317" s="1894">
        <v>0.51649999999999996</v>
      </c>
      <c r="AR317" s="1894">
        <v>3.57</v>
      </c>
      <c r="AS317" s="1894">
        <v>1448</v>
      </c>
      <c r="AT317" s="1894">
        <f t="shared" si="118"/>
        <v>24356</v>
      </c>
      <c r="AU317" s="1894">
        <f t="shared" si="119"/>
        <v>0</v>
      </c>
      <c r="AV317" s="1894">
        <v>205</v>
      </c>
      <c r="AW317" s="1894">
        <v>3.84</v>
      </c>
      <c r="AX317" s="1894">
        <v>164</v>
      </c>
      <c r="AY317" s="1894">
        <v>0.56869999999999998</v>
      </c>
      <c r="AZ317" s="1894">
        <v>32.1</v>
      </c>
      <c r="BA317" s="1894">
        <v>858</v>
      </c>
      <c r="BB317" s="1894">
        <f t="shared" si="120"/>
        <v>1659</v>
      </c>
      <c r="BC317" s="1894">
        <f t="shared" si="121"/>
        <v>0</v>
      </c>
      <c r="BD317" s="1894">
        <v>205</v>
      </c>
      <c r="BE317" s="1894">
        <v>17.760000000000002</v>
      </c>
      <c r="BF317" s="1894">
        <v>164</v>
      </c>
      <c r="BG317" s="1894">
        <v>0.55969999999999998</v>
      </c>
      <c r="BH317" s="1894">
        <v>6.46</v>
      </c>
      <c r="BI317" s="1894">
        <v>854</v>
      </c>
      <c r="BJ317" s="1894">
        <f t="shared" si="122"/>
        <v>7928</v>
      </c>
      <c r="BK317" s="1894">
        <f t="shared" si="123"/>
        <v>0</v>
      </c>
      <c r="BL317" s="1894">
        <v>205</v>
      </c>
      <c r="BM317" s="1894">
        <v>94.56</v>
      </c>
      <c r="BN317" s="1894">
        <v>164</v>
      </c>
      <c r="BO317" s="1894">
        <v>0.55089999999999995</v>
      </c>
      <c r="BP317" s="1894">
        <v>3.51</v>
      </c>
      <c r="BQ317" s="1894">
        <v>2552</v>
      </c>
      <c r="BR317" s="1894">
        <f t="shared" si="124"/>
        <v>40850</v>
      </c>
      <c r="BS317" s="1894">
        <f t="shared" si="125"/>
        <v>0</v>
      </c>
      <c r="BT317" s="1894">
        <v>205</v>
      </c>
      <c r="BU317" s="1894">
        <v>92.320000000000007</v>
      </c>
      <c r="BV317" s="1894">
        <v>164</v>
      </c>
      <c r="BW317" s="1894">
        <v>0.62309999999999999</v>
      </c>
      <c r="BX317" s="1894">
        <v>4.68</v>
      </c>
      <c r="BY317" s="1894">
        <v>3216</v>
      </c>
      <c r="BZ317" s="1894">
        <f t="shared" si="126"/>
        <v>41212</v>
      </c>
      <c r="CA317" s="1894">
        <f t="shared" si="127"/>
        <v>0</v>
      </c>
      <c r="CB317" s="1894">
        <v>205</v>
      </c>
      <c r="CC317" s="1894">
        <v>87.36</v>
      </c>
      <c r="CD317" s="1894">
        <v>164</v>
      </c>
      <c r="CE317" s="1894">
        <v>0.68620000000000003</v>
      </c>
      <c r="CF317" s="1894">
        <v>7.07</v>
      </c>
      <c r="CG317" s="1894">
        <v>4596</v>
      </c>
      <c r="CH317" s="1894">
        <f t="shared" si="128"/>
        <v>38998</v>
      </c>
      <c r="CI317" s="1894">
        <f t="shared" si="129"/>
        <v>0</v>
      </c>
      <c r="CJ317" s="1894">
        <v>205</v>
      </c>
      <c r="CK317" s="1894">
        <v>79.36</v>
      </c>
      <c r="CL317" s="1894">
        <v>164</v>
      </c>
      <c r="CM317" s="1894">
        <v>0.71419999999999995</v>
      </c>
      <c r="CN317" s="1894">
        <v>13.32</v>
      </c>
      <c r="CO317" s="1894">
        <v>7104</v>
      </c>
      <c r="CP317" s="1894">
        <f t="shared" si="130"/>
        <v>31998</v>
      </c>
      <c r="CQ317" s="1894">
        <f t="shared" si="131"/>
        <v>0</v>
      </c>
      <c r="CR317" s="1924">
        <v>205</v>
      </c>
      <c r="CS317" s="1924">
        <v>87.2</v>
      </c>
      <c r="CT317" s="1924">
        <v>164</v>
      </c>
      <c r="CU317" s="1924">
        <v>0.65939999999999999</v>
      </c>
      <c r="CV317" s="1924">
        <v>8.1199999999999992</v>
      </c>
      <c r="CW317" s="1924">
        <v>5268</v>
      </c>
      <c r="CX317" s="1894">
        <f t="shared" si="132"/>
        <v>38926</v>
      </c>
      <c r="CY317" s="1894">
        <f t="shared" si="133"/>
        <v>0</v>
      </c>
    </row>
    <row r="318" spans="1:103">
      <c r="A318" s="982">
        <v>123000000115</v>
      </c>
      <c r="B318" s="1923">
        <f t="shared" si="134"/>
        <v>312</v>
      </c>
      <c r="C318" s="1895" t="s">
        <v>3199</v>
      </c>
      <c r="D318" s="1894" t="s">
        <v>524</v>
      </c>
      <c r="E318" s="1895" t="s">
        <v>541</v>
      </c>
      <c r="F318" s="1894" t="s">
        <v>259</v>
      </c>
      <c r="G318" s="1924">
        <v>206</v>
      </c>
      <c r="H318" s="1894">
        <v>206</v>
      </c>
      <c r="I318" s="1894">
        <v>76.86</v>
      </c>
      <c r="J318" s="1894">
        <v>164.8</v>
      </c>
      <c r="K318" s="1894">
        <v>0.99819999999999998</v>
      </c>
      <c r="L318" s="1894">
        <v>21.51</v>
      </c>
      <c r="M318" s="1894">
        <v>11901</v>
      </c>
      <c r="N318" s="1894">
        <f t="shared" si="112"/>
        <v>33204</v>
      </c>
      <c r="O318" s="1894">
        <f t="shared" si="113"/>
        <v>0</v>
      </c>
      <c r="P318" s="1894">
        <v>206</v>
      </c>
      <c r="Q318" s="1894">
        <v>104.82</v>
      </c>
      <c r="R318" s="1894">
        <v>164.8</v>
      </c>
      <c r="S318" s="1894">
        <v>0.93899999999999995</v>
      </c>
      <c r="T318" s="1894">
        <v>31.37</v>
      </c>
      <c r="U318" s="1894">
        <v>24468</v>
      </c>
      <c r="V318" s="1894">
        <f t="shared" si="114"/>
        <v>46792</v>
      </c>
      <c r="W318" s="1894">
        <f t="shared" si="115"/>
        <v>0</v>
      </c>
      <c r="X318" s="1894">
        <v>206</v>
      </c>
      <c r="Y318" s="1894">
        <v>170.34</v>
      </c>
      <c r="Z318" s="1894">
        <v>170.34</v>
      </c>
      <c r="AA318" s="1894">
        <v>0.88100000000000001</v>
      </c>
      <c r="AB318" s="1894">
        <v>43.86</v>
      </c>
      <c r="AC318" s="1894">
        <v>53796</v>
      </c>
      <c r="AD318" s="1894">
        <f t="shared" si="116"/>
        <v>73587</v>
      </c>
      <c r="AE318" s="1894">
        <f t="shared" si="117"/>
        <v>0</v>
      </c>
      <c r="AF318" s="1894">
        <v>206</v>
      </c>
      <c r="AG318" s="1894">
        <v>176.82000000000002</v>
      </c>
      <c r="AH318" s="1894">
        <v>176.82</v>
      </c>
      <c r="AI318" s="1894">
        <v>0.88859999999999995</v>
      </c>
      <c r="AJ318" s="1894">
        <v>44.01</v>
      </c>
      <c r="AK318" s="1894">
        <v>57903</v>
      </c>
      <c r="AL318" s="1894">
        <f t="shared" si="135"/>
        <v>78932</v>
      </c>
      <c r="AM318" s="1894">
        <f t="shared" si="136"/>
        <v>0</v>
      </c>
      <c r="AN318" s="1894">
        <v>206</v>
      </c>
      <c r="AO318" s="1894">
        <v>152.1</v>
      </c>
      <c r="AP318" s="1894">
        <v>164.8</v>
      </c>
      <c r="AQ318" s="1894">
        <v>0.87309999999999999</v>
      </c>
      <c r="AR318" s="1894">
        <v>44.47</v>
      </c>
      <c r="AS318" s="1894">
        <v>24494</v>
      </c>
      <c r="AT318" s="1894">
        <f t="shared" si="118"/>
        <v>67897</v>
      </c>
      <c r="AU318" s="1894">
        <f t="shared" si="119"/>
        <v>0</v>
      </c>
      <c r="AV318" s="1894">
        <v>206</v>
      </c>
      <c r="AW318" s="1894">
        <v>82.08</v>
      </c>
      <c r="AX318" s="1894">
        <v>164.8</v>
      </c>
      <c r="AY318" s="1894">
        <v>0.87029999999999996</v>
      </c>
      <c r="AZ318" s="1894">
        <v>51</v>
      </c>
      <c r="BA318" s="1894">
        <v>30141</v>
      </c>
      <c r="BB318" s="1894">
        <f t="shared" si="120"/>
        <v>35459</v>
      </c>
      <c r="BC318" s="1894">
        <f t="shared" si="121"/>
        <v>0</v>
      </c>
      <c r="BD318" s="1894">
        <v>206</v>
      </c>
      <c r="BE318" s="1894">
        <v>78.720000000000013</v>
      </c>
      <c r="BF318" s="1894">
        <v>164.8</v>
      </c>
      <c r="BG318" s="1894">
        <v>0.86750000000000005</v>
      </c>
      <c r="BH318" s="1894">
        <v>47.77</v>
      </c>
      <c r="BI318" s="1894">
        <v>27979</v>
      </c>
      <c r="BJ318" s="1894">
        <f t="shared" si="122"/>
        <v>35141</v>
      </c>
      <c r="BK318" s="1894">
        <f t="shared" si="123"/>
        <v>0</v>
      </c>
      <c r="BL318" s="1894">
        <v>206</v>
      </c>
      <c r="BM318" s="1894">
        <v>76.8</v>
      </c>
      <c r="BN318" s="1894">
        <v>164.8</v>
      </c>
      <c r="BO318" s="1894">
        <v>0.90259999999999996</v>
      </c>
      <c r="BP318" s="1894">
        <v>36.299999999999997</v>
      </c>
      <c r="BQ318" s="1894">
        <v>20072</v>
      </c>
      <c r="BR318" s="1894">
        <f t="shared" si="124"/>
        <v>33178</v>
      </c>
      <c r="BS318" s="1894">
        <f t="shared" si="125"/>
        <v>0</v>
      </c>
      <c r="BT318" s="1894">
        <v>206</v>
      </c>
      <c r="BU318" s="1894">
        <v>69.959999999999994</v>
      </c>
      <c r="BV318" s="1894">
        <v>164.8</v>
      </c>
      <c r="BW318" s="1894">
        <v>0.98680000000000001</v>
      </c>
      <c r="BX318" s="1894">
        <v>20.54</v>
      </c>
      <c r="BY318" s="1894">
        <v>10689</v>
      </c>
      <c r="BZ318" s="1894">
        <f t="shared" si="126"/>
        <v>31230</v>
      </c>
      <c r="CA318" s="1894">
        <f t="shared" si="127"/>
        <v>0</v>
      </c>
      <c r="CB318" s="1894">
        <v>206</v>
      </c>
      <c r="CC318" s="1894">
        <v>61.92</v>
      </c>
      <c r="CD318" s="1894">
        <v>164.8</v>
      </c>
      <c r="CE318" s="1894">
        <v>0.99870000000000003</v>
      </c>
      <c r="CF318" s="1894">
        <v>22.69</v>
      </c>
      <c r="CG318" s="1894">
        <v>10452</v>
      </c>
      <c r="CH318" s="1894">
        <f t="shared" si="128"/>
        <v>27641</v>
      </c>
      <c r="CI318" s="1894">
        <f t="shared" si="129"/>
        <v>0</v>
      </c>
      <c r="CJ318" s="1894">
        <v>206</v>
      </c>
      <c r="CK318" s="1894">
        <v>65.16</v>
      </c>
      <c r="CL318" s="1894">
        <v>164.8</v>
      </c>
      <c r="CM318" s="1894">
        <v>0.82979999999999998</v>
      </c>
      <c r="CN318" s="1894">
        <v>32.869999999999997</v>
      </c>
      <c r="CO318" s="1894">
        <v>14395</v>
      </c>
      <c r="CP318" s="1894">
        <f t="shared" si="130"/>
        <v>26273</v>
      </c>
      <c r="CQ318" s="1894">
        <f t="shared" si="131"/>
        <v>0</v>
      </c>
      <c r="CR318" s="1924">
        <v>206</v>
      </c>
      <c r="CS318" s="1924">
        <v>76.320000000000007</v>
      </c>
      <c r="CT318" s="1924">
        <v>164.8</v>
      </c>
      <c r="CU318" s="1924">
        <v>0.83599999999999997</v>
      </c>
      <c r="CV318" s="1924">
        <v>37.26</v>
      </c>
      <c r="CW318" s="1924">
        <v>21156</v>
      </c>
      <c r="CX318" s="1894">
        <f t="shared" si="132"/>
        <v>34069</v>
      </c>
      <c r="CY318" s="1894">
        <f t="shared" si="133"/>
        <v>0</v>
      </c>
    </row>
    <row r="319" spans="1:103">
      <c r="A319" s="982">
        <v>611000000082</v>
      </c>
      <c r="B319" s="1923">
        <f t="shared" si="134"/>
        <v>313</v>
      </c>
      <c r="C319" s="1895" t="s">
        <v>3200</v>
      </c>
      <c r="D319" s="1894" t="s">
        <v>524</v>
      </c>
      <c r="E319" s="1895" t="s">
        <v>636</v>
      </c>
      <c r="F319" s="1894" t="s">
        <v>259</v>
      </c>
      <c r="G319" s="1924">
        <v>206</v>
      </c>
      <c r="H319" s="1894">
        <v>206</v>
      </c>
      <c r="I319" s="1894">
        <v>234.48</v>
      </c>
      <c r="J319" s="1894">
        <v>234.48</v>
      </c>
      <c r="K319" s="1894">
        <v>0.93269999999999997</v>
      </c>
      <c r="L319" s="1894">
        <v>33.17</v>
      </c>
      <c r="M319" s="1894">
        <v>55995</v>
      </c>
      <c r="N319" s="1894">
        <f t="shared" si="112"/>
        <v>101295</v>
      </c>
      <c r="O319" s="1894">
        <f t="shared" si="113"/>
        <v>0</v>
      </c>
      <c r="P319" s="1894">
        <v>206</v>
      </c>
      <c r="Q319" s="1894">
        <v>245.28</v>
      </c>
      <c r="R319" s="1894">
        <v>245.28</v>
      </c>
      <c r="S319" s="1894">
        <v>0.93149999999999999</v>
      </c>
      <c r="T319" s="1894">
        <v>32.68</v>
      </c>
      <c r="U319" s="1894">
        <v>59634</v>
      </c>
      <c r="V319" s="1894">
        <f t="shared" si="114"/>
        <v>109493</v>
      </c>
      <c r="W319" s="1894">
        <f t="shared" si="115"/>
        <v>0</v>
      </c>
      <c r="X319" s="1894">
        <v>206</v>
      </c>
      <c r="Y319" s="1894">
        <v>223.92</v>
      </c>
      <c r="Z319" s="1894">
        <v>223.92</v>
      </c>
      <c r="AA319" s="1894">
        <v>0.92800000000000005</v>
      </c>
      <c r="AB319" s="1894">
        <v>36.89</v>
      </c>
      <c r="AC319" s="1894">
        <v>59472</v>
      </c>
      <c r="AD319" s="1894">
        <f t="shared" si="116"/>
        <v>96733</v>
      </c>
      <c r="AE319" s="1894">
        <f t="shared" si="117"/>
        <v>0</v>
      </c>
      <c r="AF319" s="1894">
        <v>206</v>
      </c>
      <c r="AG319" s="1894">
        <v>213.36</v>
      </c>
      <c r="AH319" s="1894">
        <v>213.36</v>
      </c>
      <c r="AI319" s="1894">
        <v>0.93200000000000005</v>
      </c>
      <c r="AJ319" s="1894">
        <v>33.19</v>
      </c>
      <c r="AK319" s="1894">
        <v>52680</v>
      </c>
      <c r="AL319" s="1894">
        <f t="shared" si="135"/>
        <v>95244</v>
      </c>
      <c r="AM319" s="1894">
        <f t="shared" si="136"/>
        <v>0</v>
      </c>
      <c r="AN319" s="1894">
        <v>206</v>
      </c>
      <c r="AO319" s="1894">
        <v>203.28</v>
      </c>
      <c r="AP319" s="1894">
        <v>203.28</v>
      </c>
      <c r="AQ319" s="1894">
        <v>0.92190000000000005</v>
      </c>
      <c r="AR319" s="1894">
        <v>35.82</v>
      </c>
      <c r="AS319" s="1894">
        <v>54174</v>
      </c>
      <c r="AT319" s="1894">
        <f t="shared" si="118"/>
        <v>90744</v>
      </c>
      <c r="AU319" s="1894">
        <f t="shared" si="119"/>
        <v>0</v>
      </c>
      <c r="AV319" s="1894">
        <v>206</v>
      </c>
      <c r="AW319" s="1894">
        <v>218.88</v>
      </c>
      <c r="AX319" s="1894">
        <v>218.88</v>
      </c>
      <c r="AY319" s="1894">
        <v>0.93149999999999999</v>
      </c>
      <c r="AZ319" s="1894">
        <v>36.869999999999997</v>
      </c>
      <c r="BA319" s="1894">
        <v>58107</v>
      </c>
      <c r="BB319" s="1894">
        <f t="shared" si="120"/>
        <v>94556</v>
      </c>
      <c r="BC319" s="1894">
        <f t="shared" si="121"/>
        <v>0</v>
      </c>
      <c r="BD319" s="1894">
        <v>206</v>
      </c>
      <c r="BE319" s="1894">
        <v>199.44</v>
      </c>
      <c r="BF319" s="1894">
        <v>199.44</v>
      </c>
      <c r="BG319" s="1894">
        <v>0.91649999999999998</v>
      </c>
      <c r="BH319" s="1894">
        <v>33.07</v>
      </c>
      <c r="BI319" s="1894">
        <v>49074</v>
      </c>
      <c r="BJ319" s="1894">
        <f t="shared" si="122"/>
        <v>89030</v>
      </c>
      <c r="BK319" s="1894">
        <f t="shared" si="123"/>
        <v>0</v>
      </c>
      <c r="BL319" s="1894">
        <v>206</v>
      </c>
      <c r="BM319" s="1894">
        <v>189.35999999999999</v>
      </c>
      <c r="BN319" s="1894">
        <v>189.36</v>
      </c>
      <c r="BO319" s="1894">
        <v>0.90949999999999998</v>
      </c>
      <c r="BP319" s="1894">
        <v>34.64</v>
      </c>
      <c r="BQ319" s="1894">
        <v>47226</v>
      </c>
      <c r="BR319" s="1894">
        <f t="shared" si="124"/>
        <v>81804</v>
      </c>
      <c r="BS319" s="1894">
        <f t="shared" si="125"/>
        <v>0</v>
      </c>
      <c r="BT319" s="1894">
        <v>206</v>
      </c>
      <c r="BU319" s="1894">
        <v>172.08</v>
      </c>
      <c r="BV319" s="1894">
        <v>172.08</v>
      </c>
      <c r="BW319" s="1894">
        <v>0.93020000000000003</v>
      </c>
      <c r="BX319" s="1894">
        <v>30.22</v>
      </c>
      <c r="BY319" s="1894">
        <v>38691</v>
      </c>
      <c r="BZ319" s="1894">
        <f t="shared" si="126"/>
        <v>76817</v>
      </c>
      <c r="CA319" s="1894">
        <f t="shared" si="127"/>
        <v>0</v>
      </c>
      <c r="CB319" s="1894">
        <v>206</v>
      </c>
      <c r="CC319" s="1894">
        <v>162</v>
      </c>
      <c r="CD319" s="1894">
        <v>164.8</v>
      </c>
      <c r="CE319" s="1894">
        <v>0.92490000000000006</v>
      </c>
      <c r="CF319" s="1894">
        <v>31.11</v>
      </c>
      <c r="CG319" s="1894">
        <v>37500</v>
      </c>
      <c r="CH319" s="1894">
        <f t="shared" si="128"/>
        <v>72317</v>
      </c>
      <c r="CI319" s="1894">
        <f t="shared" si="129"/>
        <v>0</v>
      </c>
      <c r="CJ319" s="1894">
        <v>206</v>
      </c>
      <c r="CK319" s="1894">
        <v>217.92000000000002</v>
      </c>
      <c r="CL319" s="1894">
        <v>217.92</v>
      </c>
      <c r="CM319" s="1894">
        <v>0.91849999999999998</v>
      </c>
      <c r="CN319" s="1894">
        <v>28.28</v>
      </c>
      <c r="CO319" s="1894">
        <v>41412</v>
      </c>
      <c r="CP319" s="1894">
        <f t="shared" si="130"/>
        <v>87865</v>
      </c>
      <c r="CQ319" s="1894">
        <f t="shared" si="131"/>
        <v>0</v>
      </c>
      <c r="CR319" s="1924">
        <v>206</v>
      </c>
      <c r="CS319" s="1924">
        <v>177.35999999999999</v>
      </c>
      <c r="CT319" s="1924">
        <v>177.36</v>
      </c>
      <c r="CU319" s="1924">
        <v>0.93889999999999996</v>
      </c>
      <c r="CV319" s="1924">
        <v>34.29</v>
      </c>
      <c r="CW319" s="1924">
        <v>45249</v>
      </c>
      <c r="CX319" s="1894">
        <f t="shared" si="132"/>
        <v>79174</v>
      </c>
      <c r="CY319" s="1894">
        <f t="shared" si="133"/>
        <v>0</v>
      </c>
    </row>
    <row r="320" spans="1:103">
      <c r="A320" s="982">
        <v>613000000035</v>
      </c>
      <c r="B320" s="1923">
        <f t="shared" si="134"/>
        <v>314</v>
      </c>
      <c r="C320" s="1895" t="s">
        <v>3201</v>
      </c>
      <c r="D320" s="1894" t="s">
        <v>524</v>
      </c>
      <c r="E320" s="1895" t="s">
        <v>730</v>
      </c>
      <c r="F320" s="1894" t="s">
        <v>259</v>
      </c>
      <c r="G320" s="1924">
        <v>207</v>
      </c>
      <c r="H320" s="1894">
        <v>207</v>
      </c>
      <c r="I320" s="1894">
        <v>162.88</v>
      </c>
      <c r="J320" s="1894">
        <v>165.6</v>
      </c>
      <c r="K320" s="1894">
        <v>0.93540000000000001</v>
      </c>
      <c r="L320" s="1894">
        <v>42.87</v>
      </c>
      <c r="M320" s="1894">
        <v>53632</v>
      </c>
      <c r="N320" s="1894">
        <f t="shared" si="112"/>
        <v>70364</v>
      </c>
      <c r="O320" s="1894">
        <f t="shared" si="113"/>
        <v>0</v>
      </c>
      <c r="P320" s="1894">
        <v>207</v>
      </c>
      <c r="Q320" s="1894">
        <v>179.20000000000002</v>
      </c>
      <c r="R320" s="1894">
        <v>179.2</v>
      </c>
      <c r="S320" s="1894">
        <v>0.94669999999999999</v>
      </c>
      <c r="T320" s="1894">
        <v>40.64</v>
      </c>
      <c r="U320" s="1894">
        <v>59428</v>
      </c>
      <c r="V320" s="1894">
        <f t="shared" si="114"/>
        <v>79995</v>
      </c>
      <c r="W320" s="1894">
        <f t="shared" si="115"/>
        <v>0</v>
      </c>
      <c r="X320" s="1894">
        <v>207</v>
      </c>
      <c r="Y320" s="1894">
        <v>159.68</v>
      </c>
      <c r="Z320" s="1894">
        <v>165.6</v>
      </c>
      <c r="AA320" s="1894">
        <v>0.94520000000000004</v>
      </c>
      <c r="AB320" s="1894">
        <v>49.04</v>
      </c>
      <c r="AC320" s="1894">
        <v>50742</v>
      </c>
      <c r="AD320" s="1894">
        <f t="shared" si="116"/>
        <v>68982</v>
      </c>
      <c r="AE320" s="1894">
        <f t="shared" si="117"/>
        <v>0</v>
      </c>
      <c r="AF320" s="1894">
        <v>207</v>
      </c>
      <c r="AG320" s="1894">
        <v>179.20000000000002</v>
      </c>
      <c r="AH320" s="1894">
        <v>179.2</v>
      </c>
      <c r="AI320" s="1894">
        <v>0.94310000000000005</v>
      </c>
      <c r="AJ320" s="1894">
        <v>47.27</v>
      </c>
      <c r="AK320" s="1894">
        <v>63024</v>
      </c>
      <c r="AL320" s="1894">
        <f t="shared" si="135"/>
        <v>79995</v>
      </c>
      <c r="AM320" s="1894">
        <f t="shared" si="136"/>
        <v>0</v>
      </c>
      <c r="AN320" s="1894">
        <v>207</v>
      </c>
      <c r="AO320" s="1894">
        <v>194</v>
      </c>
      <c r="AP320" s="1894">
        <v>194</v>
      </c>
      <c r="AQ320" s="1894">
        <v>0.94350000000000001</v>
      </c>
      <c r="AR320" s="1894">
        <v>43.99</v>
      </c>
      <c r="AS320" s="1894">
        <v>69644</v>
      </c>
      <c r="AT320" s="1894">
        <f t="shared" si="118"/>
        <v>86602</v>
      </c>
      <c r="AU320" s="1894">
        <f t="shared" si="119"/>
        <v>0</v>
      </c>
      <c r="AV320" s="1894">
        <v>207</v>
      </c>
      <c r="AW320" s="1894">
        <v>172.48000000000002</v>
      </c>
      <c r="AX320" s="1894">
        <v>172.48</v>
      </c>
      <c r="AY320" s="1894">
        <v>0.9345</v>
      </c>
      <c r="AZ320" s="1894">
        <v>49.51</v>
      </c>
      <c r="BA320" s="1894">
        <v>57386</v>
      </c>
      <c r="BB320" s="1894">
        <f t="shared" si="120"/>
        <v>74511</v>
      </c>
      <c r="BC320" s="1894">
        <f t="shared" si="121"/>
        <v>0</v>
      </c>
      <c r="BD320" s="1894">
        <v>207</v>
      </c>
      <c r="BE320" s="1894">
        <v>171.36</v>
      </c>
      <c r="BF320" s="1894">
        <v>171.36</v>
      </c>
      <c r="BG320" s="1894">
        <v>0.93240000000000001</v>
      </c>
      <c r="BH320" s="1894">
        <v>50.61</v>
      </c>
      <c r="BI320" s="1894">
        <v>66606</v>
      </c>
      <c r="BJ320" s="1894">
        <f t="shared" si="122"/>
        <v>76495</v>
      </c>
      <c r="BK320" s="1894">
        <f t="shared" si="123"/>
        <v>0</v>
      </c>
      <c r="BL320" s="1894">
        <v>207</v>
      </c>
      <c r="BM320" s="1894">
        <v>181.20000000000002</v>
      </c>
      <c r="BN320" s="1894">
        <v>181.2</v>
      </c>
      <c r="BO320" s="1894">
        <v>0.9516</v>
      </c>
      <c r="BP320" s="1894">
        <v>45.63</v>
      </c>
      <c r="BQ320" s="1894">
        <v>61510</v>
      </c>
      <c r="BR320" s="1894">
        <f t="shared" si="124"/>
        <v>78278</v>
      </c>
      <c r="BS320" s="1894">
        <f t="shared" si="125"/>
        <v>0</v>
      </c>
      <c r="BT320" s="1894">
        <v>207</v>
      </c>
      <c r="BU320" s="1894">
        <v>171.2</v>
      </c>
      <c r="BV320" s="1894">
        <v>171.2</v>
      </c>
      <c r="BW320" s="1894">
        <v>0.91500000000000004</v>
      </c>
      <c r="BX320" s="1894">
        <v>50.23</v>
      </c>
      <c r="BY320" s="1894">
        <v>63982</v>
      </c>
      <c r="BZ320" s="1894">
        <f t="shared" si="126"/>
        <v>76424</v>
      </c>
      <c r="CA320" s="1894">
        <f t="shared" si="127"/>
        <v>0</v>
      </c>
      <c r="CB320" s="1894">
        <v>207</v>
      </c>
      <c r="CC320" s="1894">
        <v>187.20000000000002</v>
      </c>
      <c r="CD320" s="1894">
        <v>187.2</v>
      </c>
      <c r="CE320" s="1894">
        <v>0.90669999999999995</v>
      </c>
      <c r="CF320" s="1894">
        <v>47.59</v>
      </c>
      <c r="CG320" s="1894">
        <v>66282</v>
      </c>
      <c r="CH320" s="1894">
        <f t="shared" si="128"/>
        <v>83566</v>
      </c>
      <c r="CI320" s="1894">
        <f t="shared" si="129"/>
        <v>0</v>
      </c>
      <c r="CJ320" s="1894">
        <v>207</v>
      </c>
      <c r="CK320" s="1894">
        <v>168.48000000000002</v>
      </c>
      <c r="CL320" s="1894">
        <v>168.48</v>
      </c>
      <c r="CM320" s="1894">
        <v>0.92449999999999999</v>
      </c>
      <c r="CN320" s="1894">
        <v>50.55</v>
      </c>
      <c r="CO320" s="1894">
        <v>57232</v>
      </c>
      <c r="CP320" s="1894">
        <f t="shared" si="130"/>
        <v>67931</v>
      </c>
      <c r="CQ320" s="1894">
        <f t="shared" si="131"/>
        <v>0</v>
      </c>
      <c r="CR320" s="1924">
        <v>207</v>
      </c>
      <c r="CS320" s="1924">
        <v>174.07999999999998</v>
      </c>
      <c r="CT320" s="1924">
        <v>174.08</v>
      </c>
      <c r="CU320" s="1924">
        <v>0.91969999999999996</v>
      </c>
      <c r="CV320" s="1924">
        <v>47.51</v>
      </c>
      <c r="CW320" s="1924">
        <v>61530</v>
      </c>
      <c r="CX320" s="1894">
        <f t="shared" si="132"/>
        <v>77709</v>
      </c>
      <c r="CY320" s="1894">
        <f t="shared" si="133"/>
        <v>0</v>
      </c>
    </row>
    <row r="321" spans="1:103">
      <c r="A321" s="982">
        <v>613000000031</v>
      </c>
      <c r="B321" s="1923">
        <f t="shared" si="134"/>
        <v>315</v>
      </c>
      <c r="C321" s="1895" t="s">
        <v>3202</v>
      </c>
      <c r="D321" s="1894" t="s">
        <v>524</v>
      </c>
      <c r="E321" s="1895" t="s">
        <v>541</v>
      </c>
      <c r="F321" s="1894" t="s">
        <v>259</v>
      </c>
      <c r="G321" s="1924">
        <v>207</v>
      </c>
      <c r="H321" s="1894">
        <v>207</v>
      </c>
      <c r="I321" s="1894">
        <v>190.56</v>
      </c>
      <c r="J321" s="1894">
        <v>190.56</v>
      </c>
      <c r="K321" s="1894">
        <v>0.79930000000000001</v>
      </c>
      <c r="L321" s="1894">
        <v>19.600000000000001</v>
      </c>
      <c r="M321" s="1894">
        <v>26890</v>
      </c>
      <c r="N321" s="1894">
        <f t="shared" si="112"/>
        <v>82322</v>
      </c>
      <c r="O321" s="1894">
        <f t="shared" si="113"/>
        <v>0</v>
      </c>
      <c r="P321" s="1894">
        <v>207</v>
      </c>
      <c r="Q321" s="1894">
        <v>243.04000000000002</v>
      </c>
      <c r="R321" s="1894">
        <v>243.04</v>
      </c>
      <c r="S321" s="1894">
        <v>0.79100000000000004</v>
      </c>
      <c r="T321" s="1894">
        <v>12.88</v>
      </c>
      <c r="U321" s="1894">
        <v>21786</v>
      </c>
      <c r="V321" s="1894">
        <f t="shared" si="114"/>
        <v>108493</v>
      </c>
      <c r="W321" s="1894">
        <f t="shared" si="115"/>
        <v>0</v>
      </c>
      <c r="X321" s="1894">
        <v>207</v>
      </c>
      <c r="Y321" s="1894">
        <v>238.24</v>
      </c>
      <c r="Z321" s="1894">
        <v>238.24</v>
      </c>
      <c r="AA321" s="1894">
        <v>0.81</v>
      </c>
      <c r="AB321" s="1894">
        <v>11.25</v>
      </c>
      <c r="AC321" s="1894">
        <v>20592</v>
      </c>
      <c r="AD321" s="1894">
        <f t="shared" si="116"/>
        <v>102920</v>
      </c>
      <c r="AE321" s="1894">
        <f t="shared" si="117"/>
        <v>0</v>
      </c>
      <c r="AF321" s="1894">
        <v>207</v>
      </c>
      <c r="AG321" s="1894">
        <v>224.32</v>
      </c>
      <c r="AH321" s="1894">
        <v>224.32</v>
      </c>
      <c r="AI321" s="1894">
        <v>0.75019999999999998</v>
      </c>
      <c r="AJ321" s="1894">
        <v>4.8</v>
      </c>
      <c r="AK321" s="1894">
        <v>8016</v>
      </c>
      <c r="AL321" s="1894">
        <f t="shared" si="135"/>
        <v>100136</v>
      </c>
      <c r="AM321" s="1894">
        <f t="shared" si="136"/>
        <v>0</v>
      </c>
      <c r="AN321" s="1894">
        <v>207</v>
      </c>
      <c r="AO321" s="1894">
        <v>223.68</v>
      </c>
      <c r="AP321" s="1894">
        <v>223.68</v>
      </c>
      <c r="AQ321" s="1894">
        <v>0.72199999999999998</v>
      </c>
      <c r="AR321" s="1894">
        <v>5.77</v>
      </c>
      <c r="AS321" s="1894">
        <v>9288</v>
      </c>
      <c r="AT321" s="1894">
        <f t="shared" si="118"/>
        <v>99851</v>
      </c>
      <c r="AU321" s="1894">
        <f t="shared" si="119"/>
        <v>0</v>
      </c>
      <c r="AV321" s="1894">
        <v>207</v>
      </c>
      <c r="AW321" s="1894">
        <v>245.92000000000002</v>
      </c>
      <c r="AX321" s="1894">
        <v>245.92</v>
      </c>
      <c r="AY321" s="1894">
        <v>0.74880000000000002</v>
      </c>
      <c r="AZ321" s="1894">
        <v>9.35</v>
      </c>
      <c r="BA321" s="1894">
        <v>15998</v>
      </c>
      <c r="BB321" s="1894">
        <f t="shared" si="120"/>
        <v>106237</v>
      </c>
      <c r="BC321" s="1894">
        <f t="shared" si="121"/>
        <v>0</v>
      </c>
      <c r="BD321" s="1894">
        <v>207</v>
      </c>
      <c r="BE321" s="1894">
        <v>118</v>
      </c>
      <c r="BF321" s="1894">
        <v>230.88</v>
      </c>
      <c r="BG321" s="1894">
        <v>0.74239999999999995</v>
      </c>
      <c r="BH321" s="1894">
        <v>12.16</v>
      </c>
      <c r="BI321" s="1894">
        <v>21562</v>
      </c>
      <c r="BJ321" s="1894">
        <f t="shared" si="122"/>
        <v>52675</v>
      </c>
      <c r="BK321" s="1894">
        <f t="shared" si="123"/>
        <v>0</v>
      </c>
      <c r="BL321" s="1894">
        <v>207</v>
      </c>
      <c r="BM321" s="1894">
        <v>251.44000000000003</v>
      </c>
      <c r="BN321" s="1894">
        <v>251.44</v>
      </c>
      <c r="BO321" s="1894">
        <v>0.75690000000000002</v>
      </c>
      <c r="BP321" s="1894">
        <v>18.77</v>
      </c>
      <c r="BQ321" s="1894">
        <v>36241</v>
      </c>
      <c r="BR321" s="1894">
        <f t="shared" si="124"/>
        <v>108622</v>
      </c>
      <c r="BS321" s="1894">
        <f t="shared" si="125"/>
        <v>0</v>
      </c>
      <c r="BT321" s="1894">
        <v>207</v>
      </c>
      <c r="BU321" s="1894">
        <v>257.76</v>
      </c>
      <c r="BV321" s="1894">
        <v>257.76</v>
      </c>
      <c r="BW321" s="1894">
        <v>0.76090000000000002</v>
      </c>
      <c r="BX321" s="1894">
        <v>17.14</v>
      </c>
      <c r="BY321" s="1894">
        <v>29689</v>
      </c>
      <c r="BZ321" s="1894">
        <f t="shared" si="126"/>
        <v>115064</v>
      </c>
      <c r="CA321" s="1894">
        <f t="shared" si="127"/>
        <v>0</v>
      </c>
      <c r="CB321" s="1894">
        <v>207</v>
      </c>
      <c r="CC321" s="1894">
        <v>262.08</v>
      </c>
      <c r="CD321" s="1894">
        <v>262.08</v>
      </c>
      <c r="CE321" s="1894">
        <v>0.75049999999999994</v>
      </c>
      <c r="CF321" s="1894">
        <v>18.18</v>
      </c>
      <c r="CG321" s="1894">
        <v>40015</v>
      </c>
      <c r="CH321" s="1894">
        <f t="shared" si="128"/>
        <v>116993</v>
      </c>
      <c r="CI321" s="1894">
        <f t="shared" si="129"/>
        <v>0</v>
      </c>
      <c r="CJ321" s="1894">
        <v>207</v>
      </c>
      <c r="CK321" s="1894">
        <v>257.03999999999996</v>
      </c>
      <c r="CL321" s="1894">
        <v>257.04000000000002</v>
      </c>
      <c r="CM321" s="1894">
        <v>0.76870000000000005</v>
      </c>
      <c r="CN321" s="1894">
        <v>19.739999999999998</v>
      </c>
      <c r="CO321" s="1894">
        <v>35307</v>
      </c>
      <c r="CP321" s="1894">
        <f t="shared" si="130"/>
        <v>103639</v>
      </c>
      <c r="CQ321" s="1894">
        <f t="shared" si="131"/>
        <v>0</v>
      </c>
      <c r="CR321" s="1924">
        <v>207</v>
      </c>
      <c r="CS321" s="1924">
        <v>241.44</v>
      </c>
      <c r="CT321" s="1924">
        <v>241.44</v>
      </c>
      <c r="CU321" s="1924">
        <v>0.75419999999999998</v>
      </c>
      <c r="CV321" s="1924">
        <v>18.3</v>
      </c>
      <c r="CW321" s="1924">
        <v>32871</v>
      </c>
      <c r="CX321" s="1894">
        <f t="shared" si="132"/>
        <v>107779</v>
      </c>
      <c r="CY321" s="1894">
        <f t="shared" si="133"/>
        <v>0</v>
      </c>
    </row>
    <row r="322" spans="1:103">
      <c r="A322" s="982">
        <v>129000000005</v>
      </c>
      <c r="B322" s="1923">
        <f t="shared" si="134"/>
        <v>316</v>
      </c>
      <c r="C322" s="1895" t="s">
        <v>3203</v>
      </c>
      <c r="D322" s="1894" t="s">
        <v>524</v>
      </c>
      <c r="E322" s="1895" t="s">
        <v>541</v>
      </c>
      <c r="F322" s="1894" t="s">
        <v>259</v>
      </c>
      <c r="G322" s="1924">
        <v>210</v>
      </c>
      <c r="H322" s="1894">
        <v>210</v>
      </c>
      <c r="I322" s="1894">
        <v>63.360000000000007</v>
      </c>
      <c r="J322" s="1894">
        <v>168</v>
      </c>
      <c r="K322" s="1894">
        <v>0.74239999999999995</v>
      </c>
      <c r="L322" s="1894">
        <v>7.5</v>
      </c>
      <c r="M322" s="1894">
        <v>3766</v>
      </c>
      <c r="N322" s="1894">
        <f t="shared" si="112"/>
        <v>27372</v>
      </c>
      <c r="O322" s="1894">
        <f t="shared" si="113"/>
        <v>0</v>
      </c>
      <c r="P322" s="1894">
        <v>210</v>
      </c>
      <c r="Q322" s="1894">
        <v>269.60000000000002</v>
      </c>
      <c r="R322" s="1894">
        <v>269.60000000000002</v>
      </c>
      <c r="S322" s="1894">
        <v>0.78369999999999995</v>
      </c>
      <c r="T322" s="1894">
        <v>29.1</v>
      </c>
      <c r="U322" s="1894">
        <v>58364</v>
      </c>
      <c r="V322" s="1894">
        <f t="shared" si="114"/>
        <v>120349</v>
      </c>
      <c r="W322" s="1894">
        <f t="shared" si="115"/>
        <v>0</v>
      </c>
      <c r="X322" s="1894">
        <v>210</v>
      </c>
      <c r="Y322" s="1894">
        <v>259.2</v>
      </c>
      <c r="Z322" s="1894">
        <v>259.2</v>
      </c>
      <c r="AA322" s="1894">
        <v>0.78839999999999999</v>
      </c>
      <c r="AB322" s="1894">
        <v>19.23</v>
      </c>
      <c r="AC322" s="1894">
        <v>35888</v>
      </c>
      <c r="AD322" s="1894">
        <f t="shared" si="116"/>
        <v>111974</v>
      </c>
      <c r="AE322" s="1894">
        <f t="shared" si="117"/>
        <v>0</v>
      </c>
      <c r="AF322" s="1894">
        <v>210</v>
      </c>
      <c r="AG322" s="1894">
        <v>249.76</v>
      </c>
      <c r="AH322" s="1894">
        <v>249.76</v>
      </c>
      <c r="AI322" s="1894">
        <v>0.78539999999999999</v>
      </c>
      <c r="AJ322" s="1894">
        <v>22.46</v>
      </c>
      <c r="AK322" s="1894">
        <v>41738</v>
      </c>
      <c r="AL322" s="1894">
        <f t="shared" si="135"/>
        <v>111493</v>
      </c>
      <c r="AM322" s="1894">
        <f t="shared" si="136"/>
        <v>0</v>
      </c>
      <c r="AN322" s="1894">
        <v>210</v>
      </c>
      <c r="AO322" s="1894">
        <v>8.48</v>
      </c>
      <c r="AP322" s="1894">
        <v>168</v>
      </c>
      <c r="AQ322" s="1894">
        <v>0.58599999999999997</v>
      </c>
      <c r="AR322" s="1894">
        <v>22.67</v>
      </c>
      <c r="AS322" s="1894">
        <v>1430</v>
      </c>
      <c r="AT322" s="1894">
        <f t="shared" si="118"/>
        <v>3785</v>
      </c>
      <c r="AU322" s="1894">
        <f t="shared" si="119"/>
        <v>0</v>
      </c>
      <c r="AV322" s="1894">
        <v>210</v>
      </c>
      <c r="AW322" s="1894">
        <v>8.7999999999999989</v>
      </c>
      <c r="AX322" s="1894">
        <v>168</v>
      </c>
      <c r="AY322" s="1894">
        <v>0.57750000000000001</v>
      </c>
      <c r="AZ322" s="1894">
        <v>19.95</v>
      </c>
      <c r="BA322" s="1894">
        <v>1264</v>
      </c>
      <c r="BB322" s="1894">
        <f t="shared" si="120"/>
        <v>3802</v>
      </c>
      <c r="BC322" s="1894">
        <f t="shared" si="121"/>
        <v>0</v>
      </c>
      <c r="BD322" s="1894">
        <v>210</v>
      </c>
      <c r="BE322" s="1894">
        <v>12</v>
      </c>
      <c r="BF322" s="1894">
        <v>168</v>
      </c>
      <c r="BG322" s="1894">
        <v>0.57099999999999995</v>
      </c>
      <c r="BH322" s="1894">
        <v>17.649999999999999</v>
      </c>
      <c r="BI322" s="1894">
        <v>1576</v>
      </c>
      <c r="BJ322" s="1894">
        <f t="shared" si="122"/>
        <v>5357</v>
      </c>
      <c r="BK322" s="1894">
        <f t="shared" si="123"/>
        <v>0</v>
      </c>
      <c r="BL322" s="1894">
        <v>210</v>
      </c>
      <c r="BM322" s="1894">
        <v>36.480000000000004</v>
      </c>
      <c r="BN322" s="1894">
        <v>168</v>
      </c>
      <c r="BO322" s="1894">
        <v>0.73750000000000004</v>
      </c>
      <c r="BP322" s="1894">
        <v>5.48</v>
      </c>
      <c r="BQ322" s="1894">
        <v>1440</v>
      </c>
      <c r="BR322" s="1894">
        <f t="shared" si="124"/>
        <v>15759</v>
      </c>
      <c r="BS322" s="1894">
        <f t="shared" si="125"/>
        <v>0</v>
      </c>
      <c r="BT322" s="1894">
        <v>210</v>
      </c>
      <c r="BU322" s="1894">
        <v>61.6</v>
      </c>
      <c r="BV322" s="1894">
        <v>168</v>
      </c>
      <c r="BW322" s="1894">
        <v>0.84260000000000002</v>
      </c>
      <c r="BX322" s="1894">
        <v>7.74</v>
      </c>
      <c r="BY322" s="1894">
        <v>3546</v>
      </c>
      <c r="BZ322" s="1894">
        <f t="shared" si="126"/>
        <v>27498</v>
      </c>
      <c r="CA322" s="1894">
        <f t="shared" si="127"/>
        <v>0</v>
      </c>
      <c r="CB322" s="1894">
        <v>210</v>
      </c>
      <c r="CC322" s="1894">
        <v>350.56</v>
      </c>
      <c r="CD322" s="1894">
        <v>350.56</v>
      </c>
      <c r="CE322" s="1894">
        <v>0.7621</v>
      </c>
      <c r="CF322" s="1894">
        <v>25.28</v>
      </c>
      <c r="CG322" s="1894">
        <v>65936</v>
      </c>
      <c r="CH322" s="1894">
        <f t="shared" si="128"/>
        <v>156490</v>
      </c>
      <c r="CI322" s="1894">
        <f t="shared" si="129"/>
        <v>0</v>
      </c>
      <c r="CJ322" s="1894">
        <v>210</v>
      </c>
      <c r="CK322" s="1894">
        <v>466.24</v>
      </c>
      <c r="CL322" s="1894">
        <v>466.24</v>
      </c>
      <c r="CM322" s="1894">
        <v>0.87</v>
      </c>
      <c r="CN322" s="1894">
        <v>28.85</v>
      </c>
      <c r="CO322" s="1894">
        <v>90386</v>
      </c>
      <c r="CP322" s="1894">
        <f t="shared" si="130"/>
        <v>187988</v>
      </c>
      <c r="CQ322" s="1894">
        <f t="shared" si="131"/>
        <v>0</v>
      </c>
      <c r="CR322" s="1924">
        <v>210</v>
      </c>
      <c r="CS322" s="1924">
        <v>516.80000000000007</v>
      </c>
      <c r="CT322" s="1924">
        <v>516.79999999999995</v>
      </c>
      <c r="CU322" s="1924">
        <v>0.86719999999999997</v>
      </c>
      <c r="CV322" s="1924">
        <v>38.299999999999997</v>
      </c>
      <c r="CW322" s="1924">
        <v>147280</v>
      </c>
      <c r="CX322" s="1894">
        <f t="shared" si="132"/>
        <v>230700</v>
      </c>
      <c r="CY322" s="1894">
        <f t="shared" si="133"/>
        <v>0</v>
      </c>
    </row>
    <row r="323" spans="1:103">
      <c r="A323" s="982">
        <v>123000000037</v>
      </c>
      <c r="B323" s="1923">
        <f t="shared" si="134"/>
        <v>317</v>
      </c>
      <c r="C323" s="1895" t="s">
        <v>3204</v>
      </c>
      <c r="D323" s="1894" t="s">
        <v>524</v>
      </c>
      <c r="E323" s="1895" t="s">
        <v>541</v>
      </c>
      <c r="F323" s="1894" t="s">
        <v>259</v>
      </c>
      <c r="G323" s="1924">
        <v>210</v>
      </c>
      <c r="H323" s="1894">
        <v>210</v>
      </c>
      <c r="I323" s="1894">
        <v>222.24</v>
      </c>
      <c r="J323" s="1894">
        <v>222.24</v>
      </c>
      <c r="K323" s="1894">
        <v>0.95930000000000004</v>
      </c>
      <c r="L323" s="1894">
        <v>13.24</v>
      </c>
      <c r="M323" s="1894">
        <v>22659</v>
      </c>
      <c r="N323" s="1894">
        <f t="shared" si="112"/>
        <v>96008</v>
      </c>
      <c r="O323" s="1894">
        <f t="shared" si="113"/>
        <v>0</v>
      </c>
      <c r="P323" s="1894">
        <v>210</v>
      </c>
      <c r="Q323" s="1894">
        <v>213.6</v>
      </c>
      <c r="R323" s="1894">
        <v>213.6</v>
      </c>
      <c r="S323" s="1894">
        <v>0.95920000000000005</v>
      </c>
      <c r="T323" s="1894">
        <v>14.36</v>
      </c>
      <c r="U323" s="1894">
        <v>24315</v>
      </c>
      <c r="V323" s="1894">
        <f t="shared" si="114"/>
        <v>95351</v>
      </c>
      <c r="W323" s="1894">
        <f t="shared" si="115"/>
        <v>0</v>
      </c>
      <c r="X323" s="1894">
        <v>210</v>
      </c>
      <c r="Y323" s="1894">
        <v>213.6</v>
      </c>
      <c r="Z323" s="1894">
        <v>213.6</v>
      </c>
      <c r="AA323" s="1894">
        <v>0.96299999999999997</v>
      </c>
      <c r="AB323" s="1894">
        <v>14.48</v>
      </c>
      <c r="AC323" s="1894">
        <v>22320</v>
      </c>
      <c r="AD323" s="1894">
        <f t="shared" si="116"/>
        <v>92275</v>
      </c>
      <c r="AE323" s="1894">
        <f t="shared" si="117"/>
        <v>0</v>
      </c>
      <c r="AF323" s="1894">
        <v>210</v>
      </c>
      <c r="AG323" s="1894">
        <v>209.52</v>
      </c>
      <c r="AH323" s="1894">
        <v>209.52</v>
      </c>
      <c r="AI323" s="1894">
        <v>0.95760000000000001</v>
      </c>
      <c r="AJ323" s="1894">
        <v>15.85</v>
      </c>
      <c r="AK323" s="1894">
        <v>24744</v>
      </c>
      <c r="AL323" s="1894">
        <f t="shared" si="135"/>
        <v>93530</v>
      </c>
      <c r="AM323" s="1894">
        <f t="shared" si="136"/>
        <v>0</v>
      </c>
      <c r="AN323" s="1894">
        <v>210</v>
      </c>
      <c r="AO323" s="1894">
        <v>211.92000000000002</v>
      </c>
      <c r="AP323" s="1894">
        <v>211.92</v>
      </c>
      <c r="AQ323" s="1894">
        <v>0.95530000000000004</v>
      </c>
      <c r="AR323" s="1894">
        <v>15.42</v>
      </c>
      <c r="AS323" s="1894">
        <v>24336</v>
      </c>
      <c r="AT323" s="1894">
        <f t="shared" si="118"/>
        <v>94601</v>
      </c>
      <c r="AU323" s="1894">
        <f t="shared" si="119"/>
        <v>0</v>
      </c>
      <c r="AV323" s="1894">
        <v>210</v>
      </c>
      <c r="AW323" s="1894">
        <v>212.16000000000003</v>
      </c>
      <c r="AX323" s="1894">
        <v>212.16</v>
      </c>
      <c r="AY323" s="1894">
        <v>0.96609999999999996</v>
      </c>
      <c r="AZ323" s="1894">
        <v>15.19</v>
      </c>
      <c r="BA323" s="1894">
        <v>23202</v>
      </c>
      <c r="BB323" s="1894">
        <f t="shared" si="120"/>
        <v>91653</v>
      </c>
      <c r="BC323" s="1894">
        <f t="shared" si="121"/>
        <v>0</v>
      </c>
      <c r="BD323" s="1894">
        <v>210</v>
      </c>
      <c r="BE323" s="1894">
        <v>222</v>
      </c>
      <c r="BF323" s="1894">
        <v>222</v>
      </c>
      <c r="BG323" s="1894">
        <v>0.9617</v>
      </c>
      <c r="BH323" s="1894">
        <v>14.25</v>
      </c>
      <c r="BI323" s="1894">
        <v>23529</v>
      </c>
      <c r="BJ323" s="1894">
        <f t="shared" si="122"/>
        <v>99101</v>
      </c>
      <c r="BK323" s="1894">
        <f t="shared" si="123"/>
        <v>0</v>
      </c>
      <c r="BL323" s="1894">
        <v>210</v>
      </c>
      <c r="BM323" s="1894">
        <v>216.24</v>
      </c>
      <c r="BN323" s="1894">
        <v>216.24</v>
      </c>
      <c r="BO323" s="1894">
        <v>0.95409999999999995</v>
      </c>
      <c r="BP323" s="1894">
        <v>14.79</v>
      </c>
      <c r="BQ323" s="1894">
        <v>23025</v>
      </c>
      <c r="BR323" s="1894">
        <f t="shared" si="124"/>
        <v>93416</v>
      </c>
      <c r="BS323" s="1894">
        <f t="shared" si="125"/>
        <v>0</v>
      </c>
      <c r="BT323" s="1894">
        <v>210</v>
      </c>
      <c r="BU323" s="1894">
        <v>257.04000000000002</v>
      </c>
      <c r="BV323" s="1894">
        <v>257.04000000000002</v>
      </c>
      <c r="BW323" s="1894">
        <v>0.94179999999999997</v>
      </c>
      <c r="BX323" s="1894">
        <v>11.77</v>
      </c>
      <c r="BY323" s="1894">
        <v>22504</v>
      </c>
      <c r="BZ323" s="1894">
        <f t="shared" si="126"/>
        <v>114743</v>
      </c>
      <c r="CA323" s="1894">
        <f t="shared" si="127"/>
        <v>0</v>
      </c>
      <c r="CB323" s="1894">
        <v>210</v>
      </c>
      <c r="CC323" s="1894">
        <v>236.16</v>
      </c>
      <c r="CD323" s="1894">
        <v>236.16</v>
      </c>
      <c r="CE323" s="1894">
        <v>0.93400000000000005</v>
      </c>
      <c r="CF323" s="1894">
        <v>14.71</v>
      </c>
      <c r="CG323" s="1894">
        <v>25839</v>
      </c>
      <c r="CH323" s="1894">
        <f t="shared" si="128"/>
        <v>105422</v>
      </c>
      <c r="CI323" s="1894">
        <f t="shared" si="129"/>
        <v>0</v>
      </c>
      <c r="CJ323" s="1894">
        <v>210</v>
      </c>
      <c r="CK323" s="1894">
        <v>245.28</v>
      </c>
      <c r="CL323" s="1894">
        <v>245.28</v>
      </c>
      <c r="CM323" s="1894">
        <v>0.95599999999999996</v>
      </c>
      <c r="CN323" s="1894">
        <v>15.33</v>
      </c>
      <c r="CO323" s="1894">
        <v>25275</v>
      </c>
      <c r="CP323" s="1894">
        <f t="shared" si="130"/>
        <v>98897</v>
      </c>
      <c r="CQ323" s="1894">
        <f t="shared" si="131"/>
        <v>0</v>
      </c>
      <c r="CR323" s="1924">
        <v>210</v>
      </c>
      <c r="CS323" s="1924">
        <v>177.6</v>
      </c>
      <c r="CT323" s="1924">
        <v>177.6</v>
      </c>
      <c r="CU323" s="1924">
        <v>0.96009999999999995</v>
      </c>
      <c r="CV323" s="1924">
        <v>20.55</v>
      </c>
      <c r="CW323" s="1924">
        <v>27156</v>
      </c>
      <c r="CX323" s="1894">
        <f t="shared" si="132"/>
        <v>79281</v>
      </c>
      <c r="CY323" s="1894">
        <f t="shared" si="133"/>
        <v>0</v>
      </c>
    </row>
    <row r="324" spans="1:103">
      <c r="A324" s="982">
        <v>622000000190</v>
      </c>
      <c r="B324" s="1923">
        <f t="shared" si="134"/>
        <v>318</v>
      </c>
      <c r="C324" s="1895" t="s">
        <v>3205</v>
      </c>
      <c r="D324" s="1894" t="s">
        <v>524</v>
      </c>
      <c r="E324" s="1895" t="s">
        <v>541</v>
      </c>
      <c r="F324" s="1894" t="s">
        <v>259</v>
      </c>
      <c r="G324" s="1924">
        <v>210</v>
      </c>
      <c r="H324" s="1894">
        <v>210</v>
      </c>
      <c r="I324" s="1894">
        <v>175.2</v>
      </c>
      <c r="J324" s="1894">
        <v>175.2</v>
      </c>
      <c r="K324" s="1894">
        <v>0.70720000000000005</v>
      </c>
      <c r="L324" s="1894">
        <v>8.35</v>
      </c>
      <c r="M324" s="1894">
        <v>10533</v>
      </c>
      <c r="N324" s="1894">
        <f t="shared" si="112"/>
        <v>75686</v>
      </c>
      <c r="O324" s="1894">
        <f t="shared" si="113"/>
        <v>0</v>
      </c>
      <c r="P324" s="1894">
        <v>210</v>
      </c>
      <c r="Q324" s="1894">
        <v>175.79999999999998</v>
      </c>
      <c r="R324" s="1894">
        <v>175.8</v>
      </c>
      <c r="S324" s="1894">
        <v>0.77849999999999997</v>
      </c>
      <c r="T324" s="1894">
        <v>6.31</v>
      </c>
      <c r="U324" s="1894">
        <v>6393</v>
      </c>
      <c r="V324" s="1894">
        <f t="shared" si="114"/>
        <v>78477</v>
      </c>
      <c r="W324" s="1894">
        <f t="shared" si="115"/>
        <v>0</v>
      </c>
      <c r="X324" s="1894">
        <v>210</v>
      </c>
      <c r="Y324" s="1894">
        <v>196.56</v>
      </c>
      <c r="Z324" s="1894">
        <v>196.56</v>
      </c>
      <c r="AA324" s="1894">
        <v>0.71589999999999998</v>
      </c>
      <c r="AB324" s="1894">
        <v>5.14</v>
      </c>
      <c r="AC324" s="1894">
        <v>8967</v>
      </c>
      <c r="AD324" s="1894">
        <f t="shared" si="116"/>
        <v>84914</v>
      </c>
      <c r="AE324" s="1894">
        <f t="shared" si="117"/>
        <v>0</v>
      </c>
      <c r="AF324" s="1894">
        <v>210</v>
      </c>
      <c r="AG324" s="1894">
        <v>173.28</v>
      </c>
      <c r="AH324" s="1894">
        <v>173.28</v>
      </c>
      <c r="AI324" s="1894">
        <v>0.6744</v>
      </c>
      <c r="AJ324" s="1894">
        <v>2</v>
      </c>
      <c r="AK324" s="1894">
        <v>2580</v>
      </c>
      <c r="AL324" s="1894">
        <f t="shared" si="135"/>
        <v>77352</v>
      </c>
      <c r="AM324" s="1894">
        <f t="shared" si="136"/>
        <v>0</v>
      </c>
      <c r="AN324" s="1894">
        <v>210</v>
      </c>
      <c r="AO324" s="1894">
        <v>180.95999999999998</v>
      </c>
      <c r="AP324" s="1894">
        <v>180.96</v>
      </c>
      <c r="AQ324" s="1894">
        <v>0.64529999999999998</v>
      </c>
      <c r="AR324" s="1894">
        <v>2.54</v>
      </c>
      <c r="AS324" s="1894">
        <v>3426</v>
      </c>
      <c r="AT324" s="1894">
        <f t="shared" si="118"/>
        <v>80781</v>
      </c>
      <c r="AU324" s="1894">
        <f t="shared" si="119"/>
        <v>0</v>
      </c>
      <c r="AV324" s="1894">
        <v>210</v>
      </c>
      <c r="AW324" s="1894">
        <v>160.07999999999998</v>
      </c>
      <c r="AX324" s="1894">
        <v>168</v>
      </c>
      <c r="AY324" s="1894">
        <v>0.65459999999999996</v>
      </c>
      <c r="AZ324" s="1894">
        <v>3.41</v>
      </c>
      <c r="BA324" s="1894">
        <v>3927</v>
      </c>
      <c r="BB324" s="1894">
        <f t="shared" si="120"/>
        <v>69155</v>
      </c>
      <c r="BC324" s="1894">
        <f t="shared" si="121"/>
        <v>0</v>
      </c>
      <c r="BD324" s="1894">
        <v>210</v>
      </c>
      <c r="BE324" s="1894">
        <v>14.64</v>
      </c>
      <c r="BF324" s="1894">
        <v>168</v>
      </c>
      <c r="BG324" s="1894">
        <v>0.70030000000000003</v>
      </c>
      <c r="BH324" s="1894">
        <v>13.88</v>
      </c>
      <c r="BI324" s="1894">
        <v>1512</v>
      </c>
      <c r="BJ324" s="1894">
        <f t="shared" si="122"/>
        <v>6535</v>
      </c>
      <c r="BK324" s="1894">
        <f t="shared" si="123"/>
        <v>0</v>
      </c>
      <c r="BL324" s="1894">
        <v>210</v>
      </c>
      <c r="BM324" s="1894">
        <v>142.56</v>
      </c>
      <c r="BN324" s="1894">
        <v>168</v>
      </c>
      <c r="BO324" s="1894">
        <v>0.64419999999999999</v>
      </c>
      <c r="BP324" s="1894">
        <v>3.35</v>
      </c>
      <c r="BQ324" s="1894">
        <v>3441</v>
      </c>
      <c r="BR324" s="1894">
        <f t="shared" si="124"/>
        <v>61586</v>
      </c>
      <c r="BS324" s="1894">
        <f t="shared" si="125"/>
        <v>0</v>
      </c>
      <c r="BT324" s="1894">
        <v>210</v>
      </c>
      <c r="BU324" s="1894">
        <v>180</v>
      </c>
      <c r="BV324" s="1894">
        <v>180</v>
      </c>
      <c r="BW324" s="1894">
        <v>0.71179999999999999</v>
      </c>
      <c r="BX324" s="1894">
        <v>6.38</v>
      </c>
      <c r="BY324" s="1894">
        <v>8547</v>
      </c>
      <c r="BZ324" s="1894">
        <f t="shared" si="126"/>
        <v>80352</v>
      </c>
      <c r="CA324" s="1894">
        <f t="shared" si="127"/>
        <v>0</v>
      </c>
      <c r="CB324" s="1894">
        <v>210</v>
      </c>
      <c r="CC324" s="1894">
        <v>189.11999999999998</v>
      </c>
      <c r="CD324" s="1894">
        <v>189.12</v>
      </c>
      <c r="CE324" s="1894">
        <v>0.71079999999999999</v>
      </c>
      <c r="CF324" s="1894">
        <v>5.0999999999999996</v>
      </c>
      <c r="CG324" s="1894">
        <v>7179</v>
      </c>
      <c r="CH324" s="1894">
        <f t="shared" si="128"/>
        <v>84423</v>
      </c>
      <c r="CI324" s="1894">
        <f t="shared" si="129"/>
        <v>0</v>
      </c>
      <c r="CJ324" s="1894">
        <v>210</v>
      </c>
      <c r="CK324" s="1894">
        <v>191.76</v>
      </c>
      <c r="CL324" s="1894">
        <v>191.76</v>
      </c>
      <c r="CM324" s="1894">
        <v>0.7016</v>
      </c>
      <c r="CN324" s="1894">
        <v>5.0599999999999996</v>
      </c>
      <c r="CO324" s="1894">
        <v>6525</v>
      </c>
      <c r="CP324" s="1894">
        <f t="shared" si="130"/>
        <v>77318</v>
      </c>
      <c r="CQ324" s="1894">
        <f t="shared" si="131"/>
        <v>0</v>
      </c>
      <c r="CR324" s="1924">
        <v>210</v>
      </c>
      <c r="CS324" s="1924">
        <v>211.2</v>
      </c>
      <c r="CT324" s="1924">
        <v>211.2</v>
      </c>
      <c r="CU324" s="1924">
        <v>0.75660000000000005</v>
      </c>
      <c r="CV324" s="1924">
        <v>7.12</v>
      </c>
      <c r="CW324" s="1924">
        <v>11181</v>
      </c>
      <c r="CX324" s="1894">
        <f t="shared" si="132"/>
        <v>94280</v>
      </c>
      <c r="CY324" s="1894">
        <f t="shared" si="133"/>
        <v>0</v>
      </c>
    </row>
    <row r="325" spans="1:103">
      <c r="A325" s="982">
        <v>622000000199</v>
      </c>
      <c r="B325" s="1923">
        <f t="shared" si="134"/>
        <v>319</v>
      </c>
      <c r="C325" s="1895" t="s">
        <v>3175</v>
      </c>
      <c r="D325" s="1894" t="s">
        <v>524</v>
      </c>
      <c r="E325" s="1895" t="s">
        <v>636</v>
      </c>
      <c r="F325" s="1894" t="s">
        <v>259</v>
      </c>
      <c r="G325" s="1924">
        <v>211</v>
      </c>
      <c r="H325" s="1894">
        <v>211</v>
      </c>
      <c r="I325" s="1894">
        <v>102.8</v>
      </c>
      <c r="J325" s="1894">
        <v>168.8</v>
      </c>
      <c r="K325" s="1894">
        <v>0.99250000000000005</v>
      </c>
      <c r="L325" s="1894">
        <v>26.48</v>
      </c>
      <c r="M325" s="1894">
        <v>19600</v>
      </c>
      <c r="N325" s="1894">
        <f t="shared" si="112"/>
        <v>44410</v>
      </c>
      <c r="O325" s="1894">
        <f t="shared" si="113"/>
        <v>0</v>
      </c>
      <c r="P325" s="1894">
        <v>211</v>
      </c>
      <c r="Q325" s="1894">
        <v>116.8</v>
      </c>
      <c r="R325" s="1894">
        <v>168.8</v>
      </c>
      <c r="S325" s="1894">
        <v>0.99109999999999998</v>
      </c>
      <c r="T325" s="1894">
        <v>24.46</v>
      </c>
      <c r="U325" s="1894">
        <v>21258</v>
      </c>
      <c r="V325" s="1894">
        <f t="shared" si="114"/>
        <v>52140</v>
      </c>
      <c r="W325" s="1894">
        <f t="shared" si="115"/>
        <v>0</v>
      </c>
      <c r="X325" s="1894">
        <v>211</v>
      </c>
      <c r="Y325" s="1894">
        <v>124.4</v>
      </c>
      <c r="Z325" s="1894">
        <v>168.8</v>
      </c>
      <c r="AA325" s="1894">
        <v>0.99119999999999997</v>
      </c>
      <c r="AB325" s="1894">
        <v>22.76</v>
      </c>
      <c r="AC325" s="1894">
        <v>20390</v>
      </c>
      <c r="AD325" s="1894">
        <f t="shared" si="116"/>
        <v>53741</v>
      </c>
      <c r="AE325" s="1894">
        <f t="shared" si="117"/>
        <v>0</v>
      </c>
      <c r="AF325" s="1894">
        <v>211</v>
      </c>
      <c r="AG325" s="1894">
        <v>76</v>
      </c>
      <c r="AH325" s="1894">
        <v>168.8</v>
      </c>
      <c r="AI325" s="1894">
        <v>0.99039999999999995</v>
      </c>
      <c r="AJ325" s="1894">
        <v>27.69</v>
      </c>
      <c r="AK325" s="1894">
        <v>15658</v>
      </c>
      <c r="AL325" s="1894">
        <f t="shared" si="135"/>
        <v>33926</v>
      </c>
      <c r="AM325" s="1894">
        <f t="shared" si="136"/>
        <v>0</v>
      </c>
      <c r="AN325" s="1894">
        <v>211</v>
      </c>
      <c r="AO325" s="1894">
        <v>72</v>
      </c>
      <c r="AP325" s="1894">
        <v>168.8</v>
      </c>
      <c r="AQ325" s="1894">
        <v>0.99099999999999999</v>
      </c>
      <c r="AR325" s="1894">
        <v>28.64</v>
      </c>
      <c r="AS325" s="1894">
        <v>15342</v>
      </c>
      <c r="AT325" s="1894">
        <f t="shared" si="118"/>
        <v>32141</v>
      </c>
      <c r="AU325" s="1894">
        <f t="shared" si="119"/>
        <v>0</v>
      </c>
      <c r="AV325" s="1894">
        <v>211</v>
      </c>
      <c r="AW325" s="1894">
        <v>72.8</v>
      </c>
      <c r="AX325" s="1894">
        <v>168.8</v>
      </c>
      <c r="AY325" s="1894">
        <v>0.98850000000000005</v>
      </c>
      <c r="AZ325" s="1894">
        <v>28.75</v>
      </c>
      <c r="BA325" s="1894">
        <v>11554</v>
      </c>
      <c r="BB325" s="1894">
        <f t="shared" si="120"/>
        <v>31450</v>
      </c>
      <c r="BC325" s="1894">
        <f t="shared" si="121"/>
        <v>0</v>
      </c>
      <c r="BD325" s="1894">
        <v>211</v>
      </c>
      <c r="BE325" s="1894">
        <v>45.6</v>
      </c>
      <c r="BF325" s="1894">
        <v>168.8</v>
      </c>
      <c r="BG325" s="1894">
        <v>0.98929999999999996</v>
      </c>
      <c r="BH325" s="1894">
        <v>39.700000000000003</v>
      </c>
      <c r="BI325" s="1894">
        <v>16076</v>
      </c>
      <c r="BJ325" s="1894">
        <f t="shared" si="122"/>
        <v>20356</v>
      </c>
      <c r="BK325" s="1894">
        <f t="shared" si="123"/>
        <v>0</v>
      </c>
      <c r="BL325" s="1894">
        <v>211</v>
      </c>
      <c r="BM325" s="1894">
        <v>33.200000000000003</v>
      </c>
      <c r="BN325" s="1894">
        <v>168.8</v>
      </c>
      <c r="BO325" s="1894">
        <v>0.99629999999999996</v>
      </c>
      <c r="BP325" s="1894">
        <v>42.65</v>
      </c>
      <c r="BQ325" s="1894">
        <v>10534</v>
      </c>
      <c r="BR325" s="1894">
        <f t="shared" si="124"/>
        <v>14342</v>
      </c>
      <c r="BS325" s="1894">
        <f t="shared" si="125"/>
        <v>0</v>
      </c>
      <c r="BT325" s="1894">
        <v>211</v>
      </c>
      <c r="BU325" s="1894">
        <v>26.400000000000002</v>
      </c>
      <c r="BV325" s="1894">
        <v>168.8</v>
      </c>
      <c r="BW325" s="1894">
        <v>0.99829999999999997</v>
      </c>
      <c r="BX325" s="1894">
        <v>48.64</v>
      </c>
      <c r="BY325" s="1894">
        <v>9554</v>
      </c>
      <c r="BZ325" s="1894">
        <f t="shared" si="126"/>
        <v>11785</v>
      </c>
      <c r="CA325" s="1894">
        <f t="shared" si="127"/>
        <v>0</v>
      </c>
      <c r="CB325" s="1894">
        <v>211</v>
      </c>
      <c r="CC325" s="1894">
        <v>24.32</v>
      </c>
      <c r="CD325" s="1894">
        <v>168.8</v>
      </c>
      <c r="CE325" s="1894">
        <v>0.999</v>
      </c>
      <c r="CF325" s="1894">
        <v>49.03</v>
      </c>
      <c r="CG325" s="1894">
        <v>8872</v>
      </c>
      <c r="CH325" s="1894">
        <f t="shared" si="128"/>
        <v>10856</v>
      </c>
      <c r="CI325" s="1894">
        <f t="shared" si="129"/>
        <v>0</v>
      </c>
      <c r="CJ325" s="1894">
        <v>211</v>
      </c>
      <c r="CK325" s="1894">
        <v>74.72</v>
      </c>
      <c r="CL325" s="1894">
        <v>168.8</v>
      </c>
      <c r="CM325" s="1894">
        <v>0.99739999999999995</v>
      </c>
      <c r="CN325" s="1894">
        <v>15.69</v>
      </c>
      <c r="CO325" s="1894">
        <v>7876</v>
      </c>
      <c r="CP325" s="1894">
        <f t="shared" si="130"/>
        <v>30127</v>
      </c>
      <c r="CQ325" s="1894">
        <f t="shared" si="131"/>
        <v>0</v>
      </c>
      <c r="CR325" s="1924">
        <v>211</v>
      </c>
      <c r="CS325" s="1924">
        <v>55.2</v>
      </c>
      <c r="CT325" s="1924">
        <v>168.8</v>
      </c>
      <c r="CU325" s="1924">
        <v>0.996</v>
      </c>
      <c r="CV325" s="1924">
        <v>29.31</v>
      </c>
      <c r="CW325" s="1924">
        <v>12036</v>
      </c>
      <c r="CX325" s="1894">
        <f t="shared" si="132"/>
        <v>24641</v>
      </c>
      <c r="CY325" s="1894">
        <f t="shared" si="133"/>
        <v>0</v>
      </c>
    </row>
    <row r="326" spans="1:103">
      <c r="A326" s="982">
        <v>121000000079</v>
      </c>
      <c r="B326" s="1923">
        <f t="shared" si="134"/>
        <v>320</v>
      </c>
      <c r="C326" s="1895" t="s">
        <v>3206</v>
      </c>
      <c r="D326" s="1894" t="s">
        <v>524</v>
      </c>
      <c r="E326" s="1895" t="s">
        <v>541</v>
      </c>
      <c r="F326" s="1894" t="s">
        <v>259</v>
      </c>
      <c r="G326" s="1924">
        <v>211</v>
      </c>
      <c r="H326" s="1894">
        <v>211</v>
      </c>
      <c r="I326" s="1894">
        <v>122.08000000000001</v>
      </c>
      <c r="J326" s="1894">
        <v>168.8</v>
      </c>
      <c r="K326" s="1894">
        <v>0.97699999999999998</v>
      </c>
      <c r="L326" s="1894">
        <v>4.3600000000000003</v>
      </c>
      <c r="M326" s="1894">
        <v>3834</v>
      </c>
      <c r="N326" s="1894">
        <f t="shared" si="112"/>
        <v>52739</v>
      </c>
      <c r="O326" s="1894">
        <f t="shared" si="113"/>
        <v>0</v>
      </c>
      <c r="P326" s="1894">
        <v>211</v>
      </c>
      <c r="Q326" s="1894">
        <v>220.8</v>
      </c>
      <c r="R326" s="1894">
        <v>220.8</v>
      </c>
      <c r="S326" s="1894">
        <v>0.92020000000000002</v>
      </c>
      <c r="T326" s="1894">
        <v>12.7</v>
      </c>
      <c r="U326" s="1894">
        <v>17498</v>
      </c>
      <c r="V326" s="1894">
        <f t="shared" si="114"/>
        <v>98565</v>
      </c>
      <c r="W326" s="1894">
        <f t="shared" si="115"/>
        <v>0</v>
      </c>
      <c r="X326" s="1894">
        <v>211</v>
      </c>
      <c r="Y326" s="1894">
        <v>291.2</v>
      </c>
      <c r="Z326" s="1894">
        <v>291.2</v>
      </c>
      <c r="AA326" s="1894">
        <v>0.77800000000000002</v>
      </c>
      <c r="AB326" s="1894">
        <v>62.3</v>
      </c>
      <c r="AC326" s="1894">
        <v>152394</v>
      </c>
      <c r="AD326" s="1894">
        <f t="shared" si="116"/>
        <v>125798</v>
      </c>
      <c r="AE326" s="1894">
        <f t="shared" si="117"/>
        <v>26596</v>
      </c>
      <c r="AF326" s="1894">
        <v>211</v>
      </c>
      <c r="AG326" s="1894">
        <v>288.32</v>
      </c>
      <c r="AH326" s="1894">
        <v>288.32</v>
      </c>
      <c r="AI326" s="1894">
        <v>0.84040000000000004</v>
      </c>
      <c r="AJ326" s="1894">
        <v>43.87</v>
      </c>
      <c r="AK326" s="1894">
        <v>94106</v>
      </c>
      <c r="AL326" s="1894">
        <f t="shared" si="135"/>
        <v>128706</v>
      </c>
      <c r="AM326" s="1894">
        <f t="shared" si="136"/>
        <v>0</v>
      </c>
      <c r="AN326" s="1894">
        <v>211</v>
      </c>
      <c r="AO326" s="1894">
        <v>280.79999999999995</v>
      </c>
      <c r="AP326" s="1894">
        <v>280.8</v>
      </c>
      <c r="AQ326" s="1894">
        <v>0.90690000000000004</v>
      </c>
      <c r="AR326" s="1894">
        <v>31.19</v>
      </c>
      <c r="AS326" s="1894">
        <v>65160</v>
      </c>
      <c r="AT326" s="1894">
        <f t="shared" si="118"/>
        <v>125349</v>
      </c>
      <c r="AU326" s="1894">
        <f t="shared" si="119"/>
        <v>0</v>
      </c>
      <c r="AV326" s="1894">
        <v>211</v>
      </c>
      <c r="AW326" s="1894">
        <v>259.68</v>
      </c>
      <c r="AX326" s="1894">
        <v>259.68</v>
      </c>
      <c r="AY326" s="1894">
        <v>0.91869999999999996</v>
      </c>
      <c r="AZ326" s="1894">
        <v>28.52</v>
      </c>
      <c r="BA326" s="1894">
        <v>53332</v>
      </c>
      <c r="BB326" s="1894">
        <f t="shared" si="120"/>
        <v>112182</v>
      </c>
      <c r="BC326" s="1894">
        <f t="shared" si="121"/>
        <v>0</v>
      </c>
      <c r="BD326" s="1894">
        <v>211</v>
      </c>
      <c r="BE326" s="1894">
        <v>264.32000000000005</v>
      </c>
      <c r="BF326" s="1894">
        <v>264.32</v>
      </c>
      <c r="BG326" s="1894">
        <v>0.94730000000000003</v>
      </c>
      <c r="BH326" s="1894">
        <v>31.98</v>
      </c>
      <c r="BI326" s="1894">
        <v>62888</v>
      </c>
      <c r="BJ326" s="1894">
        <f t="shared" si="122"/>
        <v>117992</v>
      </c>
      <c r="BK326" s="1894">
        <f t="shared" si="123"/>
        <v>0</v>
      </c>
      <c r="BL326" s="1894">
        <v>211</v>
      </c>
      <c r="BM326" s="1894">
        <v>241.6</v>
      </c>
      <c r="BN326" s="1894">
        <v>241.6</v>
      </c>
      <c r="BO326" s="1894">
        <v>0.93720000000000003</v>
      </c>
      <c r="BP326" s="1894">
        <v>30.97</v>
      </c>
      <c r="BQ326" s="1894">
        <v>53868</v>
      </c>
      <c r="BR326" s="1894">
        <f t="shared" si="124"/>
        <v>104371</v>
      </c>
      <c r="BS326" s="1894">
        <f t="shared" si="125"/>
        <v>0</v>
      </c>
      <c r="BT326" s="1894">
        <v>211</v>
      </c>
      <c r="BU326" s="1894">
        <v>167.2</v>
      </c>
      <c r="BV326" s="1894">
        <v>168.8</v>
      </c>
      <c r="BW326" s="1894">
        <v>0.96740000000000004</v>
      </c>
      <c r="BX326" s="1894">
        <v>32.04</v>
      </c>
      <c r="BY326" s="1894">
        <v>39858</v>
      </c>
      <c r="BZ326" s="1894">
        <f t="shared" si="126"/>
        <v>74638</v>
      </c>
      <c r="CA326" s="1894">
        <f t="shared" si="127"/>
        <v>0</v>
      </c>
      <c r="CB326" s="1894">
        <v>211</v>
      </c>
      <c r="CC326" s="1894">
        <v>174.4</v>
      </c>
      <c r="CD326" s="1894">
        <v>174.4</v>
      </c>
      <c r="CE326" s="1894">
        <v>0.99939999999999996</v>
      </c>
      <c r="CF326" s="1894">
        <v>20.079999999999998</v>
      </c>
      <c r="CG326" s="1894">
        <v>26060</v>
      </c>
      <c r="CH326" s="1894">
        <f t="shared" si="128"/>
        <v>77852</v>
      </c>
      <c r="CI326" s="1894">
        <f t="shared" si="129"/>
        <v>0</v>
      </c>
      <c r="CJ326" s="1894">
        <v>211</v>
      </c>
      <c r="CK326" s="1894">
        <v>176.64</v>
      </c>
      <c r="CL326" s="1894">
        <v>176.64</v>
      </c>
      <c r="CM326" s="1894">
        <v>0.99929999999999997</v>
      </c>
      <c r="CN326" s="1894">
        <v>25.78</v>
      </c>
      <c r="CO326" s="1894">
        <v>30598</v>
      </c>
      <c r="CP326" s="1894">
        <f t="shared" si="130"/>
        <v>71221</v>
      </c>
      <c r="CQ326" s="1894">
        <f t="shared" si="131"/>
        <v>0</v>
      </c>
      <c r="CR326" s="1924">
        <v>211</v>
      </c>
      <c r="CS326" s="1924">
        <v>194.56</v>
      </c>
      <c r="CT326" s="1924">
        <v>194.56</v>
      </c>
      <c r="CU326" s="1924">
        <v>0.99660000000000004</v>
      </c>
      <c r="CV326" s="1924">
        <v>25.34</v>
      </c>
      <c r="CW326" s="1924">
        <v>36682</v>
      </c>
      <c r="CX326" s="1894">
        <f t="shared" si="132"/>
        <v>86852</v>
      </c>
      <c r="CY326" s="1894">
        <f t="shared" si="133"/>
        <v>0</v>
      </c>
    </row>
    <row r="327" spans="1:103">
      <c r="A327" s="982">
        <v>126000000009</v>
      </c>
      <c r="B327" s="1923">
        <f t="shared" si="134"/>
        <v>321</v>
      </c>
      <c r="C327" s="1895" t="s">
        <v>3207</v>
      </c>
      <c r="D327" s="1894" t="s">
        <v>524</v>
      </c>
      <c r="E327" s="1895" t="s">
        <v>541</v>
      </c>
      <c r="F327" s="1894" t="s">
        <v>259</v>
      </c>
      <c r="G327" s="1924">
        <v>211</v>
      </c>
      <c r="H327" s="1894">
        <v>211</v>
      </c>
      <c r="I327" s="1894">
        <v>164.16</v>
      </c>
      <c r="J327" s="1894">
        <v>168.8</v>
      </c>
      <c r="K327" s="1894">
        <v>0.9829</v>
      </c>
      <c r="L327" s="1894">
        <v>42.51</v>
      </c>
      <c r="M327" s="1894">
        <v>48566</v>
      </c>
      <c r="N327" s="1894">
        <f t="shared" ref="N327:N390" si="137">+ROUND((24*30*0.6*I327),0)</f>
        <v>70917</v>
      </c>
      <c r="O327" s="1894">
        <f t="shared" ref="O327:O390" si="138">+MAX((M327-N327),0)</f>
        <v>0</v>
      </c>
      <c r="P327" s="1894">
        <v>211</v>
      </c>
      <c r="Q327" s="1894">
        <v>201</v>
      </c>
      <c r="R327" s="1894">
        <v>201</v>
      </c>
      <c r="S327" s="1894">
        <v>0.93489999999999995</v>
      </c>
      <c r="T327" s="1894">
        <v>37.299999999999997</v>
      </c>
      <c r="U327" s="1894">
        <v>52176</v>
      </c>
      <c r="V327" s="1894">
        <f t="shared" ref="V327:V390" si="139">+ROUND((24*31*0.6*Q327),0)</f>
        <v>89726</v>
      </c>
      <c r="W327" s="1894">
        <f t="shared" ref="W327:W390" si="140">+MAX((U327-V327),0)</f>
        <v>0</v>
      </c>
      <c r="X327" s="1894">
        <v>211</v>
      </c>
      <c r="Y327" s="1894">
        <v>159.47999999999999</v>
      </c>
      <c r="Z327" s="1894">
        <v>168.8</v>
      </c>
      <c r="AA327" s="1894">
        <v>0.98740000000000006</v>
      </c>
      <c r="AB327" s="1894">
        <v>34.58</v>
      </c>
      <c r="AC327" s="1894">
        <v>42352</v>
      </c>
      <c r="AD327" s="1894">
        <f t="shared" ref="AD327:AD390" si="141">+ROUND((24*30*0.6*Y327),0)</f>
        <v>68895</v>
      </c>
      <c r="AE327" s="1894">
        <f t="shared" ref="AE327:AE390" si="142">+MAX((AC327-AD327),0)</f>
        <v>0</v>
      </c>
      <c r="AF327" s="1894">
        <v>211</v>
      </c>
      <c r="AG327" s="1894">
        <v>151.91999999999999</v>
      </c>
      <c r="AH327" s="1894">
        <v>168.8</v>
      </c>
      <c r="AI327" s="1894">
        <v>0.99129999999999996</v>
      </c>
      <c r="AJ327" s="1894">
        <v>36.17</v>
      </c>
      <c r="AK327" s="1894">
        <v>43521</v>
      </c>
      <c r="AL327" s="1894">
        <f t="shared" si="135"/>
        <v>67817</v>
      </c>
      <c r="AM327" s="1894">
        <f t="shared" si="136"/>
        <v>0</v>
      </c>
      <c r="AN327" s="1894">
        <v>211</v>
      </c>
      <c r="AO327" s="1894">
        <v>115.92</v>
      </c>
      <c r="AP327" s="1894">
        <v>168.8</v>
      </c>
      <c r="AQ327" s="1894">
        <v>0.98939999999999995</v>
      </c>
      <c r="AR327" s="1894">
        <v>42.78</v>
      </c>
      <c r="AS327" s="1894">
        <v>36895</v>
      </c>
      <c r="AT327" s="1894">
        <f t="shared" ref="AT327:AT390" si="143">+ROUND((24*31*0.6*AO327),0)</f>
        <v>51747</v>
      </c>
      <c r="AU327" s="1894">
        <f t="shared" ref="AU327:AU390" si="144">+MAX((AS327-AT327),0)</f>
        <v>0</v>
      </c>
      <c r="AV327" s="1894">
        <v>211</v>
      </c>
      <c r="AW327" s="1894">
        <v>161.4</v>
      </c>
      <c r="AX327" s="1894">
        <v>168.8</v>
      </c>
      <c r="AY327" s="1894">
        <v>0.97840000000000005</v>
      </c>
      <c r="AZ327" s="1894">
        <v>16.649999999999999</v>
      </c>
      <c r="BA327" s="1894">
        <v>19350</v>
      </c>
      <c r="BB327" s="1894">
        <f t="shared" ref="BB327:BB390" si="145">+ROUND((24*30*0.6*AW327),0)</f>
        <v>69725</v>
      </c>
      <c r="BC327" s="1894">
        <f t="shared" ref="BC327:BC390" si="146">+MAX((BA327-BB327),0)</f>
        <v>0</v>
      </c>
      <c r="BD327" s="1894">
        <v>211</v>
      </c>
      <c r="BE327" s="1894">
        <v>204.72</v>
      </c>
      <c r="BF327" s="1894">
        <v>204.72</v>
      </c>
      <c r="BG327" s="1894">
        <v>0.95250000000000001</v>
      </c>
      <c r="BH327" s="1894">
        <v>8.1999999999999993</v>
      </c>
      <c r="BI327" s="1894">
        <v>12488</v>
      </c>
      <c r="BJ327" s="1894">
        <f t="shared" ref="BJ327:BJ390" si="147">+ROUND((24*31*0.6*BE327),0)</f>
        <v>91387</v>
      </c>
      <c r="BK327" s="1894">
        <f t="shared" ref="BK327:BK390" si="148">+MAX((BI327-BJ327),0)</f>
        <v>0</v>
      </c>
      <c r="BL327" s="1894">
        <v>211</v>
      </c>
      <c r="BM327" s="1894">
        <v>181.08</v>
      </c>
      <c r="BN327" s="1894">
        <v>181.08</v>
      </c>
      <c r="BO327" s="1894">
        <v>0.88629999999999998</v>
      </c>
      <c r="BP327" s="1894">
        <v>4.41</v>
      </c>
      <c r="BQ327" s="1894">
        <v>5747</v>
      </c>
      <c r="BR327" s="1894">
        <f t="shared" ref="BR327:BR390" si="149">+ROUND((24*30*0.6*BM327),0)</f>
        <v>78227</v>
      </c>
      <c r="BS327" s="1894">
        <f t="shared" ref="BS327:BS390" si="150">+MAX((BQ327-BR327),0)</f>
        <v>0</v>
      </c>
      <c r="BT327" s="1894">
        <v>211</v>
      </c>
      <c r="BU327" s="1894">
        <v>190.8</v>
      </c>
      <c r="BV327" s="1894">
        <v>190.8</v>
      </c>
      <c r="BW327" s="1894">
        <v>0.97689999999999999</v>
      </c>
      <c r="BX327" s="1894">
        <v>25.69</v>
      </c>
      <c r="BY327" s="1894">
        <v>36470</v>
      </c>
      <c r="BZ327" s="1894">
        <f t="shared" ref="BZ327:BZ390" si="151">+ROUND((24*31*0.6*BU327),0)</f>
        <v>85173</v>
      </c>
      <c r="CA327" s="1894">
        <f t="shared" ref="CA327:CA390" si="152">+MAX((BY327-BZ327),0)</f>
        <v>0</v>
      </c>
      <c r="CB327" s="1894">
        <v>211</v>
      </c>
      <c r="CC327" s="1894">
        <v>188.28</v>
      </c>
      <c r="CD327" s="1894">
        <v>188.28</v>
      </c>
      <c r="CE327" s="1894">
        <v>0.9708</v>
      </c>
      <c r="CF327" s="1894">
        <v>35.17</v>
      </c>
      <c r="CG327" s="1894">
        <v>49266</v>
      </c>
      <c r="CH327" s="1894">
        <f t="shared" ref="CH327:CH390" si="153">+ROUND((24*31*0.6*CC327),0)</f>
        <v>84048</v>
      </c>
      <c r="CI327" s="1894">
        <f t="shared" ref="CI327:CI390" si="154">+MAX((CG327-CH327),0)</f>
        <v>0</v>
      </c>
      <c r="CJ327" s="1894">
        <v>211</v>
      </c>
      <c r="CK327" s="1894">
        <v>178.68</v>
      </c>
      <c r="CL327" s="1894">
        <v>178.68</v>
      </c>
      <c r="CM327" s="1894">
        <v>0.94020000000000004</v>
      </c>
      <c r="CN327" s="1894">
        <v>42.94</v>
      </c>
      <c r="CO327" s="1894">
        <v>51555</v>
      </c>
      <c r="CP327" s="1894">
        <f t="shared" ref="CP327:CP390" si="155">+ROUND((24*28*0.6*CK327),0)</f>
        <v>72044</v>
      </c>
      <c r="CQ327" s="1894">
        <f t="shared" ref="CQ327:CQ390" si="156">+MAX((CO327-CP327),0)</f>
        <v>0</v>
      </c>
      <c r="CR327" s="1924">
        <v>211</v>
      </c>
      <c r="CS327" s="1924">
        <v>159.47999999999999</v>
      </c>
      <c r="CT327" s="1924">
        <v>168.8</v>
      </c>
      <c r="CU327" s="1924">
        <v>0.97970000000000002</v>
      </c>
      <c r="CV327" s="1924">
        <v>46.29</v>
      </c>
      <c r="CW327" s="1924">
        <v>54927</v>
      </c>
      <c r="CX327" s="1894">
        <f t="shared" ref="CX327:CX390" si="157">+ROUND((24*31*0.6*CS327),0)</f>
        <v>71192</v>
      </c>
      <c r="CY327" s="1894">
        <f t="shared" ref="CY327:CY390" si="158">+MAX((CW327-CX327),0)</f>
        <v>0</v>
      </c>
    </row>
    <row r="328" spans="1:103">
      <c r="A328" s="982">
        <v>121000000062</v>
      </c>
      <c r="B328" s="1923">
        <f t="shared" ref="B328:B391" si="159">+B327+1</f>
        <v>322</v>
      </c>
      <c r="C328" s="1895" t="s">
        <v>3208</v>
      </c>
      <c r="D328" s="1894" t="s">
        <v>524</v>
      </c>
      <c r="E328" s="1895" t="s">
        <v>2966</v>
      </c>
      <c r="F328" s="1894" t="s">
        <v>259</v>
      </c>
      <c r="G328" s="1924">
        <v>212</v>
      </c>
      <c r="H328" s="1894">
        <v>212</v>
      </c>
      <c r="I328" s="1894">
        <v>28.64</v>
      </c>
      <c r="J328" s="1894">
        <v>212</v>
      </c>
      <c r="K328" s="1894">
        <v>0.78390000000000004</v>
      </c>
      <c r="L328" s="1894">
        <v>0</v>
      </c>
      <c r="M328" s="1894">
        <v>3694</v>
      </c>
      <c r="N328" s="1894">
        <f t="shared" si="137"/>
        <v>12372</v>
      </c>
      <c r="O328" s="1894">
        <f t="shared" si="138"/>
        <v>0</v>
      </c>
      <c r="P328" s="1894">
        <v>212</v>
      </c>
      <c r="Q328" s="1894">
        <v>13.28</v>
      </c>
      <c r="R328" s="1894">
        <v>212</v>
      </c>
      <c r="S328" s="1894">
        <v>0.82420000000000004</v>
      </c>
      <c r="T328" s="1894">
        <v>0</v>
      </c>
      <c r="U328" s="1894">
        <v>1172</v>
      </c>
      <c r="V328" s="1894">
        <f t="shared" si="139"/>
        <v>5928</v>
      </c>
      <c r="W328" s="1894">
        <f t="shared" si="140"/>
        <v>0</v>
      </c>
      <c r="X328" s="1894">
        <v>212</v>
      </c>
      <c r="Y328" s="1894">
        <v>12.959999999999999</v>
      </c>
      <c r="Z328" s="1894">
        <v>212</v>
      </c>
      <c r="AA328" s="1894">
        <v>0.86819999999999997</v>
      </c>
      <c r="AB328" s="1894">
        <v>0</v>
      </c>
      <c r="AC328" s="1894">
        <v>744</v>
      </c>
      <c r="AD328" s="1894">
        <f t="shared" si="141"/>
        <v>5599</v>
      </c>
      <c r="AE328" s="1894">
        <f t="shared" si="142"/>
        <v>0</v>
      </c>
      <c r="AF328" s="1894">
        <v>212</v>
      </c>
      <c r="AG328" s="1894">
        <v>17.440000000000001</v>
      </c>
      <c r="AH328" s="1894">
        <v>212</v>
      </c>
      <c r="AI328" s="1894">
        <v>0.875</v>
      </c>
      <c r="AJ328" s="1894">
        <v>0</v>
      </c>
      <c r="AK328" s="1894">
        <v>1088</v>
      </c>
      <c r="AL328" s="1894">
        <f t="shared" si="135"/>
        <v>7785</v>
      </c>
      <c r="AM328" s="1894">
        <f t="shared" si="136"/>
        <v>0</v>
      </c>
      <c r="AN328" s="1894">
        <v>212</v>
      </c>
      <c r="AO328" s="1894">
        <v>22.720000000000002</v>
      </c>
      <c r="AP328" s="1894">
        <v>212</v>
      </c>
      <c r="AQ328" s="1894">
        <v>0.74760000000000004</v>
      </c>
      <c r="AR328" s="1894">
        <v>0</v>
      </c>
      <c r="AS328" s="1894">
        <v>2362</v>
      </c>
      <c r="AT328" s="1894">
        <f t="shared" si="143"/>
        <v>10142</v>
      </c>
      <c r="AU328" s="1894">
        <f t="shared" si="144"/>
        <v>0</v>
      </c>
      <c r="AV328" s="1894">
        <v>212</v>
      </c>
      <c r="AW328" s="1894">
        <v>44.96</v>
      </c>
      <c r="AX328" s="1894">
        <v>212</v>
      </c>
      <c r="AY328" s="1894">
        <v>0.77839999999999998</v>
      </c>
      <c r="AZ328" s="1894">
        <v>0</v>
      </c>
      <c r="BA328" s="1894">
        <v>2708</v>
      </c>
      <c r="BB328" s="1894">
        <f t="shared" si="145"/>
        <v>19423</v>
      </c>
      <c r="BC328" s="1894">
        <f t="shared" si="146"/>
        <v>0</v>
      </c>
      <c r="BD328" s="1894">
        <v>212</v>
      </c>
      <c r="BE328" s="1894">
        <v>23.84</v>
      </c>
      <c r="BF328" s="1894">
        <v>212</v>
      </c>
      <c r="BG328" s="1894">
        <v>0.76549999999999996</v>
      </c>
      <c r="BH328" s="1894">
        <v>0</v>
      </c>
      <c r="BI328" s="1894">
        <v>4410</v>
      </c>
      <c r="BJ328" s="1894">
        <f t="shared" si="147"/>
        <v>10642</v>
      </c>
      <c r="BK328" s="1894">
        <f t="shared" si="148"/>
        <v>0</v>
      </c>
      <c r="BL328" s="1894">
        <v>212</v>
      </c>
      <c r="BM328" s="1894">
        <v>7.68</v>
      </c>
      <c r="BN328" s="1894">
        <v>212</v>
      </c>
      <c r="BO328" s="1894">
        <v>0.28149999999999997</v>
      </c>
      <c r="BP328" s="1894">
        <v>0</v>
      </c>
      <c r="BQ328" s="1894">
        <v>2486</v>
      </c>
      <c r="BR328" s="1894">
        <f t="shared" si="149"/>
        <v>3318</v>
      </c>
      <c r="BS328" s="1894">
        <f t="shared" si="150"/>
        <v>0</v>
      </c>
      <c r="BT328" s="1894">
        <v>212</v>
      </c>
      <c r="BU328" s="1894">
        <v>7.84</v>
      </c>
      <c r="BV328" s="1894">
        <v>212</v>
      </c>
      <c r="BW328" s="1894">
        <v>0.29380000000000001</v>
      </c>
      <c r="BX328" s="1894">
        <v>0</v>
      </c>
      <c r="BY328" s="1894">
        <v>2784</v>
      </c>
      <c r="BZ328" s="1894">
        <f t="shared" si="151"/>
        <v>3500</v>
      </c>
      <c r="CA328" s="1894">
        <f t="shared" si="152"/>
        <v>0</v>
      </c>
      <c r="CB328" s="1894">
        <v>212</v>
      </c>
      <c r="CC328" s="1894">
        <v>5.6000000000000005</v>
      </c>
      <c r="CD328" s="1894">
        <v>212</v>
      </c>
      <c r="CE328" s="1894">
        <v>0.26700000000000002</v>
      </c>
      <c r="CF328" s="1894">
        <v>0</v>
      </c>
      <c r="CG328" s="1894">
        <v>1790</v>
      </c>
      <c r="CH328" s="1894">
        <f t="shared" si="153"/>
        <v>2500</v>
      </c>
      <c r="CI328" s="1894">
        <f t="shared" si="154"/>
        <v>0</v>
      </c>
      <c r="CJ328" s="1894">
        <v>212</v>
      </c>
      <c r="CK328" s="1894">
        <v>16.8</v>
      </c>
      <c r="CL328" s="1894">
        <v>212</v>
      </c>
      <c r="CM328" s="1894">
        <v>0.54530000000000001</v>
      </c>
      <c r="CN328" s="1894">
        <v>0</v>
      </c>
      <c r="CO328" s="1894">
        <v>2138</v>
      </c>
      <c r="CP328" s="1894">
        <f t="shared" si="155"/>
        <v>6774</v>
      </c>
      <c r="CQ328" s="1894">
        <f t="shared" si="156"/>
        <v>0</v>
      </c>
      <c r="CR328" s="1924">
        <v>212</v>
      </c>
      <c r="CS328" s="1924">
        <v>4.32</v>
      </c>
      <c r="CT328" s="1924">
        <v>212</v>
      </c>
      <c r="CU328" s="1924">
        <v>0.748</v>
      </c>
      <c r="CV328" s="1924">
        <v>0</v>
      </c>
      <c r="CW328" s="1924">
        <v>1008</v>
      </c>
      <c r="CX328" s="1894">
        <f t="shared" si="157"/>
        <v>1928</v>
      </c>
      <c r="CY328" s="1894">
        <f t="shared" si="158"/>
        <v>0</v>
      </c>
    </row>
    <row r="329" spans="1:103">
      <c r="A329" s="982">
        <v>621000000053</v>
      </c>
      <c r="B329" s="1923">
        <f t="shared" si="159"/>
        <v>323</v>
      </c>
      <c r="C329" s="1895" t="s">
        <v>2932</v>
      </c>
      <c r="D329" s="1894" t="s">
        <v>524</v>
      </c>
      <c r="E329" s="1895" t="s">
        <v>636</v>
      </c>
      <c r="F329" s="1894" t="s">
        <v>259</v>
      </c>
      <c r="G329" s="1924">
        <v>213</v>
      </c>
      <c r="H329" s="1894">
        <v>213</v>
      </c>
      <c r="I329" s="1894">
        <v>56</v>
      </c>
      <c r="J329" s="1894">
        <v>170.4</v>
      </c>
      <c r="K329" s="1894">
        <v>0.9</v>
      </c>
      <c r="L329" s="1894">
        <v>111</v>
      </c>
      <c r="M329" s="1894">
        <v>44757</v>
      </c>
      <c r="N329" s="1894">
        <f t="shared" si="137"/>
        <v>24192</v>
      </c>
      <c r="O329" s="1894">
        <f t="shared" si="138"/>
        <v>20565</v>
      </c>
      <c r="P329" s="1894">
        <v>213</v>
      </c>
      <c r="Q329" s="1894">
        <v>57</v>
      </c>
      <c r="R329" s="1894">
        <v>170.4</v>
      </c>
      <c r="S329" s="1894">
        <v>0.9</v>
      </c>
      <c r="T329" s="1894">
        <v>111.23</v>
      </c>
      <c r="U329" s="1894">
        <v>47172</v>
      </c>
      <c r="V329" s="1894">
        <f t="shared" si="139"/>
        <v>25445</v>
      </c>
      <c r="W329" s="1894">
        <f t="shared" si="140"/>
        <v>21727</v>
      </c>
      <c r="X329" s="1894">
        <v>213</v>
      </c>
      <c r="Y329" s="1894">
        <v>55</v>
      </c>
      <c r="Z329" s="1894">
        <v>170.4</v>
      </c>
      <c r="AA329" s="1894">
        <v>0.9</v>
      </c>
      <c r="AB329" s="1894">
        <v>110.86</v>
      </c>
      <c r="AC329" s="1894">
        <v>43901</v>
      </c>
      <c r="AD329" s="1894">
        <f t="shared" si="141"/>
        <v>23760</v>
      </c>
      <c r="AE329" s="1894">
        <f t="shared" si="142"/>
        <v>20141</v>
      </c>
      <c r="AF329" s="1894">
        <v>213</v>
      </c>
      <c r="AG329" s="1894">
        <v>40</v>
      </c>
      <c r="AH329" s="1894">
        <v>170.4</v>
      </c>
      <c r="AI329" s="1894">
        <v>0.9</v>
      </c>
      <c r="AJ329" s="1894">
        <v>109.87</v>
      </c>
      <c r="AK329" s="1894">
        <v>32697</v>
      </c>
      <c r="AL329" s="1894">
        <f t="shared" si="135"/>
        <v>17856</v>
      </c>
      <c r="AM329" s="1894">
        <f t="shared" si="136"/>
        <v>14841</v>
      </c>
      <c r="AN329" s="1894">
        <v>213</v>
      </c>
      <c r="AO329" s="1894">
        <v>46</v>
      </c>
      <c r="AP329" s="1894">
        <v>170.4</v>
      </c>
      <c r="AQ329" s="1894">
        <v>0.9</v>
      </c>
      <c r="AR329" s="1894">
        <v>111.02</v>
      </c>
      <c r="AS329" s="1894">
        <v>37996</v>
      </c>
      <c r="AT329" s="1894">
        <f t="shared" si="143"/>
        <v>20534</v>
      </c>
      <c r="AU329" s="1894">
        <f t="shared" si="144"/>
        <v>17462</v>
      </c>
      <c r="AV329" s="1894">
        <v>213</v>
      </c>
      <c r="AW329" s="1894">
        <v>44</v>
      </c>
      <c r="AX329" s="1894">
        <v>170.4</v>
      </c>
      <c r="AY329" s="1894">
        <v>0.9</v>
      </c>
      <c r="AZ329" s="1894">
        <v>110.51</v>
      </c>
      <c r="BA329" s="1894">
        <v>35011</v>
      </c>
      <c r="BB329" s="1894">
        <f t="shared" si="145"/>
        <v>19008</v>
      </c>
      <c r="BC329" s="1894">
        <f t="shared" si="146"/>
        <v>16003</v>
      </c>
      <c r="BD329" s="1894">
        <v>213</v>
      </c>
      <c r="BE329" s="1894">
        <v>37</v>
      </c>
      <c r="BF329" s="1894">
        <v>170.4</v>
      </c>
      <c r="BG329" s="1894">
        <v>0.9</v>
      </c>
      <c r="BH329" s="1894">
        <v>110.81</v>
      </c>
      <c r="BI329" s="1894">
        <v>30504</v>
      </c>
      <c r="BJ329" s="1894">
        <f t="shared" si="147"/>
        <v>16517</v>
      </c>
      <c r="BK329" s="1894">
        <f t="shared" si="148"/>
        <v>13987</v>
      </c>
      <c r="BL329" s="1894">
        <v>213</v>
      </c>
      <c r="BM329" s="1894">
        <v>37</v>
      </c>
      <c r="BN329" s="1894">
        <v>170.4</v>
      </c>
      <c r="BO329" s="1894">
        <v>0.9</v>
      </c>
      <c r="BP329" s="1894">
        <v>110.18</v>
      </c>
      <c r="BQ329" s="1894">
        <v>29351</v>
      </c>
      <c r="BR329" s="1894">
        <f t="shared" si="149"/>
        <v>15984</v>
      </c>
      <c r="BS329" s="1894">
        <f t="shared" si="150"/>
        <v>13367</v>
      </c>
      <c r="BT329" s="1894">
        <v>213</v>
      </c>
      <c r="BU329" s="1894">
        <v>32</v>
      </c>
      <c r="BV329" s="1894">
        <v>170.4</v>
      </c>
      <c r="BW329" s="1894">
        <v>0.9</v>
      </c>
      <c r="BX329" s="1894">
        <v>109.79</v>
      </c>
      <c r="BY329" s="1894">
        <v>26138</v>
      </c>
      <c r="BZ329" s="1894">
        <f t="shared" si="151"/>
        <v>14285</v>
      </c>
      <c r="CA329" s="1894">
        <f t="shared" si="152"/>
        <v>11853</v>
      </c>
      <c r="CB329" s="1894">
        <v>213</v>
      </c>
      <c r="CC329" s="1894">
        <v>63.386399999999995</v>
      </c>
      <c r="CD329" s="1894">
        <v>170.4</v>
      </c>
      <c r="CE329" s="1894">
        <v>0.94210000000000005</v>
      </c>
      <c r="CF329" s="1894">
        <v>65.760000000000005</v>
      </c>
      <c r="CG329" s="1894">
        <v>31012</v>
      </c>
      <c r="CH329" s="1894">
        <f t="shared" si="153"/>
        <v>28296</v>
      </c>
      <c r="CI329" s="1894">
        <f t="shared" si="154"/>
        <v>2716</v>
      </c>
      <c r="CJ329" s="1894">
        <v>213</v>
      </c>
      <c r="CK329" s="1894">
        <v>69.045900000000003</v>
      </c>
      <c r="CL329" s="1894">
        <v>170.4</v>
      </c>
      <c r="CM329" s="1894">
        <v>0.92569999999999997</v>
      </c>
      <c r="CN329" s="1894">
        <v>63.11</v>
      </c>
      <c r="CO329" s="1894">
        <v>29282</v>
      </c>
      <c r="CP329" s="1894">
        <f t="shared" si="155"/>
        <v>27839</v>
      </c>
      <c r="CQ329" s="1894">
        <f t="shared" si="156"/>
        <v>1443</v>
      </c>
      <c r="CR329" s="1924">
        <v>213</v>
      </c>
      <c r="CS329" s="1924">
        <v>77.346500000000006</v>
      </c>
      <c r="CT329" s="1924">
        <v>170.4</v>
      </c>
      <c r="CU329" s="1924">
        <v>0.92630000000000001</v>
      </c>
      <c r="CV329" s="1924">
        <v>62.09</v>
      </c>
      <c r="CW329" s="1924">
        <v>35732</v>
      </c>
      <c r="CX329" s="1894">
        <f t="shared" si="157"/>
        <v>34527</v>
      </c>
      <c r="CY329" s="1894">
        <f t="shared" si="158"/>
        <v>1205</v>
      </c>
    </row>
    <row r="330" spans="1:103">
      <c r="A330" s="982">
        <v>121000000067</v>
      </c>
      <c r="B330" s="1923">
        <f t="shared" si="159"/>
        <v>324</v>
      </c>
      <c r="C330" s="1895" t="s">
        <v>3209</v>
      </c>
      <c r="D330" s="1894" t="s">
        <v>524</v>
      </c>
      <c r="E330" s="1895" t="s">
        <v>2966</v>
      </c>
      <c r="F330" s="1894" t="s">
        <v>259</v>
      </c>
      <c r="G330" s="1924">
        <v>217</v>
      </c>
      <c r="H330" s="1894">
        <v>217</v>
      </c>
      <c r="I330" s="1894">
        <v>245.76</v>
      </c>
      <c r="J330" s="1894">
        <v>245.76</v>
      </c>
      <c r="K330" s="1894">
        <v>0.78420000000000001</v>
      </c>
      <c r="L330" s="1894">
        <v>0</v>
      </c>
      <c r="M330" s="1894">
        <v>56916</v>
      </c>
      <c r="N330" s="1894">
        <f t="shared" si="137"/>
        <v>106168</v>
      </c>
      <c r="O330" s="1894">
        <f t="shared" si="138"/>
        <v>0</v>
      </c>
      <c r="P330" s="1894">
        <v>217</v>
      </c>
      <c r="Q330" s="1894">
        <v>293.60000000000002</v>
      </c>
      <c r="R330" s="1894">
        <v>293.60000000000002</v>
      </c>
      <c r="S330" s="1894">
        <v>0.75019999999999998</v>
      </c>
      <c r="T330" s="1894">
        <v>0</v>
      </c>
      <c r="U330" s="1894">
        <v>61672</v>
      </c>
      <c r="V330" s="1894">
        <f t="shared" si="139"/>
        <v>131063</v>
      </c>
      <c r="W330" s="1894">
        <f t="shared" si="140"/>
        <v>0</v>
      </c>
      <c r="X330" s="1894">
        <v>217</v>
      </c>
      <c r="Y330" s="1894">
        <v>233.6</v>
      </c>
      <c r="Z330" s="1894">
        <v>233.6</v>
      </c>
      <c r="AA330" s="1894">
        <v>0.76249999999999996</v>
      </c>
      <c r="AB330" s="1894">
        <v>0</v>
      </c>
      <c r="AC330" s="1894">
        <v>31844</v>
      </c>
      <c r="AD330" s="1894">
        <f t="shared" si="141"/>
        <v>100915</v>
      </c>
      <c r="AE330" s="1894">
        <f t="shared" si="142"/>
        <v>0</v>
      </c>
      <c r="AF330" s="1894">
        <v>217</v>
      </c>
      <c r="AG330" s="1894">
        <v>105.76</v>
      </c>
      <c r="AH330" s="1894">
        <v>217</v>
      </c>
      <c r="AI330" s="1894">
        <v>0.76549999999999996</v>
      </c>
      <c r="AJ330" s="1894">
        <v>0</v>
      </c>
      <c r="AK330" s="1894">
        <v>12010</v>
      </c>
      <c r="AL330" s="1894">
        <f t="shared" si="135"/>
        <v>47211</v>
      </c>
      <c r="AM330" s="1894">
        <f t="shared" si="136"/>
        <v>0</v>
      </c>
      <c r="AN330" s="1894">
        <v>217</v>
      </c>
      <c r="AO330" s="1894">
        <v>154.24</v>
      </c>
      <c r="AP330" s="1894">
        <v>217</v>
      </c>
      <c r="AQ330" s="1894">
        <v>0.71220000000000006</v>
      </c>
      <c r="AR330" s="1894">
        <v>0</v>
      </c>
      <c r="AS330" s="1894">
        <v>33214</v>
      </c>
      <c r="AT330" s="1894">
        <f t="shared" si="143"/>
        <v>68853</v>
      </c>
      <c r="AU330" s="1894">
        <f t="shared" si="144"/>
        <v>0</v>
      </c>
      <c r="AV330" s="1894">
        <v>217</v>
      </c>
      <c r="AW330" s="1894">
        <v>166.08</v>
      </c>
      <c r="AX330" s="1894">
        <v>217</v>
      </c>
      <c r="AY330" s="1894">
        <v>0.70340000000000003</v>
      </c>
      <c r="AZ330" s="1894">
        <v>0</v>
      </c>
      <c r="BA330" s="1894">
        <v>32922</v>
      </c>
      <c r="BB330" s="1894">
        <f t="shared" si="145"/>
        <v>71747</v>
      </c>
      <c r="BC330" s="1894">
        <f t="shared" si="146"/>
        <v>0</v>
      </c>
      <c r="BD330" s="1894">
        <v>217</v>
      </c>
      <c r="BE330" s="1894">
        <v>44</v>
      </c>
      <c r="BF330" s="1894">
        <v>217</v>
      </c>
      <c r="BG330" s="1894">
        <v>0.4819</v>
      </c>
      <c r="BH330" s="1894">
        <v>0</v>
      </c>
      <c r="BI330" s="1894">
        <v>11644</v>
      </c>
      <c r="BJ330" s="1894">
        <f t="shared" si="147"/>
        <v>19642</v>
      </c>
      <c r="BK330" s="1894">
        <f t="shared" si="148"/>
        <v>0</v>
      </c>
      <c r="BL330" s="1894">
        <v>217</v>
      </c>
      <c r="BM330" s="1894">
        <v>12.32</v>
      </c>
      <c r="BN330" s="1894">
        <v>217</v>
      </c>
      <c r="BO330" s="1894">
        <v>0.23649999999999999</v>
      </c>
      <c r="BP330" s="1894">
        <v>0</v>
      </c>
      <c r="BQ330" s="1894">
        <v>186</v>
      </c>
      <c r="BR330" s="1894">
        <f t="shared" si="149"/>
        <v>5322</v>
      </c>
      <c r="BS330" s="1894">
        <f t="shared" si="150"/>
        <v>0</v>
      </c>
      <c r="BT330" s="1894">
        <v>217</v>
      </c>
      <c r="BU330" s="1894">
        <v>0.16</v>
      </c>
      <c r="BV330" s="1894">
        <v>217</v>
      </c>
      <c r="BW330" s="1894">
        <v>1</v>
      </c>
      <c r="BX330" s="1894">
        <v>0</v>
      </c>
      <c r="BY330" s="1894">
        <v>22</v>
      </c>
      <c r="BZ330" s="1894">
        <f t="shared" si="151"/>
        <v>71</v>
      </c>
      <c r="CA330" s="1894">
        <f t="shared" si="152"/>
        <v>0</v>
      </c>
      <c r="CB330" s="1894">
        <v>217</v>
      </c>
      <c r="CC330" s="1894">
        <v>110.55999999999999</v>
      </c>
      <c r="CD330" s="1894">
        <v>217</v>
      </c>
      <c r="CE330" s="1894">
        <v>0.75690000000000002</v>
      </c>
      <c r="CF330" s="1894">
        <v>0</v>
      </c>
      <c r="CG330" s="1894">
        <v>23094</v>
      </c>
      <c r="CH330" s="1894">
        <f t="shared" si="153"/>
        <v>49354</v>
      </c>
      <c r="CI330" s="1894">
        <f t="shared" si="154"/>
        <v>0</v>
      </c>
      <c r="CJ330" s="1894">
        <v>217</v>
      </c>
      <c r="CK330" s="1894">
        <v>159.04</v>
      </c>
      <c r="CL330" s="1894">
        <v>217</v>
      </c>
      <c r="CM330" s="1894">
        <v>0.62760000000000005</v>
      </c>
      <c r="CN330" s="1894">
        <v>0</v>
      </c>
      <c r="CO330" s="1894">
        <v>17070</v>
      </c>
      <c r="CP330" s="1894">
        <f t="shared" si="155"/>
        <v>64125</v>
      </c>
      <c r="CQ330" s="1894">
        <f t="shared" si="156"/>
        <v>0</v>
      </c>
      <c r="CR330" s="1924">
        <v>217</v>
      </c>
      <c r="CS330" s="1924">
        <v>181.28</v>
      </c>
      <c r="CT330" s="1924">
        <v>217</v>
      </c>
      <c r="CU330" s="1924">
        <v>0.68430000000000002</v>
      </c>
      <c r="CV330" s="1924">
        <v>0</v>
      </c>
      <c r="CW330" s="1924">
        <v>28170</v>
      </c>
      <c r="CX330" s="1894">
        <f t="shared" si="157"/>
        <v>80923</v>
      </c>
      <c r="CY330" s="1894">
        <f t="shared" si="158"/>
        <v>0</v>
      </c>
    </row>
    <row r="331" spans="1:103">
      <c r="A331" s="982">
        <v>125000000033</v>
      </c>
      <c r="B331" s="1923">
        <f t="shared" si="159"/>
        <v>325</v>
      </c>
      <c r="C331" s="1895" t="s">
        <v>3210</v>
      </c>
      <c r="D331" s="1894" t="s">
        <v>524</v>
      </c>
      <c r="E331" s="1895" t="s">
        <v>737</v>
      </c>
      <c r="F331" s="1894" t="s">
        <v>259</v>
      </c>
      <c r="G331" s="1924">
        <v>217</v>
      </c>
      <c r="H331" s="1894">
        <v>217</v>
      </c>
      <c r="I331" s="1894">
        <v>64</v>
      </c>
      <c r="J331" s="1894">
        <v>173.6</v>
      </c>
      <c r="K331" s="1894">
        <v>0.98450000000000004</v>
      </c>
      <c r="L331" s="1894">
        <v>40.869999999999997</v>
      </c>
      <c r="M331" s="1894">
        <v>17576</v>
      </c>
      <c r="N331" s="1894">
        <f t="shared" si="137"/>
        <v>27648</v>
      </c>
      <c r="O331" s="1894">
        <f t="shared" si="138"/>
        <v>0</v>
      </c>
      <c r="P331" s="1894">
        <v>217</v>
      </c>
      <c r="Q331" s="1894">
        <v>60</v>
      </c>
      <c r="R331" s="1894">
        <v>173.6</v>
      </c>
      <c r="S331" s="1894">
        <v>0.98440000000000005</v>
      </c>
      <c r="T331" s="1894">
        <v>39.29</v>
      </c>
      <c r="U331" s="1894">
        <v>16972</v>
      </c>
      <c r="V331" s="1894">
        <f t="shared" si="139"/>
        <v>26784</v>
      </c>
      <c r="W331" s="1894">
        <f t="shared" si="140"/>
        <v>0</v>
      </c>
      <c r="X331" s="1894">
        <v>217</v>
      </c>
      <c r="Y331" s="1894">
        <v>69.28</v>
      </c>
      <c r="Z331" s="1894">
        <v>173.6</v>
      </c>
      <c r="AA331" s="1894">
        <v>0.98280000000000001</v>
      </c>
      <c r="AB331" s="1894">
        <v>34.39</v>
      </c>
      <c r="AC331" s="1894">
        <v>17724</v>
      </c>
      <c r="AD331" s="1894">
        <f t="shared" si="141"/>
        <v>29929</v>
      </c>
      <c r="AE331" s="1894">
        <f t="shared" si="142"/>
        <v>0</v>
      </c>
      <c r="AF331" s="1894">
        <v>217</v>
      </c>
      <c r="AG331" s="1894">
        <v>68.16</v>
      </c>
      <c r="AH331" s="1894">
        <v>173.6</v>
      </c>
      <c r="AI331" s="1894">
        <v>0.97650000000000003</v>
      </c>
      <c r="AJ331" s="1894">
        <v>31.95</v>
      </c>
      <c r="AK331" s="1894">
        <v>15158</v>
      </c>
      <c r="AL331" s="1894">
        <f t="shared" si="135"/>
        <v>30427</v>
      </c>
      <c r="AM331" s="1894">
        <f t="shared" si="136"/>
        <v>0</v>
      </c>
      <c r="AN331" s="1894">
        <v>217</v>
      </c>
      <c r="AO331" s="1894">
        <v>60.319999999999993</v>
      </c>
      <c r="AP331" s="1894">
        <v>173.6</v>
      </c>
      <c r="AQ331" s="1894">
        <v>0.97399999999999998</v>
      </c>
      <c r="AR331" s="1894">
        <v>35.82</v>
      </c>
      <c r="AS331" s="1894">
        <v>16592</v>
      </c>
      <c r="AT331" s="1894">
        <f t="shared" si="143"/>
        <v>26927</v>
      </c>
      <c r="AU331" s="1894">
        <f t="shared" si="144"/>
        <v>0</v>
      </c>
      <c r="AV331" s="1894">
        <v>217</v>
      </c>
      <c r="AW331" s="1894">
        <v>53.44</v>
      </c>
      <c r="AX331" s="1894">
        <v>173.6</v>
      </c>
      <c r="AY331" s="1894">
        <v>0.97060000000000002</v>
      </c>
      <c r="AZ331" s="1894">
        <v>40.159999999999997</v>
      </c>
      <c r="BA331" s="1894">
        <v>14938</v>
      </c>
      <c r="BB331" s="1894">
        <f t="shared" si="145"/>
        <v>23086</v>
      </c>
      <c r="BC331" s="1894">
        <f t="shared" si="146"/>
        <v>0</v>
      </c>
      <c r="BD331" s="1894">
        <v>217</v>
      </c>
      <c r="BE331" s="1894">
        <v>54.72</v>
      </c>
      <c r="BF331" s="1894">
        <v>173.6</v>
      </c>
      <c r="BG331" s="1894">
        <v>0.95599999999999996</v>
      </c>
      <c r="BH331" s="1894">
        <v>33.29</v>
      </c>
      <c r="BI331" s="1894">
        <v>13554</v>
      </c>
      <c r="BJ331" s="1894">
        <f t="shared" si="147"/>
        <v>24427</v>
      </c>
      <c r="BK331" s="1894">
        <f t="shared" si="148"/>
        <v>0</v>
      </c>
      <c r="BL331" s="1894">
        <v>217</v>
      </c>
      <c r="BM331" s="1894">
        <v>50.080000000000005</v>
      </c>
      <c r="BN331" s="1894">
        <v>173.6</v>
      </c>
      <c r="BO331" s="1894">
        <v>0.92279999999999995</v>
      </c>
      <c r="BP331" s="1894">
        <v>27.52</v>
      </c>
      <c r="BQ331" s="1894">
        <v>9924</v>
      </c>
      <c r="BR331" s="1894">
        <f t="shared" si="149"/>
        <v>21635</v>
      </c>
      <c r="BS331" s="1894">
        <f t="shared" si="150"/>
        <v>0</v>
      </c>
      <c r="BT331" s="1894">
        <v>217</v>
      </c>
      <c r="BU331" s="1894">
        <v>52.800000000000004</v>
      </c>
      <c r="BV331" s="1894">
        <v>173.6</v>
      </c>
      <c r="BW331" s="1894">
        <v>0.7843</v>
      </c>
      <c r="BX331" s="1894">
        <v>16.71</v>
      </c>
      <c r="BY331" s="1894">
        <v>7410</v>
      </c>
      <c r="BZ331" s="1894">
        <f t="shared" si="151"/>
        <v>23570</v>
      </c>
      <c r="CA331" s="1894">
        <f t="shared" si="152"/>
        <v>0</v>
      </c>
      <c r="CB331" s="1894">
        <v>217</v>
      </c>
      <c r="CC331" s="1894">
        <v>36.159999999999997</v>
      </c>
      <c r="CD331" s="1894">
        <v>173.6</v>
      </c>
      <c r="CE331" s="1894">
        <v>0.79310000000000003</v>
      </c>
      <c r="CF331" s="1894">
        <v>23.33</v>
      </c>
      <c r="CG331" s="1894">
        <v>6276</v>
      </c>
      <c r="CH331" s="1894">
        <f t="shared" si="153"/>
        <v>16142</v>
      </c>
      <c r="CI331" s="1894">
        <f t="shared" si="154"/>
        <v>0</v>
      </c>
      <c r="CJ331" s="1894">
        <v>217</v>
      </c>
      <c r="CK331" s="1894">
        <v>35.199999999999996</v>
      </c>
      <c r="CL331" s="1894">
        <v>173.6</v>
      </c>
      <c r="CM331" s="1894">
        <v>0.82120000000000004</v>
      </c>
      <c r="CN331" s="1894">
        <v>22.66</v>
      </c>
      <c r="CO331" s="1894">
        <v>5360</v>
      </c>
      <c r="CP331" s="1894">
        <f t="shared" si="155"/>
        <v>14193</v>
      </c>
      <c r="CQ331" s="1894">
        <f t="shared" si="156"/>
        <v>0</v>
      </c>
      <c r="CR331" s="1924">
        <v>217</v>
      </c>
      <c r="CS331" s="1924">
        <v>44.32</v>
      </c>
      <c r="CT331" s="1924">
        <v>173.6</v>
      </c>
      <c r="CU331" s="1924">
        <v>0.82520000000000004</v>
      </c>
      <c r="CV331" s="1924">
        <v>17.25</v>
      </c>
      <c r="CW331" s="1924">
        <v>5688</v>
      </c>
      <c r="CX331" s="1894">
        <f t="shared" si="157"/>
        <v>19784</v>
      </c>
      <c r="CY331" s="1894">
        <f t="shared" si="158"/>
        <v>0</v>
      </c>
    </row>
    <row r="332" spans="1:103">
      <c r="A332" s="982">
        <v>622000000105</v>
      </c>
      <c r="B332" s="1923">
        <f t="shared" si="159"/>
        <v>326</v>
      </c>
      <c r="C332" s="1895" t="s">
        <v>3211</v>
      </c>
      <c r="D332" s="1894" t="s">
        <v>524</v>
      </c>
      <c r="E332" s="1895" t="s">
        <v>541</v>
      </c>
      <c r="F332" s="1894" t="s">
        <v>259</v>
      </c>
      <c r="G332" s="1924">
        <v>218</v>
      </c>
      <c r="H332" s="1894">
        <v>218</v>
      </c>
      <c r="I332" s="1894">
        <v>125.34</v>
      </c>
      <c r="J332" s="1894">
        <v>174.4</v>
      </c>
      <c r="K332" s="1894">
        <v>0.74829999999999997</v>
      </c>
      <c r="L332" s="1894">
        <v>6.46</v>
      </c>
      <c r="M332" s="1894">
        <v>5829</v>
      </c>
      <c r="N332" s="1894">
        <f t="shared" si="137"/>
        <v>54147</v>
      </c>
      <c r="O332" s="1894">
        <f t="shared" si="138"/>
        <v>0</v>
      </c>
      <c r="P332" s="1894">
        <v>218</v>
      </c>
      <c r="Q332" s="1894">
        <v>122.99999999999999</v>
      </c>
      <c r="R332" s="1894">
        <v>174.4</v>
      </c>
      <c r="S332" s="1894">
        <v>0.755</v>
      </c>
      <c r="T332" s="1894">
        <v>3.58</v>
      </c>
      <c r="U332" s="1894">
        <v>2535</v>
      </c>
      <c r="V332" s="1894">
        <f t="shared" si="139"/>
        <v>54907</v>
      </c>
      <c r="W332" s="1894">
        <f t="shared" si="140"/>
        <v>0</v>
      </c>
      <c r="X332" s="1894">
        <v>218</v>
      </c>
      <c r="Y332" s="1894">
        <v>125.52</v>
      </c>
      <c r="Z332" s="1894">
        <v>174.4</v>
      </c>
      <c r="AA332" s="1894">
        <v>0.68240000000000001</v>
      </c>
      <c r="AB332" s="1894">
        <v>6.38</v>
      </c>
      <c r="AC332" s="1894">
        <v>7110</v>
      </c>
      <c r="AD332" s="1894">
        <f t="shared" si="141"/>
        <v>54225</v>
      </c>
      <c r="AE332" s="1894">
        <f t="shared" si="142"/>
        <v>0</v>
      </c>
      <c r="AF332" s="1894">
        <v>218</v>
      </c>
      <c r="AG332" s="1894">
        <v>115.08</v>
      </c>
      <c r="AH332" s="1894">
        <v>174.4</v>
      </c>
      <c r="AI332" s="1894">
        <v>0.85470000000000002</v>
      </c>
      <c r="AJ332" s="1894">
        <v>1.77</v>
      </c>
      <c r="AK332" s="1894">
        <v>1515</v>
      </c>
      <c r="AL332" s="1894">
        <f t="shared" si="135"/>
        <v>51372</v>
      </c>
      <c r="AM332" s="1894">
        <f t="shared" si="136"/>
        <v>0</v>
      </c>
      <c r="AN332" s="1894">
        <v>218</v>
      </c>
      <c r="AO332" s="1894">
        <v>124.19999999999999</v>
      </c>
      <c r="AP332" s="1894">
        <v>174.4</v>
      </c>
      <c r="AQ332" s="1894">
        <v>0.8397</v>
      </c>
      <c r="AR332" s="1894">
        <v>1.78</v>
      </c>
      <c r="AS332" s="1894">
        <v>1647</v>
      </c>
      <c r="AT332" s="1894">
        <f t="shared" si="143"/>
        <v>55443</v>
      </c>
      <c r="AU332" s="1894">
        <f t="shared" si="144"/>
        <v>0</v>
      </c>
      <c r="AV332" s="1894">
        <v>218</v>
      </c>
      <c r="AW332" s="1894">
        <v>107.27999999999999</v>
      </c>
      <c r="AX332" s="1894">
        <v>174.4</v>
      </c>
      <c r="AY332" s="1894">
        <v>0.92649999999999999</v>
      </c>
      <c r="AZ332" s="1894">
        <v>1.46</v>
      </c>
      <c r="BA332" s="1894">
        <v>1130</v>
      </c>
      <c r="BB332" s="1894">
        <f t="shared" si="145"/>
        <v>46345</v>
      </c>
      <c r="BC332" s="1894">
        <f t="shared" si="146"/>
        <v>0</v>
      </c>
      <c r="BD332" s="1894">
        <v>218</v>
      </c>
      <c r="BE332" s="1894">
        <v>122.52</v>
      </c>
      <c r="BF332" s="1894">
        <v>174.4</v>
      </c>
      <c r="BG332" s="1894">
        <v>0.74480000000000002</v>
      </c>
      <c r="BH332" s="1894">
        <v>4.46</v>
      </c>
      <c r="BI332" s="1894">
        <v>4068</v>
      </c>
      <c r="BJ332" s="1894">
        <f t="shared" si="147"/>
        <v>54693</v>
      </c>
      <c r="BK332" s="1894">
        <f t="shared" si="148"/>
        <v>0</v>
      </c>
      <c r="BL332" s="1894">
        <v>218</v>
      </c>
      <c r="BM332" s="1894">
        <v>122.28</v>
      </c>
      <c r="BN332" s="1894">
        <v>174.4</v>
      </c>
      <c r="BO332" s="1894">
        <v>0.7419</v>
      </c>
      <c r="BP332" s="1894">
        <v>6.02</v>
      </c>
      <c r="BQ332" s="1894">
        <v>5302</v>
      </c>
      <c r="BR332" s="1894">
        <f t="shared" si="149"/>
        <v>52825</v>
      </c>
      <c r="BS332" s="1894">
        <f t="shared" si="150"/>
        <v>0</v>
      </c>
      <c r="BT332" s="1894">
        <v>218</v>
      </c>
      <c r="BU332" s="1894">
        <v>137.63999999999999</v>
      </c>
      <c r="BV332" s="1894">
        <v>174.4</v>
      </c>
      <c r="BW332" s="1894">
        <v>0.73099999999999998</v>
      </c>
      <c r="BX332" s="1894">
        <v>8.19</v>
      </c>
      <c r="BY332" s="1894">
        <v>8391</v>
      </c>
      <c r="BZ332" s="1894">
        <f t="shared" si="151"/>
        <v>61442</v>
      </c>
      <c r="CA332" s="1894">
        <f t="shared" si="152"/>
        <v>0</v>
      </c>
      <c r="CB332" s="1894">
        <v>218</v>
      </c>
      <c r="CC332" s="1894">
        <v>140.63999999999999</v>
      </c>
      <c r="CD332" s="1894">
        <v>174.4</v>
      </c>
      <c r="CE332" s="1894">
        <v>0.746</v>
      </c>
      <c r="CF332" s="1894">
        <v>4.74</v>
      </c>
      <c r="CG332" s="1894">
        <v>4962</v>
      </c>
      <c r="CH332" s="1894">
        <f t="shared" si="153"/>
        <v>62782</v>
      </c>
      <c r="CI332" s="1894">
        <f t="shared" si="154"/>
        <v>0</v>
      </c>
      <c r="CJ332" s="1894">
        <v>218</v>
      </c>
      <c r="CK332" s="1894">
        <v>144.6</v>
      </c>
      <c r="CL332" s="1894">
        <v>174.4</v>
      </c>
      <c r="CM332" s="1894">
        <v>0.73340000000000005</v>
      </c>
      <c r="CN332" s="1894">
        <v>3.39</v>
      </c>
      <c r="CO332" s="1894">
        <v>3294</v>
      </c>
      <c r="CP332" s="1894">
        <f t="shared" si="155"/>
        <v>58303</v>
      </c>
      <c r="CQ332" s="1894">
        <f t="shared" si="156"/>
        <v>0</v>
      </c>
      <c r="CR332" s="1924">
        <v>218</v>
      </c>
      <c r="CS332" s="1924">
        <v>141.72</v>
      </c>
      <c r="CT332" s="1924">
        <v>174.4</v>
      </c>
      <c r="CU332" s="1924">
        <v>0.74639999999999995</v>
      </c>
      <c r="CV332" s="1924">
        <v>4.28</v>
      </c>
      <c r="CW332" s="1924">
        <v>4508</v>
      </c>
      <c r="CX332" s="1894">
        <f t="shared" si="157"/>
        <v>63264</v>
      </c>
      <c r="CY332" s="1894">
        <f t="shared" si="158"/>
        <v>0</v>
      </c>
    </row>
    <row r="333" spans="1:103">
      <c r="A333" s="982">
        <v>123000000125</v>
      </c>
      <c r="B333" s="1923">
        <f t="shared" si="159"/>
        <v>327</v>
      </c>
      <c r="C333" s="1895" t="s">
        <v>3212</v>
      </c>
      <c r="D333" s="1894" t="s">
        <v>524</v>
      </c>
      <c r="E333" s="1895" t="s">
        <v>2966</v>
      </c>
      <c r="F333" s="1894" t="s">
        <v>259</v>
      </c>
      <c r="G333" s="1924">
        <v>220</v>
      </c>
      <c r="H333" s="1894">
        <v>220</v>
      </c>
      <c r="I333" s="1894">
        <v>53.280000000000008</v>
      </c>
      <c r="J333" s="1894">
        <v>220</v>
      </c>
      <c r="K333" s="1894">
        <v>0.79090000000000005</v>
      </c>
      <c r="L333" s="1894">
        <v>0</v>
      </c>
      <c r="M333" s="1894">
        <v>15824</v>
      </c>
      <c r="N333" s="1894">
        <f t="shared" si="137"/>
        <v>23017</v>
      </c>
      <c r="O333" s="1894">
        <f t="shared" si="138"/>
        <v>0</v>
      </c>
      <c r="P333" s="1894">
        <v>220</v>
      </c>
      <c r="Q333" s="1894">
        <v>75.2</v>
      </c>
      <c r="R333" s="1894">
        <v>220</v>
      </c>
      <c r="S333" s="1894">
        <v>0.7944</v>
      </c>
      <c r="T333" s="1894">
        <v>0</v>
      </c>
      <c r="U333" s="1894">
        <v>21956</v>
      </c>
      <c r="V333" s="1894">
        <f t="shared" si="139"/>
        <v>33569</v>
      </c>
      <c r="W333" s="1894">
        <f t="shared" si="140"/>
        <v>0</v>
      </c>
      <c r="X333" s="1894">
        <v>220</v>
      </c>
      <c r="Y333" s="1894">
        <v>75.039999999999992</v>
      </c>
      <c r="Z333" s="1894">
        <v>220</v>
      </c>
      <c r="AA333" s="1894">
        <v>0.79049999999999998</v>
      </c>
      <c r="AB333" s="1894">
        <v>0</v>
      </c>
      <c r="AC333" s="1894">
        <v>15854</v>
      </c>
      <c r="AD333" s="1894">
        <f t="shared" si="141"/>
        <v>32417</v>
      </c>
      <c r="AE333" s="1894">
        <f t="shared" si="142"/>
        <v>0</v>
      </c>
      <c r="AF333" s="1894">
        <v>220</v>
      </c>
      <c r="AG333" s="1894">
        <v>67.84</v>
      </c>
      <c r="AH333" s="1894">
        <v>220</v>
      </c>
      <c r="AI333" s="1894">
        <v>0.81840000000000002</v>
      </c>
      <c r="AJ333" s="1894">
        <v>0</v>
      </c>
      <c r="AK333" s="1894">
        <v>11414</v>
      </c>
      <c r="AL333" s="1894">
        <f t="shared" si="135"/>
        <v>30284</v>
      </c>
      <c r="AM333" s="1894">
        <f t="shared" si="136"/>
        <v>0</v>
      </c>
      <c r="AN333" s="1894">
        <v>220</v>
      </c>
      <c r="AO333" s="1894">
        <v>60.480000000000004</v>
      </c>
      <c r="AP333" s="1894">
        <v>220</v>
      </c>
      <c r="AQ333" s="1894">
        <v>0.78820000000000001</v>
      </c>
      <c r="AR333" s="1894">
        <v>0</v>
      </c>
      <c r="AS333" s="1894">
        <v>13708</v>
      </c>
      <c r="AT333" s="1894">
        <f t="shared" si="143"/>
        <v>26998</v>
      </c>
      <c r="AU333" s="1894">
        <f t="shared" si="144"/>
        <v>0</v>
      </c>
      <c r="AV333" s="1894">
        <v>220</v>
      </c>
      <c r="AW333" s="1894">
        <v>68</v>
      </c>
      <c r="AX333" s="1894">
        <v>220</v>
      </c>
      <c r="AY333" s="1894">
        <v>0.81589999999999996</v>
      </c>
      <c r="AZ333" s="1894">
        <v>0</v>
      </c>
      <c r="BA333" s="1894">
        <v>19034</v>
      </c>
      <c r="BB333" s="1894">
        <f t="shared" si="145"/>
        <v>29376</v>
      </c>
      <c r="BC333" s="1894">
        <f t="shared" si="146"/>
        <v>0</v>
      </c>
      <c r="BD333" s="1894">
        <v>220</v>
      </c>
      <c r="BE333" s="1894">
        <v>120</v>
      </c>
      <c r="BF333" s="1894">
        <v>220</v>
      </c>
      <c r="BG333" s="1894">
        <v>0.76600000000000001</v>
      </c>
      <c r="BH333" s="1894">
        <v>0</v>
      </c>
      <c r="BI333" s="1894">
        <v>12326</v>
      </c>
      <c r="BJ333" s="1894">
        <f t="shared" si="147"/>
        <v>53568</v>
      </c>
      <c r="BK333" s="1894">
        <f t="shared" si="148"/>
        <v>0</v>
      </c>
      <c r="BL333" s="1894">
        <v>220</v>
      </c>
      <c r="BM333" s="1894">
        <v>18.72</v>
      </c>
      <c r="BN333" s="1894">
        <v>220</v>
      </c>
      <c r="BO333" s="1894">
        <v>0.8286</v>
      </c>
      <c r="BP333" s="1894">
        <v>0</v>
      </c>
      <c r="BQ333" s="1894">
        <v>3444</v>
      </c>
      <c r="BR333" s="1894">
        <f t="shared" si="149"/>
        <v>8087</v>
      </c>
      <c r="BS333" s="1894">
        <f t="shared" si="150"/>
        <v>0</v>
      </c>
      <c r="BT333" s="1894">
        <v>220</v>
      </c>
      <c r="BU333" s="1894">
        <v>10.879999999999999</v>
      </c>
      <c r="BV333" s="1894">
        <v>220</v>
      </c>
      <c r="BW333" s="1894">
        <v>0.58940000000000003</v>
      </c>
      <c r="BX333" s="1894">
        <v>0</v>
      </c>
      <c r="BY333" s="1894">
        <v>1890</v>
      </c>
      <c r="BZ333" s="1894">
        <f t="shared" si="151"/>
        <v>4857</v>
      </c>
      <c r="CA333" s="1894">
        <f t="shared" si="152"/>
        <v>0</v>
      </c>
      <c r="CB333" s="1894">
        <v>220</v>
      </c>
      <c r="CC333" s="1894">
        <v>26.400000000000002</v>
      </c>
      <c r="CD333" s="1894">
        <v>220</v>
      </c>
      <c r="CE333" s="1894">
        <v>0.74050000000000005</v>
      </c>
      <c r="CF333" s="1894">
        <v>0</v>
      </c>
      <c r="CG333" s="1894">
        <v>5604</v>
      </c>
      <c r="CH333" s="1894">
        <f t="shared" si="153"/>
        <v>11785</v>
      </c>
      <c r="CI333" s="1894">
        <f t="shared" si="154"/>
        <v>0</v>
      </c>
      <c r="CJ333" s="1894">
        <v>220</v>
      </c>
      <c r="CK333" s="1894">
        <v>67.679999999999993</v>
      </c>
      <c r="CL333" s="1894">
        <v>220</v>
      </c>
      <c r="CM333" s="1894">
        <v>0.82940000000000003</v>
      </c>
      <c r="CN333" s="1894">
        <v>0</v>
      </c>
      <c r="CO333" s="1894">
        <v>15296</v>
      </c>
      <c r="CP333" s="1894">
        <f t="shared" si="155"/>
        <v>27289</v>
      </c>
      <c r="CQ333" s="1894">
        <f t="shared" si="156"/>
        <v>0</v>
      </c>
      <c r="CR333" s="1924">
        <v>220</v>
      </c>
      <c r="CS333" s="1924">
        <v>87.039999999999992</v>
      </c>
      <c r="CT333" s="1924">
        <v>220</v>
      </c>
      <c r="CU333" s="1924">
        <v>0.79149999999999998</v>
      </c>
      <c r="CV333" s="1924">
        <v>0</v>
      </c>
      <c r="CW333" s="1924">
        <v>23516</v>
      </c>
      <c r="CX333" s="1894">
        <f t="shared" si="157"/>
        <v>38855</v>
      </c>
      <c r="CY333" s="1894">
        <f t="shared" si="158"/>
        <v>0</v>
      </c>
    </row>
    <row r="334" spans="1:103">
      <c r="A334" s="982">
        <v>126000000037</v>
      </c>
      <c r="B334" s="1923">
        <f t="shared" si="159"/>
        <v>328</v>
      </c>
      <c r="C334" s="1895" t="s">
        <v>3213</v>
      </c>
      <c r="D334" s="1894" t="s">
        <v>524</v>
      </c>
      <c r="E334" s="1895" t="s">
        <v>541</v>
      </c>
      <c r="F334" s="1894" t="s">
        <v>259</v>
      </c>
      <c r="G334" s="1924">
        <v>220</v>
      </c>
      <c r="H334" s="1894">
        <v>220</v>
      </c>
      <c r="I334" s="1894">
        <v>158.4</v>
      </c>
      <c r="J334" s="1894">
        <v>176</v>
      </c>
      <c r="K334" s="1894">
        <v>0.96950000000000003</v>
      </c>
      <c r="L334" s="1894">
        <v>38.04</v>
      </c>
      <c r="M334" s="1894">
        <v>43386</v>
      </c>
      <c r="N334" s="1894">
        <f t="shared" si="137"/>
        <v>68429</v>
      </c>
      <c r="O334" s="1894">
        <f t="shared" si="138"/>
        <v>0</v>
      </c>
      <c r="P334" s="1894">
        <v>220</v>
      </c>
      <c r="Q334" s="1894">
        <v>160</v>
      </c>
      <c r="R334" s="1894">
        <v>176</v>
      </c>
      <c r="S334" s="1894">
        <v>0.9637</v>
      </c>
      <c r="T334" s="1894">
        <v>33.39</v>
      </c>
      <c r="U334" s="1894">
        <v>35904</v>
      </c>
      <c r="V334" s="1894">
        <f t="shared" si="139"/>
        <v>71424</v>
      </c>
      <c r="W334" s="1894">
        <f t="shared" si="140"/>
        <v>0</v>
      </c>
      <c r="X334" s="1894">
        <v>220</v>
      </c>
      <c r="Y334" s="1894">
        <v>193.6</v>
      </c>
      <c r="Z334" s="1894">
        <v>193.6</v>
      </c>
      <c r="AA334" s="1894">
        <v>0.96930000000000005</v>
      </c>
      <c r="AB334" s="1894">
        <v>25.11</v>
      </c>
      <c r="AC334" s="1894">
        <v>38508</v>
      </c>
      <c r="AD334" s="1894">
        <f t="shared" si="141"/>
        <v>83635</v>
      </c>
      <c r="AE334" s="1894">
        <f t="shared" si="142"/>
        <v>0</v>
      </c>
      <c r="AF334" s="1894">
        <v>220</v>
      </c>
      <c r="AG334" s="1894">
        <v>221.76</v>
      </c>
      <c r="AH334" s="1894">
        <v>221.76</v>
      </c>
      <c r="AI334" s="1894">
        <v>0.97009999999999996</v>
      </c>
      <c r="AJ334" s="1894">
        <v>7.76</v>
      </c>
      <c r="AK334" s="1894">
        <v>12806</v>
      </c>
      <c r="AL334" s="1894">
        <f t="shared" si="135"/>
        <v>98994</v>
      </c>
      <c r="AM334" s="1894">
        <f t="shared" si="136"/>
        <v>0</v>
      </c>
      <c r="AN334" s="1894">
        <v>220</v>
      </c>
      <c r="AO334" s="1894">
        <v>2.4</v>
      </c>
      <c r="AP334" s="1894">
        <v>176</v>
      </c>
      <c r="AQ334" s="1894">
        <v>0.97</v>
      </c>
      <c r="AR334" s="1894">
        <v>653.79</v>
      </c>
      <c r="AS334" s="1894">
        <v>11674</v>
      </c>
      <c r="AT334" s="1894">
        <f t="shared" si="143"/>
        <v>1071</v>
      </c>
      <c r="AU334" s="1894">
        <f t="shared" si="144"/>
        <v>10603</v>
      </c>
      <c r="AV334" s="1894">
        <v>220</v>
      </c>
      <c r="AW334" s="1894">
        <v>111.35999999999999</v>
      </c>
      <c r="AX334" s="1894">
        <v>176</v>
      </c>
      <c r="AY334" s="1894">
        <v>0.94310000000000005</v>
      </c>
      <c r="AZ334" s="1894">
        <v>11.18</v>
      </c>
      <c r="BA334" s="1894">
        <v>8966</v>
      </c>
      <c r="BB334" s="1894">
        <f t="shared" si="145"/>
        <v>48108</v>
      </c>
      <c r="BC334" s="1894">
        <f t="shared" si="146"/>
        <v>0</v>
      </c>
      <c r="BD334" s="1894">
        <v>220</v>
      </c>
      <c r="BE334" s="1894">
        <v>131.84</v>
      </c>
      <c r="BF334" s="1894">
        <v>176</v>
      </c>
      <c r="BG334" s="1894">
        <v>0.96519999999999995</v>
      </c>
      <c r="BH334" s="1894">
        <v>9.56</v>
      </c>
      <c r="BI334" s="1894">
        <v>9374</v>
      </c>
      <c r="BJ334" s="1894">
        <f t="shared" si="147"/>
        <v>58853</v>
      </c>
      <c r="BK334" s="1894">
        <f t="shared" si="148"/>
        <v>0</v>
      </c>
      <c r="BL334" s="1894">
        <v>220</v>
      </c>
      <c r="BM334" s="1894">
        <v>83.36</v>
      </c>
      <c r="BN334" s="1894">
        <v>176</v>
      </c>
      <c r="BO334" s="1894">
        <v>0.99570000000000003</v>
      </c>
      <c r="BP334" s="1894">
        <v>2.38</v>
      </c>
      <c r="BQ334" s="1894">
        <v>1426</v>
      </c>
      <c r="BR334" s="1894">
        <f t="shared" si="149"/>
        <v>36012</v>
      </c>
      <c r="BS334" s="1894">
        <f t="shared" si="150"/>
        <v>0</v>
      </c>
      <c r="BT334" s="1894">
        <v>220</v>
      </c>
      <c r="BU334" s="1894">
        <v>119.03999999999999</v>
      </c>
      <c r="BV334" s="1894">
        <v>176</v>
      </c>
      <c r="BW334" s="1894">
        <v>0.9577</v>
      </c>
      <c r="BX334" s="1894">
        <v>7.75</v>
      </c>
      <c r="BY334" s="1894">
        <v>6860</v>
      </c>
      <c r="BZ334" s="1894">
        <f t="shared" si="151"/>
        <v>53139</v>
      </c>
      <c r="CA334" s="1894">
        <f t="shared" si="152"/>
        <v>0</v>
      </c>
      <c r="CB334" s="1894">
        <v>220</v>
      </c>
      <c r="CC334" s="1894">
        <v>133.44</v>
      </c>
      <c r="CD334" s="1894">
        <v>176</v>
      </c>
      <c r="CE334" s="1894">
        <v>0.96840000000000004</v>
      </c>
      <c r="CF334" s="1894">
        <v>28.97</v>
      </c>
      <c r="CG334" s="1894">
        <v>28758</v>
      </c>
      <c r="CH334" s="1894">
        <f t="shared" si="153"/>
        <v>59568</v>
      </c>
      <c r="CI334" s="1894">
        <f t="shared" si="154"/>
        <v>0</v>
      </c>
      <c r="CJ334" s="1894">
        <v>220</v>
      </c>
      <c r="CK334" s="1894">
        <v>154.24</v>
      </c>
      <c r="CL334" s="1894">
        <v>176</v>
      </c>
      <c r="CM334" s="1894">
        <v>0.97089999999999999</v>
      </c>
      <c r="CN334" s="1894">
        <v>39.68</v>
      </c>
      <c r="CO334" s="1894">
        <v>41132</v>
      </c>
      <c r="CP334" s="1894">
        <f t="shared" si="155"/>
        <v>62190</v>
      </c>
      <c r="CQ334" s="1894">
        <f t="shared" si="156"/>
        <v>0</v>
      </c>
      <c r="CR334" s="1924">
        <v>220</v>
      </c>
      <c r="CS334" s="1924">
        <v>162.72</v>
      </c>
      <c r="CT334" s="1924">
        <v>176</v>
      </c>
      <c r="CU334" s="1924">
        <v>0.97570000000000001</v>
      </c>
      <c r="CV334" s="1924">
        <v>30.91</v>
      </c>
      <c r="CW334" s="1924">
        <v>33800</v>
      </c>
      <c r="CX334" s="1894">
        <f t="shared" si="157"/>
        <v>72638</v>
      </c>
      <c r="CY334" s="1894">
        <f t="shared" si="158"/>
        <v>0</v>
      </c>
    </row>
    <row r="335" spans="1:103">
      <c r="A335" s="982">
        <v>615000000029</v>
      </c>
      <c r="B335" s="1923">
        <f t="shared" si="159"/>
        <v>329</v>
      </c>
      <c r="C335" s="1895" t="s">
        <v>3214</v>
      </c>
      <c r="D335" s="1894" t="s">
        <v>524</v>
      </c>
      <c r="E335" s="1895" t="s">
        <v>541</v>
      </c>
      <c r="F335" s="1894" t="s">
        <v>259</v>
      </c>
      <c r="G335" s="1924">
        <v>220</v>
      </c>
      <c r="H335" s="1894">
        <v>220</v>
      </c>
      <c r="I335" s="1894">
        <v>199.68</v>
      </c>
      <c r="J335" s="1894">
        <v>199.68</v>
      </c>
      <c r="K335" s="1894">
        <v>0.83540000000000003</v>
      </c>
      <c r="L335" s="1894">
        <v>19.28</v>
      </c>
      <c r="M335" s="1894">
        <v>33266</v>
      </c>
      <c r="N335" s="1894">
        <f t="shared" si="137"/>
        <v>86262</v>
      </c>
      <c r="O335" s="1894">
        <f t="shared" si="138"/>
        <v>0</v>
      </c>
      <c r="P335" s="1894">
        <v>220</v>
      </c>
      <c r="Q335" s="1894">
        <v>146.88</v>
      </c>
      <c r="R335" s="1894">
        <v>176</v>
      </c>
      <c r="S335" s="1894">
        <v>0.98529999999999995</v>
      </c>
      <c r="T335" s="1894">
        <v>19.100000000000001</v>
      </c>
      <c r="U335" s="1894">
        <v>20870</v>
      </c>
      <c r="V335" s="1894">
        <f t="shared" si="139"/>
        <v>65567</v>
      </c>
      <c r="W335" s="1894">
        <f t="shared" si="140"/>
        <v>0</v>
      </c>
      <c r="X335" s="1894">
        <v>220</v>
      </c>
      <c r="Y335" s="1894">
        <v>142.88</v>
      </c>
      <c r="Z335" s="1894">
        <v>176</v>
      </c>
      <c r="AA335" s="1894">
        <v>1.0135000000000001</v>
      </c>
      <c r="AB335" s="1894">
        <v>16.850000000000001</v>
      </c>
      <c r="AC335" s="1894">
        <v>17332</v>
      </c>
      <c r="AD335" s="1894">
        <f t="shared" si="141"/>
        <v>61724</v>
      </c>
      <c r="AE335" s="1894">
        <f t="shared" si="142"/>
        <v>0</v>
      </c>
      <c r="AF335" s="1894">
        <v>220</v>
      </c>
      <c r="AG335" s="1894">
        <v>152.96</v>
      </c>
      <c r="AH335" s="1894">
        <v>176</v>
      </c>
      <c r="AI335" s="1894">
        <v>0.99760000000000004</v>
      </c>
      <c r="AJ335" s="1894">
        <v>14.39</v>
      </c>
      <c r="AK335" s="1894">
        <v>16376</v>
      </c>
      <c r="AL335" s="1894">
        <f t="shared" si="135"/>
        <v>68281</v>
      </c>
      <c r="AM335" s="1894">
        <f t="shared" si="136"/>
        <v>0</v>
      </c>
      <c r="AN335" s="1894">
        <v>220</v>
      </c>
      <c r="AO335" s="1894">
        <v>131.84</v>
      </c>
      <c r="AP335" s="1894">
        <v>176</v>
      </c>
      <c r="AQ335" s="1894">
        <v>0.99809999999999999</v>
      </c>
      <c r="AR335" s="1894">
        <v>17.32</v>
      </c>
      <c r="AS335" s="1894">
        <v>16990</v>
      </c>
      <c r="AT335" s="1894">
        <f t="shared" si="143"/>
        <v>58853</v>
      </c>
      <c r="AU335" s="1894">
        <f t="shared" si="144"/>
        <v>0</v>
      </c>
      <c r="AV335" s="1894">
        <v>220</v>
      </c>
      <c r="AW335" s="1894">
        <v>130.72</v>
      </c>
      <c r="AX335" s="1894">
        <v>176</v>
      </c>
      <c r="AY335" s="1894">
        <v>0.997</v>
      </c>
      <c r="AZ335" s="1894">
        <v>16.86</v>
      </c>
      <c r="BA335" s="1894">
        <v>15340</v>
      </c>
      <c r="BB335" s="1894">
        <f t="shared" si="145"/>
        <v>56471</v>
      </c>
      <c r="BC335" s="1894">
        <f t="shared" si="146"/>
        <v>0</v>
      </c>
      <c r="BD335" s="1894">
        <v>220</v>
      </c>
      <c r="BE335" s="1894">
        <v>140.32</v>
      </c>
      <c r="BF335" s="1894">
        <v>176</v>
      </c>
      <c r="BG335" s="1894">
        <v>0.99550000000000005</v>
      </c>
      <c r="BH335" s="1894">
        <v>15.03</v>
      </c>
      <c r="BI335" s="1894">
        <v>16192</v>
      </c>
      <c r="BJ335" s="1894">
        <f t="shared" si="147"/>
        <v>62639</v>
      </c>
      <c r="BK335" s="1894">
        <f t="shared" si="148"/>
        <v>0</v>
      </c>
      <c r="BL335" s="1894">
        <v>220</v>
      </c>
      <c r="BM335" s="1894">
        <v>164.32</v>
      </c>
      <c r="BN335" s="1894">
        <v>176</v>
      </c>
      <c r="BO335" s="1894">
        <v>0.98240000000000005</v>
      </c>
      <c r="BP335" s="1894">
        <v>16.18</v>
      </c>
      <c r="BQ335" s="1894">
        <v>19144</v>
      </c>
      <c r="BR335" s="1894">
        <f t="shared" si="149"/>
        <v>70986</v>
      </c>
      <c r="BS335" s="1894">
        <f t="shared" si="150"/>
        <v>0</v>
      </c>
      <c r="BT335" s="1894">
        <v>220</v>
      </c>
      <c r="BU335" s="1894">
        <v>167.84</v>
      </c>
      <c r="BV335" s="1894">
        <v>176</v>
      </c>
      <c r="BW335" s="1894">
        <v>0.96809999999999996</v>
      </c>
      <c r="BX335" s="1894">
        <v>13.57</v>
      </c>
      <c r="BY335" s="1894">
        <v>16940</v>
      </c>
      <c r="BZ335" s="1894">
        <f t="shared" si="151"/>
        <v>74924</v>
      </c>
      <c r="CA335" s="1894">
        <f t="shared" si="152"/>
        <v>0</v>
      </c>
      <c r="CB335" s="1894">
        <v>220</v>
      </c>
      <c r="CC335" s="1894">
        <v>93.92</v>
      </c>
      <c r="CD335" s="1894">
        <v>176</v>
      </c>
      <c r="CE335" s="1894">
        <v>0.99560000000000004</v>
      </c>
      <c r="CF335" s="1894">
        <v>14.35</v>
      </c>
      <c r="CG335" s="1894">
        <v>10030</v>
      </c>
      <c r="CH335" s="1894">
        <f t="shared" si="153"/>
        <v>41926</v>
      </c>
      <c r="CI335" s="1894">
        <f t="shared" si="154"/>
        <v>0</v>
      </c>
      <c r="CJ335" s="1894">
        <v>220</v>
      </c>
      <c r="CK335" s="1894">
        <v>169.12</v>
      </c>
      <c r="CL335" s="1894">
        <v>176</v>
      </c>
      <c r="CM335" s="1894">
        <v>0.99450000000000005</v>
      </c>
      <c r="CN335" s="1894">
        <v>11.72</v>
      </c>
      <c r="CO335" s="1894">
        <v>13314</v>
      </c>
      <c r="CP335" s="1894">
        <f t="shared" si="155"/>
        <v>68189</v>
      </c>
      <c r="CQ335" s="1894">
        <f t="shared" si="156"/>
        <v>0</v>
      </c>
      <c r="CR335" s="1924">
        <v>220</v>
      </c>
      <c r="CS335" s="1924">
        <v>155.19999999999999</v>
      </c>
      <c r="CT335" s="1924">
        <v>176</v>
      </c>
      <c r="CU335" s="1924">
        <v>0.99399999999999999</v>
      </c>
      <c r="CV335" s="1924">
        <v>19.05</v>
      </c>
      <c r="CW335" s="1924">
        <v>22000</v>
      </c>
      <c r="CX335" s="1894">
        <f t="shared" si="157"/>
        <v>69281</v>
      </c>
      <c r="CY335" s="1894">
        <f t="shared" si="158"/>
        <v>0</v>
      </c>
    </row>
    <row r="336" spans="1:103">
      <c r="A336" s="982">
        <v>614000000002</v>
      </c>
      <c r="B336" s="1923">
        <f t="shared" si="159"/>
        <v>330</v>
      </c>
      <c r="C336" s="1895" t="s">
        <v>3215</v>
      </c>
      <c r="D336" s="1894" t="s">
        <v>524</v>
      </c>
      <c r="E336" s="1895" t="s">
        <v>641</v>
      </c>
      <c r="F336" s="1894" t="s">
        <v>259</v>
      </c>
      <c r="G336" s="1924">
        <v>222</v>
      </c>
      <c r="H336" s="1894">
        <v>222</v>
      </c>
      <c r="I336" s="1894">
        <v>153.44</v>
      </c>
      <c r="J336" s="1894">
        <v>177.6</v>
      </c>
      <c r="K336" s="1894">
        <v>0.9476</v>
      </c>
      <c r="L336" s="1894">
        <v>34.76</v>
      </c>
      <c r="M336" s="1894">
        <v>42237</v>
      </c>
      <c r="N336" s="1894">
        <f t="shared" si="137"/>
        <v>66286</v>
      </c>
      <c r="O336" s="1894">
        <f t="shared" si="138"/>
        <v>0</v>
      </c>
      <c r="P336" s="1894">
        <v>222</v>
      </c>
      <c r="Q336" s="1894">
        <v>142.4</v>
      </c>
      <c r="R336" s="1894">
        <v>177.6</v>
      </c>
      <c r="S336" s="1894">
        <v>0.95330000000000004</v>
      </c>
      <c r="T336" s="1894">
        <v>35.97</v>
      </c>
      <c r="U336" s="1894">
        <v>41802</v>
      </c>
      <c r="V336" s="1894">
        <f t="shared" si="139"/>
        <v>63567</v>
      </c>
      <c r="W336" s="1894">
        <f t="shared" si="140"/>
        <v>0</v>
      </c>
      <c r="X336" s="1894">
        <v>222</v>
      </c>
      <c r="Y336" s="1894">
        <v>164.16</v>
      </c>
      <c r="Z336" s="1894">
        <v>177.6</v>
      </c>
      <c r="AA336" s="1894">
        <v>0.94610000000000005</v>
      </c>
      <c r="AB336" s="1894">
        <v>36.380000000000003</v>
      </c>
      <c r="AC336" s="1894">
        <v>43000</v>
      </c>
      <c r="AD336" s="1894">
        <f t="shared" si="141"/>
        <v>70917</v>
      </c>
      <c r="AE336" s="1894">
        <f t="shared" si="142"/>
        <v>0</v>
      </c>
      <c r="AF336" s="1894">
        <v>222</v>
      </c>
      <c r="AG336" s="1894">
        <v>158.88</v>
      </c>
      <c r="AH336" s="1894">
        <v>177.6</v>
      </c>
      <c r="AI336" s="1894">
        <v>0.94179999999999997</v>
      </c>
      <c r="AJ336" s="1894">
        <v>37.880000000000003</v>
      </c>
      <c r="AK336" s="1894">
        <v>44772</v>
      </c>
      <c r="AL336" s="1894">
        <f t="shared" si="135"/>
        <v>70924</v>
      </c>
      <c r="AM336" s="1894">
        <f t="shared" si="136"/>
        <v>0</v>
      </c>
      <c r="AN336" s="1894">
        <v>222</v>
      </c>
      <c r="AO336" s="1894">
        <v>168.48000000000002</v>
      </c>
      <c r="AP336" s="1894">
        <v>177.6</v>
      </c>
      <c r="AQ336" s="1894">
        <v>0.93300000000000005</v>
      </c>
      <c r="AR336" s="1894">
        <v>40.869999999999997</v>
      </c>
      <c r="AS336" s="1894">
        <v>51234</v>
      </c>
      <c r="AT336" s="1894">
        <f t="shared" si="143"/>
        <v>75209</v>
      </c>
      <c r="AU336" s="1894">
        <f t="shared" si="144"/>
        <v>0</v>
      </c>
      <c r="AV336" s="1894">
        <v>222</v>
      </c>
      <c r="AW336" s="1894">
        <v>196</v>
      </c>
      <c r="AX336" s="1894">
        <v>196</v>
      </c>
      <c r="AY336" s="1894">
        <v>0.93269999999999997</v>
      </c>
      <c r="AZ336" s="1894">
        <v>44.37</v>
      </c>
      <c r="BA336" s="1894">
        <v>62612</v>
      </c>
      <c r="BB336" s="1894">
        <f t="shared" si="145"/>
        <v>84672</v>
      </c>
      <c r="BC336" s="1894">
        <f t="shared" si="146"/>
        <v>0</v>
      </c>
      <c r="BD336" s="1894">
        <v>222</v>
      </c>
      <c r="BE336" s="1894">
        <v>194.23999999999998</v>
      </c>
      <c r="BF336" s="1894">
        <v>194.24</v>
      </c>
      <c r="BG336" s="1894">
        <v>0.94730000000000003</v>
      </c>
      <c r="BH336" s="1894">
        <v>35.04</v>
      </c>
      <c r="BI336" s="1894">
        <v>50634</v>
      </c>
      <c r="BJ336" s="1894">
        <f t="shared" si="147"/>
        <v>86709</v>
      </c>
      <c r="BK336" s="1894">
        <f t="shared" si="148"/>
        <v>0</v>
      </c>
      <c r="BL336" s="1894">
        <v>222</v>
      </c>
      <c r="BM336" s="1894">
        <v>178.56</v>
      </c>
      <c r="BN336" s="1894">
        <v>178.56</v>
      </c>
      <c r="BO336" s="1894">
        <v>0.93179999999999996</v>
      </c>
      <c r="BP336" s="1894">
        <v>44.62</v>
      </c>
      <c r="BQ336" s="1894">
        <v>57370</v>
      </c>
      <c r="BR336" s="1894">
        <f t="shared" si="149"/>
        <v>77138</v>
      </c>
      <c r="BS336" s="1894">
        <f t="shared" si="150"/>
        <v>0</v>
      </c>
      <c r="BT336" s="1894">
        <v>222</v>
      </c>
      <c r="BU336" s="1894">
        <v>207.20000000000002</v>
      </c>
      <c r="BV336" s="1894">
        <v>207.2</v>
      </c>
      <c r="BW336" s="1894">
        <v>0.91869999999999996</v>
      </c>
      <c r="BX336" s="1894">
        <v>44.59</v>
      </c>
      <c r="BY336" s="1894">
        <v>68742</v>
      </c>
      <c r="BZ336" s="1894">
        <f t="shared" si="151"/>
        <v>92494</v>
      </c>
      <c r="CA336" s="1894">
        <f t="shared" si="152"/>
        <v>0</v>
      </c>
      <c r="CB336" s="1894">
        <v>222</v>
      </c>
      <c r="CC336" s="1894">
        <v>171.68</v>
      </c>
      <c r="CD336" s="1894">
        <v>177.6</v>
      </c>
      <c r="CE336" s="1894">
        <v>0.93410000000000004</v>
      </c>
      <c r="CF336" s="1894">
        <v>47.52</v>
      </c>
      <c r="CG336" s="1894">
        <v>60692</v>
      </c>
      <c r="CH336" s="1894">
        <f t="shared" si="153"/>
        <v>76638</v>
      </c>
      <c r="CI336" s="1894">
        <f t="shared" si="154"/>
        <v>0</v>
      </c>
      <c r="CJ336" s="1894">
        <v>222</v>
      </c>
      <c r="CK336" s="1894">
        <v>203.52</v>
      </c>
      <c r="CL336" s="1894">
        <v>203.52</v>
      </c>
      <c r="CM336" s="1894">
        <v>0.93410000000000004</v>
      </c>
      <c r="CN336" s="1894">
        <v>42.5</v>
      </c>
      <c r="CO336" s="1894">
        <v>58132</v>
      </c>
      <c r="CP336" s="1894">
        <f t="shared" si="155"/>
        <v>82059</v>
      </c>
      <c r="CQ336" s="1894">
        <f t="shared" si="156"/>
        <v>0</v>
      </c>
      <c r="CR336" s="1924">
        <v>222</v>
      </c>
      <c r="CS336" s="1924">
        <v>188</v>
      </c>
      <c r="CT336" s="1924">
        <v>188</v>
      </c>
      <c r="CU336" s="1924">
        <v>0.95079999999999998</v>
      </c>
      <c r="CV336" s="1924">
        <v>43.65</v>
      </c>
      <c r="CW336" s="1924">
        <v>61054</v>
      </c>
      <c r="CX336" s="1894">
        <f t="shared" si="157"/>
        <v>83923</v>
      </c>
      <c r="CY336" s="1894">
        <f t="shared" si="158"/>
        <v>0</v>
      </c>
    </row>
    <row r="337" spans="1:103">
      <c r="A337" s="982">
        <v>121000000090</v>
      </c>
      <c r="B337" s="1923">
        <f t="shared" si="159"/>
        <v>331</v>
      </c>
      <c r="C337" s="1895" t="s">
        <v>3216</v>
      </c>
      <c r="D337" s="1894" t="s">
        <v>524</v>
      </c>
      <c r="E337" s="1895" t="s">
        <v>2966</v>
      </c>
      <c r="F337" s="1894" t="s">
        <v>259</v>
      </c>
      <c r="G337" s="1924">
        <v>222</v>
      </c>
      <c r="H337" s="1894">
        <v>222</v>
      </c>
      <c r="I337" s="1894">
        <v>153.60000000000002</v>
      </c>
      <c r="J337" s="1894">
        <v>222</v>
      </c>
      <c r="K337" s="1894">
        <v>0.80169999999999997</v>
      </c>
      <c r="L337" s="1894">
        <v>0</v>
      </c>
      <c r="M337" s="1894">
        <v>24257</v>
      </c>
      <c r="N337" s="1894">
        <f t="shared" si="137"/>
        <v>66355</v>
      </c>
      <c r="O337" s="1894">
        <f t="shared" si="138"/>
        <v>0</v>
      </c>
      <c r="P337" s="1894">
        <v>222</v>
      </c>
      <c r="Q337" s="1894">
        <v>232.92</v>
      </c>
      <c r="R337" s="1894">
        <v>232.92</v>
      </c>
      <c r="S337" s="1894">
        <v>0.7883</v>
      </c>
      <c r="T337" s="1894">
        <v>0</v>
      </c>
      <c r="U337" s="1894">
        <v>37275</v>
      </c>
      <c r="V337" s="1894">
        <f t="shared" si="139"/>
        <v>103975</v>
      </c>
      <c r="W337" s="1894">
        <f t="shared" si="140"/>
        <v>0</v>
      </c>
      <c r="X337" s="1894">
        <v>222</v>
      </c>
      <c r="Y337" s="1894">
        <v>214.79999999999998</v>
      </c>
      <c r="Z337" s="1894">
        <v>222</v>
      </c>
      <c r="AA337" s="1894">
        <v>0.79720000000000002</v>
      </c>
      <c r="AB337" s="1894">
        <v>0</v>
      </c>
      <c r="AC337" s="1894">
        <v>32986</v>
      </c>
      <c r="AD337" s="1894">
        <f t="shared" si="141"/>
        <v>92794</v>
      </c>
      <c r="AE337" s="1894">
        <f t="shared" si="142"/>
        <v>0</v>
      </c>
      <c r="AF337" s="1894">
        <v>222</v>
      </c>
      <c r="AG337" s="1894">
        <v>62.4</v>
      </c>
      <c r="AH337" s="1894">
        <v>222</v>
      </c>
      <c r="AI337" s="1894">
        <v>0.78969999999999996</v>
      </c>
      <c r="AJ337" s="1894">
        <v>0</v>
      </c>
      <c r="AK337" s="1894">
        <v>12575</v>
      </c>
      <c r="AL337" s="1894">
        <f t="shared" si="135"/>
        <v>27855</v>
      </c>
      <c r="AM337" s="1894">
        <f t="shared" si="136"/>
        <v>0</v>
      </c>
      <c r="AN337" s="1894">
        <v>222</v>
      </c>
      <c r="AO337" s="1894">
        <v>123.72</v>
      </c>
      <c r="AP337" s="1894">
        <v>222</v>
      </c>
      <c r="AQ337" s="1894">
        <v>0.77280000000000004</v>
      </c>
      <c r="AR337" s="1894">
        <v>0</v>
      </c>
      <c r="AS337" s="1894">
        <v>24217</v>
      </c>
      <c r="AT337" s="1894">
        <f t="shared" si="143"/>
        <v>55229</v>
      </c>
      <c r="AU337" s="1894">
        <f t="shared" si="144"/>
        <v>0</v>
      </c>
      <c r="AV337" s="1894">
        <v>222</v>
      </c>
      <c r="AW337" s="1894">
        <v>159.96</v>
      </c>
      <c r="AX337" s="1894">
        <v>222</v>
      </c>
      <c r="AY337" s="1894">
        <v>0.7792</v>
      </c>
      <c r="AZ337" s="1894">
        <v>0</v>
      </c>
      <c r="BA337" s="1894">
        <v>32795</v>
      </c>
      <c r="BB337" s="1894">
        <f t="shared" si="145"/>
        <v>69103</v>
      </c>
      <c r="BC337" s="1894">
        <f t="shared" si="146"/>
        <v>0</v>
      </c>
      <c r="BD337" s="1894">
        <v>222</v>
      </c>
      <c r="BE337" s="1894">
        <v>120.72</v>
      </c>
      <c r="BF337" s="1894">
        <v>222</v>
      </c>
      <c r="BG337" s="1894">
        <v>0.76219999999999999</v>
      </c>
      <c r="BH337" s="1894">
        <v>0</v>
      </c>
      <c r="BI337" s="1894">
        <v>28336</v>
      </c>
      <c r="BJ337" s="1894">
        <f t="shared" si="147"/>
        <v>53889</v>
      </c>
      <c r="BK337" s="1894">
        <f t="shared" si="148"/>
        <v>0</v>
      </c>
      <c r="BL337" s="1894">
        <v>222</v>
      </c>
      <c r="BM337" s="1894">
        <v>52.440000000000005</v>
      </c>
      <c r="BN337" s="1894">
        <v>222</v>
      </c>
      <c r="BO337" s="1894">
        <v>0.20380000000000001</v>
      </c>
      <c r="BP337" s="1894">
        <v>0</v>
      </c>
      <c r="BQ337" s="1894">
        <v>10833</v>
      </c>
      <c r="BR337" s="1894">
        <f t="shared" si="149"/>
        <v>22654</v>
      </c>
      <c r="BS337" s="1894">
        <f t="shared" si="150"/>
        <v>0</v>
      </c>
      <c r="BT337" s="1894">
        <v>222</v>
      </c>
      <c r="BU337" s="1894">
        <v>59.28</v>
      </c>
      <c r="BV337" s="1894">
        <v>222</v>
      </c>
      <c r="BW337" s="1894">
        <v>8.6999999999999994E-2</v>
      </c>
      <c r="BX337" s="1894">
        <v>0</v>
      </c>
      <c r="BY337" s="1894">
        <v>11890</v>
      </c>
      <c r="BZ337" s="1894">
        <f t="shared" si="151"/>
        <v>26463</v>
      </c>
      <c r="CA337" s="1894">
        <f t="shared" si="152"/>
        <v>0</v>
      </c>
      <c r="CB337" s="1894">
        <v>222</v>
      </c>
      <c r="CC337" s="1894">
        <v>48.72</v>
      </c>
      <c r="CD337" s="1894">
        <v>222</v>
      </c>
      <c r="CE337" s="1894">
        <v>0.46039999999999998</v>
      </c>
      <c r="CF337" s="1894">
        <v>0</v>
      </c>
      <c r="CG337" s="1894">
        <v>12645</v>
      </c>
      <c r="CH337" s="1894">
        <f t="shared" si="153"/>
        <v>21749</v>
      </c>
      <c r="CI337" s="1894">
        <f t="shared" si="154"/>
        <v>0</v>
      </c>
      <c r="CJ337" s="1894">
        <v>222</v>
      </c>
      <c r="CK337" s="1894">
        <v>110.28</v>
      </c>
      <c r="CL337" s="1894">
        <v>222</v>
      </c>
      <c r="CM337" s="1894">
        <v>0.67479999999999996</v>
      </c>
      <c r="CN337" s="1894">
        <v>0</v>
      </c>
      <c r="CO337" s="1894">
        <v>13792</v>
      </c>
      <c r="CP337" s="1894">
        <f t="shared" si="155"/>
        <v>44465</v>
      </c>
      <c r="CQ337" s="1894">
        <f t="shared" si="156"/>
        <v>0</v>
      </c>
      <c r="CR337" s="1924">
        <v>222</v>
      </c>
      <c r="CS337" s="1924">
        <v>111.12</v>
      </c>
      <c r="CT337" s="1924">
        <v>222</v>
      </c>
      <c r="CU337" s="1924">
        <v>0.75660000000000005</v>
      </c>
      <c r="CV337" s="1924">
        <v>0</v>
      </c>
      <c r="CW337" s="1924">
        <v>23127</v>
      </c>
      <c r="CX337" s="1894">
        <f t="shared" si="157"/>
        <v>49604</v>
      </c>
      <c r="CY337" s="1894">
        <f t="shared" si="158"/>
        <v>0</v>
      </c>
    </row>
    <row r="338" spans="1:103">
      <c r="A338" s="982">
        <v>121000000063</v>
      </c>
      <c r="B338" s="1923">
        <f t="shared" si="159"/>
        <v>332</v>
      </c>
      <c r="C338" s="1895" t="s">
        <v>3217</v>
      </c>
      <c r="D338" s="1894" t="s">
        <v>2930</v>
      </c>
      <c r="E338" s="1895" t="s">
        <v>541</v>
      </c>
      <c r="F338" s="1894" t="s">
        <v>259</v>
      </c>
      <c r="G338" s="1924">
        <v>222</v>
      </c>
      <c r="H338" s="1894">
        <v>222</v>
      </c>
      <c r="I338" s="1894">
        <v>95.199999999999989</v>
      </c>
      <c r="J338" s="1894">
        <v>177.6</v>
      </c>
      <c r="K338" s="1894">
        <v>0.95379999999999998</v>
      </c>
      <c r="L338" s="1894">
        <v>16.420000000000002</v>
      </c>
      <c r="M338" s="1894">
        <v>9756</v>
      </c>
      <c r="N338" s="1894">
        <f t="shared" si="137"/>
        <v>41126</v>
      </c>
      <c r="O338" s="1894">
        <f t="shared" si="138"/>
        <v>0</v>
      </c>
      <c r="P338" s="1894">
        <v>222</v>
      </c>
      <c r="Q338" s="1894">
        <v>142.56</v>
      </c>
      <c r="R338" s="1894">
        <v>177.6</v>
      </c>
      <c r="S338" s="1894">
        <v>0.96779999999999999</v>
      </c>
      <c r="T338" s="1894">
        <v>27.34</v>
      </c>
      <c r="U338" s="1894">
        <v>32734</v>
      </c>
      <c r="V338" s="1894">
        <f t="shared" si="139"/>
        <v>63639</v>
      </c>
      <c r="W338" s="1894">
        <f t="shared" si="140"/>
        <v>0</v>
      </c>
      <c r="X338" s="1894">
        <v>222</v>
      </c>
      <c r="Y338" s="1894">
        <v>154.24</v>
      </c>
      <c r="Z338" s="1894">
        <v>177.6</v>
      </c>
      <c r="AA338" s="1894">
        <v>0.97860000000000003</v>
      </c>
      <c r="AB338" s="1894">
        <v>29.32</v>
      </c>
      <c r="AC338" s="1894">
        <v>32558</v>
      </c>
      <c r="AD338" s="1894">
        <f t="shared" si="141"/>
        <v>66632</v>
      </c>
      <c r="AE338" s="1894">
        <f t="shared" si="142"/>
        <v>0</v>
      </c>
      <c r="AF338" s="1894">
        <v>222</v>
      </c>
      <c r="AG338" s="1894">
        <v>152.80000000000001</v>
      </c>
      <c r="AH338" s="1894">
        <v>177.6</v>
      </c>
      <c r="AI338" s="1894">
        <v>0.97950000000000004</v>
      </c>
      <c r="AJ338" s="1894">
        <v>23.01</v>
      </c>
      <c r="AK338" s="1894">
        <v>26164</v>
      </c>
      <c r="AL338" s="1894">
        <f t="shared" si="135"/>
        <v>68210</v>
      </c>
      <c r="AM338" s="1894">
        <f t="shared" si="136"/>
        <v>0</v>
      </c>
      <c r="AN338" s="1894">
        <v>222</v>
      </c>
      <c r="AO338" s="1894">
        <v>150.56</v>
      </c>
      <c r="AP338" s="1894">
        <v>177.6</v>
      </c>
      <c r="AQ338" s="1894">
        <v>0.95950000000000002</v>
      </c>
      <c r="AR338" s="1894">
        <v>16.38</v>
      </c>
      <c r="AS338" s="1894">
        <v>18346</v>
      </c>
      <c r="AT338" s="1894">
        <f t="shared" si="143"/>
        <v>67210</v>
      </c>
      <c r="AU338" s="1894">
        <f t="shared" si="144"/>
        <v>0</v>
      </c>
      <c r="AV338" s="1894">
        <v>222</v>
      </c>
      <c r="AW338" s="1894">
        <v>135.84</v>
      </c>
      <c r="AX338" s="1894">
        <v>177.6</v>
      </c>
      <c r="AY338" s="1894">
        <v>0.97150000000000003</v>
      </c>
      <c r="AZ338" s="1894">
        <v>19.59</v>
      </c>
      <c r="BA338" s="1894">
        <v>19158</v>
      </c>
      <c r="BB338" s="1894">
        <f t="shared" si="145"/>
        <v>58683</v>
      </c>
      <c r="BC338" s="1894">
        <f t="shared" si="146"/>
        <v>0</v>
      </c>
      <c r="BD338" s="1894">
        <v>222</v>
      </c>
      <c r="BE338" s="1894">
        <v>131.84</v>
      </c>
      <c r="BF338" s="1894">
        <v>177.6</v>
      </c>
      <c r="BG338" s="1894">
        <v>0.96850000000000003</v>
      </c>
      <c r="BH338" s="1894">
        <v>25.21</v>
      </c>
      <c r="BI338" s="1894">
        <v>24724</v>
      </c>
      <c r="BJ338" s="1894">
        <f t="shared" si="147"/>
        <v>58853</v>
      </c>
      <c r="BK338" s="1894">
        <f t="shared" si="148"/>
        <v>0</v>
      </c>
      <c r="BL338" s="1894">
        <v>222</v>
      </c>
      <c r="BM338" s="1894">
        <v>121.12</v>
      </c>
      <c r="BN338" s="1894">
        <v>177.6</v>
      </c>
      <c r="BO338" s="1894">
        <v>0.92479999999999996</v>
      </c>
      <c r="BP338" s="1894">
        <v>12.05</v>
      </c>
      <c r="BQ338" s="1894">
        <v>10506</v>
      </c>
      <c r="BR338" s="1894">
        <f t="shared" si="149"/>
        <v>52324</v>
      </c>
      <c r="BS338" s="1894">
        <f t="shared" si="150"/>
        <v>0</v>
      </c>
      <c r="BT338" s="1894">
        <v>222</v>
      </c>
      <c r="BU338" s="1894">
        <v>36.480000000000004</v>
      </c>
      <c r="BV338" s="1894">
        <v>177.6</v>
      </c>
      <c r="BW338" s="1894">
        <v>0.52010000000000001</v>
      </c>
      <c r="BX338" s="1894">
        <v>5.66</v>
      </c>
      <c r="BY338" s="1894">
        <v>1238</v>
      </c>
      <c r="BZ338" s="1894">
        <f t="shared" si="151"/>
        <v>16285</v>
      </c>
      <c r="CA338" s="1894">
        <f t="shared" si="152"/>
        <v>0</v>
      </c>
      <c r="CB338" s="1894">
        <v>222</v>
      </c>
      <c r="CC338" s="1894">
        <v>0</v>
      </c>
      <c r="CD338" s="1894">
        <v>177.6</v>
      </c>
      <c r="CE338" s="1894">
        <v>0</v>
      </c>
      <c r="CF338" s="1894">
        <v>0</v>
      </c>
      <c r="CG338" s="1894">
        <v>0</v>
      </c>
      <c r="CH338" s="1894">
        <f t="shared" si="153"/>
        <v>0</v>
      </c>
      <c r="CI338" s="1894">
        <f t="shared" si="154"/>
        <v>0</v>
      </c>
      <c r="CJ338" s="1894">
        <v>222</v>
      </c>
      <c r="CK338" s="1894">
        <v>0</v>
      </c>
      <c r="CL338" s="1894">
        <v>177.6</v>
      </c>
      <c r="CM338" s="1894">
        <v>0</v>
      </c>
      <c r="CN338" s="1894">
        <v>0</v>
      </c>
      <c r="CO338" s="1894">
        <v>0</v>
      </c>
      <c r="CP338" s="1894">
        <f t="shared" si="155"/>
        <v>0</v>
      </c>
      <c r="CQ338" s="1894">
        <f t="shared" si="156"/>
        <v>0</v>
      </c>
      <c r="CR338" s="1924">
        <v>222</v>
      </c>
      <c r="CS338" s="1924">
        <v>0</v>
      </c>
      <c r="CT338" s="1924">
        <v>177.6</v>
      </c>
      <c r="CU338" s="1924">
        <v>0</v>
      </c>
      <c r="CV338" s="1924">
        <v>0</v>
      </c>
      <c r="CW338" s="1924">
        <v>0</v>
      </c>
      <c r="CX338" s="1894">
        <f t="shared" si="157"/>
        <v>0</v>
      </c>
      <c r="CY338" s="1894">
        <f t="shared" si="158"/>
        <v>0</v>
      </c>
    </row>
    <row r="339" spans="1:103">
      <c r="A339" s="982">
        <v>122000000072</v>
      </c>
      <c r="B339" s="1923">
        <f t="shared" si="159"/>
        <v>333</v>
      </c>
      <c r="C339" s="1895" t="s">
        <v>3218</v>
      </c>
      <c r="D339" s="1894" t="s">
        <v>524</v>
      </c>
      <c r="E339" s="1895" t="s">
        <v>2966</v>
      </c>
      <c r="F339" s="1894" t="s">
        <v>259</v>
      </c>
      <c r="G339" s="1924">
        <v>222</v>
      </c>
      <c r="H339" s="1894">
        <v>222</v>
      </c>
      <c r="I339" s="1894">
        <v>151.84</v>
      </c>
      <c r="J339" s="1894">
        <v>222</v>
      </c>
      <c r="K339" s="1894">
        <v>0.76649999999999996</v>
      </c>
      <c r="L339" s="1894">
        <v>0</v>
      </c>
      <c r="M339" s="1894">
        <v>29974</v>
      </c>
      <c r="N339" s="1894">
        <f t="shared" si="137"/>
        <v>65595</v>
      </c>
      <c r="O339" s="1894">
        <f t="shared" si="138"/>
        <v>0</v>
      </c>
      <c r="P339" s="1894">
        <v>222</v>
      </c>
      <c r="Q339" s="1894">
        <v>133.91999999999999</v>
      </c>
      <c r="R339" s="1894">
        <v>222</v>
      </c>
      <c r="S339" s="1894">
        <v>0.78739999999999999</v>
      </c>
      <c r="T339" s="1894">
        <v>0</v>
      </c>
      <c r="U339" s="1894">
        <v>27992</v>
      </c>
      <c r="V339" s="1894">
        <f t="shared" si="139"/>
        <v>59782</v>
      </c>
      <c r="W339" s="1894">
        <f t="shared" si="140"/>
        <v>0</v>
      </c>
      <c r="X339" s="1894">
        <v>222</v>
      </c>
      <c r="Y339" s="1894">
        <v>104.64</v>
      </c>
      <c r="Z339" s="1894">
        <v>222</v>
      </c>
      <c r="AA339" s="1894">
        <v>0.82010000000000005</v>
      </c>
      <c r="AB339" s="1894">
        <v>0</v>
      </c>
      <c r="AC339" s="1894">
        <v>22948</v>
      </c>
      <c r="AD339" s="1894">
        <f t="shared" si="141"/>
        <v>45204</v>
      </c>
      <c r="AE339" s="1894">
        <f t="shared" si="142"/>
        <v>0</v>
      </c>
      <c r="AF339" s="1894">
        <v>222</v>
      </c>
      <c r="AG339" s="1894">
        <v>158.24</v>
      </c>
      <c r="AH339" s="1894">
        <v>222</v>
      </c>
      <c r="AI339" s="1894">
        <v>0.80769999999999997</v>
      </c>
      <c r="AJ339" s="1894">
        <v>0</v>
      </c>
      <c r="AK339" s="1894">
        <v>14156</v>
      </c>
      <c r="AL339" s="1894">
        <f t="shared" si="135"/>
        <v>70638</v>
      </c>
      <c r="AM339" s="1894">
        <f t="shared" si="136"/>
        <v>0</v>
      </c>
      <c r="AN339" s="1894">
        <v>222</v>
      </c>
      <c r="AO339" s="1894">
        <v>173.44</v>
      </c>
      <c r="AP339" s="1894">
        <v>222</v>
      </c>
      <c r="AQ339" s="1894">
        <v>0.74390000000000001</v>
      </c>
      <c r="AR339" s="1894">
        <v>0</v>
      </c>
      <c r="AS339" s="1894">
        <v>33262</v>
      </c>
      <c r="AT339" s="1894">
        <f t="shared" si="143"/>
        <v>77424</v>
      </c>
      <c r="AU339" s="1894">
        <f t="shared" si="144"/>
        <v>0</v>
      </c>
      <c r="AV339" s="1894">
        <v>222</v>
      </c>
      <c r="AW339" s="1894">
        <v>185.12</v>
      </c>
      <c r="AX339" s="1894">
        <v>222</v>
      </c>
      <c r="AY339" s="1894">
        <v>0.75419999999999998</v>
      </c>
      <c r="AZ339" s="1894">
        <v>0</v>
      </c>
      <c r="BA339" s="1894">
        <v>40984</v>
      </c>
      <c r="BB339" s="1894">
        <f t="shared" si="145"/>
        <v>79972</v>
      </c>
      <c r="BC339" s="1894">
        <f t="shared" si="146"/>
        <v>0</v>
      </c>
      <c r="BD339" s="1894">
        <v>222</v>
      </c>
      <c r="BE339" s="1894">
        <v>86.08</v>
      </c>
      <c r="BF339" s="1894">
        <v>222</v>
      </c>
      <c r="BG339" s="1894">
        <v>0.71050000000000002</v>
      </c>
      <c r="BH339" s="1894">
        <v>0</v>
      </c>
      <c r="BI339" s="1894">
        <v>22592</v>
      </c>
      <c r="BJ339" s="1894">
        <f t="shared" si="147"/>
        <v>38426</v>
      </c>
      <c r="BK339" s="1894">
        <f t="shared" si="148"/>
        <v>0</v>
      </c>
      <c r="BL339" s="1894">
        <v>222</v>
      </c>
      <c r="BM339" s="1894">
        <v>56.32</v>
      </c>
      <c r="BN339" s="1894">
        <v>222</v>
      </c>
      <c r="BO339" s="1894">
        <v>0.64449999999999996</v>
      </c>
      <c r="BP339" s="1894">
        <v>0</v>
      </c>
      <c r="BQ339" s="1894">
        <v>8980</v>
      </c>
      <c r="BR339" s="1894">
        <f t="shared" si="149"/>
        <v>24330</v>
      </c>
      <c r="BS339" s="1894">
        <f t="shared" si="150"/>
        <v>0</v>
      </c>
      <c r="BT339" s="1894">
        <v>222</v>
      </c>
      <c r="BU339" s="1894">
        <v>25.919999999999998</v>
      </c>
      <c r="BV339" s="1894">
        <v>222</v>
      </c>
      <c r="BW339" s="1894">
        <v>0.4239</v>
      </c>
      <c r="BX339" s="1894">
        <v>0</v>
      </c>
      <c r="BY339" s="1894">
        <v>4628</v>
      </c>
      <c r="BZ339" s="1894">
        <f t="shared" si="151"/>
        <v>11571</v>
      </c>
      <c r="CA339" s="1894">
        <f t="shared" si="152"/>
        <v>0</v>
      </c>
      <c r="CB339" s="1894">
        <v>222</v>
      </c>
      <c r="CC339" s="1894">
        <v>29.439999999999998</v>
      </c>
      <c r="CD339" s="1894">
        <v>222</v>
      </c>
      <c r="CE339" s="1894">
        <v>0.54959999999999998</v>
      </c>
      <c r="CF339" s="1894">
        <v>0</v>
      </c>
      <c r="CG339" s="1894">
        <v>6000</v>
      </c>
      <c r="CH339" s="1894">
        <f t="shared" si="153"/>
        <v>13142</v>
      </c>
      <c r="CI339" s="1894">
        <f t="shared" si="154"/>
        <v>0</v>
      </c>
      <c r="CJ339" s="1894">
        <v>222</v>
      </c>
      <c r="CK339" s="1894">
        <v>96.16</v>
      </c>
      <c r="CL339" s="1894">
        <v>222</v>
      </c>
      <c r="CM339" s="1894">
        <v>0.74039999999999995</v>
      </c>
      <c r="CN339" s="1894">
        <v>0</v>
      </c>
      <c r="CO339" s="1894">
        <v>15992</v>
      </c>
      <c r="CP339" s="1894">
        <f t="shared" si="155"/>
        <v>38772</v>
      </c>
      <c r="CQ339" s="1894">
        <f t="shared" si="156"/>
        <v>0</v>
      </c>
      <c r="CR339" s="1924">
        <v>222</v>
      </c>
      <c r="CS339" s="1924">
        <v>101.27999999999999</v>
      </c>
      <c r="CT339" s="1924">
        <v>222</v>
      </c>
      <c r="CU339" s="1924">
        <v>0.72389999999999999</v>
      </c>
      <c r="CV339" s="1924">
        <v>0</v>
      </c>
      <c r="CW339" s="1924">
        <v>18932</v>
      </c>
      <c r="CX339" s="1894">
        <f t="shared" si="157"/>
        <v>45211</v>
      </c>
      <c r="CY339" s="1894">
        <f t="shared" si="158"/>
        <v>0</v>
      </c>
    </row>
    <row r="340" spans="1:103">
      <c r="A340" s="982">
        <v>611000000080</v>
      </c>
      <c r="B340" s="1923">
        <f t="shared" si="159"/>
        <v>334</v>
      </c>
      <c r="C340" s="1895" t="s">
        <v>3219</v>
      </c>
      <c r="D340" s="1894" t="s">
        <v>524</v>
      </c>
      <c r="E340" s="1895" t="s">
        <v>541</v>
      </c>
      <c r="F340" s="1894" t="s">
        <v>259</v>
      </c>
      <c r="G340" s="1924">
        <v>222</v>
      </c>
      <c r="H340" s="1894">
        <v>222</v>
      </c>
      <c r="I340" s="1894">
        <v>204.72</v>
      </c>
      <c r="J340" s="1894">
        <v>204.72</v>
      </c>
      <c r="K340" s="1894">
        <v>0.78090000000000004</v>
      </c>
      <c r="L340" s="1894">
        <v>11.62</v>
      </c>
      <c r="M340" s="1894">
        <v>19406</v>
      </c>
      <c r="N340" s="1894">
        <f t="shared" si="137"/>
        <v>88439</v>
      </c>
      <c r="O340" s="1894">
        <f t="shared" si="138"/>
        <v>0</v>
      </c>
      <c r="P340" s="1894">
        <v>222</v>
      </c>
      <c r="Q340" s="1894">
        <v>210.6</v>
      </c>
      <c r="R340" s="1894">
        <v>210.6</v>
      </c>
      <c r="S340" s="1894">
        <v>0.77859999999999996</v>
      </c>
      <c r="T340" s="1894">
        <v>10.68</v>
      </c>
      <c r="U340" s="1894">
        <v>15661</v>
      </c>
      <c r="V340" s="1894">
        <f t="shared" si="139"/>
        <v>94012</v>
      </c>
      <c r="W340" s="1894">
        <f t="shared" si="140"/>
        <v>0</v>
      </c>
      <c r="X340" s="1894">
        <v>222</v>
      </c>
      <c r="Y340" s="1894">
        <v>209.39999999999998</v>
      </c>
      <c r="Z340" s="1894">
        <v>209.4</v>
      </c>
      <c r="AA340" s="1894">
        <v>0.76759999999999995</v>
      </c>
      <c r="AB340" s="1894">
        <v>10.42</v>
      </c>
      <c r="AC340" s="1894">
        <v>17799</v>
      </c>
      <c r="AD340" s="1894">
        <f t="shared" si="141"/>
        <v>90461</v>
      </c>
      <c r="AE340" s="1894">
        <f t="shared" si="142"/>
        <v>0</v>
      </c>
      <c r="AF340" s="1894">
        <v>222</v>
      </c>
      <c r="AG340" s="1894">
        <v>214.55999999999997</v>
      </c>
      <c r="AH340" s="1894">
        <v>214.56</v>
      </c>
      <c r="AI340" s="1894">
        <v>0.74760000000000004</v>
      </c>
      <c r="AJ340" s="1894">
        <v>10.08</v>
      </c>
      <c r="AK340" s="1894">
        <v>14538</v>
      </c>
      <c r="AL340" s="1894">
        <f t="shared" si="135"/>
        <v>95780</v>
      </c>
      <c r="AM340" s="1894">
        <f t="shared" si="136"/>
        <v>0</v>
      </c>
      <c r="AN340" s="1894">
        <v>222</v>
      </c>
      <c r="AO340" s="1894">
        <v>217.55999999999997</v>
      </c>
      <c r="AP340" s="1894">
        <v>217.56</v>
      </c>
      <c r="AQ340" s="1894">
        <v>0.75480000000000003</v>
      </c>
      <c r="AR340" s="1894">
        <v>9.82</v>
      </c>
      <c r="AS340" s="1894">
        <v>17436</v>
      </c>
      <c r="AT340" s="1894">
        <f t="shared" si="143"/>
        <v>97119</v>
      </c>
      <c r="AU340" s="1894">
        <f t="shared" si="144"/>
        <v>0</v>
      </c>
      <c r="AV340" s="1894">
        <v>222</v>
      </c>
      <c r="AW340" s="1894">
        <v>222.71999999999997</v>
      </c>
      <c r="AX340" s="1894">
        <v>222.72</v>
      </c>
      <c r="AY340" s="1894">
        <v>0.74939999999999996</v>
      </c>
      <c r="AZ340" s="1894">
        <v>10.49</v>
      </c>
      <c r="BA340" s="1894">
        <v>16828</v>
      </c>
      <c r="BB340" s="1894">
        <f t="shared" si="145"/>
        <v>96215</v>
      </c>
      <c r="BC340" s="1894">
        <f t="shared" si="146"/>
        <v>0</v>
      </c>
      <c r="BD340" s="1894">
        <v>222</v>
      </c>
      <c r="BE340" s="1894">
        <v>231.6</v>
      </c>
      <c r="BF340" s="1894">
        <v>231.6</v>
      </c>
      <c r="BG340" s="1894">
        <v>0.70169999999999999</v>
      </c>
      <c r="BH340" s="1894">
        <v>9.69</v>
      </c>
      <c r="BI340" s="1894">
        <v>16694</v>
      </c>
      <c r="BJ340" s="1894">
        <f t="shared" si="147"/>
        <v>103386</v>
      </c>
      <c r="BK340" s="1894">
        <f t="shared" si="148"/>
        <v>0</v>
      </c>
      <c r="BL340" s="1894">
        <v>222</v>
      </c>
      <c r="BM340" s="1894">
        <v>252.72</v>
      </c>
      <c r="BN340" s="1894">
        <v>252.72</v>
      </c>
      <c r="BO340" s="1894">
        <v>0.65820000000000001</v>
      </c>
      <c r="BP340" s="1894">
        <v>10.16</v>
      </c>
      <c r="BQ340" s="1894">
        <v>18491</v>
      </c>
      <c r="BR340" s="1894">
        <f t="shared" si="149"/>
        <v>109175</v>
      </c>
      <c r="BS340" s="1894">
        <f t="shared" si="150"/>
        <v>0</v>
      </c>
      <c r="BT340" s="1894">
        <v>222</v>
      </c>
      <c r="BU340" s="1894">
        <v>263.15999999999997</v>
      </c>
      <c r="BV340" s="1894">
        <v>263.16000000000003</v>
      </c>
      <c r="BW340" s="1894">
        <v>0.61660000000000004</v>
      </c>
      <c r="BX340" s="1894">
        <v>10.23</v>
      </c>
      <c r="BY340" s="1894">
        <v>20029</v>
      </c>
      <c r="BZ340" s="1894">
        <f t="shared" si="151"/>
        <v>117475</v>
      </c>
      <c r="CA340" s="1894">
        <f t="shared" si="152"/>
        <v>0</v>
      </c>
      <c r="CB340" s="1894">
        <v>222</v>
      </c>
      <c r="CC340" s="1894">
        <v>257.52000000000004</v>
      </c>
      <c r="CD340" s="1894">
        <v>257.52</v>
      </c>
      <c r="CE340" s="1894">
        <v>0.63780000000000003</v>
      </c>
      <c r="CF340" s="1894">
        <v>10.29</v>
      </c>
      <c r="CG340" s="1894">
        <v>19722</v>
      </c>
      <c r="CH340" s="1894">
        <f t="shared" si="153"/>
        <v>114957</v>
      </c>
      <c r="CI340" s="1894">
        <f t="shared" si="154"/>
        <v>0</v>
      </c>
      <c r="CJ340" s="1894">
        <v>222</v>
      </c>
      <c r="CK340" s="1894">
        <v>245.88</v>
      </c>
      <c r="CL340" s="1894">
        <v>245.88</v>
      </c>
      <c r="CM340" s="1894">
        <v>0.66149999999999998</v>
      </c>
      <c r="CN340" s="1894">
        <v>9.35</v>
      </c>
      <c r="CO340" s="1894">
        <v>15455</v>
      </c>
      <c r="CP340" s="1894">
        <f t="shared" si="155"/>
        <v>99139</v>
      </c>
      <c r="CQ340" s="1894">
        <f t="shared" si="156"/>
        <v>0</v>
      </c>
      <c r="CR340" s="1924">
        <v>222</v>
      </c>
      <c r="CS340" s="1924">
        <v>237</v>
      </c>
      <c r="CT340" s="1924">
        <v>237</v>
      </c>
      <c r="CU340" s="1924">
        <v>0.67869999999999997</v>
      </c>
      <c r="CV340" s="1924">
        <v>8.33</v>
      </c>
      <c r="CW340" s="1924">
        <v>14694</v>
      </c>
      <c r="CX340" s="1894">
        <f t="shared" si="157"/>
        <v>105797</v>
      </c>
      <c r="CY340" s="1894">
        <f t="shared" si="158"/>
        <v>0</v>
      </c>
    </row>
    <row r="341" spans="1:103">
      <c r="A341" s="982">
        <v>613000000020</v>
      </c>
      <c r="B341" s="1923">
        <f t="shared" si="159"/>
        <v>335</v>
      </c>
      <c r="C341" s="1895" t="s">
        <v>3220</v>
      </c>
      <c r="D341" s="1894" t="s">
        <v>524</v>
      </c>
      <c r="E341" s="1895" t="s">
        <v>629</v>
      </c>
      <c r="F341" s="1894" t="s">
        <v>259</v>
      </c>
      <c r="G341" s="1924">
        <v>222</v>
      </c>
      <c r="H341" s="1894">
        <v>222</v>
      </c>
      <c r="I341" s="1894">
        <v>40.800000000000004</v>
      </c>
      <c r="J341" s="1894">
        <v>222</v>
      </c>
      <c r="K341" s="1894">
        <v>0.88119999999999998</v>
      </c>
      <c r="L341" s="1894">
        <v>0</v>
      </c>
      <c r="M341" s="1894">
        <v>13722</v>
      </c>
      <c r="N341" s="1894">
        <f t="shared" si="137"/>
        <v>17626</v>
      </c>
      <c r="O341" s="1894">
        <f t="shared" si="138"/>
        <v>0</v>
      </c>
      <c r="P341" s="1894">
        <v>222</v>
      </c>
      <c r="Q341" s="1894">
        <v>40.32</v>
      </c>
      <c r="R341" s="1894">
        <v>222</v>
      </c>
      <c r="S341" s="1894">
        <v>0.89910000000000001</v>
      </c>
      <c r="T341" s="1894">
        <v>0</v>
      </c>
      <c r="U341" s="1894">
        <v>14772</v>
      </c>
      <c r="V341" s="1894">
        <f t="shared" si="139"/>
        <v>17999</v>
      </c>
      <c r="W341" s="1894">
        <f t="shared" si="140"/>
        <v>0</v>
      </c>
      <c r="X341" s="1894">
        <v>222</v>
      </c>
      <c r="Y341" s="1894">
        <v>39.96</v>
      </c>
      <c r="Z341" s="1894">
        <v>222</v>
      </c>
      <c r="AA341" s="1894">
        <v>0.87380000000000002</v>
      </c>
      <c r="AB341" s="1894">
        <v>0</v>
      </c>
      <c r="AC341" s="1894">
        <v>14988</v>
      </c>
      <c r="AD341" s="1894">
        <f t="shared" si="141"/>
        <v>17263</v>
      </c>
      <c r="AE341" s="1894">
        <f t="shared" si="142"/>
        <v>0</v>
      </c>
      <c r="AF341" s="1894">
        <v>222</v>
      </c>
      <c r="AG341" s="1894">
        <v>59.64</v>
      </c>
      <c r="AH341" s="1894">
        <v>222</v>
      </c>
      <c r="AI341" s="1894">
        <v>0.82089999999999996</v>
      </c>
      <c r="AJ341" s="1894">
        <v>0</v>
      </c>
      <c r="AK341" s="1894">
        <v>13447</v>
      </c>
      <c r="AL341" s="1894">
        <f t="shared" si="135"/>
        <v>26623</v>
      </c>
      <c r="AM341" s="1894">
        <f t="shared" si="136"/>
        <v>0</v>
      </c>
      <c r="AN341" s="1894">
        <v>222</v>
      </c>
      <c r="AO341" s="1894">
        <v>32.64</v>
      </c>
      <c r="AP341" s="1894">
        <v>222</v>
      </c>
      <c r="AQ341" s="1894">
        <v>0.83279999999999998</v>
      </c>
      <c r="AR341" s="1894">
        <v>0</v>
      </c>
      <c r="AS341" s="1894">
        <v>13982</v>
      </c>
      <c r="AT341" s="1894">
        <f t="shared" si="143"/>
        <v>14570</v>
      </c>
      <c r="AU341" s="1894">
        <f t="shared" si="144"/>
        <v>0</v>
      </c>
      <c r="AV341" s="1894">
        <v>222</v>
      </c>
      <c r="AW341" s="1894">
        <v>36</v>
      </c>
      <c r="AX341" s="1894">
        <v>222</v>
      </c>
      <c r="AY341" s="1894">
        <v>0.84379999999999999</v>
      </c>
      <c r="AZ341" s="1894">
        <v>0</v>
      </c>
      <c r="BA341" s="1894">
        <v>15089</v>
      </c>
      <c r="BB341" s="1894">
        <f t="shared" si="145"/>
        <v>15552</v>
      </c>
      <c r="BC341" s="1894">
        <f t="shared" si="146"/>
        <v>0</v>
      </c>
      <c r="BD341" s="1894">
        <v>222</v>
      </c>
      <c r="BE341" s="1894">
        <v>31.919999999999998</v>
      </c>
      <c r="BF341" s="1894">
        <v>222</v>
      </c>
      <c r="BG341" s="1894">
        <v>0.75749999999999995</v>
      </c>
      <c r="BH341" s="1894">
        <v>0</v>
      </c>
      <c r="BI341" s="1894">
        <v>12660</v>
      </c>
      <c r="BJ341" s="1894">
        <f t="shared" si="147"/>
        <v>14249</v>
      </c>
      <c r="BK341" s="1894">
        <f t="shared" si="148"/>
        <v>0</v>
      </c>
      <c r="BL341" s="1894">
        <v>222</v>
      </c>
      <c r="BM341" s="1894">
        <v>32.64</v>
      </c>
      <c r="BN341" s="1894">
        <v>222</v>
      </c>
      <c r="BO341" s="1894">
        <v>0.6825</v>
      </c>
      <c r="BP341" s="1894">
        <v>0</v>
      </c>
      <c r="BQ341" s="1894">
        <v>12526</v>
      </c>
      <c r="BR341" s="1894">
        <f t="shared" si="149"/>
        <v>14100</v>
      </c>
      <c r="BS341" s="1894">
        <f t="shared" si="150"/>
        <v>0</v>
      </c>
      <c r="BT341" s="1894">
        <v>222</v>
      </c>
      <c r="BU341" s="1894">
        <v>31.2</v>
      </c>
      <c r="BV341" s="1894">
        <v>222</v>
      </c>
      <c r="BW341" s="1894">
        <v>0.66969999999999996</v>
      </c>
      <c r="BX341" s="1894">
        <v>0</v>
      </c>
      <c r="BY341" s="1894">
        <v>13258</v>
      </c>
      <c r="BZ341" s="1894">
        <f t="shared" si="151"/>
        <v>13928</v>
      </c>
      <c r="CA341" s="1894">
        <f t="shared" si="152"/>
        <v>0</v>
      </c>
      <c r="CB341" s="1894">
        <v>222</v>
      </c>
      <c r="CC341" s="1894">
        <v>27.96</v>
      </c>
      <c r="CD341" s="1894">
        <v>222</v>
      </c>
      <c r="CE341" s="1894">
        <v>0.69079999999999997</v>
      </c>
      <c r="CF341" s="1894">
        <v>0</v>
      </c>
      <c r="CG341" s="1894">
        <v>11742</v>
      </c>
      <c r="CH341" s="1894">
        <f t="shared" si="153"/>
        <v>12481</v>
      </c>
      <c r="CI341" s="1894">
        <f t="shared" si="154"/>
        <v>0</v>
      </c>
      <c r="CJ341" s="1894">
        <v>222</v>
      </c>
      <c r="CK341" s="1894">
        <v>36.24</v>
      </c>
      <c r="CL341" s="1894">
        <v>222</v>
      </c>
      <c r="CM341" s="1894">
        <v>0.73409999999999997</v>
      </c>
      <c r="CN341" s="1894">
        <v>0</v>
      </c>
      <c r="CO341" s="1894">
        <v>10730</v>
      </c>
      <c r="CP341" s="1894">
        <f t="shared" si="155"/>
        <v>14612</v>
      </c>
      <c r="CQ341" s="1894">
        <f t="shared" si="156"/>
        <v>0</v>
      </c>
      <c r="CR341" s="1924">
        <v>222</v>
      </c>
      <c r="CS341" s="1924">
        <v>31.44</v>
      </c>
      <c r="CT341" s="1924">
        <v>222</v>
      </c>
      <c r="CU341" s="1924">
        <v>0.79510000000000003</v>
      </c>
      <c r="CV341" s="1924">
        <v>0</v>
      </c>
      <c r="CW341" s="1924">
        <v>12017</v>
      </c>
      <c r="CX341" s="1894">
        <f t="shared" si="157"/>
        <v>14035</v>
      </c>
      <c r="CY341" s="1894">
        <f t="shared" si="158"/>
        <v>0</v>
      </c>
    </row>
    <row r="342" spans="1:103">
      <c r="A342" s="982">
        <v>621000000038</v>
      </c>
      <c r="B342" s="1923">
        <f t="shared" si="159"/>
        <v>336</v>
      </c>
      <c r="C342" s="1895" t="s">
        <v>3221</v>
      </c>
      <c r="D342" s="1894" t="s">
        <v>524</v>
      </c>
      <c r="E342" s="1895" t="s">
        <v>636</v>
      </c>
      <c r="F342" s="1894" t="s">
        <v>259</v>
      </c>
      <c r="G342" s="1924">
        <v>222</v>
      </c>
      <c r="H342" s="1894">
        <v>222</v>
      </c>
      <c r="I342" s="1894">
        <v>180.8</v>
      </c>
      <c r="J342" s="1894">
        <v>180.8</v>
      </c>
      <c r="K342" s="1894">
        <v>0.97130000000000005</v>
      </c>
      <c r="L342" s="1894">
        <v>58.27</v>
      </c>
      <c r="M342" s="1894">
        <v>75852</v>
      </c>
      <c r="N342" s="1894">
        <f t="shared" si="137"/>
        <v>78106</v>
      </c>
      <c r="O342" s="1894">
        <f t="shared" si="138"/>
        <v>0</v>
      </c>
      <c r="P342" s="1894">
        <v>222</v>
      </c>
      <c r="Q342" s="1894">
        <v>189.12</v>
      </c>
      <c r="R342" s="1894">
        <v>189.12</v>
      </c>
      <c r="S342" s="1894">
        <v>0.96619999999999995</v>
      </c>
      <c r="T342" s="1894">
        <v>55.57</v>
      </c>
      <c r="U342" s="1894">
        <v>78188</v>
      </c>
      <c r="V342" s="1894">
        <f t="shared" si="139"/>
        <v>84423</v>
      </c>
      <c r="W342" s="1894">
        <f t="shared" si="140"/>
        <v>0</v>
      </c>
      <c r="X342" s="1894">
        <v>222</v>
      </c>
      <c r="Y342" s="1894">
        <v>204.16</v>
      </c>
      <c r="Z342" s="1894">
        <v>204.16</v>
      </c>
      <c r="AA342" s="1894">
        <v>0.96760000000000002</v>
      </c>
      <c r="AB342" s="1894">
        <v>45</v>
      </c>
      <c r="AC342" s="1894">
        <v>61740</v>
      </c>
      <c r="AD342" s="1894">
        <f t="shared" si="141"/>
        <v>88197</v>
      </c>
      <c r="AE342" s="1894">
        <f t="shared" si="142"/>
        <v>0</v>
      </c>
      <c r="AF342" s="1894">
        <v>222</v>
      </c>
      <c r="AG342" s="1894">
        <v>175.36</v>
      </c>
      <c r="AH342" s="1894">
        <v>177.6</v>
      </c>
      <c r="AI342" s="1894">
        <v>0.97130000000000005</v>
      </c>
      <c r="AJ342" s="1894">
        <v>54.95</v>
      </c>
      <c r="AK342" s="1894">
        <v>76314</v>
      </c>
      <c r="AL342" s="1894">
        <f t="shared" si="135"/>
        <v>78281</v>
      </c>
      <c r="AM342" s="1894">
        <f t="shared" si="136"/>
        <v>0</v>
      </c>
      <c r="AN342" s="1894">
        <v>222</v>
      </c>
      <c r="AO342" s="1894">
        <v>179.84</v>
      </c>
      <c r="AP342" s="1894">
        <v>179.84</v>
      </c>
      <c r="AQ342" s="1894">
        <v>0.97699999999999998</v>
      </c>
      <c r="AR342" s="1894">
        <v>52.29</v>
      </c>
      <c r="AS342" s="1894">
        <v>58678</v>
      </c>
      <c r="AT342" s="1894">
        <f t="shared" si="143"/>
        <v>80281</v>
      </c>
      <c r="AU342" s="1894">
        <f t="shared" si="144"/>
        <v>0</v>
      </c>
      <c r="AV342" s="1894">
        <v>222</v>
      </c>
      <c r="AW342" s="1894">
        <v>185.44</v>
      </c>
      <c r="AX342" s="1894">
        <v>185.44</v>
      </c>
      <c r="AY342" s="1894">
        <v>0.9748</v>
      </c>
      <c r="AZ342" s="1894">
        <v>40.96</v>
      </c>
      <c r="BA342" s="1894">
        <v>63806</v>
      </c>
      <c r="BB342" s="1894">
        <f t="shared" si="145"/>
        <v>80110</v>
      </c>
      <c r="BC342" s="1894">
        <f t="shared" si="146"/>
        <v>0</v>
      </c>
      <c r="BD342" s="1894">
        <v>222</v>
      </c>
      <c r="BE342" s="1894">
        <v>167.68</v>
      </c>
      <c r="BF342" s="1894">
        <v>177.6</v>
      </c>
      <c r="BG342" s="1894">
        <v>0.96879999999999999</v>
      </c>
      <c r="BH342" s="1894">
        <v>42.88</v>
      </c>
      <c r="BI342" s="1894">
        <v>53498</v>
      </c>
      <c r="BJ342" s="1894">
        <f t="shared" si="147"/>
        <v>74852</v>
      </c>
      <c r="BK342" s="1894">
        <f t="shared" si="148"/>
        <v>0</v>
      </c>
      <c r="BL342" s="1894">
        <v>222</v>
      </c>
      <c r="BM342" s="1894">
        <v>181.28</v>
      </c>
      <c r="BN342" s="1894">
        <v>181.28</v>
      </c>
      <c r="BO342" s="1894">
        <v>0.97389999999999999</v>
      </c>
      <c r="BP342" s="1894">
        <v>40.119999999999997</v>
      </c>
      <c r="BQ342" s="1894">
        <v>50624</v>
      </c>
      <c r="BR342" s="1894">
        <f t="shared" si="149"/>
        <v>78313</v>
      </c>
      <c r="BS342" s="1894">
        <f t="shared" si="150"/>
        <v>0</v>
      </c>
      <c r="BT342" s="1894">
        <v>222</v>
      </c>
      <c r="BU342" s="1894">
        <v>190.56</v>
      </c>
      <c r="BV342" s="1894">
        <v>190.56</v>
      </c>
      <c r="BW342" s="1894">
        <v>0.97499999999999998</v>
      </c>
      <c r="BX342" s="1894">
        <v>44.39</v>
      </c>
      <c r="BY342" s="1894">
        <v>64966</v>
      </c>
      <c r="BZ342" s="1894">
        <f t="shared" si="151"/>
        <v>85066</v>
      </c>
      <c r="CA342" s="1894">
        <f t="shared" si="152"/>
        <v>0</v>
      </c>
      <c r="CB342" s="1894">
        <v>222</v>
      </c>
      <c r="CC342" s="1894">
        <v>223.68</v>
      </c>
      <c r="CD342" s="1894">
        <v>223.68</v>
      </c>
      <c r="CE342" s="1894">
        <v>0.97430000000000005</v>
      </c>
      <c r="CF342" s="1894">
        <v>37.97</v>
      </c>
      <c r="CG342" s="1894">
        <v>63188</v>
      </c>
      <c r="CH342" s="1894">
        <f t="shared" si="153"/>
        <v>99851</v>
      </c>
      <c r="CI342" s="1894">
        <f t="shared" si="154"/>
        <v>0</v>
      </c>
      <c r="CJ342" s="1894">
        <v>222</v>
      </c>
      <c r="CK342" s="1894">
        <v>182.72</v>
      </c>
      <c r="CL342" s="1894">
        <v>182.72</v>
      </c>
      <c r="CM342" s="1894">
        <v>0.96970000000000001</v>
      </c>
      <c r="CN342" s="1894">
        <v>41.62</v>
      </c>
      <c r="CO342" s="1894">
        <v>51100</v>
      </c>
      <c r="CP342" s="1894">
        <f t="shared" si="155"/>
        <v>73673</v>
      </c>
      <c r="CQ342" s="1894">
        <f t="shared" si="156"/>
        <v>0</v>
      </c>
      <c r="CR342" s="1924">
        <v>222</v>
      </c>
      <c r="CS342" s="1924">
        <v>170.72</v>
      </c>
      <c r="CT342" s="1924">
        <v>177.6</v>
      </c>
      <c r="CU342" s="1924">
        <v>0.96919999999999995</v>
      </c>
      <c r="CV342" s="1924">
        <v>47.75</v>
      </c>
      <c r="CW342" s="1924">
        <v>60654</v>
      </c>
      <c r="CX342" s="1894">
        <f t="shared" si="157"/>
        <v>76209</v>
      </c>
      <c r="CY342" s="1894">
        <f t="shared" si="158"/>
        <v>0</v>
      </c>
    </row>
    <row r="343" spans="1:103">
      <c r="A343" s="982">
        <v>122000000094</v>
      </c>
      <c r="B343" s="1923">
        <f t="shared" si="159"/>
        <v>337</v>
      </c>
      <c r="C343" s="1895" t="s">
        <v>3222</v>
      </c>
      <c r="D343" s="1894" t="s">
        <v>524</v>
      </c>
      <c r="E343" s="1895" t="s">
        <v>636</v>
      </c>
      <c r="F343" s="1894" t="s">
        <v>259</v>
      </c>
      <c r="G343" s="1924">
        <v>223</v>
      </c>
      <c r="H343" s="1894">
        <v>223</v>
      </c>
      <c r="I343" s="1894">
        <v>139.19999999999999</v>
      </c>
      <c r="J343" s="1894">
        <v>178.4</v>
      </c>
      <c r="K343" s="1894">
        <v>0.9587</v>
      </c>
      <c r="L343" s="1894">
        <v>25.86</v>
      </c>
      <c r="M343" s="1894">
        <v>24194</v>
      </c>
      <c r="N343" s="1894">
        <f t="shared" si="137"/>
        <v>60134</v>
      </c>
      <c r="O343" s="1894">
        <f t="shared" si="138"/>
        <v>0</v>
      </c>
      <c r="P343" s="1894">
        <v>223</v>
      </c>
      <c r="Q343" s="1894">
        <v>133.20000000000002</v>
      </c>
      <c r="R343" s="1894">
        <v>178.4</v>
      </c>
      <c r="S343" s="1894">
        <v>0.95620000000000005</v>
      </c>
      <c r="T343" s="1894">
        <v>29.08</v>
      </c>
      <c r="U343" s="1894">
        <v>30680</v>
      </c>
      <c r="V343" s="1894">
        <f t="shared" si="139"/>
        <v>59460</v>
      </c>
      <c r="W343" s="1894">
        <f t="shared" si="140"/>
        <v>0</v>
      </c>
      <c r="X343" s="1894">
        <v>223</v>
      </c>
      <c r="Y343" s="1894">
        <v>119.83999999999999</v>
      </c>
      <c r="Z343" s="1894">
        <v>178.4</v>
      </c>
      <c r="AA343" s="1894">
        <v>0.94579999999999997</v>
      </c>
      <c r="AB343" s="1894">
        <v>29.1</v>
      </c>
      <c r="AC343" s="1894">
        <v>25108</v>
      </c>
      <c r="AD343" s="1894">
        <f t="shared" si="141"/>
        <v>51771</v>
      </c>
      <c r="AE343" s="1894">
        <f t="shared" si="142"/>
        <v>0</v>
      </c>
      <c r="AF343" s="1894">
        <v>223</v>
      </c>
      <c r="AG343" s="1894">
        <v>126.08</v>
      </c>
      <c r="AH343" s="1894">
        <v>178.4</v>
      </c>
      <c r="AI343" s="1894">
        <v>0.93459999999999999</v>
      </c>
      <c r="AJ343" s="1894">
        <v>22.69</v>
      </c>
      <c r="AK343" s="1894">
        <v>21286</v>
      </c>
      <c r="AL343" s="1894">
        <f t="shared" si="135"/>
        <v>56282</v>
      </c>
      <c r="AM343" s="1894">
        <f t="shared" si="136"/>
        <v>0</v>
      </c>
      <c r="AN343" s="1894">
        <v>223</v>
      </c>
      <c r="AO343" s="1894">
        <v>4.6399999999999997</v>
      </c>
      <c r="AP343" s="1894">
        <v>178.4</v>
      </c>
      <c r="AQ343" s="1894">
        <v>0.93769999999999998</v>
      </c>
      <c r="AR343" s="1894">
        <v>678.59</v>
      </c>
      <c r="AS343" s="1894">
        <v>23426</v>
      </c>
      <c r="AT343" s="1894">
        <f t="shared" si="143"/>
        <v>2071</v>
      </c>
      <c r="AU343" s="1894">
        <f t="shared" si="144"/>
        <v>21355</v>
      </c>
      <c r="AV343" s="1894">
        <v>223</v>
      </c>
      <c r="AW343" s="1894">
        <v>132.95999999999998</v>
      </c>
      <c r="AX343" s="1894">
        <v>178.4</v>
      </c>
      <c r="AY343" s="1894">
        <v>0.94410000000000005</v>
      </c>
      <c r="AZ343" s="1894">
        <v>25.5</v>
      </c>
      <c r="BA343" s="1894">
        <v>24408</v>
      </c>
      <c r="BB343" s="1894">
        <f t="shared" si="145"/>
        <v>57439</v>
      </c>
      <c r="BC343" s="1894">
        <f t="shared" si="146"/>
        <v>0</v>
      </c>
      <c r="BD343" s="1894">
        <v>223</v>
      </c>
      <c r="BE343" s="1894">
        <v>139.68</v>
      </c>
      <c r="BF343" s="1894">
        <v>178.4</v>
      </c>
      <c r="BG343" s="1894">
        <v>0.92379999999999995</v>
      </c>
      <c r="BH343" s="1894">
        <v>22.65</v>
      </c>
      <c r="BI343" s="1894">
        <v>23534</v>
      </c>
      <c r="BJ343" s="1894">
        <f t="shared" si="147"/>
        <v>62353</v>
      </c>
      <c r="BK343" s="1894">
        <f t="shared" si="148"/>
        <v>0</v>
      </c>
      <c r="BL343" s="1894">
        <v>223</v>
      </c>
      <c r="BM343" s="1894">
        <v>105.11999999999999</v>
      </c>
      <c r="BN343" s="1894">
        <v>178.4</v>
      </c>
      <c r="BO343" s="1894">
        <v>0.8931</v>
      </c>
      <c r="BP343" s="1894">
        <v>25.46</v>
      </c>
      <c r="BQ343" s="1894">
        <v>19272</v>
      </c>
      <c r="BR343" s="1894">
        <f t="shared" si="149"/>
        <v>45412</v>
      </c>
      <c r="BS343" s="1894">
        <f t="shared" si="150"/>
        <v>0</v>
      </c>
      <c r="BT343" s="1894">
        <v>223</v>
      </c>
      <c r="BU343" s="1894">
        <v>75.2</v>
      </c>
      <c r="BV343" s="1894">
        <v>178.4</v>
      </c>
      <c r="BW343" s="1894">
        <v>0.86150000000000004</v>
      </c>
      <c r="BX343" s="1894">
        <v>25.22</v>
      </c>
      <c r="BY343" s="1894">
        <v>14112</v>
      </c>
      <c r="BZ343" s="1894">
        <f t="shared" si="151"/>
        <v>33569</v>
      </c>
      <c r="CA343" s="1894">
        <f t="shared" si="152"/>
        <v>0</v>
      </c>
      <c r="CB343" s="1894">
        <v>223</v>
      </c>
      <c r="CC343" s="1894">
        <v>104.80000000000001</v>
      </c>
      <c r="CD343" s="1894">
        <v>178.4</v>
      </c>
      <c r="CE343" s="1894">
        <v>0.88829999999999998</v>
      </c>
      <c r="CF343" s="1894">
        <v>19.66</v>
      </c>
      <c r="CG343" s="1894">
        <v>15332</v>
      </c>
      <c r="CH343" s="1894">
        <f t="shared" si="153"/>
        <v>46783</v>
      </c>
      <c r="CI343" s="1894">
        <f t="shared" si="154"/>
        <v>0</v>
      </c>
      <c r="CJ343" s="1894">
        <v>223</v>
      </c>
      <c r="CK343" s="1894">
        <v>91.52</v>
      </c>
      <c r="CL343" s="1894">
        <v>178.4</v>
      </c>
      <c r="CM343" s="1894">
        <v>0.9234</v>
      </c>
      <c r="CN343" s="1894">
        <v>28.29</v>
      </c>
      <c r="CO343" s="1894">
        <v>17396</v>
      </c>
      <c r="CP343" s="1894">
        <f t="shared" si="155"/>
        <v>36901</v>
      </c>
      <c r="CQ343" s="1894">
        <f t="shared" si="156"/>
        <v>0</v>
      </c>
      <c r="CR343" s="1924">
        <v>223</v>
      </c>
      <c r="CS343" s="1924">
        <v>94.72</v>
      </c>
      <c r="CT343" s="1924">
        <v>178.4</v>
      </c>
      <c r="CU343" s="1924">
        <v>0.93169999999999997</v>
      </c>
      <c r="CV343" s="1924">
        <v>31.08</v>
      </c>
      <c r="CW343" s="1924">
        <v>21902</v>
      </c>
      <c r="CX343" s="1894">
        <f t="shared" si="157"/>
        <v>42283</v>
      </c>
      <c r="CY343" s="1894">
        <f t="shared" si="158"/>
        <v>0</v>
      </c>
    </row>
    <row r="344" spans="1:103">
      <c r="A344" s="982">
        <v>126000000051</v>
      </c>
      <c r="B344" s="1923">
        <f t="shared" si="159"/>
        <v>338</v>
      </c>
      <c r="C344" s="1895" t="s">
        <v>3223</v>
      </c>
      <c r="D344" s="1894" t="s">
        <v>524</v>
      </c>
      <c r="E344" s="1895" t="s">
        <v>737</v>
      </c>
      <c r="F344" s="1894" t="s">
        <v>259</v>
      </c>
      <c r="G344" s="1924">
        <v>223</v>
      </c>
      <c r="H344" s="1894">
        <v>223</v>
      </c>
      <c r="I344" s="1894">
        <v>11.2</v>
      </c>
      <c r="J344" s="1894">
        <v>178.4</v>
      </c>
      <c r="K344" s="1894">
        <v>0.99109999999999998</v>
      </c>
      <c r="L344" s="1894">
        <v>16.89</v>
      </c>
      <c r="M344" s="1894">
        <v>1362</v>
      </c>
      <c r="N344" s="1894">
        <f t="shared" si="137"/>
        <v>4838</v>
      </c>
      <c r="O344" s="1894">
        <f t="shared" si="138"/>
        <v>0</v>
      </c>
      <c r="P344" s="1894">
        <v>223</v>
      </c>
      <c r="Q344" s="1894">
        <v>10.4</v>
      </c>
      <c r="R344" s="1894">
        <v>178.4</v>
      </c>
      <c r="S344" s="1894">
        <v>0.99609999999999999</v>
      </c>
      <c r="T344" s="1894">
        <v>16.79</v>
      </c>
      <c r="U344" s="1894">
        <v>1299</v>
      </c>
      <c r="V344" s="1894">
        <f t="shared" si="139"/>
        <v>4643</v>
      </c>
      <c r="W344" s="1894">
        <f t="shared" si="140"/>
        <v>0</v>
      </c>
      <c r="X344" s="1894">
        <v>223</v>
      </c>
      <c r="Y344" s="1894">
        <v>13.6</v>
      </c>
      <c r="Z344" s="1894">
        <v>178.4</v>
      </c>
      <c r="AA344" s="1894">
        <v>0.9869</v>
      </c>
      <c r="AB344" s="1894">
        <v>10.94</v>
      </c>
      <c r="AC344" s="1894">
        <v>1071</v>
      </c>
      <c r="AD344" s="1894">
        <f t="shared" si="141"/>
        <v>5875</v>
      </c>
      <c r="AE344" s="1894">
        <f t="shared" si="142"/>
        <v>0</v>
      </c>
      <c r="AF344" s="1894">
        <v>223</v>
      </c>
      <c r="AG344" s="1894">
        <v>10.4</v>
      </c>
      <c r="AH344" s="1894">
        <v>178.4</v>
      </c>
      <c r="AI344" s="1894">
        <v>0.99350000000000005</v>
      </c>
      <c r="AJ344" s="1894">
        <v>11.99</v>
      </c>
      <c r="AK344" s="1894">
        <v>928</v>
      </c>
      <c r="AL344" s="1894">
        <f t="shared" si="135"/>
        <v>4643</v>
      </c>
      <c r="AM344" s="1894">
        <f t="shared" si="136"/>
        <v>0</v>
      </c>
      <c r="AN344" s="1894">
        <v>223</v>
      </c>
      <c r="AO344" s="1894">
        <v>10.4</v>
      </c>
      <c r="AP344" s="1894">
        <v>178.4</v>
      </c>
      <c r="AQ344" s="1894">
        <v>0.98319999999999996</v>
      </c>
      <c r="AR344" s="1894">
        <v>14.14</v>
      </c>
      <c r="AS344" s="1894">
        <v>953</v>
      </c>
      <c r="AT344" s="1894">
        <f t="shared" si="143"/>
        <v>4643</v>
      </c>
      <c r="AU344" s="1894">
        <f t="shared" si="144"/>
        <v>0</v>
      </c>
      <c r="AV344" s="1894">
        <v>223</v>
      </c>
      <c r="AW344" s="1894">
        <v>11.2</v>
      </c>
      <c r="AX344" s="1894">
        <v>178.4</v>
      </c>
      <c r="AY344" s="1894">
        <v>0.98770000000000002</v>
      </c>
      <c r="AZ344" s="1894">
        <v>13.37</v>
      </c>
      <c r="BA344" s="1894">
        <v>1222</v>
      </c>
      <c r="BB344" s="1894">
        <f t="shared" si="145"/>
        <v>4838</v>
      </c>
      <c r="BC344" s="1894">
        <f t="shared" si="146"/>
        <v>0</v>
      </c>
      <c r="BD344" s="1894">
        <v>223</v>
      </c>
      <c r="BE344" s="1894">
        <v>66.400000000000006</v>
      </c>
      <c r="BF344" s="1894">
        <v>178.4</v>
      </c>
      <c r="BG344" s="1894">
        <v>0.9839</v>
      </c>
      <c r="BH344" s="1894">
        <v>2.14</v>
      </c>
      <c r="BI344" s="1894">
        <v>1059</v>
      </c>
      <c r="BJ344" s="1894">
        <f t="shared" si="147"/>
        <v>29641</v>
      </c>
      <c r="BK344" s="1894">
        <f t="shared" si="148"/>
        <v>0</v>
      </c>
      <c r="BL344" s="1894">
        <v>223</v>
      </c>
      <c r="BM344" s="1894">
        <v>8</v>
      </c>
      <c r="BN344" s="1894">
        <v>178.4</v>
      </c>
      <c r="BO344" s="1894">
        <v>0.95609999999999995</v>
      </c>
      <c r="BP344" s="1894">
        <v>16.23</v>
      </c>
      <c r="BQ344" s="1894">
        <v>935</v>
      </c>
      <c r="BR344" s="1894">
        <f t="shared" si="149"/>
        <v>3456</v>
      </c>
      <c r="BS344" s="1894">
        <f t="shared" si="150"/>
        <v>0</v>
      </c>
      <c r="BT344" s="1894">
        <v>223</v>
      </c>
      <c r="BU344" s="1894">
        <v>10.4</v>
      </c>
      <c r="BV344" s="1894">
        <v>178.4</v>
      </c>
      <c r="BW344" s="1894">
        <v>0.98070000000000002</v>
      </c>
      <c r="BX344" s="1894">
        <v>28.24</v>
      </c>
      <c r="BY344" s="1894">
        <v>2185</v>
      </c>
      <c r="BZ344" s="1894">
        <f t="shared" si="151"/>
        <v>4643</v>
      </c>
      <c r="CA344" s="1894">
        <f t="shared" si="152"/>
        <v>0</v>
      </c>
      <c r="CB344" s="1894">
        <v>223</v>
      </c>
      <c r="CC344" s="1894">
        <v>10.4</v>
      </c>
      <c r="CD344" s="1894">
        <v>178.4</v>
      </c>
      <c r="CE344" s="1894">
        <v>0.99329999999999996</v>
      </c>
      <c r="CF344" s="1894">
        <v>37.08</v>
      </c>
      <c r="CG344" s="1894">
        <v>2869</v>
      </c>
      <c r="CH344" s="1894">
        <f t="shared" si="153"/>
        <v>4643</v>
      </c>
      <c r="CI344" s="1894">
        <f t="shared" si="154"/>
        <v>0</v>
      </c>
      <c r="CJ344" s="1894">
        <v>223</v>
      </c>
      <c r="CK344" s="1894">
        <v>12.8</v>
      </c>
      <c r="CL344" s="1894">
        <v>178.4</v>
      </c>
      <c r="CM344" s="1894">
        <v>0.99539999999999995</v>
      </c>
      <c r="CN344" s="1894">
        <v>33.35</v>
      </c>
      <c r="CO344" s="1894">
        <v>2869</v>
      </c>
      <c r="CP344" s="1894">
        <f t="shared" si="155"/>
        <v>5161</v>
      </c>
      <c r="CQ344" s="1894">
        <f t="shared" si="156"/>
        <v>0</v>
      </c>
      <c r="CR344" s="1924">
        <v>223</v>
      </c>
      <c r="CS344" s="1924">
        <v>13.6</v>
      </c>
      <c r="CT344" s="1924">
        <v>178.4</v>
      </c>
      <c r="CU344" s="1924">
        <v>0.99770000000000003</v>
      </c>
      <c r="CV344" s="1924">
        <v>39.799999999999997</v>
      </c>
      <c r="CW344" s="1924">
        <v>4027</v>
      </c>
      <c r="CX344" s="1894">
        <f t="shared" si="157"/>
        <v>6071</v>
      </c>
      <c r="CY344" s="1894">
        <f t="shared" si="158"/>
        <v>0</v>
      </c>
    </row>
    <row r="345" spans="1:103">
      <c r="A345" s="982">
        <v>121000000071</v>
      </c>
      <c r="B345" s="1923">
        <f t="shared" si="159"/>
        <v>339</v>
      </c>
      <c r="C345" s="1895" t="s">
        <v>3224</v>
      </c>
      <c r="D345" s="1894" t="s">
        <v>524</v>
      </c>
      <c r="E345" s="1895" t="s">
        <v>2966</v>
      </c>
      <c r="F345" s="1894" t="s">
        <v>259</v>
      </c>
      <c r="G345" s="1924">
        <v>223</v>
      </c>
      <c r="H345" s="1894">
        <v>223</v>
      </c>
      <c r="I345" s="1894">
        <v>168.96</v>
      </c>
      <c r="J345" s="1894">
        <v>223</v>
      </c>
      <c r="K345" s="1894">
        <v>0.3795</v>
      </c>
      <c r="L345" s="1894">
        <v>0</v>
      </c>
      <c r="M345" s="1894">
        <v>40401</v>
      </c>
      <c r="N345" s="1894">
        <f t="shared" si="137"/>
        <v>72991</v>
      </c>
      <c r="O345" s="1894">
        <f t="shared" si="138"/>
        <v>0</v>
      </c>
      <c r="P345" s="1894">
        <v>223</v>
      </c>
      <c r="Q345" s="1894">
        <v>210.23999999999998</v>
      </c>
      <c r="R345" s="1894">
        <v>223</v>
      </c>
      <c r="S345" s="1894">
        <v>0.63629999999999998</v>
      </c>
      <c r="T345" s="1894">
        <v>0</v>
      </c>
      <c r="U345" s="1894">
        <v>39216</v>
      </c>
      <c r="V345" s="1894">
        <f t="shared" si="139"/>
        <v>93851</v>
      </c>
      <c r="W345" s="1894">
        <f t="shared" si="140"/>
        <v>0</v>
      </c>
      <c r="X345" s="1894">
        <v>223</v>
      </c>
      <c r="Y345" s="1894">
        <v>151.91999999999999</v>
      </c>
      <c r="Z345" s="1894">
        <v>223</v>
      </c>
      <c r="AA345" s="1894">
        <v>0.67920000000000003</v>
      </c>
      <c r="AB345" s="1894">
        <v>0</v>
      </c>
      <c r="AC345" s="1894">
        <v>56523</v>
      </c>
      <c r="AD345" s="1894">
        <f t="shared" si="141"/>
        <v>65629</v>
      </c>
      <c r="AE345" s="1894">
        <f t="shared" si="142"/>
        <v>0</v>
      </c>
      <c r="AF345" s="1894">
        <v>223</v>
      </c>
      <c r="AG345" s="1894">
        <v>115.92</v>
      </c>
      <c r="AH345" s="1894">
        <v>223</v>
      </c>
      <c r="AI345" s="1894">
        <v>0.26229999999999998</v>
      </c>
      <c r="AJ345" s="1894">
        <v>0</v>
      </c>
      <c r="AK345" s="1894">
        <v>30114</v>
      </c>
      <c r="AL345" s="1894">
        <f t="shared" si="135"/>
        <v>51747</v>
      </c>
      <c r="AM345" s="1894">
        <f t="shared" si="136"/>
        <v>0</v>
      </c>
      <c r="AN345" s="1894">
        <v>223</v>
      </c>
      <c r="AO345" s="1894">
        <v>119.76</v>
      </c>
      <c r="AP345" s="1894">
        <v>223</v>
      </c>
      <c r="AQ345" s="1894">
        <v>4.8899999999999999E-2</v>
      </c>
      <c r="AR345" s="1894">
        <v>0</v>
      </c>
      <c r="AS345" s="1894">
        <v>23709</v>
      </c>
      <c r="AT345" s="1894">
        <f t="shared" si="143"/>
        <v>53461</v>
      </c>
      <c r="AU345" s="1894">
        <f t="shared" si="144"/>
        <v>0</v>
      </c>
      <c r="AV345" s="1894">
        <v>223</v>
      </c>
      <c r="AW345" s="1894">
        <v>129.36000000000001</v>
      </c>
      <c r="AX345" s="1894">
        <v>223</v>
      </c>
      <c r="AY345" s="1894">
        <v>0.16869999999999999</v>
      </c>
      <c r="AZ345" s="1894">
        <v>0</v>
      </c>
      <c r="BA345" s="1894">
        <v>20850</v>
      </c>
      <c r="BB345" s="1894">
        <f t="shared" si="145"/>
        <v>55884</v>
      </c>
      <c r="BC345" s="1894">
        <f t="shared" si="146"/>
        <v>0</v>
      </c>
      <c r="BD345" s="1894">
        <v>223</v>
      </c>
      <c r="BE345" s="1894">
        <v>155.51999999999998</v>
      </c>
      <c r="BF345" s="1894">
        <v>223</v>
      </c>
      <c r="BG345" s="1894">
        <v>0.1694</v>
      </c>
      <c r="BH345" s="1894">
        <v>0</v>
      </c>
      <c r="BI345" s="1894">
        <v>49869</v>
      </c>
      <c r="BJ345" s="1894">
        <f t="shared" si="147"/>
        <v>69424</v>
      </c>
      <c r="BK345" s="1894">
        <f t="shared" si="148"/>
        <v>0</v>
      </c>
      <c r="BL345" s="1894">
        <v>223</v>
      </c>
      <c r="BM345" s="1894">
        <v>161.52000000000001</v>
      </c>
      <c r="BN345" s="1894">
        <v>223</v>
      </c>
      <c r="BO345" s="1894">
        <v>0.1792</v>
      </c>
      <c r="BP345" s="1894">
        <v>0</v>
      </c>
      <c r="BQ345" s="1894">
        <v>60924</v>
      </c>
      <c r="BR345" s="1894">
        <f t="shared" si="149"/>
        <v>69777</v>
      </c>
      <c r="BS345" s="1894">
        <f t="shared" si="150"/>
        <v>0</v>
      </c>
      <c r="BT345" s="1894">
        <v>223</v>
      </c>
      <c r="BU345" s="1894">
        <v>136.08000000000001</v>
      </c>
      <c r="BV345" s="1894">
        <v>223</v>
      </c>
      <c r="BW345" s="1894">
        <v>6.9500000000000006E-2</v>
      </c>
      <c r="BX345" s="1894">
        <v>0</v>
      </c>
      <c r="BY345" s="1894">
        <v>40131</v>
      </c>
      <c r="BZ345" s="1894">
        <f t="shared" si="151"/>
        <v>60746</v>
      </c>
      <c r="CA345" s="1894">
        <f t="shared" si="152"/>
        <v>0</v>
      </c>
      <c r="CB345" s="1894">
        <v>223</v>
      </c>
      <c r="CC345" s="1894">
        <v>95.28</v>
      </c>
      <c r="CD345" s="1894">
        <v>223</v>
      </c>
      <c r="CE345" s="1894">
        <v>8.9399999999999993E-2</v>
      </c>
      <c r="CF345" s="1894">
        <v>0</v>
      </c>
      <c r="CG345" s="1894">
        <v>29043</v>
      </c>
      <c r="CH345" s="1894">
        <f t="shared" si="153"/>
        <v>42533</v>
      </c>
      <c r="CI345" s="1894">
        <f t="shared" si="154"/>
        <v>0</v>
      </c>
      <c r="CJ345" s="1894">
        <v>223</v>
      </c>
      <c r="CK345" s="1894">
        <v>122.88000000000001</v>
      </c>
      <c r="CL345" s="1894">
        <v>223</v>
      </c>
      <c r="CM345" s="1894">
        <v>0.1492</v>
      </c>
      <c r="CN345" s="1894">
        <v>0</v>
      </c>
      <c r="CO345" s="1894">
        <v>26277</v>
      </c>
      <c r="CP345" s="1894">
        <f t="shared" si="155"/>
        <v>49545</v>
      </c>
      <c r="CQ345" s="1894">
        <f t="shared" si="156"/>
        <v>0</v>
      </c>
      <c r="CR345" s="1924">
        <v>223</v>
      </c>
      <c r="CS345" s="1924">
        <v>78.48</v>
      </c>
      <c r="CT345" s="1924">
        <v>223</v>
      </c>
      <c r="CU345" s="1924">
        <v>0.72750000000000004</v>
      </c>
      <c r="CV345" s="1924">
        <v>0</v>
      </c>
      <c r="CW345" s="1924">
        <v>18486</v>
      </c>
      <c r="CX345" s="1894">
        <f t="shared" si="157"/>
        <v>35033</v>
      </c>
      <c r="CY345" s="1894">
        <f t="shared" si="158"/>
        <v>0</v>
      </c>
    </row>
    <row r="346" spans="1:103">
      <c r="A346" s="982">
        <v>421000000010</v>
      </c>
      <c r="B346" s="1923">
        <f t="shared" si="159"/>
        <v>340</v>
      </c>
      <c r="C346" s="1895" t="s">
        <v>3225</v>
      </c>
      <c r="D346" s="1894" t="s">
        <v>2930</v>
      </c>
      <c r="E346" s="1895" t="s">
        <v>541</v>
      </c>
      <c r="F346" s="1894" t="s">
        <v>259</v>
      </c>
      <c r="G346" s="1924">
        <v>223</v>
      </c>
      <c r="H346" s="1894">
        <v>223</v>
      </c>
      <c r="I346" s="1894">
        <v>129.47999999999999</v>
      </c>
      <c r="J346" s="1894">
        <v>178.4</v>
      </c>
      <c r="K346" s="1894">
        <v>0.67879999999999996</v>
      </c>
      <c r="L346" s="1894">
        <v>21.41</v>
      </c>
      <c r="M346" s="1894">
        <v>19292</v>
      </c>
      <c r="N346" s="1894">
        <f t="shared" si="137"/>
        <v>55935</v>
      </c>
      <c r="O346" s="1894">
        <f t="shared" si="138"/>
        <v>0</v>
      </c>
      <c r="P346" s="1894">
        <v>223</v>
      </c>
      <c r="Q346" s="1894">
        <v>124.32</v>
      </c>
      <c r="R346" s="1894">
        <v>178.4</v>
      </c>
      <c r="S346" s="1894">
        <v>0.69710000000000005</v>
      </c>
      <c r="T346" s="1894">
        <v>15</v>
      </c>
      <c r="U346" s="1894">
        <v>15660</v>
      </c>
      <c r="V346" s="1894">
        <f t="shared" si="139"/>
        <v>55496</v>
      </c>
      <c r="W346" s="1894">
        <f t="shared" si="140"/>
        <v>0</v>
      </c>
      <c r="X346" s="1894">
        <v>223</v>
      </c>
      <c r="Y346" s="1894">
        <v>90.240000000000009</v>
      </c>
      <c r="Z346" s="1894">
        <v>178.4</v>
      </c>
      <c r="AA346" s="1894">
        <v>0.75329999999999997</v>
      </c>
      <c r="AB346" s="1894">
        <v>2.99</v>
      </c>
      <c r="AC346" s="1894">
        <v>1942</v>
      </c>
      <c r="AD346" s="1894">
        <f t="shared" si="141"/>
        <v>38984</v>
      </c>
      <c r="AE346" s="1894">
        <f t="shared" si="142"/>
        <v>0</v>
      </c>
      <c r="AF346" s="1894">
        <v>223</v>
      </c>
      <c r="AG346" s="1894">
        <v>58.2</v>
      </c>
      <c r="AH346" s="1894">
        <v>178.4</v>
      </c>
      <c r="AI346" s="1894">
        <v>0.68049999999999999</v>
      </c>
      <c r="AJ346" s="1894">
        <v>3.83</v>
      </c>
      <c r="AK346" s="1894">
        <v>1659</v>
      </c>
      <c r="AL346" s="1894">
        <f t="shared" si="135"/>
        <v>25980</v>
      </c>
      <c r="AM346" s="1894">
        <f t="shared" si="136"/>
        <v>0</v>
      </c>
      <c r="AN346" s="1894">
        <v>223</v>
      </c>
      <c r="AO346" s="1894">
        <v>13.919999999999998</v>
      </c>
      <c r="AP346" s="1894">
        <v>178.4</v>
      </c>
      <c r="AQ346" s="1894">
        <v>0.74750000000000005</v>
      </c>
      <c r="AR346" s="1894">
        <v>10.02</v>
      </c>
      <c r="AS346" s="1894">
        <v>1038</v>
      </c>
      <c r="AT346" s="1894">
        <f t="shared" si="143"/>
        <v>6214</v>
      </c>
      <c r="AU346" s="1894">
        <f t="shared" si="144"/>
        <v>0</v>
      </c>
      <c r="AV346" s="1894">
        <v>223</v>
      </c>
      <c r="AW346" s="1894">
        <v>1.44</v>
      </c>
      <c r="AX346" s="1894">
        <v>178.4</v>
      </c>
      <c r="AY346" s="1894">
        <v>0.88160000000000005</v>
      </c>
      <c r="AZ346" s="1894">
        <v>69.25</v>
      </c>
      <c r="BA346" s="1894">
        <v>718</v>
      </c>
      <c r="BB346" s="1894">
        <f t="shared" si="145"/>
        <v>622</v>
      </c>
      <c r="BC346" s="1894">
        <f t="shared" si="146"/>
        <v>96</v>
      </c>
      <c r="BD346" s="1894">
        <v>223</v>
      </c>
      <c r="BE346" s="1894">
        <v>6.48</v>
      </c>
      <c r="BF346" s="1894">
        <v>178.4</v>
      </c>
      <c r="BG346" s="1894">
        <v>0.46660000000000001</v>
      </c>
      <c r="BH346" s="1894">
        <v>26.56</v>
      </c>
      <c r="BI346" s="1894">
        <v>1198</v>
      </c>
      <c r="BJ346" s="1894">
        <f t="shared" si="147"/>
        <v>2893</v>
      </c>
      <c r="BK346" s="1894">
        <f t="shared" si="148"/>
        <v>0</v>
      </c>
      <c r="BL346" s="1894">
        <v>223</v>
      </c>
      <c r="BM346" s="1894">
        <v>31.8</v>
      </c>
      <c r="BN346" s="1894">
        <v>178.4</v>
      </c>
      <c r="BO346" s="1894">
        <v>0.36899999999999999</v>
      </c>
      <c r="BP346" s="1894">
        <v>12.43</v>
      </c>
      <c r="BQ346" s="1894">
        <v>2940</v>
      </c>
      <c r="BR346" s="1894">
        <f t="shared" si="149"/>
        <v>13738</v>
      </c>
      <c r="BS346" s="1894">
        <f t="shared" si="150"/>
        <v>0</v>
      </c>
      <c r="BT346" s="1894">
        <v>223</v>
      </c>
      <c r="BU346" s="1894">
        <v>24.6</v>
      </c>
      <c r="BV346" s="1894">
        <v>178.4</v>
      </c>
      <c r="BW346" s="1894">
        <v>0.30009999999999998</v>
      </c>
      <c r="BX346" s="1894">
        <v>15.11</v>
      </c>
      <c r="BY346" s="1894">
        <v>2855</v>
      </c>
      <c r="BZ346" s="1894">
        <f t="shared" si="151"/>
        <v>10981</v>
      </c>
      <c r="CA346" s="1894">
        <f t="shared" si="152"/>
        <v>0</v>
      </c>
      <c r="CB346" s="1894">
        <v>223</v>
      </c>
      <c r="CC346" s="1894">
        <v>11.04</v>
      </c>
      <c r="CD346" s="1894">
        <v>178.4</v>
      </c>
      <c r="CE346" s="1894">
        <v>0.25750000000000001</v>
      </c>
      <c r="CF346" s="1894">
        <v>28.5</v>
      </c>
      <c r="CG346" s="1894">
        <v>2341</v>
      </c>
      <c r="CH346" s="1894">
        <f t="shared" si="153"/>
        <v>4928</v>
      </c>
      <c r="CI346" s="1894">
        <f t="shared" si="154"/>
        <v>0</v>
      </c>
      <c r="CJ346" s="1894">
        <v>223</v>
      </c>
      <c r="CK346" s="1894">
        <v>6</v>
      </c>
      <c r="CL346" s="1894">
        <v>178.4</v>
      </c>
      <c r="CM346" s="1894">
        <v>0.29120000000000001</v>
      </c>
      <c r="CN346" s="1894">
        <v>53.4</v>
      </c>
      <c r="CO346" s="1894">
        <v>2153</v>
      </c>
      <c r="CP346" s="1894">
        <f t="shared" si="155"/>
        <v>2419</v>
      </c>
      <c r="CQ346" s="1894">
        <f t="shared" si="156"/>
        <v>0</v>
      </c>
      <c r="CR346" s="1924">
        <v>223</v>
      </c>
      <c r="CS346" s="1924">
        <v>23.04</v>
      </c>
      <c r="CT346" s="1924">
        <v>178.4</v>
      </c>
      <c r="CU346" s="1924">
        <v>0.255</v>
      </c>
      <c r="CV346" s="1924">
        <v>14.48</v>
      </c>
      <c r="CW346" s="1924">
        <v>1682</v>
      </c>
      <c r="CX346" s="1894">
        <f t="shared" si="157"/>
        <v>10285</v>
      </c>
      <c r="CY346" s="1894">
        <f t="shared" si="158"/>
        <v>0</v>
      </c>
    </row>
    <row r="347" spans="1:103">
      <c r="A347" s="982">
        <v>615000000056</v>
      </c>
      <c r="B347" s="1923">
        <f t="shared" si="159"/>
        <v>341</v>
      </c>
      <c r="C347" s="1895" t="s">
        <v>3226</v>
      </c>
      <c r="D347" s="1894" t="s">
        <v>524</v>
      </c>
      <c r="E347" s="1895" t="s">
        <v>541</v>
      </c>
      <c r="F347" s="1894" t="s">
        <v>259</v>
      </c>
      <c r="G347" s="1924">
        <v>224</v>
      </c>
      <c r="H347" s="1894">
        <v>0</v>
      </c>
      <c r="I347" s="1894">
        <v>0</v>
      </c>
      <c r="J347" s="1894">
        <v>0</v>
      </c>
      <c r="K347" s="1894">
        <v>0</v>
      </c>
      <c r="L347" s="1894">
        <v>0</v>
      </c>
      <c r="M347" s="1894">
        <v>0</v>
      </c>
      <c r="N347" s="1894">
        <f t="shared" si="137"/>
        <v>0</v>
      </c>
      <c r="O347" s="1894">
        <f t="shared" si="138"/>
        <v>0</v>
      </c>
      <c r="P347" s="1894">
        <v>0</v>
      </c>
      <c r="Q347" s="1894">
        <v>0</v>
      </c>
      <c r="R347" s="1894">
        <v>0</v>
      </c>
      <c r="S347" s="1894">
        <v>0</v>
      </c>
      <c r="T347" s="1894">
        <v>0</v>
      </c>
      <c r="U347" s="1894">
        <v>0</v>
      </c>
      <c r="V347" s="1894">
        <f t="shared" si="139"/>
        <v>0</v>
      </c>
      <c r="W347" s="1894">
        <f t="shared" si="140"/>
        <v>0</v>
      </c>
      <c r="X347" s="1894">
        <v>0</v>
      </c>
      <c r="Y347" s="1894">
        <v>0</v>
      </c>
      <c r="Z347" s="1894">
        <v>0</v>
      </c>
      <c r="AA347" s="1894">
        <v>0</v>
      </c>
      <c r="AB347" s="1894">
        <v>0</v>
      </c>
      <c r="AC347" s="1894">
        <v>0</v>
      </c>
      <c r="AD347" s="1894">
        <f t="shared" si="141"/>
        <v>0</v>
      </c>
      <c r="AE347" s="1894">
        <f t="shared" si="142"/>
        <v>0</v>
      </c>
      <c r="AF347" s="1894">
        <v>224</v>
      </c>
      <c r="AG347" s="1894">
        <v>194.79999999999998</v>
      </c>
      <c r="AH347" s="1894">
        <v>194.8</v>
      </c>
      <c r="AI347" s="1894">
        <v>0.7349</v>
      </c>
      <c r="AJ347" s="1894">
        <v>7.65</v>
      </c>
      <c r="AK347" s="1894">
        <v>14314</v>
      </c>
      <c r="AL347" s="1894">
        <f t="shared" si="135"/>
        <v>86959</v>
      </c>
      <c r="AM347" s="1894">
        <f t="shared" si="136"/>
        <v>0</v>
      </c>
      <c r="AN347" s="1894">
        <v>224</v>
      </c>
      <c r="AO347" s="1894">
        <v>148</v>
      </c>
      <c r="AP347" s="1894">
        <v>179.2</v>
      </c>
      <c r="AQ347" s="1894">
        <v>0.54810000000000003</v>
      </c>
      <c r="AR347" s="1894">
        <v>2.06</v>
      </c>
      <c r="AS347" s="1894">
        <v>2120</v>
      </c>
      <c r="AT347" s="1894">
        <f t="shared" si="143"/>
        <v>66067</v>
      </c>
      <c r="AU347" s="1894">
        <f t="shared" si="144"/>
        <v>0</v>
      </c>
      <c r="AV347" s="1894">
        <v>224</v>
      </c>
      <c r="AW347" s="1894">
        <v>143.44</v>
      </c>
      <c r="AX347" s="1894">
        <v>179.2</v>
      </c>
      <c r="AY347" s="1894">
        <v>0.4541</v>
      </c>
      <c r="AZ347" s="1894">
        <v>1.92</v>
      </c>
      <c r="BA347" s="1894">
        <v>2052</v>
      </c>
      <c r="BB347" s="1894">
        <f t="shared" si="145"/>
        <v>61966</v>
      </c>
      <c r="BC347" s="1894">
        <f t="shared" si="146"/>
        <v>0</v>
      </c>
      <c r="BD347" s="1894">
        <v>224</v>
      </c>
      <c r="BE347" s="1894">
        <v>14.799999999999999</v>
      </c>
      <c r="BF347" s="1894">
        <v>179.2</v>
      </c>
      <c r="BG347" s="1894">
        <v>0.43419999999999997</v>
      </c>
      <c r="BH347" s="1894">
        <v>17.399999999999999</v>
      </c>
      <c r="BI347" s="1894">
        <v>1978</v>
      </c>
      <c r="BJ347" s="1894">
        <f t="shared" si="147"/>
        <v>6607</v>
      </c>
      <c r="BK347" s="1894">
        <f t="shared" si="148"/>
        <v>0</v>
      </c>
      <c r="BL347" s="1894">
        <v>224</v>
      </c>
      <c r="BM347" s="1894">
        <v>3.04</v>
      </c>
      <c r="BN347" s="1894">
        <v>179.2</v>
      </c>
      <c r="BO347" s="1894">
        <v>0.44440000000000002</v>
      </c>
      <c r="BP347" s="1894">
        <v>81.41</v>
      </c>
      <c r="BQ347" s="1894">
        <v>1782</v>
      </c>
      <c r="BR347" s="1894">
        <f t="shared" si="149"/>
        <v>1313</v>
      </c>
      <c r="BS347" s="1894">
        <f t="shared" si="150"/>
        <v>469</v>
      </c>
      <c r="BT347" s="1894">
        <v>224</v>
      </c>
      <c r="BU347" s="1894">
        <v>2.8000000000000003</v>
      </c>
      <c r="BV347" s="1894">
        <v>179.2</v>
      </c>
      <c r="BW347" s="1894">
        <v>0.37340000000000001</v>
      </c>
      <c r="BX347" s="1894">
        <v>80.599999999999994</v>
      </c>
      <c r="BY347" s="1894">
        <v>1679</v>
      </c>
      <c r="BZ347" s="1894">
        <f t="shared" si="151"/>
        <v>1250</v>
      </c>
      <c r="CA347" s="1894">
        <f t="shared" si="152"/>
        <v>429</v>
      </c>
      <c r="CB347" s="1894">
        <v>224</v>
      </c>
      <c r="CC347" s="1894">
        <v>2.88</v>
      </c>
      <c r="CD347" s="1894">
        <v>179.2</v>
      </c>
      <c r="CE347" s="1894">
        <v>0.35580000000000001</v>
      </c>
      <c r="CF347" s="1894">
        <v>76.72</v>
      </c>
      <c r="CG347" s="1894">
        <v>1644</v>
      </c>
      <c r="CH347" s="1894">
        <f t="shared" si="153"/>
        <v>1286</v>
      </c>
      <c r="CI347" s="1894">
        <f t="shared" si="154"/>
        <v>358</v>
      </c>
      <c r="CJ347" s="1894">
        <v>224</v>
      </c>
      <c r="CK347" s="1894">
        <v>174.96</v>
      </c>
      <c r="CL347" s="1894">
        <v>179.2</v>
      </c>
      <c r="CM347" s="1894">
        <v>0.81189999999999996</v>
      </c>
      <c r="CN347" s="1894">
        <v>5.91</v>
      </c>
      <c r="CO347" s="1894">
        <v>6944</v>
      </c>
      <c r="CP347" s="1894">
        <f t="shared" si="155"/>
        <v>70544</v>
      </c>
      <c r="CQ347" s="1894">
        <f t="shared" si="156"/>
        <v>0</v>
      </c>
      <c r="CR347" s="1924">
        <v>224</v>
      </c>
      <c r="CS347" s="1924">
        <v>219.68</v>
      </c>
      <c r="CT347" s="1924">
        <v>219.68</v>
      </c>
      <c r="CU347" s="1924">
        <v>0.87109999999999999</v>
      </c>
      <c r="CV347" s="1924">
        <v>12.17</v>
      </c>
      <c r="CW347" s="1924">
        <v>19891</v>
      </c>
      <c r="CX347" s="1894">
        <f t="shared" si="157"/>
        <v>98065</v>
      </c>
      <c r="CY347" s="1894">
        <f t="shared" si="158"/>
        <v>0</v>
      </c>
    </row>
    <row r="348" spans="1:103">
      <c r="A348" s="982">
        <v>123000000133</v>
      </c>
      <c r="B348" s="1923">
        <f t="shared" si="159"/>
        <v>342</v>
      </c>
      <c r="C348" s="1895" t="s">
        <v>3227</v>
      </c>
      <c r="D348" s="1894" t="s">
        <v>524</v>
      </c>
      <c r="E348" s="1895" t="s">
        <v>541</v>
      </c>
      <c r="F348" s="1894" t="s">
        <v>259</v>
      </c>
      <c r="G348" s="1924">
        <v>225</v>
      </c>
      <c r="H348" s="1894">
        <v>0</v>
      </c>
      <c r="I348" s="1894">
        <v>0</v>
      </c>
      <c r="J348" s="1894">
        <v>0</v>
      </c>
      <c r="K348" s="1894">
        <v>0</v>
      </c>
      <c r="L348" s="1894">
        <v>0</v>
      </c>
      <c r="M348" s="1894">
        <v>0</v>
      </c>
      <c r="N348" s="1894">
        <f t="shared" si="137"/>
        <v>0</v>
      </c>
      <c r="O348" s="1894">
        <f t="shared" si="138"/>
        <v>0</v>
      </c>
      <c r="P348" s="1894">
        <v>0</v>
      </c>
      <c r="Q348" s="1894">
        <v>0</v>
      </c>
      <c r="R348" s="1894">
        <v>0</v>
      </c>
      <c r="S348" s="1894">
        <v>0</v>
      </c>
      <c r="T348" s="1894">
        <v>0</v>
      </c>
      <c r="U348" s="1894">
        <v>0</v>
      </c>
      <c r="V348" s="1894">
        <f t="shared" si="139"/>
        <v>0</v>
      </c>
      <c r="W348" s="1894">
        <f t="shared" si="140"/>
        <v>0</v>
      </c>
      <c r="X348" s="1894">
        <v>225</v>
      </c>
      <c r="Y348" s="1894">
        <v>73.11999999999999</v>
      </c>
      <c r="Z348" s="1894">
        <v>180</v>
      </c>
      <c r="AA348" s="1894">
        <v>0.46750000000000003</v>
      </c>
      <c r="AB348" s="1894">
        <v>0.68</v>
      </c>
      <c r="AC348" s="1894">
        <v>154</v>
      </c>
      <c r="AD348" s="1894">
        <f t="shared" si="141"/>
        <v>31588</v>
      </c>
      <c r="AE348" s="1894">
        <f t="shared" si="142"/>
        <v>0</v>
      </c>
      <c r="AF348" s="1894">
        <v>225</v>
      </c>
      <c r="AG348" s="1894">
        <v>6.5600000000000005</v>
      </c>
      <c r="AH348" s="1894">
        <v>180</v>
      </c>
      <c r="AI348" s="1894">
        <v>0.63090000000000002</v>
      </c>
      <c r="AJ348" s="1894">
        <v>19.87</v>
      </c>
      <c r="AK348" s="1894">
        <v>970</v>
      </c>
      <c r="AL348" s="1894">
        <f t="shared" si="135"/>
        <v>2928</v>
      </c>
      <c r="AM348" s="1894">
        <f t="shared" si="136"/>
        <v>0</v>
      </c>
      <c r="AN348" s="1894">
        <v>225</v>
      </c>
      <c r="AO348" s="1894">
        <v>0</v>
      </c>
      <c r="AP348" s="1894">
        <v>180</v>
      </c>
      <c r="AQ348" s="1894">
        <v>0.65669999999999995</v>
      </c>
      <c r="AR348" s="1894">
        <v>0.4</v>
      </c>
      <c r="AS348" s="1894">
        <v>670</v>
      </c>
      <c r="AT348" s="1894">
        <f t="shared" si="143"/>
        <v>0</v>
      </c>
      <c r="AU348" s="1894">
        <f t="shared" si="144"/>
        <v>670</v>
      </c>
      <c r="AV348" s="1894">
        <v>225</v>
      </c>
      <c r="AW348" s="1894">
        <v>0</v>
      </c>
      <c r="AX348" s="1894">
        <v>180</v>
      </c>
      <c r="AY348" s="1894">
        <v>0</v>
      </c>
      <c r="AZ348" s="1894">
        <v>0</v>
      </c>
      <c r="BA348" s="1894">
        <v>0</v>
      </c>
      <c r="BB348" s="1894">
        <f t="shared" si="145"/>
        <v>0</v>
      </c>
      <c r="BC348" s="1894">
        <f t="shared" si="146"/>
        <v>0</v>
      </c>
      <c r="BD348" s="1894">
        <v>225</v>
      </c>
      <c r="BE348" s="1894">
        <v>0</v>
      </c>
      <c r="BF348" s="1894">
        <v>180</v>
      </c>
      <c r="BG348" s="1894">
        <v>0</v>
      </c>
      <c r="BH348" s="1894">
        <v>0</v>
      </c>
      <c r="BI348" s="1894">
        <v>0</v>
      </c>
      <c r="BJ348" s="1894">
        <f t="shared" si="147"/>
        <v>0</v>
      </c>
      <c r="BK348" s="1894">
        <f t="shared" si="148"/>
        <v>0</v>
      </c>
      <c r="BL348" s="1894">
        <v>225</v>
      </c>
      <c r="BM348" s="1894">
        <v>0</v>
      </c>
      <c r="BN348" s="1894">
        <v>180</v>
      </c>
      <c r="BO348" s="1894">
        <v>0</v>
      </c>
      <c r="BP348" s="1894">
        <v>0</v>
      </c>
      <c r="BQ348" s="1894">
        <v>0</v>
      </c>
      <c r="BR348" s="1894">
        <f t="shared" si="149"/>
        <v>0</v>
      </c>
      <c r="BS348" s="1894">
        <f t="shared" si="150"/>
        <v>0</v>
      </c>
      <c r="BT348" s="1894">
        <v>225</v>
      </c>
      <c r="BU348" s="1894">
        <v>0</v>
      </c>
      <c r="BV348" s="1894">
        <v>180</v>
      </c>
      <c r="BW348" s="1894">
        <v>0</v>
      </c>
      <c r="BX348" s="1894">
        <v>0</v>
      </c>
      <c r="BY348" s="1894">
        <v>0</v>
      </c>
      <c r="BZ348" s="1894">
        <f t="shared" si="151"/>
        <v>0</v>
      </c>
      <c r="CA348" s="1894">
        <f t="shared" si="152"/>
        <v>0</v>
      </c>
      <c r="CB348" s="1894">
        <v>225</v>
      </c>
      <c r="CC348" s="1894">
        <v>0</v>
      </c>
      <c r="CD348" s="1894">
        <v>180</v>
      </c>
      <c r="CE348" s="1894">
        <v>0</v>
      </c>
      <c r="CF348" s="1894">
        <v>0</v>
      </c>
      <c r="CG348" s="1894">
        <v>0</v>
      </c>
      <c r="CH348" s="1894">
        <f t="shared" si="153"/>
        <v>0</v>
      </c>
      <c r="CI348" s="1894">
        <f t="shared" si="154"/>
        <v>0</v>
      </c>
      <c r="CJ348" s="1894">
        <v>225</v>
      </c>
      <c r="CK348" s="1894">
        <v>0</v>
      </c>
      <c r="CL348" s="1894">
        <v>180</v>
      </c>
      <c r="CM348" s="1894">
        <v>0</v>
      </c>
      <c r="CN348" s="1894">
        <v>0</v>
      </c>
      <c r="CO348" s="1894">
        <v>0</v>
      </c>
      <c r="CP348" s="1894">
        <f t="shared" si="155"/>
        <v>0</v>
      </c>
      <c r="CQ348" s="1894">
        <f t="shared" si="156"/>
        <v>0</v>
      </c>
      <c r="CR348" s="1924">
        <v>225</v>
      </c>
      <c r="CS348" s="1924">
        <v>0</v>
      </c>
      <c r="CT348" s="1924">
        <v>180</v>
      </c>
      <c r="CU348" s="1924">
        <v>0</v>
      </c>
      <c r="CV348" s="1924">
        <v>0</v>
      </c>
      <c r="CW348" s="1924">
        <v>0</v>
      </c>
      <c r="CX348" s="1894">
        <f t="shared" si="157"/>
        <v>0</v>
      </c>
      <c r="CY348" s="1894">
        <f t="shared" si="158"/>
        <v>0</v>
      </c>
    </row>
    <row r="349" spans="1:103">
      <c r="A349" s="982">
        <v>613000000034</v>
      </c>
      <c r="B349" s="1923">
        <f t="shared" si="159"/>
        <v>343</v>
      </c>
      <c r="C349" s="1895" t="s">
        <v>3228</v>
      </c>
      <c r="D349" s="1894" t="s">
        <v>524</v>
      </c>
      <c r="E349" s="1895" t="s">
        <v>541</v>
      </c>
      <c r="F349" s="1894" t="s">
        <v>259</v>
      </c>
      <c r="G349" s="1924">
        <v>225</v>
      </c>
      <c r="H349" s="1894">
        <v>225</v>
      </c>
      <c r="I349" s="1894">
        <v>3.8400000000000003</v>
      </c>
      <c r="J349" s="1894">
        <v>180</v>
      </c>
      <c r="K349" s="1894">
        <v>0.75160000000000005</v>
      </c>
      <c r="L349" s="1894">
        <v>32.549999999999997</v>
      </c>
      <c r="M349" s="1894">
        <v>930</v>
      </c>
      <c r="N349" s="1894">
        <f t="shared" si="137"/>
        <v>1659</v>
      </c>
      <c r="O349" s="1894">
        <f t="shared" si="138"/>
        <v>0</v>
      </c>
      <c r="P349" s="1894">
        <v>225</v>
      </c>
      <c r="Q349" s="1894">
        <v>2.88</v>
      </c>
      <c r="R349" s="1894">
        <v>180</v>
      </c>
      <c r="S349" s="1894">
        <v>0.62739999999999996</v>
      </c>
      <c r="T349" s="1894">
        <v>49.19</v>
      </c>
      <c r="U349" s="1894">
        <v>918</v>
      </c>
      <c r="V349" s="1894">
        <f t="shared" si="139"/>
        <v>1286</v>
      </c>
      <c r="W349" s="1894">
        <f t="shared" si="140"/>
        <v>0</v>
      </c>
      <c r="X349" s="1894">
        <v>225</v>
      </c>
      <c r="Y349" s="1894">
        <v>4.5599999999999996</v>
      </c>
      <c r="Z349" s="1894">
        <v>180</v>
      </c>
      <c r="AA349" s="1894">
        <v>0.83789999999999998</v>
      </c>
      <c r="AB349" s="1894">
        <v>25.61</v>
      </c>
      <c r="AC349" s="1894">
        <v>981</v>
      </c>
      <c r="AD349" s="1894">
        <f t="shared" si="141"/>
        <v>1970</v>
      </c>
      <c r="AE349" s="1894">
        <f t="shared" si="142"/>
        <v>0</v>
      </c>
      <c r="AF349" s="1894">
        <v>225</v>
      </c>
      <c r="AG349" s="1894">
        <v>2.88</v>
      </c>
      <c r="AH349" s="1894">
        <v>180</v>
      </c>
      <c r="AI349" s="1894">
        <v>0.60289999999999999</v>
      </c>
      <c r="AJ349" s="1894">
        <v>46.9</v>
      </c>
      <c r="AK349" s="1894">
        <v>1005</v>
      </c>
      <c r="AL349" s="1894">
        <f t="shared" si="135"/>
        <v>1286</v>
      </c>
      <c r="AM349" s="1894">
        <f t="shared" si="136"/>
        <v>0</v>
      </c>
      <c r="AN349" s="1894">
        <v>225</v>
      </c>
      <c r="AO349" s="1894">
        <v>4.08</v>
      </c>
      <c r="AP349" s="1894">
        <v>180</v>
      </c>
      <c r="AQ349" s="1894">
        <v>0.50680000000000003</v>
      </c>
      <c r="AR349" s="1894">
        <v>43.29</v>
      </c>
      <c r="AS349" s="1894">
        <v>1314</v>
      </c>
      <c r="AT349" s="1894">
        <f t="shared" si="143"/>
        <v>1821</v>
      </c>
      <c r="AU349" s="1894">
        <f t="shared" si="144"/>
        <v>0</v>
      </c>
      <c r="AV349" s="1894">
        <v>225</v>
      </c>
      <c r="AW349" s="1894">
        <v>2.88</v>
      </c>
      <c r="AX349" s="1894">
        <v>180</v>
      </c>
      <c r="AY349" s="1894">
        <v>0.505</v>
      </c>
      <c r="AZ349" s="1894">
        <v>57.58</v>
      </c>
      <c r="BA349" s="1894">
        <v>1194</v>
      </c>
      <c r="BB349" s="1894">
        <f t="shared" si="145"/>
        <v>1244</v>
      </c>
      <c r="BC349" s="1894">
        <f t="shared" si="146"/>
        <v>0</v>
      </c>
      <c r="BD349" s="1894">
        <v>225</v>
      </c>
      <c r="BE349" s="1894">
        <v>3.36</v>
      </c>
      <c r="BF349" s="1894">
        <v>180</v>
      </c>
      <c r="BG349" s="1894">
        <v>0.45929999999999999</v>
      </c>
      <c r="BH349" s="1894">
        <v>43.58</v>
      </c>
      <c r="BI349" s="1894">
        <v>738</v>
      </c>
      <c r="BJ349" s="1894">
        <f t="shared" si="147"/>
        <v>1500</v>
      </c>
      <c r="BK349" s="1894">
        <f t="shared" si="148"/>
        <v>0</v>
      </c>
      <c r="BL349" s="1894">
        <v>225</v>
      </c>
      <c r="BM349" s="1894">
        <v>4.5599999999999996</v>
      </c>
      <c r="BN349" s="1894">
        <v>180</v>
      </c>
      <c r="BO349" s="1894">
        <v>0.46210000000000001</v>
      </c>
      <c r="BP349" s="1894">
        <v>45.48</v>
      </c>
      <c r="BQ349" s="1894">
        <v>1941</v>
      </c>
      <c r="BR349" s="1894">
        <f t="shared" si="149"/>
        <v>1970</v>
      </c>
      <c r="BS349" s="1894">
        <f t="shared" si="150"/>
        <v>0</v>
      </c>
      <c r="BT349" s="1894">
        <v>225</v>
      </c>
      <c r="BU349" s="1894">
        <v>3.6</v>
      </c>
      <c r="BV349" s="1894">
        <v>180</v>
      </c>
      <c r="BW349" s="1894">
        <v>0.49569999999999997</v>
      </c>
      <c r="BX349" s="1894">
        <v>51</v>
      </c>
      <c r="BY349" s="1894">
        <v>1410</v>
      </c>
      <c r="BZ349" s="1894">
        <f t="shared" si="151"/>
        <v>1607</v>
      </c>
      <c r="CA349" s="1894">
        <f t="shared" si="152"/>
        <v>0</v>
      </c>
      <c r="CB349" s="1894">
        <v>225</v>
      </c>
      <c r="CC349" s="1894">
        <v>3.1199999999999997</v>
      </c>
      <c r="CD349" s="1894">
        <v>180</v>
      </c>
      <c r="CE349" s="1894">
        <v>0.49099999999999999</v>
      </c>
      <c r="CF349" s="1894">
        <v>57.64</v>
      </c>
      <c r="CG349" s="1894">
        <v>1338</v>
      </c>
      <c r="CH349" s="1894">
        <f t="shared" si="153"/>
        <v>1393</v>
      </c>
      <c r="CI349" s="1894">
        <f t="shared" si="154"/>
        <v>0</v>
      </c>
      <c r="CJ349" s="1894">
        <v>225</v>
      </c>
      <c r="CK349" s="1894">
        <v>3.6</v>
      </c>
      <c r="CL349" s="1894">
        <v>180</v>
      </c>
      <c r="CM349" s="1894">
        <v>0.50729999999999997</v>
      </c>
      <c r="CN349" s="1894">
        <v>50.35</v>
      </c>
      <c r="CO349" s="1894">
        <v>1218</v>
      </c>
      <c r="CP349" s="1894">
        <f t="shared" si="155"/>
        <v>1452</v>
      </c>
      <c r="CQ349" s="1894">
        <f t="shared" si="156"/>
        <v>0</v>
      </c>
      <c r="CR349" s="1924">
        <v>225</v>
      </c>
      <c r="CS349" s="1924">
        <v>3.8400000000000003</v>
      </c>
      <c r="CT349" s="1924">
        <v>180</v>
      </c>
      <c r="CU349" s="1924">
        <v>0.50739999999999996</v>
      </c>
      <c r="CV349" s="1924">
        <v>42.21</v>
      </c>
      <c r="CW349" s="1924">
        <v>1206</v>
      </c>
      <c r="CX349" s="1894">
        <f t="shared" si="157"/>
        <v>1714</v>
      </c>
      <c r="CY349" s="1894">
        <f t="shared" si="158"/>
        <v>0</v>
      </c>
    </row>
    <row r="350" spans="1:103">
      <c r="A350" s="982">
        <v>613000000033</v>
      </c>
      <c r="B350" s="1923">
        <f t="shared" si="159"/>
        <v>344</v>
      </c>
      <c r="C350" s="1895" t="s">
        <v>3229</v>
      </c>
      <c r="D350" s="1894" t="s">
        <v>524</v>
      </c>
      <c r="E350" s="1895" t="s">
        <v>541</v>
      </c>
      <c r="F350" s="1894" t="s">
        <v>259</v>
      </c>
      <c r="G350" s="1924">
        <v>225</v>
      </c>
      <c r="H350" s="1894">
        <v>225</v>
      </c>
      <c r="I350" s="1894">
        <v>194.23999999999998</v>
      </c>
      <c r="J350" s="1894">
        <v>194.24</v>
      </c>
      <c r="K350" s="1894">
        <v>0.99870000000000003</v>
      </c>
      <c r="L350" s="1894">
        <v>27.66</v>
      </c>
      <c r="M350" s="1894">
        <v>38682</v>
      </c>
      <c r="N350" s="1894">
        <f t="shared" si="137"/>
        <v>83912</v>
      </c>
      <c r="O350" s="1894">
        <f t="shared" si="138"/>
        <v>0</v>
      </c>
      <c r="P350" s="1894">
        <v>225</v>
      </c>
      <c r="Q350" s="1894">
        <v>215.51999999999998</v>
      </c>
      <c r="R350" s="1894">
        <v>215.52</v>
      </c>
      <c r="S350" s="1894">
        <v>0.99350000000000005</v>
      </c>
      <c r="T350" s="1894">
        <v>37.93</v>
      </c>
      <c r="U350" s="1894">
        <v>60820</v>
      </c>
      <c r="V350" s="1894">
        <f t="shared" si="139"/>
        <v>96208</v>
      </c>
      <c r="W350" s="1894">
        <f t="shared" si="140"/>
        <v>0</v>
      </c>
      <c r="X350" s="1894">
        <v>225</v>
      </c>
      <c r="Y350" s="1894">
        <v>237.92</v>
      </c>
      <c r="Z350" s="1894">
        <v>237.92</v>
      </c>
      <c r="AA350" s="1894">
        <v>0.99570000000000003</v>
      </c>
      <c r="AB350" s="1894">
        <v>37.299999999999997</v>
      </c>
      <c r="AC350" s="1894">
        <v>63894</v>
      </c>
      <c r="AD350" s="1894">
        <f t="shared" si="141"/>
        <v>102781</v>
      </c>
      <c r="AE350" s="1894">
        <f t="shared" si="142"/>
        <v>0</v>
      </c>
      <c r="AF350" s="1894">
        <v>225</v>
      </c>
      <c r="AG350" s="1894">
        <v>201.28</v>
      </c>
      <c r="AH350" s="1894">
        <v>201.28</v>
      </c>
      <c r="AI350" s="1894">
        <v>0.99319999999999997</v>
      </c>
      <c r="AJ350" s="1894">
        <v>43.11</v>
      </c>
      <c r="AK350" s="1894">
        <v>64552</v>
      </c>
      <c r="AL350" s="1894">
        <f t="shared" si="135"/>
        <v>89851</v>
      </c>
      <c r="AM350" s="1894">
        <f t="shared" si="136"/>
        <v>0</v>
      </c>
      <c r="AN350" s="1894">
        <v>225</v>
      </c>
      <c r="AO350" s="1894">
        <v>275.68</v>
      </c>
      <c r="AP350" s="1894">
        <v>275.68</v>
      </c>
      <c r="AQ350" s="1894">
        <v>0.97160000000000002</v>
      </c>
      <c r="AR350" s="1894">
        <v>33.21</v>
      </c>
      <c r="AS350" s="1894">
        <v>68122</v>
      </c>
      <c r="AT350" s="1894">
        <f t="shared" si="143"/>
        <v>123064</v>
      </c>
      <c r="AU350" s="1894">
        <f t="shared" si="144"/>
        <v>0</v>
      </c>
      <c r="AV350" s="1894">
        <v>225</v>
      </c>
      <c r="AW350" s="1894">
        <v>219.68</v>
      </c>
      <c r="AX350" s="1894">
        <v>219.68</v>
      </c>
      <c r="AY350" s="1894">
        <v>0.9657</v>
      </c>
      <c r="AZ350" s="1894">
        <v>25.98</v>
      </c>
      <c r="BA350" s="1894">
        <v>41090</v>
      </c>
      <c r="BB350" s="1894">
        <f t="shared" si="145"/>
        <v>94902</v>
      </c>
      <c r="BC350" s="1894">
        <f t="shared" si="146"/>
        <v>0</v>
      </c>
      <c r="BD350" s="1894">
        <v>225</v>
      </c>
      <c r="BE350" s="1894">
        <v>206.07999999999998</v>
      </c>
      <c r="BF350" s="1894">
        <v>206.08</v>
      </c>
      <c r="BG350" s="1894">
        <v>0.9385</v>
      </c>
      <c r="BH350" s="1894">
        <v>17.62</v>
      </c>
      <c r="BI350" s="1894">
        <v>27022</v>
      </c>
      <c r="BJ350" s="1894">
        <f t="shared" si="147"/>
        <v>91994</v>
      </c>
      <c r="BK350" s="1894">
        <f t="shared" si="148"/>
        <v>0</v>
      </c>
      <c r="BL350" s="1894">
        <v>225</v>
      </c>
      <c r="BM350" s="1894">
        <v>262.88</v>
      </c>
      <c r="BN350" s="1894">
        <v>262.88</v>
      </c>
      <c r="BO350" s="1894">
        <v>0.95550000000000002</v>
      </c>
      <c r="BP350" s="1894">
        <v>37.799999999999997</v>
      </c>
      <c r="BQ350" s="1894">
        <v>71542</v>
      </c>
      <c r="BR350" s="1894">
        <f t="shared" si="149"/>
        <v>113564</v>
      </c>
      <c r="BS350" s="1894">
        <f t="shared" si="150"/>
        <v>0</v>
      </c>
      <c r="BT350" s="1894">
        <v>225</v>
      </c>
      <c r="BU350" s="1894">
        <v>262.24</v>
      </c>
      <c r="BV350" s="1894">
        <v>262.24</v>
      </c>
      <c r="BW350" s="1894">
        <v>0.97609999999999997</v>
      </c>
      <c r="BX350" s="1894">
        <v>50.01</v>
      </c>
      <c r="BY350" s="1894">
        <v>97576</v>
      </c>
      <c r="BZ350" s="1894">
        <f t="shared" si="151"/>
        <v>117064</v>
      </c>
      <c r="CA350" s="1894">
        <f t="shared" si="152"/>
        <v>0</v>
      </c>
      <c r="CB350" s="1894">
        <v>225</v>
      </c>
      <c r="CC350" s="1894">
        <v>298.88</v>
      </c>
      <c r="CD350" s="1894">
        <v>298.88</v>
      </c>
      <c r="CE350" s="1894">
        <v>0.99350000000000005</v>
      </c>
      <c r="CF350" s="1894">
        <v>41.42</v>
      </c>
      <c r="CG350" s="1894">
        <v>92110</v>
      </c>
      <c r="CH350" s="1894">
        <f t="shared" si="153"/>
        <v>133420</v>
      </c>
      <c r="CI350" s="1894">
        <f t="shared" si="154"/>
        <v>0</v>
      </c>
      <c r="CJ350" s="1894">
        <v>225</v>
      </c>
      <c r="CK350" s="1894">
        <v>286.39999999999998</v>
      </c>
      <c r="CL350" s="1894">
        <v>286.39999999999998</v>
      </c>
      <c r="CM350" s="1894">
        <v>0.99419999999999997</v>
      </c>
      <c r="CN350" s="1894">
        <v>38.39</v>
      </c>
      <c r="CO350" s="1894">
        <v>73892</v>
      </c>
      <c r="CP350" s="1894">
        <f t="shared" si="155"/>
        <v>115476</v>
      </c>
      <c r="CQ350" s="1894">
        <f t="shared" si="156"/>
        <v>0</v>
      </c>
      <c r="CR350" s="1924">
        <v>225</v>
      </c>
      <c r="CS350" s="1924">
        <v>253.92000000000002</v>
      </c>
      <c r="CT350" s="1924">
        <v>253.92</v>
      </c>
      <c r="CU350" s="1924">
        <v>0.99580000000000002</v>
      </c>
      <c r="CV350" s="1924">
        <v>19.260000000000002</v>
      </c>
      <c r="CW350" s="1924">
        <v>36382</v>
      </c>
      <c r="CX350" s="1894">
        <f t="shared" si="157"/>
        <v>113350</v>
      </c>
      <c r="CY350" s="1894">
        <f t="shared" si="158"/>
        <v>0</v>
      </c>
    </row>
    <row r="351" spans="1:103">
      <c r="A351" s="982">
        <v>126000000040</v>
      </c>
      <c r="B351" s="1923">
        <f t="shared" si="159"/>
        <v>345</v>
      </c>
      <c r="C351" s="1895" t="s">
        <v>3230</v>
      </c>
      <c r="D351" s="1894" t="s">
        <v>524</v>
      </c>
      <c r="E351" s="1895" t="s">
        <v>541</v>
      </c>
      <c r="F351" s="1894" t="s">
        <v>259</v>
      </c>
      <c r="G351" s="1924">
        <v>225</v>
      </c>
      <c r="H351" s="1894">
        <v>225</v>
      </c>
      <c r="I351" s="1894">
        <v>3.2</v>
      </c>
      <c r="J351" s="1894">
        <v>180</v>
      </c>
      <c r="K351" s="1894">
        <v>1</v>
      </c>
      <c r="L351" s="1894">
        <v>27.08</v>
      </c>
      <c r="M351" s="1894">
        <v>624</v>
      </c>
      <c r="N351" s="1894">
        <f t="shared" si="137"/>
        <v>1382</v>
      </c>
      <c r="O351" s="1894">
        <f t="shared" si="138"/>
        <v>0</v>
      </c>
      <c r="P351" s="1894">
        <v>225</v>
      </c>
      <c r="Q351" s="1894">
        <v>2.7199999999999998</v>
      </c>
      <c r="R351" s="1894">
        <v>180</v>
      </c>
      <c r="S351" s="1894">
        <v>1</v>
      </c>
      <c r="T351" s="1894">
        <v>28.96</v>
      </c>
      <c r="U351" s="1894">
        <v>586</v>
      </c>
      <c r="V351" s="1894">
        <f t="shared" si="139"/>
        <v>1214</v>
      </c>
      <c r="W351" s="1894">
        <f t="shared" si="140"/>
        <v>0</v>
      </c>
      <c r="X351" s="1894">
        <v>225</v>
      </c>
      <c r="Y351" s="1894">
        <v>2.2399999999999998</v>
      </c>
      <c r="Z351" s="1894">
        <v>180</v>
      </c>
      <c r="AA351" s="1894">
        <v>1</v>
      </c>
      <c r="AB351" s="1894">
        <v>23.56</v>
      </c>
      <c r="AC351" s="1894">
        <v>380</v>
      </c>
      <c r="AD351" s="1894">
        <f t="shared" si="141"/>
        <v>968</v>
      </c>
      <c r="AE351" s="1894">
        <f t="shared" si="142"/>
        <v>0</v>
      </c>
      <c r="AF351" s="1894">
        <v>225</v>
      </c>
      <c r="AG351" s="1894">
        <v>4.6399999999999997</v>
      </c>
      <c r="AH351" s="1894">
        <v>180</v>
      </c>
      <c r="AI351" s="1894">
        <v>0.52070000000000005</v>
      </c>
      <c r="AJ351" s="1894">
        <v>34.93</v>
      </c>
      <c r="AK351" s="1894">
        <v>1206</v>
      </c>
      <c r="AL351" s="1894">
        <f t="shared" si="135"/>
        <v>2071</v>
      </c>
      <c r="AM351" s="1894">
        <f t="shared" si="136"/>
        <v>0</v>
      </c>
      <c r="AN351" s="1894">
        <v>225</v>
      </c>
      <c r="AO351" s="1894">
        <v>55.84</v>
      </c>
      <c r="AP351" s="1894">
        <v>180</v>
      </c>
      <c r="AQ351" s="1894">
        <v>0.40489999999999998</v>
      </c>
      <c r="AR351" s="1894">
        <v>4.3</v>
      </c>
      <c r="AS351" s="1894">
        <v>1788</v>
      </c>
      <c r="AT351" s="1894">
        <f t="shared" si="143"/>
        <v>24927</v>
      </c>
      <c r="AU351" s="1894">
        <f t="shared" si="144"/>
        <v>0</v>
      </c>
      <c r="AV351" s="1894">
        <v>225</v>
      </c>
      <c r="AW351" s="1894">
        <v>4.96</v>
      </c>
      <c r="AX351" s="1894">
        <v>180</v>
      </c>
      <c r="AY351" s="1894">
        <v>0.43140000000000001</v>
      </c>
      <c r="AZ351" s="1894">
        <v>44.13</v>
      </c>
      <c r="BA351" s="1894">
        <v>1576</v>
      </c>
      <c r="BB351" s="1894">
        <f t="shared" si="145"/>
        <v>2143</v>
      </c>
      <c r="BC351" s="1894">
        <f t="shared" si="146"/>
        <v>0</v>
      </c>
      <c r="BD351" s="1894">
        <v>225</v>
      </c>
      <c r="BE351" s="1894">
        <v>5.4399999999999995</v>
      </c>
      <c r="BF351" s="1894">
        <v>180</v>
      </c>
      <c r="BG351" s="1894">
        <v>0.35510000000000003</v>
      </c>
      <c r="BH351" s="1894">
        <v>54.41</v>
      </c>
      <c r="BI351" s="1894">
        <v>2202</v>
      </c>
      <c r="BJ351" s="1894">
        <f t="shared" si="147"/>
        <v>2428</v>
      </c>
      <c r="BK351" s="1894">
        <f t="shared" si="148"/>
        <v>0</v>
      </c>
      <c r="BL351" s="1894">
        <v>225</v>
      </c>
      <c r="BM351" s="1894">
        <v>6.08</v>
      </c>
      <c r="BN351" s="1894">
        <v>180</v>
      </c>
      <c r="BO351" s="1894">
        <v>0.30199999999999999</v>
      </c>
      <c r="BP351" s="1894">
        <v>60.35</v>
      </c>
      <c r="BQ351" s="1894">
        <v>2642</v>
      </c>
      <c r="BR351" s="1894">
        <f t="shared" si="149"/>
        <v>2627</v>
      </c>
      <c r="BS351" s="1894">
        <f t="shared" si="150"/>
        <v>15</v>
      </c>
      <c r="BT351" s="1894">
        <v>225</v>
      </c>
      <c r="BU351" s="1894">
        <v>8.16</v>
      </c>
      <c r="BV351" s="1894">
        <v>180</v>
      </c>
      <c r="BW351" s="1894">
        <v>0.42620000000000002</v>
      </c>
      <c r="BX351" s="1894">
        <v>30.6</v>
      </c>
      <c r="BY351" s="1894">
        <v>1858</v>
      </c>
      <c r="BZ351" s="1894">
        <f t="shared" si="151"/>
        <v>3643</v>
      </c>
      <c r="CA351" s="1894">
        <f t="shared" si="152"/>
        <v>0</v>
      </c>
      <c r="CB351" s="1894">
        <v>225</v>
      </c>
      <c r="CC351" s="1894">
        <v>88.64</v>
      </c>
      <c r="CD351" s="1894">
        <v>180</v>
      </c>
      <c r="CE351" s="1894">
        <v>0.95130000000000003</v>
      </c>
      <c r="CF351" s="1894">
        <v>1.56</v>
      </c>
      <c r="CG351" s="1894">
        <v>1028</v>
      </c>
      <c r="CH351" s="1894">
        <f t="shared" si="153"/>
        <v>39569</v>
      </c>
      <c r="CI351" s="1894">
        <f t="shared" si="154"/>
        <v>0</v>
      </c>
      <c r="CJ351" s="1894">
        <v>225</v>
      </c>
      <c r="CK351" s="1894">
        <v>3.36</v>
      </c>
      <c r="CL351" s="1894">
        <v>180</v>
      </c>
      <c r="CM351" s="1894">
        <v>0.99690000000000001</v>
      </c>
      <c r="CN351" s="1894">
        <v>29.32</v>
      </c>
      <c r="CO351" s="1894">
        <v>662</v>
      </c>
      <c r="CP351" s="1894">
        <f t="shared" si="155"/>
        <v>1355</v>
      </c>
      <c r="CQ351" s="1894">
        <f t="shared" si="156"/>
        <v>0</v>
      </c>
      <c r="CR351" s="1924">
        <v>225</v>
      </c>
      <c r="CS351" s="1924">
        <v>3.2</v>
      </c>
      <c r="CT351" s="1924">
        <v>180</v>
      </c>
      <c r="CU351" s="1924">
        <v>1.0027999999999999</v>
      </c>
      <c r="CV351" s="1924">
        <v>29.57</v>
      </c>
      <c r="CW351" s="1924">
        <v>704</v>
      </c>
      <c r="CX351" s="1894">
        <f t="shared" si="157"/>
        <v>1428</v>
      </c>
      <c r="CY351" s="1894">
        <f t="shared" si="158"/>
        <v>0</v>
      </c>
    </row>
    <row r="352" spans="1:103">
      <c r="A352" s="982">
        <v>123000000128</v>
      </c>
      <c r="B352" s="1923">
        <f t="shared" si="159"/>
        <v>346</v>
      </c>
      <c r="C352" s="1895" t="s">
        <v>3231</v>
      </c>
      <c r="D352" s="1894" t="s">
        <v>524</v>
      </c>
      <c r="E352" s="1895" t="s">
        <v>541</v>
      </c>
      <c r="F352" s="1894" t="s">
        <v>259</v>
      </c>
      <c r="G352" s="1924">
        <v>228</v>
      </c>
      <c r="H352" s="1894">
        <v>228</v>
      </c>
      <c r="I352" s="1894">
        <v>3</v>
      </c>
      <c r="J352" s="1894">
        <v>182.4</v>
      </c>
      <c r="K352" s="1894">
        <v>0.46800000000000003</v>
      </c>
      <c r="L352" s="1894">
        <v>50.45</v>
      </c>
      <c r="M352" s="1894">
        <v>1126</v>
      </c>
      <c r="N352" s="1894">
        <f t="shared" si="137"/>
        <v>1296</v>
      </c>
      <c r="O352" s="1894">
        <f t="shared" si="138"/>
        <v>0</v>
      </c>
      <c r="P352" s="1894">
        <v>228</v>
      </c>
      <c r="Q352" s="1894">
        <v>99.600000000000009</v>
      </c>
      <c r="R352" s="1894">
        <v>182.4</v>
      </c>
      <c r="S352" s="1894">
        <v>0.67549999999999999</v>
      </c>
      <c r="T352" s="1894">
        <v>9.02</v>
      </c>
      <c r="U352" s="1894">
        <v>5819</v>
      </c>
      <c r="V352" s="1894">
        <f t="shared" si="139"/>
        <v>44461</v>
      </c>
      <c r="W352" s="1894">
        <f t="shared" si="140"/>
        <v>0</v>
      </c>
      <c r="X352" s="1894">
        <v>228</v>
      </c>
      <c r="Y352" s="1894">
        <v>107.39999999999999</v>
      </c>
      <c r="Z352" s="1894">
        <v>182.4</v>
      </c>
      <c r="AA352" s="1894">
        <v>0.69720000000000004</v>
      </c>
      <c r="AB352" s="1894">
        <v>11.99</v>
      </c>
      <c r="AC352" s="1894">
        <v>10510</v>
      </c>
      <c r="AD352" s="1894">
        <f t="shared" si="141"/>
        <v>46397</v>
      </c>
      <c r="AE352" s="1894">
        <f t="shared" si="142"/>
        <v>0</v>
      </c>
      <c r="AF352" s="1894">
        <v>228</v>
      </c>
      <c r="AG352" s="1894">
        <v>115.19999999999999</v>
      </c>
      <c r="AH352" s="1894">
        <v>182.4</v>
      </c>
      <c r="AI352" s="1894">
        <v>0.69479999999999997</v>
      </c>
      <c r="AJ352" s="1894">
        <v>13.67</v>
      </c>
      <c r="AK352" s="1894">
        <v>11340</v>
      </c>
      <c r="AL352" s="1894">
        <f t="shared" si="135"/>
        <v>51425</v>
      </c>
      <c r="AM352" s="1894">
        <f t="shared" si="136"/>
        <v>0</v>
      </c>
      <c r="AN352" s="1894">
        <v>228</v>
      </c>
      <c r="AO352" s="1894">
        <v>113.39999999999999</v>
      </c>
      <c r="AP352" s="1894">
        <v>182.4</v>
      </c>
      <c r="AQ352" s="1894">
        <v>0.68310000000000004</v>
      </c>
      <c r="AR352" s="1894">
        <v>11.91</v>
      </c>
      <c r="AS352" s="1894">
        <v>10370</v>
      </c>
      <c r="AT352" s="1894">
        <f t="shared" si="143"/>
        <v>50622</v>
      </c>
      <c r="AU352" s="1894">
        <f t="shared" si="144"/>
        <v>0</v>
      </c>
      <c r="AV352" s="1894">
        <v>228</v>
      </c>
      <c r="AW352" s="1894">
        <v>117.60000000000001</v>
      </c>
      <c r="AX352" s="1894">
        <v>182.4</v>
      </c>
      <c r="AY352" s="1894">
        <v>0.65610000000000002</v>
      </c>
      <c r="AZ352" s="1894">
        <v>13.99</v>
      </c>
      <c r="BA352" s="1894">
        <v>11847</v>
      </c>
      <c r="BB352" s="1894">
        <f t="shared" si="145"/>
        <v>50803</v>
      </c>
      <c r="BC352" s="1894">
        <f t="shared" si="146"/>
        <v>0</v>
      </c>
      <c r="BD352" s="1894">
        <v>228</v>
      </c>
      <c r="BE352" s="1894">
        <v>109.19999999999999</v>
      </c>
      <c r="BF352" s="1894">
        <v>182.4</v>
      </c>
      <c r="BG352" s="1894">
        <v>0.60340000000000005</v>
      </c>
      <c r="BH352" s="1894">
        <v>8.66</v>
      </c>
      <c r="BI352" s="1894">
        <v>6808</v>
      </c>
      <c r="BJ352" s="1894">
        <f t="shared" si="147"/>
        <v>48747</v>
      </c>
      <c r="BK352" s="1894">
        <f t="shared" si="148"/>
        <v>0</v>
      </c>
      <c r="BL352" s="1894">
        <v>228</v>
      </c>
      <c r="BM352" s="1894">
        <v>107.04</v>
      </c>
      <c r="BN352" s="1894">
        <v>182.4</v>
      </c>
      <c r="BO352" s="1894">
        <v>0.59760000000000002</v>
      </c>
      <c r="BP352" s="1894">
        <v>15.91</v>
      </c>
      <c r="BQ352" s="1894">
        <v>12392</v>
      </c>
      <c r="BR352" s="1894">
        <f t="shared" si="149"/>
        <v>46241</v>
      </c>
      <c r="BS352" s="1894">
        <f t="shared" si="150"/>
        <v>0</v>
      </c>
      <c r="BT352" s="1894">
        <v>228</v>
      </c>
      <c r="BU352" s="1894">
        <v>79.92</v>
      </c>
      <c r="BV352" s="1894">
        <v>182.4</v>
      </c>
      <c r="BW352" s="1894">
        <v>0.60089999999999999</v>
      </c>
      <c r="BX352" s="1894">
        <v>7.08</v>
      </c>
      <c r="BY352" s="1894">
        <v>4348</v>
      </c>
      <c r="BZ352" s="1894">
        <f t="shared" si="151"/>
        <v>35676</v>
      </c>
      <c r="CA352" s="1894">
        <f t="shared" si="152"/>
        <v>0</v>
      </c>
      <c r="CB352" s="1894">
        <v>228</v>
      </c>
      <c r="CC352" s="1894">
        <v>69.48</v>
      </c>
      <c r="CD352" s="1894">
        <v>182.4</v>
      </c>
      <c r="CE352" s="1894">
        <v>0.55589999999999995</v>
      </c>
      <c r="CF352" s="1894">
        <v>4.22</v>
      </c>
      <c r="CG352" s="1894">
        <v>2180</v>
      </c>
      <c r="CH352" s="1894">
        <f t="shared" si="153"/>
        <v>31016</v>
      </c>
      <c r="CI352" s="1894">
        <f t="shared" si="154"/>
        <v>0</v>
      </c>
      <c r="CJ352" s="1894">
        <v>228</v>
      </c>
      <c r="CK352" s="1894">
        <v>104.39999999999999</v>
      </c>
      <c r="CL352" s="1894">
        <v>182.4</v>
      </c>
      <c r="CM352" s="1894">
        <v>0.66790000000000005</v>
      </c>
      <c r="CN352" s="1894">
        <v>10.25</v>
      </c>
      <c r="CO352" s="1894">
        <v>7194</v>
      </c>
      <c r="CP352" s="1894">
        <f t="shared" si="155"/>
        <v>42094</v>
      </c>
      <c r="CQ352" s="1894">
        <f t="shared" si="156"/>
        <v>0</v>
      </c>
      <c r="CR352" s="1924">
        <v>228</v>
      </c>
      <c r="CS352" s="1924">
        <v>104.03999999999999</v>
      </c>
      <c r="CT352" s="1924">
        <v>182.4</v>
      </c>
      <c r="CU352" s="1924">
        <v>0.65649999999999997</v>
      </c>
      <c r="CV352" s="1924">
        <v>7.31</v>
      </c>
      <c r="CW352" s="1924">
        <v>5655</v>
      </c>
      <c r="CX352" s="1894">
        <f t="shared" si="157"/>
        <v>46443</v>
      </c>
      <c r="CY352" s="1894">
        <f t="shared" si="158"/>
        <v>0</v>
      </c>
    </row>
    <row r="353" spans="1:103">
      <c r="A353" s="982">
        <v>123000000122</v>
      </c>
      <c r="B353" s="1923">
        <f t="shared" si="159"/>
        <v>347</v>
      </c>
      <c r="C353" s="1895" t="s">
        <v>3232</v>
      </c>
      <c r="D353" s="1894" t="s">
        <v>524</v>
      </c>
      <c r="E353" s="1895" t="s">
        <v>541</v>
      </c>
      <c r="F353" s="1894" t="s">
        <v>259</v>
      </c>
      <c r="G353" s="1924">
        <v>228</v>
      </c>
      <c r="H353" s="1894">
        <v>228</v>
      </c>
      <c r="I353" s="1894">
        <v>112.55999999999999</v>
      </c>
      <c r="J353" s="1894">
        <v>182.4</v>
      </c>
      <c r="K353" s="1894">
        <v>0.78190000000000004</v>
      </c>
      <c r="L353" s="1894">
        <v>13.18</v>
      </c>
      <c r="M353" s="1894">
        <v>10685</v>
      </c>
      <c r="N353" s="1894">
        <f t="shared" si="137"/>
        <v>48626</v>
      </c>
      <c r="O353" s="1894">
        <f t="shared" si="138"/>
        <v>0</v>
      </c>
      <c r="P353" s="1894">
        <v>228</v>
      </c>
      <c r="Q353" s="1894">
        <v>113.52000000000001</v>
      </c>
      <c r="R353" s="1894">
        <v>182.4</v>
      </c>
      <c r="S353" s="1894">
        <v>0.52900000000000003</v>
      </c>
      <c r="T353" s="1894">
        <v>9.35</v>
      </c>
      <c r="U353" s="1894">
        <v>7893</v>
      </c>
      <c r="V353" s="1894">
        <f t="shared" si="139"/>
        <v>50675</v>
      </c>
      <c r="W353" s="1894">
        <f t="shared" si="140"/>
        <v>0</v>
      </c>
      <c r="X353" s="1894">
        <v>228</v>
      </c>
      <c r="Y353" s="1894">
        <v>113.64000000000001</v>
      </c>
      <c r="Z353" s="1894">
        <v>182.4</v>
      </c>
      <c r="AA353" s="1894">
        <v>0.46800000000000003</v>
      </c>
      <c r="AB353" s="1894">
        <v>12.05</v>
      </c>
      <c r="AC353" s="1894">
        <v>9858</v>
      </c>
      <c r="AD353" s="1894">
        <f t="shared" si="141"/>
        <v>49092</v>
      </c>
      <c r="AE353" s="1894">
        <f t="shared" si="142"/>
        <v>0</v>
      </c>
      <c r="AF353" s="1894">
        <v>228</v>
      </c>
      <c r="AG353" s="1894">
        <v>111.24000000000001</v>
      </c>
      <c r="AH353" s="1894">
        <v>182.4</v>
      </c>
      <c r="AI353" s="1894">
        <v>0.62439999999999996</v>
      </c>
      <c r="AJ353" s="1894">
        <v>10.55</v>
      </c>
      <c r="AK353" s="1894">
        <v>8733</v>
      </c>
      <c r="AL353" s="1894">
        <f t="shared" si="135"/>
        <v>49658</v>
      </c>
      <c r="AM353" s="1894">
        <f t="shared" si="136"/>
        <v>0</v>
      </c>
      <c r="AN353" s="1894">
        <v>228</v>
      </c>
      <c r="AO353" s="1894">
        <v>91.2</v>
      </c>
      <c r="AP353" s="1894">
        <v>182.4</v>
      </c>
      <c r="AQ353" s="1894">
        <v>0.83530000000000004</v>
      </c>
      <c r="AR353" s="1894">
        <v>15.27</v>
      </c>
      <c r="AS353" s="1894">
        <v>10363</v>
      </c>
      <c r="AT353" s="1894">
        <f t="shared" si="143"/>
        <v>40712</v>
      </c>
      <c r="AU353" s="1894">
        <f t="shared" si="144"/>
        <v>0</v>
      </c>
      <c r="AV353" s="1894">
        <v>228</v>
      </c>
      <c r="AW353" s="1894">
        <v>86.52</v>
      </c>
      <c r="AX353" s="1894">
        <v>182.4</v>
      </c>
      <c r="AY353" s="1894">
        <v>0.64629999999999999</v>
      </c>
      <c r="AZ353" s="1894">
        <v>7.93</v>
      </c>
      <c r="BA353" s="1894">
        <v>4940</v>
      </c>
      <c r="BB353" s="1894">
        <f t="shared" si="145"/>
        <v>37377</v>
      </c>
      <c r="BC353" s="1894">
        <f t="shared" si="146"/>
        <v>0</v>
      </c>
      <c r="BD353" s="1894">
        <v>228</v>
      </c>
      <c r="BE353" s="1894">
        <v>84.24</v>
      </c>
      <c r="BF353" s="1894">
        <v>182.4</v>
      </c>
      <c r="BG353" s="1894">
        <v>0.79</v>
      </c>
      <c r="BH353" s="1894">
        <v>16.329999999999998</v>
      </c>
      <c r="BI353" s="1894">
        <v>10235</v>
      </c>
      <c r="BJ353" s="1894">
        <f t="shared" si="147"/>
        <v>37605</v>
      </c>
      <c r="BK353" s="1894">
        <f t="shared" si="148"/>
        <v>0</v>
      </c>
      <c r="BL353" s="1894">
        <v>228</v>
      </c>
      <c r="BM353" s="1894">
        <v>79.56</v>
      </c>
      <c r="BN353" s="1894">
        <v>182.4</v>
      </c>
      <c r="BO353" s="1894">
        <v>0.78569999999999995</v>
      </c>
      <c r="BP353" s="1894">
        <v>15.55</v>
      </c>
      <c r="BQ353" s="1894">
        <v>8906</v>
      </c>
      <c r="BR353" s="1894">
        <f t="shared" si="149"/>
        <v>34370</v>
      </c>
      <c r="BS353" s="1894">
        <f t="shared" si="150"/>
        <v>0</v>
      </c>
      <c r="BT353" s="1894">
        <v>228</v>
      </c>
      <c r="BU353" s="1894">
        <v>73.92</v>
      </c>
      <c r="BV353" s="1894">
        <v>182.4</v>
      </c>
      <c r="BW353" s="1894">
        <v>0.8377</v>
      </c>
      <c r="BX353" s="1894">
        <v>15.82</v>
      </c>
      <c r="BY353" s="1894">
        <v>8698</v>
      </c>
      <c r="BZ353" s="1894">
        <f t="shared" si="151"/>
        <v>32998</v>
      </c>
      <c r="CA353" s="1894">
        <f t="shared" si="152"/>
        <v>0</v>
      </c>
      <c r="CB353" s="1894">
        <v>228</v>
      </c>
      <c r="CC353" s="1894">
        <v>3.24</v>
      </c>
      <c r="CD353" s="1894">
        <v>182.4</v>
      </c>
      <c r="CE353" s="1894">
        <v>0.99739999999999995</v>
      </c>
      <c r="CF353" s="1894">
        <v>32.07</v>
      </c>
      <c r="CG353" s="1894">
        <v>773</v>
      </c>
      <c r="CH353" s="1894">
        <f t="shared" si="153"/>
        <v>1446</v>
      </c>
      <c r="CI353" s="1894">
        <f t="shared" si="154"/>
        <v>0</v>
      </c>
      <c r="CJ353" s="1894">
        <v>228</v>
      </c>
      <c r="CK353" s="1894">
        <v>9.1199999999999992</v>
      </c>
      <c r="CL353" s="1894">
        <v>182.4</v>
      </c>
      <c r="CM353" s="1894">
        <v>0.96479999999999999</v>
      </c>
      <c r="CN353" s="1894">
        <v>12.07</v>
      </c>
      <c r="CO353" s="1894">
        <v>740</v>
      </c>
      <c r="CP353" s="1894">
        <f t="shared" si="155"/>
        <v>3677</v>
      </c>
      <c r="CQ353" s="1894">
        <f t="shared" si="156"/>
        <v>0</v>
      </c>
      <c r="CR353" s="1924">
        <v>228</v>
      </c>
      <c r="CS353" s="1924">
        <v>82.2</v>
      </c>
      <c r="CT353" s="1924">
        <v>182.4</v>
      </c>
      <c r="CU353" s="1924">
        <v>0.9909</v>
      </c>
      <c r="CV353" s="1924">
        <v>16.309999999999999</v>
      </c>
      <c r="CW353" s="1924">
        <v>9976</v>
      </c>
      <c r="CX353" s="1894">
        <f t="shared" si="157"/>
        <v>36694</v>
      </c>
      <c r="CY353" s="1894">
        <f t="shared" si="158"/>
        <v>0</v>
      </c>
    </row>
    <row r="354" spans="1:103">
      <c r="A354" s="982">
        <v>122000000064</v>
      </c>
      <c r="B354" s="1923">
        <f t="shared" si="159"/>
        <v>348</v>
      </c>
      <c r="C354" s="1895" t="s">
        <v>3233</v>
      </c>
      <c r="D354" s="1894" t="s">
        <v>524</v>
      </c>
      <c r="E354" s="1895" t="s">
        <v>541</v>
      </c>
      <c r="F354" s="1894" t="s">
        <v>259</v>
      </c>
      <c r="G354" s="1924">
        <v>230</v>
      </c>
      <c r="H354" s="1894">
        <v>230</v>
      </c>
      <c r="I354" s="1894">
        <v>132</v>
      </c>
      <c r="J354" s="1894">
        <v>184</v>
      </c>
      <c r="K354" s="1894">
        <v>0.99839999999999995</v>
      </c>
      <c r="L354" s="1894">
        <v>6.31</v>
      </c>
      <c r="M354" s="1894">
        <v>6595</v>
      </c>
      <c r="N354" s="1894">
        <f t="shared" si="137"/>
        <v>57024</v>
      </c>
      <c r="O354" s="1894">
        <f t="shared" si="138"/>
        <v>0</v>
      </c>
      <c r="P354" s="1894">
        <v>230</v>
      </c>
      <c r="Q354" s="1894">
        <v>194</v>
      </c>
      <c r="R354" s="1894">
        <v>194</v>
      </c>
      <c r="S354" s="1894">
        <v>0.99490000000000001</v>
      </c>
      <c r="T354" s="1894">
        <v>39.86</v>
      </c>
      <c r="U354" s="1894">
        <v>48255</v>
      </c>
      <c r="V354" s="1894">
        <f t="shared" si="139"/>
        <v>86602</v>
      </c>
      <c r="W354" s="1894">
        <f t="shared" si="140"/>
        <v>0</v>
      </c>
      <c r="X354" s="1894">
        <v>230</v>
      </c>
      <c r="Y354" s="1894">
        <v>224.39999999999998</v>
      </c>
      <c r="Z354" s="1894">
        <v>224.4</v>
      </c>
      <c r="AA354" s="1894">
        <v>0.98480000000000001</v>
      </c>
      <c r="AB354" s="1894">
        <v>53.96</v>
      </c>
      <c r="AC354" s="1894">
        <v>98800</v>
      </c>
      <c r="AD354" s="1894">
        <f t="shared" si="141"/>
        <v>96941</v>
      </c>
      <c r="AE354" s="1894">
        <f t="shared" si="142"/>
        <v>1859</v>
      </c>
      <c r="AF354" s="1894">
        <v>230</v>
      </c>
      <c r="AG354" s="1894">
        <v>205.6</v>
      </c>
      <c r="AH354" s="1894">
        <v>205.6</v>
      </c>
      <c r="AI354" s="1894">
        <v>0.98909999999999998</v>
      </c>
      <c r="AJ354" s="1894">
        <v>59.08</v>
      </c>
      <c r="AK354" s="1894">
        <v>87455</v>
      </c>
      <c r="AL354" s="1894">
        <f t="shared" si="135"/>
        <v>91780</v>
      </c>
      <c r="AM354" s="1894">
        <f t="shared" si="136"/>
        <v>0</v>
      </c>
      <c r="AN354" s="1894">
        <v>230</v>
      </c>
      <c r="AO354" s="1894">
        <v>226.39999999999998</v>
      </c>
      <c r="AP354" s="1894">
        <v>226.4</v>
      </c>
      <c r="AQ354" s="1894">
        <v>0.96509999999999996</v>
      </c>
      <c r="AR354" s="1894">
        <v>33.04</v>
      </c>
      <c r="AS354" s="1894">
        <v>50265</v>
      </c>
      <c r="AT354" s="1894">
        <f t="shared" si="143"/>
        <v>101065</v>
      </c>
      <c r="AU354" s="1894">
        <f t="shared" si="144"/>
        <v>0</v>
      </c>
      <c r="AV354" s="1894">
        <v>230</v>
      </c>
      <c r="AW354" s="1894">
        <v>222.8</v>
      </c>
      <c r="AX354" s="1894">
        <v>222.8</v>
      </c>
      <c r="AY354" s="1894">
        <v>0.97760000000000002</v>
      </c>
      <c r="AZ354" s="1894">
        <v>40.36</v>
      </c>
      <c r="BA354" s="1894">
        <v>75530</v>
      </c>
      <c r="BB354" s="1894">
        <f t="shared" si="145"/>
        <v>96250</v>
      </c>
      <c r="BC354" s="1894">
        <f t="shared" si="146"/>
        <v>0</v>
      </c>
      <c r="BD354" s="1894">
        <v>230</v>
      </c>
      <c r="BE354" s="1894">
        <v>198</v>
      </c>
      <c r="BF354" s="1894">
        <v>198</v>
      </c>
      <c r="BG354" s="1894">
        <v>0.98629999999999995</v>
      </c>
      <c r="BH354" s="1894">
        <v>40.68</v>
      </c>
      <c r="BI354" s="1894">
        <v>52200</v>
      </c>
      <c r="BJ354" s="1894">
        <f t="shared" si="147"/>
        <v>88387</v>
      </c>
      <c r="BK354" s="1894">
        <f t="shared" si="148"/>
        <v>0</v>
      </c>
      <c r="BL354" s="1894">
        <v>230</v>
      </c>
      <c r="BM354" s="1894">
        <v>195.20000000000002</v>
      </c>
      <c r="BN354" s="1894">
        <v>195.2</v>
      </c>
      <c r="BO354" s="1894">
        <v>0.9819</v>
      </c>
      <c r="BP354" s="1894">
        <v>36.229999999999997</v>
      </c>
      <c r="BQ354" s="1894">
        <v>57705</v>
      </c>
      <c r="BR354" s="1894">
        <f t="shared" si="149"/>
        <v>84326</v>
      </c>
      <c r="BS354" s="1894">
        <f t="shared" si="150"/>
        <v>0</v>
      </c>
      <c r="BT354" s="1894">
        <v>230</v>
      </c>
      <c r="BU354" s="1894">
        <v>129.6</v>
      </c>
      <c r="BV354" s="1894">
        <v>184</v>
      </c>
      <c r="BW354" s="1894">
        <v>0.90920000000000001</v>
      </c>
      <c r="BX354" s="1894">
        <v>7.77</v>
      </c>
      <c r="BY354" s="1894">
        <v>6280</v>
      </c>
      <c r="BZ354" s="1894">
        <f t="shared" si="151"/>
        <v>57853</v>
      </c>
      <c r="CA354" s="1894">
        <f t="shared" si="152"/>
        <v>0</v>
      </c>
      <c r="CB354" s="1894">
        <v>230</v>
      </c>
      <c r="CC354" s="1894">
        <v>58.8</v>
      </c>
      <c r="CD354" s="1894">
        <v>184</v>
      </c>
      <c r="CE354" s="1894">
        <v>0.71609999999999996</v>
      </c>
      <c r="CF354" s="1894">
        <v>9.02</v>
      </c>
      <c r="CG354" s="1894">
        <v>4580</v>
      </c>
      <c r="CH354" s="1894">
        <f t="shared" si="153"/>
        <v>26248</v>
      </c>
      <c r="CI354" s="1894">
        <f t="shared" si="154"/>
        <v>0</v>
      </c>
      <c r="CJ354" s="1894">
        <v>230</v>
      </c>
      <c r="CK354" s="1894">
        <v>14.8</v>
      </c>
      <c r="CL354" s="1894">
        <v>184</v>
      </c>
      <c r="CM354" s="1894">
        <v>0.65039999999999998</v>
      </c>
      <c r="CN354" s="1894">
        <v>33.08</v>
      </c>
      <c r="CO354" s="1894">
        <v>3290</v>
      </c>
      <c r="CP354" s="1894">
        <f t="shared" si="155"/>
        <v>5967</v>
      </c>
      <c r="CQ354" s="1894">
        <f t="shared" si="156"/>
        <v>0</v>
      </c>
      <c r="CR354" s="1924">
        <v>230</v>
      </c>
      <c r="CS354" s="1924">
        <v>26.8</v>
      </c>
      <c r="CT354" s="1924">
        <v>184</v>
      </c>
      <c r="CU354" s="1924">
        <v>0.68969999999999998</v>
      </c>
      <c r="CV354" s="1924">
        <v>22.47</v>
      </c>
      <c r="CW354" s="1924">
        <v>4480</v>
      </c>
      <c r="CX354" s="1894">
        <f t="shared" si="157"/>
        <v>11964</v>
      </c>
      <c r="CY354" s="1894">
        <f t="shared" si="158"/>
        <v>0</v>
      </c>
    </row>
    <row r="355" spans="1:103">
      <c r="A355" s="982">
        <v>126000000003</v>
      </c>
      <c r="B355" s="1923">
        <f t="shared" si="159"/>
        <v>349</v>
      </c>
      <c r="C355" s="1895" t="s">
        <v>3234</v>
      </c>
      <c r="D355" s="1894" t="s">
        <v>524</v>
      </c>
      <c r="E355" s="1895" t="s">
        <v>541</v>
      </c>
      <c r="F355" s="1894" t="s">
        <v>259</v>
      </c>
      <c r="G355" s="1924">
        <v>230</v>
      </c>
      <c r="H355" s="1894">
        <v>230</v>
      </c>
      <c r="I355" s="1894">
        <v>226.32</v>
      </c>
      <c r="J355" s="1894">
        <v>226.32</v>
      </c>
      <c r="K355" s="1894">
        <v>0.97489999999999999</v>
      </c>
      <c r="L355" s="1894">
        <v>37.229999999999997</v>
      </c>
      <c r="M355" s="1894">
        <v>70788</v>
      </c>
      <c r="N355" s="1894">
        <f t="shared" si="137"/>
        <v>97770</v>
      </c>
      <c r="O355" s="1894">
        <f t="shared" si="138"/>
        <v>0</v>
      </c>
      <c r="P355" s="1894">
        <v>230</v>
      </c>
      <c r="Q355" s="1894">
        <v>228.72</v>
      </c>
      <c r="R355" s="1894">
        <v>228.72</v>
      </c>
      <c r="S355" s="1894">
        <v>0.98480000000000001</v>
      </c>
      <c r="T355" s="1894">
        <v>36.28</v>
      </c>
      <c r="U355" s="1894">
        <v>49782</v>
      </c>
      <c r="V355" s="1894">
        <f t="shared" si="139"/>
        <v>102101</v>
      </c>
      <c r="W355" s="1894">
        <f t="shared" si="140"/>
        <v>0</v>
      </c>
      <c r="X355" s="1894">
        <v>230</v>
      </c>
      <c r="Y355" s="1894">
        <v>217.68</v>
      </c>
      <c r="Z355" s="1894">
        <v>217.68</v>
      </c>
      <c r="AA355" s="1894">
        <v>0.98399999999999999</v>
      </c>
      <c r="AB355" s="1894">
        <v>40.14</v>
      </c>
      <c r="AC355" s="1894">
        <v>71295</v>
      </c>
      <c r="AD355" s="1894">
        <f t="shared" si="141"/>
        <v>94038</v>
      </c>
      <c r="AE355" s="1894">
        <f t="shared" si="142"/>
        <v>0</v>
      </c>
      <c r="AF355" s="1894">
        <v>230</v>
      </c>
      <c r="AG355" s="1894">
        <v>207.36</v>
      </c>
      <c r="AH355" s="1894">
        <v>207.36</v>
      </c>
      <c r="AI355" s="1894">
        <v>0.99260000000000004</v>
      </c>
      <c r="AJ355" s="1894">
        <v>39.83</v>
      </c>
      <c r="AK355" s="1894">
        <v>57483</v>
      </c>
      <c r="AL355" s="1894">
        <f t="shared" si="135"/>
        <v>92566</v>
      </c>
      <c r="AM355" s="1894">
        <f t="shared" si="136"/>
        <v>0</v>
      </c>
      <c r="AN355" s="1894">
        <v>230</v>
      </c>
      <c r="AO355" s="1894">
        <v>228.24</v>
      </c>
      <c r="AP355" s="1894">
        <v>228.24</v>
      </c>
      <c r="AQ355" s="1894">
        <v>0.98850000000000005</v>
      </c>
      <c r="AR355" s="1894">
        <v>42.21</v>
      </c>
      <c r="AS355" s="1894">
        <v>69366</v>
      </c>
      <c r="AT355" s="1894">
        <f t="shared" si="143"/>
        <v>101886</v>
      </c>
      <c r="AU355" s="1894">
        <f t="shared" si="144"/>
        <v>0</v>
      </c>
      <c r="AV355" s="1894">
        <v>230</v>
      </c>
      <c r="AW355" s="1894">
        <v>220.79999999999998</v>
      </c>
      <c r="AX355" s="1894">
        <v>220.8</v>
      </c>
      <c r="AY355" s="1894">
        <v>0.9798</v>
      </c>
      <c r="AZ355" s="1894">
        <v>26.88</v>
      </c>
      <c r="BA355" s="1894">
        <v>44151</v>
      </c>
      <c r="BB355" s="1894">
        <f t="shared" si="145"/>
        <v>95386</v>
      </c>
      <c r="BC355" s="1894">
        <f t="shared" si="146"/>
        <v>0</v>
      </c>
      <c r="BD355" s="1894">
        <v>230</v>
      </c>
      <c r="BE355" s="1894">
        <v>219.12</v>
      </c>
      <c r="BF355" s="1894">
        <v>219.12</v>
      </c>
      <c r="BG355" s="1894">
        <v>0.96489999999999998</v>
      </c>
      <c r="BH355" s="1894">
        <v>30.57</v>
      </c>
      <c r="BI355" s="1894">
        <v>49839</v>
      </c>
      <c r="BJ355" s="1894">
        <f t="shared" si="147"/>
        <v>97815</v>
      </c>
      <c r="BK355" s="1894">
        <f t="shared" si="148"/>
        <v>0</v>
      </c>
      <c r="BL355" s="1894">
        <v>230</v>
      </c>
      <c r="BM355" s="1894">
        <v>197.04000000000002</v>
      </c>
      <c r="BN355" s="1894">
        <v>197.04</v>
      </c>
      <c r="BO355" s="1894">
        <v>0.97640000000000005</v>
      </c>
      <c r="BP355" s="1894">
        <v>10.63</v>
      </c>
      <c r="BQ355" s="1894">
        <v>17091</v>
      </c>
      <c r="BR355" s="1894">
        <f t="shared" si="149"/>
        <v>85121</v>
      </c>
      <c r="BS355" s="1894">
        <f t="shared" si="150"/>
        <v>0</v>
      </c>
      <c r="BT355" s="1894">
        <v>230</v>
      </c>
      <c r="BU355" s="1894">
        <v>213.12</v>
      </c>
      <c r="BV355" s="1894">
        <v>213.12</v>
      </c>
      <c r="BW355" s="1894">
        <v>0.96970000000000001</v>
      </c>
      <c r="BX355" s="1894">
        <v>19.989999999999998</v>
      </c>
      <c r="BY355" s="1894">
        <v>26580</v>
      </c>
      <c r="BZ355" s="1894">
        <f t="shared" si="151"/>
        <v>95137</v>
      </c>
      <c r="CA355" s="1894">
        <f t="shared" si="152"/>
        <v>0</v>
      </c>
      <c r="CB355" s="1894">
        <v>230</v>
      </c>
      <c r="CC355" s="1894">
        <v>222.71999999999997</v>
      </c>
      <c r="CD355" s="1894">
        <v>222.72</v>
      </c>
      <c r="CE355" s="1894">
        <v>0.97460000000000002</v>
      </c>
      <c r="CF355" s="1894">
        <v>16.21</v>
      </c>
      <c r="CG355" s="1894">
        <v>31188</v>
      </c>
      <c r="CH355" s="1894">
        <f t="shared" si="153"/>
        <v>99422</v>
      </c>
      <c r="CI355" s="1894">
        <f t="shared" si="154"/>
        <v>0</v>
      </c>
      <c r="CJ355" s="1894">
        <v>230</v>
      </c>
      <c r="CK355" s="1894">
        <v>182.16</v>
      </c>
      <c r="CL355" s="1894">
        <v>184</v>
      </c>
      <c r="CM355" s="1894">
        <v>0.99080000000000001</v>
      </c>
      <c r="CN355" s="1894">
        <v>30.37</v>
      </c>
      <c r="CO355" s="1894">
        <v>37176</v>
      </c>
      <c r="CP355" s="1894">
        <f t="shared" si="155"/>
        <v>73447</v>
      </c>
      <c r="CQ355" s="1894">
        <f t="shared" si="156"/>
        <v>0</v>
      </c>
      <c r="CR355" s="1924">
        <v>230</v>
      </c>
      <c r="CS355" s="1924">
        <v>218.64000000000001</v>
      </c>
      <c r="CT355" s="1924">
        <v>218.64</v>
      </c>
      <c r="CU355" s="1924">
        <v>0.98680000000000001</v>
      </c>
      <c r="CV355" s="1924">
        <v>23.43</v>
      </c>
      <c r="CW355" s="1924">
        <v>38118</v>
      </c>
      <c r="CX355" s="1894">
        <f t="shared" si="157"/>
        <v>97601</v>
      </c>
      <c r="CY355" s="1894">
        <f t="shared" si="158"/>
        <v>0</v>
      </c>
    </row>
    <row r="356" spans="1:103">
      <c r="A356" s="982">
        <v>123000000085</v>
      </c>
      <c r="B356" s="1923">
        <f t="shared" si="159"/>
        <v>350</v>
      </c>
      <c r="C356" s="1895" t="s">
        <v>3235</v>
      </c>
      <c r="D356" s="1894" t="s">
        <v>524</v>
      </c>
      <c r="E356" s="1895" t="s">
        <v>2966</v>
      </c>
      <c r="F356" s="1894" t="s">
        <v>259</v>
      </c>
      <c r="G356" s="1924">
        <v>232</v>
      </c>
      <c r="H356" s="1894">
        <v>232</v>
      </c>
      <c r="I356" s="1894">
        <v>133.07999999999998</v>
      </c>
      <c r="J356" s="1894">
        <v>232</v>
      </c>
      <c r="K356" s="1894">
        <v>0.85240000000000005</v>
      </c>
      <c r="L356" s="1894">
        <v>0</v>
      </c>
      <c r="M356" s="1894">
        <v>33837</v>
      </c>
      <c r="N356" s="1894">
        <f t="shared" si="137"/>
        <v>57491</v>
      </c>
      <c r="O356" s="1894">
        <f t="shared" si="138"/>
        <v>0</v>
      </c>
      <c r="P356" s="1894">
        <v>232</v>
      </c>
      <c r="Q356" s="1894">
        <v>119.03999999999999</v>
      </c>
      <c r="R356" s="1894">
        <v>232</v>
      </c>
      <c r="S356" s="1894">
        <v>0.84740000000000004</v>
      </c>
      <c r="T356" s="1894">
        <v>0</v>
      </c>
      <c r="U356" s="1894">
        <v>38807</v>
      </c>
      <c r="V356" s="1894">
        <f t="shared" si="139"/>
        <v>53139</v>
      </c>
      <c r="W356" s="1894">
        <f t="shared" si="140"/>
        <v>0</v>
      </c>
      <c r="X356" s="1894">
        <v>232</v>
      </c>
      <c r="Y356" s="1894">
        <v>114</v>
      </c>
      <c r="Z356" s="1894">
        <v>232</v>
      </c>
      <c r="AA356" s="1894">
        <v>0.86450000000000005</v>
      </c>
      <c r="AB356" s="1894">
        <v>0</v>
      </c>
      <c r="AC356" s="1894">
        <v>24381</v>
      </c>
      <c r="AD356" s="1894">
        <f t="shared" si="141"/>
        <v>49248</v>
      </c>
      <c r="AE356" s="1894">
        <f t="shared" si="142"/>
        <v>0</v>
      </c>
      <c r="AF356" s="1894">
        <v>232</v>
      </c>
      <c r="AG356" s="1894">
        <v>90.360000000000014</v>
      </c>
      <c r="AH356" s="1894">
        <v>232</v>
      </c>
      <c r="AI356" s="1894">
        <v>0.83030000000000004</v>
      </c>
      <c r="AJ356" s="1894">
        <v>0</v>
      </c>
      <c r="AK356" s="1894">
        <v>29328</v>
      </c>
      <c r="AL356" s="1894">
        <f t="shared" si="135"/>
        <v>40337</v>
      </c>
      <c r="AM356" s="1894">
        <f t="shared" si="136"/>
        <v>0</v>
      </c>
      <c r="AN356" s="1894">
        <v>232</v>
      </c>
      <c r="AO356" s="1894">
        <v>84.48</v>
      </c>
      <c r="AP356" s="1894">
        <v>232</v>
      </c>
      <c r="AQ356" s="1894">
        <v>0.80710000000000004</v>
      </c>
      <c r="AR356" s="1894">
        <v>0</v>
      </c>
      <c r="AS356" s="1894">
        <v>23517</v>
      </c>
      <c r="AT356" s="1894">
        <f t="shared" si="143"/>
        <v>37712</v>
      </c>
      <c r="AU356" s="1894">
        <f t="shared" si="144"/>
        <v>0</v>
      </c>
      <c r="AV356" s="1894">
        <v>232</v>
      </c>
      <c r="AW356" s="1894">
        <v>65.88</v>
      </c>
      <c r="AX356" s="1894">
        <v>232</v>
      </c>
      <c r="AY356" s="1894">
        <v>0.81799999999999995</v>
      </c>
      <c r="AZ356" s="1894">
        <v>0</v>
      </c>
      <c r="BA356" s="1894">
        <v>19399</v>
      </c>
      <c r="BB356" s="1894">
        <f t="shared" si="145"/>
        <v>28460</v>
      </c>
      <c r="BC356" s="1894">
        <f t="shared" si="146"/>
        <v>0</v>
      </c>
      <c r="BD356" s="1894">
        <v>232</v>
      </c>
      <c r="BE356" s="1894">
        <v>67.56</v>
      </c>
      <c r="BF356" s="1894">
        <v>232</v>
      </c>
      <c r="BG356" s="1894">
        <v>0.83620000000000005</v>
      </c>
      <c r="BH356" s="1894">
        <v>0</v>
      </c>
      <c r="BI356" s="1894">
        <v>9535</v>
      </c>
      <c r="BJ356" s="1894">
        <f t="shared" si="147"/>
        <v>30159</v>
      </c>
      <c r="BK356" s="1894">
        <f t="shared" si="148"/>
        <v>0</v>
      </c>
      <c r="BL356" s="1894">
        <v>232</v>
      </c>
      <c r="BM356" s="1894">
        <v>19.080000000000002</v>
      </c>
      <c r="BN356" s="1894">
        <v>232</v>
      </c>
      <c r="BO356" s="1894">
        <v>0.88600000000000001</v>
      </c>
      <c r="BP356" s="1894">
        <v>0</v>
      </c>
      <c r="BQ356" s="1894">
        <v>4021</v>
      </c>
      <c r="BR356" s="1894">
        <f t="shared" si="149"/>
        <v>8243</v>
      </c>
      <c r="BS356" s="1894">
        <f t="shared" si="150"/>
        <v>0</v>
      </c>
      <c r="BT356" s="1894">
        <v>232</v>
      </c>
      <c r="BU356" s="1894">
        <v>13.32</v>
      </c>
      <c r="BV356" s="1894">
        <v>232</v>
      </c>
      <c r="BW356" s="1894">
        <v>0.86299999999999999</v>
      </c>
      <c r="BX356" s="1894">
        <v>0</v>
      </c>
      <c r="BY356" s="1894">
        <v>3593</v>
      </c>
      <c r="BZ356" s="1894">
        <f t="shared" si="151"/>
        <v>5946</v>
      </c>
      <c r="CA356" s="1894">
        <f t="shared" si="152"/>
        <v>0</v>
      </c>
      <c r="CB356" s="1894">
        <v>232</v>
      </c>
      <c r="CC356" s="1894">
        <v>25.200000000000003</v>
      </c>
      <c r="CD356" s="1894">
        <v>232</v>
      </c>
      <c r="CE356" s="1894">
        <v>0.9657</v>
      </c>
      <c r="CF356" s="1894">
        <v>0</v>
      </c>
      <c r="CG356" s="1894">
        <v>9117</v>
      </c>
      <c r="CH356" s="1894">
        <f t="shared" si="153"/>
        <v>11249</v>
      </c>
      <c r="CI356" s="1894">
        <f t="shared" si="154"/>
        <v>0</v>
      </c>
      <c r="CJ356" s="1894">
        <v>232</v>
      </c>
      <c r="CK356" s="1894">
        <v>105.36</v>
      </c>
      <c r="CL356" s="1894">
        <v>232</v>
      </c>
      <c r="CM356" s="1894">
        <v>0.82010000000000005</v>
      </c>
      <c r="CN356" s="1894">
        <v>0</v>
      </c>
      <c r="CO356" s="1894">
        <v>15843</v>
      </c>
      <c r="CP356" s="1894">
        <f t="shared" si="155"/>
        <v>42481</v>
      </c>
      <c r="CQ356" s="1894">
        <f t="shared" si="156"/>
        <v>0</v>
      </c>
      <c r="CR356" s="1924">
        <v>232</v>
      </c>
      <c r="CS356" s="1924">
        <v>114.96</v>
      </c>
      <c r="CT356" s="1924">
        <v>232</v>
      </c>
      <c r="CU356" s="1924">
        <v>0.76980000000000004</v>
      </c>
      <c r="CV356" s="1924">
        <v>0</v>
      </c>
      <c r="CW356" s="1924">
        <v>37203</v>
      </c>
      <c r="CX356" s="1894">
        <f t="shared" si="157"/>
        <v>51318</v>
      </c>
      <c r="CY356" s="1894">
        <f t="shared" si="158"/>
        <v>0</v>
      </c>
    </row>
    <row r="357" spans="1:103">
      <c r="A357" s="982">
        <v>622000000010</v>
      </c>
      <c r="B357" s="1923">
        <f t="shared" si="159"/>
        <v>351</v>
      </c>
      <c r="C357" s="1895" t="s">
        <v>3236</v>
      </c>
      <c r="D357" s="1894" t="s">
        <v>524</v>
      </c>
      <c r="E357" s="1895" t="s">
        <v>629</v>
      </c>
      <c r="F357" s="1894" t="s">
        <v>259</v>
      </c>
      <c r="G357" s="1924">
        <v>233.33</v>
      </c>
      <c r="H357" s="1894">
        <v>233.33</v>
      </c>
      <c r="I357" s="1894">
        <v>162.60000000000002</v>
      </c>
      <c r="J357" s="1894">
        <v>233.33</v>
      </c>
      <c r="K357" s="1894">
        <v>0.9889</v>
      </c>
      <c r="L357" s="1894">
        <v>0</v>
      </c>
      <c r="M357" s="1894">
        <v>56700</v>
      </c>
      <c r="N357" s="1894">
        <f t="shared" si="137"/>
        <v>70243</v>
      </c>
      <c r="O357" s="1894">
        <f t="shared" si="138"/>
        <v>0</v>
      </c>
      <c r="P357" s="1894">
        <v>233.33</v>
      </c>
      <c r="Q357" s="1894">
        <v>145.79999999999998</v>
      </c>
      <c r="R357" s="1894">
        <v>233.33</v>
      </c>
      <c r="S357" s="1894">
        <v>0.99039999999999995</v>
      </c>
      <c r="T357" s="1894">
        <v>0</v>
      </c>
      <c r="U357" s="1894">
        <v>44076</v>
      </c>
      <c r="V357" s="1894">
        <f t="shared" si="139"/>
        <v>65085</v>
      </c>
      <c r="W357" s="1894">
        <f t="shared" si="140"/>
        <v>0</v>
      </c>
      <c r="X357" s="1894">
        <v>233.33</v>
      </c>
      <c r="Y357" s="1894">
        <v>133.80000000000001</v>
      </c>
      <c r="Z357" s="1894">
        <v>233.33</v>
      </c>
      <c r="AA357" s="1894">
        <v>0.99119999999999997</v>
      </c>
      <c r="AB357" s="1894">
        <v>0</v>
      </c>
      <c r="AC357" s="1894">
        <v>51675</v>
      </c>
      <c r="AD357" s="1894">
        <f t="shared" si="141"/>
        <v>57802</v>
      </c>
      <c r="AE357" s="1894">
        <f t="shared" si="142"/>
        <v>0</v>
      </c>
      <c r="AF357" s="1894">
        <v>233.33</v>
      </c>
      <c r="AG357" s="1894">
        <v>138</v>
      </c>
      <c r="AH357" s="1894">
        <v>233.33</v>
      </c>
      <c r="AI357" s="1894">
        <v>0.99250000000000005</v>
      </c>
      <c r="AJ357" s="1894">
        <v>0</v>
      </c>
      <c r="AK357" s="1894">
        <v>39702</v>
      </c>
      <c r="AL357" s="1894">
        <f t="shared" si="135"/>
        <v>61603</v>
      </c>
      <c r="AM357" s="1894">
        <f t="shared" si="136"/>
        <v>0</v>
      </c>
      <c r="AN357" s="1894">
        <v>233.33</v>
      </c>
      <c r="AO357" s="1894">
        <v>193.8</v>
      </c>
      <c r="AP357" s="1894">
        <v>233.33</v>
      </c>
      <c r="AQ357" s="1894">
        <v>0.99460000000000004</v>
      </c>
      <c r="AR357" s="1894">
        <v>0</v>
      </c>
      <c r="AS357" s="1894">
        <v>51414</v>
      </c>
      <c r="AT357" s="1894">
        <f t="shared" si="143"/>
        <v>86512</v>
      </c>
      <c r="AU357" s="1894">
        <f t="shared" si="144"/>
        <v>0</v>
      </c>
      <c r="AV357" s="1894">
        <v>233.33</v>
      </c>
      <c r="AW357" s="1894">
        <v>152.64000000000001</v>
      </c>
      <c r="AX357" s="1894">
        <v>233.33</v>
      </c>
      <c r="AY357" s="1894">
        <v>0.99560000000000004</v>
      </c>
      <c r="AZ357" s="1894">
        <v>0</v>
      </c>
      <c r="BA357" s="1894">
        <v>61059</v>
      </c>
      <c r="BB357" s="1894">
        <f t="shared" si="145"/>
        <v>65940</v>
      </c>
      <c r="BC357" s="1894">
        <f t="shared" si="146"/>
        <v>0</v>
      </c>
      <c r="BD357" s="1894">
        <v>233.33</v>
      </c>
      <c r="BE357" s="1894">
        <v>150.24</v>
      </c>
      <c r="BF357" s="1894">
        <v>233.33</v>
      </c>
      <c r="BG357" s="1894">
        <v>0.99539999999999995</v>
      </c>
      <c r="BH357" s="1894">
        <v>0</v>
      </c>
      <c r="BI357" s="1894">
        <v>52533</v>
      </c>
      <c r="BJ357" s="1894">
        <f t="shared" si="147"/>
        <v>67067</v>
      </c>
      <c r="BK357" s="1894">
        <f t="shared" si="148"/>
        <v>0</v>
      </c>
      <c r="BL357" s="1894">
        <v>233.33</v>
      </c>
      <c r="BM357" s="1894">
        <v>160.80000000000001</v>
      </c>
      <c r="BN357" s="1894">
        <v>233.33</v>
      </c>
      <c r="BO357" s="1894">
        <v>0.99480000000000002</v>
      </c>
      <c r="BP357" s="1894">
        <v>0</v>
      </c>
      <c r="BQ357" s="1894">
        <v>52911</v>
      </c>
      <c r="BR357" s="1894">
        <f t="shared" si="149"/>
        <v>69466</v>
      </c>
      <c r="BS357" s="1894">
        <f t="shared" si="150"/>
        <v>0</v>
      </c>
      <c r="BT357" s="1894">
        <v>233.33</v>
      </c>
      <c r="BU357" s="1894">
        <v>158.51999999999998</v>
      </c>
      <c r="BV357" s="1894">
        <v>233.33</v>
      </c>
      <c r="BW357" s="1894">
        <v>0.99450000000000005</v>
      </c>
      <c r="BX357" s="1894">
        <v>0</v>
      </c>
      <c r="BY357" s="1894">
        <v>55421</v>
      </c>
      <c r="BZ357" s="1894">
        <f t="shared" si="151"/>
        <v>70763</v>
      </c>
      <c r="CA357" s="1894">
        <f t="shared" si="152"/>
        <v>0</v>
      </c>
      <c r="CB357" s="1894">
        <v>233.33</v>
      </c>
      <c r="CC357" s="1894">
        <v>156</v>
      </c>
      <c r="CD357" s="1894">
        <v>233.33</v>
      </c>
      <c r="CE357" s="1894">
        <v>0.99439999999999995</v>
      </c>
      <c r="CF357" s="1894">
        <v>0</v>
      </c>
      <c r="CG357" s="1894">
        <v>58949</v>
      </c>
      <c r="CH357" s="1894">
        <f t="shared" si="153"/>
        <v>69638</v>
      </c>
      <c r="CI357" s="1894">
        <f t="shared" si="154"/>
        <v>0</v>
      </c>
      <c r="CJ357" s="1894">
        <v>233.33</v>
      </c>
      <c r="CK357" s="1894">
        <v>158.76</v>
      </c>
      <c r="CL357" s="1894">
        <v>233.33</v>
      </c>
      <c r="CM357" s="1894">
        <v>0.99390000000000001</v>
      </c>
      <c r="CN357" s="1894">
        <v>0</v>
      </c>
      <c r="CO357" s="1894">
        <v>50498</v>
      </c>
      <c r="CP357" s="1894">
        <f t="shared" si="155"/>
        <v>64012</v>
      </c>
      <c r="CQ357" s="1894">
        <f t="shared" si="156"/>
        <v>0</v>
      </c>
      <c r="CR357" s="1924">
        <v>233.33</v>
      </c>
      <c r="CS357" s="1924">
        <v>149.4</v>
      </c>
      <c r="CT357" s="1924">
        <v>233.33</v>
      </c>
      <c r="CU357" s="1924">
        <v>0.99390000000000001</v>
      </c>
      <c r="CV357" s="1924">
        <v>0</v>
      </c>
      <c r="CW357" s="1924">
        <v>49905</v>
      </c>
      <c r="CX357" s="1894">
        <f t="shared" si="157"/>
        <v>66692</v>
      </c>
      <c r="CY357" s="1894">
        <f t="shared" si="158"/>
        <v>0</v>
      </c>
    </row>
    <row r="358" spans="1:103">
      <c r="A358" s="982">
        <v>421000000018</v>
      </c>
      <c r="B358" s="1923">
        <f t="shared" si="159"/>
        <v>352</v>
      </c>
      <c r="C358" s="1895" t="s">
        <v>3237</v>
      </c>
      <c r="D358" s="1894" t="s">
        <v>524</v>
      </c>
      <c r="E358" s="1895" t="s">
        <v>541</v>
      </c>
      <c r="F358" s="1894" t="s">
        <v>259</v>
      </c>
      <c r="G358" s="1924">
        <v>234</v>
      </c>
      <c r="H358" s="1894">
        <v>234</v>
      </c>
      <c r="I358" s="1894">
        <v>81.28</v>
      </c>
      <c r="J358" s="1894">
        <v>187.2</v>
      </c>
      <c r="K358" s="1894">
        <v>0.76280000000000003</v>
      </c>
      <c r="L358" s="1894">
        <v>11.69</v>
      </c>
      <c r="M358" s="1894">
        <v>6612</v>
      </c>
      <c r="N358" s="1894">
        <f t="shared" si="137"/>
        <v>35113</v>
      </c>
      <c r="O358" s="1894">
        <f t="shared" si="138"/>
        <v>0</v>
      </c>
      <c r="P358" s="1894">
        <v>234</v>
      </c>
      <c r="Q358" s="1894">
        <v>77.600000000000009</v>
      </c>
      <c r="R358" s="1894">
        <v>187.2</v>
      </c>
      <c r="S358" s="1894">
        <v>0.74260000000000004</v>
      </c>
      <c r="T358" s="1894">
        <v>12.49</v>
      </c>
      <c r="U358" s="1894">
        <v>7444</v>
      </c>
      <c r="V358" s="1894">
        <f t="shared" si="139"/>
        <v>34641</v>
      </c>
      <c r="W358" s="1894">
        <f t="shared" si="140"/>
        <v>0</v>
      </c>
      <c r="X358" s="1894">
        <v>234</v>
      </c>
      <c r="Y358" s="1894">
        <v>37.44</v>
      </c>
      <c r="Z358" s="1894">
        <v>187.2</v>
      </c>
      <c r="AA358" s="1894">
        <v>0.49519999999999997</v>
      </c>
      <c r="AB358" s="1894">
        <v>12.54</v>
      </c>
      <c r="AC358" s="1894">
        <v>3380</v>
      </c>
      <c r="AD358" s="1894">
        <f t="shared" si="141"/>
        <v>16174</v>
      </c>
      <c r="AE358" s="1894">
        <f t="shared" si="142"/>
        <v>0</v>
      </c>
      <c r="AF358" s="1894">
        <v>234</v>
      </c>
      <c r="AG358" s="1894">
        <v>44.64</v>
      </c>
      <c r="AH358" s="1894">
        <v>187.2</v>
      </c>
      <c r="AI358" s="1894">
        <v>0.46550000000000002</v>
      </c>
      <c r="AJ358" s="1894">
        <v>10.93</v>
      </c>
      <c r="AK358" s="1894">
        <v>3630</v>
      </c>
      <c r="AL358" s="1894">
        <f t="shared" si="135"/>
        <v>19927</v>
      </c>
      <c r="AM358" s="1894">
        <f t="shared" si="136"/>
        <v>0</v>
      </c>
      <c r="AN358" s="1894">
        <v>234</v>
      </c>
      <c r="AO358" s="1894">
        <v>12.959999999999999</v>
      </c>
      <c r="AP358" s="1894">
        <v>187.2</v>
      </c>
      <c r="AQ358" s="1894">
        <v>0.42730000000000001</v>
      </c>
      <c r="AR358" s="1894">
        <v>42.27</v>
      </c>
      <c r="AS358" s="1894">
        <v>4076</v>
      </c>
      <c r="AT358" s="1894">
        <f t="shared" si="143"/>
        <v>5785</v>
      </c>
      <c r="AU358" s="1894">
        <f t="shared" si="144"/>
        <v>0</v>
      </c>
      <c r="AV358" s="1894">
        <v>234</v>
      </c>
      <c r="AW358" s="1894">
        <v>73.11999999999999</v>
      </c>
      <c r="AX358" s="1894">
        <v>187.2</v>
      </c>
      <c r="AY358" s="1894">
        <v>0.61829999999999996</v>
      </c>
      <c r="AZ358" s="1894">
        <v>10.4</v>
      </c>
      <c r="BA358" s="1894">
        <v>5476</v>
      </c>
      <c r="BB358" s="1894">
        <f t="shared" si="145"/>
        <v>31588</v>
      </c>
      <c r="BC358" s="1894">
        <f t="shared" si="146"/>
        <v>0</v>
      </c>
      <c r="BD358" s="1894">
        <v>234</v>
      </c>
      <c r="BE358" s="1894">
        <v>56.96</v>
      </c>
      <c r="BF358" s="1894">
        <v>187.2</v>
      </c>
      <c r="BG358" s="1894">
        <v>0.51470000000000005</v>
      </c>
      <c r="BH358" s="1894">
        <v>14.08</v>
      </c>
      <c r="BI358" s="1894">
        <v>5968</v>
      </c>
      <c r="BJ358" s="1894">
        <f t="shared" si="147"/>
        <v>25427</v>
      </c>
      <c r="BK358" s="1894">
        <f t="shared" si="148"/>
        <v>0</v>
      </c>
      <c r="BL358" s="1894">
        <v>234</v>
      </c>
      <c r="BM358" s="1894">
        <v>11.360000000000001</v>
      </c>
      <c r="BN358" s="1894">
        <v>187.2</v>
      </c>
      <c r="BO358" s="1894">
        <v>0.30880000000000002</v>
      </c>
      <c r="BP358" s="1894">
        <v>66.510000000000005</v>
      </c>
      <c r="BQ358" s="1894">
        <v>5440</v>
      </c>
      <c r="BR358" s="1894">
        <f t="shared" si="149"/>
        <v>4908</v>
      </c>
      <c r="BS358" s="1894">
        <f t="shared" si="150"/>
        <v>532</v>
      </c>
      <c r="BT358" s="1894">
        <v>234</v>
      </c>
      <c r="BU358" s="1894">
        <v>12.64</v>
      </c>
      <c r="BV358" s="1894">
        <v>187.2</v>
      </c>
      <c r="BW358" s="1894">
        <v>0.29260000000000003</v>
      </c>
      <c r="BX358" s="1894">
        <v>60.68</v>
      </c>
      <c r="BY358" s="1894">
        <v>5706</v>
      </c>
      <c r="BZ358" s="1894">
        <f t="shared" si="151"/>
        <v>5642</v>
      </c>
      <c r="CA358" s="1894">
        <f t="shared" si="152"/>
        <v>64</v>
      </c>
      <c r="CB358" s="1894">
        <v>234</v>
      </c>
      <c r="CC358" s="1894">
        <v>10.08</v>
      </c>
      <c r="CD358" s="1894">
        <v>187.2</v>
      </c>
      <c r="CE358" s="1894">
        <v>0.30309999999999998</v>
      </c>
      <c r="CF358" s="1894">
        <v>65.63</v>
      </c>
      <c r="CG358" s="1894">
        <v>4922</v>
      </c>
      <c r="CH358" s="1894">
        <f t="shared" si="153"/>
        <v>4500</v>
      </c>
      <c r="CI358" s="1894">
        <f t="shared" si="154"/>
        <v>422</v>
      </c>
      <c r="CJ358" s="1894">
        <v>234</v>
      </c>
      <c r="CK358" s="1894">
        <v>87.68</v>
      </c>
      <c r="CL358" s="1894">
        <v>187.2</v>
      </c>
      <c r="CM358" s="1894">
        <v>0.3629</v>
      </c>
      <c r="CN358" s="1894">
        <v>7.58</v>
      </c>
      <c r="CO358" s="1894">
        <v>4464</v>
      </c>
      <c r="CP358" s="1894">
        <f t="shared" si="155"/>
        <v>35353</v>
      </c>
      <c r="CQ358" s="1894">
        <f t="shared" si="156"/>
        <v>0</v>
      </c>
      <c r="CR358" s="1924">
        <v>234</v>
      </c>
      <c r="CS358" s="1924">
        <v>13.600000000000001</v>
      </c>
      <c r="CT358" s="1924">
        <v>187.2</v>
      </c>
      <c r="CU358" s="1924">
        <v>0.3362</v>
      </c>
      <c r="CV358" s="1924">
        <v>40.380000000000003</v>
      </c>
      <c r="CW358" s="1924">
        <v>4086</v>
      </c>
      <c r="CX358" s="1894">
        <f t="shared" si="157"/>
        <v>6071</v>
      </c>
      <c r="CY358" s="1894">
        <f t="shared" si="158"/>
        <v>0</v>
      </c>
    </row>
    <row r="359" spans="1:103">
      <c r="A359" s="982">
        <v>615000000044</v>
      </c>
      <c r="B359" s="1923">
        <f t="shared" si="159"/>
        <v>353</v>
      </c>
      <c r="C359" s="1895" t="s">
        <v>3238</v>
      </c>
      <c r="D359" s="1894" t="s">
        <v>524</v>
      </c>
      <c r="E359" s="1895" t="s">
        <v>541</v>
      </c>
      <c r="F359" s="1894" t="s">
        <v>259</v>
      </c>
      <c r="G359" s="1924">
        <v>234</v>
      </c>
      <c r="H359" s="1894">
        <v>234</v>
      </c>
      <c r="I359" s="1894">
        <v>128.63999999999999</v>
      </c>
      <c r="J359" s="1894">
        <v>187.2</v>
      </c>
      <c r="K359" s="1894">
        <v>0.94130000000000003</v>
      </c>
      <c r="L359" s="1894">
        <v>15.58</v>
      </c>
      <c r="M359" s="1894">
        <v>14426</v>
      </c>
      <c r="N359" s="1894">
        <f t="shared" si="137"/>
        <v>55572</v>
      </c>
      <c r="O359" s="1894">
        <f t="shared" si="138"/>
        <v>0</v>
      </c>
      <c r="P359" s="1894">
        <v>234</v>
      </c>
      <c r="Q359" s="1894">
        <v>134.4</v>
      </c>
      <c r="R359" s="1894">
        <v>187.2</v>
      </c>
      <c r="S359" s="1894">
        <v>0.9466</v>
      </c>
      <c r="T359" s="1894">
        <v>16.77</v>
      </c>
      <c r="U359" s="1894">
        <v>16772</v>
      </c>
      <c r="V359" s="1894">
        <f t="shared" si="139"/>
        <v>59996</v>
      </c>
      <c r="W359" s="1894">
        <f t="shared" si="140"/>
        <v>0</v>
      </c>
      <c r="X359" s="1894">
        <v>234</v>
      </c>
      <c r="Y359" s="1894">
        <v>132.16000000000003</v>
      </c>
      <c r="Z359" s="1894">
        <v>187.2</v>
      </c>
      <c r="AA359" s="1894">
        <v>0.93240000000000001</v>
      </c>
      <c r="AB359" s="1894">
        <v>14.26</v>
      </c>
      <c r="AC359" s="1894">
        <v>13570</v>
      </c>
      <c r="AD359" s="1894">
        <f t="shared" si="141"/>
        <v>57093</v>
      </c>
      <c r="AE359" s="1894">
        <f t="shared" si="142"/>
        <v>0</v>
      </c>
      <c r="AF359" s="1894">
        <v>234</v>
      </c>
      <c r="AG359" s="1894">
        <v>120.32000000000001</v>
      </c>
      <c r="AH359" s="1894">
        <v>187.2</v>
      </c>
      <c r="AI359" s="1894">
        <v>0.89180000000000004</v>
      </c>
      <c r="AJ359" s="1894">
        <v>8.6199999999999992</v>
      </c>
      <c r="AK359" s="1894">
        <v>7712</v>
      </c>
      <c r="AL359" s="1894">
        <f t="shared" si="135"/>
        <v>53711</v>
      </c>
      <c r="AM359" s="1894">
        <f t="shared" si="136"/>
        <v>0</v>
      </c>
      <c r="AN359" s="1894">
        <v>234</v>
      </c>
      <c r="AO359" s="1894">
        <v>100.96000000000001</v>
      </c>
      <c r="AP359" s="1894">
        <v>187.2</v>
      </c>
      <c r="AQ359" s="1894">
        <v>0.60970000000000002</v>
      </c>
      <c r="AR359" s="1894">
        <v>2.29</v>
      </c>
      <c r="AS359" s="1894">
        <v>1722</v>
      </c>
      <c r="AT359" s="1894">
        <f t="shared" si="143"/>
        <v>45069</v>
      </c>
      <c r="AU359" s="1894">
        <f t="shared" si="144"/>
        <v>0</v>
      </c>
      <c r="AV359" s="1894">
        <v>234</v>
      </c>
      <c r="AW359" s="1894">
        <v>99.36</v>
      </c>
      <c r="AX359" s="1894">
        <v>187.2</v>
      </c>
      <c r="AY359" s="1894">
        <v>0.77639999999999998</v>
      </c>
      <c r="AZ359" s="1894">
        <v>4.09</v>
      </c>
      <c r="BA359" s="1894">
        <v>2926</v>
      </c>
      <c r="BB359" s="1894">
        <f t="shared" si="145"/>
        <v>42924</v>
      </c>
      <c r="BC359" s="1894">
        <f t="shared" si="146"/>
        <v>0</v>
      </c>
      <c r="BD359" s="1894">
        <v>234</v>
      </c>
      <c r="BE359" s="1894">
        <v>121.76</v>
      </c>
      <c r="BF359" s="1894">
        <v>187.2</v>
      </c>
      <c r="BG359" s="1894">
        <v>0.93379999999999996</v>
      </c>
      <c r="BH359" s="1894">
        <v>19.510000000000002</v>
      </c>
      <c r="BI359" s="1894">
        <v>17670</v>
      </c>
      <c r="BJ359" s="1894">
        <f t="shared" si="147"/>
        <v>54354</v>
      </c>
      <c r="BK359" s="1894">
        <f t="shared" si="148"/>
        <v>0</v>
      </c>
      <c r="BL359" s="1894">
        <v>234</v>
      </c>
      <c r="BM359" s="1894">
        <v>112.64</v>
      </c>
      <c r="BN359" s="1894">
        <v>187.2</v>
      </c>
      <c r="BO359" s="1894">
        <v>0.90949999999999998</v>
      </c>
      <c r="BP359" s="1894">
        <v>19.91</v>
      </c>
      <c r="BQ359" s="1894">
        <v>16150</v>
      </c>
      <c r="BR359" s="1894">
        <f t="shared" si="149"/>
        <v>48660</v>
      </c>
      <c r="BS359" s="1894">
        <f t="shared" si="150"/>
        <v>0</v>
      </c>
      <c r="BT359" s="1894">
        <v>234</v>
      </c>
      <c r="BU359" s="1894">
        <v>128</v>
      </c>
      <c r="BV359" s="1894">
        <v>187.2</v>
      </c>
      <c r="BW359" s="1894">
        <v>0.8639</v>
      </c>
      <c r="BX359" s="1894">
        <v>14.68</v>
      </c>
      <c r="BY359" s="1894">
        <v>13976</v>
      </c>
      <c r="BZ359" s="1894">
        <f t="shared" si="151"/>
        <v>57139</v>
      </c>
      <c r="CA359" s="1894">
        <f t="shared" si="152"/>
        <v>0</v>
      </c>
      <c r="CB359" s="1894">
        <v>234</v>
      </c>
      <c r="CC359" s="1894">
        <v>114.88000000000001</v>
      </c>
      <c r="CD359" s="1894">
        <v>187.2</v>
      </c>
      <c r="CE359" s="1894">
        <v>0.83289999999999997</v>
      </c>
      <c r="CF359" s="1894">
        <v>9.8699999999999992</v>
      </c>
      <c r="CG359" s="1894">
        <v>8440</v>
      </c>
      <c r="CH359" s="1894">
        <f t="shared" si="153"/>
        <v>51282</v>
      </c>
      <c r="CI359" s="1894">
        <f t="shared" si="154"/>
        <v>0</v>
      </c>
      <c r="CJ359" s="1894">
        <v>234</v>
      </c>
      <c r="CK359" s="1894">
        <v>117.12</v>
      </c>
      <c r="CL359" s="1894">
        <v>187.2</v>
      </c>
      <c r="CM359" s="1894">
        <v>0.89129999999999998</v>
      </c>
      <c r="CN359" s="1894">
        <v>16.75</v>
      </c>
      <c r="CO359" s="1894">
        <v>13184</v>
      </c>
      <c r="CP359" s="1894">
        <f t="shared" si="155"/>
        <v>47223</v>
      </c>
      <c r="CQ359" s="1894">
        <f t="shared" si="156"/>
        <v>0</v>
      </c>
      <c r="CR359" s="1924">
        <v>234</v>
      </c>
      <c r="CS359" s="1924">
        <v>103.2</v>
      </c>
      <c r="CT359" s="1924">
        <v>187.2</v>
      </c>
      <c r="CU359" s="1924">
        <v>0.84389999999999998</v>
      </c>
      <c r="CV359" s="1924">
        <v>16.39</v>
      </c>
      <c r="CW359" s="1924">
        <v>12584</v>
      </c>
      <c r="CX359" s="1894">
        <f t="shared" si="157"/>
        <v>46068</v>
      </c>
      <c r="CY359" s="1894">
        <f t="shared" si="158"/>
        <v>0</v>
      </c>
    </row>
    <row r="360" spans="1:103">
      <c r="A360" s="982">
        <v>126000000019</v>
      </c>
      <c r="B360" s="1923">
        <f t="shared" si="159"/>
        <v>354</v>
      </c>
      <c r="C360" s="1895" t="s">
        <v>3239</v>
      </c>
      <c r="D360" s="1894" t="s">
        <v>524</v>
      </c>
      <c r="E360" s="1895" t="s">
        <v>541</v>
      </c>
      <c r="F360" s="1894" t="s">
        <v>259</v>
      </c>
      <c r="G360" s="1924">
        <v>234</v>
      </c>
      <c r="H360" s="1894">
        <v>234</v>
      </c>
      <c r="I360" s="1894">
        <v>248.48</v>
      </c>
      <c r="J360" s="1894">
        <v>248.48</v>
      </c>
      <c r="K360" s="1894">
        <v>0.65920000000000001</v>
      </c>
      <c r="L360" s="1894">
        <v>19.89</v>
      </c>
      <c r="M360" s="1894">
        <v>29660</v>
      </c>
      <c r="N360" s="1894">
        <f t="shared" si="137"/>
        <v>107343</v>
      </c>
      <c r="O360" s="1894">
        <f t="shared" si="138"/>
        <v>0</v>
      </c>
      <c r="P360" s="1894">
        <v>234</v>
      </c>
      <c r="Q360" s="1894">
        <v>261.92</v>
      </c>
      <c r="R360" s="1894">
        <v>261.92</v>
      </c>
      <c r="S360" s="1894">
        <v>0.63529999999999998</v>
      </c>
      <c r="T360" s="1894">
        <v>22.59</v>
      </c>
      <c r="U360" s="1894">
        <v>51116</v>
      </c>
      <c r="V360" s="1894">
        <f t="shared" si="139"/>
        <v>116921</v>
      </c>
      <c r="W360" s="1894">
        <f t="shared" si="140"/>
        <v>0</v>
      </c>
      <c r="X360" s="1894">
        <v>234</v>
      </c>
      <c r="Y360" s="1894">
        <v>245.44000000000003</v>
      </c>
      <c r="Z360" s="1894">
        <v>245.44</v>
      </c>
      <c r="AA360" s="1894">
        <v>0.67249999999999999</v>
      </c>
      <c r="AB360" s="1894">
        <v>17.079999999999998</v>
      </c>
      <c r="AC360" s="1894">
        <v>30182</v>
      </c>
      <c r="AD360" s="1894">
        <f t="shared" si="141"/>
        <v>106030</v>
      </c>
      <c r="AE360" s="1894">
        <f t="shared" si="142"/>
        <v>0</v>
      </c>
      <c r="AF360" s="1894">
        <v>234</v>
      </c>
      <c r="AG360" s="1894">
        <v>210.23999999999998</v>
      </c>
      <c r="AH360" s="1894">
        <v>210.24</v>
      </c>
      <c r="AI360" s="1894">
        <v>0.59840000000000004</v>
      </c>
      <c r="AJ360" s="1894">
        <v>3.7</v>
      </c>
      <c r="AK360" s="1894">
        <v>5782</v>
      </c>
      <c r="AL360" s="1894">
        <f t="shared" si="135"/>
        <v>93851</v>
      </c>
      <c r="AM360" s="1894">
        <f t="shared" si="136"/>
        <v>0</v>
      </c>
      <c r="AN360" s="1894">
        <v>234</v>
      </c>
      <c r="AO360" s="1894">
        <v>208.95999999999998</v>
      </c>
      <c r="AP360" s="1894">
        <v>208.96</v>
      </c>
      <c r="AQ360" s="1894">
        <v>0.61229999999999996</v>
      </c>
      <c r="AR360" s="1894">
        <v>4.18</v>
      </c>
      <c r="AS360" s="1894">
        <v>6506</v>
      </c>
      <c r="AT360" s="1894">
        <f t="shared" si="143"/>
        <v>93280</v>
      </c>
      <c r="AU360" s="1894">
        <f t="shared" si="144"/>
        <v>0</v>
      </c>
      <c r="AV360" s="1894">
        <v>234</v>
      </c>
      <c r="AW360" s="1894">
        <v>218.71999999999997</v>
      </c>
      <c r="AX360" s="1894">
        <v>218.72</v>
      </c>
      <c r="AY360" s="1894">
        <v>0.60529999999999995</v>
      </c>
      <c r="AZ360" s="1894">
        <v>13.11</v>
      </c>
      <c r="BA360" s="1894">
        <v>20638</v>
      </c>
      <c r="BB360" s="1894">
        <f t="shared" si="145"/>
        <v>94487</v>
      </c>
      <c r="BC360" s="1894">
        <f t="shared" si="146"/>
        <v>0</v>
      </c>
      <c r="BD360" s="1894">
        <v>234</v>
      </c>
      <c r="BE360" s="1894">
        <v>235.84</v>
      </c>
      <c r="BF360" s="1894">
        <v>235.84</v>
      </c>
      <c r="BG360" s="1894">
        <v>0.75419999999999998</v>
      </c>
      <c r="BH360" s="1894">
        <v>9.89</v>
      </c>
      <c r="BI360" s="1894">
        <v>17358</v>
      </c>
      <c r="BJ360" s="1894">
        <f t="shared" si="147"/>
        <v>105279</v>
      </c>
      <c r="BK360" s="1894">
        <f t="shared" si="148"/>
        <v>0</v>
      </c>
      <c r="BL360" s="1894">
        <v>234</v>
      </c>
      <c r="BM360" s="1894">
        <v>202.88</v>
      </c>
      <c r="BN360" s="1894">
        <v>202.88</v>
      </c>
      <c r="BO360" s="1894">
        <v>0.96050000000000002</v>
      </c>
      <c r="BP360" s="1894">
        <v>10.97</v>
      </c>
      <c r="BQ360" s="1894">
        <v>16030</v>
      </c>
      <c r="BR360" s="1894">
        <f t="shared" si="149"/>
        <v>87644</v>
      </c>
      <c r="BS360" s="1894">
        <f t="shared" si="150"/>
        <v>0</v>
      </c>
      <c r="BT360" s="1894">
        <v>234</v>
      </c>
      <c r="BU360" s="1894">
        <v>201.6</v>
      </c>
      <c r="BV360" s="1894">
        <v>201.6</v>
      </c>
      <c r="BW360" s="1894">
        <v>0.94730000000000003</v>
      </c>
      <c r="BX360" s="1894">
        <v>17.64</v>
      </c>
      <c r="BY360" s="1894">
        <v>26452</v>
      </c>
      <c r="BZ360" s="1894">
        <f t="shared" si="151"/>
        <v>89994</v>
      </c>
      <c r="CA360" s="1894">
        <f t="shared" si="152"/>
        <v>0</v>
      </c>
      <c r="CB360" s="1894">
        <v>234</v>
      </c>
      <c r="CC360" s="1894">
        <v>188</v>
      </c>
      <c r="CD360" s="1894">
        <v>188</v>
      </c>
      <c r="CE360" s="1894">
        <v>0.94220000000000004</v>
      </c>
      <c r="CF360" s="1894">
        <v>20.68</v>
      </c>
      <c r="CG360" s="1894">
        <v>28928</v>
      </c>
      <c r="CH360" s="1894">
        <f t="shared" si="153"/>
        <v>83923</v>
      </c>
      <c r="CI360" s="1894">
        <f t="shared" si="154"/>
        <v>0</v>
      </c>
      <c r="CJ360" s="1894">
        <v>234</v>
      </c>
      <c r="CK360" s="1894">
        <v>201.6</v>
      </c>
      <c r="CL360" s="1894">
        <v>201.6</v>
      </c>
      <c r="CM360" s="1894">
        <v>0.88660000000000005</v>
      </c>
      <c r="CN360" s="1894">
        <v>14.69</v>
      </c>
      <c r="CO360" s="1894">
        <v>19908</v>
      </c>
      <c r="CP360" s="1894">
        <f t="shared" si="155"/>
        <v>81285</v>
      </c>
      <c r="CQ360" s="1894">
        <f t="shared" si="156"/>
        <v>0</v>
      </c>
      <c r="CR360" s="1924">
        <v>234</v>
      </c>
      <c r="CS360" s="1924">
        <v>199.04</v>
      </c>
      <c r="CT360" s="1924">
        <v>199.04</v>
      </c>
      <c r="CU360" s="1924">
        <v>0.88360000000000005</v>
      </c>
      <c r="CV360" s="1924">
        <v>19.39</v>
      </c>
      <c r="CW360" s="1924">
        <v>27788</v>
      </c>
      <c r="CX360" s="1894">
        <f t="shared" si="157"/>
        <v>88851</v>
      </c>
      <c r="CY360" s="1894">
        <f t="shared" si="158"/>
        <v>0</v>
      </c>
    </row>
    <row r="361" spans="1:103">
      <c r="A361" s="982">
        <v>121000000073</v>
      </c>
      <c r="B361" s="1923">
        <f t="shared" si="159"/>
        <v>355</v>
      </c>
      <c r="C361" s="1895" t="s">
        <v>3240</v>
      </c>
      <c r="D361" s="1894" t="s">
        <v>524</v>
      </c>
      <c r="E361" s="1895" t="s">
        <v>2966</v>
      </c>
      <c r="F361" s="1894" t="s">
        <v>259</v>
      </c>
      <c r="G361" s="1924">
        <v>237</v>
      </c>
      <c r="H361" s="1894">
        <v>237</v>
      </c>
      <c r="I361" s="1894">
        <v>167.88</v>
      </c>
      <c r="J361" s="1894">
        <v>237</v>
      </c>
      <c r="K361" s="1894">
        <v>0.69089999999999996</v>
      </c>
      <c r="L361" s="1894">
        <v>0</v>
      </c>
      <c r="M361" s="1894">
        <v>54434</v>
      </c>
      <c r="N361" s="1894">
        <f t="shared" si="137"/>
        <v>72524</v>
      </c>
      <c r="O361" s="1894">
        <f t="shared" si="138"/>
        <v>0</v>
      </c>
      <c r="P361" s="1894">
        <v>237</v>
      </c>
      <c r="Q361" s="1894">
        <v>176.39999999999998</v>
      </c>
      <c r="R361" s="1894">
        <v>237</v>
      </c>
      <c r="S361" s="1894">
        <v>0.74709999999999999</v>
      </c>
      <c r="T361" s="1894">
        <v>0</v>
      </c>
      <c r="U361" s="1894">
        <v>54955</v>
      </c>
      <c r="V361" s="1894">
        <f t="shared" si="139"/>
        <v>78745</v>
      </c>
      <c r="W361" s="1894">
        <f t="shared" si="140"/>
        <v>0</v>
      </c>
      <c r="X361" s="1894">
        <v>237</v>
      </c>
      <c r="Y361" s="1894">
        <v>179.88</v>
      </c>
      <c r="Z361" s="1894">
        <v>237</v>
      </c>
      <c r="AA361" s="1894">
        <v>0.74680000000000002</v>
      </c>
      <c r="AB361" s="1894">
        <v>0</v>
      </c>
      <c r="AC361" s="1894">
        <v>58386</v>
      </c>
      <c r="AD361" s="1894">
        <f t="shared" si="141"/>
        <v>77708</v>
      </c>
      <c r="AE361" s="1894">
        <f t="shared" si="142"/>
        <v>0</v>
      </c>
      <c r="AF361" s="1894">
        <v>237</v>
      </c>
      <c r="AG361" s="1894">
        <v>118.91999999999999</v>
      </c>
      <c r="AH361" s="1894">
        <v>237</v>
      </c>
      <c r="AI361" s="1894">
        <v>0.78010000000000002</v>
      </c>
      <c r="AJ361" s="1894">
        <v>0</v>
      </c>
      <c r="AK361" s="1894">
        <v>28263</v>
      </c>
      <c r="AL361" s="1894">
        <f t="shared" si="135"/>
        <v>53086</v>
      </c>
      <c r="AM361" s="1894">
        <f t="shared" si="136"/>
        <v>0</v>
      </c>
      <c r="AN361" s="1894">
        <v>237</v>
      </c>
      <c r="AO361" s="1894">
        <v>87.72</v>
      </c>
      <c r="AP361" s="1894">
        <v>237</v>
      </c>
      <c r="AQ361" s="1894">
        <v>0.73799999999999999</v>
      </c>
      <c r="AR361" s="1894">
        <v>0</v>
      </c>
      <c r="AS361" s="1894">
        <v>11308</v>
      </c>
      <c r="AT361" s="1894">
        <f t="shared" si="143"/>
        <v>39158</v>
      </c>
      <c r="AU361" s="1894">
        <f t="shared" si="144"/>
        <v>0</v>
      </c>
      <c r="AV361" s="1894">
        <v>237</v>
      </c>
      <c r="AW361" s="1894">
        <v>133.92000000000002</v>
      </c>
      <c r="AX361" s="1894">
        <v>237</v>
      </c>
      <c r="AY361" s="1894">
        <v>0.69279999999999997</v>
      </c>
      <c r="AZ361" s="1894">
        <v>0</v>
      </c>
      <c r="BA361" s="1894">
        <v>34761</v>
      </c>
      <c r="BB361" s="1894">
        <f t="shared" si="145"/>
        <v>57853</v>
      </c>
      <c r="BC361" s="1894">
        <f t="shared" si="146"/>
        <v>0</v>
      </c>
      <c r="BD361" s="1894">
        <v>237</v>
      </c>
      <c r="BE361" s="1894">
        <v>177.24</v>
      </c>
      <c r="BF361" s="1894">
        <v>237</v>
      </c>
      <c r="BG361" s="1894">
        <v>0.54320000000000002</v>
      </c>
      <c r="BH361" s="1894">
        <v>0</v>
      </c>
      <c r="BI361" s="1894">
        <v>44303</v>
      </c>
      <c r="BJ361" s="1894">
        <f t="shared" si="147"/>
        <v>79120</v>
      </c>
      <c r="BK361" s="1894">
        <f t="shared" si="148"/>
        <v>0</v>
      </c>
      <c r="BL361" s="1894">
        <v>237</v>
      </c>
      <c r="BM361" s="1894">
        <v>84.84</v>
      </c>
      <c r="BN361" s="1894">
        <v>237</v>
      </c>
      <c r="BO361" s="1894">
        <v>0.92630000000000001</v>
      </c>
      <c r="BP361" s="1894">
        <v>0</v>
      </c>
      <c r="BQ361" s="1894">
        <v>6624</v>
      </c>
      <c r="BR361" s="1894">
        <f t="shared" si="149"/>
        <v>36651</v>
      </c>
      <c r="BS361" s="1894">
        <f t="shared" si="150"/>
        <v>0</v>
      </c>
      <c r="BT361" s="1894">
        <v>237</v>
      </c>
      <c r="BU361" s="1894">
        <v>9.36</v>
      </c>
      <c r="BV361" s="1894">
        <v>237</v>
      </c>
      <c r="BW361" s="1894">
        <v>0.99839999999999995</v>
      </c>
      <c r="BX361" s="1894">
        <v>0</v>
      </c>
      <c r="BY361" s="1894">
        <v>1257</v>
      </c>
      <c r="BZ361" s="1894">
        <f t="shared" si="151"/>
        <v>4178</v>
      </c>
      <c r="CA361" s="1894">
        <f t="shared" si="152"/>
        <v>0</v>
      </c>
      <c r="CB361" s="1894">
        <v>237</v>
      </c>
      <c r="CC361" s="1894">
        <v>22.68</v>
      </c>
      <c r="CD361" s="1894">
        <v>237</v>
      </c>
      <c r="CE361" s="1894">
        <v>0.97470000000000001</v>
      </c>
      <c r="CF361" s="1894">
        <v>0</v>
      </c>
      <c r="CG361" s="1894">
        <v>7248</v>
      </c>
      <c r="CH361" s="1894">
        <f t="shared" si="153"/>
        <v>10124</v>
      </c>
      <c r="CI361" s="1894">
        <f t="shared" si="154"/>
        <v>0</v>
      </c>
      <c r="CJ361" s="1894">
        <v>237</v>
      </c>
      <c r="CK361" s="1894">
        <v>62.64</v>
      </c>
      <c r="CL361" s="1894">
        <v>237</v>
      </c>
      <c r="CM361" s="1894">
        <v>0.93979999999999997</v>
      </c>
      <c r="CN361" s="1894">
        <v>0</v>
      </c>
      <c r="CO361" s="1894">
        <v>9164</v>
      </c>
      <c r="CP361" s="1894">
        <f t="shared" si="155"/>
        <v>25256</v>
      </c>
      <c r="CQ361" s="1894">
        <f t="shared" si="156"/>
        <v>0</v>
      </c>
      <c r="CR361" s="1924">
        <v>237</v>
      </c>
      <c r="CS361" s="1924">
        <v>88.92</v>
      </c>
      <c r="CT361" s="1924">
        <v>237</v>
      </c>
      <c r="CU361" s="1924">
        <v>0.84709999999999996</v>
      </c>
      <c r="CV361" s="1924">
        <v>0</v>
      </c>
      <c r="CW361" s="1924">
        <v>18396</v>
      </c>
      <c r="CX361" s="1894">
        <f t="shared" si="157"/>
        <v>39694</v>
      </c>
      <c r="CY361" s="1894">
        <f t="shared" si="158"/>
        <v>0</v>
      </c>
    </row>
    <row r="362" spans="1:103">
      <c r="A362" s="982">
        <v>122000000101</v>
      </c>
      <c r="B362" s="1923">
        <f t="shared" si="159"/>
        <v>356</v>
      </c>
      <c r="C362" s="1895" t="s">
        <v>3241</v>
      </c>
      <c r="D362" s="1894" t="s">
        <v>524</v>
      </c>
      <c r="E362" s="1895" t="s">
        <v>541</v>
      </c>
      <c r="F362" s="1894" t="s">
        <v>259</v>
      </c>
      <c r="G362" s="1924">
        <v>239</v>
      </c>
      <c r="H362" s="1894">
        <v>0</v>
      </c>
      <c r="I362" s="1894">
        <v>0</v>
      </c>
      <c r="J362" s="1894">
        <v>0</v>
      </c>
      <c r="K362" s="1894">
        <v>0</v>
      </c>
      <c r="L362" s="1894">
        <v>0</v>
      </c>
      <c r="M362" s="1894">
        <v>0</v>
      </c>
      <c r="N362" s="1894">
        <f t="shared" si="137"/>
        <v>0</v>
      </c>
      <c r="O362" s="1894">
        <f t="shared" si="138"/>
        <v>0</v>
      </c>
      <c r="P362" s="1894">
        <v>0</v>
      </c>
      <c r="Q362" s="1894">
        <v>0</v>
      </c>
      <c r="R362" s="1894">
        <v>0</v>
      </c>
      <c r="S362" s="1894">
        <v>0</v>
      </c>
      <c r="T362" s="1894">
        <v>0</v>
      </c>
      <c r="U362" s="1894">
        <v>0</v>
      </c>
      <c r="V362" s="1894">
        <f t="shared" si="139"/>
        <v>0</v>
      </c>
      <c r="W362" s="1894">
        <f t="shared" si="140"/>
        <v>0</v>
      </c>
      <c r="X362" s="1894">
        <v>0</v>
      </c>
      <c r="Y362" s="1894">
        <v>0</v>
      </c>
      <c r="Z362" s="1894">
        <v>0</v>
      </c>
      <c r="AA362" s="1894">
        <v>0</v>
      </c>
      <c r="AB362" s="1894">
        <v>0</v>
      </c>
      <c r="AC362" s="1894">
        <v>0</v>
      </c>
      <c r="AD362" s="1894">
        <f t="shared" si="141"/>
        <v>0</v>
      </c>
      <c r="AE362" s="1894">
        <f t="shared" si="142"/>
        <v>0</v>
      </c>
      <c r="AF362" s="1894">
        <v>0</v>
      </c>
      <c r="AG362" s="1894">
        <v>0</v>
      </c>
      <c r="AH362" s="1894">
        <v>0</v>
      </c>
      <c r="AI362" s="1894">
        <v>0</v>
      </c>
      <c r="AJ362" s="1894">
        <v>0</v>
      </c>
      <c r="AK362" s="1894">
        <v>0</v>
      </c>
      <c r="AL362" s="1894">
        <f t="shared" si="135"/>
        <v>0</v>
      </c>
      <c r="AM362" s="1894">
        <f t="shared" si="136"/>
        <v>0</v>
      </c>
      <c r="AN362" s="1894">
        <v>0</v>
      </c>
      <c r="AO362" s="1894">
        <v>0</v>
      </c>
      <c r="AP362" s="1894">
        <v>0</v>
      </c>
      <c r="AQ362" s="1894">
        <v>0</v>
      </c>
      <c r="AR362" s="1894">
        <v>0</v>
      </c>
      <c r="AS362" s="1894">
        <v>0</v>
      </c>
      <c r="AT362" s="1894">
        <f t="shared" si="143"/>
        <v>0</v>
      </c>
      <c r="AU362" s="1894">
        <f t="shared" si="144"/>
        <v>0</v>
      </c>
      <c r="AV362" s="1894">
        <v>0</v>
      </c>
      <c r="AW362" s="1894">
        <v>0</v>
      </c>
      <c r="AX362" s="1894">
        <v>0</v>
      </c>
      <c r="AY362" s="1894">
        <v>0</v>
      </c>
      <c r="AZ362" s="1894">
        <v>0</v>
      </c>
      <c r="BA362" s="1894">
        <v>0</v>
      </c>
      <c r="BB362" s="1894">
        <f t="shared" si="145"/>
        <v>0</v>
      </c>
      <c r="BC362" s="1894">
        <f t="shared" si="146"/>
        <v>0</v>
      </c>
      <c r="BD362" s="1894">
        <v>0</v>
      </c>
      <c r="BE362" s="1894">
        <v>0</v>
      </c>
      <c r="BF362" s="1894">
        <v>0</v>
      </c>
      <c r="BG362" s="1894">
        <v>0</v>
      </c>
      <c r="BH362" s="1894">
        <v>0</v>
      </c>
      <c r="BI362" s="1894">
        <v>0</v>
      </c>
      <c r="BJ362" s="1894">
        <f t="shared" si="147"/>
        <v>0</v>
      </c>
      <c r="BK362" s="1894">
        <f t="shared" si="148"/>
        <v>0</v>
      </c>
      <c r="BL362" s="1894">
        <v>239</v>
      </c>
      <c r="BM362" s="1894">
        <v>148.07999999999998</v>
      </c>
      <c r="BN362" s="1894">
        <v>191.2</v>
      </c>
      <c r="BO362" s="1894">
        <v>0.67359999999999998</v>
      </c>
      <c r="BP362" s="1894">
        <v>16.12</v>
      </c>
      <c r="BQ362" s="1894">
        <v>1719</v>
      </c>
      <c r="BR362" s="1894">
        <f t="shared" si="149"/>
        <v>63971</v>
      </c>
      <c r="BS362" s="1894">
        <f t="shared" si="150"/>
        <v>0</v>
      </c>
      <c r="BT362" s="1894">
        <v>239</v>
      </c>
      <c r="BU362" s="1894">
        <v>170.64</v>
      </c>
      <c r="BV362" s="1894">
        <v>191.2</v>
      </c>
      <c r="BW362" s="1894">
        <v>0.68500000000000005</v>
      </c>
      <c r="BX362" s="1894">
        <v>14.36</v>
      </c>
      <c r="BY362" s="1894">
        <v>19410</v>
      </c>
      <c r="BZ362" s="1894">
        <f t="shared" si="151"/>
        <v>76174</v>
      </c>
      <c r="CA362" s="1894">
        <f t="shared" si="152"/>
        <v>0</v>
      </c>
      <c r="CB362" s="1894">
        <v>239</v>
      </c>
      <c r="CC362" s="1894">
        <v>151.19999999999999</v>
      </c>
      <c r="CD362" s="1894">
        <v>191.2</v>
      </c>
      <c r="CE362" s="1894">
        <v>0.63890000000000002</v>
      </c>
      <c r="CF362" s="1894">
        <v>21.1</v>
      </c>
      <c r="CG362" s="1894">
        <v>23736</v>
      </c>
      <c r="CH362" s="1894">
        <f t="shared" si="153"/>
        <v>67496</v>
      </c>
      <c r="CI362" s="1894">
        <f t="shared" si="154"/>
        <v>0</v>
      </c>
      <c r="CJ362" s="1894">
        <v>239</v>
      </c>
      <c r="CK362" s="1894">
        <v>165.36</v>
      </c>
      <c r="CL362" s="1894">
        <v>191.2</v>
      </c>
      <c r="CM362" s="1894">
        <v>0.66</v>
      </c>
      <c r="CN362" s="1894">
        <v>30.93</v>
      </c>
      <c r="CO362" s="1894">
        <v>34368</v>
      </c>
      <c r="CP362" s="1894">
        <f t="shared" si="155"/>
        <v>66673</v>
      </c>
      <c r="CQ362" s="1894">
        <f t="shared" si="156"/>
        <v>0</v>
      </c>
      <c r="CR362" s="1924">
        <v>239</v>
      </c>
      <c r="CS362" s="1924">
        <v>154.07999999999998</v>
      </c>
      <c r="CT362" s="1924">
        <v>191.2</v>
      </c>
      <c r="CU362" s="1924">
        <v>0.80120000000000002</v>
      </c>
      <c r="CV362" s="1924">
        <v>26.67</v>
      </c>
      <c r="CW362" s="1924">
        <v>30573</v>
      </c>
      <c r="CX362" s="1894">
        <f t="shared" si="157"/>
        <v>68781</v>
      </c>
      <c r="CY362" s="1894">
        <f t="shared" si="158"/>
        <v>0</v>
      </c>
    </row>
    <row r="363" spans="1:103">
      <c r="A363" s="982">
        <v>123000000113</v>
      </c>
      <c r="B363" s="1923">
        <f t="shared" si="159"/>
        <v>357</v>
      </c>
      <c r="C363" s="1895" t="s">
        <v>3242</v>
      </c>
      <c r="D363" s="1894" t="s">
        <v>524</v>
      </c>
      <c r="E363" s="1895" t="s">
        <v>541</v>
      </c>
      <c r="F363" s="1894" t="s">
        <v>259</v>
      </c>
      <c r="G363" s="1924">
        <v>242</v>
      </c>
      <c r="H363" s="1894">
        <v>242</v>
      </c>
      <c r="I363" s="1894">
        <v>191.35999999999999</v>
      </c>
      <c r="J363" s="1894">
        <v>193.6</v>
      </c>
      <c r="K363" s="1894">
        <v>0.98150000000000004</v>
      </c>
      <c r="L363" s="1894">
        <v>11.73</v>
      </c>
      <c r="M363" s="1894">
        <v>16164</v>
      </c>
      <c r="N363" s="1894">
        <f t="shared" si="137"/>
        <v>82668</v>
      </c>
      <c r="O363" s="1894">
        <f t="shared" si="138"/>
        <v>0</v>
      </c>
      <c r="P363" s="1894">
        <v>242</v>
      </c>
      <c r="Q363" s="1894">
        <v>213.44</v>
      </c>
      <c r="R363" s="1894">
        <v>213.44</v>
      </c>
      <c r="S363" s="1894">
        <v>0.97670000000000001</v>
      </c>
      <c r="T363" s="1894">
        <v>47.96</v>
      </c>
      <c r="U363" s="1894">
        <v>71252</v>
      </c>
      <c r="V363" s="1894">
        <f t="shared" si="139"/>
        <v>95280</v>
      </c>
      <c r="W363" s="1894">
        <f t="shared" si="140"/>
        <v>0</v>
      </c>
      <c r="X363" s="1894">
        <v>242</v>
      </c>
      <c r="Y363" s="1894">
        <v>217.44</v>
      </c>
      <c r="Z363" s="1894">
        <v>217.44</v>
      </c>
      <c r="AA363" s="1894">
        <v>0.96709999999999996</v>
      </c>
      <c r="AB363" s="1894">
        <v>55.97</v>
      </c>
      <c r="AC363" s="1894">
        <v>93472</v>
      </c>
      <c r="AD363" s="1894">
        <f t="shared" si="141"/>
        <v>93934</v>
      </c>
      <c r="AE363" s="1894">
        <f t="shared" si="142"/>
        <v>0</v>
      </c>
      <c r="AF363" s="1894">
        <v>242</v>
      </c>
      <c r="AG363" s="1894">
        <v>223.36</v>
      </c>
      <c r="AH363" s="1894">
        <v>223.36</v>
      </c>
      <c r="AI363" s="1894">
        <v>0.9607</v>
      </c>
      <c r="AJ363" s="1894">
        <v>58.39</v>
      </c>
      <c r="AK363" s="1894">
        <v>93906</v>
      </c>
      <c r="AL363" s="1894">
        <f t="shared" si="135"/>
        <v>99708</v>
      </c>
      <c r="AM363" s="1894">
        <f t="shared" si="136"/>
        <v>0</v>
      </c>
      <c r="AN363" s="1894">
        <v>242</v>
      </c>
      <c r="AO363" s="1894">
        <v>226.88000000000002</v>
      </c>
      <c r="AP363" s="1894">
        <v>226.88</v>
      </c>
      <c r="AQ363" s="1894">
        <v>0.97340000000000004</v>
      </c>
      <c r="AR363" s="1894">
        <v>40.18</v>
      </c>
      <c r="AS363" s="1894">
        <v>70014</v>
      </c>
      <c r="AT363" s="1894">
        <f t="shared" si="143"/>
        <v>101279</v>
      </c>
      <c r="AU363" s="1894">
        <f t="shared" si="144"/>
        <v>0</v>
      </c>
      <c r="AV363" s="1894">
        <v>242</v>
      </c>
      <c r="AW363" s="1894">
        <v>211.68</v>
      </c>
      <c r="AX363" s="1894">
        <v>211.68</v>
      </c>
      <c r="AY363" s="1894">
        <v>0.98</v>
      </c>
      <c r="AZ363" s="1894">
        <v>46.8</v>
      </c>
      <c r="BA363" s="1894">
        <v>71322</v>
      </c>
      <c r="BB363" s="1894">
        <f t="shared" si="145"/>
        <v>91446</v>
      </c>
      <c r="BC363" s="1894">
        <f t="shared" si="146"/>
        <v>0</v>
      </c>
      <c r="BD363" s="1894">
        <v>242</v>
      </c>
      <c r="BE363" s="1894">
        <v>269.12</v>
      </c>
      <c r="BF363" s="1894">
        <v>269.12</v>
      </c>
      <c r="BG363" s="1894">
        <v>0.97689999999999999</v>
      </c>
      <c r="BH363" s="1894">
        <v>40.909999999999997</v>
      </c>
      <c r="BI363" s="1894">
        <v>81904</v>
      </c>
      <c r="BJ363" s="1894">
        <f t="shared" si="147"/>
        <v>120135</v>
      </c>
      <c r="BK363" s="1894">
        <f t="shared" si="148"/>
        <v>0</v>
      </c>
      <c r="BL363" s="1894">
        <v>242</v>
      </c>
      <c r="BM363" s="1894">
        <v>208.64</v>
      </c>
      <c r="BN363" s="1894">
        <v>208.64</v>
      </c>
      <c r="BO363" s="1894">
        <v>0.98140000000000005</v>
      </c>
      <c r="BP363" s="1894">
        <v>38.85</v>
      </c>
      <c r="BQ363" s="1894">
        <v>58366</v>
      </c>
      <c r="BR363" s="1894">
        <f t="shared" si="149"/>
        <v>90132</v>
      </c>
      <c r="BS363" s="1894">
        <f t="shared" si="150"/>
        <v>0</v>
      </c>
      <c r="BT363" s="1894">
        <v>242</v>
      </c>
      <c r="BU363" s="1894">
        <v>194.72</v>
      </c>
      <c r="BV363" s="1894">
        <v>194.72</v>
      </c>
      <c r="BW363" s="1894">
        <v>0.98599999999999999</v>
      </c>
      <c r="BX363" s="1894">
        <v>26.39</v>
      </c>
      <c r="BY363" s="1894">
        <v>32068</v>
      </c>
      <c r="BZ363" s="1894">
        <f t="shared" si="151"/>
        <v>86923</v>
      </c>
      <c r="CA363" s="1894">
        <f t="shared" si="152"/>
        <v>0</v>
      </c>
      <c r="CB363" s="1894">
        <v>242</v>
      </c>
      <c r="CC363" s="1894">
        <v>193.28</v>
      </c>
      <c r="CD363" s="1894">
        <v>193.6</v>
      </c>
      <c r="CE363" s="1894">
        <v>0.98670000000000002</v>
      </c>
      <c r="CF363" s="1894">
        <v>22.37</v>
      </c>
      <c r="CG363" s="1894">
        <v>37354</v>
      </c>
      <c r="CH363" s="1894">
        <f t="shared" si="153"/>
        <v>86280</v>
      </c>
      <c r="CI363" s="1894">
        <f t="shared" si="154"/>
        <v>0</v>
      </c>
      <c r="CJ363" s="1894">
        <v>242</v>
      </c>
      <c r="CK363" s="1894">
        <v>201.28</v>
      </c>
      <c r="CL363" s="1894">
        <v>201.28</v>
      </c>
      <c r="CM363" s="1894">
        <v>0.98480000000000001</v>
      </c>
      <c r="CN363" s="1894">
        <v>28.78</v>
      </c>
      <c r="CO363" s="1894">
        <v>38926</v>
      </c>
      <c r="CP363" s="1894">
        <f t="shared" si="155"/>
        <v>81156</v>
      </c>
      <c r="CQ363" s="1894">
        <f t="shared" si="156"/>
        <v>0</v>
      </c>
      <c r="CR363" s="1924">
        <v>242</v>
      </c>
      <c r="CS363" s="1924">
        <v>204.8</v>
      </c>
      <c r="CT363" s="1924">
        <v>204.8</v>
      </c>
      <c r="CU363" s="1924">
        <v>0.97240000000000004</v>
      </c>
      <c r="CV363" s="1924">
        <v>22.06</v>
      </c>
      <c r="CW363" s="1924">
        <v>33610</v>
      </c>
      <c r="CX363" s="1894">
        <f t="shared" si="157"/>
        <v>91423</v>
      </c>
      <c r="CY363" s="1894">
        <f t="shared" si="158"/>
        <v>0</v>
      </c>
    </row>
    <row r="364" spans="1:103">
      <c r="A364" s="982">
        <v>125000000032</v>
      </c>
      <c r="B364" s="1923">
        <f t="shared" si="159"/>
        <v>358</v>
      </c>
      <c r="C364" s="1895" t="s">
        <v>3243</v>
      </c>
      <c r="D364" s="1894" t="s">
        <v>524</v>
      </c>
      <c r="E364" s="1895" t="s">
        <v>541</v>
      </c>
      <c r="F364" s="1894" t="s">
        <v>259</v>
      </c>
      <c r="G364" s="1924">
        <v>242</v>
      </c>
      <c r="H364" s="1894">
        <v>242</v>
      </c>
      <c r="I364" s="1894">
        <v>112.00000000000001</v>
      </c>
      <c r="J364" s="1894">
        <v>193.6</v>
      </c>
      <c r="K364" s="1894">
        <v>0.49330000000000002</v>
      </c>
      <c r="L364" s="1894">
        <v>5.97</v>
      </c>
      <c r="M364" s="1894">
        <v>4492</v>
      </c>
      <c r="N364" s="1894">
        <f t="shared" si="137"/>
        <v>48384</v>
      </c>
      <c r="O364" s="1894">
        <f t="shared" si="138"/>
        <v>0</v>
      </c>
      <c r="P364" s="1894">
        <v>242</v>
      </c>
      <c r="Q364" s="1894">
        <v>100</v>
      </c>
      <c r="R364" s="1894">
        <v>193.6</v>
      </c>
      <c r="S364" s="1894">
        <v>0.45860000000000001</v>
      </c>
      <c r="T364" s="1894">
        <v>3.83</v>
      </c>
      <c r="U364" s="1894">
        <v>2756</v>
      </c>
      <c r="V364" s="1894">
        <f t="shared" si="139"/>
        <v>44640</v>
      </c>
      <c r="W364" s="1894">
        <f t="shared" si="140"/>
        <v>0</v>
      </c>
      <c r="X364" s="1894">
        <v>242</v>
      </c>
      <c r="Y364" s="1894">
        <v>5.6000000000000005</v>
      </c>
      <c r="Z364" s="1894">
        <v>193.6</v>
      </c>
      <c r="AA364" s="1894">
        <v>0.4375</v>
      </c>
      <c r="AB364" s="1894">
        <v>23.02</v>
      </c>
      <c r="AC364" s="1894">
        <v>928</v>
      </c>
      <c r="AD364" s="1894">
        <f t="shared" si="141"/>
        <v>2419</v>
      </c>
      <c r="AE364" s="1894">
        <f t="shared" si="142"/>
        <v>0</v>
      </c>
      <c r="AF364" s="1894">
        <v>242</v>
      </c>
      <c r="AG364" s="1894">
        <v>20.8</v>
      </c>
      <c r="AH364" s="1894">
        <v>193.6</v>
      </c>
      <c r="AI364" s="1894">
        <v>0.39589999999999997</v>
      </c>
      <c r="AJ364" s="1894">
        <v>7.7</v>
      </c>
      <c r="AK364" s="1894">
        <v>1192</v>
      </c>
      <c r="AL364" s="1894">
        <f t="shared" si="135"/>
        <v>9285</v>
      </c>
      <c r="AM364" s="1894">
        <f t="shared" si="136"/>
        <v>0</v>
      </c>
      <c r="AN364" s="1894">
        <v>242</v>
      </c>
      <c r="AO364" s="1894">
        <v>58.4</v>
      </c>
      <c r="AP364" s="1894">
        <v>193.6</v>
      </c>
      <c r="AQ364" s="1894">
        <v>0.4299</v>
      </c>
      <c r="AR364" s="1894">
        <v>3.94</v>
      </c>
      <c r="AS364" s="1894">
        <v>1656</v>
      </c>
      <c r="AT364" s="1894">
        <f t="shared" si="143"/>
        <v>26070</v>
      </c>
      <c r="AU364" s="1894">
        <f t="shared" si="144"/>
        <v>0</v>
      </c>
      <c r="AV364" s="1894">
        <v>242</v>
      </c>
      <c r="AW364" s="1894">
        <v>3.52</v>
      </c>
      <c r="AX364" s="1894">
        <v>193.6</v>
      </c>
      <c r="AY364" s="1894">
        <v>0.57689999999999997</v>
      </c>
      <c r="AZ364" s="1894">
        <v>2.0499999999999998</v>
      </c>
      <c r="BA364" s="1894">
        <v>52</v>
      </c>
      <c r="BB364" s="1894">
        <f t="shared" si="145"/>
        <v>1521</v>
      </c>
      <c r="BC364" s="1894">
        <f t="shared" si="146"/>
        <v>0</v>
      </c>
      <c r="BD364" s="1894">
        <v>242</v>
      </c>
      <c r="BE364" s="1894">
        <v>61.6</v>
      </c>
      <c r="BF364" s="1894">
        <v>193.6</v>
      </c>
      <c r="BG364" s="1894">
        <v>0.46739999999999998</v>
      </c>
      <c r="BH364" s="1894">
        <v>4.16</v>
      </c>
      <c r="BI364" s="1894">
        <v>2152</v>
      </c>
      <c r="BJ364" s="1894">
        <f t="shared" si="147"/>
        <v>27498</v>
      </c>
      <c r="BK364" s="1894">
        <f t="shared" si="148"/>
        <v>0</v>
      </c>
      <c r="BL364" s="1894">
        <v>242</v>
      </c>
      <c r="BM364" s="1894">
        <v>3.04</v>
      </c>
      <c r="BN364" s="1894">
        <v>193.6</v>
      </c>
      <c r="BO364" s="1894">
        <v>0.35849999999999999</v>
      </c>
      <c r="BP364" s="1894">
        <v>70.94</v>
      </c>
      <c r="BQ364" s="1894">
        <v>1294</v>
      </c>
      <c r="BR364" s="1894">
        <f t="shared" si="149"/>
        <v>1313</v>
      </c>
      <c r="BS364" s="1894">
        <f t="shared" si="150"/>
        <v>0</v>
      </c>
      <c r="BT364" s="1894">
        <v>242</v>
      </c>
      <c r="BU364" s="1894">
        <v>115.68</v>
      </c>
      <c r="BV364" s="1894">
        <v>193.6</v>
      </c>
      <c r="BW364" s="1894">
        <v>0.48459999999999998</v>
      </c>
      <c r="BX364" s="1894">
        <v>4.37</v>
      </c>
      <c r="BY364" s="1894">
        <v>4370</v>
      </c>
      <c r="BZ364" s="1894">
        <f t="shared" si="151"/>
        <v>51640</v>
      </c>
      <c r="CA364" s="1894">
        <f t="shared" si="152"/>
        <v>0</v>
      </c>
      <c r="CB364" s="1894">
        <v>242</v>
      </c>
      <c r="CC364" s="1894">
        <v>104.32</v>
      </c>
      <c r="CD364" s="1894">
        <v>193.6</v>
      </c>
      <c r="CE364" s="1894">
        <v>0.48349999999999999</v>
      </c>
      <c r="CF364" s="1894">
        <v>3.21</v>
      </c>
      <c r="CG364" s="1894">
        <v>2490</v>
      </c>
      <c r="CH364" s="1894">
        <f t="shared" si="153"/>
        <v>46568</v>
      </c>
      <c r="CI364" s="1894">
        <f t="shared" si="154"/>
        <v>0</v>
      </c>
      <c r="CJ364" s="1894">
        <v>242</v>
      </c>
      <c r="CK364" s="1894">
        <v>106.88</v>
      </c>
      <c r="CL364" s="1894">
        <v>193.6</v>
      </c>
      <c r="CM364" s="1894">
        <v>0.45129999999999998</v>
      </c>
      <c r="CN364" s="1894">
        <v>4.29</v>
      </c>
      <c r="CO364" s="1894">
        <v>3084</v>
      </c>
      <c r="CP364" s="1894">
        <f t="shared" si="155"/>
        <v>43094</v>
      </c>
      <c r="CQ364" s="1894">
        <f t="shared" si="156"/>
        <v>0</v>
      </c>
      <c r="CR364" s="1924">
        <v>242</v>
      </c>
      <c r="CS364" s="1924">
        <v>76.959999999999994</v>
      </c>
      <c r="CT364" s="1924">
        <v>193.6</v>
      </c>
      <c r="CU364" s="1924">
        <v>0.38150000000000001</v>
      </c>
      <c r="CV364" s="1924">
        <v>3.14</v>
      </c>
      <c r="CW364" s="1924">
        <v>1798</v>
      </c>
      <c r="CX364" s="1894">
        <f t="shared" si="157"/>
        <v>34355</v>
      </c>
      <c r="CY364" s="1894">
        <f t="shared" si="158"/>
        <v>0</v>
      </c>
    </row>
    <row r="365" spans="1:103">
      <c r="A365" s="982">
        <v>125000000024</v>
      </c>
      <c r="B365" s="1923">
        <f t="shared" si="159"/>
        <v>359</v>
      </c>
      <c r="C365" s="1895" t="s">
        <v>3244</v>
      </c>
      <c r="D365" s="1894" t="s">
        <v>524</v>
      </c>
      <c r="E365" s="1895" t="s">
        <v>541</v>
      </c>
      <c r="F365" s="1894" t="s">
        <v>259</v>
      </c>
      <c r="G365" s="1924">
        <v>244</v>
      </c>
      <c r="H365" s="1894">
        <v>244</v>
      </c>
      <c r="I365" s="1894">
        <v>252</v>
      </c>
      <c r="J365" s="1894">
        <v>252</v>
      </c>
      <c r="K365" s="1894">
        <v>0.92100000000000004</v>
      </c>
      <c r="L365" s="1894">
        <v>51.81</v>
      </c>
      <c r="M365" s="1894">
        <v>87734</v>
      </c>
      <c r="N365" s="1894">
        <f t="shared" si="137"/>
        <v>108864</v>
      </c>
      <c r="O365" s="1894">
        <f t="shared" si="138"/>
        <v>0</v>
      </c>
      <c r="P365" s="1894">
        <v>244</v>
      </c>
      <c r="Q365" s="1894">
        <v>250</v>
      </c>
      <c r="R365" s="1894">
        <v>250</v>
      </c>
      <c r="S365" s="1894">
        <v>0.91610000000000003</v>
      </c>
      <c r="T365" s="1894">
        <v>48.36</v>
      </c>
      <c r="U365" s="1894">
        <v>95744</v>
      </c>
      <c r="V365" s="1894">
        <f t="shared" si="139"/>
        <v>111600</v>
      </c>
      <c r="W365" s="1894">
        <f t="shared" si="140"/>
        <v>0</v>
      </c>
      <c r="X365" s="1894">
        <v>244</v>
      </c>
      <c r="Y365" s="1894">
        <v>266.8</v>
      </c>
      <c r="Z365" s="1894">
        <v>266.8</v>
      </c>
      <c r="AA365" s="1894">
        <v>0.89059999999999995</v>
      </c>
      <c r="AB365" s="1894">
        <v>43.48</v>
      </c>
      <c r="AC365" s="1894">
        <v>83530</v>
      </c>
      <c r="AD365" s="1894">
        <f t="shared" si="141"/>
        <v>115258</v>
      </c>
      <c r="AE365" s="1894">
        <f t="shared" si="142"/>
        <v>0</v>
      </c>
      <c r="AF365" s="1894">
        <v>244</v>
      </c>
      <c r="AG365" s="1894">
        <v>316.40000000000003</v>
      </c>
      <c r="AH365" s="1894">
        <v>316.39999999999998</v>
      </c>
      <c r="AI365" s="1894">
        <v>0.87219999999999998</v>
      </c>
      <c r="AJ365" s="1894">
        <v>44.41</v>
      </c>
      <c r="AK365" s="1894">
        <v>104540</v>
      </c>
      <c r="AL365" s="1894">
        <f t="shared" si="135"/>
        <v>141241</v>
      </c>
      <c r="AM365" s="1894">
        <f t="shared" si="136"/>
        <v>0</v>
      </c>
      <c r="AN365" s="1894">
        <v>244</v>
      </c>
      <c r="AO365" s="1894">
        <v>275.2</v>
      </c>
      <c r="AP365" s="1894">
        <v>275.2</v>
      </c>
      <c r="AQ365" s="1894">
        <v>0.89149999999999996</v>
      </c>
      <c r="AR365" s="1894">
        <v>38.08</v>
      </c>
      <c r="AS365" s="1894">
        <v>77974</v>
      </c>
      <c r="AT365" s="1894">
        <f t="shared" si="143"/>
        <v>122849</v>
      </c>
      <c r="AU365" s="1894">
        <f t="shared" si="144"/>
        <v>0</v>
      </c>
      <c r="AV365" s="1894">
        <v>244</v>
      </c>
      <c r="AW365" s="1894">
        <v>282.88</v>
      </c>
      <c r="AX365" s="1894">
        <v>282.88</v>
      </c>
      <c r="AY365" s="1894">
        <v>0.89810000000000001</v>
      </c>
      <c r="AZ365" s="1894">
        <v>48.07</v>
      </c>
      <c r="BA365" s="1894">
        <v>81594</v>
      </c>
      <c r="BB365" s="1894">
        <f t="shared" si="145"/>
        <v>122204</v>
      </c>
      <c r="BC365" s="1894">
        <f t="shared" si="146"/>
        <v>0</v>
      </c>
      <c r="BD365" s="1894">
        <v>244</v>
      </c>
      <c r="BE365" s="1894">
        <v>256.8</v>
      </c>
      <c r="BF365" s="1894">
        <v>256.8</v>
      </c>
      <c r="BG365" s="1894">
        <v>0.96550000000000002</v>
      </c>
      <c r="BH365" s="1894">
        <v>44.58</v>
      </c>
      <c r="BI365" s="1894">
        <v>85172</v>
      </c>
      <c r="BJ365" s="1894">
        <f t="shared" si="147"/>
        <v>114636</v>
      </c>
      <c r="BK365" s="1894">
        <f t="shared" si="148"/>
        <v>0</v>
      </c>
      <c r="BL365" s="1894">
        <v>244</v>
      </c>
      <c r="BM365" s="1894">
        <v>263.68</v>
      </c>
      <c r="BN365" s="1894">
        <v>263.68</v>
      </c>
      <c r="BO365" s="1894">
        <v>0.96099999999999997</v>
      </c>
      <c r="BP365" s="1894">
        <v>58.1</v>
      </c>
      <c r="BQ365" s="1894">
        <v>113974</v>
      </c>
      <c r="BR365" s="1894">
        <f t="shared" si="149"/>
        <v>113910</v>
      </c>
      <c r="BS365" s="1894">
        <f t="shared" si="150"/>
        <v>64</v>
      </c>
      <c r="BT365" s="1894">
        <v>244</v>
      </c>
      <c r="BU365" s="1894">
        <v>259.03999999999996</v>
      </c>
      <c r="BV365" s="1894">
        <v>259.04000000000002</v>
      </c>
      <c r="BW365" s="1894">
        <v>0.95379999999999998</v>
      </c>
      <c r="BX365" s="1894">
        <v>34.299999999999997</v>
      </c>
      <c r="BY365" s="1894">
        <v>74638</v>
      </c>
      <c r="BZ365" s="1894">
        <f t="shared" si="151"/>
        <v>115635</v>
      </c>
      <c r="CA365" s="1894">
        <f t="shared" si="152"/>
        <v>0</v>
      </c>
      <c r="CB365" s="1894">
        <v>244</v>
      </c>
      <c r="CC365" s="1894">
        <v>240.64000000000001</v>
      </c>
      <c r="CD365" s="1894">
        <v>240.64</v>
      </c>
      <c r="CE365" s="1894">
        <v>0.9617</v>
      </c>
      <c r="CF365" s="1894">
        <v>50.78</v>
      </c>
      <c r="CG365" s="1894">
        <v>90908</v>
      </c>
      <c r="CH365" s="1894">
        <f t="shared" si="153"/>
        <v>107422</v>
      </c>
      <c r="CI365" s="1894">
        <f t="shared" si="154"/>
        <v>0</v>
      </c>
      <c r="CJ365" s="1894">
        <v>244</v>
      </c>
      <c r="CK365" s="1894">
        <v>216.64</v>
      </c>
      <c r="CL365" s="1894">
        <v>216.64</v>
      </c>
      <c r="CM365" s="1894">
        <v>0.98919999999999997</v>
      </c>
      <c r="CN365" s="1894">
        <v>50.55</v>
      </c>
      <c r="CO365" s="1894">
        <v>73592</v>
      </c>
      <c r="CP365" s="1894">
        <f t="shared" si="155"/>
        <v>87349</v>
      </c>
      <c r="CQ365" s="1894">
        <f t="shared" si="156"/>
        <v>0</v>
      </c>
      <c r="CR365" s="1924">
        <v>244</v>
      </c>
      <c r="CS365" s="1924">
        <v>238.24</v>
      </c>
      <c r="CT365" s="1924">
        <v>238.24</v>
      </c>
      <c r="CU365" s="1924">
        <v>0.98960000000000004</v>
      </c>
      <c r="CV365" s="1924">
        <v>49.01</v>
      </c>
      <c r="CW365" s="1924">
        <v>86862</v>
      </c>
      <c r="CX365" s="1894">
        <f t="shared" si="157"/>
        <v>106350</v>
      </c>
      <c r="CY365" s="1894">
        <f t="shared" si="158"/>
        <v>0</v>
      </c>
    </row>
    <row r="366" spans="1:103">
      <c r="A366" s="982">
        <v>621000000036</v>
      </c>
      <c r="B366" s="1923">
        <f t="shared" si="159"/>
        <v>360</v>
      </c>
      <c r="C366" s="1895" t="s">
        <v>3245</v>
      </c>
      <c r="D366" s="1894" t="s">
        <v>524</v>
      </c>
      <c r="E366" s="1895" t="s">
        <v>737</v>
      </c>
      <c r="F366" s="1894" t="s">
        <v>259</v>
      </c>
      <c r="G366" s="1924">
        <v>244.5</v>
      </c>
      <c r="H366" s="1894">
        <v>244.5</v>
      </c>
      <c r="I366" s="1894">
        <v>155.51999999999998</v>
      </c>
      <c r="J366" s="1894">
        <v>195.6</v>
      </c>
      <c r="K366" s="1894">
        <v>0.97529999999999994</v>
      </c>
      <c r="L366" s="1894">
        <v>67.180000000000007</v>
      </c>
      <c r="M366" s="1894">
        <v>75225</v>
      </c>
      <c r="N366" s="1894">
        <f t="shared" si="137"/>
        <v>67185</v>
      </c>
      <c r="O366" s="1894">
        <f t="shared" si="138"/>
        <v>8040</v>
      </c>
      <c r="P366" s="1894">
        <v>244.5</v>
      </c>
      <c r="Q366" s="1894">
        <v>151.68</v>
      </c>
      <c r="R366" s="1894">
        <v>195.6</v>
      </c>
      <c r="S366" s="1894">
        <v>0.98340000000000005</v>
      </c>
      <c r="T366" s="1894">
        <v>63.08</v>
      </c>
      <c r="U366" s="1894">
        <v>71181</v>
      </c>
      <c r="V366" s="1894">
        <f t="shared" si="139"/>
        <v>67710</v>
      </c>
      <c r="W366" s="1894">
        <f t="shared" si="140"/>
        <v>3471</v>
      </c>
      <c r="X366" s="1894">
        <v>244.5</v>
      </c>
      <c r="Y366" s="1894">
        <v>158.64000000000001</v>
      </c>
      <c r="Z366" s="1894">
        <v>195.6</v>
      </c>
      <c r="AA366" s="1894">
        <v>0.98019999999999996</v>
      </c>
      <c r="AB366" s="1894">
        <v>39.72</v>
      </c>
      <c r="AC366" s="1894">
        <v>45372</v>
      </c>
      <c r="AD366" s="1894">
        <f t="shared" si="141"/>
        <v>68532</v>
      </c>
      <c r="AE366" s="1894">
        <f t="shared" si="142"/>
        <v>0</v>
      </c>
      <c r="AF366" s="1894">
        <v>244.5</v>
      </c>
      <c r="AG366" s="1894">
        <v>148.07999999999998</v>
      </c>
      <c r="AH366" s="1894">
        <v>195.6</v>
      </c>
      <c r="AI366" s="1894">
        <v>0.98819999999999997</v>
      </c>
      <c r="AJ366" s="1894">
        <v>56.96</v>
      </c>
      <c r="AK366" s="1894">
        <v>62751</v>
      </c>
      <c r="AL366" s="1894">
        <f t="shared" si="135"/>
        <v>66103</v>
      </c>
      <c r="AM366" s="1894">
        <f t="shared" si="136"/>
        <v>0</v>
      </c>
      <c r="AN366" s="1894">
        <v>244.5</v>
      </c>
      <c r="AO366" s="1894">
        <v>90.72</v>
      </c>
      <c r="AP366" s="1894">
        <v>195.6</v>
      </c>
      <c r="AQ366" s="1894">
        <v>0.99299999999999999</v>
      </c>
      <c r="AR366" s="1894">
        <v>78.33</v>
      </c>
      <c r="AS366" s="1894">
        <v>52866</v>
      </c>
      <c r="AT366" s="1894">
        <f t="shared" si="143"/>
        <v>40497</v>
      </c>
      <c r="AU366" s="1894">
        <f t="shared" si="144"/>
        <v>12369</v>
      </c>
      <c r="AV366" s="1894">
        <v>244.5</v>
      </c>
      <c r="AW366" s="1894">
        <v>135.35999999999999</v>
      </c>
      <c r="AX366" s="1894">
        <v>195.6</v>
      </c>
      <c r="AY366" s="1894">
        <v>0.98919999999999997</v>
      </c>
      <c r="AZ366" s="1894">
        <v>48.68</v>
      </c>
      <c r="BA366" s="1894">
        <v>45860</v>
      </c>
      <c r="BB366" s="1894">
        <f t="shared" si="145"/>
        <v>58476</v>
      </c>
      <c r="BC366" s="1894">
        <f t="shared" si="146"/>
        <v>0</v>
      </c>
      <c r="BD366" s="1894">
        <v>244.5</v>
      </c>
      <c r="BE366" s="1894">
        <v>120.60000000000001</v>
      </c>
      <c r="BF366" s="1894">
        <v>195.6</v>
      </c>
      <c r="BG366" s="1894">
        <v>0.98970000000000002</v>
      </c>
      <c r="BH366" s="1894">
        <v>39.299999999999997</v>
      </c>
      <c r="BI366" s="1894">
        <v>36403</v>
      </c>
      <c r="BJ366" s="1894">
        <f t="shared" si="147"/>
        <v>53836</v>
      </c>
      <c r="BK366" s="1894">
        <f t="shared" si="148"/>
        <v>0</v>
      </c>
      <c r="BL366" s="1894">
        <v>244.5</v>
      </c>
      <c r="BM366" s="1894">
        <v>108.72</v>
      </c>
      <c r="BN366" s="1894">
        <v>195.6</v>
      </c>
      <c r="BO366" s="1894">
        <v>0.98150000000000004</v>
      </c>
      <c r="BP366" s="1894">
        <v>44.57</v>
      </c>
      <c r="BQ366" s="1894">
        <v>33722</v>
      </c>
      <c r="BR366" s="1894">
        <f t="shared" si="149"/>
        <v>46967</v>
      </c>
      <c r="BS366" s="1894">
        <f t="shared" si="150"/>
        <v>0</v>
      </c>
      <c r="BT366" s="1894">
        <v>244.5</v>
      </c>
      <c r="BU366" s="1894">
        <v>99.36</v>
      </c>
      <c r="BV366" s="1894">
        <v>195.6</v>
      </c>
      <c r="BW366" s="1894">
        <v>0.97260000000000002</v>
      </c>
      <c r="BX366" s="1894">
        <v>42.39</v>
      </c>
      <c r="BY366" s="1894">
        <v>32346</v>
      </c>
      <c r="BZ366" s="1894">
        <f t="shared" si="151"/>
        <v>44354</v>
      </c>
      <c r="CA366" s="1894">
        <f t="shared" si="152"/>
        <v>0</v>
      </c>
      <c r="CB366" s="1894">
        <v>244.5</v>
      </c>
      <c r="CC366" s="1894">
        <v>99.300000000000011</v>
      </c>
      <c r="CD366" s="1894">
        <v>195.6</v>
      </c>
      <c r="CE366" s="1894">
        <v>0.98170000000000002</v>
      </c>
      <c r="CF366" s="1894">
        <v>58.22</v>
      </c>
      <c r="CG366" s="1894">
        <v>35812</v>
      </c>
      <c r="CH366" s="1894">
        <f t="shared" si="153"/>
        <v>44328</v>
      </c>
      <c r="CI366" s="1894">
        <f t="shared" si="154"/>
        <v>0</v>
      </c>
      <c r="CJ366" s="1894">
        <v>244.5</v>
      </c>
      <c r="CK366" s="1894">
        <v>109.44</v>
      </c>
      <c r="CL366" s="1894">
        <v>195.6</v>
      </c>
      <c r="CM366" s="1894">
        <v>0.98370000000000002</v>
      </c>
      <c r="CN366" s="1894">
        <v>59.67</v>
      </c>
      <c r="CO366" s="1894">
        <v>43884</v>
      </c>
      <c r="CP366" s="1894">
        <f t="shared" si="155"/>
        <v>44126</v>
      </c>
      <c r="CQ366" s="1894">
        <f t="shared" si="156"/>
        <v>0</v>
      </c>
      <c r="CR366" s="1924">
        <v>244.5</v>
      </c>
      <c r="CS366" s="1924">
        <v>127.2</v>
      </c>
      <c r="CT366" s="1924">
        <v>195.6</v>
      </c>
      <c r="CU366" s="1924">
        <v>0.99319999999999997</v>
      </c>
      <c r="CV366" s="1924">
        <v>59.9</v>
      </c>
      <c r="CW366" s="1924">
        <v>56688</v>
      </c>
      <c r="CX366" s="1894">
        <f t="shared" si="157"/>
        <v>56782</v>
      </c>
      <c r="CY366" s="1894">
        <f t="shared" si="158"/>
        <v>0</v>
      </c>
    </row>
    <row r="367" spans="1:103">
      <c r="A367" s="982">
        <v>121000000042</v>
      </c>
      <c r="B367" s="1923">
        <f t="shared" si="159"/>
        <v>361</v>
      </c>
      <c r="C367" s="1895" t="s">
        <v>3246</v>
      </c>
      <c r="D367" s="1894" t="s">
        <v>524</v>
      </c>
      <c r="E367" s="1895" t="s">
        <v>541</v>
      </c>
      <c r="F367" s="1894" t="s">
        <v>259</v>
      </c>
      <c r="G367" s="1924">
        <v>245</v>
      </c>
      <c r="H367" s="1894">
        <v>245</v>
      </c>
      <c r="I367" s="1894">
        <v>213</v>
      </c>
      <c r="J367" s="1894">
        <v>213</v>
      </c>
      <c r="K367" s="1894">
        <v>0.93689999999999996</v>
      </c>
      <c r="L367" s="1894">
        <v>32.75</v>
      </c>
      <c r="M367" s="1894">
        <v>50230</v>
      </c>
      <c r="N367" s="1894">
        <f t="shared" si="137"/>
        <v>92016</v>
      </c>
      <c r="O367" s="1894">
        <f t="shared" si="138"/>
        <v>0</v>
      </c>
      <c r="P367" s="1894">
        <v>245</v>
      </c>
      <c r="Q367" s="1894">
        <v>164</v>
      </c>
      <c r="R367" s="1894">
        <v>196</v>
      </c>
      <c r="S367" s="1894">
        <v>0.97109999999999996</v>
      </c>
      <c r="T367" s="1894">
        <v>38.92</v>
      </c>
      <c r="U367" s="1894">
        <v>47485</v>
      </c>
      <c r="V367" s="1894">
        <f t="shared" si="139"/>
        <v>73210</v>
      </c>
      <c r="W367" s="1894">
        <f t="shared" si="140"/>
        <v>0</v>
      </c>
      <c r="X367" s="1894">
        <v>245</v>
      </c>
      <c r="Y367" s="1894">
        <v>182.4</v>
      </c>
      <c r="Z367" s="1894">
        <v>196</v>
      </c>
      <c r="AA367" s="1894">
        <v>0.94610000000000005</v>
      </c>
      <c r="AB367" s="1894">
        <v>25.65</v>
      </c>
      <c r="AC367" s="1894">
        <v>33692</v>
      </c>
      <c r="AD367" s="1894">
        <f t="shared" si="141"/>
        <v>78797</v>
      </c>
      <c r="AE367" s="1894">
        <f t="shared" si="142"/>
        <v>0</v>
      </c>
      <c r="AF367" s="1894">
        <v>245</v>
      </c>
      <c r="AG367" s="1894">
        <v>178.2</v>
      </c>
      <c r="AH367" s="1894">
        <v>196</v>
      </c>
      <c r="AI367" s="1894">
        <v>0.95230000000000004</v>
      </c>
      <c r="AJ367" s="1894">
        <v>31.6</v>
      </c>
      <c r="AK367" s="1894">
        <v>41902</v>
      </c>
      <c r="AL367" s="1894">
        <f t="shared" si="135"/>
        <v>79548</v>
      </c>
      <c r="AM367" s="1894">
        <f t="shared" si="136"/>
        <v>0</v>
      </c>
      <c r="AN367" s="1894">
        <v>245</v>
      </c>
      <c r="AO367" s="1894">
        <v>174.6</v>
      </c>
      <c r="AP367" s="1894">
        <v>196</v>
      </c>
      <c r="AQ367" s="1894">
        <v>0.9345</v>
      </c>
      <c r="AR367" s="1894">
        <v>25.19</v>
      </c>
      <c r="AS367" s="1894">
        <v>32718</v>
      </c>
      <c r="AT367" s="1894">
        <f t="shared" si="143"/>
        <v>77941</v>
      </c>
      <c r="AU367" s="1894">
        <f t="shared" si="144"/>
        <v>0</v>
      </c>
      <c r="AV367" s="1894">
        <v>245</v>
      </c>
      <c r="AW367" s="1894">
        <v>168.4</v>
      </c>
      <c r="AX367" s="1894">
        <v>196</v>
      </c>
      <c r="AY367" s="1894">
        <v>0.94879999999999998</v>
      </c>
      <c r="AZ367" s="1894">
        <v>33.56</v>
      </c>
      <c r="BA367" s="1894">
        <v>40692</v>
      </c>
      <c r="BB367" s="1894">
        <f t="shared" si="145"/>
        <v>72749</v>
      </c>
      <c r="BC367" s="1894">
        <f t="shared" si="146"/>
        <v>0</v>
      </c>
      <c r="BD367" s="1894">
        <v>245</v>
      </c>
      <c r="BE367" s="1894">
        <v>73.800000000000011</v>
      </c>
      <c r="BF367" s="1894">
        <v>196</v>
      </c>
      <c r="BG367" s="1894">
        <v>0.55489999999999995</v>
      </c>
      <c r="BH367" s="1894">
        <v>12.94</v>
      </c>
      <c r="BI367" s="1894">
        <v>7103</v>
      </c>
      <c r="BJ367" s="1894">
        <f t="shared" si="147"/>
        <v>32944</v>
      </c>
      <c r="BK367" s="1894">
        <f t="shared" si="148"/>
        <v>0</v>
      </c>
      <c r="BL367" s="1894">
        <v>245</v>
      </c>
      <c r="BM367" s="1894">
        <v>26</v>
      </c>
      <c r="BN367" s="1894">
        <v>196</v>
      </c>
      <c r="BO367" s="1894">
        <v>0.23580000000000001</v>
      </c>
      <c r="BP367" s="1894">
        <v>37.83</v>
      </c>
      <c r="BQ367" s="1894">
        <v>7082</v>
      </c>
      <c r="BR367" s="1894">
        <f t="shared" si="149"/>
        <v>11232</v>
      </c>
      <c r="BS367" s="1894">
        <f t="shared" si="150"/>
        <v>0</v>
      </c>
      <c r="BT367" s="1894">
        <v>245</v>
      </c>
      <c r="BU367" s="1894">
        <v>31.2</v>
      </c>
      <c r="BV367" s="1894">
        <v>196</v>
      </c>
      <c r="BW367" s="1894">
        <v>0.23280000000000001</v>
      </c>
      <c r="BX367" s="1894">
        <v>32.619999999999997</v>
      </c>
      <c r="BY367" s="1894">
        <v>7573</v>
      </c>
      <c r="BZ367" s="1894">
        <f t="shared" si="151"/>
        <v>13928</v>
      </c>
      <c r="CA367" s="1894">
        <f t="shared" si="152"/>
        <v>0</v>
      </c>
      <c r="CB367" s="1894">
        <v>245</v>
      </c>
      <c r="CC367" s="1894">
        <v>228.2</v>
      </c>
      <c r="CD367" s="1894">
        <v>228.2</v>
      </c>
      <c r="CE367" s="1894">
        <v>0.68369999999999997</v>
      </c>
      <c r="CF367" s="1894">
        <v>26.13</v>
      </c>
      <c r="CG367" s="1894">
        <v>44370</v>
      </c>
      <c r="CH367" s="1894">
        <f t="shared" si="153"/>
        <v>101868</v>
      </c>
      <c r="CI367" s="1894">
        <f t="shared" si="154"/>
        <v>0</v>
      </c>
      <c r="CJ367" s="1894">
        <v>245</v>
      </c>
      <c r="CK367" s="1894">
        <v>227.20000000000002</v>
      </c>
      <c r="CL367" s="1894">
        <v>227.2</v>
      </c>
      <c r="CM367" s="1894">
        <v>0.60980000000000001</v>
      </c>
      <c r="CN367" s="1894">
        <v>43.92</v>
      </c>
      <c r="CO367" s="1894">
        <v>67063</v>
      </c>
      <c r="CP367" s="1894">
        <f t="shared" si="155"/>
        <v>91607</v>
      </c>
      <c r="CQ367" s="1894">
        <f t="shared" si="156"/>
        <v>0</v>
      </c>
      <c r="CR367" s="1924">
        <v>245</v>
      </c>
      <c r="CS367" s="1924">
        <v>209.2</v>
      </c>
      <c r="CT367" s="1924">
        <v>209.2</v>
      </c>
      <c r="CU367" s="1924">
        <v>0.78349999999999997</v>
      </c>
      <c r="CV367" s="1924">
        <v>40.76</v>
      </c>
      <c r="CW367" s="1924">
        <v>63438</v>
      </c>
      <c r="CX367" s="1894">
        <f t="shared" si="157"/>
        <v>93387</v>
      </c>
      <c r="CY367" s="1894">
        <f t="shared" si="158"/>
        <v>0</v>
      </c>
    </row>
    <row r="368" spans="1:103">
      <c r="A368" s="982">
        <v>122000000088</v>
      </c>
      <c r="B368" s="1923">
        <f t="shared" si="159"/>
        <v>362</v>
      </c>
      <c r="C368" s="1895" t="s">
        <v>3247</v>
      </c>
      <c r="D368" s="1894" t="s">
        <v>524</v>
      </c>
      <c r="E368" s="1895" t="s">
        <v>636</v>
      </c>
      <c r="F368" s="1894" t="s">
        <v>259</v>
      </c>
      <c r="G368" s="1924">
        <v>245</v>
      </c>
      <c r="H368" s="1894">
        <v>245</v>
      </c>
      <c r="I368" s="1894">
        <v>19.439999999999998</v>
      </c>
      <c r="J368" s="1894">
        <v>196</v>
      </c>
      <c r="K368" s="1894">
        <v>0.98409999999999997</v>
      </c>
      <c r="L368" s="1894">
        <v>10.82</v>
      </c>
      <c r="M368" s="1894">
        <v>1515</v>
      </c>
      <c r="N368" s="1894">
        <f t="shared" si="137"/>
        <v>8398</v>
      </c>
      <c r="O368" s="1894">
        <f t="shared" si="138"/>
        <v>0</v>
      </c>
      <c r="P368" s="1894">
        <v>245</v>
      </c>
      <c r="Q368" s="1894">
        <v>164.88</v>
      </c>
      <c r="R368" s="1894">
        <v>196</v>
      </c>
      <c r="S368" s="1894">
        <v>0.96679999999999999</v>
      </c>
      <c r="T368" s="1894">
        <v>38.9</v>
      </c>
      <c r="U368" s="1894">
        <v>47718</v>
      </c>
      <c r="V368" s="1894">
        <f t="shared" si="139"/>
        <v>73602</v>
      </c>
      <c r="W368" s="1894">
        <f t="shared" si="140"/>
        <v>0</v>
      </c>
      <c r="X368" s="1894">
        <v>245</v>
      </c>
      <c r="Y368" s="1894">
        <v>154.80000000000001</v>
      </c>
      <c r="Z368" s="1894">
        <v>196</v>
      </c>
      <c r="AA368" s="1894">
        <v>0.94879999999999998</v>
      </c>
      <c r="AB368" s="1894">
        <v>43.79</v>
      </c>
      <c r="AC368" s="1894">
        <v>48807</v>
      </c>
      <c r="AD368" s="1894">
        <f t="shared" si="141"/>
        <v>66874</v>
      </c>
      <c r="AE368" s="1894">
        <f t="shared" si="142"/>
        <v>0</v>
      </c>
      <c r="AF368" s="1894">
        <v>245</v>
      </c>
      <c r="AG368" s="1894">
        <v>159.84</v>
      </c>
      <c r="AH368" s="1894">
        <v>196</v>
      </c>
      <c r="AI368" s="1894">
        <v>0.96750000000000003</v>
      </c>
      <c r="AJ368" s="1894">
        <v>43.26</v>
      </c>
      <c r="AK368" s="1894">
        <v>51444</v>
      </c>
      <c r="AL368" s="1894">
        <f t="shared" si="135"/>
        <v>71353</v>
      </c>
      <c r="AM368" s="1894">
        <f t="shared" si="136"/>
        <v>0</v>
      </c>
      <c r="AN368" s="1894">
        <v>245</v>
      </c>
      <c r="AO368" s="1894">
        <v>159.36000000000001</v>
      </c>
      <c r="AP368" s="1894">
        <v>196</v>
      </c>
      <c r="AQ368" s="1894">
        <v>0.98060000000000003</v>
      </c>
      <c r="AR368" s="1894">
        <v>31.31</v>
      </c>
      <c r="AS368" s="1894">
        <v>37128</v>
      </c>
      <c r="AT368" s="1894">
        <f t="shared" si="143"/>
        <v>71138</v>
      </c>
      <c r="AU368" s="1894">
        <f t="shared" si="144"/>
        <v>0</v>
      </c>
      <c r="AV368" s="1894">
        <v>245</v>
      </c>
      <c r="AW368" s="1894">
        <v>163.67999999999998</v>
      </c>
      <c r="AX368" s="1894">
        <v>196</v>
      </c>
      <c r="AY368" s="1894">
        <v>0.98480000000000001</v>
      </c>
      <c r="AZ368" s="1894">
        <v>35.75</v>
      </c>
      <c r="BA368" s="1894">
        <v>42135</v>
      </c>
      <c r="BB368" s="1894">
        <f t="shared" si="145"/>
        <v>70710</v>
      </c>
      <c r="BC368" s="1894">
        <f t="shared" si="146"/>
        <v>0</v>
      </c>
      <c r="BD368" s="1894">
        <v>245</v>
      </c>
      <c r="BE368" s="1894">
        <v>145.44</v>
      </c>
      <c r="BF368" s="1894">
        <v>196</v>
      </c>
      <c r="BG368" s="1894">
        <v>0.98650000000000004</v>
      </c>
      <c r="BH368" s="1894">
        <v>31.87</v>
      </c>
      <c r="BI368" s="1894">
        <v>34491</v>
      </c>
      <c r="BJ368" s="1894">
        <f t="shared" si="147"/>
        <v>64924</v>
      </c>
      <c r="BK368" s="1894">
        <f t="shared" si="148"/>
        <v>0</v>
      </c>
      <c r="BL368" s="1894">
        <v>245</v>
      </c>
      <c r="BM368" s="1894">
        <v>143.28</v>
      </c>
      <c r="BN368" s="1894">
        <v>196</v>
      </c>
      <c r="BO368" s="1894">
        <v>0.98729999999999996</v>
      </c>
      <c r="BP368" s="1894">
        <v>19.940000000000001</v>
      </c>
      <c r="BQ368" s="1894">
        <v>20568</v>
      </c>
      <c r="BR368" s="1894">
        <f t="shared" si="149"/>
        <v>61897</v>
      </c>
      <c r="BS368" s="1894">
        <f t="shared" si="150"/>
        <v>0</v>
      </c>
      <c r="BT368" s="1894">
        <v>245</v>
      </c>
      <c r="BU368" s="1894">
        <v>94.559999999999988</v>
      </c>
      <c r="BV368" s="1894">
        <v>196</v>
      </c>
      <c r="BW368" s="1894">
        <v>0.94750000000000001</v>
      </c>
      <c r="BX368" s="1894">
        <v>2.2000000000000002</v>
      </c>
      <c r="BY368" s="1894">
        <v>1545</v>
      </c>
      <c r="BZ368" s="1894">
        <f t="shared" si="151"/>
        <v>42212</v>
      </c>
      <c r="CA368" s="1894">
        <f t="shared" si="152"/>
        <v>0</v>
      </c>
      <c r="CB368" s="1894">
        <v>245</v>
      </c>
      <c r="CC368" s="1894">
        <v>10.56</v>
      </c>
      <c r="CD368" s="1894">
        <v>196</v>
      </c>
      <c r="CE368" s="1894">
        <v>0.95009999999999994</v>
      </c>
      <c r="CF368" s="1894">
        <v>9.9700000000000006</v>
      </c>
      <c r="CG368" s="1894">
        <v>783</v>
      </c>
      <c r="CH368" s="1894">
        <f t="shared" si="153"/>
        <v>4714</v>
      </c>
      <c r="CI368" s="1894">
        <f t="shared" si="154"/>
        <v>0</v>
      </c>
      <c r="CJ368" s="1894">
        <v>245</v>
      </c>
      <c r="CK368" s="1894">
        <v>9.36</v>
      </c>
      <c r="CL368" s="1894">
        <v>196</v>
      </c>
      <c r="CM368" s="1894">
        <v>0.97599999999999998</v>
      </c>
      <c r="CN368" s="1894">
        <v>9.9700000000000006</v>
      </c>
      <c r="CO368" s="1894">
        <v>627</v>
      </c>
      <c r="CP368" s="1894">
        <f t="shared" si="155"/>
        <v>3774</v>
      </c>
      <c r="CQ368" s="1894">
        <f t="shared" si="156"/>
        <v>0</v>
      </c>
      <c r="CR368" s="1924">
        <v>245</v>
      </c>
      <c r="CS368" s="1924">
        <v>120</v>
      </c>
      <c r="CT368" s="1924">
        <v>196</v>
      </c>
      <c r="CU368" s="1924">
        <v>0.97860000000000003</v>
      </c>
      <c r="CV368" s="1924">
        <v>1.42</v>
      </c>
      <c r="CW368" s="1924">
        <v>1266</v>
      </c>
      <c r="CX368" s="1894">
        <f t="shared" si="157"/>
        <v>53568</v>
      </c>
      <c r="CY368" s="1894">
        <f t="shared" si="158"/>
        <v>0</v>
      </c>
    </row>
    <row r="369" spans="1:103">
      <c r="A369" s="982">
        <v>123000000068</v>
      </c>
      <c r="B369" s="1923">
        <f t="shared" si="159"/>
        <v>363</v>
      </c>
      <c r="C369" s="1895" t="s">
        <v>3248</v>
      </c>
      <c r="D369" s="1894" t="s">
        <v>524</v>
      </c>
      <c r="E369" s="1895" t="s">
        <v>541</v>
      </c>
      <c r="F369" s="1894" t="s">
        <v>259</v>
      </c>
      <c r="G369" s="1924">
        <v>245</v>
      </c>
      <c r="H369" s="1894">
        <v>245</v>
      </c>
      <c r="I369" s="1894">
        <v>110.4</v>
      </c>
      <c r="J369" s="1894">
        <v>196</v>
      </c>
      <c r="K369" s="1894">
        <v>0.75880000000000003</v>
      </c>
      <c r="L369" s="1894">
        <v>19.39</v>
      </c>
      <c r="M369" s="1894">
        <v>15412</v>
      </c>
      <c r="N369" s="1894">
        <f t="shared" si="137"/>
        <v>47693</v>
      </c>
      <c r="O369" s="1894">
        <f t="shared" si="138"/>
        <v>0</v>
      </c>
      <c r="P369" s="1894">
        <v>245</v>
      </c>
      <c r="Q369" s="1894">
        <v>107.2</v>
      </c>
      <c r="R369" s="1894">
        <v>196</v>
      </c>
      <c r="S369" s="1894">
        <v>0.73540000000000005</v>
      </c>
      <c r="T369" s="1894">
        <v>8.7799999999999994</v>
      </c>
      <c r="U369" s="1894">
        <v>7000</v>
      </c>
      <c r="V369" s="1894">
        <f t="shared" si="139"/>
        <v>47854</v>
      </c>
      <c r="W369" s="1894">
        <f t="shared" si="140"/>
        <v>0</v>
      </c>
      <c r="X369" s="1894">
        <v>245</v>
      </c>
      <c r="Y369" s="1894">
        <v>165.6</v>
      </c>
      <c r="Z369" s="1894">
        <v>196</v>
      </c>
      <c r="AA369" s="1894">
        <v>0.73050000000000004</v>
      </c>
      <c r="AB369" s="1894">
        <v>38.450000000000003</v>
      </c>
      <c r="AC369" s="1894">
        <v>45848</v>
      </c>
      <c r="AD369" s="1894">
        <f t="shared" si="141"/>
        <v>71539</v>
      </c>
      <c r="AE369" s="1894">
        <f t="shared" si="142"/>
        <v>0</v>
      </c>
      <c r="AF369" s="1894">
        <v>245</v>
      </c>
      <c r="AG369" s="1894">
        <v>139.19999999999999</v>
      </c>
      <c r="AH369" s="1894">
        <v>196</v>
      </c>
      <c r="AI369" s="1894">
        <v>0.72750000000000004</v>
      </c>
      <c r="AJ369" s="1894">
        <v>44.53</v>
      </c>
      <c r="AK369" s="1894">
        <v>46116</v>
      </c>
      <c r="AL369" s="1894">
        <f t="shared" si="135"/>
        <v>62139</v>
      </c>
      <c r="AM369" s="1894">
        <f t="shared" si="136"/>
        <v>0</v>
      </c>
      <c r="AN369" s="1894">
        <v>245</v>
      </c>
      <c r="AO369" s="1894">
        <v>135.20000000000002</v>
      </c>
      <c r="AP369" s="1894">
        <v>196</v>
      </c>
      <c r="AQ369" s="1894">
        <v>0.69350000000000001</v>
      </c>
      <c r="AR369" s="1894">
        <v>52.36</v>
      </c>
      <c r="AS369" s="1894">
        <v>44066</v>
      </c>
      <c r="AT369" s="1894">
        <f t="shared" si="143"/>
        <v>60353</v>
      </c>
      <c r="AU369" s="1894">
        <f t="shared" si="144"/>
        <v>0</v>
      </c>
      <c r="AV369" s="1894">
        <v>245</v>
      </c>
      <c r="AW369" s="1894">
        <v>121.28000000000002</v>
      </c>
      <c r="AX369" s="1894">
        <v>196</v>
      </c>
      <c r="AY369" s="1894">
        <v>0.74390000000000001</v>
      </c>
      <c r="AZ369" s="1894">
        <v>46.38</v>
      </c>
      <c r="BA369" s="1894">
        <v>40500</v>
      </c>
      <c r="BB369" s="1894">
        <f t="shared" si="145"/>
        <v>52393</v>
      </c>
      <c r="BC369" s="1894">
        <f t="shared" si="146"/>
        <v>0</v>
      </c>
      <c r="BD369" s="1894">
        <v>245</v>
      </c>
      <c r="BE369" s="1894">
        <v>116.16</v>
      </c>
      <c r="BF369" s="1894">
        <v>196</v>
      </c>
      <c r="BG369" s="1894">
        <v>0.83789999999999998</v>
      </c>
      <c r="BH369" s="1894">
        <v>41.24</v>
      </c>
      <c r="BI369" s="1894">
        <v>35638</v>
      </c>
      <c r="BJ369" s="1894">
        <f t="shared" si="147"/>
        <v>51854</v>
      </c>
      <c r="BK369" s="1894">
        <f t="shared" si="148"/>
        <v>0</v>
      </c>
      <c r="BL369" s="1894">
        <v>245</v>
      </c>
      <c r="BM369" s="1894">
        <v>90.24</v>
      </c>
      <c r="BN369" s="1894">
        <v>196</v>
      </c>
      <c r="BO369" s="1894">
        <v>0.9577</v>
      </c>
      <c r="BP369" s="1894">
        <v>39.57</v>
      </c>
      <c r="BQ369" s="1894">
        <v>25712</v>
      </c>
      <c r="BR369" s="1894">
        <f t="shared" si="149"/>
        <v>38984</v>
      </c>
      <c r="BS369" s="1894">
        <f t="shared" si="150"/>
        <v>0</v>
      </c>
      <c r="BT369" s="1894">
        <v>245</v>
      </c>
      <c r="BU369" s="1894">
        <v>207.35999999999999</v>
      </c>
      <c r="BV369" s="1894">
        <v>207.36</v>
      </c>
      <c r="BW369" s="1894">
        <v>0.31169999999999998</v>
      </c>
      <c r="BX369" s="1894">
        <v>29.01</v>
      </c>
      <c r="BY369" s="1894">
        <v>37538</v>
      </c>
      <c r="BZ369" s="1894">
        <f t="shared" si="151"/>
        <v>92566</v>
      </c>
      <c r="CA369" s="1894">
        <f t="shared" si="152"/>
        <v>0</v>
      </c>
      <c r="CB369" s="1894">
        <v>245</v>
      </c>
      <c r="CC369" s="1894">
        <v>138</v>
      </c>
      <c r="CD369" s="1894">
        <v>196</v>
      </c>
      <c r="CE369" s="1894">
        <v>0.66180000000000005</v>
      </c>
      <c r="CF369" s="1894">
        <v>16.670000000000002</v>
      </c>
      <c r="CG369" s="1894">
        <v>26500</v>
      </c>
      <c r="CH369" s="1894">
        <f t="shared" si="153"/>
        <v>61603</v>
      </c>
      <c r="CI369" s="1894">
        <f t="shared" si="154"/>
        <v>0</v>
      </c>
      <c r="CJ369" s="1894">
        <v>245</v>
      </c>
      <c r="CK369" s="1894">
        <v>99.12</v>
      </c>
      <c r="CL369" s="1894">
        <v>196</v>
      </c>
      <c r="CM369" s="1894">
        <v>0.94989999999999997</v>
      </c>
      <c r="CN369" s="1894">
        <v>30.99</v>
      </c>
      <c r="CO369" s="1894">
        <v>20639</v>
      </c>
      <c r="CP369" s="1894">
        <f t="shared" si="155"/>
        <v>39965</v>
      </c>
      <c r="CQ369" s="1894">
        <f t="shared" si="156"/>
        <v>0</v>
      </c>
      <c r="CR369" s="1924">
        <v>245</v>
      </c>
      <c r="CS369" s="1924">
        <v>91.2</v>
      </c>
      <c r="CT369" s="1924">
        <v>196</v>
      </c>
      <c r="CU369" s="1924">
        <v>0.99099999999999999</v>
      </c>
      <c r="CV369" s="1924">
        <v>32.85</v>
      </c>
      <c r="CW369" s="1924">
        <v>22288</v>
      </c>
      <c r="CX369" s="1894">
        <f t="shared" si="157"/>
        <v>40712</v>
      </c>
      <c r="CY369" s="1894">
        <f t="shared" si="158"/>
        <v>0</v>
      </c>
    </row>
    <row r="370" spans="1:103">
      <c r="A370" s="982">
        <v>123000000070</v>
      </c>
      <c r="B370" s="1923">
        <f t="shared" si="159"/>
        <v>364</v>
      </c>
      <c r="C370" s="1895" t="s">
        <v>3249</v>
      </c>
      <c r="D370" s="1894" t="s">
        <v>524</v>
      </c>
      <c r="E370" s="1895" t="s">
        <v>541</v>
      </c>
      <c r="F370" s="1894" t="s">
        <v>259</v>
      </c>
      <c r="G370" s="1924">
        <v>245</v>
      </c>
      <c r="H370" s="1894">
        <v>245</v>
      </c>
      <c r="I370" s="1894">
        <v>126.2</v>
      </c>
      <c r="J370" s="1894">
        <v>196</v>
      </c>
      <c r="K370" s="1894">
        <v>0.97840000000000005</v>
      </c>
      <c r="L370" s="1894">
        <v>29.45</v>
      </c>
      <c r="M370" s="1894">
        <v>30325</v>
      </c>
      <c r="N370" s="1894">
        <f t="shared" si="137"/>
        <v>54518</v>
      </c>
      <c r="O370" s="1894">
        <f t="shared" si="138"/>
        <v>0</v>
      </c>
      <c r="P370" s="1894">
        <v>245</v>
      </c>
      <c r="Q370" s="1894">
        <v>131.20000000000002</v>
      </c>
      <c r="R370" s="1894">
        <v>196</v>
      </c>
      <c r="S370" s="1894">
        <v>0.91420000000000001</v>
      </c>
      <c r="T370" s="1894">
        <v>29.25</v>
      </c>
      <c r="U370" s="1894">
        <v>28550</v>
      </c>
      <c r="V370" s="1894">
        <f t="shared" si="139"/>
        <v>58568</v>
      </c>
      <c r="W370" s="1894">
        <f t="shared" si="140"/>
        <v>0</v>
      </c>
      <c r="X370" s="1894">
        <v>245</v>
      </c>
      <c r="Y370" s="1894">
        <v>116.2</v>
      </c>
      <c r="Z370" s="1894">
        <v>196</v>
      </c>
      <c r="AA370" s="1894">
        <v>0.92320000000000002</v>
      </c>
      <c r="AB370" s="1894">
        <v>24.18</v>
      </c>
      <c r="AC370" s="1894">
        <v>20228</v>
      </c>
      <c r="AD370" s="1894">
        <f t="shared" si="141"/>
        <v>50198</v>
      </c>
      <c r="AE370" s="1894">
        <f t="shared" si="142"/>
        <v>0</v>
      </c>
      <c r="AF370" s="1894">
        <v>245</v>
      </c>
      <c r="AG370" s="1894">
        <v>115.4</v>
      </c>
      <c r="AH370" s="1894">
        <v>196</v>
      </c>
      <c r="AI370" s="1894">
        <v>0.98140000000000005</v>
      </c>
      <c r="AJ370" s="1894">
        <v>24.07</v>
      </c>
      <c r="AK370" s="1894">
        <v>20667</v>
      </c>
      <c r="AL370" s="1894">
        <f t="shared" si="135"/>
        <v>51515</v>
      </c>
      <c r="AM370" s="1894">
        <f t="shared" si="136"/>
        <v>0</v>
      </c>
      <c r="AN370" s="1894">
        <v>245</v>
      </c>
      <c r="AO370" s="1894">
        <v>108.60000000000001</v>
      </c>
      <c r="AP370" s="1894">
        <v>196</v>
      </c>
      <c r="AQ370" s="1894">
        <v>0.94259999999999999</v>
      </c>
      <c r="AR370" s="1894">
        <v>11.81</v>
      </c>
      <c r="AS370" s="1894">
        <v>9545</v>
      </c>
      <c r="AT370" s="1894">
        <f t="shared" si="143"/>
        <v>48479</v>
      </c>
      <c r="AU370" s="1894">
        <f t="shared" si="144"/>
        <v>0</v>
      </c>
      <c r="AV370" s="1894">
        <v>245</v>
      </c>
      <c r="AW370" s="1894">
        <v>101.2</v>
      </c>
      <c r="AX370" s="1894">
        <v>196</v>
      </c>
      <c r="AY370" s="1894">
        <v>0.97619999999999996</v>
      </c>
      <c r="AZ370" s="1894">
        <v>16.21</v>
      </c>
      <c r="BA370" s="1894">
        <v>11808</v>
      </c>
      <c r="BB370" s="1894">
        <f t="shared" si="145"/>
        <v>43718</v>
      </c>
      <c r="BC370" s="1894">
        <f t="shared" si="146"/>
        <v>0</v>
      </c>
      <c r="BD370" s="1894">
        <v>245</v>
      </c>
      <c r="BE370" s="1894">
        <v>4.2</v>
      </c>
      <c r="BF370" s="1894">
        <v>196</v>
      </c>
      <c r="BG370" s="1894">
        <v>0.99109999999999998</v>
      </c>
      <c r="BH370" s="1894">
        <v>54.34</v>
      </c>
      <c r="BI370" s="1894">
        <v>1698</v>
      </c>
      <c r="BJ370" s="1894">
        <f t="shared" si="147"/>
        <v>1875</v>
      </c>
      <c r="BK370" s="1894">
        <f t="shared" si="148"/>
        <v>0</v>
      </c>
      <c r="BL370" s="1894">
        <v>245</v>
      </c>
      <c r="BM370" s="1894">
        <v>9.1999999999999993</v>
      </c>
      <c r="BN370" s="1894">
        <v>196</v>
      </c>
      <c r="BO370" s="1894">
        <v>0.9657</v>
      </c>
      <c r="BP370" s="1894">
        <v>26.45</v>
      </c>
      <c r="BQ370" s="1894">
        <v>1752</v>
      </c>
      <c r="BR370" s="1894">
        <f t="shared" si="149"/>
        <v>3974</v>
      </c>
      <c r="BS370" s="1894">
        <f t="shared" si="150"/>
        <v>0</v>
      </c>
      <c r="BT370" s="1894">
        <v>245</v>
      </c>
      <c r="BU370" s="1894">
        <v>10.4</v>
      </c>
      <c r="BV370" s="1894">
        <v>196</v>
      </c>
      <c r="BW370" s="1894">
        <v>0.96089999999999998</v>
      </c>
      <c r="BX370" s="1894">
        <v>23.16</v>
      </c>
      <c r="BY370" s="1894">
        <v>1792</v>
      </c>
      <c r="BZ370" s="1894">
        <f t="shared" si="151"/>
        <v>4643</v>
      </c>
      <c r="CA370" s="1894">
        <f t="shared" si="152"/>
        <v>0</v>
      </c>
      <c r="CB370" s="1894">
        <v>245</v>
      </c>
      <c r="CC370" s="1894">
        <v>112.4</v>
      </c>
      <c r="CD370" s="1894">
        <v>196</v>
      </c>
      <c r="CE370" s="1894">
        <v>0.96609999999999996</v>
      </c>
      <c r="CF370" s="1894">
        <v>21.82</v>
      </c>
      <c r="CG370" s="1894">
        <v>18250</v>
      </c>
      <c r="CH370" s="1894">
        <f t="shared" si="153"/>
        <v>50175</v>
      </c>
      <c r="CI370" s="1894">
        <f t="shared" si="154"/>
        <v>0</v>
      </c>
      <c r="CJ370" s="1894">
        <v>245</v>
      </c>
      <c r="CK370" s="1894">
        <v>116.8</v>
      </c>
      <c r="CL370" s="1894">
        <v>196</v>
      </c>
      <c r="CM370" s="1894">
        <v>0.98219999999999996</v>
      </c>
      <c r="CN370" s="1894">
        <v>28.25</v>
      </c>
      <c r="CO370" s="1894">
        <v>22173</v>
      </c>
      <c r="CP370" s="1894">
        <f t="shared" si="155"/>
        <v>47094</v>
      </c>
      <c r="CQ370" s="1894">
        <f t="shared" si="156"/>
        <v>0</v>
      </c>
      <c r="CR370" s="1924">
        <v>245</v>
      </c>
      <c r="CS370" s="1924">
        <v>122.2</v>
      </c>
      <c r="CT370" s="1924">
        <v>196</v>
      </c>
      <c r="CU370" s="1924">
        <v>0.97219999999999995</v>
      </c>
      <c r="CV370" s="1924">
        <v>27.7</v>
      </c>
      <c r="CW370" s="1924">
        <v>25188</v>
      </c>
      <c r="CX370" s="1894">
        <f t="shared" si="157"/>
        <v>54550</v>
      </c>
      <c r="CY370" s="1894">
        <f t="shared" si="158"/>
        <v>0</v>
      </c>
    </row>
    <row r="371" spans="1:103">
      <c r="A371" s="982">
        <v>621000000046</v>
      </c>
      <c r="B371" s="1923">
        <f t="shared" si="159"/>
        <v>365</v>
      </c>
      <c r="C371" s="1895" t="s">
        <v>3250</v>
      </c>
      <c r="D371" s="1894" t="s">
        <v>524</v>
      </c>
      <c r="E371" s="1895" t="s">
        <v>541</v>
      </c>
      <c r="F371" s="1894" t="s">
        <v>259</v>
      </c>
      <c r="G371" s="1924">
        <v>245</v>
      </c>
      <c r="H371" s="1894">
        <v>245</v>
      </c>
      <c r="I371" s="1894">
        <v>198</v>
      </c>
      <c r="J371" s="1894">
        <v>198</v>
      </c>
      <c r="K371" s="1894">
        <v>0.98180000000000001</v>
      </c>
      <c r="L371" s="1894">
        <v>41.48</v>
      </c>
      <c r="M371" s="1894">
        <v>59136</v>
      </c>
      <c r="N371" s="1894">
        <f t="shared" si="137"/>
        <v>85536</v>
      </c>
      <c r="O371" s="1894">
        <f t="shared" si="138"/>
        <v>0</v>
      </c>
      <c r="P371" s="1894">
        <v>245</v>
      </c>
      <c r="Q371" s="1894">
        <v>268.08</v>
      </c>
      <c r="R371" s="1894">
        <v>268.08</v>
      </c>
      <c r="S371" s="1894">
        <v>0.98250000000000004</v>
      </c>
      <c r="T371" s="1894">
        <v>37.799999999999997</v>
      </c>
      <c r="U371" s="1894">
        <v>72959</v>
      </c>
      <c r="V371" s="1894">
        <f t="shared" si="139"/>
        <v>119671</v>
      </c>
      <c r="W371" s="1894">
        <f t="shared" si="140"/>
        <v>0</v>
      </c>
      <c r="X371" s="1894">
        <v>245</v>
      </c>
      <c r="Y371" s="1894">
        <v>241.68</v>
      </c>
      <c r="Z371" s="1894">
        <v>241.68</v>
      </c>
      <c r="AA371" s="1894">
        <v>0.98729999999999996</v>
      </c>
      <c r="AB371" s="1894">
        <v>48.58</v>
      </c>
      <c r="AC371" s="1894">
        <v>87344</v>
      </c>
      <c r="AD371" s="1894">
        <f t="shared" si="141"/>
        <v>104406</v>
      </c>
      <c r="AE371" s="1894">
        <f t="shared" si="142"/>
        <v>0</v>
      </c>
      <c r="AF371" s="1894">
        <v>245</v>
      </c>
      <c r="AG371" s="1894">
        <v>242.04</v>
      </c>
      <c r="AH371" s="1894">
        <v>242.04</v>
      </c>
      <c r="AI371" s="1894">
        <v>0.98680000000000001</v>
      </c>
      <c r="AJ371" s="1894">
        <v>55.46</v>
      </c>
      <c r="AK371" s="1894">
        <v>86978</v>
      </c>
      <c r="AL371" s="1894">
        <f t="shared" si="135"/>
        <v>108047</v>
      </c>
      <c r="AM371" s="1894">
        <f t="shared" si="136"/>
        <v>0</v>
      </c>
      <c r="AN371" s="1894">
        <v>245</v>
      </c>
      <c r="AO371" s="1894">
        <v>173.16000000000003</v>
      </c>
      <c r="AP371" s="1894">
        <v>196</v>
      </c>
      <c r="AQ371" s="1894">
        <v>0.98819999999999997</v>
      </c>
      <c r="AR371" s="1894">
        <v>73.13</v>
      </c>
      <c r="AS371" s="1894">
        <v>106365</v>
      </c>
      <c r="AT371" s="1894">
        <f t="shared" si="143"/>
        <v>77299</v>
      </c>
      <c r="AU371" s="1894">
        <f t="shared" si="144"/>
        <v>29066</v>
      </c>
      <c r="AV371" s="1894">
        <v>245</v>
      </c>
      <c r="AW371" s="1894">
        <v>208.44</v>
      </c>
      <c r="AX371" s="1894">
        <v>208.44</v>
      </c>
      <c r="AY371" s="1894">
        <v>0.97929999999999995</v>
      </c>
      <c r="AZ371" s="1894">
        <v>21.22</v>
      </c>
      <c r="BA371" s="1894">
        <v>31846</v>
      </c>
      <c r="BB371" s="1894">
        <f t="shared" si="145"/>
        <v>90046</v>
      </c>
      <c r="BC371" s="1894">
        <f t="shared" si="146"/>
        <v>0</v>
      </c>
      <c r="BD371" s="1894">
        <v>245</v>
      </c>
      <c r="BE371" s="1894">
        <v>24.84</v>
      </c>
      <c r="BF371" s="1894">
        <v>196</v>
      </c>
      <c r="BG371" s="1894">
        <v>0.66749999999999998</v>
      </c>
      <c r="BH371" s="1894">
        <v>17.87</v>
      </c>
      <c r="BI371" s="1894">
        <v>3303</v>
      </c>
      <c r="BJ371" s="1894">
        <f t="shared" si="147"/>
        <v>11089</v>
      </c>
      <c r="BK371" s="1894">
        <f t="shared" si="148"/>
        <v>0</v>
      </c>
      <c r="BL371" s="1894">
        <v>245</v>
      </c>
      <c r="BM371" s="1894">
        <v>27</v>
      </c>
      <c r="BN371" s="1894">
        <v>196</v>
      </c>
      <c r="BO371" s="1894">
        <v>0.59970000000000001</v>
      </c>
      <c r="BP371" s="1894">
        <v>13.53</v>
      </c>
      <c r="BQ371" s="1894">
        <v>2631</v>
      </c>
      <c r="BR371" s="1894">
        <f t="shared" si="149"/>
        <v>11664</v>
      </c>
      <c r="BS371" s="1894">
        <f t="shared" si="150"/>
        <v>0</v>
      </c>
      <c r="BT371" s="1894">
        <v>245</v>
      </c>
      <c r="BU371" s="1894">
        <v>33.96</v>
      </c>
      <c r="BV371" s="1894">
        <v>196</v>
      </c>
      <c r="BW371" s="1894">
        <v>0.61599999999999999</v>
      </c>
      <c r="BX371" s="1894">
        <v>15.42</v>
      </c>
      <c r="BY371" s="1894">
        <v>3896</v>
      </c>
      <c r="BZ371" s="1894">
        <f t="shared" si="151"/>
        <v>15160</v>
      </c>
      <c r="CA371" s="1894">
        <f t="shared" si="152"/>
        <v>0</v>
      </c>
      <c r="CB371" s="1894">
        <v>245</v>
      </c>
      <c r="CC371" s="1894">
        <v>282.59999999999997</v>
      </c>
      <c r="CD371" s="1894">
        <v>282.60000000000002</v>
      </c>
      <c r="CE371" s="1894">
        <v>0.91539999999999999</v>
      </c>
      <c r="CF371" s="1894">
        <v>32.56</v>
      </c>
      <c r="CG371" s="1894">
        <v>68455</v>
      </c>
      <c r="CH371" s="1894">
        <f t="shared" si="153"/>
        <v>126153</v>
      </c>
      <c r="CI371" s="1894">
        <f t="shared" si="154"/>
        <v>0</v>
      </c>
      <c r="CJ371" s="1894">
        <v>245</v>
      </c>
      <c r="CK371" s="1894">
        <v>228.96</v>
      </c>
      <c r="CL371" s="1894">
        <v>228.96</v>
      </c>
      <c r="CM371" s="1894">
        <v>0.99060000000000004</v>
      </c>
      <c r="CN371" s="1894">
        <v>60.03</v>
      </c>
      <c r="CO371" s="1894">
        <v>92364</v>
      </c>
      <c r="CP371" s="1894">
        <f t="shared" si="155"/>
        <v>92317</v>
      </c>
      <c r="CQ371" s="1894">
        <f t="shared" si="156"/>
        <v>47</v>
      </c>
      <c r="CR371" s="1924">
        <v>245</v>
      </c>
      <c r="CS371" s="1924">
        <v>219.84</v>
      </c>
      <c r="CT371" s="1924">
        <v>219.84</v>
      </c>
      <c r="CU371" s="1924">
        <v>0.98909999999999998</v>
      </c>
      <c r="CV371" s="1924">
        <v>60.42</v>
      </c>
      <c r="CW371" s="1924">
        <v>98820</v>
      </c>
      <c r="CX371" s="1894">
        <f t="shared" si="157"/>
        <v>98137</v>
      </c>
      <c r="CY371" s="1894">
        <f t="shared" si="158"/>
        <v>683</v>
      </c>
    </row>
    <row r="372" spans="1:103">
      <c r="A372" s="982">
        <v>622000000168</v>
      </c>
      <c r="B372" s="1923">
        <f t="shared" si="159"/>
        <v>366</v>
      </c>
      <c r="C372" s="1895" t="s">
        <v>3251</v>
      </c>
      <c r="D372" s="1894" t="s">
        <v>524</v>
      </c>
      <c r="E372" s="1895" t="s">
        <v>636</v>
      </c>
      <c r="F372" s="1894" t="s">
        <v>259</v>
      </c>
      <c r="G372" s="1924">
        <v>245</v>
      </c>
      <c r="H372" s="1894">
        <v>245</v>
      </c>
      <c r="I372" s="1894">
        <v>181.92</v>
      </c>
      <c r="J372" s="1894">
        <v>196</v>
      </c>
      <c r="K372" s="1894">
        <v>0.98299999999999998</v>
      </c>
      <c r="L372" s="1894">
        <v>39.380000000000003</v>
      </c>
      <c r="M372" s="1894">
        <v>56746</v>
      </c>
      <c r="N372" s="1894">
        <f t="shared" si="137"/>
        <v>78589</v>
      </c>
      <c r="O372" s="1894">
        <f t="shared" si="138"/>
        <v>0</v>
      </c>
      <c r="P372" s="1894">
        <v>245</v>
      </c>
      <c r="Q372" s="1894">
        <v>180.16</v>
      </c>
      <c r="R372" s="1894">
        <v>196</v>
      </c>
      <c r="S372" s="1894">
        <v>0.98109999999999997</v>
      </c>
      <c r="T372" s="1894">
        <v>42.99</v>
      </c>
      <c r="U372" s="1894">
        <v>46468</v>
      </c>
      <c r="V372" s="1894">
        <f t="shared" si="139"/>
        <v>80423</v>
      </c>
      <c r="W372" s="1894">
        <f t="shared" si="140"/>
        <v>0</v>
      </c>
      <c r="X372" s="1894">
        <v>245</v>
      </c>
      <c r="Y372" s="1894">
        <v>186.72</v>
      </c>
      <c r="Z372" s="1894">
        <v>196</v>
      </c>
      <c r="AA372" s="1894">
        <v>0.97860000000000003</v>
      </c>
      <c r="AB372" s="1894">
        <v>37.82</v>
      </c>
      <c r="AC372" s="1894">
        <v>59324</v>
      </c>
      <c r="AD372" s="1894">
        <f t="shared" si="141"/>
        <v>80663</v>
      </c>
      <c r="AE372" s="1894">
        <f t="shared" si="142"/>
        <v>0</v>
      </c>
      <c r="AF372" s="1894">
        <v>245</v>
      </c>
      <c r="AG372" s="1894">
        <v>163.19999999999999</v>
      </c>
      <c r="AH372" s="1894">
        <v>196</v>
      </c>
      <c r="AI372" s="1894">
        <v>0.97199999999999998</v>
      </c>
      <c r="AJ372" s="1894">
        <v>31.2</v>
      </c>
      <c r="AK372" s="1894">
        <v>35444</v>
      </c>
      <c r="AL372" s="1894">
        <f t="shared" si="135"/>
        <v>72852</v>
      </c>
      <c r="AM372" s="1894">
        <f t="shared" si="136"/>
        <v>0</v>
      </c>
      <c r="AN372" s="1894">
        <v>245</v>
      </c>
      <c r="AO372" s="1894">
        <v>147.68</v>
      </c>
      <c r="AP372" s="1894">
        <v>196</v>
      </c>
      <c r="AQ372" s="1894">
        <v>0.95079999999999998</v>
      </c>
      <c r="AR372" s="1894">
        <v>26.11</v>
      </c>
      <c r="AS372" s="1894">
        <v>28688</v>
      </c>
      <c r="AT372" s="1894">
        <f t="shared" si="143"/>
        <v>65924</v>
      </c>
      <c r="AU372" s="1894">
        <f t="shared" si="144"/>
        <v>0</v>
      </c>
      <c r="AV372" s="1894">
        <v>245</v>
      </c>
      <c r="AW372" s="1894">
        <v>83.2</v>
      </c>
      <c r="AX372" s="1894">
        <v>196</v>
      </c>
      <c r="AY372" s="1894">
        <v>0.9476</v>
      </c>
      <c r="AZ372" s="1894">
        <v>39.18</v>
      </c>
      <c r="BA372" s="1894">
        <v>23470</v>
      </c>
      <c r="BB372" s="1894">
        <f t="shared" si="145"/>
        <v>35942</v>
      </c>
      <c r="BC372" s="1894">
        <f t="shared" si="146"/>
        <v>0</v>
      </c>
      <c r="BD372" s="1894">
        <v>245</v>
      </c>
      <c r="BE372" s="1894">
        <v>108</v>
      </c>
      <c r="BF372" s="1894">
        <v>196</v>
      </c>
      <c r="BG372" s="1894">
        <v>0.92579999999999996</v>
      </c>
      <c r="BH372" s="1894">
        <v>26.84</v>
      </c>
      <c r="BI372" s="1894">
        <v>22956</v>
      </c>
      <c r="BJ372" s="1894">
        <f t="shared" si="147"/>
        <v>48211</v>
      </c>
      <c r="BK372" s="1894">
        <f t="shared" si="148"/>
        <v>0</v>
      </c>
      <c r="BL372" s="1894">
        <v>245</v>
      </c>
      <c r="BM372" s="1894">
        <v>106.24</v>
      </c>
      <c r="BN372" s="1894">
        <v>196</v>
      </c>
      <c r="BO372" s="1894">
        <v>0.91439999999999999</v>
      </c>
      <c r="BP372" s="1894">
        <v>30.99</v>
      </c>
      <c r="BQ372" s="1894">
        <v>22128</v>
      </c>
      <c r="BR372" s="1894">
        <f t="shared" si="149"/>
        <v>45896</v>
      </c>
      <c r="BS372" s="1894">
        <f t="shared" si="150"/>
        <v>0</v>
      </c>
      <c r="BT372" s="1894">
        <v>245</v>
      </c>
      <c r="BU372" s="1894">
        <v>87.84</v>
      </c>
      <c r="BV372" s="1894">
        <v>196</v>
      </c>
      <c r="BW372" s="1894">
        <v>0.92220000000000002</v>
      </c>
      <c r="BX372" s="1894">
        <v>37.909999999999997</v>
      </c>
      <c r="BY372" s="1894">
        <v>26374</v>
      </c>
      <c r="BZ372" s="1894">
        <f t="shared" si="151"/>
        <v>39212</v>
      </c>
      <c r="CA372" s="1894">
        <f t="shared" si="152"/>
        <v>0</v>
      </c>
      <c r="CB372" s="1894">
        <v>245</v>
      </c>
      <c r="CC372" s="1894">
        <v>84.32</v>
      </c>
      <c r="CD372" s="1894">
        <v>196</v>
      </c>
      <c r="CE372" s="1894">
        <v>0.91900000000000004</v>
      </c>
      <c r="CF372" s="1894">
        <v>39.869999999999997</v>
      </c>
      <c r="CG372" s="1894">
        <v>22590</v>
      </c>
      <c r="CH372" s="1894">
        <f t="shared" si="153"/>
        <v>37640</v>
      </c>
      <c r="CI372" s="1894">
        <f t="shared" si="154"/>
        <v>0</v>
      </c>
      <c r="CJ372" s="1894">
        <v>245</v>
      </c>
      <c r="CK372" s="1894">
        <v>97.44</v>
      </c>
      <c r="CL372" s="1894">
        <v>196</v>
      </c>
      <c r="CM372" s="1894">
        <v>0.89400000000000002</v>
      </c>
      <c r="CN372" s="1894">
        <v>35.43</v>
      </c>
      <c r="CO372" s="1894">
        <v>28998</v>
      </c>
      <c r="CP372" s="1894">
        <f t="shared" si="155"/>
        <v>39288</v>
      </c>
      <c r="CQ372" s="1894">
        <f t="shared" si="156"/>
        <v>0</v>
      </c>
      <c r="CR372" s="1924">
        <v>245</v>
      </c>
      <c r="CS372" s="1924">
        <v>112.16</v>
      </c>
      <c r="CT372" s="1924">
        <v>196</v>
      </c>
      <c r="CU372" s="1924">
        <v>0.87819999999999998</v>
      </c>
      <c r="CV372" s="1924">
        <v>28.25</v>
      </c>
      <c r="CW372" s="1924">
        <v>19008</v>
      </c>
      <c r="CX372" s="1894">
        <f t="shared" si="157"/>
        <v>50068</v>
      </c>
      <c r="CY372" s="1894">
        <f t="shared" si="158"/>
        <v>0</v>
      </c>
    </row>
    <row r="373" spans="1:103">
      <c r="A373" s="982">
        <v>121000000081</v>
      </c>
      <c r="B373" s="1923">
        <f t="shared" si="159"/>
        <v>367</v>
      </c>
      <c r="C373" s="1895" t="s">
        <v>3252</v>
      </c>
      <c r="D373" s="1894" t="s">
        <v>524</v>
      </c>
      <c r="E373" s="1895" t="s">
        <v>737</v>
      </c>
      <c r="F373" s="1894" t="s">
        <v>259</v>
      </c>
      <c r="G373" s="1924">
        <v>247</v>
      </c>
      <c r="H373" s="1894">
        <v>247</v>
      </c>
      <c r="I373" s="1894">
        <v>40.96</v>
      </c>
      <c r="J373" s="1894">
        <v>197.6</v>
      </c>
      <c r="K373" s="1894">
        <v>0.97640000000000005</v>
      </c>
      <c r="L373" s="1894">
        <v>39.119999999999997</v>
      </c>
      <c r="M373" s="1894">
        <v>13076</v>
      </c>
      <c r="N373" s="1894">
        <f t="shared" si="137"/>
        <v>17695</v>
      </c>
      <c r="O373" s="1894">
        <f t="shared" si="138"/>
        <v>0</v>
      </c>
      <c r="P373" s="1894">
        <v>247</v>
      </c>
      <c r="Q373" s="1894">
        <v>39.68</v>
      </c>
      <c r="R373" s="1894">
        <v>197.6</v>
      </c>
      <c r="S373" s="1894">
        <v>0.97599999999999998</v>
      </c>
      <c r="T373" s="1894">
        <v>37.65</v>
      </c>
      <c r="U373" s="1894">
        <v>11116</v>
      </c>
      <c r="V373" s="1894">
        <f t="shared" si="139"/>
        <v>17713</v>
      </c>
      <c r="W373" s="1894">
        <f t="shared" si="140"/>
        <v>0</v>
      </c>
      <c r="X373" s="1894">
        <v>247</v>
      </c>
      <c r="Y373" s="1894">
        <v>38.4</v>
      </c>
      <c r="Z373" s="1894">
        <v>197.6</v>
      </c>
      <c r="AA373" s="1894">
        <v>0.97529999999999994</v>
      </c>
      <c r="AB373" s="1894">
        <v>36.75</v>
      </c>
      <c r="AC373" s="1894">
        <v>9484</v>
      </c>
      <c r="AD373" s="1894">
        <f t="shared" si="141"/>
        <v>16589</v>
      </c>
      <c r="AE373" s="1894">
        <f t="shared" si="142"/>
        <v>0</v>
      </c>
      <c r="AF373" s="1894">
        <v>247</v>
      </c>
      <c r="AG373" s="1894">
        <v>41.120000000000005</v>
      </c>
      <c r="AH373" s="1894">
        <v>197.6</v>
      </c>
      <c r="AI373" s="1894">
        <v>0.97589999999999999</v>
      </c>
      <c r="AJ373" s="1894">
        <v>35.049999999999997</v>
      </c>
      <c r="AK373" s="1894">
        <v>11416</v>
      </c>
      <c r="AL373" s="1894">
        <f t="shared" si="135"/>
        <v>18356</v>
      </c>
      <c r="AM373" s="1894">
        <f t="shared" si="136"/>
        <v>0</v>
      </c>
      <c r="AN373" s="1894">
        <v>247</v>
      </c>
      <c r="AO373" s="1894">
        <v>18.88</v>
      </c>
      <c r="AP373" s="1894">
        <v>197.6</v>
      </c>
      <c r="AQ373" s="1894">
        <v>0.96779999999999999</v>
      </c>
      <c r="AR373" s="1894">
        <v>81.569999999999993</v>
      </c>
      <c r="AS373" s="1894">
        <v>11458</v>
      </c>
      <c r="AT373" s="1894">
        <f t="shared" si="143"/>
        <v>8428</v>
      </c>
      <c r="AU373" s="1894">
        <f t="shared" si="144"/>
        <v>3030</v>
      </c>
      <c r="AV373" s="1894">
        <v>247</v>
      </c>
      <c r="AW373" s="1894">
        <v>52.959999999999994</v>
      </c>
      <c r="AX373" s="1894">
        <v>197.6</v>
      </c>
      <c r="AY373" s="1894">
        <v>0.97489999999999999</v>
      </c>
      <c r="AZ373" s="1894">
        <v>28.11</v>
      </c>
      <c r="BA373" s="1894">
        <v>9646</v>
      </c>
      <c r="BB373" s="1894">
        <f t="shared" si="145"/>
        <v>22879</v>
      </c>
      <c r="BC373" s="1894">
        <f t="shared" si="146"/>
        <v>0</v>
      </c>
      <c r="BD373" s="1894">
        <v>247</v>
      </c>
      <c r="BE373" s="1894">
        <v>33.92</v>
      </c>
      <c r="BF373" s="1894">
        <v>197.6</v>
      </c>
      <c r="BG373" s="1894">
        <v>0.9486</v>
      </c>
      <c r="BH373" s="1894">
        <v>39.409999999999997</v>
      </c>
      <c r="BI373" s="1894">
        <v>9626</v>
      </c>
      <c r="BJ373" s="1894">
        <f t="shared" si="147"/>
        <v>15142</v>
      </c>
      <c r="BK373" s="1894">
        <f t="shared" si="148"/>
        <v>0</v>
      </c>
      <c r="BL373" s="1894">
        <v>247</v>
      </c>
      <c r="BM373" s="1894">
        <v>30.240000000000002</v>
      </c>
      <c r="BN373" s="1894">
        <v>197.6</v>
      </c>
      <c r="BO373" s="1894">
        <v>0.85699999999999998</v>
      </c>
      <c r="BP373" s="1894">
        <v>35.78</v>
      </c>
      <c r="BQ373" s="1894">
        <v>8828</v>
      </c>
      <c r="BR373" s="1894">
        <f t="shared" si="149"/>
        <v>13064</v>
      </c>
      <c r="BS373" s="1894">
        <f t="shared" si="150"/>
        <v>0</v>
      </c>
      <c r="BT373" s="1894">
        <v>247</v>
      </c>
      <c r="BU373" s="1894">
        <v>16.8</v>
      </c>
      <c r="BV373" s="1894">
        <v>197.6</v>
      </c>
      <c r="BW373" s="1894">
        <v>0.78200000000000003</v>
      </c>
      <c r="BX373" s="1894">
        <v>52.26</v>
      </c>
      <c r="BY373" s="1894">
        <v>5478</v>
      </c>
      <c r="BZ373" s="1894">
        <f t="shared" si="151"/>
        <v>7500</v>
      </c>
      <c r="CA373" s="1894">
        <f t="shared" si="152"/>
        <v>0</v>
      </c>
      <c r="CB373" s="1894">
        <v>247</v>
      </c>
      <c r="CC373" s="1894">
        <v>16.64</v>
      </c>
      <c r="CD373" s="1894">
        <v>197.6</v>
      </c>
      <c r="CE373" s="1894">
        <v>0.83799999999999997</v>
      </c>
      <c r="CF373" s="1894">
        <v>51.03</v>
      </c>
      <c r="CG373" s="1894">
        <v>7336</v>
      </c>
      <c r="CH373" s="1894">
        <f t="shared" si="153"/>
        <v>7428</v>
      </c>
      <c r="CI373" s="1894">
        <f t="shared" si="154"/>
        <v>0</v>
      </c>
      <c r="CJ373" s="1894">
        <v>247</v>
      </c>
      <c r="CK373" s="1894">
        <v>26.240000000000002</v>
      </c>
      <c r="CL373" s="1894">
        <v>197.6</v>
      </c>
      <c r="CM373" s="1894">
        <v>0.89959999999999996</v>
      </c>
      <c r="CN373" s="1894">
        <v>36.5</v>
      </c>
      <c r="CO373" s="1894">
        <v>6436</v>
      </c>
      <c r="CP373" s="1894">
        <f t="shared" si="155"/>
        <v>10580</v>
      </c>
      <c r="CQ373" s="1894">
        <f t="shared" si="156"/>
        <v>0</v>
      </c>
      <c r="CR373" s="1924">
        <v>247</v>
      </c>
      <c r="CS373" s="1924">
        <v>27.36</v>
      </c>
      <c r="CT373" s="1924">
        <v>197.6</v>
      </c>
      <c r="CU373" s="1924">
        <v>0.93820000000000003</v>
      </c>
      <c r="CV373" s="1924">
        <v>38.19</v>
      </c>
      <c r="CW373" s="1924">
        <v>6770</v>
      </c>
      <c r="CX373" s="1894">
        <f t="shared" si="157"/>
        <v>12214</v>
      </c>
      <c r="CY373" s="1894">
        <f t="shared" si="158"/>
        <v>0</v>
      </c>
    </row>
    <row r="374" spans="1:103">
      <c r="A374" s="982">
        <v>611000000114</v>
      </c>
      <c r="B374" s="1923">
        <f t="shared" si="159"/>
        <v>368</v>
      </c>
      <c r="C374" s="1895" t="s">
        <v>3253</v>
      </c>
      <c r="D374" s="1894" t="s">
        <v>524</v>
      </c>
      <c r="E374" s="1895" t="s">
        <v>636</v>
      </c>
      <c r="F374" s="1894" t="s">
        <v>259</v>
      </c>
      <c r="G374" s="1924">
        <v>250</v>
      </c>
      <c r="H374" s="1894">
        <v>250</v>
      </c>
      <c r="I374" s="1894">
        <v>190</v>
      </c>
      <c r="J374" s="1894">
        <v>200</v>
      </c>
      <c r="K374" s="1894">
        <v>0.64610000000000001</v>
      </c>
      <c r="L374" s="1894">
        <v>5.48</v>
      </c>
      <c r="M374" s="1894">
        <v>7498</v>
      </c>
      <c r="N374" s="1894">
        <f t="shared" si="137"/>
        <v>82080</v>
      </c>
      <c r="O374" s="1894">
        <f t="shared" si="138"/>
        <v>0</v>
      </c>
      <c r="P374" s="1894">
        <v>250</v>
      </c>
      <c r="Q374" s="1894">
        <v>213</v>
      </c>
      <c r="R374" s="1894">
        <v>213</v>
      </c>
      <c r="S374" s="1894">
        <v>0.61550000000000005</v>
      </c>
      <c r="T374" s="1894">
        <v>4.78</v>
      </c>
      <c r="U374" s="1894">
        <v>7577</v>
      </c>
      <c r="V374" s="1894">
        <f t="shared" si="139"/>
        <v>95083</v>
      </c>
      <c r="W374" s="1894">
        <f t="shared" si="140"/>
        <v>0</v>
      </c>
      <c r="X374" s="1894">
        <v>250</v>
      </c>
      <c r="Y374" s="1894">
        <v>210</v>
      </c>
      <c r="Z374" s="1894">
        <v>210</v>
      </c>
      <c r="AA374" s="1894">
        <v>0.59279999999999999</v>
      </c>
      <c r="AB374" s="1894">
        <v>5.31</v>
      </c>
      <c r="AC374" s="1894">
        <v>8024</v>
      </c>
      <c r="AD374" s="1894">
        <f t="shared" si="141"/>
        <v>90720</v>
      </c>
      <c r="AE374" s="1894">
        <f t="shared" si="142"/>
        <v>0</v>
      </c>
      <c r="AF374" s="1894">
        <v>250</v>
      </c>
      <c r="AG374" s="1894">
        <v>205</v>
      </c>
      <c r="AH374" s="1894">
        <v>205</v>
      </c>
      <c r="AI374" s="1894">
        <v>0.56010000000000004</v>
      </c>
      <c r="AJ374" s="1894">
        <v>5.97</v>
      </c>
      <c r="AK374" s="1894">
        <v>9100</v>
      </c>
      <c r="AL374" s="1894">
        <f t="shared" si="135"/>
        <v>91512</v>
      </c>
      <c r="AM374" s="1894">
        <f t="shared" si="136"/>
        <v>0</v>
      </c>
      <c r="AN374" s="1894">
        <v>250</v>
      </c>
      <c r="AO374" s="1894">
        <v>210</v>
      </c>
      <c r="AP374" s="1894">
        <v>210</v>
      </c>
      <c r="AQ374" s="1894">
        <v>0.57140000000000002</v>
      </c>
      <c r="AR374" s="1894">
        <v>4.63</v>
      </c>
      <c r="AS374" s="1894">
        <v>7233</v>
      </c>
      <c r="AT374" s="1894">
        <f t="shared" si="143"/>
        <v>93744</v>
      </c>
      <c r="AU374" s="1894">
        <f t="shared" si="144"/>
        <v>0</v>
      </c>
      <c r="AV374" s="1894">
        <v>250</v>
      </c>
      <c r="AW374" s="1894">
        <v>206</v>
      </c>
      <c r="AX374" s="1894">
        <v>206</v>
      </c>
      <c r="AY374" s="1894">
        <v>0.57599999999999996</v>
      </c>
      <c r="AZ374" s="1894">
        <v>5.68</v>
      </c>
      <c r="BA374" s="1894">
        <v>8427</v>
      </c>
      <c r="BB374" s="1894">
        <f t="shared" si="145"/>
        <v>88992</v>
      </c>
      <c r="BC374" s="1894">
        <f t="shared" si="146"/>
        <v>0</v>
      </c>
      <c r="BD374" s="1894">
        <v>250</v>
      </c>
      <c r="BE374" s="1894">
        <v>229</v>
      </c>
      <c r="BF374" s="1894">
        <v>229</v>
      </c>
      <c r="BG374" s="1894">
        <v>0.5444</v>
      </c>
      <c r="BH374" s="1894">
        <v>5.39</v>
      </c>
      <c r="BI374" s="1894">
        <v>9175</v>
      </c>
      <c r="BJ374" s="1894">
        <f t="shared" si="147"/>
        <v>102226</v>
      </c>
      <c r="BK374" s="1894">
        <f t="shared" si="148"/>
        <v>0</v>
      </c>
      <c r="BL374" s="1894">
        <v>250</v>
      </c>
      <c r="BM374" s="1894">
        <v>244</v>
      </c>
      <c r="BN374" s="1894">
        <v>244</v>
      </c>
      <c r="BO374" s="1894">
        <v>0.53349999999999997</v>
      </c>
      <c r="BP374" s="1894">
        <v>6.02</v>
      </c>
      <c r="BQ374" s="1894">
        <v>10574</v>
      </c>
      <c r="BR374" s="1894">
        <f t="shared" si="149"/>
        <v>105408</v>
      </c>
      <c r="BS374" s="1894">
        <f t="shared" si="150"/>
        <v>0</v>
      </c>
      <c r="BT374" s="1894">
        <v>250</v>
      </c>
      <c r="BU374" s="1894">
        <v>248</v>
      </c>
      <c r="BV374" s="1894">
        <v>248</v>
      </c>
      <c r="BW374" s="1894">
        <v>0.52449999999999997</v>
      </c>
      <c r="BX374" s="1894">
        <v>6.39</v>
      </c>
      <c r="BY374" s="1894">
        <v>11789</v>
      </c>
      <c r="BZ374" s="1894">
        <f t="shared" si="151"/>
        <v>110707</v>
      </c>
      <c r="CA374" s="1894">
        <f t="shared" si="152"/>
        <v>0</v>
      </c>
      <c r="CB374" s="1894">
        <v>250</v>
      </c>
      <c r="CC374" s="1894">
        <v>258</v>
      </c>
      <c r="CD374" s="1894">
        <v>258</v>
      </c>
      <c r="CE374" s="1894">
        <v>0.53749999999999998</v>
      </c>
      <c r="CF374" s="1894">
        <v>5.77</v>
      </c>
      <c r="CG374" s="1894">
        <v>11080</v>
      </c>
      <c r="CH374" s="1894">
        <f t="shared" si="153"/>
        <v>115171</v>
      </c>
      <c r="CI374" s="1894">
        <f t="shared" si="154"/>
        <v>0</v>
      </c>
      <c r="CJ374" s="1894">
        <v>250</v>
      </c>
      <c r="CK374" s="1894">
        <v>232</v>
      </c>
      <c r="CL374" s="1894">
        <v>232</v>
      </c>
      <c r="CM374" s="1894">
        <v>0.56540000000000001</v>
      </c>
      <c r="CN374" s="1894">
        <v>5.94</v>
      </c>
      <c r="CO374" s="1894">
        <v>9263</v>
      </c>
      <c r="CP374" s="1894">
        <f t="shared" si="155"/>
        <v>93542</v>
      </c>
      <c r="CQ374" s="1894">
        <f t="shared" si="156"/>
        <v>0</v>
      </c>
      <c r="CR374" s="1924">
        <v>250</v>
      </c>
      <c r="CS374" s="1924">
        <v>219</v>
      </c>
      <c r="CT374" s="1924">
        <v>219</v>
      </c>
      <c r="CU374" s="1924">
        <v>0.55579999999999996</v>
      </c>
      <c r="CV374" s="1924">
        <v>6</v>
      </c>
      <c r="CW374" s="1924">
        <v>9769</v>
      </c>
      <c r="CX374" s="1894">
        <f t="shared" si="157"/>
        <v>97762</v>
      </c>
      <c r="CY374" s="1894">
        <f t="shared" si="158"/>
        <v>0</v>
      </c>
    </row>
    <row r="375" spans="1:103">
      <c r="A375" s="982">
        <v>122000000093</v>
      </c>
      <c r="B375" s="1923">
        <f t="shared" si="159"/>
        <v>369</v>
      </c>
      <c r="C375" s="1895" t="s">
        <v>3254</v>
      </c>
      <c r="D375" s="1894" t="s">
        <v>524</v>
      </c>
      <c r="E375" s="1895" t="s">
        <v>541</v>
      </c>
      <c r="F375" s="1894" t="s">
        <v>259</v>
      </c>
      <c r="G375" s="1924">
        <v>250</v>
      </c>
      <c r="H375" s="1894">
        <v>250</v>
      </c>
      <c r="I375" s="1894">
        <v>180.4</v>
      </c>
      <c r="J375" s="1894">
        <v>200</v>
      </c>
      <c r="K375" s="1894">
        <v>0.98170000000000002</v>
      </c>
      <c r="L375" s="1894">
        <v>65.790000000000006</v>
      </c>
      <c r="M375" s="1894">
        <v>85456</v>
      </c>
      <c r="N375" s="1894">
        <f t="shared" si="137"/>
        <v>77933</v>
      </c>
      <c r="O375" s="1894">
        <f t="shared" si="138"/>
        <v>7523</v>
      </c>
      <c r="P375" s="1894">
        <v>250</v>
      </c>
      <c r="Q375" s="1894">
        <v>180.8</v>
      </c>
      <c r="R375" s="1894">
        <v>200</v>
      </c>
      <c r="S375" s="1894">
        <v>0.97399999999999998</v>
      </c>
      <c r="T375" s="1894">
        <v>69.47</v>
      </c>
      <c r="U375" s="1894">
        <v>93448</v>
      </c>
      <c r="V375" s="1894">
        <f t="shared" si="139"/>
        <v>80709</v>
      </c>
      <c r="W375" s="1894">
        <f t="shared" si="140"/>
        <v>12739</v>
      </c>
      <c r="X375" s="1894">
        <v>250</v>
      </c>
      <c r="Y375" s="1894">
        <v>176.8</v>
      </c>
      <c r="Z375" s="1894">
        <v>200</v>
      </c>
      <c r="AA375" s="1894">
        <v>0.97619999999999996</v>
      </c>
      <c r="AB375" s="1894">
        <v>63.55</v>
      </c>
      <c r="AC375" s="1894">
        <v>80902</v>
      </c>
      <c r="AD375" s="1894">
        <f t="shared" si="141"/>
        <v>76378</v>
      </c>
      <c r="AE375" s="1894">
        <f t="shared" si="142"/>
        <v>4524</v>
      </c>
      <c r="AF375" s="1894">
        <v>250</v>
      </c>
      <c r="AG375" s="1894">
        <v>76.8</v>
      </c>
      <c r="AH375" s="1894">
        <v>200</v>
      </c>
      <c r="AI375" s="1894">
        <v>0.57799999999999996</v>
      </c>
      <c r="AJ375" s="1894">
        <v>7.45</v>
      </c>
      <c r="AK375" s="1894">
        <v>4256</v>
      </c>
      <c r="AL375" s="1894">
        <f t="shared" si="135"/>
        <v>34284</v>
      </c>
      <c r="AM375" s="1894">
        <f t="shared" si="136"/>
        <v>0</v>
      </c>
      <c r="AN375" s="1894">
        <v>250</v>
      </c>
      <c r="AO375" s="1894">
        <v>179.20000000000002</v>
      </c>
      <c r="AP375" s="1894">
        <v>200</v>
      </c>
      <c r="AQ375" s="1894">
        <v>0.97499999999999998</v>
      </c>
      <c r="AR375" s="1894">
        <v>49.3</v>
      </c>
      <c r="AS375" s="1894">
        <v>65726</v>
      </c>
      <c r="AT375" s="1894">
        <f t="shared" si="143"/>
        <v>79995</v>
      </c>
      <c r="AU375" s="1894">
        <f t="shared" si="144"/>
        <v>0</v>
      </c>
      <c r="AV375" s="1894">
        <v>250</v>
      </c>
      <c r="AW375" s="1894">
        <v>180.96</v>
      </c>
      <c r="AX375" s="1894">
        <v>200</v>
      </c>
      <c r="AY375" s="1894">
        <v>0.93340000000000001</v>
      </c>
      <c r="AZ375" s="1894">
        <v>61.35</v>
      </c>
      <c r="BA375" s="1894">
        <v>69276</v>
      </c>
      <c r="BB375" s="1894">
        <f t="shared" si="145"/>
        <v>78175</v>
      </c>
      <c r="BC375" s="1894">
        <f t="shared" si="146"/>
        <v>0</v>
      </c>
      <c r="BD375" s="1894">
        <v>250</v>
      </c>
      <c r="BE375" s="1894">
        <v>189.6</v>
      </c>
      <c r="BF375" s="1894">
        <v>200</v>
      </c>
      <c r="BG375" s="1894">
        <v>0.93189999999999995</v>
      </c>
      <c r="BH375" s="1894">
        <v>59.4</v>
      </c>
      <c r="BI375" s="1894">
        <v>94610</v>
      </c>
      <c r="BJ375" s="1894">
        <f t="shared" si="147"/>
        <v>84637</v>
      </c>
      <c r="BK375" s="1894">
        <f t="shared" si="148"/>
        <v>9973</v>
      </c>
      <c r="BL375" s="1894">
        <v>250</v>
      </c>
      <c r="BM375" s="1894">
        <v>181.92</v>
      </c>
      <c r="BN375" s="1894">
        <v>200</v>
      </c>
      <c r="BO375" s="1894">
        <v>0.93420000000000003</v>
      </c>
      <c r="BP375" s="1894">
        <v>69.75</v>
      </c>
      <c r="BQ375" s="1894">
        <v>91364</v>
      </c>
      <c r="BR375" s="1894">
        <f t="shared" si="149"/>
        <v>78589</v>
      </c>
      <c r="BS375" s="1894">
        <f t="shared" si="150"/>
        <v>12775</v>
      </c>
      <c r="BT375" s="1894">
        <v>250</v>
      </c>
      <c r="BU375" s="1894">
        <v>182.88</v>
      </c>
      <c r="BV375" s="1894">
        <v>200</v>
      </c>
      <c r="BW375" s="1894">
        <v>0.93330000000000002</v>
      </c>
      <c r="BX375" s="1894">
        <v>67.010000000000005</v>
      </c>
      <c r="BY375" s="1894">
        <v>91170</v>
      </c>
      <c r="BZ375" s="1894">
        <f t="shared" si="151"/>
        <v>81638</v>
      </c>
      <c r="CA375" s="1894">
        <f t="shared" si="152"/>
        <v>9532</v>
      </c>
      <c r="CB375" s="1894">
        <v>250</v>
      </c>
      <c r="CC375" s="1894">
        <v>184.8</v>
      </c>
      <c r="CD375" s="1894">
        <v>200</v>
      </c>
      <c r="CE375" s="1894">
        <v>0.94279999999999997</v>
      </c>
      <c r="CF375" s="1894">
        <v>65.27</v>
      </c>
      <c r="CG375" s="1894">
        <v>89734</v>
      </c>
      <c r="CH375" s="1894">
        <f t="shared" si="153"/>
        <v>82495</v>
      </c>
      <c r="CI375" s="1894">
        <f t="shared" si="154"/>
        <v>7239</v>
      </c>
      <c r="CJ375" s="1894">
        <v>250</v>
      </c>
      <c r="CK375" s="1894">
        <v>216.48000000000002</v>
      </c>
      <c r="CL375" s="1894">
        <v>216.48</v>
      </c>
      <c r="CM375" s="1894">
        <v>0.93730000000000002</v>
      </c>
      <c r="CN375" s="1894">
        <v>53.16</v>
      </c>
      <c r="CO375" s="1894">
        <v>77328</v>
      </c>
      <c r="CP375" s="1894">
        <f t="shared" si="155"/>
        <v>87285</v>
      </c>
      <c r="CQ375" s="1894">
        <f t="shared" si="156"/>
        <v>0</v>
      </c>
      <c r="CR375" s="1924">
        <v>250</v>
      </c>
      <c r="CS375" s="1924">
        <v>225.28</v>
      </c>
      <c r="CT375" s="1924">
        <v>225.28</v>
      </c>
      <c r="CU375" s="1924">
        <v>0.95179999999999998</v>
      </c>
      <c r="CV375" s="1924">
        <v>69.34</v>
      </c>
      <c r="CW375" s="1924">
        <v>116218</v>
      </c>
      <c r="CX375" s="1894">
        <f t="shared" si="157"/>
        <v>100565</v>
      </c>
      <c r="CY375" s="1894">
        <f t="shared" si="158"/>
        <v>15653</v>
      </c>
    </row>
    <row r="376" spans="1:103">
      <c r="A376" s="982">
        <v>615000000055</v>
      </c>
      <c r="B376" s="1923">
        <f t="shared" si="159"/>
        <v>370</v>
      </c>
      <c r="C376" s="1895" t="s">
        <v>3255</v>
      </c>
      <c r="D376" s="1894" t="s">
        <v>524</v>
      </c>
      <c r="E376" s="1895" t="s">
        <v>541</v>
      </c>
      <c r="F376" s="1894" t="s">
        <v>259</v>
      </c>
      <c r="G376" s="1924">
        <v>250</v>
      </c>
      <c r="H376" s="1894">
        <v>0</v>
      </c>
      <c r="I376" s="1894">
        <v>0</v>
      </c>
      <c r="J376" s="1894">
        <v>0</v>
      </c>
      <c r="K376" s="1894">
        <v>0</v>
      </c>
      <c r="L376" s="1894">
        <v>0</v>
      </c>
      <c r="M376" s="1894">
        <v>0</v>
      </c>
      <c r="N376" s="1894">
        <f t="shared" si="137"/>
        <v>0</v>
      </c>
      <c r="O376" s="1894">
        <f t="shared" si="138"/>
        <v>0</v>
      </c>
      <c r="P376" s="1894">
        <v>0</v>
      </c>
      <c r="Q376" s="1894">
        <v>0</v>
      </c>
      <c r="R376" s="1894">
        <v>0</v>
      </c>
      <c r="S376" s="1894">
        <v>0</v>
      </c>
      <c r="T376" s="1894">
        <v>0</v>
      </c>
      <c r="U376" s="1894">
        <v>0</v>
      </c>
      <c r="V376" s="1894">
        <f t="shared" si="139"/>
        <v>0</v>
      </c>
      <c r="W376" s="1894">
        <f t="shared" si="140"/>
        <v>0</v>
      </c>
      <c r="X376" s="1894">
        <v>0</v>
      </c>
      <c r="Y376" s="1894">
        <v>0</v>
      </c>
      <c r="Z376" s="1894">
        <v>0</v>
      </c>
      <c r="AA376" s="1894">
        <v>0</v>
      </c>
      <c r="AB376" s="1894">
        <v>0</v>
      </c>
      <c r="AC376" s="1894">
        <v>0</v>
      </c>
      <c r="AD376" s="1894">
        <f t="shared" si="141"/>
        <v>0</v>
      </c>
      <c r="AE376" s="1894">
        <f t="shared" si="142"/>
        <v>0</v>
      </c>
      <c r="AF376" s="1894">
        <v>250</v>
      </c>
      <c r="AG376" s="1894">
        <v>88.8</v>
      </c>
      <c r="AH376" s="1894">
        <v>200</v>
      </c>
      <c r="AI376" s="1894">
        <v>0.89029999999999998</v>
      </c>
      <c r="AJ376" s="1894">
        <v>16.260000000000002</v>
      </c>
      <c r="AK376" s="1894">
        <v>5199</v>
      </c>
      <c r="AL376" s="1894">
        <f t="shared" si="135"/>
        <v>39640</v>
      </c>
      <c r="AM376" s="1894">
        <f t="shared" si="136"/>
        <v>0</v>
      </c>
      <c r="AN376" s="1894">
        <v>250</v>
      </c>
      <c r="AO376" s="1894">
        <v>94.559999999999988</v>
      </c>
      <c r="AP376" s="1894">
        <v>200</v>
      </c>
      <c r="AQ376" s="1894">
        <v>0.84719999999999995</v>
      </c>
      <c r="AR376" s="1894">
        <v>28.4</v>
      </c>
      <c r="AS376" s="1894">
        <v>21267</v>
      </c>
      <c r="AT376" s="1894">
        <f t="shared" si="143"/>
        <v>42212</v>
      </c>
      <c r="AU376" s="1894">
        <f t="shared" si="144"/>
        <v>0</v>
      </c>
      <c r="AV376" s="1894">
        <v>250</v>
      </c>
      <c r="AW376" s="1894">
        <v>96.96</v>
      </c>
      <c r="AX376" s="1894">
        <v>200</v>
      </c>
      <c r="AY376" s="1894">
        <v>0.86399999999999999</v>
      </c>
      <c r="AZ376" s="1894">
        <v>26.32</v>
      </c>
      <c r="BA376" s="1894">
        <v>18375</v>
      </c>
      <c r="BB376" s="1894">
        <f t="shared" si="145"/>
        <v>41887</v>
      </c>
      <c r="BC376" s="1894">
        <f t="shared" si="146"/>
        <v>0</v>
      </c>
      <c r="BD376" s="1894">
        <v>250</v>
      </c>
      <c r="BE376" s="1894">
        <v>108.47999999999999</v>
      </c>
      <c r="BF376" s="1894">
        <v>200</v>
      </c>
      <c r="BG376" s="1894">
        <v>0.87549999999999994</v>
      </c>
      <c r="BH376" s="1894">
        <v>24.93</v>
      </c>
      <c r="BI376" s="1894">
        <v>16875</v>
      </c>
      <c r="BJ376" s="1894">
        <f t="shared" si="147"/>
        <v>48425</v>
      </c>
      <c r="BK376" s="1894">
        <f t="shared" si="148"/>
        <v>0</v>
      </c>
      <c r="BL376" s="1894">
        <v>250</v>
      </c>
      <c r="BM376" s="1894">
        <v>178.08</v>
      </c>
      <c r="BN376" s="1894">
        <v>200</v>
      </c>
      <c r="BO376" s="1894">
        <v>0.81030000000000002</v>
      </c>
      <c r="BP376" s="1894">
        <v>21.36</v>
      </c>
      <c r="BQ376" s="1894">
        <v>31953</v>
      </c>
      <c r="BR376" s="1894">
        <f t="shared" si="149"/>
        <v>76931</v>
      </c>
      <c r="BS376" s="1894">
        <f t="shared" si="150"/>
        <v>0</v>
      </c>
      <c r="BT376" s="1894">
        <v>250</v>
      </c>
      <c r="BU376" s="1894">
        <v>162.23999999999998</v>
      </c>
      <c r="BV376" s="1894">
        <v>200</v>
      </c>
      <c r="BW376" s="1894">
        <v>0.77039999999999997</v>
      </c>
      <c r="BX376" s="1894">
        <v>24.55</v>
      </c>
      <c r="BY376" s="1894">
        <v>29631</v>
      </c>
      <c r="BZ376" s="1894">
        <f t="shared" si="151"/>
        <v>72424</v>
      </c>
      <c r="CA376" s="1894">
        <f t="shared" si="152"/>
        <v>0</v>
      </c>
      <c r="CB376" s="1894">
        <v>250</v>
      </c>
      <c r="CC376" s="1894">
        <v>167.52</v>
      </c>
      <c r="CD376" s="1894">
        <v>200</v>
      </c>
      <c r="CE376" s="1894">
        <v>0.78190000000000004</v>
      </c>
      <c r="CF376" s="1894">
        <v>28.08</v>
      </c>
      <c r="CG376" s="1894">
        <v>34995</v>
      </c>
      <c r="CH376" s="1894">
        <f t="shared" si="153"/>
        <v>74781</v>
      </c>
      <c r="CI376" s="1894">
        <f t="shared" si="154"/>
        <v>0</v>
      </c>
      <c r="CJ376" s="1894">
        <v>250</v>
      </c>
      <c r="CK376" s="1894">
        <v>141.12</v>
      </c>
      <c r="CL376" s="1894">
        <v>200</v>
      </c>
      <c r="CM376" s="1894">
        <v>0.77669999999999995</v>
      </c>
      <c r="CN376" s="1894">
        <v>36.15</v>
      </c>
      <c r="CO376" s="1894">
        <v>34278</v>
      </c>
      <c r="CP376" s="1894">
        <f t="shared" si="155"/>
        <v>56900</v>
      </c>
      <c r="CQ376" s="1894">
        <f t="shared" si="156"/>
        <v>0</v>
      </c>
      <c r="CR376" s="1924">
        <v>250</v>
      </c>
      <c r="CS376" s="1924">
        <v>141.12</v>
      </c>
      <c r="CT376" s="1924">
        <v>200</v>
      </c>
      <c r="CU376" s="1924">
        <v>0.77569999999999995</v>
      </c>
      <c r="CV376" s="1924">
        <v>33.06</v>
      </c>
      <c r="CW376" s="1924">
        <v>34716</v>
      </c>
      <c r="CX376" s="1894">
        <f t="shared" si="157"/>
        <v>62996</v>
      </c>
      <c r="CY376" s="1894">
        <f t="shared" si="158"/>
        <v>0</v>
      </c>
    </row>
    <row r="377" spans="1:103">
      <c r="A377" s="982">
        <v>615000000054</v>
      </c>
      <c r="B377" s="1923">
        <f t="shared" si="159"/>
        <v>371</v>
      </c>
      <c r="C377" s="1895" t="s">
        <v>3256</v>
      </c>
      <c r="D377" s="1894" t="s">
        <v>524</v>
      </c>
      <c r="E377" s="1895" t="s">
        <v>541</v>
      </c>
      <c r="F377" s="1894" t="s">
        <v>259</v>
      </c>
      <c r="G377" s="1924">
        <v>250</v>
      </c>
      <c r="H377" s="1894">
        <v>0</v>
      </c>
      <c r="I377" s="1894">
        <v>0</v>
      </c>
      <c r="J377" s="1894">
        <v>0</v>
      </c>
      <c r="K377" s="1894">
        <v>0</v>
      </c>
      <c r="L377" s="1894">
        <v>0</v>
      </c>
      <c r="M377" s="1894">
        <v>0</v>
      </c>
      <c r="N377" s="1894">
        <f t="shared" si="137"/>
        <v>0</v>
      </c>
      <c r="O377" s="1894">
        <f t="shared" si="138"/>
        <v>0</v>
      </c>
      <c r="P377" s="1894">
        <v>0</v>
      </c>
      <c r="Q377" s="1894">
        <v>0</v>
      </c>
      <c r="R377" s="1894">
        <v>0</v>
      </c>
      <c r="S377" s="1894">
        <v>0</v>
      </c>
      <c r="T377" s="1894">
        <v>0</v>
      </c>
      <c r="U377" s="1894">
        <v>0</v>
      </c>
      <c r="V377" s="1894">
        <f t="shared" si="139"/>
        <v>0</v>
      </c>
      <c r="W377" s="1894">
        <f t="shared" si="140"/>
        <v>0</v>
      </c>
      <c r="X377" s="1894">
        <v>0</v>
      </c>
      <c r="Y377" s="1894">
        <v>0</v>
      </c>
      <c r="Z377" s="1894">
        <v>0</v>
      </c>
      <c r="AA377" s="1894">
        <v>0</v>
      </c>
      <c r="AB377" s="1894">
        <v>0</v>
      </c>
      <c r="AC377" s="1894">
        <v>0</v>
      </c>
      <c r="AD377" s="1894">
        <f t="shared" si="141"/>
        <v>0</v>
      </c>
      <c r="AE377" s="1894">
        <f t="shared" si="142"/>
        <v>0</v>
      </c>
      <c r="AF377" s="1894">
        <v>250</v>
      </c>
      <c r="AG377" s="1894">
        <v>7.68</v>
      </c>
      <c r="AH377" s="1894">
        <v>200</v>
      </c>
      <c r="AI377" s="1894">
        <v>0.41089999999999999</v>
      </c>
      <c r="AJ377" s="1894">
        <v>13.98</v>
      </c>
      <c r="AK377" s="1894">
        <v>438</v>
      </c>
      <c r="AL377" s="1894">
        <f t="shared" si="135"/>
        <v>3428</v>
      </c>
      <c r="AM377" s="1894">
        <f t="shared" si="136"/>
        <v>0</v>
      </c>
      <c r="AN377" s="1894">
        <v>250</v>
      </c>
      <c r="AO377" s="1894">
        <v>2.2399999999999998</v>
      </c>
      <c r="AP377" s="1894">
        <v>200</v>
      </c>
      <c r="AQ377" s="1894">
        <v>0.3861</v>
      </c>
      <c r="AR377" s="1894">
        <v>95.41</v>
      </c>
      <c r="AS377" s="1894">
        <v>1590</v>
      </c>
      <c r="AT377" s="1894">
        <f t="shared" si="143"/>
        <v>1000</v>
      </c>
      <c r="AU377" s="1894">
        <f t="shared" si="144"/>
        <v>590</v>
      </c>
      <c r="AV377" s="1894">
        <v>250</v>
      </c>
      <c r="AW377" s="1894">
        <v>4</v>
      </c>
      <c r="AX377" s="1894">
        <v>200</v>
      </c>
      <c r="AY377" s="1894">
        <v>0.42909999999999998</v>
      </c>
      <c r="AZ377" s="1894">
        <v>47.57</v>
      </c>
      <c r="BA377" s="1894">
        <v>1370</v>
      </c>
      <c r="BB377" s="1894">
        <f t="shared" si="145"/>
        <v>1728</v>
      </c>
      <c r="BC377" s="1894">
        <f t="shared" si="146"/>
        <v>0</v>
      </c>
      <c r="BD377" s="1894">
        <v>250</v>
      </c>
      <c r="BE377" s="1894">
        <v>40.799999999999997</v>
      </c>
      <c r="BF377" s="1894">
        <v>200</v>
      </c>
      <c r="BG377" s="1894">
        <v>0.41089999999999999</v>
      </c>
      <c r="BH377" s="1894">
        <v>5.88</v>
      </c>
      <c r="BI377" s="1894">
        <v>1786</v>
      </c>
      <c r="BJ377" s="1894">
        <f t="shared" si="147"/>
        <v>18213</v>
      </c>
      <c r="BK377" s="1894">
        <f t="shared" si="148"/>
        <v>0</v>
      </c>
      <c r="BL377" s="1894">
        <v>250</v>
      </c>
      <c r="BM377" s="1894">
        <v>3.84</v>
      </c>
      <c r="BN377" s="1894">
        <v>200</v>
      </c>
      <c r="BO377" s="1894">
        <v>0.3735</v>
      </c>
      <c r="BP377" s="1894">
        <v>67.2</v>
      </c>
      <c r="BQ377" s="1894">
        <v>1858</v>
      </c>
      <c r="BR377" s="1894">
        <f t="shared" si="149"/>
        <v>1659</v>
      </c>
      <c r="BS377" s="1894">
        <f t="shared" si="150"/>
        <v>199</v>
      </c>
      <c r="BT377" s="1894">
        <v>250</v>
      </c>
      <c r="BU377" s="1894">
        <v>5.76</v>
      </c>
      <c r="BV377" s="1894">
        <v>200</v>
      </c>
      <c r="BW377" s="1894">
        <v>0.39200000000000002</v>
      </c>
      <c r="BX377" s="1894">
        <v>45.83</v>
      </c>
      <c r="BY377" s="1894">
        <v>1964</v>
      </c>
      <c r="BZ377" s="1894">
        <f t="shared" si="151"/>
        <v>2571</v>
      </c>
      <c r="CA377" s="1894">
        <f t="shared" si="152"/>
        <v>0</v>
      </c>
      <c r="CB377" s="1894">
        <v>250</v>
      </c>
      <c r="CC377" s="1894">
        <v>6.72</v>
      </c>
      <c r="CD377" s="1894">
        <v>200</v>
      </c>
      <c r="CE377" s="1894">
        <v>0.40039999999999998</v>
      </c>
      <c r="CF377" s="1894">
        <v>33.96</v>
      </c>
      <c r="CG377" s="1894">
        <v>1698</v>
      </c>
      <c r="CH377" s="1894">
        <f t="shared" si="153"/>
        <v>3000</v>
      </c>
      <c r="CI377" s="1894">
        <f t="shared" si="154"/>
        <v>0</v>
      </c>
      <c r="CJ377" s="1894">
        <v>250</v>
      </c>
      <c r="CK377" s="1894">
        <v>4.4799999999999995</v>
      </c>
      <c r="CL377" s="1894">
        <v>200</v>
      </c>
      <c r="CM377" s="1894">
        <v>0.40500000000000003</v>
      </c>
      <c r="CN377" s="1894">
        <v>47.23</v>
      </c>
      <c r="CO377" s="1894">
        <v>1422</v>
      </c>
      <c r="CP377" s="1894">
        <f t="shared" si="155"/>
        <v>1806</v>
      </c>
      <c r="CQ377" s="1894">
        <f t="shared" si="156"/>
        <v>0</v>
      </c>
      <c r="CR377" s="1924">
        <v>250</v>
      </c>
      <c r="CS377" s="1924">
        <v>3.52</v>
      </c>
      <c r="CT377" s="1924">
        <v>200</v>
      </c>
      <c r="CU377" s="1924">
        <v>0.42870000000000003</v>
      </c>
      <c r="CV377" s="1924">
        <v>55.75</v>
      </c>
      <c r="CW377" s="1924">
        <v>1460</v>
      </c>
      <c r="CX377" s="1894">
        <f t="shared" si="157"/>
        <v>1571</v>
      </c>
      <c r="CY377" s="1894">
        <f t="shared" si="158"/>
        <v>0</v>
      </c>
    </row>
    <row r="378" spans="1:103">
      <c r="A378" s="982">
        <v>121000000057</v>
      </c>
      <c r="B378" s="1923">
        <f t="shared" si="159"/>
        <v>372</v>
      </c>
      <c r="C378" s="1895" t="s">
        <v>3257</v>
      </c>
      <c r="D378" s="1894" t="s">
        <v>524</v>
      </c>
      <c r="E378" s="1895" t="s">
        <v>2966</v>
      </c>
      <c r="F378" s="1894" t="s">
        <v>259</v>
      </c>
      <c r="G378" s="1924">
        <v>250</v>
      </c>
      <c r="H378" s="1894">
        <v>250</v>
      </c>
      <c r="I378" s="1894">
        <v>3.2</v>
      </c>
      <c r="J378" s="1894">
        <v>250</v>
      </c>
      <c r="K378" s="1894">
        <v>0.84689999999999999</v>
      </c>
      <c r="L378" s="1894">
        <v>0</v>
      </c>
      <c r="M378" s="1894">
        <v>405</v>
      </c>
      <c r="N378" s="1894">
        <f t="shared" si="137"/>
        <v>1382</v>
      </c>
      <c r="O378" s="1894">
        <f t="shared" si="138"/>
        <v>0</v>
      </c>
      <c r="P378" s="1894">
        <v>250</v>
      </c>
      <c r="Q378" s="1894">
        <v>5.6</v>
      </c>
      <c r="R378" s="1894">
        <v>250</v>
      </c>
      <c r="S378" s="1894">
        <v>0.65159999999999996</v>
      </c>
      <c r="T378" s="1894">
        <v>0</v>
      </c>
      <c r="U378" s="1894">
        <v>310</v>
      </c>
      <c r="V378" s="1894">
        <f t="shared" si="139"/>
        <v>2500</v>
      </c>
      <c r="W378" s="1894">
        <f t="shared" si="140"/>
        <v>0</v>
      </c>
      <c r="X378" s="1894">
        <v>250</v>
      </c>
      <c r="Y378" s="1894">
        <v>6</v>
      </c>
      <c r="Z378" s="1894">
        <v>250</v>
      </c>
      <c r="AA378" s="1894">
        <v>0.88829999999999998</v>
      </c>
      <c r="AB378" s="1894">
        <v>0</v>
      </c>
      <c r="AC378" s="1894">
        <v>197</v>
      </c>
      <c r="AD378" s="1894">
        <f t="shared" si="141"/>
        <v>2592</v>
      </c>
      <c r="AE378" s="1894">
        <f t="shared" si="142"/>
        <v>0</v>
      </c>
      <c r="AF378" s="1894">
        <v>250</v>
      </c>
      <c r="AG378" s="1894">
        <v>1.2</v>
      </c>
      <c r="AH378" s="1894">
        <v>250</v>
      </c>
      <c r="AI378" s="1894">
        <v>0.80669999999999997</v>
      </c>
      <c r="AJ378" s="1894">
        <v>0</v>
      </c>
      <c r="AK378" s="1894">
        <v>207</v>
      </c>
      <c r="AL378" s="1894">
        <f t="shared" si="135"/>
        <v>536</v>
      </c>
      <c r="AM378" s="1894">
        <f t="shared" si="136"/>
        <v>0</v>
      </c>
      <c r="AN378" s="1894">
        <v>250</v>
      </c>
      <c r="AO378" s="1894">
        <v>4.2</v>
      </c>
      <c r="AP378" s="1894">
        <v>250</v>
      </c>
      <c r="AQ378" s="1894">
        <v>0.51670000000000005</v>
      </c>
      <c r="AR378" s="1894">
        <v>0</v>
      </c>
      <c r="AS378" s="1894">
        <v>538</v>
      </c>
      <c r="AT378" s="1894">
        <f t="shared" si="143"/>
        <v>1875</v>
      </c>
      <c r="AU378" s="1894">
        <f t="shared" si="144"/>
        <v>0</v>
      </c>
      <c r="AV378" s="1894">
        <v>250</v>
      </c>
      <c r="AW378" s="1894">
        <v>3.2</v>
      </c>
      <c r="AX378" s="1894">
        <v>250</v>
      </c>
      <c r="AY378" s="1894">
        <v>0.68510000000000004</v>
      </c>
      <c r="AZ378" s="1894">
        <v>0</v>
      </c>
      <c r="BA378" s="1894">
        <v>270</v>
      </c>
      <c r="BB378" s="1894">
        <f t="shared" si="145"/>
        <v>1382</v>
      </c>
      <c r="BC378" s="1894">
        <f t="shared" si="146"/>
        <v>0</v>
      </c>
      <c r="BD378" s="1894">
        <v>250</v>
      </c>
      <c r="BE378" s="1894">
        <v>11.4</v>
      </c>
      <c r="BF378" s="1894">
        <v>250</v>
      </c>
      <c r="BG378" s="1894">
        <v>0.42680000000000001</v>
      </c>
      <c r="BH378" s="1894">
        <v>0</v>
      </c>
      <c r="BI378" s="1894">
        <v>813</v>
      </c>
      <c r="BJ378" s="1894">
        <f t="shared" si="147"/>
        <v>5089</v>
      </c>
      <c r="BK378" s="1894">
        <f t="shared" si="148"/>
        <v>0</v>
      </c>
      <c r="BL378" s="1894">
        <v>250</v>
      </c>
      <c r="BM378" s="1894">
        <v>5</v>
      </c>
      <c r="BN378" s="1894">
        <v>250</v>
      </c>
      <c r="BO378" s="1894">
        <v>0.30609999999999998</v>
      </c>
      <c r="BP378" s="1894">
        <v>0</v>
      </c>
      <c r="BQ378" s="1894">
        <v>1545</v>
      </c>
      <c r="BR378" s="1894">
        <f t="shared" si="149"/>
        <v>2160</v>
      </c>
      <c r="BS378" s="1894">
        <f t="shared" si="150"/>
        <v>0</v>
      </c>
      <c r="BT378" s="1894">
        <v>250</v>
      </c>
      <c r="BU378" s="1894">
        <v>8.2000000000000011</v>
      </c>
      <c r="BV378" s="1894">
        <v>250</v>
      </c>
      <c r="BW378" s="1894">
        <v>0.38669999999999999</v>
      </c>
      <c r="BX378" s="1894">
        <v>0</v>
      </c>
      <c r="BY378" s="1894">
        <v>2102</v>
      </c>
      <c r="BZ378" s="1894">
        <f t="shared" si="151"/>
        <v>3660</v>
      </c>
      <c r="CA378" s="1894">
        <f t="shared" si="152"/>
        <v>0</v>
      </c>
      <c r="CB378" s="1894">
        <v>250</v>
      </c>
      <c r="CC378" s="1894">
        <v>7.6</v>
      </c>
      <c r="CD378" s="1894">
        <v>250</v>
      </c>
      <c r="CE378" s="1894">
        <v>0.33710000000000001</v>
      </c>
      <c r="CF378" s="1894">
        <v>0</v>
      </c>
      <c r="CG378" s="1894">
        <v>1578</v>
      </c>
      <c r="CH378" s="1894">
        <f t="shared" si="153"/>
        <v>3393</v>
      </c>
      <c r="CI378" s="1894">
        <f t="shared" si="154"/>
        <v>0</v>
      </c>
      <c r="CJ378" s="1894">
        <v>250</v>
      </c>
      <c r="CK378" s="1894">
        <v>4.4000000000000004</v>
      </c>
      <c r="CL378" s="1894">
        <v>250</v>
      </c>
      <c r="CM378" s="1894">
        <v>0.39190000000000003</v>
      </c>
      <c r="CN378" s="1894">
        <v>0</v>
      </c>
      <c r="CO378" s="1894">
        <v>1092</v>
      </c>
      <c r="CP378" s="1894">
        <f t="shared" si="155"/>
        <v>1774</v>
      </c>
      <c r="CQ378" s="1894">
        <f t="shared" si="156"/>
        <v>0</v>
      </c>
      <c r="CR378" s="1924">
        <v>250</v>
      </c>
      <c r="CS378" s="1924">
        <v>3.2</v>
      </c>
      <c r="CT378" s="1924">
        <v>250</v>
      </c>
      <c r="CU378" s="1924">
        <v>0.4929</v>
      </c>
      <c r="CV378" s="1924">
        <v>0</v>
      </c>
      <c r="CW378" s="1924">
        <v>775</v>
      </c>
      <c r="CX378" s="1894">
        <f t="shared" si="157"/>
        <v>1428</v>
      </c>
      <c r="CY378" s="1894">
        <f t="shared" si="158"/>
        <v>0</v>
      </c>
    </row>
    <row r="379" spans="1:103">
      <c r="A379" s="982">
        <v>121000000064</v>
      </c>
      <c r="B379" s="1923">
        <f t="shared" si="159"/>
        <v>373</v>
      </c>
      <c r="C379" s="1895" t="s">
        <v>3258</v>
      </c>
      <c r="D379" s="1894" t="s">
        <v>524</v>
      </c>
      <c r="E379" s="1895" t="s">
        <v>541</v>
      </c>
      <c r="F379" s="1894" t="s">
        <v>259</v>
      </c>
      <c r="G379" s="1924">
        <v>250</v>
      </c>
      <c r="H379" s="1894">
        <v>250</v>
      </c>
      <c r="I379" s="1894">
        <v>98.88</v>
      </c>
      <c r="J379" s="1894">
        <v>200</v>
      </c>
      <c r="K379" s="1894">
        <v>0.98070000000000002</v>
      </c>
      <c r="L379" s="1894">
        <v>11.84</v>
      </c>
      <c r="M379" s="1894">
        <v>8427</v>
      </c>
      <c r="N379" s="1894">
        <f t="shared" si="137"/>
        <v>42716</v>
      </c>
      <c r="O379" s="1894">
        <f t="shared" si="138"/>
        <v>0</v>
      </c>
      <c r="P379" s="1894">
        <v>250</v>
      </c>
      <c r="Q379" s="1894">
        <v>222.24</v>
      </c>
      <c r="R379" s="1894">
        <v>222.24</v>
      </c>
      <c r="S379" s="1894">
        <v>0.94589999999999996</v>
      </c>
      <c r="T379" s="1894">
        <v>8.49</v>
      </c>
      <c r="U379" s="1894">
        <v>14040</v>
      </c>
      <c r="V379" s="1894">
        <f t="shared" si="139"/>
        <v>99208</v>
      </c>
      <c r="W379" s="1894">
        <f t="shared" si="140"/>
        <v>0</v>
      </c>
      <c r="X379" s="1894">
        <v>250</v>
      </c>
      <c r="Y379" s="1894">
        <v>220.32000000000002</v>
      </c>
      <c r="Z379" s="1894">
        <v>220.32</v>
      </c>
      <c r="AA379" s="1894">
        <v>0.95430000000000004</v>
      </c>
      <c r="AB379" s="1894">
        <v>62.84</v>
      </c>
      <c r="AC379" s="1894">
        <v>99687</v>
      </c>
      <c r="AD379" s="1894">
        <f t="shared" si="141"/>
        <v>95178</v>
      </c>
      <c r="AE379" s="1894">
        <f t="shared" si="142"/>
        <v>4509</v>
      </c>
      <c r="AF379" s="1894">
        <v>250</v>
      </c>
      <c r="AG379" s="1894">
        <v>213.84</v>
      </c>
      <c r="AH379" s="1894">
        <v>213.84</v>
      </c>
      <c r="AI379" s="1894">
        <v>0.96199999999999997</v>
      </c>
      <c r="AJ379" s="1894">
        <v>52.8</v>
      </c>
      <c r="AK379" s="1894">
        <v>84009</v>
      </c>
      <c r="AL379" s="1894">
        <f t="shared" si="135"/>
        <v>95458</v>
      </c>
      <c r="AM379" s="1894">
        <f t="shared" si="136"/>
        <v>0</v>
      </c>
      <c r="AN379" s="1894">
        <v>250</v>
      </c>
      <c r="AO379" s="1894">
        <v>213.12</v>
      </c>
      <c r="AP379" s="1894">
        <v>213.12</v>
      </c>
      <c r="AQ379" s="1894">
        <v>0.96460000000000001</v>
      </c>
      <c r="AR379" s="1894">
        <v>43.8</v>
      </c>
      <c r="AS379" s="1894">
        <v>69447</v>
      </c>
      <c r="AT379" s="1894">
        <f t="shared" si="143"/>
        <v>95137</v>
      </c>
      <c r="AU379" s="1894">
        <f t="shared" si="144"/>
        <v>0</v>
      </c>
      <c r="AV379" s="1894">
        <v>250</v>
      </c>
      <c r="AW379" s="1894">
        <v>214.55999999999997</v>
      </c>
      <c r="AX379" s="1894">
        <v>214.56</v>
      </c>
      <c r="AY379" s="1894">
        <v>0.96150000000000002</v>
      </c>
      <c r="AZ379" s="1894">
        <v>58.98</v>
      </c>
      <c r="BA379" s="1894">
        <v>91116</v>
      </c>
      <c r="BB379" s="1894">
        <f t="shared" si="145"/>
        <v>92690</v>
      </c>
      <c r="BC379" s="1894">
        <f t="shared" si="146"/>
        <v>0</v>
      </c>
      <c r="BD379" s="1894">
        <v>250</v>
      </c>
      <c r="BE379" s="1894">
        <v>197.28</v>
      </c>
      <c r="BF379" s="1894">
        <v>200</v>
      </c>
      <c r="BG379" s="1894">
        <v>0.97160000000000002</v>
      </c>
      <c r="BH379" s="1894">
        <v>49.59</v>
      </c>
      <c r="BI379" s="1894">
        <v>72783</v>
      </c>
      <c r="BJ379" s="1894">
        <f t="shared" si="147"/>
        <v>88066</v>
      </c>
      <c r="BK379" s="1894">
        <f t="shared" si="148"/>
        <v>0</v>
      </c>
      <c r="BL379" s="1894">
        <v>250</v>
      </c>
      <c r="BM379" s="1894">
        <v>173.04</v>
      </c>
      <c r="BN379" s="1894">
        <v>200</v>
      </c>
      <c r="BO379" s="1894">
        <v>0.97519999999999996</v>
      </c>
      <c r="BP379" s="1894">
        <v>42.5</v>
      </c>
      <c r="BQ379" s="1894">
        <v>52953</v>
      </c>
      <c r="BR379" s="1894">
        <f t="shared" si="149"/>
        <v>74753</v>
      </c>
      <c r="BS379" s="1894">
        <f t="shared" si="150"/>
        <v>0</v>
      </c>
      <c r="BT379" s="1894">
        <v>250</v>
      </c>
      <c r="BU379" s="1894">
        <v>159.60000000000002</v>
      </c>
      <c r="BV379" s="1894">
        <v>200</v>
      </c>
      <c r="BW379" s="1894">
        <v>0.95930000000000004</v>
      </c>
      <c r="BX379" s="1894">
        <v>35.65</v>
      </c>
      <c r="BY379" s="1894">
        <v>42333</v>
      </c>
      <c r="BZ379" s="1894">
        <f t="shared" si="151"/>
        <v>71245</v>
      </c>
      <c r="CA379" s="1894">
        <f t="shared" si="152"/>
        <v>0</v>
      </c>
      <c r="CB379" s="1894">
        <v>250</v>
      </c>
      <c r="CC379" s="1894">
        <v>177.12</v>
      </c>
      <c r="CD379" s="1894">
        <v>200</v>
      </c>
      <c r="CE379" s="1894">
        <v>0.95530000000000004</v>
      </c>
      <c r="CF379" s="1894">
        <v>20.92</v>
      </c>
      <c r="CG379" s="1894">
        <v>27564</v>
      </c>
      <c r="CH379" s="1894">
        <f t="shared" si="153"/>
        <v>79066</v>
      </c>
      <c r="CI379" s="1894">
        <f t="shared" si="154"/>
        <v>0</v>
      </c>
      <c r="CJ379" s="1894">
        <v>250</v>
      </c>
      <c r="CK379" s="1894">
        <v>173.52</v>
      </c>
      <c r="CL379" s="1894">
        <v>200</v>
      </c>
      <c r="CM379" s="1894">
        <v>0.98229999999999995</v>
      </c>
      <c r="CN379" s="1894">
        <v>32.880000000000003</v>
      </c>
      <c r="CO379" s="1894">
        <v>38343</v>
      </c>
      <c r="CP379" s="1894">
        <f t="shared" si="155"/>
        <v>69963</v>
      </c>
      <c r="CQ379" s="1894">
        <f t="shared" si="156"/>
        <v>0</v>
      </c>
      <c r="CR379" s="1924">
        <v>250</v>
      </c>
      <c r="CS379" s="1924">
        <v>165.12</v>
      </c>
      <c r="CT379" s="1924">
        <v>200</v>
      </c>
      <c r="CU379" s="1924">
        <v>0.97950000000000004</v>
      </c>
      <c r="CV379" s="1924">
        <v>39.46</v>
      </c>
      <c r="CW379" s="1924">
        <v>48477</v>
      </c>
      <c r="CX379" s="1894">
        <f t="shared" si="157"/>
        <v>73710</v>
      </c>
      <c r="CY379" s="1894">
        <f t="shared" si="158"/>
        <v>0</v>
      </c>
    </row>
    <row r="380" spans="1:103">
      <c r="A380" s="982">
        <v>121000000077</v>
      </c>
      <c r="B380" s="1923">
        <f t="shared" si="159"/>
        <v>374</v>
      </c>
      <c r="C380" s="1895" t="s">
        <v>3259</v>
      </c>
      <c r="D380" s="1894" t="s">
        <v>524</v>
      </c>
      <c r="E380" s="1895" t="s">
        <v>2966</v>
      </c>
      <c r="F380" s="1894" t="s">
        <v>259</v>
      </c>
      <c r="G380" s="1924">
        <v>250</v>
      </c>
      <c r="H380" s="1894">
        <v>250</v>
      </c>
      <c r="I380" s="1894">
        <v>168.08</v>
      </c>
      <c r="J380" s="1894">
        <v>250</v>
      </c>
      <c r="K380" s="1894">
        <v>0.82099999999999995</v>
      </c>
      <c r="L380" s="1894">
        <v>0</v>
      </c>
      <c r="M380" s="1894">
        <v>38578</v>
      </c>
      <c r="N380" s="1894">
        <f t="shared" si="137"/>
        <v>72611</v>
      </c>
      <c r="O380" s="1894">
        <f t="shared" si="138"/>
        <v>0</v>
      </c>
      <c r="P380" s="1894">
        <v>250</v>
      </c>
      <c r="Q380" s="1894">
        <v>142.96</v>
      </c>
      <c r="R380" s="1894">
        <v>250</v>
      </c>
      <c r="S380" s="1894">
        <v>0.82199999999999995</v>
      </c>
      <c r="T380" s="1894">
        <v>0</v>
      </c>
      <c r="U380" s="1894">
        <v>20530</v>
      </c>
      <c r="V380" s="1894">
        <f t="shared" si="139"/>
        <v>63817</v>
      </c>
      <c r="W380" s="1894">
        <f t="shared" si="140"/>
        <v>0</v>
      </c>
      <c r="X380" s="1894">
        <v>250</v>
      </c>
      <c r="Y380" s="1894">
        <v>41.44</v>
      </c>
      <c r="Z380" s="1894">
        <v>250</v>
      </c>
      <c r="AA380" s="1894">
        <v>0.83740000000000003</v>
      </c>
      <c r="AB380" s="1894">
        <v>0</v>
      </c>
      <c r="AC380" s="1894">
        <v>3679</v>
      </c>
      <c r="AD380" s="1894">
        <f t="shared" si="141"/>
        <v>17902</v>
      </c>
      <c r="AE380" s="1894">
        <f t="shared" si="142"/>
        <v>0</v>
      </c>
      <c r="AF380" s="1894">
        <v>250</v>
      </c>
      <c r="AG380" s="1894">
        <v>134.47999999999999</v>
      </c>
      <c r="AH380" s="1894">
        <v>250</v>
      </c>
      <c r="AI380" s="1894">
        <v>0.8276</v>
      </c>
      <c r="AJ380" s="1894">
        <v>0</v>
      </c>
      <c r="AK380" s="1894">
        <v>12825</v>
      </c>
      <c r="AL380" s="1894">
        <f t="shared" si="135"/>
        <v>60032</v>
      </c>
      <c r="AM380" s="1894">
        <f t="shared" si="136"/>
        <v>0</v>
      </c>
      <c r="AN380" s="1894">
        <v>250</v>
      </c>
      <c r="AO380" s="1894">
        <v>241.76000000000002</v>
      </c>
      <c r="AP380" s="1894">
        <v>250</v>
      </c>
      <c r="AQ380" s="1894">
        <v>0.79379999999999995</v>
      </c>
      <c r="AR380" s="1894">
        <v>0</v>
      </c>
      <c r="AS380" s="1894">
        <v>42178</v>
      </c>
      <c r="AT380" s="1894">
        <f t="shared" si="143"/>
        <v>107922</v>
      </c>
      <c r="AU380" s="1894">
        <f t="shared" si="144"/>
        <v>0</v>
      </c>
      <c r="AV380" s="1894">
        <v>250</v>
      </c>
      <c r="AW380" s="1894">
        <v>255.52</v>
      </c>
      <c r="AX380" s="1894">
        <v>255.52</v>
      </c>
      <c r="AY380" s="1894">
        <v>0.78749999999999998</v>
      </c>
      <c r="AZ380" s="1894">
        <v>0</v>
      </c>
      <c r="BA380" s="1894">
        <v>41960</v>
      </c>
      <c r="BB380" s="1894">
        <f t="shared" si="145"/>
        <v>110385</v>
      </c>
      <c r="BC380" s="1894">
        <f t="shared" si="146"/>
        <v>0</v>
      </c>
      <c r="BD380" s="1894">
        <v>250</v>
      </c>
      <c r="BE380" s="1894">
        <v>108.64</v>
      </c>
      <c r="BF380" s="1894">
        <v>250</v>
      </c>
      <c r="BG380" s="1894">
        <v>0.78549999999999998</v>
      </c>
      <c r="BH380" s="1894">
        <v>0</v>
      </c>
      <c r="BI380" s="1894">
        <v>24575</v>
      </c>
      <c r="BJ380" s="1894">
        <f t="shared" si="147"/>
        <v>48497</v>
      </c>
      <c r="BK380" s="1894">
        <f t="shared" si="148"/>
        <v>0</v>
      </c>
      <c r="BL380" s="1894">
        <v>250</v>
      </c>
      <c r="BM380" s="1894">
        <v>21.759999999999998</v>
      </c>
      <c r="BN380" s="1894">
        <v>250</v>
      </c>
      <c r="BO380" s="1894">
        <v>0.69899999999999995</v>
      </c>
      <c r="BP380" s="1894">
        <v>0</v>
      </c>
      <c r="BQ380" s="1894">
        <v>3804</v>
      </c>
      <c r="BR380" s="1894">
        <f t="shared" si="149"/>
        <v>9400</v>
      </c>
      <c r="BS380" s="1894">
        <f t="shared" si="150"/>
        <v>0</v>
      </c>
      <c r="BT380" s="1894">
        <v>250</v>
      </c>
      <c r="BU380" s="1894">
        <v>29.28</v>
      </c>
      <c r="BV380" s="1894">
        <v>250</v>
      </c>
      <c r="BW380" s="1894">
        <v>0.72750000000000004</v>
      </c>
      <c r="BX380" s="1894">
        <v>0</v>
      </c>
      <c r="BY380" s="1894">
        <v>5367</v>
      </c>
      <c r="BZ380" s="1894">
        <f t="shared" si="151"/>
        <v>13071</v>
      </c>
      <c r="CA380" s="1894">
        <f t="shared" si="152"/>
        <v>0</v>
      </c>
      <c r="CB380" s="1894">
        <v>250</v>
      </c>
      <c r="CC380" s="1894">
        <v>80.47999999999999</v>
      </c>
      <c r="CD380" s="1894">
        <v>250</v>
      </c>
      <c r="CE380" s="1894">
        <v>0.81120000000000003</v>
      </c>
      <c r="CF380" s="1894">
        <v>0</v>
      </c>
      <c r="CG380" s="1894">
        <v>14199</v>
      </c>
      <c r="CH380" s="1894">
        <f t="shared" si="153"/>
        <v>35926</v>
      </c>
      <c r="CI380" s="1894">
        <f t="shared" si="154"/>
        <v>0</v>
      </c>
      <c r="CJ380" s="1894">
        <v>250</v>
      </c>
      <c r="CK380" s="1894">
        <v>113.19999999999999</v>
      </c>
      <c r="CL380" s="1894">
        <v>250</v>
      </c>
      <c r="CM380" s="1894">
        <v>0.83020000000000005</v>
      </c>
      <c r="CN380" s="1894">
        <v>0</v>
      </c>
      <c r="CO380" s="1894">
        <v>30428</v>
      </c>
      <c r="CP380" s="1894">
        <f t="shared" si="155"/>
        <v>45642</v>
      </c>
      <c r="CQ380" s="1894">
        <f t="shared" si="156"/>
        <v>0</v>
      </c>
      <c r="CR380" s="1924">
        <v>250</v>
      </c>
      <c r="CS380" s="1924">
        <v>158.16</v>
      </c>
      <c r="CT380" s="1924">
        <v>250</v>
      </c>
      <c r="CU380" s="1924">
        <v>0.82220000000000004</v>
      </c>
      <c r="CV380" s="1924">
        <v>0</v>
      </c>
      <c r="CW380" s="1924">
        <v>43975</v>
      </c>
      <c r="CX380" s="1894">
        <f t="shared" si="157"/>
        <v>70603</v>
      </c>
      <c r="CY380" s="1894">
        <f t="shared" si="158"/>
        <v>0</v>
      </c>
    </row>
    <row r="381" spans="1:103">
      <c r="A381" s="982">
        <v>122000000020</v>
      </c>
      <c r="B381" s="1923">
        <f t="shared" si="159"/>
        <v>375</v>
      </c>
      <c r="C381" s="1895" t="s">
        <v>3260</v>
      </c>
      <c r="D381" s="1894" t="s">
        <v>524</v>
      </c>
      <c r="E381" s="1895" t="s">
        <v>636</v>
      </c>
      <c r="F381" s="1894" t="s">
        <v>259</v>
      </c>
      <c r="G381" s="1924">
        <v>250</v>
      </c>
      <c r="H381" s="1894">
        <v>250</v>
      </c>
      <c r="I381" s="1894">
        <v>164</v>
      </c>
      <c r="J381" s="1894">
        <v>200</v>
      </c>
      <c r="K381" s="1894">
        <v>0.97819999999999996</v>
      </c>
      <c r="L381" s="1894">
        <v>60.41</v>
      </c>
      <c r="M381" s="1894">
        <v>78470</v>
      </c>
      <c r="N381" s="1894">
        <f t="shared" si="137"/>
        <v>70848</v>
      </c>
      <c r="O381" s="1894">
        <f t="shared" si="138"/>
        <v>7622</v>
      </c>
      <c r="P381" s="1894">
        <v>250</v>
      </c>
      <c r="Q381" s="1894">
        <v>158.80000000000001</v>
      </c>
      <c r="R381" s="1894">
        <v>200</v>
      </c>
      <c r="S381" s="1894">
        <v>0.97899999999999998</v>
      </c>
      <c r="T381" s="1894">
        <v>61.95</v>
      </c>
      <c r="U381" s="1894">
        <v>77910</v>
      </c>
      <c r="V381" s="1894">
        <f t="shared" si="139"/>
        <v>70888</v>
      </c>
      <c r="W381" s="1894">
        <f t="shared" si="140"/>
        <v>7022</v>
      </c>
      <c r="X381" s="1894">
        <v>250</v>
      </c>
      <c r="Y381" s="1894">
        <v>182.07999999999998</v>
      </c>
      <c r="Z381" s="1894">
        <v>200</v>
      </c>
      <c r="AA381" s="1894">
        <v>0.97330000000000005</v>
      </c>
      <c r="AB381" s="1894">
        <v>58.25</v>
      </c>
      <c r="AC381" s="1894">
        <v>71268</v>
      </c>
      <c r="AD381" s="1894">
        <f t="shared" si="141"/>
        <v>78659</v>
      </c>
      <c r="AE381" s="1894">
        <f t="shared" si="142"/>
        <v>0</v>
      </c>
      <c r="AF381" s="1894">
        <v>250</v>
      </c>
      <c r="AG381" s="1894">
        <v>167.2</v>
      </c>
      <c r="AH381" s="1894">
        <v>200</v>
      </c>
      <c r="AI381" s="1894">
        <v>0.96970000000000001</v>
      </c>
      <c r="AJ381" s="1894">
        <v>59.19</v>
      </c>
      <c r="AK381" s="1894">
        <v>80752</v>
      </c>
      <c r="AL381" s="1894">
        <f t="shared" ref="AL381:AL444" si="160">+ROUND((24*31*0.6*AG381),0)</f>
        <v>74638</v>
      </c>
      <c r="AM381" s="1894">
        <f t="shared" ref="AM381:AM444" si="161">+MAX((AK381-AL381),0)</f>
        <v>6114</v>
      </c>
      <c r="AN381" s="1894">
        <v>250</v>
      </c>
      <c r="AO381" s="1894">
        <v>145.92000000000002</v>
      </c>
      <c r="AP381" s="1894">
        <v>200</v>
      </c>
      <c r="AQ381" s="1894">
        <v>0.96140000000000003</v>
      </c>
      <c r="AR381" s="1894">
        <v>70</v>
      </c>
      <c r="AS381" s="1894">
        <v>75998</v>
      </c>
      <c r="AT381" s="1894">
        <f t="shared" si="143"/>
        <v>65139</v>
      </c>
      <c r="AU381" s="1894">
        <f t="shared" si="144"/>
        <v>10859</v>
      </c>
      <c r="AV381" s="1894">
        <v>250</v>
      </c>
      <c r="AW381" s="1894">
        <v>158.88</v>
      </c>
      <c r="AX381" s="1894">
        <v>200</v>
      </c>
      <c r="AY381" s="1894">
        <v>0.96609999999999996</v>
      </c>
      <c r="AZ381" s="1894">
        <v>64.23</v>
      </c>
      <c r="BA381" s="1894">
        <v>73476</v>
      </c>
      <c r="BB381" s="1894">
        <f t="shared" si="145"/>
        <v>68636</v>
      </c>
      <c r="BC381" s="1894">
        <f t="shared" si="146"/>
        <v>4840</v>
      </c>
      <c r="BD381" s="1894">
        <v>250</v>
      </c>
      <c r="BE381" s="1894">
        <v>169.28</v>
      </c>
      <c r="BF381" s="1894">
        <v>200</v>
      </c>
      <c r="BG381" s="1894">
        <v>0.94879999999999998</v>
      </c>
      <c r="BH381" s="1894">
        <v>56.18</v>
      </c>
      <c r="BI381" s="1894">
        <v>70756</v>
      </c>
      <c r="BJ381" s="1894">
        <f t="shared" si="147"/>
        <v>75567</v>
      </c>
      <c r="BK381" s="1894">
        <f t="shared" si="148"/>
        <v>0</v>
      </c>
      <c r="BL381" s="1894">
        <v>250</v>
      </c>
      <c r="BM381" s="1894">
        <v>128.96</v>
      </c>
      <c r="BN381" s="1894">
        <v>200</v>
      </c>
      <c r="BO381" s="1894">
        <v>0.95609999999999995</v>
      </c>
      <c r="BP381" s="1894">
        <v>54.33</v>
      </c>
      <c r="BQ381" s="1894">
        <v>48762</v>
      </c>
      <c r="BR381" s="1894">
        <f t="shared" si="149"/>
        <v>55711</v>
      </c>
      <c r="BS381" s="1894">
        <f t="shared" si="150"/>
        <v>0</v>
      </c>
      <c r="BT381" s="1894">
        <v>250</v>
      </c>
      <c r="BU381" s="1894">
        <v>123.67999999999999</v>
      </c>
      <c r="BV381" s="1894">
        <v>200</v>
      </c>
      <c r="BW381" s="1894">
        <v>0.96009999999999995</v>
      </c>
      <c r="BX381" s="1894">
        <v>54.46</v>
      </c>
      <c r="BY381" s="1894">
        <v>51734</v>
      </c>
      <c r="BZ381" s="1894">
        <f t="shared" si="151"/>
        <v>55211</v>
      </c>
      <c r="CA381" s="1894">
        <f t="shared" si="152"/>
        <v>0</v>
      </c>
      <c r="CB381" s="1894">
        <v>250</v>
      </c>
      <c r="CC381" s="1894">
        <v>112.00000000000001</v>
      </c>
      <c r="CD381" s="1894">
        <v>200</v>
      </c>
      <c r="CE381" s="1894">
        <v>0.96579999999999999</v>
      </c>
      <c r="CF381" s="1894">
        <v>60.09</v>
      </c>
      <c r="CG381" s="1894">
        <v>50074</v>
      </c>
      <c r="CH381" s="1894">
        <f t="shared" si="153"/>
        <v>49997</v>
      </c>
      <c r="CI381" s="1894">
        <f t="shared" si="154"/>
        <v>77</v>
      </c>
      <c r="CJ381" s="1894">
        <v>250</v>
      </c>
      <c r="CK381" s="1894">
        <v>151.36000000000001</v>
      </c>
      <c r="CL381" s="1894">
        <v>200</v>
      </c>
      <c r="CM381" s="1894">
        <v>0.96899999999999997</v>
      </c>
      <c r="CN381" s="1894">
        <v>49.05</v>
      </c>
      <c r="CO381" s="1894">
        <v>49890</v>
      </c>
      <c r="CP381" s="1894">
        <f t="shared" si="155"/>
        <v>61028</v>
      </c>
      <c r="CQ381" s="1894">
        <f t="shared" si="156"/>
        <v>0</v>
      </c>
      <c r="CR381" s="1924">
        <v>250</v>
      </c>
      <c r="CS381" s="1924">
        <v>152.80000000000001</v>
      </c>
      <c r="CT381" s="1924">
        <v>200</v>
      </c>
      <c r="CU381" s="1924">
        <v>0.97260000000000002</v>
      </c>
      <c r="CV381" s="1924">
        <v>53.63</v>
      </c>
      <c r="CW381" s="1924">
        <v>60968</v>
      </c>
      <c r="CX381" s="1894">
        <f t="shared" si="157"/>
        <v>68210</v>
      </c>
      <c r="CY381" s="1894">
        <f t="shared" si="158"/>
        <v>0</v>
      </c>
    </row>
    <row r="382" spans="1:103">
      <c r="A382" s="982">
        <v>124000000011</v>
      </c>
      <c r="B382" s="1923">
        <f t="shared" si="159"/>
        <v>376</v>
      </c>
      <c r="C382" s="1895" t="s">
        <v>3261</v>
      </c>
      <c r="D382" s="1894" t="s">
        <v>524</v>
      </c>
      <c r="E382" s="1895" t="s">
        <v>636</v>
      </c>
      <c r="F382" s="1894" t="s">
        <v>259</v>
      </c>
      <c r="G382" s="1924">
        <v>250</v>
      </c>
      <c r="H382" s="1894">
        <v>250</v>
      </c>
      <c r="I382" s="1894">
        <v>34.800000000000004</v>
      </c>
      <c r="J382" s="1894">
        <v>200</v>
      </c>
      <c r="K382" s="1894">
        <v>1</v>
      </c>
      <c r="L382" s="1894">
        <v>27.83</v>
      </c>
      <c r="M382" s="1894">
        <v>6972</v>
      </c>
      <c r="N382" s="1894">
        <f t="shared" si="137"/>
        <v>15034</v>
      </c>
      <c r="O382" s="1894">
        <f t="shared" si="138"/>
        <v>0</v>
      </c>
      <c r="P382" s="1894">
        <v>250</v>
      </c>
      <c r="Q382" s="1894">
        <v>39</v>
      </c>
      <c r="R382" s="1894">
        <v>200</v>
      </c>
      <c r="S382" s="1894">
        <v>1</v>
      </c>
      <c r="T382" s="1894">
        <v>31.08</v>
      </c>
      <c r="U382" s="1894">
        <v>9018</v>
      </c>
      <c r="V382" s="1894">
        <f t="shared" si="139"/>
        <v>17410</v>
      </c>
      <c r="W382" s="1894">
        <f t="shared" si="140"/>
        <v>0</v>
      </c>
      <c r="X382" s="1894">
        <v>250</v>
      </c>
      <c r="Y382" s="1894">
        <v>102.00000000000001</v>
      </c>
      <c r="Z382" s="1894">
        <v>200</v>
      </c>
      <c r="AA382" s="1894">
        <v>0.99750000000000005</v>
      </c>
      <c r="AB382" s="1894">
        <v>3.39</v>
      </c>
      <c r="AC382" s="1894">
        <v>2493</v>
      </c>
      <c r="AD382" s="1894">
        <f t="shared" si="141"/>
        <v>44064</v>
      </c>
      <c r="AE382" s="1894">
        <f t="shared" si="142"/>
        <v>0</v>
      </c>
      <c r="AF382" s="1894">
        <v>250</v>
      </c>
      <c r="AG382" s="1894">
        <v>112.2</v>
      </c>
      <c r="AH382" s="1894">
        <v>200</v>
      </c>
      <c r="AI382" s="1894">
        <v>0.99270000000000003</v>
      </c>
      <c r="AJ382" s="1894">
        <v>0.5</v>
      </c>
      <c r="AK382" s="1894">
        <v>414</v>
      </c>
      <c r="AL382" s="1894">
        <f t="shared" si="160"/>
        <v>50086</v>
      </c>
      <c r="AM382" s="1894">
        <f t="shared" si="161"/>
        <v>0</v>
      </c>
      <c r="AN382" s="1894">
        <v>250</v>
      </c>
      <c r="AO382" s="1894">
        <v>28.8</v>
      </c>
      <c r="AP382" s="1894">
        <v>200</v>
      </c>
      <c r="AQ382" s="1894">
        <v>1</v>
      </c>
      <c r="AR382" s="1894">
        <v>35.67</v>
      </c>
      <c r="AS382" s="1894">
        <v>7644</v>
      </c>
      <c r="AT382" s="1894">
        <f t="shared" si="143"/>
        <v>12856</v>
      </c>
      <c r="AU382" s="1894">
        <f t="shared" si="144"/>
        <v>0</v>
      </c>
      <c r="AV382" s="1894">
        <v>250</v>
      </c>
      <c r="AW382" s="1894">
        <v>32.160000000000004</v>
      </c>
      <c r="AX382" s="1894">
        <v>200</v>
      </c>
      <c r="AY382" s="1894">
        <v>0.99539999999999995</v>
      </c>
      <c r="AZ382" s="1894">
        <v>3.3</v>
      </c>
      <c r="BA382" s="1894">
        <v>663</v>
      </c>
      <c r="BB382" s="1894">
        <f t="shared" si="145"/>
        <v>13893</v>
      </c>
      <c r="BC382" s="1894">
        <f t="shared" si="146"/>
        <v>0</v>
      </c>
      <c r="BD382" s="1894">
        <v>250</v>
      </c>
      <c r="BE382" s="1894">
        <v>124.19999999999999</v>
      </c>
      <c r="BF382" s="1894">
        <v>200</v>
      </c>
      <c r="BG382" s="1894">
        <v>0.95760000000000001</v>
      </c>
      <c r="BH382" s="1894">
        <v>2.8</v>
      </c>
      <c r="BI382" s="1894">
        <v>2835</v>
      </c>
      <c r="BJ382" s="1894">
        <f t="shared" si="147"/>
        <v>55443</v>
      </c>
      <c r="BK382" s="1894">
        <f t="shared" si="148"/>
        <v>0</v>
      </c>
      <c r="BL382" s="1894">
        <v>250</v>
      </c>
      <c r="BM382" s="1894">
        <v>105.6</v>
      </c>
      <c r="BN382" s="1894">
        <v>200</v>
      </c>
      <c r="BO382" s="1894">
        <v>0.9859</v>
      </c>
      <c r="BP382" s="1894">
        <v>8.4499999999999993</v>
      </c>
      <c r="BQ382" s="1894">
        <v>6642</v>
      </c>
      <c r="BR382" s="1894">
        <f t="shared" si="149"/>
        <v>45619</v>
      </c>
      <c r="BS382" s="1894">
        <f t="shared" si="150"/>
        <v>0</v>
      </c>
      <c r="BT382" s="1894">
        <v>250</v>
      </c>
      <c r="BU382" s="1894">
        <v>30.240000000000002</v>
      </c>
      <c r="BV382" s="1894">
        <v>200</v>
      </c>
      <c r="BW382" s="1894">
        <v>1</v>
      </c>
      <c r="BX382" s="1894">
        <v>22.8</v>
      </c>
      <c r="BY382" s="1894">
        <v>5130</v>
      </c>
      <c r="BZ382" s="1894">
        <f t="shared" si="151"/>
        <v>13499</v>
      </c>
      <c r="CA382" s="1894">
        <f t="shared" si="152"/>
        <v>0</v>
      </c>
      <c r="CB382" s="1894">
        <v>250</v>
      </c>
      <c r="CC382" s="1894">
        <v>32.64</v>
      </c>
      <c r="CD382" s="1894">
        <v>200</v>
      </c>
      <c r="CE382" s="1894">
        <v>1</v>
      </c>
      <c r="CF382" s="1894">
        <v>19.260000000000002</v>
      </c>
      <c r="CG382" s="1894">
        <v>4677</v>
      </c>
      <c r="CH382" s="1894">
        <f t="shared" si="153"/>
        <v>14570</v>
      </c>
      <c r="CI382" s="1894">
        <f t="shared" si="154"/>
        <v>0</v>
      </c>
      <c r="CJ382" s="1894">
        <v>250</v>
      </c>
      <c r="CK382" s="1894">
        <v>31.919999999999998</v>
      </c>
      <c r="CL382" s="1894">
        <v>200</v>
      </c>
      <c r="CM382" s="1894">
        <v>1</v>
      </c>
      <c r="CN382" s="1894">
        <v>27.3</v>
      </c>
      <c r="CO382" s="1894">
        <v>5856</v>
      </c>
      <c r="CP382" s="1894">
        <f t="shared" si="155"/>
        <v>12870</v>
      </c>
      <c r="CQ382" s="1894">
        <f t="shared" si="156"/>
        <v>0</v>
      </c>
      <c r="CR382" s="1924">
        <v>250</v>
      </c>
      <c r="CS382" s="1924">
        <v>23.04</v>
      </c>
      <c r="CT382" s="1924">
        <v>200</v>
      </c>
      <c r="CU382" s="1924">
        <v>0.99419999999999997</v>
      </c>
      <c r="CV382" s="1924">
        <v>6.11</v>
      </c>
      <c r="CW382" s="1924">
        <v>1047</v>
      </c>
      <c r="CX382" s="1894">
        <f t="shared" si="157"/>
        <v>10285</v>
      </c>
      <c r="CY382" s="1894">
        <f t="shared" si="158"/>
        <v>0</v>
      </c>
    </row>
    <row r="383" spans="1:103">
      <c r="A383" s="982">
        <v>124000000018</v>
      </c>
      <c r="B383" s="1923">
        <f t="shared" si="159"/>
        <v>377</v>
      </c>
      <c r="C383" s="1895" t="s">
        <v>3262</v>
      </c>
      <c r="D383" s="1894" t="s">
        <v>524</v>
      </c>
      <c r="E383" s="1895" t="s">
        <v>541</v>
      </c>
      <c r="F383" s="1894" t="s">
        <v>259</v>
      </c>
      <c r="G383" s="1924">
        <v>250</v>
      </c>
      <c r="H383" s="1894">
        <v>250</v>
      </c>
      <c r="I383" s="1894">
        <v>214.2</v>
      </c>
      <c r="J383" s="1894">
        <v>214.2</v>
      </c>
      <c r="K383" s="1894">
        <v>0.90039999999999998</v>
      </c>
      <c r="L383" s="1894">
        <v>40.26</v>
      </c>
      <c r="M383" s="1894">
        <v>68300</v>
      </c>
      <c r="N383" s="1894">
        <f t="shared" si="137"/>
        <v>92534</v>
      </c>
      <c r="O383" s="1894">
        <f t="shared" si="138"/>
        <v>0</v>
      </c>
      <c r="P383" s="1894">
        <v>250</v>
      </c>
      <c r="Q383" s="1894">
        <v>218.20000000000002</v>
      </c>
      <c r="R383" s="1894">
        <v>218.2</v>
      </c>
      <c r="S383" s="1894">
        <v>0.89319999999999999</v>
      </c>
      <c r="T383" s="1894">
        <v>35.229999999999997</v>
      </c>
      <c r="U383" s="1894">
        <v>57200</v>
      </c>
      <c r="V383" s="1894">
        <f t="shared" si="139"/>
        <v>97404</v>
      </c>
      <c r="W383" s="1894">
        <f t="shared" si="140"/>
        <v>0</v>
      </c>
      <c r="X383" s="1894">
        <v>250</v>
      </c>
      <c r="Y383" s="1894">
        <v>221.8</v>
      </c>
      <c r="Z383" s="1894">
        <v>221.8</v>
      </c>
      <c r="AA383" s="1894">
        <v>0.88449999999999995</v>
      </c>
      <c r="AB383" s="1894">
        <v>31.83</v>
      </c>
      <c r="AC383" s="1894">
        <v>50830</v>
      </c>
      <c r="AD383" s="1894">
        <f t="shared" si="141"/>
        <v>95818</v>
      </c>
      <c r="AE383" s="1894">
        <f t="shared" si="142"/>
        <v>0</v>
      </c>
      <c r="AF383" s="1894">
        <v>250</v>
      </c>
      <c r="AG383" s="1894">
        <v>224.39999999999998</v>
      </c>
      <c r="AH383" s="1894">
        <v>224.4</v>
      </c>
      <c r="AI383" s="1894">
        <v>0.87580000000000002</v>
      </c>
      <c r="AJ383" s="1894">
        <v>35.14</v>
      </c>
      <c r="AK383" s="1894">
        <v>58670</v>
      </c>
      <c r="AL383" s="1894">
        <f t="shared" si="160"/>
        <v>100172</v>
      </c>
      <c r="AM383" s="1894">
        <f t="shared" si="161"/>
        <v>0</v>
      </c>
      <c r="AN383" s="1894">
        <v>250</v>
      </c>
      <c r="AO383" s="1894">
        <v>212.60000000000002</v>
      </c>
      <c r="AP383" s="1894">
        <v>212.6</v>
      </c>
      <c r="AQ383" s="1894">
        <v>0.86519999999999997</v>
      </c>
      <c r="AR383" s="1894">
        <v>32.22</v>
      </c>
      <c r="AS383" s="1894">
        <v>50960</v>
      </c>
      <c r="AT383" s="1894">
        <f t="shared" si="143"/>
        <v>94905</v>
      </c>
      <c r="AU383" s="1894">
        <f t="shared" si="144"/>
        <v>0</v>
      </c>
      <c r="AV383" s="1894">
        <v>250</v>
      </c>
      <c r="AW383" s="1894">
        <v>217.79999999999998</v>
      </c>
      <c r="AX383" s="1894">
        <v>217.8</v>
      </c>
      <c r="AY383" s="1894">
        <v>0.86670000000000003</v>
      </c>
      <c r="AZ383" s="1894">
        <v>34.96</v>
      </c>
      <c r="BA383" s="1894">
        <v>54823</v>
      </c>
      <c r="BB383" s="1894">
        <f t="shared" si="145"/>
        <v>94090</v>
      </c>
      <c r="BC383" s="1894">
        <f t="shared" si="146"/>
        <v>0</v>
      </c>
      <c r="BD383" s="1894">
        <v>250</v>
      </c>
      <c r="BE383" s="1894">
        <v>224.39999999999998</v>
      </c>
      <c r="BF383" s="1894">
        <v>224.4</v>
      </c>
      <c r="BG383" s="1894">
        <v>0.86350000000000005</v>
      </c>
      <c r="BH383" s="1894">
        <v>35.840000000000003</v>
      </c>
      <c r="BI383" s="1894">
        <v>59832</v>
      </c>
      <c r="BJ383" s="1894">
        <f t="shared" si="147"/>
        <v>100172</v>
      </c>
      <c r="BK383" s="1894">
        <f t="shared" si="148"/>
        <v>0</v>
      </c>
      <c r="BL383" s="1894">
        <v>250</v>
      </c>
      <c r="BM383" s="1894">
        <v>219.6</v>
      </c>
      <c r="BN383" s="1894">
        <v>219.6</v>
      </c>
      <c r="BO383" s="1894">
        <v>0.8649</v>
      </c>
      <c r="BP383" s="1894">
        <v>41.27</v>
      </c>
      <c r="BQ383" s="1894">
        <v>65253</v>
      </c>
      <c r="BR383" s="1894">
        <f t="shared" si="149"/>
        <v>94867</v>
      </c>
      <c r="BS383" s="1894">
        <f t="shared" si="150"/>
        <v>0</v>
      </c>
      <c r="BT383" s="1894">
        <v>250</v>
      </c>
      <c r="BU383" s="1894">
        <v>235</v>
      </c>
      <c r="BV383" s="1894">
        <v>235</v>
      </c>
      <c r="BW383" s="1894">
        <v>0.86909999999999998</v>
      </c>
      <c r="BX383" s="1894">
        <v>38.409999999999997</v>
      </c>
      <c r="BY383" s="1894">
        <v>54155</v>
      </c>
      <c r="BZ383" s="1894">
        <f t="shared" si="151"/>
        <v>104904</v>
      </c>
      <c r="CA383" s="1894">
        <f t="shared" si="152"/>
        <v>0</v>
      </c>
      <c r="CB383" s="1894">
        <v>250</v>
      </c>
      <c r="CC383" s="1894">
        <v>224.8</v>
      </c>
      <c r="CD383" s="1894">
        <v>224.8</v>
      </c>
      <c r="CE383" s="1894">
        <v>0.86939999999999995</v>
      </c>
      <c r="CF383" s="1894">
        <v>34.58</v>
      </c>
      <c r="CG383" s="1894">
        <v>57830</v>
      </c>
      <c r="CH383" s="1894">
        <f t="shared" si="153"/>
        <v>100351</v>
      </c>
      <c r="CI383" s="1894">
        <f t="shared" si="154"/>
        <v>0</v>
      </c>
      <c r="CJ383" s="1894">
        <v>250</v>
      </c>
      <c r="CK383" s="1894">
        <v>215.4</v>
      </c>
      <c r="CL383" s="1894">
        <v>215.4</v>
      </c>
      <c r="CM383" s="1894">
        <v>0.88170000000000004</v>
      </c>
      <c r="CN383" s="1894">
        <v>35.590000000000003</v>
      </c>
      <c r="CO383" s="1894">
        <v>62560</v>
      </c>
      <c r="CP383" s="1894">
        <f t="shared" si="155"/>
        <v>86849</v>
      </c>
      <c r="CQ383" s="1894">
        <f t="shared" si="156"/>
        <v>0</v>
      </c>
      <c r="CR383" s="1924">
        <v>250</v>
      </c>
      <c r="CS383" s="1924">
        <v>204</v>
      </c>
      <c r="CT383" s="1924">
        <v>204</v>
      </c>
      <c r="CU383" s="1924">
        <v>0.90859999999999996</v>
      </c>
      <c r="CV383" s="1924">
        <v>34.090000000000003</v>
      </c>
      <c r="CW383" s="1924">
        <v>51745</v>
      </c>
      <c r="CX383" s="1894">
        <f t="shared" si="157"/>
        <v>91066</v>
      </c>
      <c r="CY383" s="1894">
        <f t="shared" si="158"/>
        <v>0</v>
      </c>
    </row>
    <row r="384" spans="1:103">
      <c r="A384" s="982">
        <v>124000000048</v>
      </c>
      <c r="B384" s="1923">
        <f t="shared" si="159"/>
        <v>378</v>
      </c>
      <c r="C384" s="1895" t="s">
        <v>3263</v>
      </c>
      <c r="D384" s="1894" t="s">
        <v>524</v>
      </c>
      <c r="E384" s="1895" t="s">
        <v>541</v>
      </c>
      <c r="F384" s="1894" t="s">
        <v>259</v>
      </c>
      <c r="G384" s="1924">
        <v>250</v>
      </c>
      <c r="H384" s="1894">
        <v>250</v>
      </c>
      <c r="I384" s="1894">
        <v>181.44</v>
      </c>
      <c r="J384" s="1894">
        <v>200</v>
      </c>
      <c r="K384" s="1894">
        <v>0.98829999999999996</v>
      </c>
      <c r="L384" s="1894">
        <v>53.08</v>
      </c>
      <c r="M384" s="1894">
        <v>80905</v>
      </c>
      <c r="N384" s="1894">
        <f t="shared" si="137"/>
        <v>78382</v>
      </c>
      <c r="O384" s="1894">
        <f t="shared" si="138"/>
        <v>2523</v>
      </c>
      <c r="P384" s="1894">
        <v>250</v>
      </c>
      <c r="Q384" s="1894">
        <v>187.44</v>
      </c>
      <c r="R384" s="1894">
        <v>200</v>
      </c>
      <c r="S384" s="1894">
        <v>0.98929999999999996</v>
      </c>
      <c r="T384" s="1894">
        <v>40.369999999999997</v>
      </c>
      <c r="U384" s="1894">
        <v>56301</v>
      </c>
      <c r="V384" s="1894">
        <f t="shared" si="139"/>
        <v>83673</v>
      </c>
      <c r="W384" s="1894">
        <f t="shared" si="140"/>
        <v>0</v>
      </c>
      <c r="X384" s="1894">
        <v>250</v>
      </c>
      <c r="Y384" s="1894">
        <v>194.04000000000002</v>
      </c>
      <c r="Z384" s="1894">
        <v>200</v>
      </c>
      <c r="AA384" s="1894">
        <v>0.98880000000000001</v>
      </c>
      <c r="AB384" s="1894">
        <v>41.73</v>
      </c>
      <c r="AC384" s="1894">
        <v>58301</v>
      </c>
      <c r="AD384" s="1894">
        <f t="shared" si="141"/>
        <v>83825</v>
      </c>
      <c r="AE384" s="1894">
        <f t="shared" si="142"/>
        <v>0</v>
      </c>
      <c r="AF384" s="1894">
        <v>250</v>
      </c>
      <c r="AG384" s="1894">
        <v>195.84</v>
      </c>
      <c r="AH384" s="1894">
        <v>200</v>
      </c>
      <c r="AI384" s="1894">
        <v>0.98870000000000002</v>
      </c>
      <c r="AJ384" s="1894">
        <v>26.96</v>
      </c>
      <c r="AK384" s="1894">
        <v>39277</v>
      </c>
      <c r="AL384" s="1894">
        <f t="shared" si="160"/>
        <v>87423</v>
      </c>
      <c r="AM384" s="1894">
        <f t="shared" si="161"/>
        <v>0</v>
      </c>
      <c r="AN384" s="1894">
        <v>250</v>
      </c>
      <c r="AO384" s="1894">
        <v>205.32</v>
      </c>
      <c r="AP384" s="1894">
        <v>205.32</v>
      </c>
      <c r="AQ384" s="1894">
        <v>0.99329999999999996</v>
      </c>
      <c r="AR384" s="1894">
        <v>42.94</v>
      </c>
      <c r="AS384" s="1894">
        <v>63478</v>
      </c>
      <c r="AT384" s="1894">
        <f t="shared" si="143"/>
        <v>91655</v>
      </c>
      <c r="AU384" s="1894">
        <f t="shared" si="144"/>
        <v>0</v>
      </c>
      <c r="AV384" s="1894">
        <v>250</v>
      </c>
      <c r="AW384" s="1894">
        <v>212.04</v>
      </c>
      <c r="AX384" s="1894">
        <v>212.04</v>
      </c>
      <c r="AY384" s="1894">
        <v>0.99129999999999996</v>
      </c>
      <c r="AZ384" s="1894">
        <v>41.35</v>
      </c>
      <c r="BA384" s="1894">
        <v>56813</v>
      </c>
      <c r="BB384" s="1894">
        <f t="shared" si="145"/>
        <v>91601</v>
      </c>
      <c r="BC384" s="1894">
        <f t="shared" si="146"/>
        <v>0</v>
      </c>
      <c r="BD384" s="1894">
        <v>250</v>
      </c>
      <c r="BE384" s="1894">
        <v>200.28</v>
      </c>
      <c r="BF384" s="1894">
        <v>200.28</v>
      </c>
      <c r="BG384" s="1894">
        <v>0.95209999999999995</v>
      </c>
      <c r="BH384" s="1894">
        <v>15.6</v>
      </c>
      <c r="BI384" s="1894">
        <v>26244</v>
      </c>
      <c r="BJ384" s="1894">
        <f t="shared" si="147"/>
        <v>89405</v>
      </c>
      <c r="BK384" s="1894">
        <f t="shared" si="148"/>
        <v>0</v>
      </c>
      <c r="BL384" s="1894">
        <v>250</v>
      </c>
      <c r="BM384" s="1894">
        <v>17.64</v>
      </c>
      <c r="BN384" s="1894">
        <v>200</v>
      </c>
      <c r="BO384" s="1894">
        <v>0.64580000000000004</v>
      </c>
      <c r="BP384" s="1894">
        <v>20.03</v>
      </c>
      <c r="BQ384" s="1894">
        <v>2544</v>
      </c>
      <c r="BR384" s="1894">
        <f t="shared" si="149"/>
        <v>7620</v>
      </c>
      <c r="BS384" s="1894">
        <f t="shared" si="150"/>
        <v>0</v>
      </c>
      <c r="BT384" s="1894">
        <v>250</v>
      </c>
      <c r="BU384" s="1894">
        <v>115.56</v>
      </c>
      <c r="BV384" s="1894">
        <v>200</v>
      </c>
      <c r="BW384" s="1894">
        <v>0.99639999999999995</v>
      </c>
      <c r="BX384" s="1894">
        <v>3.28</v>
      </c>
      <c r="BY384" s="1894">
        <v>2823</v>
      </c>
      <c r="BZ384" s="1894">
        <f t="shared" si="151"/>
        <v>51586</v>
      </c>
      <c r="CA384" s="1894">
        <f t="shared" si="152"/>
        <v>0</v>
      </c>
      <c r="CB384" s="1894">
        <v>250</v>
      </c>
      <c r="CC384" s="1894">
        <v>176.04</v>
      </c>
      <c r="CD384" s="1894">
        <v>200</v>
      </c>
      <c r="CE384" s="1894">
        <v>0.99490000000000001</v>
      </c>
      <c r="CF384" s="1894">
        <v>42.86</v>
      </c>
      <c r="CG384" s="1894">
        <v>56136</v>
      </c>
      <c r="CH384" s="1894">
        <f t="shared" si="153"/>
        <v>78584</v>
      </c>
      <c r="CI384" s="1894">
        <f t="shared" si="154"/>
        <v>0</v>
      </c>
      <c r="CJ384" s="1894">
        <v>250</v>
      </c>
      <c r="CK384" s="1894">
        <v>201.48</v>
      </c>
      <c r="CL384" s="1894">
        <v>201.48</v>
      </c>
      <c r="CM384" s="1894">
        <v>0.99009999999999998</v>
      </c>
      <c r="CN384" s="1894">
        <v>45.07</v>
      </c>
      <c r="CO384" s="1894">
        <v>61018</v>
      </c>
      <c r="CP384" s="1894">
        <f t="shared" si="155"/>
        <v>81237</v>
      </c>
      <c r="CQ384" s="1894">
        <f t="shared" si="156"/>
        <v>0</v>
      </c>
      <c r="CR384" s="1924">
        <v>250</v>
      </c>
      <c r="CS384" s="1924">
        <v>223.44</v>
      </c>
      <c r="CT384" s="1924">
        <v>223.44</v>
      </c>
      <c r="CU384" s="1924">
        <v>0.97529999999999994</v>
      </c>
      <c r="CV384" s="1924">
        <v>39.880000000000003</v>
      </c>
      <c r="CW384" s="1924">
        <v>66293</v>
      </c>
      <c r="CX384" s="1894">
        <f t="shared" si="157"/>
        <v>99744</v>
      </c>
      <c r="CY384" s="1894">
        <f t="shared" si="158"/>
        <v>0</v>
      </c>
    </row>
    <row r="385" spans="1:103">
      <c r="A385" s="982">
        <v>611000000097</v>
      </c>
      <c r="B385" s="1923">
        <f t="shared" si="159"/>
        <v>379</v>
      </c>
      <c r="C385" s="1895" t="s">
        <v>3264</v>
      </c>
      <c r="D385" s="1894" t="s">
        <v>524</v>
      </c>
      <c r="E385" s="1895" t="s">
        <v>636</v>
      </c>
      <c r="F385" s="1894" t="s">
        <v>259</v>
      </c>
      <c r="G385" s="1924">
        <v>250</v>
      </c>
      <c r="H385" s="1894">
        <v>250</v>
      </c>
      <c r="I385" s="1894">
        <v>216</v>
      </c>
      <c r="J385" s="1894">
        <v>216</v>
      </c>
      <c r="K385" s="1894">
        <v>0.98740000000000006</v>
      </c>
      <c r="L385" s="1894">
        <v>29.74</v>
      </c>
      <c r="M385" s="1894">
        <v>46245</v>
      </c>
      <c r="N385" s="1894">
        <f t="shared" si="137"/>
        <v>93312</v>
      </c>
      <c r="O385" s="1894">
        <f t="shared" si="138"/>
        <v>0</v>
      </c>
      <c r="P385" s="1894">
        <v>250</v>
      </c>
      <c r="Q385" s="1894">
        <v>247.92000000000002</v>
      </c>
      <c r="R385" s="1894">
        <v>247.92</v>
      </c>
      <c r="S385" s="1894">
        <v>0.98850000000000005</v>
      </c>
      <c r="T385" s="1894">
        <v>26.54</v>
      </c>
      <c r="U385" s="1894">
        <v>48957</v>
      </c>
      <c r="V385" s="1894">
        <f t="shared" si="139"/>
        <v>110671</v>
      </c>
      <c r="W385" s="1894">
        <f t="shared" si="140"/>
        <v>0</v>
      </c>
      <c r="X385" s="1894">
        <v>250</v>
      </c>
      <c r="Y385" s="1894">
        <v>247.92000000000002</v>
      </c>
      <c r="Z385" s="1894">
        <v>247.92</v>
      </c>
      <c r="AA385" s="1894">
        <v>0.98870000000000002</v>
      </c>
      <c r="AB385" s="1894">
        <v>28.45</v>
      </c>
      <c r="AC385" s="1894">
        <v>50787</v>
      </c>
      <c r="AD385" s="1894">
        <f t="shared" si="141"/>
        <v>107101</v>
      </c>
      <c r="AE385" s="1894">
        <f t="shared" si="142"/>
        <v>0</v>
      </c>
      <c r="AF385" s="1894">
        <v>250</v>
      </c>
      <c r="AG385" s="1894">
        <v>199.20000000000002</v>
      </c>
      <c r="AH385" s="1894">
        <v>200</v>
      </c>
      <c r="AI385" s="1894">
        <v>0.98119999999999996</v>
      </c>
      <c r="AJ385" s="1894">
        <v>28.13</v>
      </c>
      <c r="AK385" s="1894">
        <v>41685</v>
      </c>
      <c r="AL385" s="1894">
        <f t="shared" si="160"/>
        <v>88923</v>
      </c>
      <c r="AM385" s="1894">
        <f t="shared" si="161"/>
        <v>0</v>
      </c>
      <c r="AN385" s="1894">
        <v>250</v>
      </c>
      <c r="AO385" s="1894">
        <v>198</v>
      </c>
      <c r="AP385" s="1894">
        <v>200</v>
      </c>
      <c r="AQ385" s="1894">
        <v>0.98119999999999996</v>
      </c>
      <c r="AR385" s="1894">
        <v>29.86</v>
      </c>
      <c r="AS385" s="1894">
        <v>43992</v>
      </c>
      <c r="AT385" s="1894">
        <f t="shared" si="143"/>
        <v>88387</v>
      </c>
      <c r="AU385" s="1894">
        <f t="shared" si="144"/>
        <v>0</v>
      </c>
      <c r="AV385" s="1894">
        <v>250</v>
      </c>
      <c r="AW385" s="1894">
        <v>201.60000000000002</v>
      </c>
      <c r="AX385" s="1894">
        <v>201.6</v>
      </c>
      <c r="AY385" s="1894">
        <v>0.98380000000000001</v>
      </c>
      <c r="AZ385" s="1894">
        <v>32.520000000000003</v>
      </c>
      <c r="BA385" s="1894">
        <v>47202</v>
      </c>
      <c r="BB385" s="1894">
        <f t="shared" si="145"/>
        <v>87091</v>
      </c>
      <c r="BC385" s="1894">
        <f t="shared" si="146"/>
        <v>0</v>
      </c>
      <c r="BD385" s="1894">
        <v>250</v>
      </c>
      <c r="BE385" s="1894">
        <v>203.28</v>
      </c>
      <c r="BF385" s="1894">
        <v>203.28</v>
      </c>
      <c r="BG385" s="1894">
        <v>0.97709999999999997</v>
      </c>
      <c r="BH385" s="1894">
        <v>28.3</v>
      </c>
      <c r="BI385" s="1894">
        <v>42804</v>
      </c>
      <c r="BJ385" s="1894">
        <f t="shared" si="147"/>
        <v>90744</v>
      </c>
      <c r="BK385" s="1894">
        <f t="shared" si="148"/>
        <v>0</v>
      </c>
      <c r="BL385" s="1894">
        <v>250</v>
      </c>
      <c r="BM385" s="1894">
        <v>180</v>
      </c>
      <c r="BN385" s="1894">
        <v>200</v>
      </c>
      <c r="BO385" s="1894">
        <v>0.96840000000000004</v>
      </c>
      <c r="BP385" s="1894">
        <v>26.12</v>
      </c>
      <c r="BQ385" s="1894">
        <v>33852</v>
      </c>
      <c r="BR385" s="1894">
        <f t="shared" si="149"/>
        <v>77760</v>
      </c>
      <c r="BS385" s="1894">
        <f t="shared" si="150"/>
        <v>0</v>
      </c>
      <c r="BT385" s="1894">
        <v>250</v>
      </c>
      <c r="BU385" s="1894">
        <v>154.56</v>
      </c>
      <c r="BV385" s="1894">
        <v>200</v>
      </c>
      <c r="BW385" s="1894">
        <v>0.9587</v>
      </c>
      <c r="BX385" s="1894">
        <v>25.57</v>
      </c>
      <c r="BY385" s="1894">
        <v>29400</v>
      </c>
      <c r="BZ385" s="1894">
        <f t="shared" si="151"/>
        <v>68996</v>
      </c>
      <c r="CA385" s="1894">
        <f t="shared" si="152"/>
        <v>0</v>
      </c>
      <c r="CB385" s="1894">
        <v>250</v>
      </c>
      <c r="CC385" s="1894">
        <v>163.67999999999998</v>
      </c>
      <c r="CD385" s="1894">
        <v>200</v>
      </c>
      <c r="CE385" s="1894">
        <v>0.96989999999999998</v>
      </c>
      <c r="CF385" s="1894">
        <v>24.25</v>
      </c>
      <c r="CG385" s="1894">
        <v>29526</v>
      </c>
      <c r="CH385" s="1894">
        <f t="shared" si="153"/>
        <v>73067</v>
      </c>
      <c r="CI385" s="1894">
        <f t="shared" si="154"/>
        <v>0</v>
      </c>
      <c r="CJ385" s="1894">
        <v>250</v>
      </c>
      <c r="CK385" s="1894">
        <v>187.2</v>
      </c>
      <c r="CL385" s="1894">
        <v>200</v>
      </c>
      <c r="CM385" s="1894">
        <v>0.97460000000000002</v>
      </c>
      <c r="CN385" s="1894">
        <v>23.39</v>
      </c>
      <c r="CO385" s="1894">
        <v>29430</v>
      </c>
      <c r="CP385" s="1894">
        <f t="shared" si="155"/>
        <v>75479</v>
      </c>
      <c r="CQ385" s="1894">
        <f t="shared" si="156"/>
        <v>0</v>
      </c>
      <c r="CR385" s="1924">
        <v>250</v>
      </c>
      <c r="CS385" s="1924">
        <v>174.24</v>
      </c>
      <c r="CT385" s="1924">
        <v>200</v>
      </c>
      <c r="CU385" s="1924">
        <v>0.98570000000000002</v>
      </c>
      <c r="CV385" s="1924">
        <v>28.47</v>
      </c>
      <c r="CW385" s="1924">
        <v>36912</v>
      </c>
      <c r="CX385" s="1894">
        <f t="shared" si="157"/>
        <v>77781</v>
      </c>
      <c r="CY385" s="1894">
        <f t="shared" si="158"/>
        <v>0</v>
      </c>
    </row>
    <row r="386" spans="1:103">
      <c r="A386" s="982">
        <v>622000000030</v>
      </c>
      <c r="B386" s="1923">
        <f t="shared" si="159"/>
        <v>380</v>
      </c>
      <c r="C386" s="1895" t="s">
        <v>3265</v>
      </c>
      <c r="D386" s="1894" t="s">
        <v>524</v>
      </c>
      <c r="E386" s="1895" t="s">
        <v>541</v>
      </c>
      <c r="F386" s="1894" t="s">
        <v>259</v>
      </c>
      <c r="G386" s="1924">
        <v>250</v>
      </c>
      <c r="H386" s="1894">
        <v>500</v>
      </c>
      <c r="I386" s="1894">
        <v>153.6</v>
      </c>
      <c r="J386" s="1894">
        <v>400</v>
      </c>
      <c r="K386" s="1894">
        <v>0.99980000000000002</v>
      </c>
      <c r="L386" s="1894">
        <v>39.4</v>
      </c>
      <c r="M386" s="1894">
        <v>43575</v>
      </c>
      <c r="N386" s="1894">
        <f t="shared" si="137"/>
        <v>66355</v>
      </c>
      <c r="O386" s="1894">
        <f t="shared" si="138"/>
        <v>0</v>
      </c>
      <c r="P386" s="1894">
        <v>500</v>
      </c>
      <c r="Q386" s="1894">
        <v>368.4</v>
      </c>
      <c r="R386" s="1894">
        <v>400</v>
      </c>
      <c r="S386" s="1894">
        <v>0.99980000000000002</v>
      </c>
      <c r="T386" s="1894">
        <v>17.78</v>
      </c>
      <c r="U386" s="1894">
        <v>48730</v>
      </c>
      <c r="V386" s="1894">
        <f t="shared" si="139"/>
        <v>164454</v>
      </c>
      <c r="W386" s="1894">
        <f t="shared" si="140"/>
        <v>0</v>
      </c>
      <c r="X386" s="1894">
        <v>500</v>
      </c>
      <c r="Y386" s="1894">
        <v>226</v>
      </c>
      <c r="Z386" s="1894">
        <v>400</v>
      </c>
      <c r="AA386" s="1894">
        <v>1</v>
      </c>
      <c r="AB386" s="1894">
        <v>28.35</v>
      </c>
      <c r="AC386" s="1894">
        <v>43055</v>
      </c>
      <c r="AD386" s="1894">
        <f t="shared" si="141"/>
        <v>97632</v>
      </c>
      <c r="AE386" s="1894">
        <f t="shared" si="142"/>
        <v>0</v>
      </c>
      <c r="AF386" s="1894">
        <v>500</v>
      </c>
      <c r="AG386" s="1894">
        <v>167.6</v>
      </c>
      <c r="AH386" s="1894">
        <v>400</v>
      </c>
      <c r="AI386" s="1894">
        <v>0.99980000000000002</v>
      </c>
      <c r="AJ386" s="1894">
        <v>35.04</v>
      </c>
      <c r="AK386" s="1894">
        <v>42285</v>
      </c>
      <c r="AL386" s="1894">
        <f t="shared" si="160"/>
        <v>74817</v>
      </c>
      <c r="AM386" s="1894">
        <f t="shared" si="161"/>
        <v>0</v>
      </c>
      <c r="AN386" s="1894">
        <v>500</v>
      </c>
      <c r="AO386" s="1894">
        <v>166.4</v>
      </c>
      <c r="AP386" s="1894">
        <v>400</v>
      </c>
      <c r="AQ386" s="1894">
        <v>0.99409999999999998</v>
      </c>
      <c r="AR386" s="1894">
        <v>29.97</v>
      </c>
      <c r="AS386" s="1894">
        <v>32320</v>
      </c>
      <c r="AT386" s="1894">
        <f t="shared" si="143"/>
        <v>74281</v>
      </c>
      <c r="AU386" s="1894">
        <f t="shared" si="144"/>
        <v>0</v>
      </c>
      <c r="AV386" s="1894">
        <v>500</v>
      </c>
      <c r="AW386" s="1894">
        <v>172.8</v>
      </c>
      <c r="AX386" s="1894">
        <v>400</v>
      </c>
      <c r="AY386" s="1894">
        <v>0.77900000000000003</v>
      </c>
      <c r="AZ386" s="1894">
        <v>43.38</v>
      </c>
      <c r="BA386" s="1894">
        <v>66565</v>
      </c>
      <c r="BB386" s="1894">
        <f t="shared" si="145"/>
        <v>74650</v>
      </c>
      <c r="BC386" s="1894">
        <f t="shared" si="146"/>
        <v>0</v>
      </c>
      <c r="BD386" s="1894">
        <v>500</v>
      </c>
      <c r="BE386" s="1894">
        <v>190.8</v>
      </c>
      <c r="BF386" s="1894">
        <v>400</v>
      </c>
      <c r="BG386" s="1894">
        <v>0.58779999999999999</v>
      </c>
      <c r="BH386" s="1894">
        <v>49.45</v>
      </c>
      <c r="BI386" s="1894">
        <v>70200</v>
      </c>
      <c r="BJ386" s="1894">
        <f t="shared" si="147"/>
        <v>85173</v>
      </c>
      <c r="BK386" s="1894">
        <f t="shared" si="148"/>
        <v>0</v>
      </c>
      <c r="BL386" s="1894">
        <v>500</v>
      </c>
      <c r="BM386" s="1894">
        <v>160.39999999999998</v>
      </c>
      <c r="BN386" s="1894">
        <v>400</v>
      </c>
      <c r="BO386" s="1894">
        <v>0.9093</v>
      </c>
      <c r="BP386" s="1894">
        <v>35.54</v>
      </c>
      <c r="BQ386" s="1894">
        <v>41040</v>
      </c>
      <c r="BR386" s="1894">
        <f t="shared" si="149"/>
        <v>69293</v>
      </c>
      <c r="BS386" s="1894">
        <f t="shared" si="150"/>
        <v>0</v>
      </c>
      <c r="BT386" s="1894">
        <v>500</v>
      </c>
      <c r="BU386" s="1894">
        <v>160.39999999999998</v>
      </c>
      <c r="BV386" s="1894">
        <v>400</v>
      </c>
      <c r="BW386" s="1894">
        <v>0.99980000000000002</v>
      </c>
      <c r="BX386" s="1894">
        <v>35.86</v>
      </c>
      <c r="BY386" s="1894">
        <v>42800</v>
      </c>
      <c r="BZ386" s="1894">
        <f t="shared" si="151"/>
        <v>71603</v>
      </c>
      <c r="CA386" s="1894">
        <f t="shared" si="152"/>
        <v>0</v>
      </c>
      <c r="CB386" s="1894">
        <v>250</v>
      </c>
      <c r="CC386" s="1894">
        <v>161.20000000000002</v>
      </c>
      <c r="CD386" s="1894">
        <v>200</v>
      </c>
      <c r="CE386" s="1894">
        <v>0.99980000000000002</v>
      </c>
      <c r="CF386" s="1894">
        <v>33.950000000000003</v>
      </c>
      <c r="CG386" s="1894">
        <v>40715</v>
      </c>
      <c r="CH386" s="1894">
        <f t="shared" si="153"/>
        <v>71960</v>
      </c>
      <c r="CI386" s="1894">
        <f t="shared" si="154"/>
        <v>0</v>
      </c>
      <c r="CJ386" s="1894">
        <v>250</v>
      </c>
      <c r="CK386" s="1894">
        <v>154</v>
      </c>
      <c r="CL386" s="1894">
        <v>200</v>
      </c>
      <c r="CM386" s="1894">
        <v>1.0001</v>
      </c>
      <c r="CN386" s="1894">
        <v>36.840000000000003</v>
      </c>
      <c r="CO386" s="1894">
        <v>38120</v>
      </c>
      <c r="CP386" s="1894">
        <f t="shared" si="155"/>
        <v>62093</v>
      </c>
      <c r="CQ386" s="1894">
        <f t="shared" si="156"/>
        <v>0</v>
      </c>
      <c r="CR386" s="1924">
        <v>250</v>
      </c>
      <c r="CS386" s="1924">
        <v>150.79999999999998</v>
      </c>
      <c r="CT386" s="1924">
        <v>200</v>
      </c>
      <c r="CU386" s="1924">
        <v>1</v>
      </c>
      <c r="CV386" s="1924">
        <v>35.25</v>
      </c>
      <c r="CW386" s="1924">
        <v>39545</v>
      </c>
      <c r="CX386" s="1894">
        <f t="shared" si="157"/>
        <v>67317</v>
      </c>
      <c r="CY386" s="1894">
        <f t="shared" si="158"/>
        <v>0</v>
      </c>
    </row>
    <row r="387" spans="1:103">
      <c r="A387" s="982">
        <v>622000000024</v>
      </c>
      <c r="B387" s="1923">
        <f t="shared" si="159"/>
        <v>381</v>
      </c>
      <c r="C387" s="1895" t="s">
        <v>3266</v>
      </c>
      <c r="D387" s="1894" t="s">
        <v>524</v>
      </c>
      <c r="E387" s="1895" t="s">
        <v>636</v>
      </c>
      <c r="F387" s="1894" t="s">
        <v>259</v>
      </c>
      <c r="G387" s="1924">
        <v>250</v>
      </c>
      <c r="H387" s="1894">
        <v>250</v>
      </c>
      <c r="I387" s="1894">
        <v>79.320000000000007</v>
      </c>
      <c r="J387" s="1894">
        <v>200</v>
      </c>
      <c r="K387" s="1894">
        <v>0.98839999999999995</v>
      </c>
      <c r="L387" s="1894">
        <v>38.99</v>
      </c>
      <c r="M387" s="1894">
        <v>22266</v>
      </c>
      <c r="N387" s="1894">
        <f t="shared" si="137"/>
        <v>34266</v>
      </c>
      <c r="O387" s="1894">
        <f t="shared" si="138"/>
        <v>0</v>
      </c>
      <c r="P387" s="1894">
        <v>250</v>
      </c>
      <c r="Q387" s="1894">
        <v>74.88</v>
      </c>
      <c r="R387" s="1894">
        <v>200</v>
      </c>
      <c r="S387" s="1894">
        <v>0.98870000000000002</v>
      </c>
      <c r="T387" s="1894">
        <v>36.270000000000003</v>
      </c>
      <c r="U387" s="1894">
        <v>20205</v>
      </c>
      <c r="V387" s="1894">
        <f t="shared" si="139"/>
        <v>33426</v>
      </c>
      <c r="W387" s="1894">
        <f t="shared" si="140"/>
        <v>0</v>
      </c>
      <c r="X387" s="1894">
        <v>250</v>
      </c>
      <c r="Y387" s="1894">
        <v>72.48</v>
      </c>
      <c r="Z387" s="1894">
        <v>200</v>
      </c>
      <c r="AA387" s="1894">
        <v>0.98719999999999997</v>
      </c>
      <c r="AB387" s="1894">
        <v>30.23</v>
      </c>
      <c r="AC387" s="1894">
        <v>15777</v>
      </c>
      <c r="AD387" s="1894">
        <f t="shared" si="141"/>
        <v>31311</v>
      </c>
      <c r="AE387" s="1894">
        <f t="shared" si="142"/>
        <v>0</v>
      </c>
      <c r="AF387" s="1894">
        <v>250</v>
      </c>
      <c r="AG387" s="1894">
        <v>52.559999999999995</v>
      </c>
      <c r="AH387" s="1894">
        <v>200</v>
      </c>
      <c r="AI387" s="1894">
        <v>0.99139999999999995</v>
      </c>
      <c r="AJ387" s="1894">
        <v>33.28</v>
      </c>
      <c r="AK387" s="1894">
        <v>13014</v>
      </c>
      <c r="AL387" s="1894">
        <f t="shared" si="160"/>
        <v>23463</v>
      </c>
      <c r="AM387" s="1894">
        <f t="shared" si="161"/>
        <v>0</v>
      </c>
      <c r="AN387" s="1894">
        <v>250</v>
      </c>
      <c r="AO387" s="1894">
        <v>122.39999999999999</v>
      </c>
      <c r="AP387" s="1894">
        <v>200</v>
      </c>
      <c r="AQ387" s="1894">
        <v>0.97829999999999995</v>
      </c>
      <c r="AR387" s="1894">
        <v>14.91</v>
      </c>
      <c r="AS387" s="1894">
        <v>13578</v>
      </c>
      <c r="AT387" s="1894">
        <f t="shared" si="143"/>
        <v>54639</v>
      </c>
      <c r="AU387" s="1894">
        <f t="shared" si="144"/>
        <v>0</v>
      </c>
      <c r="AV387" s="1894">
        <v>250</v>
      </c>
      <c r="AW387" s="1894">
        <v>58.32</v>
      </c>
      <c r="AX387" s="1894">
        <v>200</v>
      </c>
      <c r="AY387" s="1894">
        <v>0.98380000000000001</v>
      </c>
      <c r="AZ387" s="1894">
        <v>32.65</v>
      </c>
      <c r="BA387" s="1894">
        <v>13710</v>
      </c>
      <c r="BB387" s="1894">
        <f t="shared" si="145"/>
        <v>25194</v>
      </c>
      <c r="BC387" s="1894">
        <f t="shared" si="146"/>
        <v>0</v>
      </c>
      <c r="BD387" s="1894">
        <v>250</v>
      </c>
      <c r="BE387" s="1894">
        <v>52.08</v>
      </c>
      <c r="BF387" s="1894">
        <v>200</v>
      </c>
      <c r="BG387" s="1894">
        <v>0.9909</v>
      </c>
      <c r="BH387" s="1894">
        <v>30.92</v>
      </c>
      <c r="BI387" s="1894">
        <v>11979</v>
      </c>
      <c r="BJ387" s="1894">
        <f t="shared" si="147"/>
        <v>23249</v>
      </c>
      <c r="BK387" s="1894">
        <f t="shared" si="148"/>
        <v>0</v>
      </c>
      <c r="BL387" s="1894">
        <v>250</v>
      </c>
      <c r="BM387" s="1894">
        <v>28.32</v>
      </c>
      <c r="BN387" s="1894">
        <v>200</v>
      </c>
      <c r="BO387" s="1894">
        <v>0.99739999999999995</v>
      </c>
      <c r="BP387" s="1894">
        <v>45.55</v>
      </c>
      <c r="BQ387" s="1894">
        <v>9288</v>
      </c>
      <c r="BR387" s="1894">
        <f t="shared" si="149"/>
        <v>12234</v>
      </c>
      <c r="BS387" s="1894">
        <f t="shared" si="150"/>
        <v>0</v>
      </c>
      <c r="BT387" s="1894">
        <v>250</v>
      </c>
      <c r="BU387" s="1894">
        <v>37.92</v>
      </c>
      <c r="BV387" s="1894">
        <v>200</v>
      </c>
      <c r="BW387" s="1894">
        <v>0.99490000000000001</v>
      </c>
      <c r="BX387" s="1894">
        <v>39.67</v>
      </c>
      <c r="BY387" s="1894">
        <v>11193</v>
      </c>
      <c r="BZ387" s="1894">
        <f t="shared" si="151"/>
        <v>16927</v>
      </c>
      <c r="CA387" s="1894">
        <f t="shared" si="152"/>
        <v>0</v>
      </c>
      <c r="CB387" s="1894">
        <v>250</v>
      </c>
      <c r="CC387" s="1894">
        <v>32.4</v>
      </c>
      <c r="CD387" s="1894">
        <v>200</v>
      </c>
      <c r="CE387" s="1894">
        <v>0.99839999999999995</v>
      </c>
      <c r="CF387" s="1894">
        <v>41.36</v>
      </c>
      <c r="CG387" s="1894">
        <v>9969</v>
      </c>
      <c r="CH387" s="1894">
        <f t="shared" si="153"/>
        <v>14463</v>
      </c>
      <c r="CI387" s="1894">
        <f t="shared" si="154"/>
        <v>0</v>
      </c>
      <c r="CJ387" s="1894">
        <v>250</v>
      </c>
      <c r="CK387" s="1894">
        <v>40.08</v>
      </c>
      <c r="CL387" s="1894">
        <v>200</v>
      </c>
      <c r="CM387" s="1894">
        <v>0.99460000000000004</v>
      </c>
      <c r="CN387" s="1894">
        <v>35.46</v>
      </c>
      <c r="CO387" s="1894">
        <v>9552</v>
      </c>
      <c r="CP387" s="1894">
        <f t="shared" si="155"/>
        <v>16160</v>
      </c>
      <c r="CQ387" s="1894">
        <f t="shared" si="156"/>
        <v>0</v>
      </c>
      <c r="CR387" s="1924">
        <v>250</v>
      </c>
      <c r="CS387" s="1924">
        <v>57.839999999999996</v>
      </c>
      <c r="CT387" s="1924">
        <v>200</v>
      </c>
      <c r="CU387" s="1924">
        <v>0.98609999999999998</v>
      </c>
      <c r="CV387" s="1924">
        <v>27.78</v>
      </c>
      <c r="CW387" s="1924">
        <v>11955</v>
      </c>
      <c r="CX387" s="1894">
        <f t="shared" si="157"/>
        <v>25820</v>
      </c>
      <c r="CY387" s="1894">
        <f t="shared" si="158"/>
        <v>0</v>
      </c>
    </row>
    <row r="388" spans="1:103">
      <c r="A388" s="982">
        <v>621000000047</v>
      </c>
      <c r="B388" s="1923">
        <f t="shared" si="159"/>
        <v>382</v>
      </c>
      <c r="C388" s="1895" t="s">
        <v>3267</v>
      </c>
      <c r="D388" s="1894" t="s">
        <v>524</v>
      </c>
      <c r="E388" s="1895" t="s">
        <v>641</v>
      </c>
      <c r="F388" s="1894" t="s">
        <v>259</v>
      </c>
      <c r="G388" s="1924">
        <v>250</v>
      </c>
      <c r="H388" s="1894">
        <v>250</v>
      </c>
      <c r="I388" s="1894">
        <v>78.48</v>
      </c>
      <c r="J388" s="1894">
        <v>200</v>
      </c>
      <c r="K388" s="1894">
        <v>1</v>
      </c>
      <c r="L388" s="1894">
        <v>38.18</v>
      </c>
      <c r="M388" s="1894">
        <v>21573</v>
      </c>
      <c r="N388" s="1894">
        <f t="shared" si="137"/>
        <v>33903</v>
      </c>
      <c r="O388" s="1894">
        <f t="shared" si="138"/>
        <v>0</v>
      </c>
      <c r="P388" s="1894">
        <v>250</v>
      </c>
      <c r="Q388" s="1894">
        <v>87.12</v>
      </c>
      <c r="R388" s="1894">
        <v>200</v>
      </c>
      <c r="S388" s="1894">
        <v>1</v>
      </c>
      <c r="T388" s="1894">
        <v>38.880000000000003</v>
      </c>
      <c r="U388" s="1894">
        <v>25200</v>
      </c>
      <c r="V388" s="1894">
        <f t="shared" si="139"/>
        <v>38890</v>
      </c>
      <c r="W388" s="1894">
        <f t="shared" si="140"/>
        <v>0</v>
      </c>
      <c r="X388" s="1894">
        <v>250</v>
      </c>
      <c r="Y388" s="1894">
        <v>72.48</v>
      </c>
      <c r="Z388" s="1894">
        <v>200</v>
      </c>
      <c r="AA388" s="1894">
        <v>1</v>
      </c>
      <c r="AB388" s="1894">
        <v>45.37</v>
      </c>
      <c r="AC388" s="1894">
        <v>23679</v>
      </c>
      <c r="AD388" s="1894">
        <f t="shared" si="141"/>
        <v>31311</v>
      </c>
      <c r="AE388" s="1894">
        <f t="shared" si="142"/>
        <v>0</v>
      </c>
      <c r="AF388" s="1894">
        <v>250</v>
      </c>
      <c r="AG388" s="1894">
        <v>82.32</v>
      </c>
      <c r="AH388" s="1894">
        <v>200</v>
      </c>
      <c r="AI388" s="1894">
        <v>0.99970000000000003</v>
      </c>
      <c r="AJ388" s="1894">
        <v>40.270000000000003</v>
      </c>
      <c r="AK388" s="1894">
        <v>24663</v>
      </c>
      <c r="AL388" s="1894">
        <f t="shared" si="160"/>
        <v>36748</v>
      </c>
      <c r="AM388" s="1894">
        <f t="shared" si="161"/>
        <v>0</v>
      </c>
      <c r="AN388" s="1894">
        <v>250</v>
      </c>
      <c r="AO388" s="1894">
        <v>85.199999999999989</v>
      </c>
      <c r="AP388" s="1894">
        <v>200</v>
      </c>
      <c r="AQ388" s="1894">
        <v>0.99960000000000004</v>
      </c>
      <c r="AR388" s="1894">
        <v>45.42</v>
      </c>
      <c r="AS388" s="1894">
        <v>26931</v>
      </c>
      <c r="AT388" s="1894">
        <f t="shared" si="143"/>
        <v>38033</v>
      </c>
      <c r="AU388" s="1894">
        <f t="shared" si="144"/>
        <v>0</v>
      </c>
      <c r="AV388" s="1894">
        <v>250</v>
      </c>
      <c r="AW388" s="1894">
        <v>71.040000000000006</v>
      </c>
      <c r="AX388" s="1894">
        <v>200</v>
      </c>
      <c r="AY388" s="1894">
        <v>0.99880000000000002</v>
      </c>
      <c r="AZ388" s="1894">
        <v>49.7</v>
      </c>
      <c r="BA388" s="1894">
        <v>27117</v>
      </c>
      <c r="BB388" s="1894">
        <f t="shared" si="145"/>
        <v>30689</v>
      </c>
      <c r="BC388" s="1894">
        <f t="shared" si="146"/>
        <v>0</v>
      </c>
      <c r="BD388" s="1894">
        <v>250</v>
      </c>
      <c r="BE388" s="1894">
        <v>70.08</v>
      </c>
      <c r="BF388" s="1894">
        <v>200</v>
      </c>
      <c r="BG388" s="1894">
        <v>0.99880000000000002</v>
      </c>
      <c r="BH388" s="1894">
        <v>51.28</v>
      </c>
      <c r="BI388" s="1894">
        <v>26736</v>
      </c>
      <c r="BJ388" s="1894">
        <f t="shared" si="147"/>
        <v>31284</v>
      </c>
      <c r="BK388" s="1894">
        <f t="shared" si="148"/>
        <v>0</v>
      </c>
      <c r="BL388" s="1894">
        <v>250</v>
      </c>
      <c r="BM388" s="1894">
        <v>92.16</v>
      </c>
      <c r="BN388" s="1894">
        <v>200</v>
      </c>
      <c r="BO388" s="1894">
        <v>0.99880000000000002</v>
      </c>
      <c r="BP388" s="1894">
        <v>43.87</v>
      </c>
      <c r="BQ388" s="1894">
        <v>29109</v>
      </c>
      <c r="BR388" s="1894">
        <f t="shared" si="149"/>
        <v>39813</v>
      </c>
      <c r="BS388" s="1894">
        <f t="shared" si="150"/>
        <v>0</v>
      </c>
      <c r="BT388" s="1894">
        <v>250</v>
      </c>
      <c r="BU388" s="1894">
        <v>97.44</v>
      </c>
      <c r="BV388" s="1894">
        <v>200</v>
      </c>
      <c r="BW388" s="1894">
        <v>0.99950000000000006</v>
      </c>
      <c r="BX388" s="1894">
        <v>53.83</v>
      </c>
      <c r="BY388" s="1894">
        <v>39024</v>
      </c>
      <c r="BZ388" s="1894">
        <f t="shared" si="151"/>
        <v>43497</v>
      </c>
      <c r="CA388" s="1894">
        <f t="shared" si="152"/>
        <v>0</v>
      </c>
      <c r="CB388" s="1894">
        <v>250</v>
      </c>
      <c r="CC388" s="1894">
        <v>101.03999999999999</v>
      </c>
      <c r="CD388" s="1894">
        <v>200</v>
      </c>
      <c r="CE388" s="1894">
        <v>0.99929999999999997</v>
      </c>
      <c r="CF388" s="1894">
        <v>55.92</v>
      </c>
      <c r="CG388" s="1894">
        <v>42039</v>
      </c>
      <c r="CH388" s="1894">
        <f t="shared" si="153"/>
        <v>45104</v>
      </c>
      <c r="CI388" s="1894">
        <f t="shared" si="154"/>
        <v>0</v>
      </c>
      <c r="CJ388" s="1894">
        <v>250</v>
      </c>
      <c r="CK388" s="1894">
        <v>113.04</v>
      </c>
      <c r="CL388" s="1894">
        <v>200</v>
      </c>
      <c r="CM388" s="1894">
        <v>0.99750000000000005</v>
      </c>
      <c r="CN388" s="1894">
        <v>50.62</v>
      </c>
      <c r="CO388" s="1894">
        <v>38451</v>
      </c>
      <c r="CP388" s="1894">
        <f t="shared" si="155"/>
        <v>45578</v>
      </c>
      <c r="CQ388" s="1894">
        <f t="shared" si="156"/>
        <v>0</v>
      </c>
      <c r="CR388" s="1924">
        <v>250</v>
      </c>
      <c r="CS388" s="1924">
        <v>91.44</v>
      </c>
      <c r="CT388" s="1924">
        <v>200</v>
      </c>
      <c r="CU388" s="1924">
        <v>0.99939999999999996</v>
      </c>
      <c r="CV388" s="1924">
        <v>63.35</v>
      </c>
      <c r="CW388" s="1924">
        <v>41706</v>
      </c>
      <c r="CX388" s="1894">
        <f t="shared" si="157"/>
        <v>40819</v>
      </c>
      <c r="CY388" s="1894">
        <f t="shared" si="158"/>
        <v>887</v>
      </c>
    </row>
    <row r="389" spans="1:103">
      <c r="A389" s="982">
        <v>124000000005</v>
      </c>
      <c r="B389" s="1923">
        <f t="shared" si="159"/>
        <v>383</v>
      </c>
      <c r="C389" s="1895" t="s">
        <v>3268</v>
      </c>
      <c r="D389" s="1894" t="s">
        <v>524</v>
      </c>
      <c r="E389" s="1895" t="s">
        <v>730</v>
      </c>
      <c r="F389" s="1894" t="s">
        <v>259</v>
      </c>
      <c r="G389" s="1924">
        <v>250.44</v>
      </c>
      <c r="H389" s="1894">
        <v>250.44</v>
      </c>
      <c r="I389" s="1894">
        <v>62</v>
      </c>
      <c r="J389" s="1894">
        <v>200.352</v>
      </c>
      <c r="K389" s="1894">
        <v>0.74939999999999996</v>
      </c>
      <c r="L389" s="1894">
        <v>64.52</v>
      </c>
      <c r="M389" s="1894">
        <v>28802</v>
      </c>
      <c r="N389" s="1894">
        <f t="shared" si="137"/>
        <v>26784</v>
      </c>
      <c r="O389" s="1894">
        <f t="shared" si="138"/>
        <v>2018</v>
      </c>
      <c r="P389" s="1894">
        <v>250.44</v>
      </c>
      <c r="Q389" s="1894">
        <v>64.48</v>
      </c>
      <c r="R389" s="1894">
        <v>200.352</v>
      </c>
      <c r="S389" s="1894">
        <v>0.74450000000000005</v>
      </c>
      <c r="T389" s="1894">
        <v>62.57</v>
      </c>
      <c r="U389" s="1894">
        <v>30019</v>
      </c>
      <c r="V389" s="1894">
        <f t="shared" si="139"/>
        <v>28784</v>
      </c>
      <c r="W389" s="1894">
        <f t="shared" si="140"/>
        <v>1235</v>
      </c>
      <c r="X389" s="1894">
        <v>250.44</v>
      </c>
      <c r="Y389" s="1894">
        <v>63.12</v>
      </c>
      <c r="Z389" s="1894">
        <v>200.352</v>
      </c>
      <c r="AA389" s="1894">
        <v>0.74329999999999996</v>
      </c>
      <c r="AB389" s="1894">
        <v>61.93</v>
      </c>
      <c r="AC389" s="1894">
        <v>28143</v>
      </c>
      <c r="AD389" s="1894">
        <f t="shared" si="141"/>
        <v>27268</v>
      </c>
      <c r="AE389" s="1894">
        <f t="shared" si="142"/>
        <v>875</v>
      </c>
      <c r="AF389" s="1894">
        <v>250.44</v>
      </c>
      <c r="AG389" s="1894">
        <v>62</v>
      </c>
      <c r="AH389" s="1894">
        <v>200.352</v>
      </c>
      <c r="AI389" s="1894">
        <v>0.7409</v>
      </c>
      <c r="AJ389" s="1894">
        <v>64.41</v>
      </c>
      <c r="AK389" s="1894">
        <v>29713</v>
      </c>
      <c r="AL389" s="1894">
        <f t="shared" si="160"/>
        <v>27677</v>
      </c>
      <c r="AM389" s="1894">
        <f t="shared" si="161"/>
        <v>2036</v>
      </c>
      <c r="AN389" s="1894">
        <v>250.44</v>
      </c>
      <c r="AO389" s="1894">
        <v>61.199999999999996</v>
      </c>
      <c r="AP389" s="1894">
        <v>200.352</v>
      </c>
      <c r="AQ389" s="1894">
        <v>0.73319999999999996</v>
      </c>
      <c r="AR389" s="1894">
        <v>66</v>
      </c>
      <c r="AS389" s="1894">
        <v>30053</v>
      </c>
      <c r="AT389" s="1894">
        <f t="shared" si="143"/>
        <v>27320</v>
      </c>
      <c r="AU389" s="1894">
        <f t="shared" si="144"/>
        <v>2733</v>
      </c>
      <c r="AV389" s="1894">
        <v>250.44</v>
      </c>
      <c r="AW389" s="1894">
        <v>63.759999999999991</v>
      </c>
      <c r="AX389" s="1894">
        <v>200.352</v>
      </c>
      <c r="AY389" s="1894">
        <v>0.73380000000000001</v>
      </c>
      <c r="AZ389" s="1894">
        <v>57.72</v>
      </c>
      <c r="BA389" s="1894">
        <v>22966</v>
      </c>
      <c r="BB389" s="1894">
        <f t="shared" si="145"/>
        <v>27544</v>
      </c>
      <c r="BC389" s="1894">
        <f t="shared" si="146"/>
        <v>0</v>
      </c>
      <c r="BD389" s="1894">
        <v>250.44</v>
      </c>
      <c r="BE389" s="1894">
        <v>62.160000000000004</v>
      </c>
      <c r="BF389" s="1894">
        <v>200.352</v>
      </c>
      <c r="BG389" s="1894">
        <v>0.7268</v>
      </c>
      <c r="BH389" s="1894">
        <v>63.56</v>
      </c>
      <c r="BI389" s="1894">
        <v>29394</v>
      </c>
      <c r="BJ389" s="1894">
        <f t="shared" si="147"/>
        <v>27748</v>
      </c>
      <c r="BK389" s="1894">
        <f t="shared" si="148"/>
        <v>1646</v>
      </c>
      <c r="BL389" s="1894">
        <v>250.44</v>
      </c>
      <c r="BM389" s="1894">
        <v>65.44</v>
      </c>
      <c r="BN389" s="1894">
        <v>200.352</v>
      </c>
      <c r="BO389" s="1894">
        <v>0.71509999999999996</v>
      </c>
      <c r="BP389" s="1894">
        <v>63.29</v>
      </c>
      <c r="BQ389" s="1894">
        <v>29821</v>
      </c>
      <c r="BR389" s="1894">
        <f t="shared" si="149"/>
        <v>28270</v>
      </c>
      <c r="BS389" s="1894">
        <f t="shared" si="150"/>
        <v>1551</v>
      </c>
      <c r="BT389" s="1894">
        <v>250.44</v>
      </c>
      <c r="BU389" s="1894">
        <v>66.72</v>
      </c>
      <c r="BV389" s="1894">
        <v>200.352</v>
      </c>
      <c r="BW389" s="1894">
        <v>0.72430000000000005</v>
      </c>
      <c r="BX389" s="1894">
        <v>63.95</v>
      </c>
      <c r="BY389" s="1894">
        <v>35841</v>
      </c>
      <c r="BZ389" s="1894">
        <f t="shared" si="151"/>
        <v>29784</v>
      </c>
      <c r="CA389" s="1894">
        <f t="shared" si="152"/>
        <v>6057</v>
      </c>
      <c r="CB389" s="1894">
        <v>250.44</v>
      </c>
      <c r="CC389" s="1894">
        <v>65.600000000000009</v>
      </c>
      <c r="CD389" s="1894">
        <v>200.352</v>
      </c>
      <c r="CE389" s="1894">
        <v>0.72130000000000005</v>
      </c>
      <c r="CF389" s="1894">
        <v>63.63</v>
      </c>
      <c r="CG389" s="1894">
        <v>28049</v>
      </c>
      <c r="CH389" s="1894">
        <f t="shared" si="153"/>
        <v>29284</v>
      </c>
      <c r="CI389" s="1894">
        <f t="shared" si="154"/>
        <v>0</v>
      </c>
      <c r="CJ389" s="1894">
        <v>250.44</v>
      </c>
      <c r="CK389" s="1894">
        <v>63.839999999999996</v>
      </c>
      <c r="CL389" s="1894">
        <v>200.352</v>
      </c>
      <c r="CM389" s="1894">
        <v>0.72240000000000004</v>
      </c>
      <c r="CN389" s="1894">
        <v>65.34</v>
      </c>
      <c r="CO389" s="1894">
        <v>28032</v>
      </c>
      <c r="CP389" s="1894">
        <f t="shared" si="155"/>
        <v>25740</v>
      </c>
      <c r="CQ389" s="1894">
        <f t="shared" si="156"/>
        <v>2292</v>
      </c>
      <c r="CR389" s="1924">
        <v>250.44</v>
      </c>
      <c r="CS389" s="1924">
        <v>64.56</v>
      </c>
      <c r="CT389" s="1924">
        <v>200.352</v>
      </c>
      <c r="CU389" s="1924">
        <v>0.72660000000000002</v>
      </c>
      <c r="CV389" s="1924">
        <v>63.14</v>
      </c>
      <c r="CW389" s="1924">
        <v>28373</v>
      </c>
      <c r="CX389" s="1894">
        <f t="shared" si="157"/>
        <v>28820</v>
      </c>
      <c r="CY389" s="1894">
        <f t="shared" si="158"/>
        <v>0</v>
      </c>
    </row>
    <row r="390" spans="1:103">
      <c r="A390" s="982">
        <v>611000000058</v>
      </c>
      <c r="B390" s="1923">
        <f t="shared" si="159"/>
        <v>384</v>
      </c>
      <c r="C390" s="1895" t="s">
        <v>3269</v>
      </c>
      <c r="D390" s="1894" t="s">
        <v>524</v>
      </c>
      <c r="E390" s="1895" t="s">
        <v>541</v>
      </c>
      <c r="F390" s="1894" t="s">
        <v>259</v>
      </c>
      <c r="G390" s="1924">
        <v>255</v>
      </c>
      <c r="H390" s="1894">
        <v>255</v>
      </c>
      <c r="I390" s="1894">
        <v>275.83999999999997</v>
      </c>
      <c r="J390" s="1894">
        <v>275.83999999999997</v>
      </c>
      <c r="K390" s="1894">
        <v>0.92949999999999999</v>
      </c>
      <c r="L390" s="1894">
        <v>35.799999999999997</v>
      </c>
      <c r="M390" s="1894">
        <v>71108</v>
      </c>
      <c r="N390" s="1894">
        <f t="shared" si="137"/>
        <v>119163</v>
      </c>
      <c r="O390" s="1894">
        <f t="shared" si="138"/>
        <v>0</v>
      </c>
      <c r="P390" s="1894">
        <v>255</v>
      </c>
      <c r="Q390" s="1894">
        <v>200.95999999999998</v>
      </c>
      <c r="R390" s="1894">
        <v>204</v>
      </c>
      <c r="S390" s="1894">
        <v>0.98019999999999996</v>
      </c>
      <c r="T390" s="1894">
        <v>42.59</v>
      </c>
      <c r="U390" s="1894">
        <v>63674</v>
      </c>
      <c r="V390" s="1894">
        <f t="shared" si="139"/>
        <v>89709</v>
      </c>
      <c r="W390" s="1894">
        <f t="shared" si="140"/>
        <v>0</v>
      </c>
      <c r="X390" s="1894">
        <v>255</v>
      </c>
      <c r="Y390" s="1894">
        <v>214.56</v>
      </c>
      <c r="Z390" s="1894">
        <v>214.56</v>
      </c>
      <c r="AA390" s="1894">
        <v>0.97970000000000002</v>
      </c>
      <c r="AB390" s="1894">
        <v>31.52</v>
      </c>
      <c r="AC390" s="1894">
        <v>48688</v>
      </c>
      <c r="AD390" s="1894">
        <f t="shared" si="141"/>
        <v>92690</v>
      </c>
      <c r="AE390" s="1894">
        <f t="shared" si="142"/>
        <v>0</v>
      </c>
      <c r="AF390" s="1894">
        <v>255</v>
      </c>
      <c r="AG390" s="1894">
        <v>279.2</v>
      </c>
      <c r="AH390" s="1894">
        <v>279.2</v>
      </c>
      <c r="AI390" s="1894">
        <v>0.97099999999999997</v>
      </c>
      <c r="AJ390" s="1894">
        <v>32.19</v>
      </c>
      <c r="AK390" s="1894">
        <v>66868</v>
      </c>
      <c r="AL390" s="1894">
        <f t="shared" si="160"/>
        <v>124635</v>
      </c>
      <c r="AM390" s="1894">
        <f t="shared" si="161"/>
        <v>0</v>
      </c>
      <c r="AN390" s="1894">
        <v>255</v>
      </c>
      <c r="AO390" s="1894">
        <v>200.15999999999997</v>
      </c>
      <c r="AP390" s="1894">
        <v>204</v>
      </c>
      <c r="AQ390" s="1894">
        <v>0.97299999999999998</v>
      </c>
      <c r="AR390" s="1894">
        <v>12.88</v>
      </c>
      <c r="AS390" s="1894">
        <v>19176</v>
      </c>
      <c r="AT390" s="1894">
        <f t="shared" si="143"/>
        <v>89351</v>
      </c>
      <c r="AU390" s="1894">
        <f t="shared" si="144"/>
        <v>0</v>
      </c>
      <c r="AV390" s="1894">
        <v>255</v>
      </c>
      <c r="AW390" s="1894">
        <v>50.56</v>
      </c>
      <c r="AX390" s="1894">
        <v>204</v>
      </c>
      <c r="AY390" s="1894">
        <v>0.95899999999999996</v>
      </c>
      <c r="AZ390" s="1894">
        <v>18.93</v>
      </c>
      <c r="BA390" s="1894">
        <v>6892</v>
      </c>
      <c r="BB390" s="1894">
        <f t="shared" si="145"/>
        <v>21842</v>
      </c>
      <c r="BC390" s="1894">
        <f t="shared" si="146"/>
        <v>0</v>
      </c>
      <c r="BD390" s="1894">
        <v>255</v>
      </c>
      <c r="BE390" s="1894">
        <v>66.88</v>
      </c>
      <c r="BF390" s="1894">
        <v>204</v>
      </c>
      <c r="BG390" s="1894">
        <v>0.97389999999999999</v>
      </c>
      <c r="BH390" s="1894">
        <v>20.95</v>
      </c>
      <c r="BI390" s="1894">
        <v>10426</v>
      </c>
      <c r="BJ390" s="1894">
        <f t="shared" si="147"/>
        <v>29855</v>
      </c>
      <c r="BK390" s="1894">
        <f t="shared" si="148"/>
        <v>0</v>
      </c>
      <c r="BL390" s="1894">
        <v>255</v>
      </c>
      <c r="BM390" s="1894">
        <v>40.96</v>
      </c>
      <c r="BN390" s="1894">
        <v>204</v>
      </c>
      <c r="BO390" s="1894">
        <v>0.68059999999999998</v>
      </c>
      <c r="BP390" s="1894">
        <v>15.54</v>
      </c>
      <c r="BQ390" s="1894">
        <v>4584</v>
      </c>
      <c r="BR390" s="1894">
        <f t="shared" si="149"/>
        <v>17695</v>
      </c>
      <c r="BS390" s="1894">
        <f t="shared" si="150"/>
        <v>0</v>
      </c>
      <c r="BT390" s="1894">
        <v>255</v>
      </c>
      <c r="BU390" s="1894">
        <v>29.12</v>
      </c>
      <c r="BV390" s="1894">
        <v>204</v>
      </c>
      <c r="BW390" s="1894">
        <v>0.6613</v>
      </c>
      <c r="BX390" s="1894">
        <v>19</v>
      </c>
      <c r="BY390" s="1894">
        <v>4116</v>
      </c>
      <c r="BZ390" s="1894">
        <f t="shared" si="151"/>
        <v>12999</v>
      </c>
      <c r="CA390" s="1894">
        <f t="shared" si="152"/>
        <v>0</v>
      </c>
      <c r="CB390" s="1894">
        <v>255</v>
      </c>
      <c r="CC390" s="1894">
        <v>260.15999999999997</v>
      </c>
      <c r="CD390" s="1894">
        <v>260.16000000000003</v>
      </c>
      <c r="CE390" s="1894">
        <v>0.67749999999999999</v>
      </c>
      <c r="CF390" s="1894">
        <v>4.38</v>
      </c>
      <c r="CG390" s="1894">
        <v>8484</v>
      </c>
      <c r="CH390" s="1894">
        <f t="shared" si="153"/>
        <v>116135</v>
      </c>
      <c r="CI390" s="1894">
        <f t="shared" si="154"/>
        <v>0</v>
      </c>
      <c r="CJ390" s="1894">
        <v>255</v>
      </c>
      <c r="CK390" s="1894">
        <v>276</v>
      </c>
      <c r="CL390" s="1894">
        <v>276</v>
      </c>
      <c r="CM390" s="1894">
        <v>0.92549999999999999</v>
      </c>
      <c r="CN390" s="1894">
        <v>29.99</v>
      </c>
      <c r="CO390" s="1894">
        <v>55630</v>
      </c>
      <c r="CP390" s="1894">
        <f t="shared" si="155"/>
        <v>111283</v>
      </c>
      <c r="CQ390" s="1894">
        <f t="shared" si="156"/>
        <v>0</v>
      </c>
      <c r="CR390" s="1924">
        <v>255</v>
      </c>
      <c r="CS390" s="1924">
        <v>264.48</v>
      </c>
      <c r="CT390" s="1924">
        <v>264.48</v>
      </c>
      <c r="CU390" s="1924">
        <v>0.95669999999999999</v>
      </c>
      <c r="CV390" s="1924">
        <v>41.65</v>
      </c>
      <c r="CW390" s="1924">
        <v>81960</v>
      </c>
      <c r="CX390" s="1894">
        <f t="shared" si="157"/>
        <v>118064</v>
      </c>
      <c r="CY390" s="1894">
        <f t="shared" si="158"/>
        <v>0</v>
      </c>
    </row>
    <row r="391" spans="1:103">
      <c r="A391" s="982">
        <v>613000000029</v>
      </c>
      <c r="B391" s="1923">
        <f t="shared" si="159"/>
        <v>385</v>
      </c>
      <c r="C391" s="1895" t="s">
        <v>3270</v>
      </c>
      <c r="D391" s="1894" t="s">
        <v>524</v>
      </c>
      <c r="E391" s="1895" t="s">
        <v>737</v>
      </c>
      <c r="F391" s="1894" t="s">
        <v>259</v>
      </c>
      <c r="G391" s="1924">
        <v>255</v>
      </c>
      <c r="H391" s="1894">
        <v>255</v>
      </c>
      <c r="I391" s="1894">
        <v>133.32</v>
      </c>
      <c r="J391" s="1894">
        <v>204</v>
      </c>
      <c r="K391" s="1894">
        <v>0.93049999999999999</v>
      </c>
      <c r="L391" s="1894">
        <v>13.9</v>
      </c>
      <c r="M391" s="1894">
        <v>12450</v>
      </c>
      <c r="N391" s="1894">
        <f t="shared" ref="N391:N454" si="162">+ROUND((24*30*0.6*I391),0)</f>
        <v>57594</v>
      </c>
      <c r="O391" s="1894">
        <f t="shared" ref="O391:O454" si="163">+MAX((M391-N391),0)</f>
        <v>0</v>
      </c>
      <c r="P391" s="1894">
        <v>255</v>
      </c>
      <c r="Q391" s="1894">
        <v>42.84</v>
      </c>
      <c r="R391" s="1894">
        <v>204</v>
      </c>
      <c r="S391" s="1894">
        <v>0.97070000000000001</v>
      </c>
      <c r="T391" s="1894">
        <v>46.81</v>
      </c>
      <c r="U391" s="1894">
        <v>15402</v>
      </c>
      <c r="V391" s="1894">
        <f t="shared" ref="V391:V454" si="164">+ROUND((24*31*0.6*Q391),0)</f>
        <v>19124</v>
      </c>
      <c r="W391" s="1894">
        <f t="shared" ref="W391:W454" si="165">+MAX((U391-V391),0)</f>
        <v>0</v>
      </c>
      <c r="X391" s="1894">
        <v>255</v>
      </c>
      <c r="Y391" s="1894">
        <v>44.4</v>
      </c>
      <c r="Z391" s="1894">
        <v>204</v>
      </c>
      <c r="AA391" s="1894">
        <v>0.97489999999999999</v>
      </c>
      <c r="AB391" s="1894">
        <v>47.58</v>
      </c>
      <c r="AC391" s="1894">
        <v>15718</v>
      </c>
      <c r="AD391" s="1894">
        <f t="shared" ref="AD391:AD454" si="166">+ROUND((24*30*0.6*Y391),0)</f>
        <v>19181</v>
      </c>
      <c r="AE391" s="1894">
        <f t="shared" ref="AE391:AE454" si="167">+MAX((AC391-AD391),0)</f>
        <v>0</v>
      </c>
      <c r="AF391" s="1894">
        <v>255</v>
      </c>
      <c r="AG391" s="1894">
        <v>36.6</v>
      </c>
      <c r="AH391" s="1894">
        <v>204</v>
      </c>
      <c r="AI391" s="1894">
        <v>0.92679999999999996</v>
      </c>
      <c r="AJ391" s="1894">
        <v>55.33</v>
      </c>
      <c r="AK391" s="1894">
        <v>15066</v>
      </c>
      <c r="AL391" s="1894">
        <f t="shared" si="160"/>
        <v>16338</v>
      </c>
      <c r="AM391" s="1894">
        <f t="shared" si="161"/>
        <v>0</v>
      </c>
      <c r="AN391" s="1894">
        <v>255</v>
      </c>
      <c r="AO391" s="1894">
        <v>128.1</v>
      </c>
      <c r="AP391" s="1894">
        <v>204</v>
      </c>
      <c r="AQ391" s="1894">
        <v>0.91210000000000002</v>
      </c>
      <c r="AR391" s="1894">
        <v>16.64</v>
      </c>
      <c r="AS391" s="1894">
        <v>15860</v>
      </c>
      <c r="AT391" s="1894">
        <f t="shared" ref="AT391:AT454" si="168">+ROUND((24*31*0.6*AO391),0)</f>
        <v>57184</v>
      </c>
      <c r="AU391" s="1894">
        <f t="shared" ref="AU391:AU454" si="169">+MAX((AS391-AT391),0)</f>
        <v>0</v>
      </c>
      <c r="AV391" s="1894">
        <v>255</v>
      </c>
      <c r="AW391" s="1894">
        <v>138.47999999999999</v>
      </c>
      <c r="AX391" s="1894">
        <v>204</v>
      </c>
      <c r="AY391" s="1894">
        <v>0.91469999999999996</v>
      </c>
      <c r="AZ391" s="1894">
        <v>16.07</v>
      </c>
      <c r="BA391" s="1894">
        <v>13885</v>
      </c>
      <c r="BB391" s="1894">
        <f t="shared" ref="BB391:BB454" si="170">+ROUND((24*30*0.6*AW391),0)</f>
        <v>59823</v>
      </c>
      <c r="BC391" s="1894">
        <f t="shared" ref="BC391:BC454" si="171">+MAX((BA391-BB391),0)</f>
        <v>0</v>
      </c>
      <c r="BD391" s="1894">
        <v>255</v>
      </c>
      <c r="BE391" s="1894">
        <v>32.4</v>
      </c>
      <c r="BF391" s="1894">
        <v>204</v>
      </c>
      <c r="BG391" s="1894">
        <v>0.876</v>
      </c>
      <c r="BH391" s="1894">
        <v>53.19</v>
      </c>
      <c r="BI391" s="1894">
        <v>14475</v>
      </c>
      <c r="BJ391" s="1894">
        <f t="shared" ref="BJ391:BJ454" si="172">+ROUND((24*31*0.6*BE391),0)</f>
        <v>14463</v>
      </c>
      <c r="BK391" s="1894">
        <f t="shared" ref="BK391:BK454" si="173">+MAX((BI391-BJ391),0)</f>
        <v>12</v>
      </c>
      <c r="BL391" s="1894">
        <v>255</v>
      </c>
      <c r="BM391" s="1894">
        <v>30</v>
      </c>
      <c r="BN391" s="1894">
        <v>204</v>
      </c>
      <c r="BO391" s="1894">
        <v>0.75919999999999999</v>
      </c>
      <c r="BP391" s="1894">
        <v>47.34</v>
      </c>
      <c r="BQ391" s="1894">
        <v>10226</v>
      </c>
      <c r="BR391" s="1894">
        <f t="shared" ref="BR391:BR454" si="174">+ROUND((24*30*0.6*BM391),0)</f>
        <v>12960</v>
      </c>
      <c r="BS391" s="1894">
        <f t="shared" ref="BS391:BS454" si="175">+MAX((BQ391-BR391),0)</f>
        <v>0</v>
      </c>
      <c r="BT391" s="1894">
        <v>255</v>
      </c>
      <c r="BU391" s="1894">
        <v>108.6</v>
      </c>
      <c r="BV391" s="1894">
        <v>204</v>
      </c>
      <c r="BW391" s="1894">
        <v>0.64790000000000003</v>
      </c>
      <c r="BX391" s="1894">
        <v>10.47</v>
      </c>
      <c r="BY391" s="1894">
        <v>8458</v>
      </c>
      <c r="BZ391" s="1894">
        <f t="shared" ref="BZ391:BZ454" si="176">+ROUND((24*31*0.6*BU391),0)</f>
        <v>48479</v>
      </c>
      <c r="CA391" s="1894">
        <f t="shared" ref="CA391:CA454" si="177">+MAX((BY391-BZ391),0)</f>
        <v>0</v>
      </c>
      <c r="CB391" s="1894">
        <v>255</v>
      </c>
      <c r="CC391" s="1894">
        <v>114.12</v>
      </c>
      <c r="CD391" s="1894">
        <v>204</v>
      </c>
      <c r="CE391" s="1894">
        <v>0.72929999999999995</v>
      </c>
      <c r="CF391" s="1894">
        <v>10.35</v>
      </c>
      <c r="CG391" s="1894">
        <v>8786</v>
      </c>
      <c r="CH391" s="1894">
        <f t="shared" ref="CH391:CH454" si="178">+ROUND((24*31*0.6*CC391),0)</f>
        <v>50943</v>
      </c>
      <c r="CI391" s="1894">
        <f t="shared" ref="CI391:CI454" si="179">+MAX((CG391-CH391),0)</f>
        <v>0</v>
      </c>
      <c r="CJ391" s="1894">
        <v>255</v>
      </c>
      <c r="CK391" s="1894">
        <v>96.72</v>
      </c>
      <c r="CL391" s="1894">
        <v>204</v>
      </c>
      <c r="CM391" s="1894">
        <v>0.75760000000000005</v>
      </c>
      <c r="CN391" s="1894">
        <v>11.35</v>
      </c>
      <c r="CO391" s="1894">
        <v>7377</v>
      </c>
      <c r="CP391" s="1894">
        <f t="shared" ref="CP391:CP454" si="180">+ROUND((24*28*0.6*CK391),0)</f>
        <v>38998</v>
      </c>
      <c r="CQ391" s="1894">
        <f t="shared" ref="CQ391:CQ454" si="181">+MAX((CO391-CP391),0)</f>
        <v>0</v>
      </c>
      <c r="CR391" s="1924">
        <v>255</v>
      </c>
      <c r="CS391" s="1924">
        <v>119.4</v>
      </c>
      <c r="CT391" s="1924">
        <v>204</v>
      </c>
      <c r="CU391" s="1924">
        <v>0.87880000000000003</v>
      </c>
      <c r="CV391" s="1924">
        <v>12.56</v>
      </c>
      <c r="CW391" s="1924">
        <v>11159</v>
      </c>
      <c r="CX391" s="1894">
        <f t="shared" ref="CX391:CX454" si="182">+ROUND((24*31*0.6*CS391),0)</f>
        <v>53300</v>
      </c>
      <c r="CY391" s="1894">
        <f t="shared" ref="CY391:CY454" si="183">+MAX((CW391-CX391),0)</f>
        <v>0</v>
      </c>
    </row>
    <row r="392" spans="1:103">
      <c r="A392" s="982">
        <v>121000000059</v>
      </c>
      <c r="B392" s="1923">
        <f t="shared" ref="B392:B455" si="184">+B391+1</f>
        <v>386</v>
      </c>
      <c r="C392" s="1895" t="s">
        <v>3271</v>
      </c>
      <c r="D392" s="1894" t="s">
        <v>524</v>
      </c>
      <c r="E392" s="1895" t="s">
        <v>636</v>
      </c>
      <c r="F392" s="1894" t="s">
        <v>259</v>
      </c>
      <c r="G392" s="1924">
        <v>256</v>
      </c>
      <c r="H392" s="1894">
        <v>256</v>
      </c>
      <c r="I392" s="1894">
        <v>104.39999999999999</v>
      </c>
      <c r="J392" s="1894">
        <v>204.8</v>
      </c>
      <c r="K392" s="1894">
        <v>0.99150000000000005</v>
      </c>
      <c r="L392" s="1894">
        <v>47.19</v>
      </c>
      <c r="M392" s="1894">
        <v>35472</v>
      </c>
      <c r="N392" s="1894">
        <f t="shared" si="162"/>
        <v>45101</v>
      </c>
      <c r="O392" s="1894">
        <f t="shared" si="163"/>
        <v>0</v>
      </c>
      <c r="P392" s="1894">
        <v>256</v>
      </c>
      <c r="Q392" s="1894">
        <v>87.84</v>
      </c>
      <c r="R392" s="1894">
        <v>204.8</v>
      </c>
      <c r="S392" s="1894">
        <v>0.99180000000000001</v>
      </c>
      <c r="T392" s="1894">
        <v>50.83</v>
      </c>
      <c r="U392" s="1894">
        <v>27861</v>
      </c>
      <c r="V392" s="1894">
        <f t="shared" si="164"/>
        <v>39212</v>
      </c>
      <c r="W392" s="1894">
        <f t="shared" si="165"/>
        <v>0</v>
      </c>
      <c r="X392" s="1894">
        <v>256</v>
      </c>
      <c r="Y392" s="1894">
        <v>90.960000000000008</v>
      </c>
      <c r="Z392" s="1894">
        <v>204.8</v>
      </c>
      <c r="AA392" s="1894">
        <v>0.99070000000000003</v>
      </c>
      <c r="AB392" s="1894">
        <v>47.89</v>
      </c>
      <c r="AC392" s="1894">
        <v>36591</v>
      </c>
      <c r="AD392" s="1894">
        <f t="shared" si="166"/>
        <v>39295</v>
      </c>
      <c r="AE392" s="1894">
        <f t="shared" si="167"/>
        <v>0</v>
      </c>
      <c r="AF392" s="1894">
        <v>256</v>
      </c>
      <c r="AG392" s="1894">
        <v>90.240000000000009</v>
      </c>
      <c r="AH392" s="1894">
        <v>204.8</v>
      </c>
      <c r="AI392" s="1894">
        <v>0.99109999999999998</v>
      </c>
      <c r="AJ392" s="1894">
        <v>42.32</v>
      </c>
      <c r="AK392" s="1894">
        <v>28413</v>
      </c>
      <c r="AL392" s="1894">
        <f t="shared" si="160"/>
        <v>40283</v>
      </c>
      <c r="AM392" s="1894">
        <f t="shared" si="161"/>
        <v>0</v>
      </c>
      <c r="AN392" s="1894">
        <v>256</v>
      </c>
      <c r="AO392" s="1894">
        <v>95.759999999999991</v>
      </c>
      <c r="AP392" s="1894">
        <v>204.8</v>
      </c>
      <c r="AQ392" s="1894">
        <v>0.98709999999999998</v>
      </c>
      <c r="AR392" s="1894">
        <v>38.26</v>
      </c>
      <c r="AS392" s="1894">
        <v>27261</v>
      </c>
      <c r="AT392" s="1894">
        <f t="shared" si="168"/>
        <v>42747</v>
      </c>
      <c r="AU392" s="1894">
        <f t="shared" si="169"/>
        <v>0</v>
      </c>
      <c r="AV392" s="1894">
        <v>256</v>
      </c>
      <c r="AW392" s="1894">
        <v>90.47999999999999</v>
      </c>
      <c r="AX392" s="1894">
        <v>204.8</v>
      </c>
      <c r="AY392" s="1894">
        <v>0.98919999999999997</v>
      </c>
      <c r="AZ392" s="1894">
        <v>44.8</v>
      </c>
      <c r="BA392" s="1894">
        <v>29184</v>
      </c>
      <c r="BB392" s="1894">
        <f t="shared" si="170"/>
        <v>39087</v>
      </c>
      <c r="BC392" s="1894">
        <f t="shared" si="171"/>
        <v>0</v>
      </c>
      <c r="BD392" s="1894">
        <v>256</v>
      </c>
      <c r="BE392" s="1894">
        <v>87.12</v>
      </c>
      <c r="BF392" s="1894">
        <v>204.8</v>
      </c>
      <c r="BG392" s="1894">
        <v>0.98709999999999998</v>
      </c>
      <c r="BH392" s="1894">
        <v>43.26</v>
      </c>
      <c r="BI392" s="1894">
        <v>28038</v>
      </c>
      <c r="BJ392" s="1894">
        <f t="shared" si="172"/>
        <v>38890</v>
      </c>
      <c r="BK392" s="1894">
        <f t="shared" si="173"/>
        <v>0</v>
      </c>
      <c r="BL392" s="1894">
        <v>256</v>
      </c>
      <c r="BM392" s="1894">
        <v>78.720000000000013</v>
      </c>
      <c r="BN392" s="1894">
        <v>204.8</v>
      </c>
      <c r="BO392" s="1894">
        <v>0.98050000000000004</v>
      </c>
      <c r="BP392" s="1894">
        <v>51.94</v>
      </c>
      <c r="BQ392" s="1894">
        <v>29439</v>
      </c>
      <c r="BR392" s="1894">
        <f t="shared" si="174"/>
        <v>34007</v>
      </c>
      <c r="BS392" s="1894">
        <f t="shared" si="175"/>
        <v>0</v>
      </c>
      <c r="BT392" s="1894">
        <v>256</v>
      </c>
      <c r="BU392" s="1894">
        <v>54.96</v>
      </c>
      <c r="BV392" s="1894">
        <v>204.8</v>
      </c>
      <c r="BW392" s="1894">
        <v>0.96730000000000005</v>
      </c>
      <c r="BX392" s="1894">
        <v>56.58</v>
      </c>
      <c r="BY392" s="1894">
        <v>23136</v>
      </c>
      <c r="BZ392" s="1894">
        <f t="shared" si="176"/>
        <v>24534</v>
      </c>
      <c r="CA392" s="1894">
        <f t="shared" si="177"/>
        <v>0</v>
      </c>
      <c r="CB392" s="1894">
        <v>256</v>
      </c>
      <c r="CC392" s="1894">
        <v>70.319999999999993</v>
      </c>
      <c r="CD392" s="1894">
        <v>204.8</v>
      </c>
      <c r="CE392" s="1894">
        <v>0.97019999999999995</v>
      </c>
      <c r="CF392" s="1894">
        <v>37.340000000000003</v>
      </c>
      <c r="CG392" s="1894">
        <v>19533</v>
      </c>
      <c r="CH392" s="1894">
        <f t="shared" si="178"/>
        <v>31391</v>
      </c>
      <c r="CI392" s="1894">
        <f t="shared" si="179"/>
        <v>0</v>
      </c>
      <c r="CJ392" s="1894">
        <v>256</v>
      </c>
      <c r="CK392" s="1894">
        <v>83.28</v>
      </c>
      <c r="CL392" s="1894">
        <v>204.8</v>
      </c>
      <c r="CM392" s="1894">
        <v>0.98860000000000003</v>
      </c>
      <c r="CN392" s="1894">
        <v>51.79</v>
      </c>
      <c r="CO392" s="1894">
        <v>28983</v>
      </c>
      <c r="CP392" s="1894">
        <f t="shared" si="180"/>
        <v>33578</v>
      </c>
      <c r="CQ392" s="1894">
        <f t="shared" si="181"/>
        <v>0</v>
      </c>
      <c r="CR392" s="1924">
        <v>256</v>
      </c>
      <c r="CS392" s="1924">
        <v>83.52</v>
      </c>
      <c r="CT392" s="1924">
        <v>204.8</v>
      </c>
      <c r="CU392" s="1924">
        <v>0.99260000000000004</v>
      </c>
      <c r="CV392" s="1924">
        <v>58.2</v>
      </c>
      <c r="CW392" s="1924">
        <v>36162</v>
      </c>
      <c r="CX392" s="1894">
        <f t="shared" si="182"/>
        <v>37283</v>
      </c>
      <c r="CY392" s="1894">
        <f t="shared" si="183"/>
        <v>0</v>
      </c>
    </row>
    <row r="393" spans="1:103">
      <c r="A393" s="982">
        <v>121000000060</v>
      </c>
      <c r="B393" s="1923">
        <f t="shared" si="184"/>
        <v>387</v>
      </c>
      <c r="C393" s="1895" t="s">
        <v>3272</v>
      </c>
      <c r="D393" s="1894" t="s">
        <v>524</v>
      </c>
      <c r="E393" s="1895" t="s">
        <v>541</v>
      </c>
      <c r="F393" s="1894" t="s">
        <v>259</v>
      </c>
      <c r="G393" s="1924">
        <v>256</v>
      </c>
      <c r="H393" s="1894">
        <v>256</v>
      </c>
      <c r="I393" s="1894">
        <v>111.04</v>
      </c>
      <c r="J393" s="1894">
        <v>204.8</v>
      </c>
      <c r="K393" s="1894">
        <v>0.67910000000000004</v>
      </c>
      <c r="L393" s="1894">
        <v>4.8099999999999996</v>
      </c>
      <c r="M393" s="1894">
        <v>3590</v>
      </c>
      <c r="N393" s="1894">
        <f t="shared" si="162"/>
        <v>47969</v>
      </c>
      <c r="O393" s="1894">
        <f t="shared" si="163"/>
        <v>0</v>
      </c>
      <c r="P393" s="1894">
        <v>256</v>
      </c>
      <c r="Q393" s="1894">
        <v>245.6</v>
      </c>
      <c r="R393" s="1894">
        <v>245.6</v>
      </c>
      <c r="S393" s="1894">
        <v>0.89729999999999999</v>
      </c>
      <c r="T393" s="1894">
        <v>20.98</v>
      </c>
      <c r="U393" s="1894">
        <v>34620</v>
      </c>
      <c r="V393" s="1894">
        <f t="shared" si="164"/>
        <v>109636</v>
      </c>
      <c r="W393" s="1894">
        <f t="shared" si="165"/>
        <v>0</v>
      </c>
      <c r="X393" s="1894">
        <v>256</v>
      </c>
      <c r="Y393" s="1894">
        <v>238.56</v>
      </c>
      <c r="Z393" s="1894">
        <v>238.56</v>
      </c>
      <c r="AA393" s="1894">
        <v>0.91300000000000003</v>
      </c>
      <c r="AB393" s="1894">
        <v>31.23</v>
      </c>
      <c r="AC393" s="1894">
        <v>62572</v>
      </c>
      <c r="AD393" s="1894">
        <f t="shared" si="166"/>
        <v>103058</v>
      </c>
      <c r="AE393" s="1894">
        <f t="shared" si="167"/>
        <v>0</v>
      </c>
      <c r="AF393" s="1894">
        <v>256</v>
      </c>
      <c r="AG393" s="1894">
        <v>116.32000000000001</v>
      </c>
      <c r="AH393" s="1894">
        <v>204.8</v>
      </c>
      <c r="AI393" s="1894">
        <v>0.92830000000000001</v>
      </c>
      <c r="AJ393" s="1894">
        <v>39.200000000000003</v>
      </c>
      <c r="AK393" s="1894">
        <v>33922</v>
      </c>
      <c r="AL393" s="1894">
        <f t="shared" si="160"/>
        <v>51925</v>
      </c>
      <c r="AM393" s="1894">
        <f t="shared" si="161"/>
        <v>0</v>
      </c>
      <c r="AN393" s="1894">
        <v>256</v>
      </c>
      <c r="AO393" s="1894">
        <v>12.8</v>
      </c>
      <c r="AP393" s="1894">
        <v>204.8</v>
      </c>
      <c r="AQ393" s="1894">
        <v>0.56240000000000001</v>
      </c>
      <c r="AR393" s="1894">
        <v>25.39</v>
      </c>
      <c r="AS393" s="1894">
        <v>2418</v>
      </c>
      <c r="AT393" s="1894">
        <f t="shared" si="168"/>
        <v>5714</v>
      </c>
      <c r="AU393" s="1894">
        <f t="shared" si="169"/>
        <v>0</v>
      </c>
      <c r="AV393" s="1894">
        <v>256</v>
      </c>
      <c r="AW393" s="1894">
        <v>80</v>
      </c>
      <c r="AX393" s="1894">
        <v>204.8</v>
      </c>
      <c r="AY393" s="1894">
        <v>0.66169999999999995</v>
      </c>
      <c r="AZ393" s="1894">
        <v>3.53</v>
      </c>
      <c r="BA393" s="1894">
        <v>2034</v>
      </c>
      <c r="BB393" s="1894">
        <f t="shared" si="170"/>
        <v>34560</v>
      </c>
      <c r="BC393" s="1894">
        <f t="shared" si="171"/>
        <v>0</v>
      </c>
      <c r="BD393" s="1894">
        <v>256</v>
      </c>
      <c r="BE393" s="1894">
        <v>119.68</v>
      </c>
      <c r="BF393" s="1894">
        <v>204.8</v>
      </c>
      <c r="BG393" s="1894">
        <v>0.91979999999999995</v>
      </c>
      <c r="BH393" s="1894">
        <v>30.04</v>
      </c>
      <c r="BI393" s="1894">
        <v>21572</v>
      </c>
      <c r="BJ393" s="1894">
        <f t="shared" si="172"/>
        <v>53425</v>
      </c>
      <c r="BK393" s="1894">
        <f t="shared" si="173"/>
        <v>0</v>
      </c>
      <c r="BL393" s="1894">
        <v>256</v>
      </c>
      <c r="BM393" s="1894">
        <v>96.32</v>
      </c>
      <c r="BN393" s="1894">
        <v>204.8</v>
      </c>
      <c r="BO393" s="1894">
        <v>0.88980000000000004</v>
      </c>
      <c r="BP393" s="1894">
        <v>51.22</v>
      </c>
      <c r="BQ393" s="1894">
        <v>41442</v>
      </c>
      <c r="BR393" s="1894">
        <f t="shared" si="174"/>
        <v>41610</v>
      </c>
      <c r="BS393" s="1894">
        <f t="shared" si="175"/>
        <v>0</v>
      </c>
      <c r="BT393" s="1894">
        <v>256</v>
      </c>
      <c r="BU393" s="1894">
        <v>89.28</v>
      </c>
      <c r="BV393" s="1894">
        <v>204.8</v>
      </c>
      <c r="BW393" s="1894">
        <v>0.77710000000000001</v>
      </c>
      <c r="BX393" s="1894">
        <v>7.49</v>
      </c>
      <c r="BY393" s="1894">
        <v>4972</v>
      </c>
      <c r="BZ393" s="1894">
        <f t="shared" si="176"/>
        <v>39855</v>
      </c>
      <c r="CA393" s="1894">
        <f t="shared" si="177"/>
        <v>0</v>
      </c>
      <c r="CB393" s="1894">
        <v>256</v>
      </c>
      <c r="CC393" s="1894">
        <v>8.16</v>
      </c>
      <c r="CD393" s="1894">
        <v>204.8</v>
      </c>
      <c r="CE393" s="1894">
        <v>0.73409999999999997</v>
      </c>
      <c r="CF393" s="1894">
        <v>36.17</v>
      </c>
      <c r="CG393" s="1894">
        <v>2054</v>
      </c>
      <c r="CH393" s="1894">
        <f t="shared" si="178"/>
        <v>3643</v>
      </c>
      <c r="CI393" s="1894">
        <f t="shared" si="179"/>
        <v>0</v>
      </c>
      <c r="CJ393" s="1894">
        <v>256</v>
      </c>
      <c r="CK393" s="1894">
        <v>8.32</v>
      </c>
      <c r="CL393" s="1894">
        <v>204.8</v>
      </c>
      <c r="CM393" s="1894">
        <v>0.87060000000000004</v>
      </c>
      <c r="CN393" s="1894">
        <v>27.65</v>
      </c>
      <c r="CO393" s="1894">
        <v>1546</v>
      </c>
      <c r="CP393" s="1894">
        <f t="shared" si="180"/>
        <v>3355</v>
      </c>
      <c r="CQ393" s="1894">
        <f t="shared" si="181"/>
        <v>0</v>
      </c>
      <c r="CR393" s="1924">
        <v>256</v>
      </c>
      <c r="CS393" s="1924">
        <v>20.32</v>
      </c>
      <c r="CT393" s="1924">
        <v>204.8</v>
      </c>
      <c r="CU393" s="1924">
        <v>0.98680000000000001</v>
      </c>
      <c r="CV393" s="1924">
        <v>8.3000000000000007</v>
      </c>
      <c r="CW393" s="1924">
        <v>1214</v>
      </c>
      <c r="CX393" s="1894">
        <f t="shared" si="182"/>
        <v>9071</v>
      </c>
      <c r="CY393" s="1894">
        <f t="shared" si="183"/>
        <v>0</v>
      </c>
    </row>
    <row r="394" spans="1:103">
      <c r="A394" s="982">
        <v>611000000065</v>
      </c>
      <c r="B394" s="1923">
        <f t="shared" si="184"/>
        <v>388</v>
      </c>
      <c r="C394" s="1895" t="s">
        <v>3273</v>
      </c>
      <c r="D394" s="1894" t="s">
        <v>524</v>
      </c>
      <c r="E394" s="1895" t="s">
        <v>737</v>
      </c>
      <c r="F394" s="1894" t="s">
        <v>259</v>
      </c>
      <c r="G394" s="1924">
        <v>256</v>
      </c>
      <c r="H394" s="1894">
        <v>256</v>
      </c>
      <c r="I394" s="1894">
        <v>72.400000000000006</v>
      </c>
      <c r="J394" s="1894">
        <v>204.8</v>
      </c>
      <c r="K394" s="1894">
        <v>0.96870000000000001</v>
      </c>
      <c r="L394" s="1894">
        <v>52.14</v>
      </c>
      <c r="M394" s="1894">
        <v>27178</v>
      </c>
      <c r="N394" s="1894">
        <f t="shared" si="162"/>
        <v>31277</v>
      </c>
      <c r="O394" s="1894">
        <f t="shared" si="163"/>
        <v>0</v>
      </c>
      <c r="P394" s="1894">
        <v>256</v>
      </c>
      <c r="Q394" s="1894">
        <v>69</v>
      </c>
      <c r="R394" s="1894">
        <v>204.8</v>
      </c>
      <c r="S394" s="1894">
        <v>0.9657</v>
      </c>
      <c r="T394" s="1894">
        <v>42.67</v>
      </c>
      <c r="U394" s="1894">
        <v>21903</v>
      </c>
      <c r="V394" s="1894">
        <f t="shared" si="164"/>
        <v>30802</v>
      </c>
      <c r="W394" s="1894">
        <f t="shared" si="165"/>
        <v>0</v>
      </c>
      <c r="X394" s="1894">
        <v>256</v>
      </c>
      <c r="Y394" s="1894">
        <v>42.6</v>
      </c>
      <c r="Z394" s="1894">
        <v>204.8</v>
      </c>
      <c r="AA394" s="1894">
        <v>0.92689999999999995</v>
      </c>
      <c r="AB394" s="1894">
        <v>33.15</v>
      </c>
      <c r="AC394" s="1894">
        <v>10168</v>
      </c>
      <c r="AD394" s="1894">
        <f t="shared" si="166"/>
        <v>18403</v>
      </c>
      <c r="AE394" s="1894">
        <f t="shared" si="167"/>
        <v>0</v>
      </c>
      <c r="AF394" s="1894">
        <v>256</v>
      </c>
      <c r="AG394" s="1894">
        <v>61.6</v>
      </c>
      <c r="AH394" s="1894">
        <v>204.8</v>
      </c>
      <c r="AI394" s="1894">
        <v>0.94430000000000003</v>
      </c>
      <c r="AJ394" s="1894">
        <v>31.94</v>
      </c>
      <c r="AK394" s="1894">
        <v>14637</v>
      </c>
      <c r="AL394" s="1894">
        <f t="shared" si="160"/>
        <v>27498</v>
      </c>
      <c r="AM394" s="1894">
        <f t="shared" si="161"/>
        <v>0</v>
      </c>
      <c r="AN394" s="1894">
        <v>256</v>
      </c>
      <c r="AO394" s="1894">
        <v>66</v>
      </c>
      <c r="AP394" s="1894">
        <v>204.8</v>
      </c>
      <c r="AQ394" s="1894">
        <v>0.96299999999999997</v>
      </c>
      <c r="AR394" s="1894">
        <v>51.34</v>
      </c>
      <c r="AS394" s="1894">
        <v>25212</v>
      </c>
      <c r="AT394" s="1894">
        <f t="shared" si="168"/>
        <v>29462</v>
      </c>
      <c r="AU394" s="1894">
        <f t="shared" si="169"/>
        <v>0</v>
      </c>
      <c r="AV394" s="1894">
        <v>256</v>
      </c>
      <c r="AW394" s="1894">
        <v>69</v>
      </c>
      <c r="AX394" s="1894">
        <v>204.8</v>
      </c>
      <c r="AY394" s="1894">
        <v>0.96540000000000004</v>
      </c>
      <c r="AZ394" s="1894">
        <v>53.33</v>
      </c>
      <c r="BA394" s="1894">
        <v>26495</v>
      </c>
      <c r="BB394" s="1894">
        <f t="shared" si="170"/>
        <v>29808</v>
      </c>
      <c r="BC394" s="1894">
        <f t="shared" si="171"/>
        <v>0</v>
      </c>
      <c r="BD394" s="1894">
        <v>256</v>
      </c>
      <c r="BE394" s="1894">
        <v>60.6</v>
      </c>
      <c r="BF394" s="1894">
        <v>204.8</v>
      </c>
      <c r="BG394" s="1894">
        <v>0.92849999999999999</v>
      </c>
      <c r="BH394" s="1894">
        <v>31.26</v>
      </c>
      <c r="BI394" s="1894">
        <v>14095</v>
      </c>
      <c r="BJ394" s="1894">
        <f t="shared" si="172"/>
        <v>27052</v>
      </c>
      <c r="BK394" s="1894">
        <f t="shared" si="173"/>
        <v>0</v>
      </c>
      <c r="BL394" s="1894">
        <v>256</v>
      </c>
      <c r="BM394" s="1894">
        <v>68.400000000000006</v>
      </c>
      <c r="BN394" s="1894">
        <v>204.8</v>
      </c>
      <c r="BO394" s="1894">
        <v>0.92579999999999996</v>
      </c>
      <c r="BP394" s="1894">
        <v>37.92</v>
      </c>
      <c r="BQ394" s="1894">
        <v>18675</v>
      </c>
      <c r="BR394" s="1894">
        <f t="shared" si="174"/>
        <v>29549</v>
      </c>
      <c r="BS394" s="1894">
        <f t="shared" si="175"/>
        <v>0</v>
      </c>
      <c r="BT394" s="1894">
        <v>256</v>
      </c>
      <c r="BU394" s="1894">
        <v>65</v>
      </c>
      <c r="BV394" s="1894">
        <v>204.8</v>
      </c>
      <c r="BW394" s="1894">
        <v>0.90259999999999996</v>
      </c>
      <c r="BX394" s="1894">
        <v>34.19</v>
      </c>
      <c r="BY394" s="1894">
        <v>16533</v>
      </c>
      <c r="BZ394" s="1894">
        <f t="shared" si="176"/>
        <v>29016</v>
      </c>
      <c r="CA394" s="1894">
        <f t="shared" si="177"/>
        <v>0</v>
      </c>
      <c r="CB394" s="1894">
        <v>256</v>
      </c>
      <c r="CC394" s="1894">
        <v>59.8</v>
      </c>
      <c r="CD394" s="1894">
        <v>204.8</v>
      </c>
      <c r="CE394" s="1894">
        <v>0.92669999999999997</v>
      </c>
      <c r="CF394" s="1894">
        <v>40.75</v>
      </c>
      <c r="CG394" s="1894">
        <v>18128</v>
      </c>
      <c r="CH394" s="1894">
        <f t="shared" si="178"/>
        <v>26695</v>
      </c>
      <c r="CI394" s="1894">
        <f t="shared" si="179"/>
        <v>0</v>
      </c>
      <c r="CJ394" s="1894">
        <v>256</v>
      </c>
      <c r="CK394" s="1894">
        <v>65</v>
      </c>
      <c r="CL394" s="1894">
        <v>204.8</v>
      </c>
      <c r="CM394" s="1894">
        <v>0.94899999999999995</v>
      </c>
      <c r="CN394" s="1894">
        <v>43.54</v>
      </c>
      <c r="CO394" s="1894">
        <v>19017</v>
      </c>
      <c r="CP394" s="1894">
        <f t="shared" si="180"/>
        <v>26208</v>
      </c>
      <c r="CQ394" s="1894">
        <f t="shared" si="181"/>
        <v>0</v>
      </c>
      <c r="CR394" s="1924">
        <v>256</v>
      </c>
      <c r="CS394" s="1924">
        <v>64</v>
      </c>
      <c r="CT394" s="1924">
        <v>204.8</v>
      </c>
      <c r="CU394" s="1924">
        <v>0.9587</v>
      </c>
      <c r="CV394" s="1924">
        <v>47.81</v>
      </c>
      <c r="CW394" s="1924">
        <v>22765</v>
      </c>
      <c r="CX394" s="1894">
        <f t="shared" si="182"/>
        <v>28570</v>
      </c>
      <c r="CY394" s="1894">
        <f t="shared" si="183"/>
        <v>0</v>
      </c>
    </row>
    <row r="395" spans="1:103">
      <c r="A395" s="982">
        <v>622000000023</v>
      </c>
      <c r="B395" s="1923">
        <f t="shared" si="184"/>
        <v>389</v>
      </c>
      <c r="C395" s="1895" t="s">
        <v>3274</v>
      </c>
      <c r="D395" s="1894" t="s">
        <v>524</v>
      </c>
      <c r="E395" s="1895" t="s">
        <v>636</v>
      </c>
      <c r="F395" s="1894" t="s">
        <v>259</v>
      </c>
      <c r="G395" s="1924">
        <v>256</v>
      </c>
      <c r="H395" s="1894">
        <v>256</v>
      </c>
      <c r="I395" s="1894">
        <v>111</v>
      </c>
      <c r="J395" s="1894">
        <v>204.8</v>
      </c>
      <c r="K395" s="1894">
        <v>0.96550000000000002</v>
      </c>
      <c r="L395" s="1894">
        <v>37.54</v>
      </c>
      <c r="M395" s="1894">
        <v>30002</v>
      </c>
      <c r="N395" s="1894">
        <f t="shared" si="162"/>
        <v>47952</v>
      </c>
      <c r="O395" s="1894">
        <f t="shared" si="163"/>
        <v>0</v>
      </c>
      <c r="P395" s="1894">
        <v>256</v>
      </c>
      <c r="Q395" s="1894">
        <v>100.08</v>
      </c>
      <c r="R395" s="1894">
        <v>204.8</v>
      </c>
      <c r="S395" s="1894">
        <v>0.95250000000000001</v>
      </c>
      <c r="T395" s="1894">
        <v>39.56</v>
      </c>
      <c r="U395" s="1894">
        <v>29455</v>
      </c>
      <c r="V395" s="1894">
        <f t="shared" si="164"/>
        <v>44676</v>
      </c>
      <c r="W395" s="1894">
        <f t="shared" si="165"/>
        <v>0</v>
      </c>
      <c r="X395" s="1894">
        <v>256</v>
      </c>
      <c r="Y395" s="1894">
        <v>100.56</v>
      </c>
      <c r="Z395" s="1894">
        <v>204.8</v>
      </c>
      <c r="AA395" s="1894">
        <v>0.90139999999999998</v>
      </c>
      <c r="AB395" s="1894">
        <v>35.380000000000003</v>
      </c>
      <c r="AC395" s="1894">
        <v>27872</v>
      </c>
      <c r="AD395" s="1894">
        <f t="shared" si="166"/>
        <v>43442</v>
      </c>
      <c r="AE395" s="1894">
        <f t="shared" si="167"/>
        <v>0</v>
      </c>
      <c r="AF395" s="1894">
        <v>256</v>
      </c>
      <c r="AG395" s="1894">
        <v>96.96</v>
      </c>
      <c r="AH395" s="1894">
        <v>204.8</v>
      </c>
      <c r="AI395" s="1894">
        <v>0.88970000000000005</v>
      </c>
      <c r="AJ395" s="1894">
        <v>29.42</v>
      </c>
      <c r="AK395" s="1894">
        <v>21225</v>
      </c>
      <c r="AL395" s="1894">
        <f t="shared" si="160"/>
        <v>43283</v>
      </c>
      <c r="AM395" s="1894">
        <f t="shared" si="161"/>
        <v>0</v>
      </c>
      <c r="AN395" s="1894">
        <v>256</v>
      </c>
      <c r="AO395" s="1894">
        <v>90.47999999999999</v>
      </c>
      <c r="AP395" s="1894">
        <v>204.8</v>
      </c>
      <c r="AQ395" s="1894">
        <v>0.873</v>
      </c>
      <c r="AR395" s="1894">
        <v>28.61</v>
      </c>
      <c r="AS395" s="1894">
        <v>19260</v>
      </c>
      <c r="AT395" s="1894">
        <f t="shared" si="168"/>
        <v>40390</v>
      </c>
      <c r="AU395" s="1894">
        <f t="shared" si="169"/>
        <v>0</v>
      </c>
      <c r="AV395" s="1894">
        <v>256</v>
      </c>
      <c r="AW395" s="1894">
        <v>115.92</v>
      </c>
      <c r="AX395" s="1894">
        <v>204.8</v>
      </c>
      <c r="AY395" s="1894">
        <v>0.75800000000000001</v>
      </c>
      <c r="AZ395" s="1894">
        <v>32.06</v>
      </c>
      <c r="BA395" s="1894">
        <v>26760</v>
      </c>
      <c r="BB395" s="1894">
        <f t="shared" si="170"/>
        <v>50077</v>
      </c>
      <c r="BC395" s="1894">
        <f t="shared" si="171"/>
        <v>0</v>
      </c>
      <c r="BD395" s="1894">
        <v>256</v>
      </c>
      <c r="BE395" s="1894">
        <v>94.320000000000007</v>
      </c>
      <c r="BF395" s="1894">
        <v>204.8</v>
      </c>
      <c r="BG395" s="1894">
        <v>0.83850000000000002</v>
      </c>
      <c r="BH395" s="1894">
        <v>29.36</v>
      </c>
      <c r="BI395" s="1894">
        <v>20601</v>
      </c>
      <c r="BJ395" s="1894">
        <f t="shared" si="172"/>
        <v>42104</v>
      </c>
      <c r="BK395" s="1894">
        <f t="shared" si="173"/>
        <v>0</v>
      </c>
      <c r="BL395" s="1894">
        <v>256</v>
      </c>
      <c r="BM395" s="1894">
        <v>73.2</v>
      </c>
      <c r="BN395" s="1894">
        <v>204.8</v>
      </c>
      <c r="BO395" s="1894">
        <v>0.61780000000000002</v>
      </c>
      <c r="BP395" s="1894">
        <v>41.94</v>
      </c>
      <c r="BQ395" s="1894">
        <v>22104</v>
      </c>
      <c r="BR395" s="1894">
        <f t="shared" si="174"/>
        <v>31622</v>
      </c>
      <c r="BS395" s="1894">
        <f t="shared" si="175"/>
        <v>0</v>
      </c>
      <c r="BT395" s="1894">
        <v>256</v>
      </c>
      <c r="BU395" s="1894">
        <v>85.68</v>
      </c>
      <c r="BV395" s="1894">
        <v>204.8</v>
      </c>
      <c r="BW395" s="1894">
        <v>0.54700000000000004</v>
      </c>
      <c r="BX395" s="1894">
        <v>33.56</v>
      </c>
      <c r="BY395" s="1894">
        <v>21393</v>
      </c>
      <c r="BZ395" s="1894">
        <f t="shared" si="176"/>
        <v>38248</v>
      </c>
      <c r="CA395" s="1894">
        <f t="shared" si="177"/>
        <v>0</v>
      </c>
      <c r="CB395" s="1894">
        <v>256</v>
      </c>
      <c r="CC395" s="1894">
        <v>76.320000000000007</v>
      </c>
      <c r="CD395" s="1894">
        <v>204.8</v>
      </c>
      <c r="CE395" s="1894">
        <v>0.59589999999999999</v>
      </c>
      <c r="CF395" s="1894">
        <v>34.71</v>
      </c>
      <c r="CG395" s="1894">
        <v>19707</v>
      </c>
      <c r="CH395" s="1894">
        <f t="shared" si="178"/>
        <v>34069</v>
      </c>
      <c r="CI395" s="1894">
        <f t="shared" si="179"/>
        <v>0</v>
      </c>
      <c r="CJ395" s="1894">
        <v>256</v>
      </c>
      <c r="CK395" s="1894">
        <v>53.28</v>
      </c>
      <c r="CL395" s="1894">
        <v>204.8</v>
      </c>
      <c r="CM395" s="1894">
        <v>0.98909999999999998</v>
      </c>
      <c r="CN395" s="1894">
        <v>30.17</v>
      </c>
      <c r="CO395" s="1894">
        <v>10803</v>
      </c>
      <c r="CP395" s="1894">
        <f t="shared" si="180"/>
        <v>21482</v>
      </c>
      <c r="CQ395" s="1894">
        <f t="shared" si="181"/>
        <v>0</v>
      </c>
      <c r="CR395" s="1924">
        <v>256</v>
      </c>
      <c r="CS395" s="1924">
        <v>90.960000000000008</v>
      </c>
      <c r="CT395" s="1924">
        <v>204.8</v>
      </c>
      <c r="CU395" s="1924">
        <v>0.66549999999999998</v>
      </c>
      <c r="CV395" s="1924">
        <v>32.01</v>
      </c>
      <c r="CW395" s="1924">
        <v>21660</v>
      </c>
      <c r="CX395" s="1894">
        <f t="shared" si="182"/>
        <v>40605</v>
      </c>
      <c r="CY395" s="1894">
        <f t="shared" si="183"/>
        <v>0</v>
      </c>
    </row>
    <row r="396" spans="1:103">
      <c r="A396" s="982">
        <v>121000000017</v>
      </c>
      <c r="B396" s="1923">
        <f t="shared" si="184"/>
        <v>390</v>
      </c>
      <c r="C396" s="1895" t="s">
        <v>3275</v>
      </c>
      <c r="D396" s="1894" t="s">
        <v>524</v>
      </c>
      <c r="E396" s="1895" t="s">
        <v>541</v>
      </c>
      <c r="F396" s="1894" t="s">
        <v>259</v>
      </c>
      <c r="G396" s="1924">
        <v>260</v>
      </c>
      <c r="H396" s="1894">
        <v>260</v>
      </c>
      <c r="I396" s="1894">
        <v>347.68</v>
      </c>
      <c r="J396" s="1894">
        <v>347.68</v>
      </c>
      <c r="K396" s="1894">
        <v>0.87270000000000003</v>
      </c>
      <c r="L396" s="1894">
        <v>44.89</v>
      </c>
      <c r="M396" s="1894">
        <v>112376</v>
      </c>
      <c r="N396" s="1894">
        <f t="shared" si="162"/>
        <v>150198</v>
      </c>
      <c r="O396" s="1894">
        <f t="shared" si="163"/>
        <v>0</v>
      </c>
      <c r="P396" s="1894">
        <v>260</v>
      </c>
      <c r="Q396" s="1894">
        <v>321.91999999999996</v>
      </c>
      <c r="R396" s="1894">
        <v>321.92</v>
      </c>
      <c r="S396" s="1894">
        <v>0.98299999999999998</v>
      </c>
      <c r="T396" s="1894">
        <v>40.799999999999997</v>
      </c>
      <c r="U396" s="1894">
        <v>97722</v>
      </c>
      <c r="V396" s="1894">
        <f t="shared" si="164"/>
        <v>143705</v>
      </c>
      <c r="W396" s="1894">
        <f t="shared" si="165"/>
        <v>0</v>
      </c>
      <c r="X396" s="1894">
        <v>260</v>
      </c>
      <c r="Y396" s="1894">
        <v>271.20000000000005</v>
      </c>
      <c r="Z396" s="1894">
        <v>271.2</v>
      </c>
      <c r="AA396" s="1894">
        <v>0.9889</v>
      </c>
      <c r="AB396" s="1894">
        <v>44.92</v>
      </c>
      <c r="AC396" s="1894">
        <v>87708</v>
      </c>
      <c r="AD396" s="1894">
        <f t="shared" si="166"/>
        <v>117158</v>
      </c>
      <c r="AE396" s="1894">
        <f t="shared" si="167"/>
        <v>0</v>
      </c>
      <c r="AF396" s="1894">
        <v>260</v>
      </c>
      <c r="AG396" s="1894">
        <v>282.56</v>
      </c>
      <c r="AH396" s="1894">
        <v>282.56</v>
      </c>
      <c r="AI396" s="1894">
        <v>0.98170000000000002</v>
      </c>
      <c r="AJ396" s="1894">
        <v>36</v>
      </c>
      <c r="AK396" s="1894">
        <v>75682</v>
      </c>
      <c r="AL396" s="1894">
        <f t="shared" si="160"/>
        <v>126135</v>
      </c>
      <c r="AM396" s="1894">
        <f t="shared" si="161"/>
        <v>0</v>
      </c>
      <c r="AN396" s="1894">
        <v>260</v>
      </c>
      <c r="AO396" s="1894">
        <v>265.28000000000003</v>
      </c>
      <c r="AP396" s="1894">
        <v>265.27999999999997</v>
      </c>
      <c r="AQ396" s="1894">
        <v>0.96460000000000001</v>
      </c>
      <c r="AR396" s="1894">
        <v>50.29</v>
      </c>
      <c r="AS396" s="1894">
        <v>99252</v>
      </c>
      <c r="AT396" s="1894">
        <f t="shared" si="168"/>
        <v>118421</v>
      </c>
      <c r="AU396" s="1894">
        <f t="shared" si="169"/>
        <v>0</v>
      </c>
      <c r="AV396" s="1894">
        <v>260</v>
      </c>
      <c r="AW396" s="1894">
        <v>298.39999999999998</v>
      </c>
      <c r="AX396" s="1894">
        <v>298.39999999999998</v>
      </c>
      <c r="AY396" s="1894">
        <v>0.95199999999999996</v>
      </c>
      <c r="AZ396" s="1894">
        <v>46.81</v>
      </c>
      <c r="BA396" s="1894">
        <v>100562</v>
      </c>
      <c r="BB396" s="1894">
        <f t="shared" si="170"/>
        <v>128909</v>
      </c>
      <c r="BC396" s="1894">
        <f t="shared" si="171"/>
        <v>0</v>
      </c>
      <c r="BD396" s="1894">
        <v>260</v>
      </c>
      <c r="BE396" s="1894">
        <v>264.8</v>
      </c>
      <c r="BF396" s="1894">
        <v>264.8</v>
      </c>
      <c r="BG396" s="1894">
        <v>0.96819999999999995</v>
      </c>
      <c r="BH396" s="1894">
        <v>26.32</v>
      </c>
      <c r="BI396" s="1894">
        <v>51856</v>
      </c>
      <c r="BJ396" s="1894">
        <f t="shared" si="172"/>
        <v>118207</v>
      </c>
      <c r="BK396" s="1894">
        <f t="shared" si="173"/>
        <v>0</v>
      </c>
      <c r="BL396" s="1894">
        <v>260</v>
      </c>
      <c r="BM396" s="1894">
        <v>12.16</v>
      </c>
      <c r="BN396" s="1894">
        <v>208</v>
      </c>
      <c r="BO396" s="1894">
        <v>1</v>
      </c>
      <c r="BP396" s="1894">
        <v>36.07</v>
      </c>
      <c r="BQ396" s="1894">
        <v>3158</v>
      </c>
      <c r="BR396" s="1894">
        <f t="shared" si="174"/>
        <v>5253</v>
      </c>
      <c r="BS396" s="1894">
        <f t="shared" si="175"/>
        <v>0</v>
      </c>
      <c r="BT396" s="1894">
        <v>260</v>
      </c>
      <c r="BU396" s="1894">
        <v>30.72</v>
      </c>
      <c r="BV396" s="1894">
        <v>208</v>
      </c>
      <c r="BW396" s="1894">
        <v>0.99919999999999998</v>
      </c>
      <c r="BX396" s="1894">
        <v>12.13</v>
      </c>
      <c r="BY396" s="1894">
        <v>2772</v>
      </c>
      <c r="BZ396" s="1894">
        <f t="shared" si="176"/>
        <v>13713</v>
      </c>
      <c r="CA396" s="1894">
        <f t="shared" si="177"/>
        <v>0</v>
      </c>
      <c r="CB396" s="1894">
        <v>260</v>
      </c>
      <c r="CC396" s="1894">
        <v>225.92</v>
      </c>
      <c r="CD396" s="1894">
        <v>225.92</v>
      </c>
      <c r="CE396" s="1894">
        <v>0.95279999999999998</v>
      </c>
      <c r="CF396" s="1894">
        <v>38.78</v>
      </c>
      <c r="CG396" s="1894">
        <v>65184</v>
      </c>
      <c r="CH396" s="1894">
        <f t="shared" si="178"/>
        <v>100851</v>
      </c>
      <c r="CI396" s="1894">
        <f t="shared" si="179"/>
        <v>0</v>
      </c>
      <c r="CJ396" s="1894">
        <v>260</v>
      </c>
      <c r="CK396" s="1894">
        <v>239.36</v>
      </c>
      <c r="CL396" s="1894">
        <v>239.36</v>
      </c>
      <c r="CM396" s="1894">
        <v>0.94850000000000001</v>
      </c>
      <c r="CN396" s="1894">
        <v>40.590000000000003</v>
      </c>
      <c r="CO396" s="1894">
        <v>65288</v>
      </c>
      <c r="CP396" s="1894">
        <f t="shared" si="180"/>
        <v>96510</v>
      </c>
      <c r="CQ396" s="1894">
        <f t="shared" si="181"/>
        <v>0</v>
      </c>
      <c r="CR396" s="1924">
        <v>260</v>
      </c>
      <c r="CS396" s="1924">
        <v>220.16</v>
      </c>
      <c r="CT396" s="1924">
        <v>220.16</v>
      </c>
      <c r="CU396" s="1924">
        <v>0.95579999999999998</v>
      </c>
      <c r="CV396" s="1924">
        <v>39.5</v>
      </c>
      <c r="CW396" s="1924">
        <v>64694</v>
      </c>
      <c r="CX396" s="1894">
        <f t="shared" si="182"/>
        <v>98279</v>
      </c>
      <c r="CY396" s="1894">
        <f t="shared" si="183"/>
        <v>0</v>
      </c>
    </row>
    <row r="397" spans="1:103">
      <c r="A397" s="982">
        <v>124000000032</v>
      </c>
      <c r="B397" s="1923">
        <f t="shared" si="184"/>
        <v>391</v>
      </c>
      <c r="C397" s="1895" t="s">
        <v>3276</v>
      </c>
      <c r="D397" s="1894" t="s">
        <v>524</v>
      </c>
      <c r="E397" s="1895" t="s">
        <v>541</v>
      </c>
      <c r="F397" s="1894" t="s">
        <v>259</v>
      </c>
      <c r="G397" s="1924">
        <v>260</v>
      </c>
      <c r="H397" s="1894">
        <v>260</v>
      </c>
      <c r="I397" s="1894">
        <v>174.18</v>
      </c>
      <c r="J397" s="1894">
        <v>208</v>
      </c>
      <c r="K397" s="1894">
        <v>0.96279999999999999</v>
      </c>
      <c r="L397" s="1894">
        <v>24.75</v>
      </c>
      <c r="M397" s="1894">
        <v>31038</v>
      </c>
      <c r="N397" s="1894">
        <f t="shared" si="162"/>
        <v>75246</v>
      </c>
      <c r="O397" s="1894">
        <f t="shared" si="163"/>
        <v>0</v>
      </c>
      <c r="P397" s="1894">
        <v>260</v>
      </c>
      <c r="Q397" s="1894">
        <v>160.80000000000001</v>
      </c>
      <c r="R397" s="1894">
        <v>208</v>
      </c>
      <c r="S397" s="1894">
        <v>0.96540000000000004</v>
      </c>
      <c r="T397" s="1894">
        <v>35.15</v>
      </c>
      <c r="U397" s="1894">
        <v>42054</v>
      </c>
      <c r="V397" s="1894">
        <f t="shared" si="164"/>
        <v>71781</v>
      </c>
      <c r="W397" s="1894">
        <f t="shared" si="165"/>
        <v>0</v>
      </c>
      <c r="X397" s="1894">
        <v>260</v>
      </c>
      <c r="Y397" s="1894">
        <v>206.64</v>
      </c>
      <c r="Z397" s="1894">
        <v>208</v>
      </c>
      <c r="AA397" s="1894">
        <v>0.96870000000000001</v>
      </c>
      <c r="AB397" s="1894">
        <v>31.01</v>
      </c>
      <c r="AC397" s="1894">
        <v>44604</v>
      </c>
      <c r="AD397" s="1894">
        <f t="shared" si="166"/>
        <v>89268</v>
      </c>
      <c r="AE397" s="1894">
        <f t="shared" si="167"/>
        <v>0</v>
      </c>
      <c r="AF397" s="1894">
        <v>260</v>
      </c>
      <c r="AG397" s="1894">
        <v>150.96</v>
      </c>
      <c r="AH397" s="1894">
        <v>208</v>
      </c>
      <c r="AI397" s="1894">
        <v>0.95789999999999997</v>
      </c>
      <c r="AJ397" s="1894">
        <v>31.11</v>
      </c>
      <c r="AK397" s="1894">
        <v>29301</v>
      </c>
      <c r="AL397" s="1894">
        <f t="shared" si="160"/>
        <v>67389</v>
      </c>
      <c r="AM397" s="1894">
        <f t="shared" si="161"/>
        <v>0</v>
      </c>
      <c r="AN397" s="1894">
        <v>260</v>
      </c>
      <c r="AO397" s="1894">
        <v>182.64000000000001</v>
      </c>
      <c r="AP397" s="1894">
        <v>208</v>
      </c>
      <c r="AQ397" s="1894">
        <v>0.97070000000000001</v>
      </c>
      <c r="AR397" s="1894">
        <v>32.68</v>
      </c>
      <c r="AS397" s="1894">
        <v>53004</v>
      </c>
      <c r="AT397" s="1894">
        <f t="shared" si="168"/>
        <v>81530</v>
      </c>
      <c r="AU397" s="1894">
        <f t="shared" si="169"/>
        <v>0</v>
      </c>
      <c r="AV397" s="1894">
        <v>260</v>
      </c>
      <c r="AW397" s="1894">
        <v>143.04</v>
      </c>
      <c r="AX397" s="1894">
        <v>208</v>
      </c>
      <c r="AY397" s="1894">
        <v>0.98109999999999997</v>
      </c>
      <c r="AZ397" s="1894">
        <v>32.659999999999997</v>
      </c>
      <c r="BA397" s="1894">
        <v>30273</v>
      </c>
      <c r="BB397" s="1894">
        <f t="shared" si="170"/>
        <v>61793</v>
      </c>
      <c r="BC397" s="1894">
        <f t="shared" si="171"/>
        <v>0</v>
      </c>
      <c r="BD397" s="1894">
        <v>260</v>
      </c>
      <c r="BE397" s="1894">
        <v>173.52</v>
      </c>
      <c r="BF397" s="1894">
        <v>208</v>
      </c>
      <c r="BG397" s="1894">
        <v>0.98329999999999995</v>
      </c>
      <c r="BH397" s="1894">
        <v>35.21</v>
      </c>
      <c r="BI397" s="1894">
        <v>49854</v>
      </c>
      <c r="BJ397" s="1894">
        <f t="shared" si="172"/>
        <v>77459</v>
      </c>
      <c r="BK397" s="1894">
        <f t="shared" si="173"/>
        <v>0</v>
      </c>
      <c r="BL397" s="1894">
        <v>260</v>
      </c>
      <c r="BM397" s="1894">
        <v>150.24</v>
      </c>
      <c r="BN397" s="1894">
        <v>208</v>
      </c>
      <c r="BO397" s="1894">
        <v>0.95450000000000002</v>
      </c>
      <c r="BP397" s="1894">
        <v>32.07</v>
      </c>
      <c r="BQ397" s="1894">
        <v>34689</v>
      </c>
      <c r="BR397" s="1894">
        <f t="shared" si="174"/>
        <v>64904</v>
      </c>
      <c r="BS397" s="1894">
        <f t="shared" si="175"/>
        <v>0</v>
      </c>
      <c r="BT397" s="1894">
        <v>260</v>
      </c>
      <c r="BU397" s="1894">
        <v>196.32</v>
      </c>
      <c r="BV397" s="1894">
        <v>208</v>
      </c>
      <c r="BW397" s="1894">
        <v>0.97950000000000004</v>
      </c>
      <c r="BX397" s="1894">
        <v>36.01</v>
      </c>
      <c r="BY397" s="1894">
        <v>52593</v>
      </c>
      <c r="BZ397" s="1894">
        <f t="shared" si="176"/>
        <v>87637</v>
      </c>
      <c r="CA397" s="1894">
        <f t="shared" si="177"/>
        <v>0</v>
      </c>
      <c r="CB397" s="1894">
        <v>260</v>
      </c>
      <c r="CC397" s="1894">
        <v>215.28</v>
      </c>
      <c r="CD397" s="1894">
        <v>215.28</v>
      </c>
      <c r="CE397" s="1894">
        <v>0.9718</v>
      </c>
      <c r="CF397" s="1894">
        <v>32.64</v>
      </c>
      <c r="CG397" s="1894">
        <v>52281</v>
      </c>
      <c r="CH397" s="1894">
        <f t="shared" si="178"/>
        <v>96101</v>
      </c>
      <c r="CI397" s="1894">
        <f t="shared" si="179"/>
        <v>0</v>
      </c>
      <c r="CJ397" s="1894">
        <v>260</v>
      </c>
      <c r="CK397" s="1894">
        <v>223.92</v>
      </c>
      <c r="CL397" s="1894">
        <v>223.92</v>
      </c>
      <c r="CM397" s="1894">
        <v>0.98909999999999998</v>
      </c>
      <c r="CN397" s="1894">
        <v>40.32</v>
      </c>
      <c r="CO397" s="1894">
        <v>60675</v>
      </c>
      <c r="CP397" s="1894">
        <f t="shared" si="180"/>
        <v>90285</v>
      </c>
      <c r="CQ397" s="1894">
        <f t="shared" si="181"/>
        <v>0</v>
      </c>
      <c r="CR397" s="1924">
        <v>260</v>
      </c>
      <c r="CS397" s="1924">
        <v>249.84</v>
      </c>
      <c r="CT397" s="1924">
        <v>249.84</v>
      </c>
      <c r="CU397" s="1924">
        <v>0.99309999999999998</v>
      </c>
      <c r="CV397" s="1924">
        <v>37.47</v>
      </c>
      <c r="CW397" s="1924">
        <v>69645</v>
      </c>
      <c r="CX397" s="1894">
        <f t="shared" si="182"/>
        <v>111529</v>
      </c>
      <c r="CY397" s="1894">
        <f t="shared" si="183"/>
        <v>0</v>
      </c>
    </row>
    <row r="398" spans="1:103">
      <c r="A398" s="982">
        <v>121000000100</v>
      </c>
      <c r="B398" s="1923">
        <f t="shared" si="184"/>
        <v>392</v>
      </c>
      <c r="C398" s="1895" t="s">
        <v>3277</v>
      </c>
      <c r="D398" s="1894" t="s">
        <v>524</v>
      </c>
      <c r="E398" s="1895" t="s">
        <v>2966</v>
      </c>
      <c r="F398" s="1894" t="s">
        <v>259</v>
      </c>
      <c r="G398" s="1924">
        <v>267</v>
      </c>
      <c r="H398" s="1894">
        <v>0</v>
      </c>
      <c r="I398" s="1894">
        <v>0</v>
      </c>
      <c r="J398" s="1894">
        <v>0</v>
      </c>
      <c r="K398" s="1894">
        <v>0</v>
      </c>
      <c r="L398" s="1894">
        <v>0</v>
      </c>
      <c r="M398" s="1894">
        <v>0</v>
      </c>
      <c r="N398" s="1894">
        <f t="shared" si="162"/>
        <v>0</v>
      </c>
      <c r="O398" s="1894">
        <f t="shared" si="163"/>
        <v>0</v>
      </c>
      <c r="P398" s="1894">
        <v>0</v>
      </c>
      <c r="Q398" s="1894">
        <v>0</v>
      </c>
      <c r="R398" s="1894">
        <v>0</v>
      </c>
      <c r="S398" s="1894">
        <v>0</v>
      </c>
      <c r="T398" s="1894">
        <v>0</v>
      </c>
      <c r="U398" s="1894">
        <v>0</v>
      </c>
      <c r="V398" s="1894">
        <f t="shared" si="164"/>
        <v>0</v>
      </c>
      <c r="W398" s="1894">
        <f t="shared" si="165"/>
        <v>0</v>
      </c>
      <c r="X398" s="1894">
        <v>267</v>
      </c>
      <c r="Y398" s="1894">
        <v>19.2</v>
      </c>
      <c r="Z398" s="1894">
        <v>267</v>
      </c>
      <c r="AA398" s="1894">
        <v>0.46360000000000001</v>
      </c>
      <c r="AB398" s="1894">
        <v>0</v>
      </c>
      <c r="AC398" s="1894">
        <v>522</v>
      </c>
      <c r="AD398" s="1894">
        <f t="shared" si="166"/>
        <v>8294</v>
      </c>
      <c r="AE398" s="1894">
        <f t="shared" si="167"/>
        <v>0</v>
      </c>
      <c r="AF398" s="1894">
        <v>267</v>
      </c>
      <c r="AG398" s="1894">
        <v>5.12</v>
      </c>
      <c r="AH398" s="1894">
        <v>267</v>
      </c>
      <c r="AI398" s="1894">
        <v>0.4622</v>
      </c>
      <c r="AJ398" s="1894">
        <v>0</v>
      </c>
      <c r="AK398" s="1894">
        <v>688</v>
      </c>
      <c r="AL398" s="1894">
        <f t="shared" si="160"/>
        <v>2286</v>
      </c>
      <c r="AM398" s="1894">
        <f t="shared" si="161"/>
        <v>0</v>
      </c>
      <c r="AN398" s="1894">
        <v>267</v>
      </c>
      <c r="AO398" s="1894">
        <v>8.64</v>
      </c>
      <c r="AP398" s="1894">
        <v>267</v>
      </c>
      <c r="AQ398" s="1894">
        <v>0.34599999999999997</v>
      </c>
      <c r="AR398" s="1894">
        <v>0</v>
      </c>
      <c r="AS398" s="1894">
        <v>1358</v>
      </c>
      <c r="AT398" s="1894">
        <f t="shared" si="168"/>
        <v>3857</v>
      </c>
      <c r="AU398" s="1894">
        <f t="shared" si="169"/>
        <v>0</v>
      </c>
      <c r="AV398" s="1894">
        <v>267</v>
      </c>
      <c r="AW398" s="1894">
        <v>6.5600000000000005</v>
      </c>
      <c r="AX398" s="1894">
        <v>267</v>
      </c>
      <c r="AY398" s="1894">
        <v>0.45079999999999998</v>
      </c>
      <c r="AZ398" s="1894">
        <v>0</v>
      </c>
      <c r="BA398" s="1894">
        <v>936</v>
      </c>
      <c r="BB398" s="1894">
        <f t="shared" si="170"/>
        <v>2834</v>
      </c>
      <c r="BC398" s="1894">
        <f t="shared" si="171"/>
        <v>0</v>
      </c>
      <c r="BD398" s="1894">
        <v>267</v>
      </c>
      <c r="BE398" s="1894">
        <v>11.200000000000001</v>
      </c>
      <c r="BF398" s="1894">
        <v>267</v>
      </c>
      <c r="BG398" s="1894">
        <v>0.32079999999999997</v>
      </c>
      <c r="BH398" s="1894">
        <v>0</v>
      </c>
      <c r="BI398" s="1894">
        <v>1758</v>
      </c>
      <c r="BJ398" s="1894">
        <f t="shared" si="172"/>
        <v>5000</v>
      </c>
      <c r="BK398" s="1894">
        <f t="shared" si="173"/>
        <v>0</v>
      </c>
      <c r="BL398" s="1894">
        <v>267</v>
      </c>
      <c r="BM398" s="1894">
        <v>10.4</v>
      </c>
      <c r="BN398" s="1894">
        <v>267</v>
      </c>
      <c r="BO398" s="1894">
        <v>0.22409999999999999</v>
      </c>
      <c r="BP398" s="1894">
        <v>0</v>
      </c>
      <c r="BQ398" s="1894">
        <v>3694</v>
      </c>
      <c r="BR398" s="1894">
        <f t="shared" si="174"/>
        <v>4493</v>
      </c>
      <c r="BS398" s="1894">
        <f t="shared" si="175"/>
        <v>0</v>
      </c>
      <c r="BT398" s="1894">
        <v>267</v>
      </c>
      <c r="BU398" s="1894">
        <v>11.04</v>
      </c>
      <c r="BV398" s="1894">
        <v>267</v>
      </c>
      <c r="BW398" s="1894">
        <v>0.2114</v>
      </c>
      <c r="BX398" s="1894">
        <v>0</v>
      </c>
      <c r="BY398" s="1894">
        <v>4020</v>
      </c>
      <c r="BZ398" s="1894">
        <f t="shared" si="176"/>
        <v>4928</v>
      </c>
      <c r="CA398" s="1894">
        <f t="shared" si="177"/>
        <v>0</v>
      </c>
      <c r="CB398" s="1894">
        <v>267</v>
      </c>
      <c r="CC398" s="1894">
        <v>9.2799999999999994</v>
      </c>
      <c r="CD398" s="1894">
        <v>267</v>
      </c>
      <c r="CE398" s="1894">
        <v>0.2324</v>
      </c>
      <c r="CF398" s="1894">
        <v>0</v>
      </c>
      <c r="CG398" s="1894">
        <v>3080</v>
      </c>
      <c r="CH398" s="1894">
        <f t="shared" si="178"/>
        <v>4143</v>
      </c>
      <c r="CI398" s="1894">
        <f t="shared" si="179"/>
        <v>0</v>
      </c>
      <c r="CJ398" s="1894">
        <v>267</v>
      </c>
      <c r="CK398" s="1894">
        <v>6.4</v>
      </c>
      <c r="CL398" s="1894">
        <v>267</v>
      </c>
      <c r="CM398" s="1894">
        <v>0.2591</v>
      </c>
      <c r="CN398" s="1894">
        <v>0</v>
      </c>
      <c r="CO398" s="1894">
        <v>2138</v>
      </c>
      <c r="CP398" s="1894">
        <f t="shared" si="180"/>
        <v>2580</v>
      </c>
      <c r="CQ398" s="1894">
        <f t="shared" si="181"/>
        <v>0</v>
      </c>
      <c r="CR398" s="1924">
        <v>267</v>
      </c>
      <c r="CS398" s="1924">
        <v>11.52</v>
      </c>
      <c r="CT398" s="1924">
        <v>267</v>
      </c>
      <c r="CU398" s="1924">
        <v>0.31</v>
      </c>
      <c r="CV398" s="1924">
        <v>0</v>
      </c>
      <c r="CW398" s="1924">
        <v>1574</v>
      </c>
      <c r="CX398" s="1894">
        <f t="shared" si="182"/>
        <v>5143</v>
      </c>
      <c r="CY398" s="1894">
        <f t="shared" si="183"/>
        <v>0</v>
      </c>
    </row>
    <row r="399" spans="1:103">
      <c r="A399" s="982">
        <v>122000000007</v>
      </c>
      <c r="B399" s="1923">
        <f t="shared" si="184"/>
        <v>393</v>
      </c>
      <c r="C399" s="1895" t="s">
        <v>3278</v>
      </c>
      <c r="D399" s="1894" t="s">
        <v>524</v>
      </c>
      <c r="E399" s="1895" t="s">
        <v>541</v>
      </c>
      <c r="F399" s="1894" t="s">
        <v>259</v>
      </c>
      <c r="G399" s="1924">
        <v>268</v>
      </c>
      <c r="H399" s="1894">
        <v>268</v>
      </c>
      <c r="I399" s="1894">
        <v>166.68</v>
      </c>
      <c r="J399" s="1894">
        <v>214.4</v>
      </c>
      <c r="K399" s="1894">
        <v>0.99380000000000002</v>
      </c>
      <c r="L399" s="1894">
        <v>21.71</v>
      </c>
      <c r="M399" s="1894">
        <v>26051</v>
      </c>
      <c r="N399" s="1894">
        <f t="shared" si="162"/>
        <v>72006</v>
      </c>
      <c r="O399" s="1894">
        <f t="shared" si="163"/>
        <v>0</v>
      </c>
      <c r="P399" s="1894">
        <v>268</v>
      </c>
      <c r="Q399" s="1894">
        <v>230.76</v>
      </c>
      <c r="R399" s="1894">
        <v>230.76</v>
      </c>
      <c r="S399" s="1894">
        <v>0.99319999999999997</v>
      </c>
      <c r="T399" s="1894">
        <v>40.71</v>
      </c>
      <c r="U399" s="1894">
        <v>69897</v>
      </c>
      <c r="V399" s="1894">
        <f t="shared" si="164"/>
        <v>103011</v>
      </c>
      <c r="W399" s="1894">
        <f t="shared" si="165"/>
        <v>0</v>
      </c>
      <c r="X399" s="1894">
        <v>268</v>
      </c>
      <c r="Y399" s="1894">
        <v>299.52</v>
      </c>
      <c r="Z399" s="1894">
        <v>299.52</v>
      </c>
      <c r="AA399" s="1894">
        <v>0.99519999999999997</v>
      </c>
      <c r="AB399" s="1894">
        <v>66.650000000000006</v>
      </c>
      <c r="AC399" s="1894">
        <v>143735</v>
      </c>
      <c r="AD399" s="1894">
        <f t="shared" si="166"/>
        <v>129393</v>
      </c>
      <c r="AE399" s="1894">
        <f t="shared" si="167"/>
        <v>14342</v>
      </c>
      <c r="AF399" s="1894">
        <v>268</v>
      </c>
      <c r="AG399" s="1894">
        <v>298.68</v>
      </c>
      <c r="AH399" s="1894">
        <v>298.68</v>
      </c>
      <c r="AI399" s="1894">
        <v>0.99639999999999995</v>
      </c>
      <c r="AJ399" s="1894">
        <v>52.07</v>
      </c>
      <c r="AK399" s="1894">
        <v>111981</v>
      </c>
      <c r="AL399" s="1894">
        <f t="shared" si="160"/>
        <v>133331</v>
      </c>
      <c r="AM399" s="1894">
        <f t="shared" si="161"/>
        <v>0</v>
      </c>
      <c r="AN399" s="1894">
        <v>268</v>
      </c>
      <c r="AO399" s="1894">
        <v>232.32</v>
      </c>
      <c r="AP399" s="1894">
        <v>232.32</v>
      </c>
      <c r="AQ399" s="1894">
        <v>0.99319999999999997</v>
      </c>
      <c r="AR399" s="1894">
        <v>45.43</v>
      </c>
      <c r="AS399" s="1894">
        <v>81051</v>
      </c>
      <c r="AT399" s="1894">
        <f t="shared" si="168"/>
        <v>103708</v>
      </c>
      <c r="AU399" s="1894">
        <f t="shared" si="169"/>
        <v>0</v>
      </c>
      <c r="AV399" s="1894">
        <v>268</v>
      </c>
      <c r="AW399" s="1894">
        <v>287.28000000000003</v>
      </c>
      <c r="AX399" s="1894">
        <v>287.27999999999997</v>
      </c>
      <c r="AY399" s="1894">
        <v>0.99170000000000003</v>
      </c>
      <c r="AZ399" s="1894">
        <v>33.96</v>
      </c>
      <c r="BA399" s="1894">
        <v>70251</v>
      </c>
      <c r="BB399" s="1894">
        <f t="shared" si="170"/>
        <v>124105</v>
      </c>
      <c r="BC399" s="1894">
        <f t="shared" si="171"/>
        <v>0</v>
      </c>
      <c r="BD399" s="1894">
        <v>268</v>
      </c>
      <c r="BE399" s="1894">
        <v>220.32000000000002</v>
      </c>
      <c r="BF399" s="1894">
        <v>220.32</v>
      </c>
      <c r="BG399" s="1894">
        <v>0.99590000000000001</v>
      </c>
      <c r="BH399" s="1894">
        <v>42.52</v>
      </c>
      <c r="BI399" s="1894">
        <v>67443</v>
      </c>
      <c r="BJ399" s="1894">
        <f t="shared" si="172"/>
        <v>98351</v>
      </c>
      <c r="BK399" s="1894">
        <f t="shared" si="173"/>
        <v>0</v>
      </c>
      <c r="BL399" s="1894">
        <v>268</v>
      </c>
      <c r="BM399" s="1894">
        <v>160.07999999999998</v>
      </c>
      <c r="BN399" s="1894">
        <v>214.4</v>
      </c>
      <c r="BO399" s="1894">
        <v>0.99260000000000004</v>
      </c>
      <c r="BP399" s="1894">
        <v>47.77</v>
      </c>
      <c r="BQ399" s="1894">
        <v>56898</v>
      </c>
      <c r="BR399" s="1894">
        <f t="shared" si="174"/>
        <v>69155</v>
      </c>
      <c r="BS399" s="1894">
        <f t="shared" si="175"/>
        <v>0</v>
      </c>
      <c r="BT399" s="1894">
        <v>268</v>
      </c>
      <c r="BU399" s="1894">
        <v>155.76</v>
      </c>
      <c r="BV399" s="1894">
        <v>214.4</v>
      </c>
      <c r="BW399" s="1894">
        <v>0.99329999999999996</v>
      </c>
      <c r="BX399" s="1894">
        <v>26.61</v>
      </c>
      <c r="BY399" s="1894">
        <v>30840</v>
      </c>
      <c r="BZ399" s="1894">
        <f t="shared" si="176"/>
        <v>69531</v>
      </c>
      <c r="CA399" s="1894">
        <f t="shared" si="177"/>
        <v>0</v>
      </c>
      <c r="CB399" s="1894">
        <v>268</v>
      </c>
      <c r="CC399" s="1894">
        <v>109.56</v>
      </c>
      <c r="CD399" s="1894">
        <v>214.4</v>
      </c>
      <c r="CE399" s="1894">
        <v>0.99660000000000004</v>
      </c>
      <c r="CF399" s="1894">
        <v>22.18</v>
      </c>
      <c r="CG399" s="1894">
        <v>18078</v>
      </c>
      <c r="CH399" s="1894">
        <f t="shared" si="178"/>
        <v>48908</v>
      </c>
      <c r="CI399" s="1894">
        <f t="shared" si="179"/>
        <v>0</v>
      </c>
      <c r="CJ399" s="1894">
        <v>268</v>
      </c>
      <c r="CK399" s="1894">
        <v>114</v>
      </c>
      <c r="CL399" s="1894">
        <v>214.4</v>
      </c>
      <c r="CM399" s="1894">
        <v>0.99960000000000004</v>
      </c>
      <c r="CN399" s="1894">
        <v>32.69</v>
      </c>
      <c r="CO399" s="1894">
        <v>25043</v>
      </c>
      <c r="CP399" s="1894">
        <f t="shared" si="180"/>
        <v>45965</v>
      </c>
      <c r="CQ399" s="1894">
        <f t="shared" si="181"/>
        <v>0</v>
      </c>
      <c r="CR399" s="1924">
        <v>268</v>
      </c>
      <c r="CS399" s="1924">
        <v>113.88</v>
      </c>
      <c r="CT399" s="1924">
        <v>214.4</v>
      </c>
      <c r="CU399" s="1924">
        <v>0.99939999999999996</v>
      </c>
      <c r="CV399" s="1924">
        <v>32.369999999999997</v>
      </c>
      <c r="CW399" s="1924">
        <v>27428</v>
      </c>
      <c r="CX399" s="1894">
        <f t="shared" si="182"/>
        <v>50836</v>
      </c>
      <c r="CY399" s="1894">
        <f t="shared" si="183"/>
        <v>0</v>
      </c>
    </row>
    <row r="400" spans="1:103">
      <c r="A400" s="982">
        <v>622000000149</v>
      </c>
      <c r="B400" s="1923">
        <f t="shared" si="184"/>
        <v>394</v>
      </c>
      <c r="C400" s="1895" t="s">
        <v>3279</v>
      </c>
      <c r="D400" s="1894" t="s">
        <v>524</v>
      </c>
      <c r="E400" s="1895" t="s">
        <v>636</v>
      </c>
      <c r="F400" s="1894" t="s">
        <v>259</v>
      </c>
      <c r="G400" s="1924">
        <v>268</v>
      </c>
      <c r="H400" s="1894">
        <v>268</v>
      </c>
      <c r="I400" s="1894">
        <v>163.84</v>
      </c>
      <c r="J400" s="1894">
        <v>214.4</v>
      </c>
      <c r="K400" s="1894">
        <v>0.84509999999999996</v>
      </c>
      <c r="L400" s="1894">
        <v>41.07</v>
      </c>
      <c r="M400" s="1894">
        <v>58132</v>
      </c>
      <c r="N400" s="1894">
        <f t="shared" si="162"/>
        <v>70779</v>
      </c>
      <c r="O400" s="1894">
        <f t="shared" si="163"/>
        <v>0</v>
      </c>
      <c r="P400" s="1894">
        <v>268</v>
      </c>
      <c r="Q400" s="1894">
        <v>159.20000000000002</v>
      </c>
      <c r="R400" s="1894">
        <v>214.4</v>
      </c>
      <c r="S400" s="1894">
        <v>0.81899999999999995</v>
      </c>
      <c r="T400" s="1894">
        <v>48.02</v>
      </c>
      <c r="U400" s="1894">
        <v>56882</v>
      </c>
      <c r="V400" s="1894">
        <f t="shared" si="164"/>
        <v>71067</v>
      </c>
      <c r="W400" s="1894">
        <f t="shared" si="165"/>
        <v>0</v>
      </c>
      <c r="X400" s="1894">
        <v>268</v>
      </c>
      <c r="Y400" s="1894">
        <v>162.56</v>
      </c>
      <c r="Z400" s="1894">
        <v>214.4</v>
      </c>
      <c r="AA400" s="1894">
        <v>0.82340000000000002</v>
      </c>
      <c r="AB400" s="1894">
        <v>44.97</v>
      </c>
      <c r="AC400" s="1894">
        <v>52640</v>
      </c>
      <c r="AD400" s="1894">
        <f t="shared" si="166"/>
        <v>70226</v>
      </c>
      <c r="AE400" s="1894">
        <f t="shared" si="167"/>
        <v>0</v>
      </c>
      <c r="AF400" s="1894">
        <v>268</v>
      </c>
      <c r="AG400" s="1894">
        <v>121.12</v>
      </c>
      <c r="AH400" s="1894">
        <v>214.4</v>
      </c>
      <c r="AI400" s="1894">
        <v>0.81159999999999999</v>
      </c>
      <c r="AJ400" s="1894">
        <v>48.88</v>
      </c>
      <c r="AK400" s="1894">
        <v>39782</v>
      </c>
      <c r="AL400" s="1894">
        <f t="shared" si="160"/>
        <v>54068</v>
      </c>
      <c r="AM400" s="1894">
        <f t="shared" si="161"/>
        <v>0</v>
      </c>
      <c r="AN400" s="1894">
        <v>268</v>
      </c>
      <c r="AO400" s="1894">
        <v>82.240000000000009</v>
      </c>
      <c r="AP400" s="1894">
        <v>214.4</v>
      </c>
      <c r="AQ400" s="1894">
        <v>0.81479999999999997</v>
      </c>
      <c r="AR400" s="1894">
        <v>71</v>
      </c>
      <c r="AS400" s="1894">
        <v>47646</v>
      </c>
      <c r="AT400" s="1894">
        <f t="shared" si="168"/>
        <v>36712</v>
      </c>
      <c r="AU400" s="1894">
        <f t="shared" si="169"/>
        <v>10934</v>
      </c>
      <c r="AV400" s="1894">
        <v>268</v>
      </c>
      <c r="AW400" s="1894">
        <v>138.88</v>
      </c>
      <c r="AX400" s="1894">
        <v>214.4</v>
      </c>
      <c r="AY400" s="1894">
        <v>0.79649999999999999</v>
      </c>
      <c r="AZ400" s="1894">
        <v>39.86</v>
      </c>
      <c r="BA400" s="1894">
        <v>39862</v>
      </c>
      <c r="BB400" s="1894">
        <f t="shared" si="170"/>
        <v>59996</v>
      </c>
      <c r="BC400" s="1894">
        <f t="shared" si="171"/>
        <v>0</v>
      </c>
      <c r="BD400" s="1894">
        <v>268</v>
      </c>
      <c r="BE400" s="1894">
        <v>118.08000000000001</v>
      </c>
      <c r="BF400" s="1894">
        <v>214.4</v>
      </c>
      <c r="BG400" s="1894">
        <v>0.80930000000000002</v>
      </c>
      <c r="BH400" s="1894">
        <v>36.15</v>
      </c>
      <c r="BI400" s="1894">
        <v>31762</v>
      </c>
      <c r="BJ400" s="1894">
        <f t="shared" si="172"/>
        <v>52711</v>
      </c>
      <c r="BK400" s="1894">
        <f t="shared" si="173"/>
        <v>0</v>
      </c>
      <c r="BL400" s="1894">
        <v>268</v>
      </c>
      <c r="BM400" s="1894">
        <v>97.28</v>
      </c>
      <c r="BN400" s="1894">
        <v>214.4</v>
      </c>
      <c r="BO400" s="1894">
        <v>0.87309999999999999</v>
      </c>
      <c r="BP400" s="1894">
        <v>32.29</v>
      </c>
      <c r="BQ400" s="1894">
        <v>22616</v>
      </c>
      <c r="BR400" s="1894">
        <f t="shared" si="174"/>
        <v>42025</v>
      </c>
      <c r="BS400" s="1894">
        <f t="shared" si="175"/>
        <v>0</v>
      </c>
      <c r="BT400" s="1894">
        <v>268</v>
      </c>
      <c r="BU400" s="1894">
        <v>62.239999999999995</v>
      </c>
      <c r="BV400" s="1894">
        <v>214.4</v>
      </c>
      <c r="BW400" s="1894">
        <v>0.91379999999999995</v>
      </c>
      <c r="BX400" s="1894">
        <v>47.13</v>
      </c>
      <c r="BY400" s="1894">
        <v>21822</v>
      </c>
      <c r="BZ400" s="1894">
        <f t="shared" si="176"/>
        <v>27784</v>
      </c>
      <c r="CA400" s="1894">
        <f t="shared" si="177"/>
        <v>0</v>
      </c>
      <c r="CB400" s="1894">
        <v>268</v>
      </c>
      <c r="CC400" s="1894">
        <v>64.959999999999994</v>
      </c>
      <c r="CD400" s="1894">
        <v>214.4</v>
      </c>
      <c r="CE400" s="1894">
        <v>0.93489999999999995</v>
      </c>
      <c r="CF400" s="1894">
        <v>43.12</v>
      </c>
      <c r="CG400" s="1894">
        <v>20166</v>
      </c>
      <c r="CH400" s="1894">
        <f t="shared" si="178"/>
        <v>28998</v>
      </c>
      <c r="CI400" s="1894">
        <f t="shared" si="179"/>
        <v>0</v>
      </c>
      <c r="CJ400" s="1894">
        <v>268</v>
      </c>
      <c r="CK400" s="1894">
        <v>84.960000000000008</v>
      </c>
      <c r="CL400" s="1894">
        <v>214.4</v>
      </c>
      <c r="CM400" s="1894">
        <v>0.90469999999999995</v>
      </c>
      <c r="CN400" s="1894">
        <v>33.99</v>
      </c>
      <c r="CO400" s="1894">
        <v>20100</v>
      </c>
      <c r="CP400" s="1894">
        <f t="shared" si="180"/>
        <v>34256</v>
      </c>
      <c r="CQ400" s="1894">
        <f t="shared" si="181"/>
        <v>0</v>
      </c>
      <c r="CR400" s="1924">
        <v>268</v>
      </c>
      <c r="CS400" s="1924">
        <v>114.56</v>
      </c>
      <c r="CT400" s="1924">
        <v>214.4</v>
      </c>
      <c r="CU400" s="1924">
        <v>0.86529999999999996</v>
      </c>
      <c r="CV400" s="1924">
        <v>33.020000000000003</v>
      </c>
      <c r="CW400" s="1924">
        <v>28148</v>
      </c>
      <c r="CX400" s="1894">
        <f t="shared" si="182"/>
        <v>51140</v>
      </c>
      <c r="CY400" s="1894">
        <f t="shared" si="183"/>
        <v>0</v>
      </c>
    </row>
    <row r="401" spans="1:103">
      <c r="A401" s="982">
        <v>122000000065</v>
      </c>
      <c r="B401" s="1923">
        <f t="shared" si="184"/>
        <v>395</v>
      </c>
      <c r="C401" s="1895" t="s">
        <v>3280</v>
      </c>
      <c r="D401" s="1894" t="s">
        <v>524</v>
      </c>
      <c r="E401" s="1895" t="s">
        <v>2966</v>
      </c>
      <c r="F401" s="1894" t="s">
        <v>259</v>
      </c>
      <c r="G401" s="1924">
        <v>270</v>
      </c>
      <c r="H401" s="1894">
        <v>270</v>
      </c>
      <c r="I401" s="1894">
        <v>57.96</v>
      </c>
      <c r="J401" s="1894">
        <v>270</v>
      </c>
      <c r="K401" s="1894">
        <v>0.91359999999999997</v>
      </c>
      <c r="L401" s="1894">
        <v>0</v>
      </c>
      <c r="M401" s="1894">
        <v>13299</v>
      </c>
      <c r="N401" s="1894">
        <f t="shared" si="162"/>
        <v>25039</v>
      </c>
      <c r="O401" s="1894">
        <f t="shared" si="163"/>
        <v>0</v>
      </c>
      <c r="P401" s="1894">
        <v>270</v>
      </c>
      <c r="Q401" s="1894">
        <v>66.960000000000008</v>
      </c>
      <c r="R401" s="1894">
        <v>270</v>
      </c>
      <c r="S401" s="1894">
        <v>0.89170000000000005</v>
      </c>
      <c r="T401" s="1894">
        <v>0</v>
      </c>
      <c r="U401" s="1894">
        <v>13068</v>
      </c>
      <c r="V401" s="1894">
        <f t="shared" si="164"/>
        <v>29891</v>
      </c>
      <c r="W401" s="1894">
        <f t="shared" si="165"/>
        <v>0</v>
      </c>
      <c r="X401" s="1894">
        <v>270</v>
      </c>
      <c r="Y401" s="1894">
        <v>33.6</v>
      </c>
      <c r="Z401" s="1894">
        <v>270</v>
      </c>
      <c r="AA401" s="1894">
        <v>0.91869999999999996</v>
      </c>
      <c r="AB401" s="1894">
        <v>0</v>
      </c>
      <c r="AC401" s="1894">
        <v>10036</v>
      </c>
      <c r="AD401" s="1894">
        <f t="shared" si="166"/>
        <v>14515</v>
      </c>
      <c r="AE401" s="1894">
        <f t="shared" si="167"/>
        <v>0</v>
      </c>
      <c r="AF401" s="1894">
        <v>270</v>
      </c>
      <c r="AG401" s="1894">
        <v>48.24</v>
      </c>
      <c r="AH401" s="1894">
        <v>270</v>
      </c>
      <c r="AI401" s="1894">
        <v>0.88739999999999997</v>
      </c>
      <c r="AJ401" s="1894">
        <v>0</v>
      </c>
      <c r="AK401" s="1894">
        <v>11271</v>
      </c>
      <c r="AL401" s="1894">
        <f t="shared" si="160"/>
        <v>21534</v>
      </c>
      <c r="AM401" s="1894">
        <f t="shared" si="161"/>
        <v>0</v>
      </c>
      <c r="AN401" s="1894">
        <v>270</v>
      </c>
      <c r="AO401" s="1894">
        <v>44.88</v>
      </c>
      <c r="AP401" s="1894">
        <v>270</v>
      </c>
      <c r="AQ401" s="1894">
        <v>0.91479999999999995</v>
      </c>
      <c r="AR401" s="1894">
        <v>0</v>
      </c>
      <c r="AS401" s="1894">
        <v>4791</v>
      </c>
      <c r="AT401" s="1894">
        <f t="shared" si="168"/>
        <v>20034</v>
      </c>
      <c r="AU401" s="1894">
        <f t="shared" si="169"/>
        <v>0</v>
      </c>
      <c r="AV401" s="1894">
        <v>270</v>
      </c>
      <c r="AW401" s="1894">
        <v>52.32</v>
      </c>
      <c r="AX401" s="1894">
        <v>270</v>
      </c>
      <c r="AY401" s="1894">
        <v>0.83509999999999995</v>
      </c>
      <c r="AZ401" s="1894">
        <v>0</v>
      </c>
      <c r="BA401" s="1894">
        <v>4415</v>
      </c>
      <c r="BB401" s="1894">
        <f t="shared" si="170"/>
        <v>22602</v>
      </c>
      <c r="BC401" s="1894">
        <f t="shared" si="171"/>
        <v>0</v>
      </c>
      <c r="BD401" s="1894">
        <v>270</v>
      </c>
      <c r="BE401" s="1894">
        <v>56.279999999999994</v>
      </c>
      <c r="BF401" s="1894">
        <v>270</v>
      </c>
      <c r="BG401" s="1894">
        <v>0.81989999999999996</v>
      </c>
      <c r="BH401" s="1894">
        <v>0</v>
      </c>
      <c r="BI401" s="1894">
        <v>6816</v>
      </c>
      <c r="BJ401" s="1894">
        <f t="shared" si="172"/>
        <v>25123</v>
      </c>
      <c r="BK401" s="1894">
        <f t="shared" si="173"/>
        <v>0</v>
      </c>
      <c r="BL401" s="1894">
        <v>270</v>
      </c>
      <c r="BM401" s="1894">
        <v>61.440000000000005</v>
      </c>
      <c r="BN401" s="1894">
        <v>270</v>
      </c>
      <c r="BO401" s="1894">
        <v>0.80710000000000004</v>
      </c>
      <c r="BP401" s="1894">
        <v>0</v>
      </c>
      <c r="BQ401" s="1894">
        <v>7349</v>
      </c>
      <c r="BR401" s="1894">
        <f t="shared" si="174"/>
        <v>26542</v>
      </c>
      <c r="BS401" s="1894">
        <f t="shared" si="175"/>
        <v>0</v>
      </c>
      <c r="BT401" s="1894">
        <v>270</v>
      </c>
      <c r="BU401" s="1894">
        <v>75.240000000000009</v>
      </c>
      <c r="BV401" s="1894">
        <v>270</v>
      </c>
      <c r="BW401" s="1894">
        <v>0.81140000000000001</v>
      </c>
      <c r="BX401" s="1894">
        <v>0</v>
      </c>
      <c r="BY401" s="1894">
        <v>10158</v>
      </c>
      <c r="BZ401" s="1894">
        <f t="shared" si="176"/>
        <v>33587</v>
      </c>
      <c r="CA401" s="1894">
        <f t="shared" si="177"/>
        <v>0</v>
      </c>
      <c r="CB401" s="1894">
        <v>270</v>
      </c>
      <c r="CC401" s="1894">
        <v>67.56</v>
      </c>
      <c r="CD401" s="1894">
        <v>270</v>
      </c>
      <c r="CE401" s="1894">
        <v>0.84489999999999998</v>
      </c>
      <c r="CF401" s="1894">
        <v>0</v>
      </c>
      <c r="CG401" s="1894">
        <v>4225</v>
      </c>
      <c r="CH401" s="1894">
        <f t="shared" si="178"/>
        <v>30159</v>
      </c>
      <c r="CI401" s="1894">
        <f t="shared" si="179"/>
        <v>0</v>
      </c>
      <c r="CJ401" s="1894">
        <v>270</v>
      </c>
      <c r="CK401" s="1894">
        <v>20.88</v>
      </c>
      <c r="CL401" s="1894">
        <v>270</v>
      </c>
      <c r="CM401" s="1894">
        <v>0.85729999999999995</v>
      </c>
      <c r="CN401" s="1894">
        <v>0</v>
      </c>
      <c r="CO401" s="1894">
        <v>3436</v>
      </c>
      <c r="CP401" s="1894">
        <f t="shared" si="180"/>
        <v>8419</v>
      </c>
      <c r="CQ401" s="1894">
        <f t="shared" si="181"/>
        <v>0</v>
      </c>
      <c r="CR401" s="1924">
        <v>270</v>
      </c>
      <c r="CS401" s="1924">
        <v>25.32</v>
      </c>
      <c r="CT401" s="1924">
        <v>270</v>
      </c>
      <c r="CU401" s="1924">
        <v>0.92</v>
      </c>
      <c r="CV401" s="1924">
        <v>0</v>
      </c>
      <c r="CW401" s="1924">
        <v>1650</v>
      </c>
      <c r="CX401" s="1894">
        <f t="shared" si="182"/>
        <v>11303</v>
      </c>
      <c r="CY401" s="1894">
        <f t="shared" si="183"/>
        <v>0</v>
      </c>
    </row>
    <row r="402" spans="1:103">
      <c r="A402" s="982">
        <v>124000000021</v>
      </c>
      <c r="B402" s="1923">
        <f t="shared" si="184"/>
        <v>396</v>
      </c>
      <c r="C402" s="1895" t="s">
        <v>3281</v>
      </c>
      <c r="D402" s="1894" t="s">
        <v>524</v>
      </c>
      <c r="E402" s="1895" t="s">
        <v>541</v>
      </c>
      <c r="F402" s="1894" t="s">
        <v>259</v>
      </c>
      <c r="G402" s="1924">
        <v>270</v>
      </c>
      <c r="H402" s="1894">
        <v>270</v>
      </c>
      <c r="I402" s="1894">
        <v>284.48</v>
      </c>
      <c r="J402" s="1894">
        <v>284.48</v>
      </c>
      <c r="K402" s="1894">
        <v>0.88759999999999994</v>
      </c>
      <c r="L402" s="1894">
        <v>54.81</v>
      </c>
      <c r="M402" s="1894">
        <v>112266</v>
      </c>
      <c r="N402" s="1894">
        <f t="shared" si="162"/>
        <v>122895</v>
      </c>
      <c r="O402" s="1894">
        <f t="shared" si="163"/>
        <v>0</v>
      </c>
      <c r="P402" s="1894">
        <v>270</v>
      </c>
      <c r="Q402" s="1894">
        <v>263.36</v>
      </c>
      <c r="R402" s="1894">
        <v>263.36</v>
      </c>
      <c r="S402" s="1894">
        <v>0.86260000000000003</v>
      </c>
      <c r="T402" s="1894">
        <v>51.29</v>
      </c>
      <c r="U402" s="1894">
        <v>100504</v>
      </c>
      <c r="V402" s="1894">
        <f t="shared" si="164"/>
        <v>117564</v>
      </c>
      <c r="W402" s="1894">
        <f t="shared" si="165"/>
        <v>0</v>
      </c>
      <c r="X402" s="1894">
        <v>270</v>
      </c>
      <c r="Y402" s="1894">
        <v>262.24</v>
      </c>
      <c r="Z402" s="1894">
        <v>262.24</v>
      </c>
      <c r="AA402" s="1894">
        <v>0.84930000000000005</v>
      </c>
      <c r="AB402" s="1894">
        <v>48.97</v>
      </c>
      <c r="AC402" s="1894">
        <v>92462</v>
      </c>
      <c r="AD402" s="1894">
        <f t="shared" si="166"/>
        <v>113288</v>
      </c>
      <c r="AE402" s="1894">
        <f t="shared" si="167"/>
        <v>0</v>
      </c>
      <c r="AF402" s="1894">
        <v>270</v>
      </c>
      <c r="AG402" s="1894">
        <v>252.64000000000001</v>
      </c>
      <c r="AH402" s="1894">
        <v>252.64</v>
      </c>
      <c r="AI402" s="1894">
        <v>0.82540000000000002</v>
      </c>
      <c r="AJ402" s="1894">
        <v>47.28</v>
      </c>
      <c r="AK402" s="1894">
        <v>88876</v>
      </c>
      <c r="AL402" s="1894">
        <f t="shared" si="160"/>
        <v>112778</v>
      </c>
      <c r="AM402" s="1894">
        <f t="shared" si="161"/>
        <v>0</v>
      </c>
      <c r="AN402" s="1894">
        <v>270</v>
      </c>
      <c r="AO402" s="1894">
        <v>243.67999999999998</v>
      </c>
      <c r="AP402" s="1894">
        <v>243.68</v>
      </c>
      <c r="AQ402" s="1894">
        <v>0.78700000000000003</v>
      </c>
      <c r="AR402" s="1894">
        <v>47.96</v>
      </c>
      <c r="AS402" s="1894">
        <v>86950</v>
      </c>
      <c r="AT402" s="1894">
        <f t="shared" si="168"/>
        <v>108779</v>
      </c>
      <c r="AU402" s="1894">
        <f t="shared" si="169"/>
        <v>0</v>
      </c>
      <c r="AV402" s="1894">
        <v>270</v>
      </c>
      <c r="AW402" s="1894">
        <v>221.11999999999998</v>
      </c>
      <c r="AX402" s="1894">
        <v>221.12</v>
      </c>
      <c r="AY402" s="1894">
        <v>0.57269999999999999</v>
      </c>
      <c r="AZ402" s="1894">
        <v>36.950000000000003</v>
      </c>
      <c r="BA402" s="1894">
        <v>58830</v>
      </c>
      <c r="BB402" s="1894">
        <f t="shared" si="170"/>
        <v>95524</v>
      </c>
      <c r="BC402" s="1894">
        <f t="shared" si="171"/>
        <v>0</v>
      </c>
      <c r="BD402" s="1894">
        <v>270</v>
      </c>
      <c r="BE402" s="1894">
        <v>110.72</v>
      </c>
      <c r="BF402" s="1894">
        <v>216</v>
      </c>
      <c r="BG402" s="1894">
        <v>0.10780000000000001</v>
      </c>
      <c r="BH402" s="1894">
        <v>63.48</v>
      </c>
      <c r="BI402" s="1894">
        <v>52290</v>
      </c>
      <c r="BJ402" s="1894">
        <f t="shared" si="172"/>
        <v>49425</v>
      </c>
      <c r="BK402" s="1894">
        <f t="shared" si="173"/>
        <v>2865</v>
      </c>
      <c r="BL402" s="1894">
        <v>270</v>
      </c>
      <c r="BM402" s="1894">
        <v>131.04</v>
      </c>
      <c r="BN402" s="1894">
        <v>216</v>
      </c>
      <c r="BO402" s="1894">
        <v>0.1069</v>
      </c>
      <c r="BP402" s="1894">
        <v>58.1</v>
      </c>
      <c r="BQ402" s="1894">
        <v>54816</v>
      </c>
      <c r="BR402" s="1894">
        <f t="shared" si="174"/>
        <v>56609</v>
      </c>
      <c r="BS402" s="1894">
        <f t="shared" si="175"/>
        <v>0</v>
      </c>
      <c r="BT402" s="1894">
        <v>270</v>
      </c>
      <c r="BU402" s="1894">
        <v>219.84</v>
      </c>
      <c r="BV402" s="1894">
        <v>219.84</v>
      </c>
      <c r="BW402" s="1894">
        <v>0.61350000000000005</v>
      </c>
      <c r="BX402" s="1894">
        <v>46.34</v>
      </c>
      <c r="BY402" s="1894">
        <v>75800</v>
      </c>
      <c r="BZ402" s="1894">
        <f t="shared" si="176"/>
        <v>98137</v>
      </c>
      <c r="CA402" s="1894">
        <f t="shared" si="177"/>
        <v>0</v>
      </c>
      <c r="CB402" s="1894">
        <v>270</v>
      </c>
      <c r="CC402" s="1894">
        <v>224.64</v>
      </c>
      <c r="CD402" s="1894">
        <v>224.64</v>
      </c>
      <c r="CE402" s="1894">
        <v>0.91269999999999996</v>
      </c>
      <c r="CF402" s="1894">
        <v>53.32</v>
      </c>
      <c r="CG402" s="1894">
        <v>89114</v>
      </c>
      <c r="CH402" s="1894">
        <f t="shared" si="178"/>
        <v>100279</v>
      </c>
      <c r="CI402" s="1894">
        <f t="shared" si="179"/>
        <v>0</v>
      </c>
      <c r="CJ402" s="1894">
        <v>270</v>
      </c>
      <c r="CK402" s="1894">
        <v>235.2</v>
      </c>
      <c r="CL402" s="1894">
        <v>235.2</v>
      </c>
      <c r="CM402" s="1894">
        <v>0.93369999999999997</v>
      </c>
      <c r="CN402" s="1894">
        <v>56.28</v>
      </c>
      <c r="CO402" s="1894">
        <v>88958</v>
      </c>
      <c r="CP402" s="1894">
        <f t="shared" si="180"/>
        <v>94833</v>
      </c>
      <c r="CQ402" s="1894">
        <f t="shared" si="181"/>
        <v>0</v>
      </c>
      <c r="CR402" s="1924">
        <v>270</v>
      </c>
      <c r="CS402" s="1924">
        <v>235.67999999999998</v>
      </c>
      <c r="CT402" s="1924">
        <v>235.68</v>
      </c>
      <c r="CU402" s="1924">
        <v>0.90869999999999995</v>
      </c>
      <c r="CV402" s="1924">
        <v>55.01</v>
      </c>
      <c r="CW402" s="1924">
        <v>96452</v>
      </c>
      <c r="CX402" s="1894">
        <f t="shared" si="182"/>
        <v>105208</v>
      </c>
      <c r="CY402" s="1894">
        <f t="shared" si="183"/>
        <v>0</v>
      </c>
    </row>
    <row r="403" spans="1:103">
      <c r="A403" s="982">
        <v>622000000188</v>
      </c>
      <c r="B403" s="1923">
        <f t="shared" si="184"/>
        <v>397</v>
      </c>
      <c r="C403" s="1895" t="s">
        <v>3282</v>
      </c>
      <c r="D403" s="1894" t="s">
        <v>2930</v>
      </c>
      <c r="E403" s="1895" t="s">
        <v>541</v>
      </c>
      <c r="F403" s="1894" t="s">
        <v>259</v>
      </c>
      <c r="G403" s="1924">
        <v>270</v>
      </c>
      <c r="H403" s="1894">
        <v>270</v>
      </c>
      <c r="I403" s="1894">
        <v>0</v>
      </c>
      <c r="J403" s="1894">
        <v>216</v>
      </c>
      <c r="K403" s="1894">
        <v>0</v>
      </c>
      <c r="L403" s="1894">
        <v>0</v>
      </c>
      <c r="M403" s="1894">
        <v>0</v>
      </c>
      <c r="N403" s="1894">
        <f t="shared" si="162"/>
        <v>0</v>
      </c>
      <c r="O403" s="1894">
        <f t="shared" si="163"/>
        <v>0</v>
      </c>
      <c r="P403" s="1894">
        <v>270</v>
      </c>
      <c r="Q403" s="1894">
        <v>0</v>
      </c>
      <c r="R403" s="1894">
        <v>216</v>
      </c>
      <c r="S403" s="1894">
        <v>0</v>
      </c>
      <c r="T403" s="1894">
        <v>0</v>
      </c>
      <c r="U403" s="1894">
        <v>0</v>
      </c>
      <c r="V403" s="1894">
        <f t="shared" si="164"/>
        <v>0</v>
      </c>
      <c r="W403" s="1894">
        <f t="shared" si="165"/>
        <v>0</v>
      </c>
      <c r="X403" s="1894">
        <v>270</v>
      </c>
      <c r="Y403" s="1894">
        <v>0</v>
      </c>
      <c r="Z403" s="1894">
        <v>216</v>
      </c>
      <c r="AA403" s="1894">
        <v>0</v>
      </c>
      <c r="AB403" s="1894">
        <v>0</v>
      </c>
      <c r="AC403" s="1894">
        <v>0</v>
      </c>
      <c r="AD403" s="1894">
        <f t="shared" si="166"/>
        <v>0</v>
      </c>
      <c r="AE403" s="1894">
        <f t="shared" si="167"/>
        <v>0</v>
      </c>
      <c r="AF403" s="1894">
        <v>270</v>
      </c>
      <c r="AG403" s="1894">
        <v>0</v>
      </c>
      <c r="AH403" s="1894">
        <v>216</v>
      </c>
      <c r="AI403" s="1894">
        <v>0</v>
      </c>
      <c r="AJ403" s="1894">
        <v>0</v>
      </c>
      <c r="AK403" s="1894">
        <v>0</v>
      </c>
      <c r="AL403" s="1894">
        <f t="shared" si="160"/>
        <v>0</v>
      </c>
      <c r="AM403" s="1894">
        <f t="shared" si="161"/>
        <v>0</v>
      </c>
      <c r="AN403" s="1894">
        <v>270</v>
      </c>
      <c r="AO403" s="1894">
        <v>0</v>
      </c>
      <c r="AP403" s="1894">
        <v>216</v>
      </c>
      <c r="AQ403" s="1894">
        <v>0</v>
      </c>
      <c r="AR403" s="1894">
        <v>0</v>
      </c>
      <c r="AS403" s="1894">
        <v>0</v>
      </c>
      <c r="AT403" s="1894">
        <f t="shared" si="168"/>
        <v>0</v>
      </c>
      <c r="AU403" s="1894">
        <f t="shared" si="169"/>
        <v>0</v>
      </c>
      <c r="AV403" s="1894">
        <v>270</v>
      </c>
      <c r="AW403" s="1894">
        <v>0</v>
      </c>
      <c r="AX403" s="1894">
        <v>216</v>
      </c>
      <c r="AY403" s="1894">
        <v>0</v>
      </c>
      <c r="AZ403" s="1894">
        <v>0</v>
      </c>
      <c r="BA403" s="1894">
        <v>0</v>
      </c>
      <c r="BB403" s="1894">
        <f t="shared" si="170"/>
        <v>0</v>
      </c>
      <c r="BC403" s="1894">
        <f t="shared" si="171"/>
        <v>0</v>
      </c>
      <c r="BD403" s="1894">
        <v>270</v>
      </c>
      <c r="BE403" s="1894">
        <v>0</v>
      </c>
      <c r="BF403" s="1894">
        <v>216</v>
      </c>
      <c r="BG403" s="1894">
        <v>0</v>
      </c>
      <c r="BH403" s="1894">
        <v>0</v>
      </c>
      <c r="BI403" s="1894">
        <v>0</v>
      </c>
      <c r="BJ403" s="1894">
        <f t="shared" si="172"/>
        <v>0</v>
      </c>
      <c r="BK403" s="1894">
        <f t="shared" si="173"/>
        <v>0</v>
      </c>
      <c r="BL403" s="1894">
        <v>270</v>
      </c>
      <c r="BM403" s="1894">
        <v>0</v>
      </c>
      <c r="BN403" s="1894">
        <v>216</v>
      </c>
      <c r="BO403" s="1894">
        <v>0</v>
      </c>
      <c r="BP403" s="1894">
        <v>0</v>
      </c>
      <c r="BQ403" s="1894">
        <v>0</v>
      </c>
      <c r="BR403" s="1894">
        <f t="shared" si="174"/>
        <v>0</v>
      </c>
      <c r="BS403" s="1894">
        <f t="shared" si="175"/>
        <v>0</v>
      </c>
      <c r="BT403" s="1894">
        <v>270</v>
      </c>
      <c r="BU403" s="1894">
        <v>0</v>
      </c>
      <c r="BV403" s="1894">
        <v>216</v>
      </c>
      <c r="BW403" s="1894">
        <v>0</v>
      </c>
      <c r="BX403" s="1894">
        <v>0</v>
      </c>
      <c r="BY403" s="1894">
        <v>0</v>
      </c>
      <c r="BZ403" s="1894">
        <f t="shared" si="176"/>
        <v>0</v>
      </c>
      <c r="CA403" s="1894">
        <f t="shared" si="177"/>
        <v>0</v>
      </c>
      <c r="CB403" s="1894">
        <v>270</v>
      </c>
      <c r="CC403" s="1894">
        <v>0</v>
      </c>
      <c r="CD403" s="1894">
        <v>216</v>
      </c>
      <c r="CE403" s="1894">
        <v>0</v>
      </c>
      <c r="CF403" s="1894">
        <v>0</v>
      </c>
      <c r="CG403" s="1894">
        <v>0</v>
      </c>
      <c r="CH403" s="1894">
        <f t="shared" si="178"/>
        <v>0</v>
      </c>
      <c r="CI403" s="1894">
        <f t="shared" si="179"/>
        <v>0</v>
      </c>
      <c r="CJ403" s="1894">
        <v>270</v>
      </c>
      <c r="CK403" s="1894">
        <v>0</v>
      </c>
      <c r="CL403" s="1894">
        <v>216</v>
      </c>
      <c r="CM403" s="1894">
        <v>0</v>
      </c>
      <c r="CN403" s="1894">
        <v>0</v>
      </c>
      <c r="CO403" s="1894">
        <v>0</v>
      </c>
      <c r="CP403" s="1894">
        <f t="shared" si="180"/>
        <v>0</v>
      </c>
      <c r="CQ403" s="1894">
        <f t="shared" si="181"/>
        <v>0</v>
      </c>
      <c r="CR403" s="1924">
        <v>270</v>
      </c>
      <c r="CS403" s="1924">
        <v>0</v>
      </c>
      <c r="CT403" s="1924">
        <v>216</v>
      </c>
      <c r="CU403" s="1924">
        <v>0</v>
      </c>
      <c r="CV403" s="1924">
        <v>0</v>
      </c>
      <c r="CW403" s="1924">
        <v>0</v>
      </c>
      <c r="CX403" s="1894">
        <f t="shared" si="182"/>
        <v>0</v>
      </c>
      <c r="CY403" s="1894">
        <f t="shared" si="183"/>
        <v>0</v>
      </c>
    </row>
    <row r="404" spans="1:103">
      <c r="A404" s="982">
        <v>622000000195</v>
      </c>
      <c r="B404" s="1923">
        <f t="shared" si="184"/>
        <v>398</v>
      </c>
      <c r="C404" s="1895" t="s">
        <v>3283</v>
      </c>
      <c r="D404" s="1894" t="s">
        <v>524</v>
      </c>
      <c r="E404" s="1895" t="s">
        <v>730</v>
      </c>
      <c r="F404" s="1894" t="s">
        <v>259</v>
      </c>
      <c r="G404" s="1924">
        <v>271</v>
      </c>
      <c r="H404" s="1894">
        <v>271</v>
      </c>
      <c r="I404" s="1894">
        <v>94.399999999999991</v>
      </c>
      <c r="J404" s="1894">
        <v>216.8</v>
      </c>
      <c r="K404" s="1894">
        <v>0.81079999999999997</v>
      </c>
      <c r="L404" s="1894">
        <v>32.159999999999997</v>
      </c>
      <c r="M404" s="1894">
        <v>24042</v>
      </c>
      <c r="N404" s="1894">
        <f t="shared" si="162"/>
        <v>40781</v>
      </c>
      <c r="O404" s="1894">
        <f t="shared" si="163"/>
        <v>0</v>
      </c>
      <c r="P404" s="1894">
        <v>271</v>
      </c>
      <c r="Q404" s="1894">
        <v>98.08</v>
      </c>
      <c r="R404" s="1894">
        <v>216.8</v>
      </c>
      <c r="S404" s="1894">
        <v>0.84650000000000003</v>
      </c>
      <c r="T404" s="1894">
        <v>35.22</v>
      </c>
      <c r="U404" s="1894">
        <v>22382</v>
      </c>
      <c r="V404" s="1894">
        <f t="shared" si="164"/>
        <v>43783</v>
      </c>
      <c r="W404" s="1894">
        <f t="shared" si="165"/>
        <v>0</v>
      </c>
      <c r="X404" s="1894">
        <v>271</v>
      </c>
      <c r="Y404" s="1894">
        <v>88.32</v>
      </c>
      <c r="Z404" s="1894">
        <v>216.8</v>
      </c>
      <c r="AA404" s="1894">
        <v>0.8458</v>
      </c>
      <c r="AB404" s="1894">
        <v>39.200000000000003</v>
      </c>
      <c r="AC404" s="1894">
        <v>27420</v>
      </c>
      <c r="AD404" s="1894">
        <f t="shared" si="166"/>
        <v>38154</v>
      </c>
      <c r="AE404" s="1894">
        <f t="shared" si="167"/>
        <v>0</v>
      </c>
      <c r="AF404" s="1894">
        <v>271</v>
      </c>
      <c r="AG404" s="1894">
        <v>96.48</v>
      </c>
      <c r="AH404" s="1894">
        <v>216.8</v>
      </c>
      <c r="AI404" s="1894">
        <v>0.82830000000000004</v>
      </c>
      <c r="AJ404" s="1894">
        <v>28.99</v>
      </c>
      <c r="AK404" s="1894">
        <v>23496</v>
      </c>
      <c r="AL404" s="1894">
        <f t="shared" si="160"/>
        <v>43069</v>
      </c>
      <c r="AM404" s="1894">
        <f t="shared" si="161"/>
        <v>0</v>
      </c>
      <c r="AN404" s="1894">
        <v>271</v>
      </c>
      <c r="AO404" s="1894">
        <v>100.96000000000001</v>
      </c>
      <c r="AP404" s="1894">
        <v>216.8</v>
      </c>
      <c r="AQ404" s="1894">
        <v>0.79820000000000002</v>
      </c>
      <c r="AR404" s="1894">
        <v>24.92</v>
      </c>
      <c r="AS404" s="1894">
        <v>16304</v>
      </c>
      <c r="AT404" s="1894">
        <f t="shared" si="168"/>
        <v>45069</v>
      </c>
      <c r="AU404" s="1894">
        <f t="shared" si="169"/>
        <v>0</v>
      </c>
      <c r="AV404" s="1894">
        <v>271</v>
      </c>
      <c r="AW404" s="1894">
        <v>98.72</v>
      </c>
      <c r="AX404" s="1894">
        <v>216.8</v>
      </c>
      <c r="AY404" s="1894">
        <v>0.79520000000000002</v>
      </c>
      <c r="AZ404" s="1894">
        <v>23.97</v>
      </c>
      <c r="BA404" s="1894">
        <v>19310</v>
      </c>
      <c r="BB404" s="1894">
        <f t="shared" si="170"/>
        <v>42647</v>
      </c>
      <c r="BC404" s="1894">
        <f t="shared" si="171"/>
        <v>0</v>
      </c>
      <c r="BD404" s="1894">
        <v>271</v>
      </c>
      <c r="BE404" s="1894">
        <v>101.44</v>
      </c>
      <c r="BF404" s="1894">
        <v>216.8</v>
      </c>
      <c r="BG404" s="1894">
        <v>0.8034</v>
      </c>
      <c r="BH404" s="1894">
        <v>36.340000000000003</v>
      </c>
      <c r="BI404" s="1894">
        <v>25658</v>
      </c>
      <c r="BJ404" s="1894">
        <f t="shared" si="172"/>
        <v>45283</v>
      </c>
      <c r="BK404" s="1894">
        <f t="shared" si="173"/>
        <v>0</v>
      </c>
      <c r="BL404" s="1894">
        <v>271</v>
      </c>
      <c r="BM404" s="1894">
        <v>96</v>
      </c>
      <c r="BN404" s="1894">
        <v>216.8</v>
      </c>
      <c r="BO404" s="1894">
        <v>0.83460000000000001</v>
      </c>
      <c r="BP404" s="1894">
        <v>34.340000000000003</v>
      </c>
      <c r="BQ404" s="1894">
        <v>22152</v>
      </c>
      <c r="BR404" s="1894">
        <f t="shared" si="174"/>
        <v>41472</v>
      </c>
      <c r="BS404" s="1894">
        <f t="shared" si="175"/>
        <v>0</v>
      </c>
      <c r="BT404" s="1894">
        <v>271</v>
      </c>
      <c r="BU404" s="1894">
        <v>97.28</v>
      </c>
      <c r="BV404" s="1894">
        <v>216.8</v>
      </c>
      <c r="BW404" s="1894">
        <v>0.85670000000000002</v>
      </c>
      <c r="BX404" s="1894">
        <v>33.479999999999997</v>
      </c>
      <c r="BY404" s="1894">
        <v>25794</v>
      </c>
      <c r="BZ404" s="1894">
        <f t="shared" si="176"/>
        <v>43426</v>
      </c>
      <c r="CA404" s="1894">
        <f t="shared" si="177"/>
        <v>0</v>
      </c>
      <c r="CB404" s="1894">
        <v>271</v>
      </c>
      <c r="CC404" s="1894">
        <v>93.600000000000009</v>
      </c>
      <c r="CD404" s="1894">
        <v>216.8</v>
      </c>
      <c r="CE404" s="1894">
        <v>0.86929999999999996</v>
      </c>
      <c r="CF404" s="1894">
        <v>31.4</v>
      </c>
      <c r="CG404" s="1894">
        <v>19748</v>
      </c>
      <c r="CH404" s="1894">
        <f t="shared" si="178"/>
        <v>41783</v>
      </c>
      <c r="CI404" s="1894">
        <f t="shared" si="179"/>
        <v>0</v>
      </c>
      <c r="CJ404" s="1894">
        <v>271</v>
      </c>
      <c r="CK404" s="1894">
        <v>88.64</v>
      </c>
      <c r="CL404" s="1894">
        <v>216.8</v>
      </c>
      <c r="CM404" s="1894">
        <v>0.85599999999999998</v>
      </c>
      <c r="CN404" s="1894">
        <v>38.64</v>
      </c>
      <c r="CO404" s="1894">
        <v>28774</v>
      </c>
      <c r="CP404" s="1894">
        <f t="shared" si="180"/>
        <v>35740</v>
      </c>
      <c r="CQ404" s="1894">
        <f t="shared" si="181"/>
        <v>0</v>
      </c>
      <c r="CR404" s="1924">
        <v>271</v>
      </c>
      <c r="CS404" s="1924">
        <v>96.64</v>
      </c>
      <c r="CT404" s="1924">
        <v>216.8</v>
      </c>
      <c r="CU404" s="1924">
        <v>0.85319999999999996</v>
      </c>
      <c r="CV404" s="1924">
        <v>32.81</v>
      </c>
      <c r="CW404" s="1924">
        <v>19022</v>
      </c>
      <c r="CX404" s="1894">
        <f t="shared" si="182"/>
        <v>43140</v>
      </c>
      <c r="CY404" s="1894">
        <f t="shared" si="183"/>
        <v>0</v>
      </c>
    </row>
    <row r="405" spans="1:103">
      <c r="A405" s="982">
        <v>122000000055</v>
      </c>
      <c r="B405" s="1923">
        <f t="shared" si="184"/>
        <v>399</v>
      </c>
      <c r="C405" s="1895" t="s">
        <v>3284</v>
      </c>
      <c r="D405" s="1894" t="s">
        <v>524</v>
      </c>
      <c r="E405" s="1895" t="s">
        <v>541</v>
      </c>
      <c r="F405" s="1894" t="s">
        <v>259</v>
      </c>
      <c r="G405" s="1924">
        <v>274</v>
      </c>
      <c r="H405" s="1894">
        <v>274</v>
      </c>
      <c r="I405" s="1894">
        <v>231.6</v>
      </c>
      <c r="J405" s="1894">
        <v>231.6</v>
      </c>
      <c r="K405" s="1894">
        <v>0.98740000000000006</v>
      </c>
      <c r="L405" s="1894">
        <v>46.91</v>
      </c>
      <c r="M405" s="1894">
        <v>78228</v>
      </c>
      <c r="N405" s="1894">
        <f t="shared" si="162"/>
        <v>100051</v>
      </c>
      <c r="O405" s="1894">
        <f t="shared" si="163"/>
        <v>0</v>
      </c>
      <c r="P405" s="1894">
        <v>274</v>
      </c>
      <c r="Q405" s="1894">
        <v>241.8</v>
      </c>
      <c r="R405" s="1894">
        <v>241.8</v>
      </c>
      <c r="S405" s="1894">
        <v>0.98760000000000003</v>
      </c>
      <c r="T405" s="1894">
        <v>43.44</v>
      </c>
      <c r="U405" s="1894">
        <v>78150</v>
      </c>
      <c r="V405" s="1894">
        <f t="shared" si="164"/>
        <v>107940</v>
      </c>
      <c r="W405" s="1894">
        <f t="shared" si="165"/>
        <v>0</v>
      </c>
      <c r="X405" s="1894">
        <v>274</v>
      </c>
      <c r="Y405" s="1894">
        <v>233.88</v>
      </c>
      <c r="Z405" s="1894">
        <v>233.88</v>
      </c>
      <c r="AA405" s="1894">
        <v>0.98870000000000002</v>
      </c>
      <c r="AB405" s="1894">
        <v>49.3</v>
      </c>
      <c r="AC405" s="1894">
        <v>80256</v>
      </c>
      <c r="AD405" s="1894">
        <f t="shared" si="166"/>
        <v>101036</v>
      </c>
      <c r="AE405" s="1894">
        <f t="shared" si="167"/>
        <v>0</v>
      </c>
      <c r="AF405" s="1894">
        <v>274</v>
      </c>
      <c r="AG405" s="1894">
        <v>272.40000000000003</v>
      </c>
      <c r="AH405" s="1894">
        <v>272.39999999999998</v>
      </c>
      <c r="AI405" s="1894">
        <v>0.97360000000000002</v>
      </c>
      <c r="AJ405" s="1894">
        <v>38.81</v>
      </c>
      <c r="AK405" s="1894">
        <v>81196</v>
      </c>
      <c r="AL405" s="1894">
        <f t="shared" si="160"/>
        <v>121599</v>
      </c>
      <c r="AM405" s="1894">
        <f t="shared" si="161"/>
        <v>0</v>
      </c>
      <c r="AN405" s="1894">
        <v>274</v>
      </c>
      <c r="AO405" s="1894">
        <v>198.12</v>
      </c>
      <c r="AP405" s="1894">
        <v>219.2</v>
      </c>
      <c r="AQ405" s="1894">
        <v>0.98160000000000003</v>
      </c>
      <c r="AR405" s="1894">
        <v>64.2</v>
      </c>
      <c r="AS405" s="1894">
        <v>94626</v>
      </c>
      <c r="AT405" s="1894">
        <f t="shared" si="168"/>
        <v>88441</v>
      </c>
      <c r="AU405" s="1894">
        <f t="shared" si="169"/>
        <v>6185</v>
      </c>
      <c r="AV405" s="1894">
        <v>274</v>
      </c>
      <c r="AW405" s="1894">
        <v>251.52</v>
      </c>
      <c r="AX405" s="1894">
        <v>251.52</v>
      </c>
      <c r="AY405" s="1894">
        <v>0.97670000000000001</v>
      </c>
      <c r="AZ405" s="1894">
        <v>46.09</v>
      </c>
      <c r="BA405" s="1894">
        <v>83471</v>
      </c>
      <c r="BB405" s="1894">
        <f t="shared" si="170"/>
        <v>108657</v>
      </c>
      <c r="BC405" s="1894">
        <f t="shared" si="171"/>
        <v>0</v>
      </c>
      <c r="BD405" s="1894">
        <v>274</v>
      </c>
      <c r="BE405" s="1894">
        <v>270</v>
      </c>
      <c r="BF405" s="1894">
        <v>270</v>
      </c>
      <c r="BG405" s="1894">
        <v>0.97699999999999998</v>
      </c>
      <c r="BH405" s="1894">
        <v>53.32</v>
      </c>
      <c r="BI405" s="1894">
        <v>107100</v>
      </c>
      <c r="BJ405" s="1894">
        <f t="shared" si="172"/>
        <v>120528</v>
      </c>
      <c r="BK405" s="1894">
        <f t="shared" si="173"/>
        <v>0</v>
      </c>
      <c r="BL405" s="1894">
        <v>274</v>
      </c>
      <c r="BM405" s="1894">
        <v>290.64</v>
      </c>
      <c r="BN405" s="1894">
        <v>290.64</v>
      </c>
      <c r="BO405" s="1894">
        <v>0.98150000000000004</v>
      </c>
      <c r="BP405" s="1894">
        <v>47.67</v>
      </c>
      <c r="BQ405" s="1894">
        <v>99757</v>
      </c>
      <c r="BR405" s="1894">
        <f t="shared" si="174"/>
        <v>125556</v>
      </c>
      <c r="BS405" s="1894">
        <f t="shared" si="175"/>
        <v>0</v>
      </c>
      <c r="BT405" s="1894">
        <v>274</v>
      </c>
      <c r="BU405" s="1894">
        <v>243.23999999999998</v>
      </c>
      <c r="BV405" s="1894">
        <v>243.24</v>
      </c>
      <c r="BW405" s="1894">
        <v>0.98450000000000004</v>
      </c>
      <c r="BX405" s="1894">
        <v>54.99</v>
      </c>
      <c r="BY405" s="1894">
        <v>99513</v>
      </c>
      <c r="BZ405" s="1894">
        <f t="shared" si="176"/>
        <v>108582</v>
      </c>
      <c r="CA405" s="1894">
        <f t="shared" si="177"/>
        <v>0</v>
      </c>
      <c r="CB405" s="1894">
        <v>274</v>
      </c>
      <c r="CC405" s="1894">
        <v>280.44</v>
      </c>
      <c r="CD405" s="1894">
        <v>280.44</v>
      </c>
      <c r="CE405" s="1894">
        <v>0.98240000000000005</v>
      </c>
      <c r="CF405" s="1894">
        <v>44.19</v>
      </c>
      <c r="CG405" s="1894">
        <v>92199</v>
      </c>
      <c r="CH405" s="1894">
        <f t="shared" si="178"/>
        <v>125188</v>
      </c>
      <c r="CI405" s="1894">
        <f t="shared" si="179"/>
        <v>0</v>
      </c>
      <c r="CJ405" s="1894">
        <v>274</v>
      </c>
      <c r="CK405" s="1894">
        <v>286.68</v>
      </c>
      <c r="CL405" s="1894">
        <v>286.68</v>
      </c>
      <c r="CM405" s="1894">
        <v>0.98640000000000005</v>
      </c>
      <c r="CN405" s="1894">
        <v>49.37</v>
      </c>
      <c r="CO405" s="1894">
        <v>95120</v>
      </c>
      <c r="CP405" s="1894">
        <f t="shared" si="180"/>
        <v>115589</v>
      </c>
      <c r="CQ405" s="1894">
        <f t="shared" si="181"/>
        <v>0</v>
      </c>
      <c r="CR405" s="1924">
        <v>274</v>
      </c>
      <c r="CS405" s="1924">
        <v>326.76</v>
      </c>
      <c r="CT405" s="1924">
        <v>326.76</v>
      </c>
      <c r="CU405" s="1924">
        <v>0.98880000000000001</v>
      </c>
      <c r="CV405" s="1924">
        <v>55.77</v>
      </c>
      <c r="CW405" s="1924">
        <v>135584</v>
      </c>
      <c r="CX405" s="1894">
        <f t="shared" si="182"/>
        <v>145866</v>
      </c>
      <c r="CY405" s="1894">
        <f t="shared" si="183"/>
        <v>0</v>
      </c>
    </row>
    <row r="406" spans="1:103">
      <c r="A406" s="982">
        <v>127000000014</v>
      </c>
      <c r="B406" s="1923">
        <f t="shared" si="184"/>
        <v>400</v>
      </c>
      <c r="C406" s="1895" t="s">
        <v>3285</v>
      </c>
      <c r="D406" s="1894" t="s">
        <v>524</v>
      </c>
      <c r="E406" s="1895" t="s">
        <v>730</v>
      </c>
      <c r="F406" s="1894" t="s">
        <v>259</v>
      </c>
      <c r="G406" s="1924">
        <v>275</v>
      </c>
      <c r="H406" s="1894">
        <v>275</v>
      </c>
      <c r="I406" s="1894">
        <v>100.47999999999999</v>
      </c>
      <c r="J406" s="1894">
        <v>220</v>
      </c>
      <c r="K406" s="1894">
        <v>0.87280000000000002</v>
      </c>
      <c r="L406" s="1894">
        <v>30.09</v>
      </c>
      <c r="M406" s="1894">
        <v>17414</v>
      </c>
      <c r="N406" s="1894">
        <f t="shared" si="162"/>
        <v>43407</v>
      </c>
      <c r="O406" s="1894">
        <f t="shared" si="163"/>
        <v>0</v>
      </c>
      <c r="P406" s="1894">
        <v>275</v>
      </c>
      <c r="Q406" s="1894">
        <v>100.8</v>
      </c>
      <c r="R406" s="1894">
        <v>220</v>
      </c>
      <c r="S406" s="1894">
        <v>0.87560000000000004</v>
      </c>
      <c r="T406" s="1894">
        <v>24.67</v>
      </c>
      <c r="U406" s="1894">
        <v>17908</v>
      </c>
      <c r="V406" s="1894">
        <f t="shared" si="164"/>
        <v>44997</v>
      </c>
      <c r="W406" s="1894">
        <f t="shared" si="165"/>
        <v>0</v>
      </c>
      <c r="X406" s="1894">
        <v>275</v>
      </c>
      <c r="Y406" s="1894">
        <v>99.2</v>
      </c>
      <c r="Z406" s="1894">
        <v>220</v>
      </c>
      <c r="AA406" s="1894">
        <v>0.87380000000000002</v>
      </c>
      <c r="AB406" s="1894">
        <v>29.67</v>
      </c>
      <c r="AC406" s="1894">
        <v>26136</v>
      </c>
      <c r="AD406" s="1894">
        <f t="shared" si="166"/>
        <v>42854</v>
      </c>
      <c r="AE406" s="1894">
        <f t="shared" si="167"/>
        <v>0</v>
      </c>
      <c r="AF406" s="1894">
        <v>275</v>
      </c>
      <c r="AG406" s="1894">
        <v>100.32000000000001</v>
      </c>
      <c r="AH406" s="1894">
        <v>220</v>
      </c>
      <c r="AI406" s="1894">
        <v>0.86670000000000003</v>
      </c>
      <c r="AJ406" s="1894">
        <v>27.65</v>
      </c>
      <c r="AK406" s="1894">
        <v>20640</v>
      </c>
      <c r="AL406" s="1894">
        <f t="shared" si="160"/>
        <v>44783</v>
      </c>
      <c r="AM406" s="1894">
        <f t="shared" si="161"/>
        <v>0</v>
      </c>
      <c r="AN406" s="1894">
        <v>275</v>
      </c>
      <c r="AO406" s="1894">
        <v>98.4</v>
      </c>
      <c r="AP406" s="1894">
        <v>220</v>
      </c>
      <c r="AQ406" s="1894">
        <v>0.86950000000000005</v>
      </c>
      <c r="AR406" s="1894">
        <v>23.94</v>
      </c>
      <c r="AS406" s="1894">
        <v>17528</v>
      </c>
      <c r="AT406" s="1894">
        <f t="shared" si="168"/>
        <v>43926</v>
      </c>
      <c r="AU406" s="1894">
        <f t="shared" si="169"/>
        <v>0</v>
      </c>
      <c r="AV406" s="1894">
        <v>275</v>
      </c>
      <c r="AW406" s="1894">
        <v>100.47999999999999</v>
      </c>
      <c r="AX406" s="1894">
        <v>220</v>
      </c>
      <c r="AY406" s="1894">
        <v>0.87180000000000002</v>
      </c>
      <c r="AZ406" s="1894">
        <v>31.16</v>
      </c>
      <c r="BA406" s="1894">
        <v>22544</v>
      </c>
      <c r="BB406" s="1894">
        <f t="shared" si="170"/>
        <v>43407</v>
      </c>
      <c r="BC406" s="1894">
        <f t="shared" si="171"/>
        <v>0</v>
      </c>
      <c r="BD406" s="1894">
        <v>275</v>
      </c>
      <c r="BE406" s="1894">
        <v>99.68</v>
      </c>
      <c r="BF406" s="1894">
        <v>220</v>
      </c>
      <c r="BG406" s="1894">
        <v>0.86990000000000001</v>
      </c>
      <c r="BH406" s="1894">
        <v>39.340000000000003</v>
      </c>
      <c r="BI406" s="1894">
        <v>29172</v>
      </c>
      <c r="BJ406" s="1894">
        <f t="shared" si="172"/>
        <v>44497</v>
      </c>
      <c r="BK406" s="1894">
        <f t="shared" si="173"/>
        <v>0</v>
      </c>
      <c r="BL406" s="1894">
        <v>275</v>
      </c>
      <c r="BM406" s="1894">
        <v>100.96000000000001</v>
      </c>
      <c r="BN406" s="1894">
        <v>220</v>
      </c>
      <c r="BO406" s="1894">
        <v>0.86699999999999999</v>
      </c>
      <c r="BP406" s="1894">
        <v>40.549999999999997</v>
      </c>
      <c r="BQ406" s="1894">
        <v>29476</v>
      </c>
      <c r="BR406" s="1894">
        <f t="shared" si="174"/>
        <v>43615</v>
      </c>
      <c r="BS406" s="1894">
        <f t="shared" si="175"/>
        <v>0</v>
      </c>
      <c r="BT406" s="1894">
        <v>275</v>
      </c>
      <c r="BU406" s="1894">
        <v>97.6</v>
      </c>
      <c r="BV406" s="1894">
        <v>220</v>
      </c>
      <c r="BW406" s="1894">
        <v>0.85529999999999995</v>
      </c>
      <c r="BX406" s="1894">
        <v>41.92</v>
      </c>
      <c r="BY406" s="1894">
        <v>30442</v>
      </c>
      <c r="BZ406" s="1894">
        <f t="shared" si="176"/>
        <v>43569</v>
      </c>
      <c r="CA406" s="1894">
        <f t="shared" si="177"/>
        <v>0</v>
      </c>
      <c r="CB406" s="1894">
        <v>275</v>
      </c>
      <c r="CC406" s="1894">
        <v>99.68</v>
      </c>
      <c r="CD406" s="1894">
        <v>220</v>
      </c>
      <c r="CE406" s="1894">
        <v>0.88349999999999995</v>
      </c>
      <c r="CF406" s="1894">
        <v>39.270000000000003</v>
      </c>
      <c r="CG406" s="1894">
        <v>29120</v>
      </c>
      <c r="CH406" s="1894">
        <f t="shared" si="178"/>
        <v>44497</v>
      </c>
      <c r="CI406" s="1894">
        <f t="shared" si="179"/>
        <v>0</v>
      </c>
      <c r="CJ406" s="1894">
        <v>275</v>
      </c>
      <c r="CK406" s="1894">
        <v>96.64</v>
      </c>
      <c r="CL406" s="1894">
        <v>220</v>
      </c>
      <c r="CM406" s="1894">
        <v>0.88039999999999996</v>
      </c>
      <c r="CN406" s="1894">
        <v>39.299999999999997</v>
      </c>
      <c r="CO406" s="1894">
        <v>25520</v>
      </c>
      <c r="CP406" s="1894">
        <f t="shared" si="180"/>
        <v>38965</v>
      </c>
      <c r="CQ406" s="1894">
        <f t="shared" si="181"/>
        <v>0</v>
      </c>
      <c r="CR406" s="1924">
        <v>275</v>
      </c>
      <c r="CS406" s="1924">
        <v>96.8</v>
      </c>
      <c r="CT406" s="1924">
        <v>220</v>
      </c>
      <c r="CU406" s="1924">
        <v>0.88580000000000003</v>
      </c>
      <c r="CV406" s="1924">
        <v>46.73</v>
      </c>
      <c r="CW406" s="1924">
        <v>33658</v>
      </c>
      <c r="CX406" s="1894">
        <f t="shared" si="182"/>
        <v>43212</v>
      </c>
      <c r="CY406" s="1894">
        <f t="shared" si="183"/>
        <v>0</v>
      </c>
    </row>
    <row r="407" spans="1:103">
      <c r="A407" s="982">
        <v>622000000156</v>
      </c>
      <c r="B407" s="1923">
        <f t="shared" si="184"/>
        <v>401</v>
      </c>
      <c r="C407" s="1895" t="s">
        <v>3286</v>
      </c>
      <c r="D407" s="1894" t="s">
        <v>524</v>
      </c>
      <c r="E407" s="1895" t="s">
        <v>541</v>
      </c>
      <c r="F407" s="1894" t="s">
        <v>259</v>
      </c>
      <c r="G407" s="1924">
        <v>275</v>
      </c>
      <c r="H407" s="1894">
        <v>275</v>
      </c>
      <c r="I407" s="1894">
        <v>221.6</v>
      </c>
      <c r="J407" s="1894">
        <v>221.6</v>
      </c>
      <c r="K407" s="1894">
        <v>0.90490000000000004</v>
      </c>
      <c r="L407" s="1894">
        <v>20.84</v>
      </c>
      <c r="M407" s="1894">
        <v>29920</v>
      </c>
      <c r="N407" s="1894">
        <f t="shared" si="162"/>
        <v>95731</v>
      </c>
      <c r="O407" s="1894">
        <f t="shared" si="163"/>
        <v>0</v>
      </c>
      <c r="P407" s="1894">
        <v>275</v>
      </c>
      <c r="Q407" s="1894">
        <v>214.2</v>
      </c>
      <c r="R407" s="1894">
        <v>220</v>
      </c>
      <c r="S407" s="1894">
        <v>0.90510000000000002</v>
      </c>
      <c r="T407" s="1894">
        <v>27.64</v>
      </c>
      <c r="U407" s="1894">
        <v>46895</v>
      </c>
      <c r="V407" s="1894">
        <f t="shared" si="164"/>
        <v>95619</v>
      </c>
      <c r="W407" s="1894">
        <f t="shared" si="165"/>
        <v>0</v>
      </c>
      <c r="X407" s="1894">
        <v>275</v>
      </c>
      <c r="Y407" s="1894">
        <v>224.20000000000002</v>
      </c>
      <c r="Z407" s="1894">
        <v>224.2</v>
      </c>
      <c r="AA407" s="1894">
        <v>0.90869999999999995</v>
      </c>
      <c r="AB407" s="1894">
        <v>34.72</v>
      </c>
      <c r="AC407" s="1894">
        <v>57913</v>
      </c>
      <c r="AD407" s="1894">
        <f t="shared" si="166"/>
        <v>96854</v>
      </c>
      <c r="AE407" s="1894">
        <f t="shared" si="167"/>
        <v>0</v>
      </c>
      <c r="AF407" s="1894">
        <v>275</v>
      </c>
      <c r="AG407" s="1894">
        <v>225.6</v>
      </c>
      <c r="AH407" s="1894">
        <v>225.6</v>
      </c>
      <c r="AI407" s="1894">
        <v>0.88449999999999995</v>
      </c>
      <c r="AJ407" s="1894">
        <v>20.62</v>
      </c>
      <c r="AK407" s="1894">
        <v>36847</v>
      </c>
      <c r="AL407" s="1894">
        <f t="shared" si="160"/>
        <v>100708</v>
      </c>
      <c r="AM407" s="1894">
        <f t="shared" si="161"/>
        <v>0</v>
      </c>
      <c r="AN407" s="1894">
        <v>275</v>
      </c>
      <c r="AO407" s="1894">
        <v>200.2</v>
      </c>
      <c r="AP407" s="1894">
        <v>220</v>
      </c>
      <c r="AQ407" s="1894">
        <v>0.71230000000000004</v>
      </c>
      <c r="AR407" s="1894">
        <v>29.97</v>
      </c>
      <c r="AS407" s="1894">
        <v>44645</v>
      </c>
      <c r="AT407" s="1894">
        <f t="shared" si="168"/>
        <v>89369</v>
      </c>
      <c r="AU407" s="1894">
        <f t="shared" si="169"/>
        <v>0</v>
      </c>
      <c r="AV407" s="1894">
        <v>275</v>
      </c>
      <c r="AW407" s="1894">
        <v>249.6</v>
      </c>
      <c r="AX407" s="1894">
        <v>249.6</v>
      </c>
      <c r="AY407" s="1894">
        <v>0.62809999999999999</v>
      </c>
      <c r="AZ407" s="1894">
        <v>16.68</v>
      </c>
      <c r="BA407" s="1894">
        <v>25982</v>
      </c>
      <c r="BB407" s="1894">
        <f t="shared" si="170"/>
        <v>107827</v>
      </c>
      <c r="BC407" s="1894">
        <f t="shared" si="171"/>
        <v>0</v>
      </c>
      <c r="BD407" s="1894">
        <v>275</v>
      </c>
      <c r="BE407" s="1894">
        <v>209.79999999999998</v>
      </c>
      <c r="BF407" s="1894">
        <v>220</v>
      </c>
      <c r="BG407" s="1894">
        <v>0.81410000000000005</v>
      </c>
      <c r="BH407" s="1894">
        <v>15.96</v>
      </c>
      <c r="BI407" s="1894">
        <v>28135</v>
      </c>
      <c r="BJ407" s="1894">
        <f t="shared" si="172"/>
        <v>93655</v>
      </c>
      <c r="BK407" s="1894">
        <f t="shared" si="173"/>
        <v>0</v>
      </c>
      <c r="BL407" s="1894">
        <v>275</v>
      </c>
      <c r="BM407" s="1894">
        <v>241</v>
      </c>
      <c r="BN407" s="1894">
        <v>241</v>
      </c>
      <c r="BO407" s="1894">
        <v>0.76659999999999995</v>
      </c>
      <c r="BP407" s="1894">
        <v>19.940000000000001</v>
      </c>
      <c r="BQ407" s="1894">
        <v>32287</v>
      </c>
      <c r="BR407" s="1894">
        <f t="shared" si="174"/>
        <v>104112</v>
      </c>
      <c r="BS407" s="1894">
        <f t="shared" si="175"/>
        <v>0</v>
      </c>
      <c r="BT407" s="1894">
        <v>275</v>
      </c>
      <c r="BU407" s="1894">
        <v>230.2</v>
      </c>
      <c r="BV407" s="1894">
        <v>230.2</v>
      </c>
      <c r="BW407" s="1894">
        <v>0.74609999999999999</v>
      </c>
      <c r="BX407" s="1894">
        <v>16.97</v>
      </c>
      <c r="BY407" s="1894">
        <v>29065</v>
      </c>
      <c r="BZ407" s="1894">
        <f t="shared" si="176"/>
        <v>102761</v>
      </c>
      <c r="CA407" s="1894">
        <f t="shared" si="177"/>
        <v>0</v>
      </c>
      <c r="CB407" s="1894">
        <v>275</v>
      </c>
      <c r="CC407" s="1894">
        <v>228.4</v>
      </c>
      <c r="CD407" s="1894">
        <v>228.4</v>
      </c>
      <c r="CE407" s="1894">
        <v>0.80840000000000001</v>
      </c>
      <c r="CF407" s="1894">
        <v>14.99</v>
      </c>
      <c r="CG407" s="1894">
        <v>24650</v>
      </c>
      <c r="CH407" s="1894">
        <f t="shared" si="178"/>
        <v>101958</v>
      </c>
      <c r="CI407" s="1894">
        <f t="shared" si="179"/>
        <v>0</v>
      </c>
      <c r="CJ407" s="1894">
        <v>275</v>
      </c>
      <c r="CK407" s="1894">
        <v>233.6</v>
      </c>
      <c r="CL407" s="1894">
        <v>233.6</v>
      </c>
      <c r="CM407" s="1894">
        <v>0.78400000000000003</v>
      </c>
      <c r="CN407" s="1894">
        <v>16.07</v>
      </c>
      <c r="CO407" s="1894">
        <v>27927</v>
      </c>
      <c r="CP407" s="1894">
        <f t="shared" si="180"/>
        <v>94188</v>
      </c>
      <c r="CQ407" s="1894">
        <f t="shared" si="181"/>
        <v>0</v>
      </c>
      <c r="CR407" s="1924">
        <v>275</v>
      </c>
      <c r="CS407" s="1924">
        <v>228.8</v>
      </c>
      <c r="CT407" s="1924">
        <v>228.8</v>
      </c>
      <c r="CU407" s="1924">
        <v>0.78039999999999998</v>
      </c>
      <c r="CV407" s="1924">
        <v>20.18</v>
      </c>
      <c r="CW407" s="1924">
        <v>32130</v>
      </c>
      <c r="CX407" s="1894">
        <f t="shared" si="182"/>
        <v>102136</v>
      </c>
      <c r="CY407" s="1894">
        <f t="shared" si="183"/>
        <v>0</v>
      </c>
    </row>
    <row r="408" spans="1:103">
      <c r="A408" s="982">
        <v>129000000007</v>
      </c>
      <c r="B408" s="1923">
        <f t="shared" si="184"/>
        <v>402</v>
      </c>
      <c r="C408" s="1895" t="s">
        <v>3287</v>
      </c>
      <c r="D408" s="1894" t="s">
        <v>524</v>
      </c>
      <c r="E408" s="1895" t="s">
        <v>541</v>
      </c>
      <c r="F408" s="1894" t="s">
        <v>259</v>
      </c>
      <c r="G408" s="1924">
        <v>278</v>
      </c>
      <c r="H408" s="1894">
        <v>0</v>
      </c>
      <c r="I408" s="1894">
        <v>0</v>
      </c>
      <c r="J408" s="1894">
        <v>0</v>
      </c>
      <c r="K408" s="1894">
        <v>0</v>
      </c>
      <c r="L408" s="1894">
        <v>0</v>
      </c>
      <c r="M408" s="1894">
        <v>0</v>
      </c>
      <c r="N408" s="1894">
        <f t="shared" si="162"/>
        <v>0</v>
      </c>
      <c r="O408" s="1894">
        <f t="shared" si="163"/>
        <v>0</v>
      </c>
      <c r="P408" s="1894">
        <v>0</v>
      </c>
      <c r="Q408" s="1894">
        <v>0</v>
      </c>
      <c r="R408" s="1894">
        <v>0</v>
      </c>
      <c r="S408" s="1894">
        <v>0</v>
      </c>
      <c r="T408" s="1894">
        <v>0</v>
      </c>
      <c r="U408" s="1894">
        <v>0</v>
      </c>
      <c r="V408" s="1894">
        <f t="shared" si="164"/>
        <v>0</v>
      </c>
      <c r="W408" s="1894">
        <f t="shared" si="165"/>
        <v>0</v>
      </c>
      <c r="X408" s="1894">
        <v>0</v>
      </c>
      <c r="Y408" s="1894">
        <v>0</v>
      </c>
      <c r="Z408" s="1894">
        <v>0</v>
      </c>
      <c r="AA408" s="1894">
        <v>0</v>
      </c>
      <c r="AB408" s="1894">
        <v>0</v>
      </c>
      <c r="AC408" s="1894">
        <v>0</v>
      </c>
      <c r="AD408" s="1894">
        <f t="shared" si="166"/>
        <v>0</v>
      </c>
      <c r="AE408" s="1894">
        <f t="shared" si="167"/>
        <v>0</v>
      </c>
      <c r="AF408" s="1894">
        <v>0</v>
      </c>
      <c r="AG408" s="1894">
        <v>0</v>
      </c>
      <c r="AH408" s="1894">
        <v>0</v>
      </c>
      <c r="AI408" s="1894">
        <v>0</v>
      </c>
      <c r="AJ408" s="1894">
        <v>0</v>
      </c>
      <c r="AK408" s="1894">
        <v>0</v>
      </c>
      <c r="AL408" s="1894">
        <f t="shared" si="160"/>
        <v>0</v>
      </c>
      <c r="AM408" s="1894">
        <f t="shared" si="161"/>
        <v>0</v>
      </c>
      <c r="AN408" s="1894">
        <v>0</v>
      </c>
      <c r="AO408" s="1894">
        <v>0</v>
      </c>
      <c r="AP408" s="1894">
        <v>0</v>
      </c>
      <c r="AQ408" s="1894">
        <v>0</v>
      </c>
      <c r="AR408" s="1894">
        <v>0</v>
      </c>
      <c r="AS408" s="1894">
        <v>0</v>
      </c>
      <c r="AT408" s="1894">
        <f t="shared" si="168"/>
        <v>0</v>
      </c>
      <c r="AU408" s="1894">
        <f t="shared" si="169"/>
        <v>0</v>
      </c>
      <c r="AV408" s="1894">
        <v>0</v>
      </c>
      <c r="AW408" s="1894">
        <v>0</v>
      </c>
      <c r="AX408" s="1894">
        <v>0</v>
      </c>
      <c r="AY408" s="1894">
        <v>0</v>
      </c>
      <c r="AZ408" s="1894">
        <v>0</v>
      </c>
      <c r="BA408" s="1894">
        <v>0</v>
      </c>
      <c r="BB408" s="1894">
        <f t="shared" si="170"/>
        <v>0</v>
      </c>
      <c r="BC408" s="1894">
        <f t="shared" si="171"/>
        <v>0</v>
      </c>
      <c r="BD408" s="1894">
        <v>0</v>
      </c>
      <c r="BE408" s="1894">
        <v>0</v>
      </c>
      <c r="BF408" s="1894">
        <v>0</v>
      </c>
      <c r="BG408" s="1894">
        <v>0</v>
      </c>
      <c r="BH408" s="1894">
        <v>0</v>
      </c>
      <c r="BI408" s="1894">
        <v>0</v>
      </c>
      <c r="BJ408" s="1894">
        <f t="shared" si="172"/>
        <v>0</v>
      </c>
      <c r="BK408" s="1894">
        <f t="shared" si="173"/>
        <v>0</v>
      </c>
      <c r="BL408" s="1894">
        <v>278</v>
      </c>
      <c r="BM408" s="1894">
        <v>6.96</v>
      </c>
      <c r="BN408" s="1894">
        <v>222.4</v>
      </c>
      <c r="BO408" s="1894">
        <v>0.87529999999999997</v>
      </c>
      <c r="BP408" s="1894">
        <v>12.86</v>
      </c>
      <c r="BQ408" s="1894">
        <v>778</v>
      </c>
      <c r="BR408" s="1894">
        <f t="shared" si="174"/>
        <v>3007</v>
      </c>
      <c r="BS408" s="1894">
        <f t="shared" si="175"/>
        <v>0</v>
      </c>
      <c r="BT408" s="1894">
        <v>278</v>
      </c>
      <c r="BU408" s="1894">
        <v>154.56</v>
      </c>
      <c r="BV408" s="1894">
        <v>222.4</v>
      </c>
      <c r="BW408" s="1894">
        <v>0.98150000000000004</v>
      </c>
      <c r="BX408" s="1894">
        <v>17.96</v>
      </c>
      <c r="BY408" s="1894">
        <v>21981</v>
      </c>
      <c r="BZ408" s="1894">
        <f t="shared" si="176"/>
        <v>68996</v>
      </c>
      <c r="CA408" s="1894">
        <f t="shared" si="177"/>
        <v>0</v>
      </c>
      <c r="CB408" s="1894">
        <v>278</v>
      </c>
      <c r="CC408" s="1894">
        <v>176.16000000000003</v>
      </c>
      <c r="CD408" s="1894">
        <v>222.4</v>
      </c>
      <c r="CE408" s="1894">
        <v>0.99580000000000002</v>
      </c>
      <c r="CF408" s="1894">
        <v>45.55</v>
      </c>
      <c r="CG408" s="1894">
        <v>59700</v>
      </c>
      <c r="CH408" s="1894">
        <f t="shared" si="178"/>
        <v>78638</v>
      </c>
      <c r="CI408" s="1894">
        <f t="shared" si="179"/>
        <v>0</v>
      </c>
      <c r="CJ408" s="1894">
        <v>278</v>
      </c>
      <c r="CK408" s="1894">
        <v>189.35999999999999</v>
      </c>
      <c r="CL408" s="1894">
        <v>222.4</v>
      </c>
      <c r="CM408" s="1894">
        <v>0.99870000000000003</v>
      </c>
      <c r="CN408" s="1894">
        <v>57.71</v>
      </c>
      <c r="CO408" s="1894">
        <v>73431</v>
      </c>
      <c r="CP408" s="1894">
        <f t="shared" si="180"/>
        <v>76350</v>
      </c>
      <c r="CQ408" s="1894">
        <f t="shared" si="181"/>
        <v>0</v>
      </c>
      <c r="CR408" s="1924">
        <v>278</v>
      </c>
      <c r="CS408" s="1924">
        <v>204.72</v>
      </c>
      <c r="CT408" s="1924">
        <v>222.4</v>
      </c>
      <c r="CU408" s="1924">
        <v>0.99870000000000003</v>
      </c>
      <c r="CV408" s="1924">
        <v>56.61</v>
      </c>
      <c r="CW408" s="1924">
        <v>86220</v>
      </c>
      <c r="CX408" s="1894">
        <f t="shared" si="182"/>
        <v>91387</v>
      </c>
      <c r="CY408" s="1894">
        <f t="shared" si="183"/>
        <v>0</v>
      </c>
    </row>
    <row r="409" spans="1:103">
      <c r="A409" s="982">
        <v>126000000048</v>
      </c>
      <c r="B409" s="1923">
        <f t="shared" si="184"/>
        <v>403</v>
      </c>
      <c r="C409" s="1895" t="s">
        <v>3288</v>
      </c>
      <c r="D409" s="1894" t="s">
        <v>524</v>
      </c>
      <c r="E409" s="1895" t="s">
        <v>541</v>
      </c>
      <c r="F409" s="1894" t="s">
        <v>259</v>
      </c>
      <c r="G409" s="1924">
        <v>278</v>
      </c>
      <c r="H409" s="1894">
        <v>278</v>
      </c>
      <c r="I409" s="1894">
        <v>3.6799999999999997</v>
      </c>
      <c r="J409" s="1894">
        <v>222.4</v>
      </c>
      <c r="K409" s="1894">
        <v>1</v>
      </c>
      <c r="L409" s="1894">
        <v>24.38</v>
      </c>
      <c r="M409" s="1894">
        <v>646</v>
      </c>
      <c r="N409" s="1894">
        <f t="shared" si="162"/>
        <v>1590</v>
      </c>
      <c r="O409" s="1894">
        <f t="shared" si="163"/>
        <v>0</v>
      </c>
      <c r="P409" s="1894">
        <v>278</v>
      </c>
      <c r="Q409" s="1894">
        <v>3.84</v>
      </c>
      <c r="R409" s="1894">
        <v>222.4</v>
      </c>
      <c r="S409" s="1894">
        <v>0.99680000000000002</v>
      </c>
      <c r="T409" s="1894">
        <v>21.91</v>
      </c>
      <c r="U409" s="1894">
        <v>626</v>
      </c>
      <c r="V409" s="1894">
        <f t="shared" si="164"/>
        <v>1714</v>
      </c>
      <c r="W409" s="1894">
        <f t="shared" si="165"/>
        <v>0</v>
      </c>
      <c r="X409" s="1894">
        <v>278</v>
      </c>
      <c r="Y409" s="1894">
        <v>5.28</v>
      </c>
      <c r="Z409" s="1894">
        <v>222.4</v>
      </c>
      <c r="AA409" s="1894">
        <v>1</v>
      </c>
      <c r="AB409" s="1894">
        <v>16.41</v>
      </c>
      <c r="AC409" s="1894">
        <v>624</v>
      </c>
      <c r="AD409" s="1894">
        <f t="shared" si="166"/>
        <v>2281</v>
      </c>
      <c r="AE409" s="1894">
        <f t="shared" si="167"/>
        <v>0</v>
      </c>
      <c r="AF409" s="1894">
        <v>278</v>
      </c>
      <c r="AG409" s="1894">
        <v>10.24</v>
      </c>
      <c r="AH409" s="1894">
        <v>222.4</v>
      </c>
      <c r="AI409" s="1894">
        <v>0.9909</v>
      </c>
      <c r="AJ409" s="1894">
        <v>8.14</v>
      </c>
      <c r="AK409" s="1894">
        <v>440</v>
      </c>
      <c r="AL409" s="1894">
        <f t="shared" si="160"/>
        <v>4571</v>
      </c>
      <c r="AM409" s="1894">
        <f t="shared" si="161"/>
        <v>0</v>
      </c>
      <c r="AN409" s="1894">
        <v>278</v>
      </c>
      <c r="AO409" s="1894">
        <v>48.64</v>
      </c>
      <c r="AP409" s="1894">
        <v>222.4</v>
      </c>
      <c r="AQ409" s="1894">
        <v>0.99350000000000005</v>
      </c>
      <c r="AR409" s="1894">
        <v>2</v>
      </c>
      <c r="AS409" s="1894">
        <v>936</v>
      </c>
      <c r="AT409" s="1894">
        <f t="shared" si="168"/>
        <v>21713</v>
      </c>
      <c r="AU409" s="1894">
        <f t="shared" si="169"/>
        <v>0</v>
      </c>
      <c r="AV409" s="1894">
        <v>278</v>
      </c>
      <c r="AW409" s="1894">
        <v>2.88</v>
      </c>
      <c r="AX409" s="1894">
        <v>222.4</v>
      </c>
      <c r="AY409" s="1894">
        <v>0.99670000000000003</v>
      </c>
      <c r="AZ409" s="1894">
        <v>29.51</v>
      </c>
      <c r="BA409" s="1894">
        <v>612</v>
      </c>
      <c r="BB409" s="1894">
        <f t="shared" si="170"/>
        <v>1244</v>
      </c>
      <c r="BC409" s="1894">
        <f t="shared" si="171"/>
        <v>0</v>
      </c>
      <c r="BD409" s="1894">
        <v>278</v>
      </c>
      <c r="BE409" s="1894">
        <v>17.599999999999998</v>
      </c>
      <c r="BF409" s="1894">
        <v>222.4</v>
      </c>
      <c r="BG409" s="1894">
        <v>0.98860000000000003</v>
      </c>
      <c r="BH409" s="1894">
        <v>5.36</v>
      </c>
      <c r="BI409" s="1894">
        <v>702</v>
      </c>
      <c r="BJ409" s="1894">
        <f t="shared" si="172"/>
        <v>7857</v>
      </c>
      <c r="BK409" s="1894">
        <f t="shared" si="173"/>
        <v>0</v>
      </c>
      <c r="BL409" s="1894">
        <v>278</v>
      </c>
      <c r="BM409" s="1894">
        <v>2.08</v>
      </c>
      <c r="BN409" s="1894">
        <v>222.4</v>
      </c>
      <c r="BO409" s="1894">
        <v>0.97370000000000001</v>
      </c>
      <c r="BP409" s="1894">
        <v>66.11</v>
      </c>
      <c r="BQ409" s="1894">
        <v>990</v>
      </c>
      <c r="BR409" s="1894">
        <f t="shared" si="174"/>
        <v>899</v>
      </c>
      <c r="BS409" s="1894">
        <f t="shared" si="175"/>
        <v>91</v>
      </c>
      <c r="BT409" s="1894">
        <v>278</v>
      </c>
      <c r="BU409" s="1894">
        <v>2.08</v>
      </c>
      <c r="BV409" s="1894">
        <v>222.4</v>
      </c>
      <c r="BW409" s="1894">
        <v>0.97750000000000004</v>
      </c>
      <c r="BX409" s="1894">
        <v>63.46</v>
      </c>
      <c r="BY409" s="1894">
        <v>982</v>
      </c>
      <c r="BZ409" s="1894">
        <f t="shared" si="176"/>
        <v>929</v>
      </c>
      <c r="CA409" s="1894">
        <f t="shared" si="177"/>
        <v>53</v>
      </c>
      <c r="CB409" s="1894">
        <v>278</v>
      </c>
      <c r="CC409" s="1894">
        <v>1.92</v>
      </c>
      <c r="CD409" s="1894">
        <v>222.4</v>
      </c>
      <c r="CE409" s="1894">
        <v>0.9909</v>
      </c>
      <c r="CF409" s="1894">
        <v>61.6</v>
      </c>
      <c r="CG409" s="1894">
        <v>880</v>
      </c>
      <c r="CH409" s="1894">
        <f t="shared" si="178"/>
        <v>857</v>
      </c>
      <c r="CI409" s="1894">
        <f t="shared" si="179"/>
        <v>23</v>
      </c>
      <c r="CJ409" s="1894">
        <v>278</v>
      </c>
      <c r="CK409" s="1894">
        <v>7.3599999999999994</v>
      </c>
      <c r="CL409" s="1894">
        <v>222.4</v>
      </c>
      <c r="CM409" s="1894">
        <v>0.9929</v>
      </c>
      <c r="CN409" s="1894">
        <v>17.23</v>
      </c>
      <c r="CO409" s="1894">
        <v>852</v>
      </c>
      <c r="CP409" s="1894">
        <f t="shared" si="180"/>
        <v>2968</v>
      </c>
      <c r="CQ409" s="1894">
        <f t="shared" si="181"/>
        <v>0</v>
      </c>
      <c r="CR409" s="1924">
        <v>278</v>
      </c>
      <c r="CS409" s="1924">
        <v>3.04</v>
      </c>
      <c r="CT409" s="1924">
        <v>222.4</v>
      </c>
      <c r="CU409" s="1924">
        <v>0.99719999999999998</v>
      </c>
      <c r="CV409" s="1924">
        <v>40.35</v>
      </c>
      <c r="CW409" s="1924">
        <v>736</v>
      </c>
      <c r="CX409" s="1894">
        <f t="shared" si="182"/>
        <v>1357</v>
      </c>
      <c r="CY409" s="1894">
        <f t="shared" si="183"/>
        <v>0</v>
      </c>
    </row>
    <row r="410" spans="1:103">
      <c r="A410" s="982">
        <v>121000000065</v>
      </c>
      <c r="B410" s="1923">
        <f t="shared" si="184"/>
        <v>404</v>
      </c>
      <c r="C410" s="1895" t="s">
        <v>3289</v>
      </c>
      <c r="D410" s="1894" t="s">
        <v>524</v>
      </c>
      <c r="E410" s="1895" t="s">
        <v>541</v>
      </c>
      <c r="F410" s="1894" t="s">
        <v>259</v>
      </c>
      <c r="G410" s="1924">
        <v>278</v>
      </c>
      <c r="H410" s="1894">
        <v>278</v>
      </c>
      <c r="I410" s="1894">
        <v>155.84</v>
      </c>
      <c r="J410" s="1894">
        <v>222.4</v>
      </c>
      <c r="K410" s="1894">
        <v>1.1460999999999999</v>
      </c>
      <c r="L410" s="1894">
        <v>2.0699999999999998</v>
      </c>
      <c r="M410" s="1894">
        <v>2326</v>
      </c>
      <c r="N410" s="1894">
        <f t="shared" si="162"/>
        <v>67323</v>
      </c>
      <c r="O410" s="1894">
        <f t="shared" si="163"/>
        <v>0</v>
      </c>
      <c r="P410" s="1894">
        <v>278</v>
      </c>
      <c r="Q410" s="1894">
        <v>163.19999999999999</v>
      </c>
      <c r="R410" s="1894">
        <v>222.4</v>
      </c>
      <c r="S410" s="1894">
        <v>0.85929999999999995</v>
      </c>
      <c r="T410" s="1894">
        <v>1.42</v>
      </c>
      <c r="U410" s="1894">
        <v>1720</v>
      </c>
      <c r="V410" s="1894">
        <f t="shared" si="164"/>
        <v>72852</v>
      </c>
      <c r="W410" s="1894">
        <f t="shared" si="165"/>
        <v>0</v>
      </c>
      <c r="X410" s="1894">
        <v>278</v>
      </c>
      <c r="Y410" s="1894">
        <v>9.44</v>
      </c>
      <c r="Z410" s="1894">
        <v>222.4</v>
      </c>
      <c r="AA410" s="1894">
        <v>0.86809999999999998</v>
      </c>
      <c r="AB410" s="1894">
        <v>22.98</v>
      </c>
      <c r="AC410" s="1894">
        <v>1562</v>
      </c>
      <c r="AD410" s="1894">
        <f t="shared" si="166"/>
        <v>4078</v>
      </c>
      <c r="AE410" s="1894">
        <f t="shared" si="167"/>
        <v>0</v>
      </c>
      <c r="AF410" s="1894">
        <v>278</v>
      </c>
      <c r="AG410" s="1894">
        <v>3.84</v>
      </c>
      <c r="AH410" s="1894">
        <v>222.4</v>
      </c>
      <c r="AI410" s="1894">
        <v>0.83299999999999996</v>
      </c>
      <c r="AJ410" s="1894">
        <v>49.49</v>
      </c>
      <c r="AK410" s="1894">
        <v>1414</v>
      </c>
      <c r="AL410" s="1894">
        <f t="shared" si="160"/>
        <v>1714</v>
      </c>
      <c r="AM410" s="1894">
        <f t="shared" si="161"/>
        <v>0</v>
      </c>
      <c r="AN410" s="1894">
        <v>278</v>
      </c>
      <c r="AO410" s="1894">
        <v>69.12</v>
      </c>
      <c r="AP410" s="1894">
        <v>222.4</v>
      </c>
      <c r="AQ410" s="1894">
        <v>0.79910000000000003</v>
      </c>
      <c r="AR410" s="1894">
        <v>3.54</v>
      </c>
      <c r="AS410" s="1894">
        <v>1822</v>
      </c>
      <c r="AT410" s="1894">
        <f t="shared" si="168"/>
        <v>30855</v>
      </c>
      <c r="AU410" s="1894">
        <f t="shared" si="169"/>
        <v>0</v>
      </c>
      <c r="AV410" s="1894">
        <v>278</v>
      </c>
      <c r="AW410" s="1894">
        <v>4</v>
      </c>
      <c r="AX410" s="1894">
        <v>222.4</v>
      </c>
      <c r="AY410" s="1894">
        <v>0.79710000000000003</v>
      </c>
      <c r="AZ410" s="1894">
        <v>44.51</v>
      </c>
      <c r="BA410" s="1894">
        <v>1282</v>
      </c>
      <c r="BB410" s="1894">
        <f t="shared" si="170"/>
        <v>1728</v>
      </c>
      <c r="BC410" s="1894">
        <f t="shared" si="171"/>
        <v>0</v>
      </c>
      <c r="BD410" s="1894">
        <v>278</v>
      </c>
      <c r="BE410" s="1894">
        <v>2.4</v>
      </c>
      <c r="BF410" s="1894">
        <v>222.4</v>
      </c>
      <c r="BG410" s="1894">
        <v>0.80759999999999998</v>
      </c>
      <c r="BH410" s="1894">
        <v>6.23</v>
      </c>
      <c r="BI410" s="1894">
        <v>104</v>
      </c>
      <c r="BJ410" s="1894">
        <f t="shared" si="172"/>
        <v>1071</v>
      </c>
      <c r="BK410" s="1894">
        <f t="shared" si="173"/>
        <v>0</v>
      </c>
      <c r="BL410" s="1894">
        <v>278</v>
      </c>
      <c r="BM410" s="1894">
        <v>0</v>
      </c>
      <c r="BN410" s="1894">
        <v>222.4</v>
      </c>
      <c r="BO410" s="1894">
        <v>0</v>
      </c>
      <c r="BP410" s="1894">
        <v>0</v>
      </c>
      <c r="BQ410" s="1894">
        <v>0</v>
      </c>
      <c r="BR410" s="1894">
        <f t="shared" si="174"/>
        <v>0</v>
      </c>
      <c r="BS410" s="1894">
        <f t="shared" si="175"/>
        <v>0</v>
      </c>
      <c r="BT410" s="1894">
        <v>278</v>
      </c>
      <c r="BU410" s="1894">
        <v>0</v>
      </c>
      <c r="BV410" s="1894">
        <v>222.4</v>
      </c>
      <c r="BW410" s="1894">
        <v>0</v>
      </c>
      <c r="BX410" s="1894">
        <v>0</v>
      </c>
      <c r="BY410" s="1894">
        <v>0</v>
      </c>
      <c r="BZ410" s="1894">
        <f t="shared" si="176"/>
        <v>0</v>
      </c>
      <c r="CA410" s="1894">
        <f t="shared" si="177"/>
        <v>0</v>
      </c>
      <c r="CB410" s="1894">
        <v>278</v>
      </c>
      <c r="CC410" s="1894">
        <v>0</v>
      </c>
      <c r="CD410" s="1894">
        <v>222.4</v>
      </c>
      <c r="CE410" s="1894">
        <v>0</v>
      </c>
      <c r="CF410" s="1894">
        <v>0</v>
      </c>
      <c r="CG410" s="1894">
        <v>0</v>
      </c>
      <c r="CH410" s="1894">
        <f t="shared" si="178"/>
        <v>0</v>
      </c>
      <c r="CI410" s="1894">
        <f t="shared" si="179"/>
        <v>0</v>
      </c>
      <c r="CJ410" s="1894">
        <v>278</v>
      </c>
      <c r="CK410" s="1894">
        <v>8.64</v>
      </c>
      <c r="CL410" s="1894">
        <v>222.4</v>
      </c>
      <c r="CM410" s="1894">
        <v>0.86980000000000002</v>
      </c>
      <c r="CN410" s="1894">
        <v>0.26</v>
      </c>
      <c r="CO410" s="1894">
        <v>784</v>
      </c>
      <c r="CP410" s="1894">
        <f t="shared" si="180"/>
        <v>3484</v>
      </c>
      <c r="CQ410" s="1894">
        <f t="shared" si="181"/>
        <v>0</v>
      </c>
      <c r="CR410" s="1924">
        <v>278</v>
      </c>
      <c r="CS410" s="1924">
        <v>16.16</v>
      </c>
      <c r="CT410" s="1924">
        <v>222.4</v>
      </c>
      <c r="CU410" s="1924">
        <v>0.80020000000000002</v>
      </c>
      <c r="CV410" s="1924">
        <v>13.99</v>
      </c>
      <c r="CW410" s="1924">
        <v>1682</v>
      </c>
      <c r="CX410" s="1894">
        <f t="shared" si="182"/>
        <v>7214</v>
      </c>
      <c r="CY410" s="1894">
        <f t="shared" si="183"/>
        <v>0</v>
      </c>
    </row>
    <row r="411" spans="1:103">
      <c r="A411" s="982">
        <v>122000000050</v>
      </c>
      <c r="B411" s="1923">
        <f t="shared" si="184"/>
        <v>405</v>
      </c>
      <c r="C411" s="1895" t="s">
        <v>3290</v>
      </c>
      <c r="D411" s="1894" t="s">
        <v>524</v>
      </c>
      <c r="E411" s="1895" t="s">
        <v>623</v>
      </c>
      <c r="F411" s="1894" t="s">
        <v>259</v>
      </c>
      <c r="G411" s="1924">
        <v>278</v>
      </c>
      <c r="H411" s="1894">
        <v>278</v>
      </c>
      <c r="I411" s="1894">
        <v>253.2</v>
      </c>
      <c r="J411" s="1894">
        <v>278</v>
      </c>
      <c r="K411" s="1894">
        <v>0.99909999999999999</v>
      </c>
      <c r="L411" s="1894">
        <v>0</v>
      </c>
      <c r="M411" s="1894">
        <v>33528</v>
      </c>
      <c r="N411" s="1894">
        <f t="shared" si="162"/>
        <v>109382</v>
      </c>
      <c r="O411" s="1894">
        <f t="shared" si="163"/>
        <v>0</v>
      </c>
      <c r="P411" s="1894">
        <v>278</v>
      </c>
      <c r="Q411" s="1894">
        <v>484.08</v>
      </c>
      <c r="R411" s="1894">
        <v>484.08</v>
      </c>
      <c r="S411" s="1894">
        <v>0.93799999999999994</v>
      </c>
      <c r="T411" s="1894">
        <v>0</v>
      </c>
      <c r="U411" s="1894">
        <v>150782</v>
      </c>
      <c r="V411" s="1894">
        <f t="shared" si="164"/>
        <v>216093</v>
      </c>
      <c r="W411" s="1894">
        <f t="shared" si="165"/>
        <v>0</v>
      </c>
      <c r="X411" s="1894">
        <v>278</v>
      </c>
      <c r="Y411" s="1894">
        <v>506.28</v>
      </c>
      <c r="Z411" s="1894">
        <v>506.28</v>
      </c>
      <c r="AA411" s="1894">
        <v>0.97860000000000003</v>
      </c>
      <c r="AB411" s="1894">
        <v>0</v>
      </c>
      <c r="AC411" s="1894">
        <v>244497</v>
      </c>
      <c r="AD411" s="1894">
        <f t="shared" si="166"/>
        <v>218713</v>
      </c>
      <c r="AE411" s="1894">
        <f t="shared" si="167"/>
        <v>25784</v>
      </c>
      <c r="AF411" s="1894">
        <v>278</v>
      </c>
      <c r="AG411" s="1894">
        <v>450.36</v>
      </c>
      <c r="AH411" s="1894">
        <v>450.36</v>
      </c>
      <c r="AI411" s="1894">
        <v>0.9859</v>
      </c>
      <c r="AJ411" s="1894">
        <v>0</v>
      </c>
      <c r="AK411" s="1894">
        <v>166956</v>
      </c>
      <c r="AL411" s="1894">
        <f t="shared" si="160"/>
        <v>201041</v>
      </c>
      <c r="AM411" s="1894">
        <f t="shared" si="161"/>
        <v>0</v>
      </c>
      <c r="AN411" s="1894">
        <v>278</v>
      </c>
      <c r="AO411" s="1894">
        <v>222.84</v>
      </c>
      <c r="AP411" s="1894">
        <v>278</v>
      </c>
      <c r="AQ411" s="1894">
        <v>0.96970000000000001</v>
      </c>
      <c r="AR411" s="1894">
        <v>0</v>
      </c>
      <c r="AS411" s="1894">
        <v>95163</v>
      </c>
      <c r="AT411" s="1894">
        <f t="shared" si="168"/>
        <v>99476</v>
      </c>
      <c r="AU411" s="1894">
        <f t="shared" si="169"/>
        <v>0</v>
      </c>
      <c r="AV411" s="1894">
        <v>278</v>
      </c>
      <c r="AW411" s="1894">
        <v>408.00000000000006</v>
      </c>
      <c r="AX411" s="1894">
        <v>408</v>
      </c>
      <c r="AY411" s="1894">
        <v>0.98260000000000003</v>
      </c>
      <c r="AZ411" s="1894">
        <v>0</v>
      </c>
      <c r="BA411" s="1894">
        <v>116316</v>
      </c>
      <c r="BB411" s="1894">
        <f t="shared" si="170"/>
        <v>176256</v>
      </c>
      <c r="BC411" s="1894">
        <f t="shared" si="171"/>
        <v>0</v>
      </c>
      <c r="BD411" s="1894">
        <v>278</v>
      </c>
      <c r="BE411" s="1894">
        <v>401.15999999999997</v>
      </c>
      <c r="BF411" s="1894">
        <v>401.16</v>
      </c>
      <c r="BG411" s="1894">
        <v>0.97240000000000004</v>
      </c>
      <c r="BH411" s="1894">
        <v>0</v>
      </c>
      <c r="BI411" s="1894">
        <v>105754</v>
      </c>
      <c r="BJ411" s="1894">
        <f t="shared" si="172"/>
        <v>179078</v>
      </c>
      <c r="BK411" s="1894">
        <f t="shared" si="173"/>
        <v>0</v>
      </c>
      <c r="BL411" s="1894">
        <v>278</v>
      </c>
      <c r="BM411" s="1894">
        <v>364.2</v>
      </c>
      <c r="BN411" s="1894">
        <v>364.2</v>
      </c>
      <c r="BO411" s="1894">
        <v>0.97509999999999997</v>
      </c>
      <c r="BP411" s="1894">
        <v>0</v>
      </c>
      <c r="BQ411" s="1894">
        <v>106877</v>
      </c>
      <c r="BR411" s="1894">
        <f t="shared" si="174"/>
        <v>157334</v>
      </c>
      <c r="BS411" s="1894">
        <f t="shared" si="175"/>
        <v>0</v>
      </c>
      <c r="BT411" s="1894">
        <v>278</v>
      </c>
      <c r="BU411" s="1894">
        <v>282.24</v>
      </c>
      <c r="BV411" s="1894">
        <v>282.24</v>
      </c>
      <c r="BW411" s="1894">
        <v>0.9667</v>
      </c>
      <c r="BX411" s="1894">
        <v>0</v>
      </c>
      <c r="BY411" s="1894">
        <v>75525</v>
      </c>
      <c r="BZ411" s="1894">
        <f t="shared" si="176"/>
        <v>125992</v>
      </c>
      <c r="CA411" s="1894">
        <f t="shared" si="177"/>
        <v>0</v>
      </c>
      <c r="CB411" s="1894">
        <v>278</v>
      </c>
      <c r="CC411" s="1894">
        <v>270.84000000000003</v>
      </c>
      <c r="CD411" s="1894">
        <v>278</v>
      </c>
      <c r="CE411" s="1894">
        <v>0.97640000000000005</v>
      </c>
      <c r="CF411" s="1894">
        <v>0</v>
      </c>
      <c r="CG411" s="1894">
        <v>64902</v>
      </c>
      <c r="CH411" s="1894">
        <f t="shared" si="178"/>
        <v>120903</v>
      </c>
      <c r="CI411" s="1894">
        <f t="shared" si="179"/>
        <v>0</v>
      </c>
      <c r="CJ411" s="1894">
        <v>278</v>
      </c>
      <c r="CK411" s="1894">
        <v>279.24</v>
      </c>
      <c r="CL411" s="1894">
        <v>279.24</v>
      </c>
      <c r="CM411" s="1894">
        <v>0.9798</v>
      </c>
      <c r="CN411" s="1894">
        <v>0</v>
      </c>
      <c r="CO411" s="1894">
        <v>67332</v>
      </c>
      <c r="CP411" s="1894">
        <f t="shared" si="180"/>
        <v>112590</v>
      </c>
      <c r="CQ411" s="1894">
        <f t="shared" si="181"/>
        <v>0</v>
      </c>
      <c r="CR411" s="1924">
        <v>278</v>
      </c>
      <c r="CS411" s="1924">
        <v>264.48</v>
      </c>
      <c r="CT411" s="1924">
        <v>278</v>
      </c>
      <c r="CU411" s="1924">
        <v>0.98419999999999996</v>
      </c>
      <c r="CV411" s="1924">
        <v>0</v>
      </c>
      <c r="CW411" s="1924">
        <v>63747</v>
      </c>
      <c r="CX411" s="1894">
        <f t="shared" si="182"/>
        <v>118064</v>
      </c>
      <c r="CY411" s="1894">
        <f t="shared" si="183"/>
        <v>0</v>
      </c>
    </row>
    <row r="412" spans="1:103">
      <c r="A412" s="982">
        <v>122000000074</v>
      </c>
      <c r="B412" s="1923">
        <f t="shared" si="184"/>
        <v>406</v>
      </c>
      <c r="C412" s="1895" t="s">
        <v>3291</v>
      </c>
      <c r="D412" s="1894" t="s">
        <v>524</v>
      </c>
      <c r="E412" s="1895" t="s">
        <v>2966</v>
      </c>
      <c r="F412" s="1894" t="s">
        <v>259</v>
      </c>
      <c r="G412" s="1924">
        <v>278</v>
      </c>
      <c r="H412" s="1894">
        <v>278</v>
      </c>
      <c r="I412" s="1894">
        <v>110.28</v>
      </c>
      <c r="J412" s="1894">
        <v>278</v>
      </c>
      <c r="K412" s="1894">
        <v>0.93720000000000003</v>
      </c>
      <c r="L412" s="1894">
        <v>0</v>
      </c>
      <c r="M412" s="1894">
        <v>26049</v>
      </c>
      <c r="N412" s="1894">
        <f t="shared" si="162"/>
        <v>47641</v>
      </c>
      <c r="O412" s="1894">
        <f t="shared" si="163"/>
        <v>0</v>
      </c>
      <c r="P412" s="1894">
        <v>278</v>
      </c>
      <c r="Q412" s="1894">
        <v>117.96</v>
      </c>
      <c r="R412" s="1894">
        <v>278</v>
      </c>
      <c r="S412" s="1894">
        <v>0.91049999999999998</v>
      </c>
      <c r="T412" s="1894">
        <v>0</v>
      </c>
      <c r="U412" s="1894">
        <v>36288</v>
      </c>
      <c r="V412" s="1894">
        <f t="shared" si="164"/>
        <v>52657</v>
      </c>
      <c r="W412" s="1894">
        <f t="shared" si="165"/>
        <v>0</v>
      </c>
      <c r="X412" s="1894">
        <v>278</v>
      </c>
      <c r="Y412" s="1894">
        <v>150.96</v>
      </c>
      <c r="Z412" s="1894">
        <v>278</v>
      </c>
      <c r="AA412" s="1894">
        <v>0.91139999999999999</v>
      </c>
      <c r="AB412" s="1894">
        <v>0</v>
      </c>
      <c r="AC412" s="1894">
        <v>31964</v>
      </c>
      <c r="AD412" s="1894">
        <f t="shared" si="166"/>
        <v>65215</v>
      </c>
      <c r="AE412" s="1894">
        <f t="shared" si="167"/>
        <v>0</v>
      </c>
      <c r="AF412" s="1894">
        <v>278</v>
      </c>
      <c r="AG412" s="1894">
        <v>54.36</v>
      </c>
      <c r="AH412" s="1894">
        <v>278</v>
      </c>
      <c r="AI412" s="1894">
        <v>0.91459999999999997</v>
      </c>
      <c r="AJ412" s="1894">
        <v>0</v>
      </c>
      <c r="AK412" s="1894">
        <v>9793</v>
      </c>
      <c r="AL412" s="1894">
        <f t="shared" si="160"/>
        <v>24266</v>
      </c>
      <c r="AM412" s="1894">
        <f t="shared" si="161"/>
        <v>0</v>
      </c>
      <c r="AN412" s="1894">
        <v>278</v>
      </c>
      <c r="AO412" s="1894">
        <v>70.319999999999993</v>
      </c>
      <c r="AP412" s="1894">
        <v>278</v>
      </c>
      <c r="AQ412" s="1894">
        <v>0.84799999999999998</v>
      </c>
      <c r="AR412" s="1894">
        <v>0</v>
      </c>
      <c r="AS412" s="1894">
        <v>9320</v>
      </c>
      <c r="AT412" s="1894">
        <f t="shared" si="168"/>
        <v>31391</v>
      </c>
      <c r="AU412" s="1894">
        <f t="shared" si="169"/>
        <v>0</v>
      </c>
      <c r="AV412" s="1894">
        <v>278</v>
      </c>
      <c r="AW412" s="1894">
        <v>109.44</v>
      </c>
      <c r="AX412" s="1894">
        <v>278</v>
      </c>
      <c r="AY412" s="1894">
        <v>0.90549999999999997</v>
      </c>
      <c r="AZ412" s="1894">
        <v>0</v>
      </c>
      <c r="BA412" s="1894">
        <v>18424</v>
      </c>
      <c r="BB412" s="1894">
        <f t="shared" si="170"/>
        <v>47278</v>
      </c>
      <c r="BC412" s="1894">
        <f t="shared" si="171"/>
        <v>0</v>
      </c>
      <c r="BD412" s="1894">
        <v>278</v>
      </c>
      <c r="BE412" s="1894">
        <v>84.84</v>
      </c>
      <c r="BF412" s="1894">
        <v>278</v>
      </c>
      <c r="BG412" s="1894">
        <v>0.92669999999999997</v>
      </c>
      <c r="BH412" s="1894">
        <v>0</v>
      </c>
      <c r="BI412" s="1894">
        <v>21876</v>
      </c>
      <c r="BJ412" s="1894">
        <f t="shared" si="172"/>
        <v>37873</v>
      </c>
      <c r="BK412" s="1894">
        <f t="shared" si="173"/>
        <v>0</v>
      </c>
      <c r="BL412" s="1894">
        <v>278</v>
      </c>
      <c r="BM412" s="1894">
        <v>74.400000000000006</v>
      </c>
      <c r="BN412" s="1894">
        <v>278</v>
      </c>
      <c r="BO412" s="1894">
        <v>0.82579999999999998</v>
      </c>
      <c r="BP412" s="1894">
        <v>0</v>
      </c>
      <c r="BQ412" s="1894">
        <v>14347</v>
      </c>
      <c r="BR412" s="1894">
        <f t="shared" si="174"/>
        <v>32141</v>
      </c>
      <c r="BS412" s="1894">
        <f t="shared" si="175"/>
        <v>0</v>
      </c>
      <c r="BT412" s="1894">
        <v>278</v>
      </c>
      <c r="BU412" s="1894">
        <v>5.04</v>
      </c>
      <c r="BV412" s="1894">
        <v>278</v>
      </c>
      <c r="BW412" s="1894">
        <v>0.2019</v>
      </c>
      <c r="BX412" s="1894">
        <v>0</v>
      </c>
      <c r="BY412" s="1894">
        <v>3075</v>
      </c>
      <c r="BZ412" s="1894">
        <f t="shared" si="176"/>
        <v>2250</v>
      </c>
      <c r="CA412" s="1894">
        <f t="shared" si="177"/>
        <v>825</v>
      </c>
      <c r="CB412" s="1894">
        <v>278</v>
      </c>
      <c r="CC412" s="1894">
        <v>6</v>
      </c>
      <c r="CD412" s="1894">
        <v>278</v>
      </c>
      <c r="CE412" s="1894">
        <v>0.1908</v>
      </c>
      <c r="CF412" s="1894">
        <v>0</v>
      </c>
      <c r="CG412" s="1894">
        <v>2720</v>
      </c>
      <c r="CH412" s="1894">
        <f t="shared" si="178"/>
        <v>2678</v>
      </c>
      <c r="CI412" s="1894">
        <f t="shared" si="179"/>
        <v>42</v>
      </c>
      <c r="CJ412" s="1894">
        <v>278</v>
      </c>
      <c r="CK412" s="1894">
        <v>4.9200000000000008</v>
      </c>
      <c r="CL412" s="1894">
        <v>278</v>
      </c>
      <c r="CM412" s="1894">
        <v>0.2041</v>
      </c>
      <c r="CN412" s="1894">
        <v>0</v>
      </c>
      <c r="CO412" s="1894">
        <v>2229</v>
      </c>
      <c r="CP412" s="1894">
        <f t="shared" si="180"/>
        <v>1984</v>
      </c>
      <c r="CQ412" s="1894">
        <f t="shared" si="181"/>
        <v>245</v>
      </c>
      <c r="CR412" s="1924">
        <v>278</v>
      </c>
      <c r="CS412" s="1924">
        <v>86.16</v>
      </c>
      <c r="CT412" s="1924">
        <v>278</v>
      </c>
      <c r="CU412" s="1924">
        <v>0.79239999999999999</v>
      </c>
      <c r="CV412" s="1924">
        <v>0</v>
      </c>
      <c r="CW412" s="1924">
        <v>9613</v>
      </c>
      <c r="CX412" s="1894">
        <f t="shared" si="182"/>
        <v>38462</v>
      </c>
      <c r="CY412" s="1894">
        <f t="shared" si="183"/>
        <v>0</v>
      </c>
    </row>
    <row r="413" spans="1:103">
      <c r="A413" s="982">
        <v>122000000079</v>
      </c>
      <c r="B413" s="1923">
        <f t="shared" si="184"/>
        <v>407</v>
      </c>
      <c r="C413" s="1895" t="s">
        <v>3292</v>
      </c>
      <c r="D413" s="1894" t="s">
        <v>524</v>
      </c>
      <c r="E413" s="1895" t="s">
        <v>2966</v>
      </c>
      <c r="F413" s="1894" t="s">
        <v>259</v>
      </c>
      <c r="G413" s="1924">
        <v>278</v>
      </c>
      <c r="H413" s="1894">
        <v>278</v>
      </c>
      <c r="I413" s="1894">
        <v>160.64000000000001</v>
      </c>
      <c r="J413" s="1894">
        <v>278</v>
      </c>
      <c r="K413" s="1894">
        <v>0.79569999999999996</v>
      </c>
      <c r="L413" s="1894">
        <v>0</v>
      </c>
      <c r="M413" s="1894">
        <v>15508</v>
      </c>
      <c r="N413" s="1894">
        <f t="shared" si="162"/>
        <v>69396</v>
      </c>
      <c r="O413" s="1894">
        <f t="shared" si="163"/>
        <v>0</v>
      </c>
      <c r="P413" s="1894">
        <v>278</v>
      </c>
      <c r="Q413" s="1894">
        <v>177.12</v>
      </c>
      <c r="R413" s="1894">
        <v>278</v>
      </c>
      <c r="S413" s="1894">
        <v>0.79890000000000005</v>
      </c>
      <c r="T413" s="1894">
        <v>0</v>
      </c>
      <c r="U413" s="1894">
        <v>21410</v>
      </c>
      <c r="V413" s="1894">
        <f t="shared" si="164"/>
        <v>79066</v>
      </c>
      <c r="W413" s="1894">
        <f t="shared" si="165"/>
        <v>0</v>
      </c>
      <c r="X413" s="1894">
        <v>278</v>
      </c>
      <c r="Y413" s="1894">
        <v>54.24</v>
      </c>
      <c r="Z413" s="1894">
        <v>278</v>
      </c>
      <c r="AA413" s="1894">
        <v>0.80659999999999998</v>
      </c>
      <c r="AB413" s="1894">
        <v>0</v>
      </c>
      <c r="AC413" s="1894">
        <v>8470</v>
      </c>
      <c r="AD413" s="1894">
        <f t="shared" si="166"/>
        <v>23432</v>
      </c>
      <c r="AE413" s="1894">
        <f t="shared" si="167"/>
        <v>0</v>
      </c>
      <c r="AF413" s="1894">
        <v>278</v>
      </c>
      <c r="AG413" s="1894">
        <v>44.800000000000004</v>
      </c>
      <c r="AH413" s="1894">
        <v>278</v>
      </c>
      <c r="AI413" s="1894">
        <v>0.78500000000000003</v>
      </c>
      <c r="AJ413" s="1894">
        <v>0</v>
      </c>
      <c r="AK413" s="1894">
        <v>9148</v>
      </c>
      <c r="AL413" s="1894">
        <f t="shared" si="160"/>
        <v>19999</v>
      </c>
      <c r="AM413" s="1894">
        <f t="shared" si="161"/>
        <v>0</v>
      </c>
      <c r="AN413" s="1894">
        <v>278</v>
      </c>
      <c r="AO413" s="1894">
        <v>27.839999999999996</v>
      </c>
      <c r="AP413" s="1894">
        <v>278</v>
      </c>
      <c r="AQ413" s="1894">
        <v>0.59930000000000005</v>
      </c>
      <c r="AR413" s="1894">
        <v>0</v>
      </c>
      <c r="AS413" s="1894">
        <v>3290</v>
      </c>
      <c r="AT413" s="1894">
        <f t="shared" si="168"/>
        <v>12428</v>
      </c>
      <c r="AU413" s="1894">
        <f t="shared" si="169"/>
        <v>0</v>
      </c>
      <c r="AV413" s="1894">
        <v>278</v>
      </c>
      <c r="AW413" s="1894">
        <v>38.4</v>
      </c>
      <c r="AX413" s="1894">
        <v>278</v>
      </c>
      <c r="AY413" s="1894">
        <v>0.65820000000000001</v>
      </c>
      <c r="AZ413" s="1894">
        <v>0</v>
      </c>
      <c r="BA413" s="1894">
        <v>4190</v>
      </c>
      <c r="BB413" s="1894">
        <f t="shared" si="170"/>
        <v>16589</v>
      </c>
      <c r="BC413" s="1894">
        <f t="shared" si="171"/>
        <v>0</v>
      </c>
      <c r="BD413" s="1894">
        <v>278</v>
      </c>
      <c r="BE413" s="1894">
        <v>26.72</v>
      </c>
      <c r="BF413" s="1894">
        <v>278</v>
      </c>
      <c r="BG413" s="1894">
        <v>0.59650000000000003</v>
      </c>
      <c r="BH413" s="1894">
        <v>0</v>
      </c>
      <c r="BI413" s="1894">
        <v>4060</v>
      </c>
      <c r="BJ413" s="1894">
        <f t="shared" si="172"/>
        <v>11928</v>
      </c>
      <c r="BK413" s="1894">
        <f t="shared" si="173"/>
        <v>0</v>
      </c>
      <c r="BL413" s="1894">
        <v>278</v>
      </c>
      <c r="BM413" s="1894">
        <v>47.36</v>
      </c>
      <c r="BN413" s="1894">
        <v>278</v>
      </c>
      <c r="BO413" s="1894">
        <v>0.61109999999999998</v>
      </c>
      <c r="BP413" s="1894">
        <v>0</v>
      </c>
      <c r="BQ413" s="1894">
        <v>8100</v>
      </c>
      <c r="BR413" s="1894">
        <f t="shared" si="174"/>
        <v>20460</v>
      </c>
      <c r="BS413" s="1894">
        <f t="shared" si="175"/>
        <v>0</v>
      </c>
      <c r="BT413" s="1894">
        <v>278</v>
      </c>
      <c r="BU413" s="1894">
        <v>36.96</v>
      </c>
      <c r="BV413" s="1894">
        <v>278</v>
      </c>
      <c r="BW413" s="1894">
        <v>0.56489999999999996</v>
      </c>
      <c r="BX413" s="1894">
        <v>0</v>
      </c>
      <c r="BY413" s="1894">
        <v>6868</v>
      </c>
      <c r="BZ413" s="1894">
        <f t="shared" si="176"/>
        <v>16499</v>
      </c>
      <c r="CA413" s="1894">
        <f t="shared" si="177"/>
        <v>0</v>
      </c>
      <c r="CB413" s="1894">
        <v>278</v>
      </c>
      <c r="CC413" s="1894">
        <v>31.36</v>
      </c>
      <c r="CD413" s="1894">
        <v>278</v>
      </c>
      <c r="CE413" s="1894">
        <v>0.55530000000000002</v>
      </c>
      <c r="CF413" s="1894">
        <v>0</v>
      </c>
      <c r="CG413" s="1894">
        <v>5218</v>
      </c>
      <c r="CH413" s="1894">
        <f t="shared" si="178"/>
        <v>13999</v>
      </c>
      <c r="CI413" s="1894">
        <f t="shared" si="179"/>
        <v>0</v>
      </c>
      <c r="CJ413" s="1894">
        <v>278</v>
      </c>
      <c r="CK413" s="1894">
        <v>33.6</v>
      </c>
      <c r="CL413" s="1894">
        <v>278</v>
      </c>
      <c r="CM413" s="1894">
        <v>0.74560000000000004</v>
      </c>
      <c r="CN413" s="1894">
        <v>0</v>
      </c>
      <c r="CO413" s="1894">
        <v>14438</v>
      </c>
      <c r="CP413" s="1894">
        <f t="shared" si="180"/>
        <v>13548</v>
      </c>
      <c r="CQ413" s="1894">
        <f t="shared" si="181"/>
        <v>890</v>
      </c>
      <c r="CR413" s="1924">
        <v>278</v>
      </c>
      <c r="CS413" s="1924">
        <v>30.880000000000003</v>
      </c>
      <c r="CT413" s="1924">
        <v>278</v>
      </c>
      <c r="CU413" s="1924">
        <v>0.70640000000000003</v>
      </c>
      <c r="CV413" s="1924">
        <v>0</v>
      </c>
      <c r="CW413" s="1924">
        <v>7604</v>
      </c>
      <c r="CX413" s="1894">
        <f t="shared" si="182"/>
        <v>13785</v>
      </c>
      <c r="CY413" s="1894">
        <f t="shared" si="183"/>
        <v>0</v>
      </c>
    </row>
    <row r="414" spans="1:103">
      <c r="A414" s="982">
        <v>123000000074</v>
      </c>
      <c r="B414" s="1923">
        <f t="shared" si="184"/>
        <v>408</v>
      </c>
      <c r="C414" s="1895" t="s">
        <v>3233</v>
      </c>
      <c r="D414" s="1894" t="s">
        <v>524</v>
      </c>
      <c r="E414" s="1895" t="s">
        <v>2966</v>
      </c>
      <c r="F414" s="1894" t="s">
        <v>259</v>
      </c>
      <c r="G414" s="1924">
        <v>278</v>
      </c>
      <c r="H414" s="1894">
        <v>278</v>
      </c>
      <c r="I414" s="1894">
        <v>107.2</v>
      </c>
      <c r="J414" s="1894">
        <v>278</v>
      </c>
      <c r="K414" s="1894">
        <v>0.98209999999999997</v>
      </c>
      <c r="L414" s="1894">
        <v>0</v>
      </c>
      <c r="M414" s="1894">
        <v>32744</v>
      </c>
      <c r="N414" s="1894">
        <f t="shared" si="162"/>
        <v>46310</v>
      </c>
      <c r="O414" s="1894">
        <f t="shared" si="163"/>
        <v>0</v>
      </c>
      <c r="P414" s="1894">
        <v>278</v>
      </c>
      <c r="Q414" s="1894">
        <v>141.6</v>
      </c>
      <c r="R414" s="1894">
        <v>278</v>
      </c>
      <c r="S414" s="1894">
        <v>0.95760000000000001</v>
      </c>
      <c r="T414" s="1894">
        <v>0</v>
      </c>
      <c r="U414" s="1894">
        <v>36868</v>
      </c>
      <c r="V414" s="1894">
        <f t="shared" si="164"/>
        <v>63210</v>
      </c>
      <c r="W414" s="1894">
        <f t="shared" si="165"/>
        <v>0</v>
      </c>
      <c r="X414" s="1894">
        <v>278</v>
      </c>
      <c r="Y414" s="1894">
        <v>144</v>
      </c>
      <c r="Z414" s="1894">
        <v>278</v>
      </c>
      <c r="AA414" s="1894">
        <v>0.91449999999999998</v>
      </c>
      <c r="AB414" s="1894">
        <v>0</v>
      </c>
      <c r="AC414" s="1894">
        <v>33676</v>
      </c>
      <c r="AD414" s="1894">
        <f t="shared" si="166"/>
        <v>62208</v>
      </c>
      <c r="AE414" s="1894">
        <f t="shared" si="167"/>
        <v>0</v>
      </c>
      <c r="AF414" s="1894">
        <v>278</v>
      </c>
      <c r="AG414" s="1894">
        <v>110.4</v>
      </c>
      <c r="AH414" s="1894">
        <v>278</v>
      </c>
      <c r="AI414" s="1894">
        <v>0.89359999999999995</v>
      </c>
      <c r="AJ414" s="1894">
        <v>0</v>
      </c>
      <c r="AK414" s="1894">
        <v>18020</v>
      </c>
      <c r="AL414" s="1894">
        <f t="shared" si="160"/>
        <v>49283</v>
      </c>
      <c r="AM414" s="1894">
        <f t="shared" si="161"/>
        <v>0</v>
      </c>
      <c r="AN414" s="1894">
        <v>278</v>
      </c>
      <c r="AO414" s="1894">
        <v>156</v>
      </c>
      <c r="AP414" s="1894">
        <v>278</v>
      </c>
      <c r="AQ414" s="1894">
        <v>0.86080000000000001</v>
      </c>
      <c r="AR414" s="1894">
        <v>0</v>
      </c>
      <c r="AS414" s="1894">
        <v>18916</v>
      </c>
      <c r="AT414" s="1894">
        <f t="shared" si="168"/>
        <v>69638</v>
      </c>
      <c r="AU414" s="1894">
        <f t="shared" si="169"/>
        <v>0</v>
      </c>
      <c r="AV414" s="1894">
        <v>278</v>
      </c>
      <c r="AW414" s="1894">
        <v>149.6</v>
      </c>
      <c r="AX414" s="1894">
        <v>278</v>
      </c>
      <c r="AY414" s="1894">
        <v>0.94950000000000001</v>
      </c>
      <c r="AZ414" s="1894">
        <v>0</v>
      </c>
      <c r="BA414" s="1894">
        <v>27730</v>
      </c>
      <c r="BB414" s="1894">
        <f t="shared" si="170"/>
        <v>64627</v>
      </c>
      <c r="BC414" s="1894">
        <f t="shared" si="171"/>
        <v>0</v>
      </c>
      <c r="BD414" s="1894">
        <v>278</v>
      </c>
      <c r="BE414" s="1894">
        <v>127.03999999999999</v>
      </c>
      <c r="BF414" s="1894">
        <v>278</v>
      </c>
      <c r="BG414" s="1894">
        <v>0.93210000000000004</v>
      </c>
      <c r="BH414" s="1894">
        <v>0</v>
      </c>
      <c r="BI414" s="1894">
        <v>20738</v>
      </c>
      <c r="BJ414" s="1894">
        <f t="shared" si="172"/>
        <v>56711</v>
      </c>
      <c r="BK414" s="1894">
        <f t="shared" si="173"/>
        <v>0</v>
      </c>
      <c r="BL414" s="1894">
        <v>278</v>
      </c>
      <c r="BM414" s="1894">
        <v>34.880000000000003</v>
      </c>
      <c r="BN414" s="1894">
        <v>278</v>
      </c>
      <c r="BO414" s="1894">
        <v>0.84299999999999997</v>
      </c>
      <c r="BP414" s="1894">
        <v>0</v>
      </c>
      <c r="BQ414" s="1894">
        <v>3924</v>
      </c>
      <c r="BR414" s="1894">
        <f t="shared" si="174"/>
        <v>15068</v>
      </c>
      <c r="BS414" s="1894">
        <f t="shared" si="175"/>
        <v>0</v>
      </c>
      <c r="BT414" s="1894">
        <v>278</v>
      </c>
      <c r="BU414" s="1894">
        <v>9.44</v>
      </c>
      <c r="BV414" s="1894">
        <v>278</v>
      </c>
      <c r="BW414" s="1894">
        <v>0.77890000000000004</v>
      </c>
      <c r="BX414" s="1894">
        <v>0</v>
      </c>
      <c r="BY414" s="1894">
        <v>2506</v>
      </c>
      <c r="BZ414" s="1894">
        <f t="shared" si="176"/>
        <v>4214</v>
      </c>
      <c r="CA414" s="1894">
        <f t="shared" si="177"/>
        <v>0</v>
      </c>
      <c r="CB414" s="1894">
        <v>278</v>
      </c>
      <c r="CC414" s="1894">
        <v>8.48</v>
      </c>
      <c r="CD414" s="1894">
        <v>278</v>
      </c>
      <c r="CE414" s="1894">
        <v>0.8054</v>
      </c>
      <c r="CF414" s="1894">
        <v>0</v>
      </c>
      <c r="CG414" s="1894">
        <v>2344</v>
      </c>
      <c r="CH414" s="1894">
        <f t="shared" si="178"/>
        <v>3785</v>
      </c>
      <c r="CI414" s="1894">
        <f t="shared" si="179"/>
        <v>0</v>
      </c>
      <c r="CJ414" s="1894">
        <v>278</v>
      </c>
      <c r="CK414" s="1894">
        <v>38.879999999999995</v>
      </c>
      <c r="CL414" s="1894">
        <v>278</v>
      </c>
      <c r="CM414" s="1894">
        <v>0.92889999999999995</v>
      </c>
      <c r="CN414" s="1894">
        <v>0</v>
      </c>
      <c r="CO414" s="1894">
        <v>6614</v>
      </c>
      <c r="CP414" s="1894">
        <f t="shared" si="180"/>
        <v>15676</v>
      </c>
      <c r="CQ414" s="1894">
        <f t="shared" si="181"/>
        <v>0</v>
      </c>
      <c r="CR414" s="1924">
        <v>278</v>
      </c>
      <c r="CS414" s="1924">
        <v>116.48</v>
      </c>
      <c r="CT414" s="1924">
        <v>278</v>
      </c>
      <c r="CU414" s="1924">
        <v>0.94589999999999996</v>
      </c>
      <c r="CV414" s="1924">
        <v>0</v>
      </c>
      <c r="CW414" s="1924">
        <v>20730</v>
      </c>
      <c r="CX414" s="1894">
        <f t="shared" si="182"/>
        <v>51997</v>
      </c>
      <c r="CY414" s="1894">
        <f t="shared" si="183"/>
        <v>0</v>
      </c>
    </row>
    <row r="415" spans="1:103">
      <c r="A415" s="982">
        <v>123000000087</v>
      </c>
      <c r="B415" s="1923">
        <f t="shared" si="184"/>
        <v>409</v>
      </c>
      <c r="C415" s="1895" t="s">
        <v>3293</v>
      </c>
      <c r="D415" s="1894" t="s">
        <v>524</v>
      </c>
      <c r="E415" s="1895" t="s">
        <v>636</v>
      </c>
      <c r="F415" s="1894" t="s">
        <v>259</v>
      </c>
      <c r="G415" s="1924">
        <v>278</v>
      </c>
      <c r="H415" s="1894">
        <v>278</v>
      </c>
      <c r="I415" s="1894">
        <v>280.16000000000003</v>
      </c>
      <c r="J415" s="1894">
        <v>280.16000000000003</v>
      </c>
      <c r="K415" s="1894">
        <v>0.99639999999999995</v>
      </c>
      <c r="L415" s="1894">
        <v>29.93</v>
      </c>
      <c r="M415" s="1894">
        <v>58370</v>
      </c>
      <c r="N415" s="1894">
        <f t="shared" si="162"/>
        <v>121029</v>
      </c>
      <c r="O415" s="1894">
        <f t="shared" si="163"/>
        <v>0</v>
      </c>
      <c r="P415" s="1894">
        <v>278</v>
      </c>
      <c r="Q415" s="1894">
        <v>269.44</v>
      </c>
      <c r="R415" s="1894">
        <v>269.44</v>
      </c>
      <c r="S415" s="1894">
        <v>0.99639999999999995</v>
      </c>
      <c r="T415" s="1894">
        <v>31.35</v>
      </c>
      <c r="U415" s="1894">
        <v>72982</v>
      </c>
      <c r="V415" s="1894">
        <f t="shared" si="164"/>
        <v>120278</v>
      </c>
      <c r="W415" s="1894">
        <f t="shared" si="165"/>
        <v>0</v>
      </c>
      <c r="X415" s="1894">
        <v>278</v>
      </c>
      <c r="Y415" s="1894">
        <v>256.32</v>
      </c>
      <c r="Z415" s="1894">
        <v>256.32</v>
      </c>
      <c r="AA415" s="1894">
        <v>0.99529999999999996</v>
      </c>
      <c r="AB415" s="1894">
        <v>33.5</v>
      </c>
      <c r="AC415" s="1894">
        <v>61820</v>
      </c>
      <c r="AD415" s="1894">
        <f t="shared" si="166"/>
        <v>110730</v>
      </c>
      <c r="AE415" s="1894">
        <f t="shared" si="167"/>
        <v>0</v>
      </c>
      <c r="AF415" s="1894">
        <v>278</v>
      </c>
      <c r="AG415" s="1894">
        <v>256.64</v>
      </c>
      <c r="AH415" s="1894">
        <v>256.64</v>
      </c>
      <c r="AI415" s="1894">
        <v>0.99580000000000002</v>
      </c>
      <c r="AJ415" s="1894">
        <v>29.47</v>
      </c>
      <c r="AK415" s="1894">
        <v>56268</v>
      </c>
      <c r="AL415" s="1894">
        <f t="shared" si="160"/>
        <v>114564</v>
      </c>
      <c r="AM415" s="1894">
        <f t="shared" si="161"/>
        <v>0</v>
      </c>
      <c r="AN415" s="1894">
        <v>278</v>
      </c>
      <c r="AO415" s="1894">
        <v>244.79999999999998</v>
      </c>
      <c r="AP415" s="1894">
        <v>244.8</v>
      </c>
      <c r="AQ415" s="1894">
        <v>0.99439999999999995</v>
      </c>
      <c r="AR415" s="1894">
        <v>29.72</v>
      </c>
      <c r="AS415" s="1894">
        <v>54134</v>
      </c>
      <c r="AT415" s="1894">
        <f t="shared" si="168"/>
        <v>109279</v>
      </c>
      <c r="AU415" s="1894">
        <f t="shared" si="169"/>
        <v>0</v>
      </c>
      <c r="AV415" s="1894">
        <v>278</v>
      </c>
      <c r="AW415" s="1894">
        <v>226.88000000000002</v>
      </c>
      <c r="AX415" s="1894">
        <v>226.88</v>
      </c>
      <c r="AY415" s="1894">
        <v>0.99590000000000001</v>
      </c>
      <c r="AZ415" s="1894">
        <v>33.450000000000003</v>
      </c>
      <c r="BA415" s="1894">
        <v>54644</v>
      </c>
      <c r="BB415" s="1894">
        <f t="shared" si="170"/>
        <v>98012</v>
      </c>
      <c r="BC415" s="1894">
        <f t="shared" si="171"/>
        <v>0</v>
      </c>
      <c r="BD415" s="1894">
        <v>278</v>
      </c>
      <c r="BE415" s="1894">
        <v>274.88</v>
      </c>
      <c r="BF415" s="1894">
        <v>274.88</v>
      </c>
      <c r="BG415" s="1894">
        <v>0.99339999999999995</v>
      </c>
      <c r="BH415" s="1894">
        <v>25.4</v>
      </c>
      <c r="BI415" s="1894">
        <v>51946</v>
      </c>
      <c r="BJ415" s="1894">
        <f t="shared" si="172"/>
        <v>122706</v>
      </c>
      <c r="BK415" s="1894">
        <f t="shared" si="173"/>
        <v>0</v>
      </c>
      <c r="BL415" s="1894">
        <v>278</v>
      </c>
      <c r="BM415" s="1894">
        <v>127.2</v>
      </c>
      <c r="BN415" s="1894">
        <v>222.4</v>
      </c>
      <c r="BO415" s="1894">
        <v>0.98750000000000004</v>
      </c>
      <c r="BP415" s="1894">
        <v>35.28</v>
      </c>
      <c r="BQ415" s="1894">
        <v>32314</v>
      </c>
      <c r="BR415" s="1894">
        <f t="shared" si="174"/>
        <v>54950</v>
      </c>
      <c r="BS415" s="1894">
        <f t="shared" si="175"/>
        <v>0</v>
      </c>
      <c r="BT415" s="1894">
        <v>278</v>
      </c>
      <c r="BU415" s="1894">
        <v>151.19999999999999</v>
      </c>
      <c r="BV415" s="1894">
        <v>222.4</v>
      </c>
      <c r="BW415" s="1894">
        <v>0.98770000000000002</v>
      </c>
      <c r="BX415" s="1894">
        <v>30.16</v>
      </c>
      <c r="BY415" s="1894">
        <v>33930</v>
      </c>
      <c r="BZ415" s="1894">
        <f t="shared" si="176"/>
        <v>67496</v>
      </c>
      <c r="CA415" s="1894">
        <f t="shared" si="177"/>
        <v>0</v>
      </c>
      <c r="CB415" s="1894">
        <v>278</v>
      </c>
      <c r="CC415" s="1894">
        <v>129.12</v>
      </c>
      <c r="CD415" s="1894">
        <v>222.4</v>
      </c>
      <c r="CE415" s="1894">
        <v>0.98419999999999996</v>
      </c>
      <c r="CF415" s="1894">
        <v>27.85</v>
      </c>
      <c r="CG415" s="1894">
        <v>26750</v>
      </c>
      <c r="CH415" s="1894">
        <f t="shared" si="178"/>
        <v>57639</v>
      </c>
      <c r="CI415" s="1894">
        <f t="shared" si="179"/>
        <v>0</v>
      </c>
      <c r="CJ415" s="1894">
        <v>278</v>
      </c>
      <c r="CK415" s="1894">
        <v>209.60000000000002</v>
      </c>
      <c r="CL415" s="1894">
        <v>222.4</v>
      </c>
      <c r="CM415" s="1894">
        <v>0.9647</v>
      </c>
      <c r="CN415" s="1894">
        <v>24.12</v>
      </c>
      <c r="CO415" s="1894">
        <v>33976</v>
      </c>
      <c r="CP415" s="1894">
        <f t="shared" si="180"/>
        <v>84511</v>
      </c>
      <c r="CQ415" s="1894">
        <f t="shared" si="181"/>
        <v>0</v>
      </c>
      <c r="CR415" s="1924">
        <v>278</v>
      </c>
      <c r="CS415" s="1924">
        <v>244.64000000000001</v>
      </c>
      <c r="CT415" s="1924">
        <v>244.64</v>
      </c>
      <c r="CU415" s="1924">
        <v>0.99270000000000003</v>
      </c>
      <c r="CV415" s="1924">
        <v>24.67</v>
      </c>
      <c r="CW415" s="1924">
        <v>44898</v>
      </c>
      <c r="CX415" s="1894">
        <f t="shared" si="182"/>
        <v>109207</v>
      </c>
      <c r="CY415" s="1894">
        <f t="shared" si="183"/>
        <v>0</v>
      </c>
    </row>
    <row r="416" spans="1:103">
      <c r="A416" s="982">
        <v>123000000094</v>
      </c>
      <c r="B416" s="1923">
        <f t="shared" si="184"/>
        <v>410</v>
      </c>
      <c r="C416" s="1895" t="s">
        <v>3294</v>
      </c>
      <c r="D416" s="1894" t="s">
        <v>524</v>
      </c>
      <c r="E416" s="1895" t="s">
        <v>541</v>
      </c>
      <c r="F416" s="1894" t="s">
        <v>259</v>
      </c>
      <c r="G416" s="1924">
        <v>278</v>
      </c>
      <c r="H416" s="1894">
        <v>278</v>
      </c>
      <c r="I416" s="1894">
        <v>97.6</v>
      </c>
      <c r="J416" s="1894">
        <v>222.4</v>
      </c>
      <c r="K416" s="1894">
        <v>0.9627</v>
      </c>
      <c r="L416" s="1894">
        <v>13.44</v>
      </c>
      <c r="M416" s="1894">
        <v>9444</v>
      </c>
      <c r="N416" s="1894">
        <f t="shared" si="162"/>
        <v>42163</v>
      </c>
      <c r="O416" s="1894">
        <f t="shared" si="163"/>
        <v>0</v>
      </c>
      <c r="P416" s="1894">
        <v>278</v>
      </c>
      <c r="Q416" s="1894">
        <v>102.4</v>
      </c>
      <c r="R416" s="1894">
        <v>222.4</v>
      </c>
      <c r="S416" s="1894">
        <v>0.96730000000000005</v>
      </c>
      <c r="T416" s="1894">
        <v>5.47</v>
      </c>
      <c r="U416" s="1894">
        <v>4168</v>
      </c>
      <c r="V416" s="1894">
        <f t="shared" si="164"/>
        <v>45711</v>
      </c>
      <c r="W416" s="1894">
        <f t="shared" si="165"/>
        <v>0</v>
      </c>
      <c r="X416" s="1894">
        <v>278</v>
      </c>
      <c r="Y416" s="1894">
        <v>77.600000000000009</v>
      </c>
      <c r="Z416" s="1894">
        <v>222.4</v>
      </c>
      <c r="AA416" s="1894">
        <v>0.96919999999999995</v>
      </c>
      <c r="AB416" s="1894">
        <v>11.88</v>
      </c>
      <c r="AC416" s="1894">
        <v>6640</v>
      </c>
      <c r="AD416" s="1894">
        <f t="shared" si="166"/>
        <v>33523</v>
      </c>
      <c r="AE416" s="1894">
        <f t="shared" si="167"/>
        <v>0</v>
      </c>
      <c r="AF416" s="1894">
        <v>278</v>
      </c>
      <c r="AG416" s="1894">
        <v>84</v>
      </c>
      <c r="AH416" s="1894">
        <v>222.4</v>
      </c>
      <c r="AI416" s="1894">
        <v>0.96550000000000002</v>
      </c>
      <c r="AJ416" s="1894">
        <v>9.3000000000000007</v>
      </c>
      <c r="AK416" s="1894">
        <v>5632</v>
      </c>
      <c r="AL416" s="1894">
        <f t="shared" si="160"/>
        <v>37498</v>
      </c>
      <c r="AM416" s="1894">
        <f t="shared" si="161"/>
        <v>0</v>
      </c>
      <c r="AN416" s="1894">
        <v>278</v>
      </c>
      <c r="AO416" s="1894">
        <v>2.08</v>
      </c>
      <c r="AP416" s="1894">
        <v>222.4</v>
      </c>
      <c r="AQ416" s="1894">
        <v>0.96220000000000006</v>
      </c>
      <c r="AR416" s="1894">
        <v>538.15</v>
      </c>
      <c r="AS416" s="1894">
        <v>8328</v>
      </c>
      <c r="AT416" s="1894">
        <f t="shared" si="168"/>
        <v>929</v>
      </c>
      <c r="AU416" s="1894">
        <f t="shared" si="169"/>
        <v>7399</v>
      </c>
      <c r="AV416" s="1894">
        <v>278</v>
      </c>
      <c r="AW416" s="1894">
        <v>143.04</v>
      </c>
      <c r="AX416" s="1894">
        <v>222.4</v>
      </c>
      <c r="AY416" s="1894">
        <v>0.96789999999999998</v>
      </c>
      <c r="AZ416" s="1894">
        <v>7.81</v>
      </c>
      <c r="BA416" s="1894">
        <v>8046</v>
      </c>
      <c r="BB416" s="1894">
        <f t="shared" si="170"/>
        <v>61793</v>
      </c>
      <c r="BC416" s="1894">
        <f t="shared" si="171"/>
        <v>0</v>
      </c>
      <c r="BD416" s="1894">
        <v>278</v>
      </c>
      <c r="BE416" s="1894">
        <v>90.72</v>
      </c>
      <c r="BF416" s="1894">
        <v>222.4</v>
      </c>
      <c r="BG416" s="1894">
        <v>0.9506</v>
      </c>
      <c r="BH416" s="1894">
        <v>9.25</v>
      </c>
      <c r="BI416" s="1894">
        <v>6242</v>
      </c>
      <c r="BJ416" s="1894">
        <f t="shared" si="172"/>
        <v>40497</v>
      </c>
      <c r="BK416" s="1894">
        <f t="shared" si="173"/>
        <v>0</v>
      </c>
      <c r="BL416" s="1894">
        <v>278</v>
      </c>
      <c r="BM416" s="1894">
        <v>96.960000000000008</v>
      </c>
      <c r="BN416" s="1894">
        <v>222.4</v>
      </c>
      <c r="BO416" s="1894">
        <v>0.96340000000000003</v>
      </c>
      <c r="BP416" s="1894">
        <v>14.26</v>
      </c>
      <c r="BQ416" s="1894">
        <v>9954</v>
      </c>
      <c r="BR416" s="1894">
        <f t="shared" si="174"/>
        <v>41887</v>
      </c>
      <c r="BS416" s="1894">
        <f t="shared" si="175"/>
        <v>0</v>
      </c>
      <c r="BT416" s="1894">
        <v>278</v>
      </c>
      <c r="BU416" s="1894">
        <v>137.91999999999999</v>
      </c>
      <c r="BV416" s="1894">
        <v>222.4</v>
      </c>
      <c r="BW416" s="1894">
        <v>0.96040000000000003</v>
      </c>
      <c r="BX416" s="1894">
        <v>10.9</v>
      </c>
      <c r="BY416" s="1894">
        <v>11184</v>
      </c>
      <c r="BZ416" s="1894">
        <f t="shared" si="176"/>
        <v>61567</v>
      </c>
      <c r="CA416" s="1894">
        <f t="shared" si="177"/>
        <v>0</v>
      </c>
      <c r="CB416" s="1894">
        <v>278</v>
      </c>
      <c r="CC416" s="1894">
        <v>153.76000000000002</v>
      </c>
      <c r="CD416" s="1894">
        <v>222.4</v>
      </c>
      <c r="CE416" s="1894">
        <v>0.96220000000000006</v>
      </c>
      <c r="CF416" s="1894">
        <v>11.72</v>
      </c>
      <c r="CG416" s="1894">
        <v>13410</v>
      </c>
      <c r="CH416" s="1894">
        <f t="shared" si="178"/>
        <v>68638</v>
      </c>
      <c r="CI416" s="1894">
        <f t="shared" si="179"/>
        <v>0</v>
      </c>
      <c r="CJ416" s="1894">
        <v>278</v>
      </c>
      <c r="CK416" s="1894">
        <v>148.47999999999999</v>
      </c>
      <c r="CL416" s="1894">
        <v>222.4</v>
      </c>
      <c r="CM416" s="1894">
        <v>0.96020000000000005</v>
      </c>
      <c r="CN416" s="1894">
        <v>12.45</v>
      </c>
      <c r="CO416" s="1894">
        <v>12418</v>
      </c>
      <c r="CP416" s="1894">
        <f t="shared" si="180"/>
        <v>59867</v>
      </c>
      <c r="CQ416" s="1894">
        <f t="shared" si="181"/>
        <v>0</v>
      </c>
      <c r="CR416" s="1924">
        <v>278</v>
      </c>
      <c r="CS416" s="1924">
        <v>156.47999999999999</v>
      </c>
      <c r="CT416" s="1924">
        <v>222.4</v>
      </c>
      <c r="CU416" s="1924">
        <v>0.94730000000000003</v>
      </c>
      <c r="CV416" s="1924">
        <v>16.690000000000001</v>
      </c>
      <c r="CW416" s="1924">
        <v>19436</v>
      </c>
      <c r="CX416" s="1894">
        <f t="shared" si="182"/>
        <v>69853</v>
      </c>
      <c r="CY416" s="1894">
        <f t="shared" si="183"/>
        <v>0</v>
      </c>
    </row>
    <row r="417" spans="1:103">
      <c r="A417" s="982">
        <v>123000000098</v>
      </c>
      <c r="B417" s="1923">
        <f t="shared" si="184"/>
        <v>411</v>
      </c>
      <c r="C417" s="1895" t="s">
        <v>3295</v>
      </c>
      <c r="D417" s="1894" t="s">
        <v>524</v>
      </c>
      <c r="E417" s="1895" t="s">
        <v>2966</v>
      </c>
      <c r="F417" s="1894" t="s">
        <v>259</v>
      </c>
      <c r="G417" s="1924">
        <v>278</v>
      </c>
      <c r="H417" s="1894">
        <v>278</v>
      </c>
      <c r="I417" s="1894">
        <v>80.16</v>
      </c>
      <c r="J417" s="1894">
        <v>278</v>
      </c>
      <c r="K417" s="1894">
        <v>0.77090000000000003</v>
      </c>
      <c r="L417" s="1894">
        <v>0</v>
      </c>
      <c r="M417" s="1894">
        <v>13410</v>
      </c>
      <c r="N417" s="1894">
        <f t="shared" si="162"/>
        <v>34629</v>
      </c>
      <c r="O417" s="1894">
        <f t="shared" si="163"/>
        <v>0</v>
      </c>
      <c r="P417" s="1894">
        <v>278</v>
      </c>
      <c r="Q417" s="1894">
        <v>120.60000000000001</v>
      </c>
      <c r="R417" s="1894">
        <v>278</v>
      </c>
      <c r="S417" s="1894">
        <v>0.78969999999999996</v>
      </c>
      <c r="T417" s="1894">
        <v>0</v>
      </c>
      <c r="U417" s="1894">
        <v>14956</v>
      </c>
      <c r="V417" s="1894">
        <f t="shared" si="164"/>
        <v>53836</v>
      </c>
      <c r="W417" s="1894">
        <f t="shared" si="165"/>
        <v>0</v>
      </c>
      <c r="X417" s="1894">
        <v>278</v>
      </c>
      <c r="Y417" s="1894">
        <v>119.4</v>
      </c>
      <c r="Z417" s="1894">
        <v>278</v>
      </c>
      <c r="AA417" s="1894">
        <v>0.74070000000000003</v>
      </c>
      <c r="AB417" s="1894">
        <v>0</v>
      </c>
      <c r="AC417" s="1894">
        <v>17606</v>
      </c>
      <c r="AD417" s="1894">
        <f t="shared" si="166"/>
        <v>51581</v>
      </c>
      <c r="AE417" s="1894">
        <f t="shared" si="167"/>
        <v>0</v>
      </c>
      <c r="AF417" s="1894">
        <v>278</v>
      </c>
      <c r="AG417" s="1894">
        <v>153.35999999999999</v>
      </c>
      <c r="AH417" s="1894">
        <v>278</v>
      </c>
      <c r="AI417" s="1894">
        <v>0.73570000000000002</v>
      </c>
      <c r="AJ417" s="1894">
        <v>0</v>
      </c>
      <c r="AK417" s="1894">
        <v>23448</v>
      </c>
      <c r="AL417" s="1894">
        <f t="shared" si="160"/>
        <v>68460</v>
      </c>
      <c r="AM417" s="1894">
        <f t="shared" si="161"/>
        <v>0</v>
      </c>
      <c r="AN417" s="1894">
        <v>278</v>
      </c>
      <c r="AO417" s="1894">
        <v>103.56</v>
      </c>
      <c r="AP417" s="1894">
        <v>278</v>
      </c>
      <c r="AQ417" s="1894">
        <v>0.60009999999999997</v>
      </c>
      <c r="AR417" s="1894">
        <v>0</v>
      </c>
      <c r="AS417" s="1894">
        <v>26729</v>
      </c>
      <c r="AT417" s="1894">
        <f t="shared" si="168"/>
        <v>46229</v>
      </c>
      <c r="AU417" s="1894">
        <f t="shared" si="169"/>
        <v>0</v>
      </c>
      <c r="AV417" s="1894">
        <v>278</v>
      </c>
      <c r="AW417" s="1894">
        <v>105.84</v>
      </c>
      <c r="AX417" s="1894">
        <v>278</v>
      </c>
      <c r="AY417" s="1894">
        <v>0.59750000000000003</v>
      </c>
      <c r="AZ417" s="1894">
        <v>0</v>
      </c>
      <c r="BA417" s="1894">
        <v>28302</v>
      </c>
      <c r="BB417" s="1894">
        <f t="shared" si="170"/>
        <v>45723</v>
      </c>
      <c r="BC417" s="1894">
        <f t="shared" si="171"/>
        <v>0</v>
      </c>
      <c r="BD417" s="1894">
        <v>278</v>
      </c>
      <c r="BE417" s="1894">
        <v>95.639999999999986</v>
      </c>
      <c r="BF417" s="1894">
        <v>278</v>
      </c>
      <c r="BG417" s="1894">
        <v>0.45710000000000001</v>
      </c>
      <c r="BH417" s="1894">
        <v>0</v>
      </c>
      <c r="BI417" s="1894">
        <v>14400</v>
      </c>
      <c r="BJ417" s="1894">
        <f t="shared" si="172"/>
        <v>42694</v>
      </c>
      <c r="BK417" s="1894">
        <f t="shared" si="173"/>
        <v>0</v>
      </c>
      <c r="BL417" s="1894">
        <v>278</v>
      </c>
      <c r="BM417" s="1894">
        <v>75</v>
      </c>
      <c r="BN417" s="1894">
        <v>278</v>
      </c>
      <c r="BO417" s="1894">
        <v>0.23630000000000001</v>
      </c>
      <c r="BP417" s="1894">
        <v>0</v>
      </c>
      <c r="BQ417" s="1894">
        <v>20383</v>
      </c>
      <c r="BR417" s="1894">
        <f t="shared" si="174"/>
        <v>32400</v>
      </c>
      <c r="BS417" s="1894">
        <f t="shared" si="175"/>
        <v>0</v>
      </c>
      <c r="BT417" s="1894">
        <v>278</v>
      </c>
      <c r="BU417" s="1894">
        <v>42.480000000000004</v>
      </c>
      <c r="BV417" s="1894">
        <v>278</v>
      </c>
      <c r="BW417" s="1894">
        <v>0.22550000000000001</v>
      </c>
      <c r="BX417" s="1894">
        <v>0</v>
      </c>
      <c r="BY417" s="1894">
        <v>12888</v>
      </c>
      <c r="BZ417" s="1894">
        <f t="shared" si="176"/>
        <v>18963</v>
      </c>
      <c r="CA417" s="1894">
        <f t="shared" si="177"/>
        <v>0</v>
      </c>
      <c r="CB417" s="1894">
        <v>278</v>
      </c>
      <c r="CC417" s="1894">
        <v>41.519999999999996</v>
      </c>
      <c r="CD417" s="1894">
        <v>278</v>
      </c>
      <c r="CE417" s="1894">
        <v>0.18540000000000001</v>
      </c>
      <c r="CF417" s="1894">
        <v>0</v>
      </c>
      <c r="CG417" s="1894">
        <v>9344</v>
      </c>
      <c r="CH417" s="1894">
        <f t="shared" si="178"/>
        <v>18535</v>
      </c>
      <c r="CI417" s="1894">
        <f t="shared" si="179"/>
        <v>0</v>
      </c>
      <c r="CJ417" s="1894">
        <v>278</v>
      </c>
      <c r="CK417" s="1894">
        <v>65.28</v>
      </c>
      <c r="CL417" s="1894">
        <v>278</v>
      </c>
      <c r="CM417" s="1894">
        <v>0.46</v>
      </c>
      <c r="CN417" s="1894">
        <v>0</v>
      </c>
      <c r="CO417" s="1894">
        <v>10767</v>
      </c>
      <c r="CP417" s="1894">
        <f t="shared" si="180"/>
        <v>26321</v>
      </c>
      <c r="CQ417" s="1894">
        <f t="shared" si="181"/>
        <v>0</v>
      </c>
      <c r="CR417" s="1924">
        <v>278</v>
      </c>
      <c r="CS417" s="1924">
        <v>63.96</v>
      </c>
      <c r="CT417" s="1924">
        <v>278</v>
      </c>
      <c r="CU417" s="1924">
        <v>0.58699999999999997</v>
      </c>
      <c r="CV417" s="1924">
        <v>0</v>
      </c>
      <c r="CW417" s="1924">
        <v>10482</v>
      </c>
      <c r="CX417" s="1894">
        <f t="shared" si="182"/>
        <v>28552</v>
      </c>
      <c r="CY417" s="1894">
        <f t="shared" si="183"/>
        <v>0</v>
      </c>
    </row>
    <row r="418" spans="1:103">
      <c r="A418" s="982">
        <v>123000000106</v>
      </c>
      <c r="B418" s="1923">
        <f t="shared" si="184"/>
        <v>412</v>
      </c>
      <c r="C418" s="1895" t="s">
        <v>3296</v>
      </c>
      <c r="D418" s="1894" t="s">
        <v>524</v>
      </c>
      <c r="E418" s="1895" t="s">
        <v>2966</v>
      </c>
      <c r="F418" s="1894" t="s">
        <v>259</v>
      </c>
      <c r="G418" s="1924">
        <v>278</v>
      </c>
      <c r="H418" s="1894">
        <v>278</v>
      </c>
      <c r="I418" s="1894">
        <v>149.52000000000001</v>
      </c>
      <c r="J418" s="1894">
        <v>278</v>
      </c>
      <c r="K418" s="1894">
        <v>0.80449999999999999</v>
      </c>
      <c r="L418" s="1894">
        <v>0</v>
      </c>
      <c r="M418" s="1894">
        <v>16867</v>
      </c>
      <c r="N418" s="1894">
        <f t="shared" si="162"/>
        <v>64593</v>
      </c>
      <c r="O418" s="1894">
        <f t="shared" si="163"/>
        <v>0</v>
      </c>
      <c r="P418" s="1894">
        <v>278</v>
      </c>
      <c r="Q418" s="1894">
        <v>153.6</v>
      </c>
      <c r="R418" s="1894">
        <v>278</v>
      </c>
      <c r="S418" s="1894">
        <v>0.8367</v>
      </c>
      <c r="T418" s="1894">
        <v>0</v>
      </c>
      <c r="U418" s="1894">
        <v>35284</v>
      </c>
      <c r="V418" s="1894">
        <f t="shared" si="164"/>
        <v>68567</v>
      </c>
      <c r="W418" s="1894">
        <f t="shared" si="165"/>
        <v>0</v>
      </c>
      <c r="X418" s="1894">
        <v>278</v>
      </c>
      <c r="Y418" s="1894">
        <v>176.88</v>
      </c>
      <c r="Z418" s="1894">
        <v>278</v>
      </c>
      <c r="AA418" s="1894">
        <v>0.83909999999999996</v>
      </c>
      <c r="AB418" s="1894">
        <v>0</v>
      </c>
      <c r="AC418" s="1894">
        <v>60527</v>
      </c>
      <c r="AD418" s="1894">
        <f t="shared" si="166"/>
        <v>76412</v>
      </c>
      <c r="AE418" s="1894">
        <f t="shared" si="167"/>
        <v>0</v>
      </c>
      <c r="AF418" s="1894">
        <v>278</v>
      </c>
      <c r="AG418" s="1894">
        <v>173.88</v>
      </c>
      <c r="AH418" s="1894">
        <v>278</v>
      </c>
      <c r="AI418" s="1894">
        <v>0.84799999999999998</v>
      </c>
      <c r="AJ418" s="1894">
        <v>0</v>
      </c>
      <c r="AK418" s="1894">
        <v>35388</v>
      </c>
      <c r="AL418" s="1894">
        <f t="shared" si="160"/>
        <v>77620</v>
      </c>
      <c r="AM418" s="1894">
        <f t="shared" si="161"/>
        <v>0</v>
      </c>
      <c r="AN418" s="1894">
        <v>278</v>
      </c>
      <c r="AO418" s="1894">
        <v>152.4</v>
      </c>
      <c r="AP418" s="1894">
        <v>278</v>
      </c>
      <c r="AQ418" s="1894">
        <v>0.80510000000000004</v>
      </c>
      <c r="AR418" s="1894">
        <v>0</v>
      </c>
      <c r="AS418" s="1894">
        <v>23422</v>
      </c>
      <c r="AT418" s="1894">
        <f t="shared" si="168"/>
        <v>68031</v>
      </c>
      <c r="AU418" s="1894">
        <f t="shared" si="169"/>
        <v>0</v>
      </c>
      <c r="AV418" s="1894">
        <v>278</v>
      </c>
      <c r="AW418" s="1894">
        <v>255.84</v>
      </c>
      <c r="AX418" s="1894">
        <v>278</v>
      </c>
      <c r="AY418" s="1894">
        <v>0.81459999999999999</v>
      </c>
      <c r="AZ418" s="1894">
        <v>0</v>
      </c>
      <c r="BA418" s="1894">
        <v>42836</v>
      </c>
      <c r="BB418" s="1894">
        <f t="shared" si="170"/>
        <v>110523</v>
      </c>
      <c r="BC418" s="1894">
        <f t="shared" si="171"/>
        <v>0</v>
      </c>
      <c r="BD418" s="1894">
        <v>278</v>
      </c>
      <c r="BE418" s="1894">
        <v>178.44</v>
      </c>
      <c r="BF418" s="1894">
        <v>278</v>
      </c>
      <c r="BG418" s="1894">
        <v>0.76759999999999995</v>
      </c>
      <c r="BH418" s="1894">
        <v>0</v>
      </c>
      <c r="BI418" s="1894">
        <v>39326</v>
      </c>
      <c r="BJ418" s="1894">
        <f t="shared" si="172"/>
        <v>79656</v>
      </c>
      <c r="BK418" s="1894">
        <f t="shared" si="173"/>
        <v>0</v>
      </c>
      <c r="BL418" s="1894">
        <v>278</v>
      </c>
      <c r="BM418" s="1894">
        <v>184.92</v>
      </c>
      <c r="BN418" s="1894">
        <v>278</v>
      </c>
      <c r="BO418" s="1894">
        <v>0.74399999999999999</v>
      </c>
      <c r="BP418" s="1894">
        <v>0</v>
      </c>
      <c r="BQ418" s="1894">
        <v>18921</v>
      </c>
      <c r="BR418" s="1894">
        <f t="shared" si="174"/>
        <v>79885</v>
      </c>
      <c r="BS418" s="1894">
        <f t="shared" si="175"/>
        <v>0</v>
      </c>
      <c r="BT418" s="1894">
        <v>278</v>
      </c>
      <c r="BU418" s="1894">
        <v>170.99999999999997</v>
      </c>
      <c r="BV418" s="1894">
        <v>278</v>
      </c>
      <c r="BW418" s="1894">
        <v>0.81940000000000002</v>
      </c>
      <c r="BX418" s="1894">
        <v>0</v>
      </c>
      <c r="BY418" s="1894">
        <v>27034</v>
      </c>
      <c r="BZ418" s="1894">
        <f t="shared" si="176"/>
        <v>76334</v>
      </c>
      <c r="CA418" s="1894">
        <f t="shared" si="177"/>
        <v>0</v>
      </c>
      <c r="CB418" s="1894">
        <v>278</v>
      </c>
      <c r="CC418" s="1894">
        <v>23.16</v>
      </c>
      <c r="CD418" s="1894">
        <v>278</v>
      </c>
      <c r="CE418" s="1894">
        <v>0.93159999999999998</v>
      </c>
      <c r="CF418" s="1894">
        <v>0</v>
      </c>
      <c r="CG418" s="1894">
        <v>1404</v>
      </c>
      <c r="CH418" s="1894">
        <f t="shared" si="178"/>
        <v>10339</v>
      </c>
      <c r="CI418" s="1894">
        <f t="shared" si="179"/>
        <v>0</v>
      </c>
      <c r="CJ418" s="1894">
        <v>278</v>
      </c>
      <c r="CK418" s="1894">
        <v>83.4</v>
      </c>
      <c r="CL418" s="1894">
        <v>278</v>
      </c>
      <c r="CM418" s="1894">
        <v>0.748</v>
      </c>
      <c r="CN418" s="1894">
        <v>0</v>
      </c>
      <c r="CO418" s="1894">
        <v>21199</v>
      </c>
      <c r="CP418" s="1894">
        <f t="shared" si="180"/>
        <v>33627</v>
      </c>
      <c r="CQ418" s="1894">
        <f t="shared" si="181"/>
        <v>0</v>
      </c>
      <c r="CR418" s="1924">
        <v>278</v>
      </c>
      <c r="CS418" s="1924">
        <v>163.56</v>
      </c>
      <c r="CT418" s="1924">
        <v>278</v>
      </c>
      <c r="CU418" s="1924">
        <v>0.77490000000000003</v>
      </c>
      <c r="CV418" s="1924">
        <v>0</v>
      </c>
      <c r="CW418" s="1924">
        <v>30167</v>
      </c>
      <c r="CX418" s="1894">
        <f t="shared" si="182"/>
        <v>73013</v>
      </c>
      <c r="CY418" s="1894">
        <f t="shared" si="183"/>
        <v>0</v>
      </c>
    </row>
    <row r="419" spans="1:103">
      <c r="A419" s="982">
        <v>123000000116</v>
      </c>
      <c r="B419" s="1923">
        <f t="shared" si="184"/>
        <v>413</v>
      </c>
      <c r="C419" s="1895" t="s">
        <v>3296</v>
      </c>
      <c r="D419" s="1894" t="s">
        <v>524</v>
      </c>
      <c r="E419" s="1895" t="s">
        <v>2966</v>
      </c>
      <c r="F419" s="1894" t="s">
        <v>259</v>
      </c>
      <c r="G419" s="1924">
        <v>278</v>
      </c>
      <c r="H419" s="1894">
        <v>278</v>
      </c>
      <c r="I419" s="1894">
        <v>112.55999999999999</v>
      </c>
      <c r="J419" s="1894">
        <v>278</v>
      </c>
      <c r="K419" s="1894">
        <v>0.64759999999999995</v>
      </c>
      <c r="L419" s="1894">
        <v>0</v>
      </c>
      <c r="M419" s="1894">
        <v>14535</v>
      </c>
      <c r="N419" s="1894">
        <f t="shared" si="162"/>
        <v>48626</v>
      </c>
      <c r="O419" s="1894">
        <f t="shared" si="163"/>
        <v>0</v>
      </c>
      <c r="P419" s="1894">
        <v>278</v>
      </c>
      <c r="Q419" s="1894">
        <v>128.88</v>
      </c>
      <c r="R419" s="1894">
        <v>278</v>
      </c>
      <c r="S419" s="1894">
        <v>0.72589999999999999</v>
      </c>
      <c r="T419" s="1894">
        <v>0</v>
      </c>
      <c r="U419" s="1894">
        <v>28632</v>
      </c>
      <c r="V419" s="1894">
        <f t="shared" si="164"/>
        <v>57532</v>
      </c>
      <c r="W419" s="1894">
        <f t="shared" si="165"/>
        <v>0</v>
      </c>
      <c r="X419" s="1894">
        <v>278</v>
      </c>
      <c r="Y419" s="1894">
        <v>167.76000000000002</v>
      </c>
      <c r="Z419" s="1894">
        <v>278</v>
      </c>
      <c r="AA419" s="1894">
        <v>0.79620000000000002</v>
      </c>
      <c r="AB419" s="1894">
        <v>0</v>
      </c>
      <c r="AC419" s="1894">
        <v>59658</v>
      </c>
      <c r="AD419" s="1894">
        <f t="shared" si="166"/>
        <v>72472</v>
      </c>
      <c r="AE419" s="1894">
        <f t="shared" si="167"/>
        <v>0</v>
      </c>
      <c r="AF419" s="1894">
        <v>278</v>
      </c>
      <c r="AG419" s="1894">
        <v>193.67999999999998</v>
      </c>
      <c r="AH419" s="1894">
        <v>278</v>
      </c>
      <c r="AI419" s="1894">
        <v>0.79659999999999997</v>
      </c>
      <c r="AJ419" s="1894">
        <v>0</v>
      </c>
      <c r="AK419" s="1894">
        <v>66780</v>
      </c>
      <c r="AL419" s="1894">
        <f t="shared" si="160"/>
        <v>86459</v>
      </c>
      <c r="AM419" s="1894">
        <f t="shared" si="161"/>
        <v>0</v>
      </c>
      <c r="AN419" s="1894">
        <v>278</v>
      </c>
      <c r="AO419" s="1894">
        <v>218.64000000000001</v>
      </c>
      <c r="AP419" s="1894">
        <v>278</v>
      </c>
      <c r="AQ419" s="1894">
        <v>0.82189999999999996</v>
      </c>
      <c r="AR419" s="1894">
        <v>0</v>
      </c>
      <c r="AS419" s="1894">
        <v>71997</v>
      </c>
      <c r="AT419" s="1894">
        <f t="shared" si="168"/>
        <v>97601</v>
      </c>
      <c r="AU419" s="1894">
        <f t="shared" si="169"/>
        <v>0</v>
      </c>
      <c r="AV419" s="1894">
        <v>278</v>
      </c>
      <c r="AW419" s="1894">
        <v>191.04000000000002</v>
      </c>
      <c r="AX419" s="1894">
        <v>278</v>
      </c>
      <c r="AY419" s="1894">
        <v>0.75290000000000001</v>
      </c>
      <c r="AZ419" s="1894">
        <v>0</v>
      </c>
      <c r="BA419" s="1894">
        <v>30990</v>
      </c>
      <c r="BB419" s="1894">
        <f t="shared" si="170"/>
        <v>82529</v>
      </c>
      <c r="BC419" s="1894">
        <f t="shared" si="171"/>
        <v>0</v>
      </c>
      <c r="BD419" s="1894">
        <v>278</v>
      </c>
      <c r="BE419" s="1894">
        <v>216</v>
      </c>
      <c r="BF419" s="1894">
        <v>278</v>
      </c>
      <c r="BG419" s="1894">
        <v>0.71750000000000003</v>
      </c>
      <c r="BH419" s="1894">
        <v>0</v>
      </c>
      <c r="BI419" s="1894">
        <v>39432</v>
      </c>
      <c r="BJ419" s="1894">
        <f t="shared" si="172"/>
        <v>96422</v>
      </c>
      <c r="BK419" s="1894">
        <f t="shared" si="173"/>
        <v>0</v>
      </c>
      <c r="BL419" s="1894">
        <v>278</v>
      </c>
      <c r="BM419" s="1894">
        <v>202.32</v>
      </c>
      <c r="BN419" s="1894">
        <v>278</v>
      </c>
      <c r="BO419" s="1894">
        <v>0.73709999999999998</v>
      </c>
      <c r="BP419" s="1894">
        <v>0</v>
      </c>
      <c r="BQ419" s="1894">
        <v>65001</v>
      </c>
      <c r="BR419" s="1894">
        <f t="shared" si="174"/>
        <v>87402</v>
      </c>
      <c r="BS419" s="1894">
        <f t="shared" si="175"/>
        <v>0</v>
      </c>
      <c r="BT419" s="1894">
        <v>278</v>
      </c>
      <c r="BU419" s="1894">
        <v>178.55999999999997</v>
      </c>
      <c r="BV419" s="1894">
        <v>278</v>
      </c>
      <c r="BW419" s="1894">
        <v>0.50219999999999998</v>
      </c>
      <c r="BX419" s="1894">
        <v>0</v>
      </c>
      <c r="BY419" s="1894">
        <v>16188</v>
      </c>
      <c r="BZ419" s="1894">
        <f t="shared" si="176"/>
        <v>79709</v>
      </c>
      <c r="CA419" s="1894">
        <f t="shared" si="177"/>
        <v>0</v>
      </c>
      <c r="CB419" s="1894">
        <v>278</v>
      </c>
      <c r="CC419" s="1894">
        <v>12.96</v>
      </c>
      <c r="CD419" s="1894">
        <v>278</v>
      </c>
      <c r="CE419" s="1894">
        <v>0.1229</v>
      </c>
      <c r="CF419" s="1894">
        <v>0</v>
      </c>
      <c r="CG419" s="1894">
        <v>6393</v>
      </c>
      <c r="CH419" s="1894">
        <f t="shared" si="178"/>
        <v>5785</v>
      </c>
      <c r="CI419" s="1894">
        <f t="shared" si="179"/>
        <v>608</v>
      </c>
      <c r="CJ419" s="1894">
        <v>278</v>
      </c>
      <c r="CK419" s="1894">
        <v>25.92</v>
      </c>
      <c r="CL419" s="1894">
        <v>278</v>
      </c>
      <c r="CM419" s="1894">
        <v>0.30590000000000001</v>
      </c>
      <c r="CN419" s="1894">
        <v>0</v>
      </c>
      <c r="CO419" s="1894">
        <v>6207</v>
      </c>
      <c r="CP419" s="1894">
        <f t="shared" si="180"/>
        <v>10451</v>
      </c>
      <c r="CQ419" s="1894">
        <f t="shared" si="181"/>
        <v>0</v>
      </c>
      <c r="CR419" s="1924">
        <v>278</v>
      </c>
      <c r="CS419" s="1924">
        <v>97.2</v>
      </c>
      <c r="CT419" s="1924">
        <v>278</v>
      </c>
      <c r="CU419" s="1924">
        <v>0.63029999999999997</v>
      </c>
      <c r="CV419" s="1924">
        <v>0</v>
      </c>
      <c r="CW419" s="1924">
        <v>17805</v>
      </c>
      <c r="CX419" s="1894">
        <f t="shared" si="182"/>
        <v>43390</v>
      </c>
      <c r="CY419" s="1894">
        <f t="shared" si="183"/>
        <v>0</v>
      </c>
    </row>
    <row r="420" spans="1:103">
      <c r="A420" s="982">
        <v>124000000047</v>
      </c>
      <c r="B420" s="1923">
        <f t="shared" si="184"/>
        <v>414</v>
      </c>
      <c r="C420" s="1895" t="s">
        <v>3297</v>
      </c>
      <c r="D420" s="1894" t="s">
        <v>524</v>
      </c>
      <c r="E420" s="1895" t="s">
        <v>2966</v>
      </c>
      <c r="F420" s="1894" t="s">
        <v>259</v>
      </c>
      <c r="G420" s="1924">
        <v>278</v>
      </c>
      <c r="H420" s="1894">
        <v>278</v>
      </c>
      <c r="I420" s="1894">
        <v>400</v>
      </c>
      <c r="J420" s="1894">
        <v>400</v>
      </c>
      <c r="K420" s="1894">
        <v>0.92369999999999997</v>
      </c>
      <c r="L420" s="1894">
        <v>0</v>
      </c>
      <c r="M420" s="1894">
        <v>176808</v>
      </c>
      <c r="N420" s="1894">
        <f t="shared" si="162"/>
        <v>172800</v>
      </c>
      <c r="O420" s="1894">
        <f t="shared" si="163"/>
        <v>4008</v>
      </c>
      <c r="P420" s="1894">
        <v>278</v>
      </c>
      <c r="Q420" s="1894">
        <v>364</v>
      </c>
      <c r="R420" s="1894">
        <v>364</v>
      </c>
      <c r="S420" s="1894">
        <v>0.86439999999999995</v>
      </c>
      <c r="T420" s="1894">
        <v>0</v>
      </c>
      <c r="U420" s="1894">
        <v>142922</v>
      </c>
      <c r="V420" s="1894">
        <f t="shared" si="164"/>
        <v>162490</v>
      </c>
      <c r="W420" s="1894">
        <f t="shared" si="165"/>
        <v>0</v>
      </c>
      <c r="X420" s="1894">
        <v>278</v>
      </c>
      <c r="Y420" s="1894">
        <v>371.36</v>
      </c>
      <c r="Z420" s="1894">
        <v>371.36</v>
      </c>
      <c r="AA420" s="1894">
        <v>0.8367</v>
      </c>
      <c r="AB420" s="1894">
        <v>0</v>
      </c>
      <c r="AC420" s="1894">
        <v>190718</v>
      </c>
      <c r="AD420" s="1894">
        <f t="shared" si="166"/>
        <v>160428</v>
      </c>
      <c r="AE420" s="1894">
        <f t="shared" si="167"/>
        <v>30290</v>
      </c>
      <c r="AF420" s="1894">
        <v>278</v>
      </c>
      <c r="AG420" s="1894">
        <v>335.2</v>
      </c>
      <c r="AH420" s="1894">
        <v>335.2</v>
      </c>
      <c r="AI420" s="1894">
        <v>0.84089999999999998</v>
      </c>
      <c r="AJ420" s="1894">
        <v>0</v>
      </c>
      <c r="AK420" s="1894">
        <v>149836</v>
      </c>
      <c r="AL420" s="1894">
        <f t="shared" si="160"/>
        <v>149633</v>
      </c>
      <c r="AM420" s="1894">
        <f t="shared" si="161"/>
        <v>203</v>
      </c>
      <c r="AN420" s="1894">
        <v>278</v>
      </c>
      <c r="AO420" s="1894">
        <v>359.2</v>
      </c>
      <c r="AP420" s="1894">
        <v>359.2</v>
      </c>
      <c r="AQ420" s="1894">
        <v>0.82609999999999995</v>
      </c>
      <c r="AR420" s="1894">
        <v>0</v>
      </c>
      <c r="AS420" s="1894">
        <v>146552</v>
      </c>
      <c r="AT420" s="1894">
        <f t="shared" si="168"/>
        <v>160347</v>
      </c>
      <c r="AU420" s="1894">
        <f t="shared" si="169"/>
        <v>0</v>
      </c>
      <c r="AV420" s="1894">
        <v>278</v>
      </c>
      <c r="AW420" s="1894">
        <v>365.76</v>
      </c>
      <c r="AX420" s="1894">
        <v>365.76</v>
      </c>
      <c r="AY420" s="1894">
        <v>0.81830000000000003</v>
      </c>
      <c r="AZ420" s="1894">
        <v>0</v>
      </c>
      <c r="BA420" s="1894">
        <v>161542</v>
      </c>
      <c r="BB420" s="1894">
        <f t="shared" si="170"/>
        <v>158008</v>
      </c>
      <c r="BC420" s="1894">
        <f t="shared" si="171"/>
        <v>3534</v>
      </c>
      <c r="BD420" s="1894">
        <v>278</v>
      </c>
      <c r="BE420" s="1894">
        <v>324.40000000000003</v>
      </c>
      <c r="BF420" s="1894">
        <v>324.39999999999998</v>
      </c>
      <c r="BG420" s="1894">
        <v>0.85680000000000001</v>
      </c>
      <c r="BH420" s="1894">
        <v>0</v>
      </c>
      <c r="BI420" s="1894">
        <v>150714</v>
      </c>
      <c r="BJ420" s="1894">
        <f t="shared" si="172"/>
        <v>144812</v>
      </c>
      <c r="BK420" s="1894">
        <f t="shared" si="173"/>
        <v>5902</v>
      </c>
      <c r="BL420" s="1894">
        <v>278</v>
      </c>
      <c r="BM420" s="1894">
        <v>279.2</v>
      </c>
      <c r="BN420" s="1894">
        <v>279.2</v>
      </c>
      <c r="BO420" s="1894">
        <v>0.88429999999999997</v>
      </c>
      <c r="BP420" s="1894">
        <v>0</v>
      </c>
      <c r="BQ420" s="1894">
        <v>94364</v>
      </c>
      <c r="BR420" s="1894">
        <f t="shared" si="174"/>
        <v>120614</v>
      </c>
      <c r="BS420" s="1894">
        <f t="shared" si="175"/>
        <v>0</v>
      </c>
      <c r="BT420" s="1894">
        <v>278</v>
      </c>
      <c r="BU420" s="1894">
        <v>236.64000000000001</v>
      </c>
      <c r="BV420" s="1894">
        <v>278</v>
      </c>
      <c r="BW420" s="1894">
        <v>0.90280000000000005</v>
      </c>
      <c r="BX420" s="1894">
        <v>0</v>
      </c>
      <c r="BY420" s="1894">
        <v>82312</v>
      </c>
      <c r="BZ420" s="1894">
        <f t="shared" si="176"/>
        <v>105636</v>
      </c>
      <c r="CA420" s="1894">
        <f t="shared" si="177"/>
        <v>0</v>
      </c>
      <c r="CB420" s="1894">
        <v>278</v>
      </c>
      <c r="CC420" s="1894">
        <v>244.32</v>
      </c>
      <c r="CD420" s="1894">
        <v>278</v>
      </c>
      <c r="CE420" s="1894">
        <v>0.9224</v>
      </c>
      <c r="CF420" s="1894">
        <v>0</v>
      </c>
      <c r="CG420" s="1894">
        <v>75256</v>
      </c>
      <c r="CH420" s="1894">
        <f t="shared" si="178"/>
        <v>109064</v>
      </c>
      <c r="CI420" s="1894">
        <f t="shared" si="179"/>
        <v>0</v>
      </c>
      <c r="CJ420" s="1894">
        <v>278</v>
      </c>
      <c r="CK420" s="1894">
        <v>324</v>
      </c>
      <c r="CL420" s="1894">
        <v>324</v>
      </c>
      <c r="CM420" s="1894">
        <v>0.89480000000000004</v>
      </c>
      <c r="CN420" s="1894">
        <v>0</v>
      </c>
      <c r="CO420" s="1894">
        <v>91434</v>
      </c>
      <c r="CP420" s="1894">
        <f t="shared" si="180"/>
        <v>130637</v>
      </c>
      <c r="CQ420" s="1894">
        <f t="shared" si="181"/>
        <v>0</v>
      </c>
      <c r="CR420" s="1924">
        <v>278</v>
      </c>
      <c r="CS420" s="1924">
        <v>319.68</v>
      </c>
      <c r="CT420" s="1924">
        <v>319.68</v>
      </c>
      <c r="CU420" s="1924">
        <v>0.84809999999999997</v>
      </c>
      <c r="CV420" s="1924">
        <v>0</v>
      </c>
      <c r="CW420" s="1924">
        <v>132190</v>
      </c>
      <c r="CX420" s="1894">
        <f t="shared" si="182"/>
        <v>142705</v>
      </c>
      <c r="CY420" s="1894">
        <f t="shared" si="183"/>
        <v>0</v>
      </c>
    </row>
    <row r="421" spans="1:103">
      <c r="A421" s="982">
        <v>126000000032</v>
      </c>
      <c r="B421" s="1923">
        <f t="shared" si="184"/>
        <v>415</v>
      </c>
      <c r="C421" s="1895" t="s">
        <v>3298</v>
      </c>
      <c r="D421" s="1894" t="s">
        <v>524</v>
      </c>
      <c r="E421" s="1895" t="s">
        <v>541</v>
      </c>
      <c r="F421" s="1894" t="s">
        <v>259</v>
      </c>
      <c r="G421" s="1924">
        <v>278</v>
      </c>
      <c r="H421" s="1894">
        <v>278</v>
      </c>
      <c r="I421" s="1894">
        <v>251.2</v>
      </c>
      <c r="J421" s="1894">
        <v>251.2</v>
      </c>
      <c r="K421" s="1894">
        <v>0.69110000000000005</v>
      </c>
      <c r="L421" s="1894">
        <v>9.8000000000000007</v>
      </c>
      <c r="M421" s="1894">
        <v>17716</v>
      </c>
      <c r="N421" s="1894">
        <f t="shared" si="162"/>
        <v>108518</v>
      </c>
      <c r="O421" s="1894">
        <f t="shared" si="163"/>
        <v>0</v>
      </c>
      <c r="P421" s="1894">
        <v>278</v>
      </c>
      <c r="Q421" s="1894">
        <v>254.4</v>
      </c>
      <c r="R421" s="1894">
        <v>254.4</v>
      </c>
      <c r="S421" s="1894">
        <v>0.70020000000000004</v>
      </c>
      <c r="T421" s="1894">
        <v>10.68</v>
      </c>
      <c r="U421" s="1894">
        <v>20209</v>
      </c>
      <c r="V421" s="1894">
        <f t="shared" si="164"/>
        <v>113564</v>
      </c>
      <c r="W421" s="1894">
        <f t="shared" si="165"/>
        <v>0</v>
      </c>
      <c r="X421" s="1894">
        <v>278</v>
      </c>
      <c r="Y421" s="1894">
        <v>248</v>
      </c>
      <c r="Z421" s="1894">
        <v>248</v>
      </c>
      <c r="AA421" s="1894">
        <v>0.6905</v>
      </c>
      <c r="AB421" s="1894">
        <v>9.7100000000000009</v>
      </c>
      <c r="AC421" s="1894">
        <v>17330</v>
      </c>
      <c r="AD421" s="1894">
        <f t="shared" si="166"/>
        <v>107136</v>
      </c>
      <c r="AE421" s="1894">
        <f t="shared" si="167"/>
        <v>0</v>
      </c>
      <c r="AF421" s="1894">
        <v>278</v>
      </c>
      <c r="AG421" s="1894">
        <v>257.60000000000002</v>
      </c>
      <c r="AH421" s="1894">
        <v>257.60000000000002</v>
      </c>
      <c r="AI421" s="1894">
        <v>0.73019999999999996</v>
      </c>
      <c r="AJ421" s="1894">
        <v>11.38</v>
      </c>
      <c r="AK421" s="1894">
        <v>21818</v>
      </c>
      <c r="AL421" s="1894">
        <f t="shared" si="160"/>
        <v>114993</v>
      </c>
      <c r="AM421" s="1894">
        <f t="shared" si="161"/>
        <v>0</v>
      </c>
      <c r="AN421" s="1894">
        <v>278</v>
      </c>
      <c r="AO421" s="1894">
        <v>185.12</v>
      </c>
      <c r="AP421" s="1894">
        <v>222.4</v>
      </c>
      <c r="AQ421" s="1894">
        <v>0.97899999999999998</v>
      </c>
      <c r="AR421" s="1894">
        <v>12.92</v>
      </c>
      <c r="AS421" s="1894">
        <v>14927</v>
      </c>
      <c r="AT421" s="1894">
        <f t="shared" si="168"/>
        <v>82638</v>
      </c>
      <c r="AU421" s="1894">
        <f t="shared" si="169"/>
        <v>0</v>
      </c>
      <c r="AV421" s="1894">
        <v>278</v>
      </c>
      <c r="AW421" s="1894">
        <v>189.92</v>
      </c>
      <c r="AX421" s="1894">
        <v>222.4</v>
      </c>
      <c r="AY421" s="1894">
        <v>0.98570000000000002</v>
      </c>
      <c r="AZ421" s="1894">
        <v>12.96</v>
      </c>
      <c r="BA421" s="1894">
        <v>20678</v>
      </c>
      <c r="BB421" s="1894">
        <f t="shared" si="170"/>
        <v>82045</v>
      </c>
      <c r="BC421" s="1894">
        <f t="shared" si="171"/>
        <v>0</v>
      </c>
      <c r="BD421" s="1894">
        <v>278</v>
      </c>
      <c r="BE421" s="1894">
        <v>185.76</v>
      </c>
      <c r="BF421" s="1894">
        <v>222.4</v>
      </c>
      <c r="BG421" s="1894">
        <v>0.98640000000000005</v>
      </c>
      <c r="BH421" s="1894">
        <v>12.75</v>
      </c>
      <c r="BI421" s="1894">
        <v>15348</v>
      </c>
      <c r="BJ421" s="1894">
        <f t="shared" si="172"/>
        <v>82923</v>
      </c>
      <c r="BK421" s="1894">
        <f t="shared" si="173"/>
        <v>0</v>
      </c>
      <c r="BL421" s="1894">
        <v>278</v>
      </c>
      <c r="BM421" s="1894">
        <v>170.72</v>
      </c>
      <c r="BN421" s="1894">
        <v>222.4</v>
      </c>
      <c r="BO421" s="1894">
        <v>0.99490000000000001</v>
      </c>
      <c r="BP421" s="1894">
        <v>11.02</v>
      </c>
      <c r="BQ421" s="1894">
        <v>15352</v>
      </c>
      <c r="BR421" s="1894">
        <f t="shared" si="174"/>
        <v>73751</v>
      </c>
      <c r="BS421" s="1894">
        <f t="shared" si="175"/>
        <v>0</v>
      </c>
      <c r="BT421" s="1894">
        <v>278</v>
      </c>
      <c r="BU421" s="1894">
        <v>169.92000000000002</v>
      </c>
      <c r="BV421" s="1894">
        <v>222.4</v>
      </c>
      <c r="BW421" s="1894">
        <v>0.99480000000000002</v>
      </c>
      <c r="BX421" s="1894">
        <v>13.65</v>
      </c>
      <c r="BY421" s="1894">
        <v>14476</v>
      </c>
      <c r="BZ421" s="1894">
        <f t="shared" si="176"/>
        <v>75852</v>
      </c>
      <c r="CA421" s="1894">
        <f t="shared" si="177"/>
        <v>0</v>
      </c>
      <c r="CB421" s="1894">
        <v>278</v>
      </c>
      <c r="CC421" s="1894">
        <v>171.04</v>
      </c>
      <c r="CD421" s="1894">
        <v>222.4</v>
      </c>
      <c r="CE421" s="1894">
        <v>0.99650000000000005</v>
      </c>
      <c r="CF421" s="1894">
        <v>12.23</v>
      </c>
      <c r="CG421" s="1894">
        <v>18072</v>
      </c>
      <c r="CH421" s="1894">
        <f t="shared" si="178"/>
        <v>76352</v>
      </c>
      <c r="CI421" s="1894">
        <f t="shared" si="179"/>
        <v>0</v>
      </c>
      <c r="CJ421" s="1894">
        <v>278</v>
      </c>
      <c r="CK421" s="1894">
        <v>173.12</v>
      </c>
      <c r="CL421" s="1894">
        <v>222.4</v>
      </c>
      <c r="CM421" s="1894">
        <v>0.99580000000000002</v>
      </c>
      <c r="CN421" s="1894">
        <v>10.32</v>
      </c>
      <c r="CO421" s="1894">
        <v>11578</v>
      </c>
      <c r="CP421" s="1894">
        <f t="shared" si="180"/>
        <v>69802</v>
      </c>
      <c r="CQ421" s="1894">
        <f t="shared" si="181"/>
        <v>0</v>
      </c>
      <c r="CR421" s="1924">
        <v>278</v>
      </c>
      <c r="CS421" s="1924">
        <v>169.12</v>
      </c>
      <c r="CT421" s="1924">
        <v>222.4</v>
      </c>
      <c r="CU421" s="1924">
        <v>0.99509999999999998</v>
      </c>
      <c r="CV421" s="1924">
        <v>14.43</v>
      </c>
      <c r="CW421" s="1924">
        <v>18736</v>
      </c>
      <c r="CX421" s="1894">
        <f t="shared" si="182"/>
        <v>75495</v>
      </c>
      <c r="CY421" s="1894">
        <f t="shared" si="183"/>
        <v>0</v>
      </c>
    </row>
    <row r="422" spans="1:103">
      <c r="A422" s="982">
        <v>126000000046</v>
      </c>
      <c r="B422" s="1923">
        <f t="shared" si="184"/>
        <v>416</v>
      </c>
      <c r="C422" s="1895" t="s">
        <v>3299</v>
      </c>
      <c r="D422" s="1894" t="s">
        <v>524</v>
      </c>
      <c r="E422" s="1895" t="s">
        <v>636</v>
      </c>
      <c r="F422" s="1894" t="s">
        <v>259</v>
      </c>
      <c r="G422" s="1924">
        <v>278</v>
      </c>
      <c r="H422" s="1894">
        <v>278</v>
      </c>
      <c r="I422" s="1894">
        <v>97.8</v>
      </c>
      <c r="J422" s="1894">
        <v>222.4</v>
      </c>
      <c r="K422" s="1894">
        <v>0</v>
      </c>
      <c r="L422" s="1894">
        <v>0</v>
      </c>
      <c r="M422" s="1894">
        <v>0</v>
      </c>
      <c r="N422" s="1894">
        <f t="shared" si="162"/>
        <v>42250</v>
      </c>
      <c r="O422" s="1894">
        <f t="shared" si="163"/>
        <v>0</v>
      </c>
      <c r="P422" s="1894">
        <v>278</v>
      </c>
      <c r="Q422" s="1894">
        <v>0</v>
      </c>
      <c r="R422" s="1894">
        <v>222.4</v>
      </c>
      <c r="S422" s="1894">
        <v>0</v>
      </c>
      <c r="T422" s="1894">
        <v>0</v>
      </c>
      <c r="U422" s="1894">
        <v>0</v>
      </c>
      <c r="V422" s="1894">
        <f t="shared" si="164"/>
        <v>0</v>
      </c>
      <c r="W422" s="1894">
        <f t="shared" si="165"/>
        <v>0</v>
      </c>
      <c r="X422" s="1894">
        <v>278</v>
      </c>
      <c r="Y422" s="1894">
        <v>58.800000000000004</v>
      </c>
      <c r="Z422" s="1894">
        <v>222.4</v>
      </c>
      <c r="AA422" s="1894">
        <v>0.87019999999999997</v>
      </c>
      <c r="AB422" s="1894">
        <v>20.83</v>
      </c>
      <c r="AC422" s="1894">
        <v>8232</v>
      </c>
      <c r="AD422" s="1894">
        <f t="shared" si="166"/>
        <v>25402</v>
      </c>
      <c r="AE422" s="1894">
        <f t="shared" si="167"/>
        <v>0</v>
      </c>
      <c r="AF422" s="1894">
        <v>278</v>
      </c>
      <c r="AG422" s="1894">
        <v>103.92</v>
      </c>
      <c r="AH422" s="1894">
        <v>222.4</v>
      </c>
      <c r="AI422" s="1894">
        <v>0.99070000000000003</v>
      </c>
      <c r="AJ422" s="1894">
        <v>7.92</v>
      </c>
      <c r="AK422" s="1894">
        <v>6516</v>
      </c>
      <c r="AL422" s="1894">
        <f t="shared" si="160"/>
        <v>46390</v>
      </c>
      <c r="AM422" s="1894">
        <f t="shared" si="161"/>
        <v>0</v>
      </c>
      <c r="AN422" s="1894">
        <v>278</v>
      </c>
      <c r="AO422" s="1894">
        <v>197.51999999999998</v>
      </c>
      <c r="AP422" s="1894">
        <v>222.4</v>
      </c>
      <c r="AQ422" s="1894">
        <v>0.99050000000000005</v>
      </c>
      <c r="AR422" s="1894">
        <v>22.04</v>
      </c>
      <c r="AS422" s="1894">
        <v>32391</v>
      </c>
      <c r="AT422" s="1894">
        <f t="shared" si="168"/>
        <v>88173</v>
      </c>
      <c r="AU422" s="1894">
        <f t="shared" si="169"/>
        <v>0</v>
      </c>
      <c r="AV422" s="1894">
        <v>278</v>
      </c>
      <c r="AW422" s="1894">
        <v>197.51999999999998</v>
      </c>
      <c r="AX422" s="1894">
        <v>222.4</v>
      </c>
      <c r="AY422" s="1894">
        <v>0.99360000000000004</v>
      </c>
      <c r="AZ422" s="1894">
        <v>44.7</v>
      </c>
      <c r="BA422" s="1894">
        <v>63576</v>
      </c>
      <c r="BB422" s="1894">
        <f t="shared" si="170"/>
        <v>85329</v>
      </c>
      <c r="BC422" s="1894">
        <f t="shared" si="171"/>
        <v>0</v>
      </c>
      <c r="BD422" s="1894">
        <v>278</v>
      </c>
      <c r="BE422" s="1894">
        <v>140.63999999999999</v>
      </c>
      <c r="BF422" s="1894">
        <v>222.4</v>
      </c>
      <c r="BG422" s="1894">
        <v>0.99270000000000003</v>
      </c>
      <c r="BH422" s="1894">
        <v>40.090000000000003</v>
      </c>
      <c r="BI422" s="1894">
        <v>41952</v>
      </c>
      <c r="BJ422" s="1894">
        <f t="shared" si="172"/>
        <v>62782</v>
      </c>
      <c r="BK422" s="1894">
        <f t="shared" si="173"/>
        <v>0</v>
      </c>
      <c r="BL422" s="1894">
        <v>278</v>
      </c>
      <c r="BM422" s="1894">
        <v>110.16000000000001</v>
      </c>
      <c r="BN422" s="1894">
        <v>222.4</v>
      </c>
      <c r="BO422" s="1894">
        <v>0.99219999999999997</v>
      </c>
      <c r="BP422" s="1894">
        <v>21.34</v>
      </c>
      <c r="BQ422" s="1894">
        <v>16362</v>
      </c>
      <c r="BR422" s="1894">
        <f t="shared" si="174"/>
        <v>47589</v>
      </c>
      <c r="BS422" s="1894">
        <f t="shared" si="175"/>
        <v>0</v>
      </c>
      <c r="BT422" s="1894">
        <v>278</v>
      </c>
      <c r="BU422" s="1894">
        <v>40.800000000000004</v>
      </c>
      <c r="BV422" s="1894">
        <v>222.4</v>
      </c>
      <c r="BW422" s="1894">
        <v>0.99650000000000005</v>
      </c>
      <c r="BX422" s="1894">
        <v>13.94</v>
      </c>
      <c r="BY422" s="1894">
        <v>4368</v>
      </c>
      <c r="BZ422" s="1894">
        <f t="shared" si="176"/>
        <v>18213</v>
      </c>
      <c r="CA422" s="1894">
        <f t="shared" si="177"/>
        <v>0</v>
      </c>
      <c r="CB422" s="1894">
        <v>278</v>
      </c>
      <c r="CC422" s="1894">
        <v>15.6</v>
      </c>
      <c r="CD422" s="1894">
        <v>222.4</v>
      </c>
      <c r="CE422" s="1894">
        <v>1.0021</v>
      </c>
      <c r="CF422" s="1894">
        <v>12.17</v>
      </c>
      <c r="CG422" s="1894">
        <v>1413</v>
      </c>
      <c r="CH422" s="1894">
        <f t="shared" si="178"/>
        <v>6964</v>
      </c>
      <c r="CI422" s="1894">
        <f t="shared" si="179"/>
        <v>0</v>
      </c>
      <c r="CJ422" s="1894">
        <v>278</v>
      </c>
      <c r="CK422" s="1894">
        <v>118.80000000000001</v>
      </c>
      <c r="CL422" s="1894">
        <v>222.4</v>
      </c>
      <c r="CM422" s="1894">
        <v>0.99770000000000003</v>
      </c>
      <c r="CN422" s="1894">
        <v>9.9700000000000006</v>
      </c>
      <c r="CO422" s="1894">
        <v>7959</v>
      </c>
      <c r="CP422" s="1894">
        <f t="shared" si="180"/>
        <v>47900</v>
      </c>
      <c r="CQ422" s="1894">
        <f t="shared" si="181"/>
        <v>0</v>
      </c>
      <c r="CR422" s="1924">
        <v>278</v>
      </c>
      <c r="CS422" s="1924">
        <v>155.51999999999998</v>
      </c>
      <c r="CT422" s="1924">
        <v>222.4</v>
      </c>
      <c r="CU422" s="1924">
        <v>0.99409999999999998</v>
      </c>
      <c r="CV422" s="1924">
        <v>21.21</v>
      </c>
      <c r="CW422" s="1924">
        <v>24540</v>
      </c>
      <c r="CX422" s="1894">
        <f t="shared" si="182"/>
        <v>69424</v>
      </c>
      <c r="CY422" s="1894">
        <f t="shared" si="183"/>
        <v>0</v>
      </c>
    </row>
    <row r="423" spans="1:103">
      <c r="A423" s="982">
        <v>622000000179</v>
      </c>
      <c r="B423" s="1923">
        <f t="shared" si="184"/>
        <v>417</v>
      </c>
      <c r="C423" s="1895" t="s">
        <v>3300</v>
      </c>
      <c r="D423" s="1894" t="s">
        <v>524</v>
      </c>
      <c r="E423" s="1895" t="s">
        <v>541</v>
      </c>
      <c r="F423" s="1894" t="s">
        <v>259</v>
      </c>
      <c r="G423" s="1924">
        <v>278</v>
      </c>
      <c r="H423" s="1894">
        <v>278</v>
      </c>
      <c r="I423" s="1894">
        <v>251.68</v>
      </c>
      <c r="J423" s="1894">
        <v>251.68</v>
      </c>
      <c r="K423" s="1894">
        <v>0.97030000000000005</v>
      </c>
      <c r="L423" s="1894">
        <v>14.93</v>
      </c>
      <c r="M423" s="1894">
        <v>27060</v>
      </c>
      <c r="N423" s="1894">
        <f t="shared" si="162"/>
        <v>108726</v>
      </c>
      <c r="O423" s="1894">
        <f t="shared" si="163"/>
        <v>0</v>
      </c>
      <c r="P423" s="1894">
        <v>278</v>
      </c>
      <c r="Q423" s="1894">
        <v>180.64</v>
      </c>
      <c r="R423" s="1894">
        <v>222.4</v>
      </c>
      <c r="S423" s="1894">
        <v>0.98229999999999995</v>
      </c>
      <c r="T423" s="1894">
        <v>55.93</v>
      </c>
      <c r="U423" s="1894">
        <v>75168</v>
      </c>
      <c r="V423" s="1894">
        <f t="shared" si="164"/>
        <v>80638</v>
      </c>
      <c r="W423" s="1894">
        <f t="shared" si="165"/>
        <v>0</v>
      </c>
      <c r="X423" s="1894">
        <v>278</v>
      </c>
      <c r="Y423" s="1894">
        <v>268.16000000000003</v>
      </c>
      <c r="Z423" s="1894">
        <v>268.16000000000003</v>
      </c>
      <c r="AA423" s="1894">
        <v>0.97809999999999997</v>
      </c>
      <c r="AB423" s="1894">
        <v>37.96</v>
      </c>
      <c r="AC423" s="1894">
        <v>73300</v>
      </c>
      <c r="AD423" s="1894">
        <f t="shared" si="166"/>
        <v>115845</v>
      </c>
      <c r="AE423" s="1894">
        <f t="shared" si="167"/>
        <v>0</v>
      </c>
      <c r="AF423" s="1894">
        <v>278</v>
      </c>
      <c r="AG423" s="1894">
        <v>258.40000000000003</v>
      </c>
      <c r="AH423" s="1894">
        <v>258.39999999999998</v>
      </c>
      <c r="AI423" s="1894">
        <v>0.97870000000000001</v>
      </c>
      <c r="AJ423" s="1894">
        <v>36.880000000000003</v>
      </c>
      <c r="AK423" s="1894">
        <v>70894</v>
      </c>
      <c r="AL423" s="1894">
        <f t="shared" si="160"/>
        <v>115350</v>
      </c>
      <c r="AM423" s="1894">
        <f t="shared" si="161"/>
        <v>0</v>
      </c>
      <c r="AN423" s="1894">
        <v>278</v>
      </c>
      <c r="AO423" s="1894">
        <v>174.72</v>
      </c>
      <c r="AP423" s="1894">
        <v>222.4</v>
      </c>
      <c r="AQ423" s="1894">
        <v>0.99329999999999996</v>
      </c>
      <c r="AR423" s="1894">
        <v>54.91</v>
      </c>
      <c r="AS423" s="1894">
        <v>71374</v>
      </c>
      <c r="AT423" s="1894">
        <f t="shared" si="168"/>
        <v>77995</v>
      </c>
      <c r="AU423" s="1894">
        <f t="shared" si="169"/>
        <v>0</v>
      </c>
      <c r="AV423" s="1894">
        <v>278</v>
      </c>
      <c r="AW423" s="1894">
        <v>252.95999999999998</v>
      </c>
      <c r="AX423" s="1894">
        <v>252.96</v>
      </c>
      <c r="AY423" s="1894">
        <v>0.9758</v>
      </c>
      <c r="AZ423" s="1894">
        <v>22.5</v>
      </c>
      <c r="BA423" s="1894">
        <v>36882</v>
      </c>
      <c r="BB423" s="1894">
        <f t="shared" si="170"/>
        <v>109279</v>
      </c>
      <c r="BC423" s="1894">
        <f t="shared" si="171"/>
        <v>0</v>
      </c>
      <c r="BD423" s="1894">
        <v>278</v>
      </c>
      <c r="BE423" s="1894">
        <v>29.28</v>
      </c>
      <c r="BF423" s="1894">
        <v>222.4</v>
      </c>
      <c r="BG423" s="1894">
        <v>0.66639999999999999</v>
      </c>
      <c r="BH423" s="1894">
        <v>14.63</v>
      </c>
      <c r="BI423" s="1894">
        <v>3496</v>
      </c>
      <c r="BJ423" s="1894">
        <f t="shared" si="172"/>
        <v>13071</v>
      </c>
      <c r="BK423" s="1894">
        <f t="shared" si="173"/>
        <v>0</v>
      </c>
      <c r="BL423" s="1894">
        <v>278</v>
      </c>
      <c r="BM423" s="1894">
        <v>33.76</v>
      </c>
      <c r="BN423" s="1894">
        <v>222.4</v>
      </c>
      <c r="BO423" s="1894">
        <v>0.69359999999999999</v>
      </c>
      <c r="BP423" s="1894">
        <v>10.96</v>
      </c>
      <c r="BQ423" s="1894">
        <v>2664</v>
      </c>
      <c r="BR423" s="1894">
        <f t="shared" si="174"/>
        <v>14584</v>
      </c>
      <c r="BS423" s="1894">
        <f t="shared" si="175"/>
        <v>0</v>
      </c>
      <c r="BT423" s="1894">
        <v>278</v>
      </c>
      <c r="BU423" s="1894">
        <v>249.44000000000003</v>
      </c>
      <c r="BV423" s="1894">
        <v>249.44</v>
      </c>
      <c r="BW423" s="1894">
        <v>0.93820000000000003</v>
      </c>
      <c r="BX423" s="1894">
        <v>16.59</v>
      </c>
      <c r="BY423" s="1894">
        <v>30788</v>
      </c>
      <c r="BZ423" s="1894">
        <f t="shared" si="176"/>
        <v>111350</v>
      </c>
      <c r="CA423" s="1894">
        <f t="shared" si="177"/>
        <v>0</v>
      </c>
      <c r="CB423" s="1894">
        <v>278</v>
      </c>
      <c r="CC423" s="1894">
        <v>164.64000000000001</v>
      </c>
      <c r="CD423" s="1894">
        <v>222.4</v>
      </c>
      <c r="CE423" s="1894">
        <v>0.96550000000000002</v>
      </c>
      <c r="CF423" s="1894">
        <v>37.47</v>
      </c>
      <c r="CG423" s="1894">
        <v>45894</v>
      </c>
      <c r="CH423" s="1894">
        <f t="shared" si="178"/>
        <v>73495</v>
      </c>
      <c r="CI423" s="1894">
        <f t="shared" si="179"/>
        <v>0</v>
      </c>
      <c r="CJ423" s="1894">
        <v>278</v>
      </c>
      <c r="CK423" s="1894">
        <v>165.76</v>
      </c>
      <c r="CL423" s="1894">
        <v>222.4</v>
      </c>
      <c r="CM423" s="1894">
        <v>0.98329999999999995</v>
      </c>
      <c r="CN423" s="1894">
        <v>60.18</v>
      </c>
      <c r="CO423" s="1894">
        <v>67032</v>
      </c>
      <c r="CP423" s="1894">
        <f t="shared" si="180"/>
        <v>66834</v>
      </c>
      <c r="CQ423" s="1894">
        <f t="shared" si="181"/>
        <v>198</v>
      </c>
      <c r="CR423" s="1924">
        <v>278</v>
      </c>
      <c r="CS423" s="1924">
        <v>243.36</v>
      </c>
      <c r="CT423" s="1924">
        <v>243.36</v>
      </c>
      <c r="CU423" s="1924">
        <v>0.98629999999999995</v>
      </c>
      <c r="CV423" s="1924">
        <v>37.46</v>
      </c>
      <c r="CW423" s="1924">
        <v>67828</v>
      </c>
      <c r="CX423" s="1894">
        <f t="shared" si="182"/>
        <v>108636</v>
      </c>
      <c r="CY423" s="1894">
        <f t="shared" si="183"/>
        <v>0</v>
      </c>
    </row>
    <row r="424" spans="1:103">
      <c r="A424" s="982">
        <v>622000000180</v>
      </c>
      <c r="B424" s="1923">
        <f t="shared" si="184"/>
        <v>418</v>
      </c>
      <c r="C424" s="1895" t="s">
        <v>3301</v>
      </c>
      <c r="D424" s="1894" t="s">
        <v>524</v>
      </c>
      <c r="E424" s="1895" t="s">
        <v>623</v>
      </c>
      <c r="F424" s="1894" t="s">
        <v>259</v>
      </c>
      <c r="G424" s="1924">
        <v>278</v>
      </c>
      <c r="H424" s="1894">
        <v>278</v>
      </c>
      <c r="I424" s="1894">
        <v>0</v>
      </c>
      <c r="J424" s="1894">
        <v>278</v>
      </c>
      <c r="K424" s="1894">
        <v>0</v>
      </c>
      <c r="L424" s="1894">
        <v>0</v>
      </c>
      <c r="M424" s="1894">
        <v>0</v>
      </c>
      <c r="N424" s="1894">
        <f t="shared" si="162"/>
        <v>0</v>
      </c>
      <c r="O424" s="1894">
        <f t="shared" si="163"/>
        <v>0</v>
      </c>
      <c r="P424" s="1894">
        <v>278</v>
      </c>
      <c r="Q424" s="1894">
        <v>0</v>
      </c>
      <c r="R424" s="1894">
        <v>278</v>
      </c>
      <c r="S424" s="1894">
        <v>0</v>
      </c>
      <c r="T424" s="1894">
        <v>0</v>
      </c>
      <c r="U424" s="1894">
        <v>0</v>
      </c>
      <c r="V424" s="1894">
        <f t="shared" si="164"/>
        <v>0</v>
      </c>
      <c r="W424" s="1894">
        <f t="shared" si="165"/>
        <v>0</v>
      </c>
      <c r="X424" s="1894">
        <v>278</v>
      </c>
      <c r="Y424" s="1894">
        <v>0</v>
      </c>
      <c r="Z424" s="1894">
        <v>278</v>
      </c>
      <c r="AA424" s="1894">
        <v>0</v>
      </c>
      <c r="AB424" s="1894">
        <v>0</v>
      </c>
      <c r="AC424" s="1894">
        <v>0</v>
      </c>
      <c r="AD424" s="1894">
        <f t="shared" si="166"/>
        <v>0</v>
      </c>
      <c r="AE424" s="1894">
        <f t="shared" si="167"/>
        <v>0</v>
      </c>
      <c r="AF424" s="1894">
        <v>278</v>
      </c>
      <c r="AG424" s="1894">
        <v>0</v>
      </c>
      <c r="AH424" s="1894">
        <v>278</v>
      </c>
      <c r="AI424" s="1894">
        <v>0</v>
      </c>
      <c r="AJ424" s="1894">
        <v>0</v>
      </c>
      <c r="AK424" s="1894">
        <v>0</v>
      </c>
      <c r="AL424" s="1894">
        <f t="shared" si="160"/>
        <v>0</v>
      </c>
      <c r="AM424" s="1894">
        <f t="shared" si="161"/>
        <v>0</v>
      </c>
      <c r="AN424" s="1894">
        <v>278</v>
      </c>
      <c r="AO424" s="1894">
        <v>0</v>
      </c>
      <c r="AP424" s="1894">
        <v>278</v>
      </c>
      <c r="AQ424" s="1894">
        <v>0</v>
      </c>
      <c r="AR424" s="1894">
        <v>0</v>
      </c>
      <c r="AS424" s="1894">
        <v>0</v>
      </c>
      <c r="AT424" s="1894">
        <f t="shared" si="168"/>
        <v>0</v>
      </c>
      <c r="AU424" s="1894">
        <f t="shared" si="169"/>
        <v>0</v>
      </c>
      <c r="AV424" s="1894">
        <v>278</v>
      </c>
      <c r="AW424" s="1894">
        <v>0</v>
      </c>
      <c r="AX424" s="1894">
        <v>278</v>
      </c>
      <c r="AY424" s="1894">
        <v>0</v>
      </c>
      <c r="AZ424" s="1894">
        <v>0</v>
      </c>
      <c r="BA424" s="1894">
        <v>0</v>
      </c>
      <c r="BB424" s="1894">
        <f t="shared" si="170"/>
        <v>0</v>
      </c>
      <c r="BC424" s="1894">
        <f t="shared" si="171"/>
        <v>0</v>
      </c>
      <c r="BD424" s="1894">
        <v>278</v>
      </c>
      <c r="BE424" s="1894">
        <v>0</v>
      </c>
      <c r="BF424" s="1894">
        <v>278</v>
      </c>
      <c r="BG424" s="1894">
        <v>0</v>
      </c>
      <c r="BH424" s="1894">
        <v>0</v>
      </c>
      <c r="BI424" s="1894">
        <v>0</v>
      </c>
      <c r="BJ424" s="1894">
        <f t="shared" si="172"/>
        <v>0</v>
      </c>
      <c r="BK424" s="1894">
        <f t="shared" si="173"/>
        <v>0</v>
      </c>
      <c r="BL424" s="1894">
        <v>278</v>
      </c>
      <c r="BM424" s="1894">
        <v>76.320000000000007</v>
      </c>
      <c r="BN424" s="1894">
        <v>278</v>
      </c>
      <c r="BO424" s="1894">
        <v>0.80700000000000005</v>
      </c>
      <c r="BP424" s="1894">
        <v>0</v>
      </c>
      <c r="BQ424" s="1894">
        <v>1026</v>
      </c>
      <c r="BR424" s="1894">
        <f t="shared" si="174"/>
        <v>32970</v>
      </c>
      <c r="BS424" s="1894">
        <f t="shared" si="175"/>
        <v>0</v>
      </c>
      <c r="BT424" s="1894">
        <v>278</v>
      </c>
      <c r="BU424" s="1894">
        <v>41.04</v>
      </c>
      <c r="BV424" s="1894">
        <v>278</v>
      </c>
      <c r="BW424" s="1894">
        <v>0.51570000000000005</v>
      </c>
      <c r="BX424" s="1894">
        <v>0</v>
      </c>
      <c r="BY424" s="1894">
        <v>1431</v>
      </c>
      <c r="BZ424" s="1894">
        <f t="shared" si="176"/>
        <v>18320</v>
      </c>
      <c r="CA424" s="1894">
        <f t="shared" si="177"/>
        <v>0</v>
      </c>
      <c r="CB424" s="1894">
        <v>278</v>
      </c>
      <c r="CC424" s="1894">
        <v>4.8</v>
      </c>
      <c r="CD424" s="1894">
        <v>278</v>
      </c>
      <c r="CE424" s="1894">
        <v>0.52739999999999998</v>
      </c>
      <c r="CF424" s="1894">
        <v>0</v>
      </c>
      <c r="CG424" s="1894">
        <v>2076</v>
      </c>
      <c r="CH424" s="1894">
        <f t="shared" si="178"/>
        <v>2143</v>
      </c>
      <c r="CI424" s="1894">
        <f t="shared" si="179"/>
        <v>0</v>
      </c>
      <c r="CJ424" s="1894">
        <v>278</v>
      </c>
      <c r="CK424" s="1894">
        <v>57.36</v>
      </c>
      <c r="CL424" s="1894">
        <v>278</v>
      </c>
      <c r="CM424" s="1894">
        <v>0.83050000000000002</v>
      </c>
      <c r="CN424" s="1894">
        <v>0</v>
      </c>
      <c r="CO424" s="1894">
        <v>4692</v>
      </c>
      <c r="CP424" s="1894">
        <f t="shared" si="180"/>
        <v>23128</v>
      </c>
      <c r="CQ424" s="1894">
        <f t="shared" si="181"/>
        <v>0</v>
      </c>
      <c r="CR424" s="1924">
        <v>278</v>
      </c>
      <c r="CS424" s="1924">
        <v>102.00000000000001</v>
      </c>
      <c r="CT424" s="1924">
        <v>278</v>
      </c>
      <c r="CU424" s="1924">
        <v>0.84809999999999997</v>
      </c>
      <c r="CV424" s="1924">
        <v>0</v>
      </c>
      <c r="CW424" s="1924">
        <v>11067</v>
      </c>
      <c r="CX424" s="1894">
        <f t="shared" si="182"/>
        <v>45533</v>
      </c>
      <c r="CY424" s="1894">
        <f t="shared" si="183"/>
        <v>0</v>
      </c>
    </row>
    <row r="425" spans="1:103">
      <c r="A425" s="982">
        <v>123000000060</v>
      </c>
      <c r="B425" s="1923">
        <f t="shared" si="184"/>
        <v>419</v>
      </c>
      <c r="C425" s="1895" t="s">
        <v>3302</v>
      </c>
      <c r="D425" s="1894" t="s">
        <v>524</v>
      </c>
      <c r="E425" s="1895" t="s">
        <v>541</v>
      </c>
      <c r="F425" s="1894" t="s">
        <v>259</v>
      </c>
      <c r="G425" s="1924">
        <v>280</v>
      </c>
      <c r="H425" s="1894">
        <v>200</v>
      </c>
      <c r="I425" s="1894">
        <v>193.07999999999998</v>
      </c>
      <c r="J425" s="1894">
        <v>193.08</v>
      </c>
      <c r="K425" s="1894">
        <v>0.70130000000000003</v>
      </c>
      <c r="L425" s="1894">
        <v>44.81</v>
      </c>
      <c r="M425" s="1894">
        <v>62293</v>
      </c>
      <c r="N425" s="1894">
        <f t="shared" si="162"/>
        <v>83411</v>
      </c>
      <c r="O425" s="1894">
        <f t="shared" si="163"/>
        <v>0</v>
      </c>
      <c r="P425" s="1894">
        <v>200</v>
      </c>
      <c r="Q425" s="1894">
        <v>177</v>
      </c>
      <c r="R425" s="1894">
        <v>177</v>
      </c>
      <c r="S425" s="1894">
        <v>0.92800000000000005</v>
      </c>
      <c r="T425" s="1894">
        <v>22.02</v>
      </c>
      <c r="U425" s="1894">
        <v>27126</v>
      </c>
      <c r="V425" s="1894">
        <f t="shared" si="164"/>
        <v>79013</v>
      </c>
      <c r="W425" s="1894">
        <f t="shared" si="165"/>
        <v>0</v>
      </c>
      <c r="X425" s="1894">
        <v>200</v>
      </c>
      <c r="Y425" s="1894">
        <v>134.63999999999999</v>
      </c>
      <c r="Z425" s="1894">
        <v>160</v>
      </c>
      <c r="AA425" s="1894">
        <v>0.98340000000000005</v>
      </c>
      <c r="AB425" s="1894">
        <v>40.58</v>
      </c>
      <c r="AC425" s="1894">
        <v>41963</v>
      </c>
      <c r="AD425" s="1894">
        <f t="shared" si="166"/>
        <v>58164</v>
      </c>
      <c r="AE425" s="1894">
        <f t="shared" si="167"/>
        <v>0</v>
      </c>
      <c r="AF425" s="1894">
        <v>200</v>
      </c>
      <c r="AG425" s="1894">
        <v>164.76000000000002</v>
      </c>
      <c r="AH425" s="1894">
        <v>164.76</v>
      </c>
      <c r="AI425" s="1894">
        <v>0.98670000000000002</v>
      </c>
      <c r="AJ425" s="1894">
        <v>42.85</v>
      </c>
      <c r="AK425" s="1894">
        <v>50830</v>
      </c>
      <c r="AL425" s="1894">
        <f t="shared" si="160"/>
        <v>73549</v>
      </c>
      <c r="AM425" s="1894">
        <f t="shared" si="161"/>
        <v>0</v>
      </c>
      <c r="AN425" s="1894">
        <v>200</v>
      </c>
      <c r="AO425" s="1894">
        <v>197.88</v>
      </c>
      <c r="AP425" s="1894">
        <v>197.88</v>
      </c>
      <c r="AQ425" s="1894">
        <v>0.96789999999999998</v>
      </c>
      <c r="AR425" s="1894">
        <v>26.02</v>
      </c>
      <c r="AS425" s="1894">
        <v>37073</v>
      </c>
      <c r="AT425" s="1894">
        <f t="shared" si="168"/>
        <v>88334</v>
      </c>
      <c r="AU425" s="1894">
        <f t="shared" si="169"/>
        <v>0</v>
      </c>
      <c r="AV425" s="1894">
        <v>200</v>
      </c>
      <c r="AW425" s="1894">
        <v>191.64000000000001</v>
      </c>
      <c r="AX425" s="1894">
        <v>191.64</v>
      </c>
      <c r="AY425" s="1894">
        <v>0.82909999999999995</v>
      </c>
      <c r="AZ425" s="1894">
        <v>28.99</v>
      </c>
      <c r="BA425" s="1894">
        <v>39997</v>
      </c>
      <c r="BB425" s="1894">
        <f t="shared" si="170"/>
        <v>82788</v>
      </c>
      <c r="BC425" s="1894">
        <f t="shared" si="171"/>
        <v>0</v>
      </c>
      <c r="BD425" s="1894">
        <v>200</v>
      </c>
      <c r="BE425" s="1894">
        <v>13.32</v>
      </c>
      <c r="BF425" s="1894">
        <v>160</v>
      </c>
      <c r="BG425" s="1894">
        <v>0.99029999999999996</v>
      </c>
      <c r="BH425" s="1894">
        <v>26.63</v>
      </c>
      <c r="BI425" s="1894">
        <v>2384</v>
      </c>
      <c r="BJ425" s="1894">
        <f t="shared" si="172"/>
        <v>5946</v>
      </c>
      <c r="BK425" s="1894">
        <f t="shared" si="173"/>
        <v>0</v>
      </c>
      <c r="BL425" s="1894">
        <v>200</v>
      </c>
      <c r="BM425" s="1894">
        <v>17.040000000000003</v>
      </c>
      <c r="BN425" s="1894">
        <v>160</v>
      </c>
      <c r="BO425" s="1894">
        <v>0.995</v>
      </c>
      <c r="BP425" s="1894">
        <v>17.920000000000002</v>
      </c>
      <c r="BQ425" s="1894">
        <v>2418</v>
      </c>
      <c r="BR425" s="1894">
        <f t="shared" si="174"/>
        <v>7361</v>
      </c>
      <c r="BS425" s="1894">
        <f t="shared" si="175"/>
        <v>0</v>
      </c>
      <c r="BT425" s="1894">
        <v>200</v>
      </c>
      <c r="BU425" s="1894">
        <v>16.8</v>
      </c>
      <c r="BV425" s="1894">
        <v>160</v>
      </c>
      <c r="BW425" s="1894">
        <v>0.98</v>
      </c>
      <c r="BX425" s="1894">
        <v>31.51</v>
      </c>
      <c r="BY425" s="1894">
        <v>3557</v>
      </c>
      <c r="BZ425" s="1894">
        <f t="shared" si="176"/>
        <v>7500</v>
      </c>
      <c r="CA425" s="1894">
        <f t="shared" si="177"/>
        <v>0</v>
      </c>
      <c r="CB425" s="1894">
        <v>200</v>
      </c>
      <c r="CC425" s="1894">
        <v>138.84</v>
      </c>
      <c r="CD425" s="1894">
        <v>160</v>
      </c>
      <c r="CE425" s="1894">
        <v>0.96730000000000005</v>
      </c>
      <c r="CF425" s="1894">
        <v>20.43</v>
      </c>
      <c r="CG425" s="1894">
        <v>21786</v>
      </c>
      <c r="CH425" s="1894">
        <f t="shared" si="178"/>
        <v>61978</v>
      </c>
      <c r="CI425" s="1894">
        <f t="shared" si="179"/>
        <v>0</v>
      </c>
      <c r="CJ425" s="1894">
        <v>280</v>
      </c>
      <c r="CK425" s="1894">
        <v>170.04</v>
      </c>
      <c r="CL425" s="1894">
        <v>224</v>
      </c>
      <c r="CM425" s="1894">
        <v>0.96489999999999998</v>
      </c>
      <c r="CN425" s="1894">
        <v>35.93</v>
      </c>
      <c r="CO425" s="1894">
        <v>43988</v>
      </c>
      <c r="CP425" s="1894">
        <f t="shared" si="180"/>
        <v>68560</v>
      </c>
      <c r="CQ425" s="1894">
        <f t="shared" si="181"/>
        <v>0</v>
      </c>
      <c r="CR425" s="1924">
        <v>280</v>
      </c>
      <c r="CS425" s="1924">
        <v>166.56</v>
      </c>
      <c r="CT425" s="1924">
        <v>224</v>
      </c>
      <c r="CU425" s="1924">
        <v>0.92020000000000002</v>
      </c>
      <c r="CV425" s="1924">
        <v>25.04</v>
      </c>
      <c r="CW425" s="1924">
        <v>29031</v>
      </c>
      <c r="CX425" s="1894">
        <f t="shared" si="182"/>
        <v>74352</v>
      </c>
      <c r="CY425" s="1894">
        <f t="shared" si="183"/>
        <v>0</v>
      </c>
    </row>
    <row r="426" spans="1:103">
      <c r="A426" s="982">
        <v>613000000030</v>
      </c>
      <c r="B426" s="1923">
        <f t="shared" si="184"/>
        <v>420</v>
      </c>
      <c r="C426" s="1895" t="s">
        <v>3303</v>
      </c>
      <c r="D426" s="1894" t="s">
        <v>524</v>
      </c>
      <c r="E426" s="1895" t="s">
        <v>541</v>
      </c>
      <c r="F426" s="1894" t="s">
        <v>259</v>
      </c>
      <c r="G426" s="1924">
        <v>280</v>
      </c>
      <c r="H426" s="1894">
        <v>280</v>
      </c>
      <c r="I426" s="1894">
        <v>203.35999999999999</v>
      </c>
      <c r="J426" s="1894">
        <v>224</v>
      </c>
      <c r="K426" s="1894">
        <v>0.91739999999999999</v>
      </c>
      <c r="L426" s="1894">
        <v>44.81</v>
      </c>
      <c r="M426" s="1894">
        <v>65610</v>
      </c>
      <c r="N426" s="1894">
        <f t="shared" si="162"/>
        <v>87852</v>
      </c>
      <c r="O426" s="1894">
        <f t="shared" si="163"/>
        <v>0</v>
      </c>
      <c r="P426" s="1894">
        <v>280</v>
      </c>
      <c r="Q426" s="1894">
        <v>208</v>
      </c>
      <c r="R426" s="1894">
        <v>224</v>
      </c>
      <c r="S426" s="1894">
        <v>0.91239999999999999</v>
      </c>
      <c r="T426" s="1894">
        <v>46.29</v>
      </c>
      <c r="U426" s="1894">
        <v>71636</v>
      </c>
      <c r="V426" s="1894">
        <f t="shared" si="164"/>
        <v>92851</v>
      </c>
      <c r="W426" s="1894">
        <f t="shared" si="165"/>
        <v>0</v>
      </c>
      <c r="X426" s="1894">
        <v>280</v>
      </c>
      <c r="Y426" s="1894">
        <v>209.12</v>
      </c>
      <c r="Z426" s="1894">
        <v>224</v>
      </c>
      <c r="AA426" s="1894">
        <v>0.92900000000000005</v>
      </c>
      <c r="AB426" s="1894">
        <v>37.200000000000003</v>
      </c>
      <c r="AC426" s="1894">
        <v>56012</v>
      </c>
      <c r="AD426" s="1894">
        <f t="shared" si="166"/>
        <v>90340</v>
      </c>
      <c r="AE426" s="1894">
        <f t="shared" si="167"/>
        <v>0</v>
      </c>
      <c r="AF426" s="1894">
        <v>280</v>
      </c>
      <c r="AG426" s="1894">
        <v>213.28</v>
      </c>
      <c r="AH426" s="1894">
        <v>224</v>
      </c>
      <c r="AI426" s="1894">
        <v>0.92549999999999999</v>
      </c>
      <c r="AJ426" s="1894">
        <v>42.15</v>
      </c>
      <c r="AK426" s="1894">
        <v>66876</v>
      </c>
      <c r="AL426" s="1894">
        <f t="shared" si="160"/>
        <v>95208</v>
      </c>
      <c r="AM426" s="1894">
        <f t="shared" si="161"/>
        <v>0</v>
      </c>
      <c r="AN426" s="1894">
        <v>280</v>
      </c>
      <c r="AO426" s="1894">
        <v>204</v>
      </c>
      <c r="AP426" s="1894">
        <v>224</v>
      </c>
      <c r="AQ426" s="1894">
        <v>0.90700000000000003</v>
      </c>
      <c r="AR426" s="1894">
        <v>19.37</v>
      </c>
      <c r="AS426" s="1894">
        <v>29396</v>
      </c>
      <c r="AT426" s="1894">
        <f t="shared" si="168"/>
        <v>91066</v>
      </c>
      <c r="AU426" s="1894">
        <f t="shared" si="169"/>
        <v>0</v>
      </c>
      <c r="AV426" s="1894">
        <v>280</v>
      </c>
      <c r="AW426" s="1894">
        <v>29.439999999999998</v>
      </c>
      <c r="AX426" s="1894">
        <v>224</v>
      </c>
      <c r="AY426" s="1894">
        <v>0.66500000000000004</v>
      </c>
      <c r="AZ426" s="1894">
        <v>11.46</v>
      </c>
      <c r="BA426" s="1894">
        <v>2430</v>
      </c>
      <c r="BB426" s="1894">
        <f t="shared" si="170"/>
        <v>12718</v>
      </c>
      <c r="BC426" s="1894">
        <f t="shared" si="171"/>
        <v>0</v>
      </c>
      <c r="BD426" s="1894">
        <v>280</v>
      </c>
      <c r="BE426" s="1894">
        <v>66.239999999999995</v>
      </c>
      <c r="BF426" s="1894">
        <v>224</v>
      </c>
      <c r="BG426" s="1894">
        <v>0.60619999999999996</v>
      </c>
      <c r="BH426" s="1894">
        <v>5.73</v>
      </c>
      <c r="BI426" s="1894">
        <v>2824</v>
      </c>
      <c r="BJ426" s="1894">
        <f t="shared" si="172"/>
        <v>29570</v>
      </c>
      <c r="BK426" s="1894">
        <f t="shared" si="173"/>
        <v>0</v>
      </c>
      <c r="BL426" s="1894">
        <v>280</v>
      </c>
      <c r="BM426" s="1894">
        <v>9.44</v>
      </c>
      <c r="BN426" s="1894">
        <v>224</v>
      </c>
      <c r="BO426" s="1894">
        <v>0.63149999999999995</v>
      </c>
      <c r="BP426" s="1894">
        <v>48.88</v>
      </c>
      <c r="BQ426" s="1894">
        <v>3322</v>
      </c>
      <c r="BR426" s="1894">
        <f t="shared" si="174"/>
        <v>4078</v>
      </c>
      <c r="BS426" s="1894">
        <f t="shared" si="175"/>
        <v>0</v>
      </c>
      <c r="BT426" s="1894">
        <v>280</v>
      </c>
      <c r="BU426" s="1894">
        <v>197.44</v>
      </c>
      <c r="BV426" s="1894">
        <v>224</v>
      </c>
      <c r="BW426" s="1894">
        <v>0.80530000000000002</v>
      </c>
      <c r="BX426" s="1894">
        <v>10</v>
      </c>
      <c r="BY426" s="1894">
        <v>14696</v>
      </c>
      <c r="BZ426" s="1894">
        <f t="shared" si="176"/>
        <v>88137</v>
      </c>
      <c r="CA426" s="1894">
        <f t="shared" si="177"/>
        <v>0</v>
      </c>
      <c r="CB426" s="1894">
        <v>280</v>
      </c>
      <c r="CC426" s="1894">
        <v>222.08</v>
      </c>
      <c r="CD426" s="1894">
        <v>224</v>
      </c>
      <c r="CE426" s="1894">
        <v>0.71599999999999997</v>
      </c>
      <c r="CF426" s="1894">
        <v>49.34</v>
      </c>
      <c r="CG426" s="1894">
        <v>81520</v>
      </c>
      <c r="CH426" s="1894">
        <f t="shared" si="178"/>
        <v>99137</v>
      </c>
      <c r="CI426" s="1894">
        <f t="shared" si="179"/>
        <v>0</v>
      </c>
      <c r="CJ426" s="1894">
        <v>280</v>
      </c>
      <c r="CK426" s="1894">
        <v>224.48000000000002</v>
      </c>
      <c r="CL426" s="1894">
        <v>224.48</v>
      </c>
      <c r="CM426" s="1894">
        <v>0.74370000000000003</v>
      </c>
      <c r="CN426" s="1894">
        <v>53.4</v>
      </c>
      <c r="CO426" s="1894">
        <v>80558</v>
      </c>
      <c r="CP426" s="1894">
        <f t="shared" si="180"/>
        <v>90510</v>
      </c>
      <c r="CQ426" s="1894">
        <f t="shared" si="181"/>
        <v>0</v>
      </c>
      <c r="CR426" s="1924">
        <v>280</v>
      </c>
      <c r="CS426" s="1924">
        <v>232.79999999999998</v>
      </c>
      <c r="CT426" s="1924">
        <v>232.8</v>
      </c>
      <c r="CU426" s="1924">
        <v>0.89380000000000004</v>
      </c>
      <c r="CV426" s="1924">
        <v>49.49</v>
      </c>
      <c r="CW426" s="1924">
        <v>85726</v>
      </c>
      <c r="CX426" s="1894">
        <f t="shared" si="182"/>
        <v>103922</v>
      </c>
      <c r="CY426" s="1894">
        <f t="shared" si="183"/>
        <v>0</v>
      </c>
    </row>
    <row r="427" spans="1:103">
      <c r="A427" s="982">
        <v>122000000004</v>
      </c>
      <c r="B427" s="1923">
        <f t="shared" si="184"/>
        <v>421</v>
      </c>
      <c r="C427" s="1895" t="s">
        <v>3304</v>
      </c>
      <c r="D427" s="1894" t="s">
        <v>524</v>
      </c>
      <c r="E427" s="1895" t="s">
        <v>629</v>
      </c>
      <c r="F427" s="1894" t="s">
        <v>259</v>
      </c>
      <c r="G427" s="1924">
        <v>284.44</v>
      </c>
      <c r="H427" s="1894">
        <v>284.44</v>
      </c>
      <c r="I427" s="1894">
        <v>108</v>
      </c>
      <c r="J427" s="1894">
        <v>284.44</v>
      </c>
      <c r="K427" s="1894">
        <v>0.98109999999999997</v>
      </c>
      <c r="L427" s="1894">
        <v>0</v>
      </c>
      <c r="M427" s="1894">
        <v>48680</v>
      </c>
      <c r="N427" s="1894">
        <f t="shared" si="162"/>
        <v>46656</v>
      </c>
      <c r="O427" s="1894">
        <f t="shared" si="163"/>
        <v>2024</v>
      </c>
      <c r="P427" s="1894">
        <v>284.44</v>
      </c>
      <c r="Q427" s="1894">
        <v>108</v>
      </c>
      <c r="R427" s="1894">
        <v>284.44</v>
      </c>
      <c r="S427" s="1894">
        <v>0.9819</v>
      </c>
      <c r="T427" s="1894">
        <v>0</v>
      </c>
      <c r="U427" s="1894">
        <v>54412</v>
      </c>
      <c r="V427" s="1894">
        <f t="shared" si="164"/>
        <v>48211</v>
      </c>
      <c r="W427" s="1894">
        <f t="shared" si="165"/>
        <v>6201</v>
      </c>
      <c r="X427" s="1894">
        <v>284.44</v>
      </c>
      <c r="Y427" s="1894">
        <v>125.6</v>
      </c>
      <c r="Z427" s="1894">
        <v>284.44</v>
      </c>
      <c r="AA427" s="1894">
        <v>0.98219999999999996</v>
      </c>
      <c r="AB427" s="1894">
        <v>0</v>
      </c>
      <c r="AC427" s="1894">
        <v>50858</v>
      </c>
      <c r="AD427" s="1894">
        <f t="shared" si="166"/>
        <v>54259</v>
      </c>
      <c r="AE427" s="1894">
        <f t="shared" si="167"/>
        <v>0</v>
      </c>
      <c r="AF427" s="1894">
        <v>284.44</v>
      </c>
      <c r="AG427" s="1894">
        <v>115.99999999999999</v>
      </c>
      <c r="AH427" s="1894">
        <v>284.44</v>
      </c>
      <c r="AI427" s="1894">
        <v>0.98089999999999999</v>
      </c>
      <c r="AJ427" s="1894">
        <v>0</v>
      </c>
      <c r="AK427" s="1894">
        <v>47970</v>
      </c>
      <c r="AL427" s="1894">
        <f t="shared" si="160"/>
        <v>51782</v>
      </c>
      <c r="AM427" s="1894">
        <f t="shared" si="161"/>
        <v>0</v>
      </c>
      <c r="AN427" s="1894">
        <v>284.44</v>
      </c>
      <c r="AO427" s="1894">
        <v>118.39999999999999</v>
      </c>
      <c r="AP427" s="1894">
        <v>284.44</v>
      </c>
      <c r="AQ427" s="1894">
        <v>0.98140000000000005</v>
      </c>
      <c r="AR427" s="1894">
        <v>0</v>
      </c>
      <c r="AS427" s="1894">
        <v>47420</v>
      </c>
      <c r="AT427" s="1894">
        <f t="shared" si="168"/>
        <v>52854</v>
      </c>
      <c r="AU427" s="1894">
        <f t="shared" si="169"/>
        <v>0</v>
      </c>
      <c r="AV427" s="1894">
        <v>284.44</v>
      </c>
      <c r="AW427" s="1894">
        <v>123.2</v>
      </c>
      <c r="AX427" s="1894">
        <v>284.44</v>
      </c>
      <c r="AY427" s="1894">
        <v>0.98250000000000004</v>
      </c>
      <c r="AZ427" s="1894">
        <v>0</v>
      </c>
      <c r="BA427" s="1894">
        <v>39548</v>
      </c>
      <c r="BB427" s="1894">
        <f t="shared" si="170"/>
        <v>53222</v>
      </c>
      <c r="BC427" s="1894">
        <f t="shared" si="171"/>
        <v>0</v>
      </c>
      <c r="BD427" s="1894">
        <v>284.44</v>
      </c>
      <c r="BE427" s="1894">
        <v>96.8</v>
      </c>
      <c r="BF427" s="1894">
        <v>284.44</v>
      </c>
      <c r="BG427" s="1894">
        <v>0.97350000000000003</v>
      </c>
      <c r="BH427" s="1894">
        <v>0</v>
      </c>
      <c r="BI427" s="1894">
        <v>40394</v>
      </c>
      <c r="BJ427" s="1894">
        <f t="shared" si="172"/>
        <v>43212</v>
      </c>
      <c r="BK427" s="1894">
        <f t="shared" si="173"/>
        <v>0</v>
      </c>
      <c r="BL427" s="1894">
        <v>284.44</v>
      </c>
      <c r="BM427" s="1894">
        <v>79.2</v>
      </c>
      <c r="BN427" s="1894">
        <v>284.44</v>
      </c>
      <c r="BO427" s="1894">
        <v>0.95609999999999995</v>
      </c>
      <c r="BP427" s="1894">
        <v>0</v>
      </c>
      <c r="BQ427" s="1894">
        <v>28162</v>
      </c>
      <c r="BR427" s="1894">
        <f t="shared" si="174"/>
        <v>34214</v>
      </c>
      <c r="BS427" s="1894">
        <f t="shared" si="175"/>
        <v>0</v>
      </c>
      <c r="BT427" s="1894">
        <v>284.44</v>
      </c>
      <c r="BU427" s="1894">
        <v>78.88</v>
      </c>
      <c r="BV427" s="1894">
        <v>284.44</v>
      </c>
      <c r="BW427" s="1894">
        <v>0.95120000000000005</v>
      </c>
      <c r="BX427" s="1894">
        <v>0</v>
      </c>
      <c r="BY427" s="1894">
        <v>27424</v>
      </c>
      <c r="BZ427" s="1894">
        <f t="shared" si="176"/>
        <v>35212</v>
      </c>
      <c r="CA427" s="1894">
        <f t="shared" si="177"/>
        <v>0</v>
      </c>
      <c r="CB427" s="1894">
        <v>284.44</v>
      </c>
      <c r="CC427" s="1894">
        <v>75.2</v>
      </c>
      <c r="CD427" s="1894">
        <v>284.44</v>
      </c>
      <c r="CE427" s="1894">
        <v>0.95599999999999996</v>
      </c>
      <c r="CF427" s="1894">
        <v>0</v>
      </c>
      <c r="CG427" s="1894">
        <v>27072</v>
      </c>
      <c r="CH427" s="1894">
        <f t="shared" si="178"/>
        <v>33569</v>
      </c>
      <c r="CI427" s="1894">
        <f t="shared" si="179"/>
        <v>0</v>
      </c>
      <c r="CJ427" s="1894">
        <v>284.44</v>
      </c>
      <c r="CK427" s="1894">
        <v>73.760000000000005</v>
      </c>
      <c r="CL427" s="1894">
        <v>284.44</v>
      </c>
      <c r="CM427" s="1894">
        <v>0.95920000000000005</v>
      </c>
      <c r="CN427" s="1894">
        <v>0</v>
      </c>
      <c r="CO427" s="1894">
        <v>24508</v>
      </c>
      <c r="CP427" s="1894">
        <f t="shared" si="180"/>
        <v>29740</v>
      </c>
      <c r="CQ427" s="1894">
        <f t="shared" si="181"/>
        <v>0</v>
      </c>
      <c r="CR427" s="1924">
        <v>284.44</v>
      </c>
      <c r="CS427" s="1924">
        <v>77.44</v>
      </c>
      <c r="CT427" s="1924">
        <v>284.44</v>
      </c>
      <c r="CU427" s="1924">
        <v>0.96630000000000005</v>
      </c>
      <c r="CV427" s="1924">
        <v>0</v>
      </c>
      <c r="CW427" s="1924">
        <v>29510</v>
      </c>
      <c r="CX427" s="1894">
        <f t="shared" si="182"/>
        <v>34569</v>
      </c>
      <c r="CY427" s="1894">
        <f t="shared" si="183"/>
        <v>0</v>
      </c>
    </row>
    <row r="428" spans="1:103">
      <c r="A428" s="982">
        <v>421000000020</v>
      </c>
      <c r="B428" s="1923">
        <f t="shared" si="184"/>
        <v>422</v>
      </c>
      <c r="C428" s="1895" t="s">
        <v>3305</v>
      </c>
      <c r="D428" s="1894" t="s">
        <v>524</v>
      </c>
      <c r="E428" s="1895" t="s">
        <v>636</v>
      </c>
      <c r="F428" s="1894" t="s">
        <v>259</v>
      </c>
      <c r="G428" s="1924">
        <v>290</v>
      </c>
      <c r="H428" s="1894">
        <v>290</v>
      </c>
      <c r="I428" s="1894">
        <v>126.24000000000001</v>
      </c>
      <c r="J428" s="1894">
        <v>232</v>
      </c>
      <c r="K428" s="1894">
        <v>0.98750000000000004</v>
      </c>
      <c r="L428" s="1894">
        <v>25.97</v>
      </c>
      <c r="M428" s="1894">
        <v>23601</v>
      </c>
      <c r="N428" s="1894">
        <f t="shared" si="162"/>
        <v>54536</v>
      </c>
      <c r="O428" s="1894">
        <f t="shared" si="163"/>
        <v>0</v>
      </c>
      <c r="P428" s="1894">
        <v>290</v>
      </c>
      <c r="Q428" s="1894">
        <v>127.2</v>
      </c>
      <c r="R428" s="1894">
        <v>232</v>
      </c>
      <c r="S428" s="1894">
        <v>0.98929999999999996</v>
      </c>
      <c r="T428" s="1894">
        <v>27.36</v>
      </c>
      <c r="U428" s="1894">
        <v>25893</v>
      </c>
      <c r="V428" s="1894">
        <f t="shared" si="164"/>
        <v>56782</v>
      </c>
      <c r="W428" s="1894">
        <f t="shared" si="165"/>
        <v>0</v>
      </c>
      <c r="X428" s="1894">
        <v>290</v>
      </c>
      <c r="Y428" s="1894">
        <v>119.03999999999999</v>
      </c>
      <c r="Z428" s="1894">
        <v>232</v>
      </c>
      <c r="AA428" s="1894">
        <v>0.99039999999999995</v>
      </c>
      <c r="AB428" s="1894">
        <v>25.19</v>
      </c>
      <c r="AC428" s="1894">
        <v>21594</v>
      </c>
      <c r="AD428" s="1894">
        <f t="shared" si="166"/>
        <v>51425</v>
      </c>
      <c r="AE428" s="1894">
        <f t="shared" si="167"/>
        <v>0</v>
      </c>
      <c r="AF428" s="1894">
        <v>290</v>
      </c>
      <c r="AG428" s="1894">
        <v>114.96</v>
      </c>
      <c r="AH428" s="1894">
        <v>232</v>
      </c>
      <c r="AI428" s="1894">
        <v>0.9869</v>
      </c>
      <c r="AJ428" s="1894">
        <v>25.85</v>
      </c>
      <c r="AK428" s="1894">
        <v>22113</v>
      </c>
      <c r="AL428" s="1894">
        <f t="shared" si="160"/>
        <v>51318</v>
      </c>
      <c r="AM428" s="1894">
        <f t="shared" si="161"/>
        <v>0</v>
      </c>
      <c r="AN428" s="1894">
        <v>290</v>
      </c>
      <c r="AO428" s="1894">
        <v>127.67999999999999</v>
      </c>
      <c r="AP428" s="1894">
        <v>232</v>
      </c>
      <c r="AQ428" s="1894">
        <v>0.98060000000000003</v>
      </c>
      <c r="AR428" s="1894">
        <v>23.28</v>
      </c>
      <c r="AS428" s="1894">
        <v>22116</v>
      </c>
      <c r="AT428" s="1894">
        <f t="shared" si="168"/>
        <v>56996</v>
      </c>
      <c r="AU428" s="1894">
        <f t="shared" si="169"/>
        <v>0</v>
      </c>
      <c r="AV428" s="1894">
        <v>290</v>
      </c>
      <c r="AW428" s="1894">
        <v>132.47999999999999</v>
      </c>
      <c r="AX428" s="1894">
        <v>232</v>
      </c>
      <c r="AY428" s="1894">
        <v>0.98160000000000003</v>
      </c>
      <c r="AZ428" s="1894">
        <v>25.93</v>
      </c>
      <c r="BA428" s="1894">
        <v>24732</v>
      </c>
      <c r="BB428" s="1894">
        <f t="shared" si="170"/>
        <v>57231</v>
      </c>
      <c r="BC428" s="1894">
        <f t="shared" si="171"/>
        <v>0</v>
      </c>
      <c r="BD428" s="1894">
        <v>290</v>
      </c>
      <c r="BE428" s="1894">
        <v>122.16</v>
      </c>
      <c r="BF428" s="1894">
        <v>232</v>
      </c>
      <c r="BG428" s="1894">
        <v>0.95979999999999999</v>
      </c>
      <c r="BH428" s="1894">
        <v>20.41</v>
      </c>
      <c r="BI428" s="1894">
        <v>18546</v>
      </c>
      <c r="BJ428" s="1894">
        <f t="shared" si="172"/>
        <v>54532</v>
      </c>
      <c r="BK428" s="1894">
        <f t="shared" si="173"/>
        <v>0</v>
      </c>
      <c r="BL428" s="1894">
        <v>290</v>
      </c>
      <c r="BM428" s="1894">
        <v>79.44</v>
      </c>
      <c r="BN428" s="1894">
        <v>232</v>
      </c>
      <c r="BO428" s="1894">
        <v>0.94420000000000004</v>
      </c>
      <c r="BP428" s="1894">
        <v>24.93</v>
      </c>
      <c r="BQ428" s="1894">
        <v>14262</v>
      </c>
      <c r="BR428" s="1894">
        <f t="shared" si="174"/>
        <v>34318</v>
      </c>
      <c r="BS428" s="1894">
        <f t="shared" si="175"/>
        <v>0</v>
      </c>
      <c r="BT428" s="1894">
        <v>290</v>
      </c>
      <c r="BU428" s="1894">
        <v>39.6</v>
      </c>
      <c r="BV428" s="1894">
        <v>232</v>
      </c>
      <c r="BW428" s="1894">
        <v>0.90459999999999996</v>
      </c>
      <c r="BX428" s="1894">
        <v>38.35</v>
      </c>
      <c r="BY428" s="1894">
        <v>11298</v>
      </c>
      <c r="BZ428" s="1894">
        <f t="shared" si="176"/>
        <v>17677</v>
      </c>
      <c r="CA428" s="1894">
        <f t="shared" si="177"/>
        <v>0</v>
      </c>
      <c r="CB428" s="1894">
        <v>290</v>
      </c>
      <c r="CC428" s="1894">
        <v>47.04</v>
      </c>
      <c r="CD428" s="1894">
        <v>232</v>
      </c>
      <c r="CE428" s="1894">
        <v>0.93710000000000004</v>
      </c>
      <c r="CF428" s="1894">
        <v>31.08</v>
      </c>
      <c r="CG428" s="1894">
        <v>10878</v>
      </c>
      <c r="CH428" s="1894">
        <f t="shared" si="178"/>
        <v>20999</v>
      </c>
      <c r="CI428" s="1894">
        <f t="shared" si="179"/>
        <v>0</v>
      </c>
      <c r="CJ428" s="1894">
        <v>290</v>
      </c>
      <c r="CK428" s="1894">
        <v>88.32</v>
      </c>
      <c r="CL428" s="1894">
        <v>232</v>
      </c>
      <c r="CM428" s="1894">
        <v>0.95920000000000005</v>
      </c>
      <c r="CN428" s="1894">
        <v>20.71</v>
      </c>
      <c r="CO428" s="1894">
        <v>12291</v>
      </c>
      <c r="CP428" s="1894">
        <f t="shared" si="180"/>
        <v>35611</v>
      </c>
      <c r="CQ428" s="1894">
        <f t="shared" si="181"/>
        <v>0</v>
      </c>
      <c r="CR428" s="1924">
        <v>290</v>
      </c>
      <c r="CS428" s="1924">
        <v>96.72</v>
      </c>
      <c r="CT428" s="1924">
        <v>232</v>
      </c>
      <c r="CU428" s="1924">
        <v>0.98029999999999995</v>
      </c>
      <c r="CV428" s="1924">
        <v>24.83</v>
      </c>
      <c r="CW428" s="1924">
        <v>17868</v>
      </c>
      <c r="CX428" s="1894">
        <f t="shared" si="182"/>
        <v>43176</v>
      </c>
      <c r="CY428" s="1894">
        <f t="shared" si="183"/>
        <v>0</v>
      </c>
    </row>
    <row r="429" spans="1:103">
      <c r="A429" s="982">
        <v>621000000045</v>
      </c>
      <c r="B429" s="1923">
        <f t="shared" si="184"/>
        <v>423</v>
      </c>
      <c r="C429" s="1895" t="s">
        <v>2947</v>
      </c>
      <c r="D429" s="1894" t="s">
        <v>524</v>
      </c>
      <c r="E429" s="1895" t="s">
        <v>730</v>
      </c>
      <c r="F429" s="1894" t="s">
        <v>259</v>
      </c>
      <c r="G429" s="1924">
        <v>290</v>
      </c>
      <c r="H429" s="1894">
        <v>290</v>
      </c>
      <c r="I429" s="1894">
        <v>149.04</v>
      </c>
      <c r="J429" s="1894">
        <v>232</v>
      </c>
      <c r="K429" s="1894">
        <v>0.99880000000000002</v>
      </c>
      <c r="L429" s="1894">
        <v>55.67</v>
      </c>
      <c r="M429" s="1894">
        <v>59736</v>
      </c>
      <c r="N429" s="1894">
        <f t="shared" si="162"/>
        <v>64385</v>
      </c>
      <c r="O429" s="1894">
        <f t="shared" si="163"/>
        <v>0</v>
      </c>
      <c r="P429" s="1894">
        <v>290</v>
      </c>
      <c r="Q429" s="1894">
        <v>147.12</v>
      </c>
      <c r="R429" s="1894">
        <v>232</v>
      </c>
      <c r="S429" s="1894">
        <v>0.99780000000000002</v>
      </c>
      <c r="T429" s="1894">
        <v>57.61</v>
      </c>
      <c r="U429" s="1894">
        <v>63057</v>
      </c>
      <c r="V429" s="1894">
        <f t="shared" si="164"/>
        <v>65674</v>
      </c>
      <c r="W429" s="1894">
        <f t="shared" si="165"/>
        <v>0</v>
      </c>
      <c r="X429" s="1894">
        <v>290</v>
      </c>
      <c r="Y429" s="1894">
        <v>148.56</v>
      </c>
      <c r="Z429" s="1894">
        <v>232</v>
      </c>
      <c r="AA429" s="1894">
        <v>0.99850000000000005</v>
      </c>
      <c r="AB429" s="1894">
        <v>57.47</v>
      </c>
      <c r="AC429" s="1894">
        <v>61470</v>
      </c>
      <c r="AD429" s="1894">
        <f t="shared" si="166"/>
        <v>64178</v>
      </c>
      <c r="AE429" s="1894">
        <f t="shared" si="167"/>
        <v>0</v>
      </c>
      <c r="AF429" s="1894">
        <v>290</v>
      </c>
      <c r="AG429" s="1894">
        <v>147.36000000000001</v>
      </c>
      <c r="AH429" s="1894">
        <v>232</v>
      </c>
      <c r="AI429" s="1894">
        <v>0.99860000000000004</v>
      </c>
      <c r="AJ429" s="1894">
        <v>57.13</v>
      </c>
      <c r="AK429" s="1894">
        <v>62640</v>
      </c>
      <c r="AL429" s="1894">
        <f t="shared" si="160"/>
        <v>65782</v>
      </c>
      <c r="AM429" s="1894">
        <f t="shared" si="161"/>
        <v>0</v>
      </c>
      <c r="AN429" s="1894">
        <v>290</v>
      </c>
      <c r="AO429" s="1894">
        <v>156.47999999999999</v>
      </c>
      <c r="AP429" s="1894">
        <v>232</v>
      </c>
      <c r="AQ429" s="1894">
        <v>0.99680000000000002</v>
      </c>
      <c r="AR429" s="1894">
        <v>52.1</v>
      </c>
      <c r="AS429" s="1894">
        <v>56745</v>
      </c>
      <c r="AT429" s="1894">
        <f t="shared" si="168"/>
        <v>69853</v>
      </c>
      <c r="AU429" s="1894">
        <f t="shared" si="169"/>
        <v>0</v>
      </c>
      <c r="AV429" s="1894">
        <v>290</v>
      </c>
      <c r="AW429" s="1894">
        <v>161.04000000000002</v>
      </c>
      <c r="AX429" s="1894">
        <v>232</v>
      </c>
      <c r="AY429" s="1894">
        <v>0.998</v>
      </c>
      <c r="AZ429" s="1894">
        <v>53.78</v>
      </c>
      <c r="BA429" s="1894">
        <v>66519</v>
      </c>
      <c r="BB429" s="1894">
        <f t="shared" si="170"/>
        <v>69569</v>
      </c>
      <c r="BC429" s="1894">
        <f t="shared" si="171"/>
        <v>0</v>
      </c>
      <c r="BD429" s="1894">
        <v>290</v>
      </c>
      <c r="BE429" s="1894">
        <v>155.04000000000002</v>
      </c>
      <c r="BF429" s="1894">
        <v>232</v>
      </c>
      <c r="BG429" s="1894">
        <v>0.99829999999999997</v>
      </c>
      <c r="BH429" s="1894">
        <v>57.51</v>
      </c>
      <c r="BI429" s="1894">
        <v>66333</v>
      </c>
      <c r="BJ429" s="1894">
        <f t="shared" si="172"/>
        <v>69210</v>
      </c>
      <c r="BK429" s="1894">
        <f t="shared" si="173"/>
        <v>0</v>
      </c>
      <c r="BL429" s="1894">
        <v>290</v>
      </c>
      <c r="BM429" s="1894">
        <v>147.84</v>
      </c>
      <c r="BN429" s="1894">
        <v>232</v>
      </c>
      <c r="BO429" s="1894">
        <v>0.99919999999999998</v>
      </c>
      <c r="BP429" s="1894">
        <v>61.54</v>
      </c>
      <c r="BQ429" s="1894">
        <v>65505</v>
      </c>
      <c r="BR429" s="1894">
        <f t="shared" si="174"/>
        <v>63867</v>
      </c>
      <c r="BS429" s="1894">
        <f t="shared" si="175"/>
        <v>1638</v>
      </c>
      <c r="BT429" s="1894">
        <v>290</v>
      </c>
      <c r="BU429" s="1894">
        <v>154.80000000000001</v>
      </c>
      <c r="BV429" s="1894">
        <v>232</v>
      </c>
      <c r="BW429" s="1894">
        <v>0.99929999999999997</v>
      </c>
      <c r="BX429" s="1894">
        <v>59.97</v>
      </c>
      <c r="BY429" s="1894">
        <v>69069</v>
      </c>
      <c r="BZ429" s="1894">
        <f t="shared" si="176"/>
        <v>69103</v>
      </c>
      <c r="CA429" s="1894">
        <f t="shared" si="177"/>
        <v>0</v>
      </c>
      <c r="CB429" s="1894">
        <v>290</v>
      </c>
      <c r="CC429" s="1894">
        <v>157.67999999999998</v>
      </c>
      <c r="CD429" s="1894">
        <v>232</v>
      </c>
      <c r="CE429" s="1894">
        <v>0.99809999999999999</v>
      </c>
      <c r="CF429" s="1894">
        <v>61.68</v>
      </c>
      <c r="CG429" s="1894">
        <v>72354</v>
      </c>
      <c r="CH429" s="1894">
        <f t="shared" si="178"/>
        <v>70388</v>
      </c>
      <c r="CI429" s="1894">
        <f t="shared" si="179"/>
        <v>1966</v>
      </c>
      <c r="CJ429" s="1894">
        <v>290</v>
      </c>
      <c r="CK429" s="1894">
        <v>156.47999999999999</v>
      </c>
      <c r="CL429" s="1894">
        <v>232</v>
      </c>
      <c r="CM429" s="1894">
        <v>0.99809999999999999</v>
      </c>
      <c r="CN429" s="1894">
        <v>66.48</v>
      </c>
      <c r="CO429" s="1894">
        <v>69909</v>
      </c>
      <c r="CP429" s="1894">
        <f t="shared" si="180"/>
        <v>63093</v>
      </c>
      <c r="CQ429" s="1894">
        <f t="shared" si="181"/>
        <v>6816</v>
      </c>
      <c r="CR429" s="1924">
        <v>290</v>
      </c>
      <c r="CS429" s="1924">
        <v>159.84</v>
      </c>
      <c r="CT429" s="1924">
        <v>232</v>
      </c>
      <c r="CU429" s="1924">
        <v>0.99880000000000002</v>
      </c>
      <c r="CV429" s="1924">
        <v>66.3</v>
      </c>
      <c r="CW429" s="1924">
        <v>78846</v>
      </c>
      <c r="CX429" s="1894">
        <f t="shared" si="182"/>
        <v>71353</v>
      </c>
      <c r="CY429" s="1894">
        <f t="shared" si="183"/>
        <v>7493</v>
      </c>
    </row>
    <row r="430" spans="1:103">
      <c r="A430" s="982">
        <v>121000000046</v>
      </c>
      <c r="B430" s="1923">
        <f t="shared" si="184"/>
        <v>424</v>
      </c>
      <c r="C430" s="1895" t="s">
        <v>3306</v>
      </c>
      <c r="D430" s="1894" t="s">
        <v>524</v>
      </c>
      <c r="E430" s="1895" t="s">
        <v>636</v>
      </c>
      <c r="F430" s="1894" t="s">
        <v>259</v>
      </c>
      <c r="G430" s="1924">
        <v>295</v>
      </c>
      <c r="H430" s="1894">
        <v>295</v>
      </c>
      <c r="I430" s="1894">
        <v>75.84</v>
      </c>
      <c r="J430" s="1894">
        <v>236</v>
      </c>
      <c r="K430" s="1894">
        <v>0.98460000000000003</v>
      </c>
      <c r="L430" s="1894">
        <v>41.04</v>
      </c>
      <c r="M430" s="1894">
        <v>20916</v>
      </c>
      <c r="N430" s="1894">
        <f t="shared" si="162"/>
        <v>32763</v>
      </c>
      <c r="O430" s="1894">
        <f t="shared" si="163"/>
        <v>0</v>
      </c>
      <c r="P430" s="1894">
        <v>295</v>
      </c>
      <c r="Q430" s="1894">
        <v>88.56</v>
      </c>
      <c r="R430" s="1894">
        <v>236</v>
      </c>
      <c r="S430" s="1894">
        <v>0.98699999999999999</v>
      </c>
      <c r="T430" s="1894">
        <v>42.6</v>
      </c>
      <c r="U430" s="1894">
        <v>26259</v>
      </c>
      <c r="V430" s="1894">
        <f t="shared" si="164"/>
        <v>39533</v>
      </c>
      <c r="W430" s="1894">
        <f t="shared" si="165"/>
        <v>0</v>
      </c>
      <c r="X430" s="1894">
        <v>295</v>
      </c>
      <c r="Y430" s="1894">
        <v>115.92</v>
      </c>
      <c r="Z430" s="1894">
        <v>236</v>
      </c>
      <c r="AA430" s="1894">
        <v>0.98419999999999996</v>
      </c>
      <c r="AB430" s="1894">
        <v>28.57</v>
      </c>
      <c r="AC430" s="1894">
        <v>27024</v>
      </c>
      <c r="AD430" s="1894">
        <f t="shared" si="166"/>
        <v>50077</v>
      </c>
      <c r="AE430" s="1894">
        <f t="shared" si="167"/>
        <v>0</v>
      </c>
      <c r="AF430" s="1894">
        <v>295</v>
      </c>
      <c r="AG430" s="1894">
        <v>101.28</v>
      </c>
      <c r="AH430" s="1894">
        <v>236</v>
      </c>
      <c r="AI430" s="1894">
        <v>0.98660000000000003</v>
      </c>
      <c r="AJ430" s="1894">
        <v>33.11</v>
      </c>
      <c r="AK430" s="1894">
        <v>24951</v>
      </c>
      <c r="AL430" s="1894">
        <f t="shared" si="160"/>
        <v>45211</v>
      </c>
      <c r="AM430" s="1894">
        <f t="shared" si="161"/>
        <v>0</v>
      </c>
      <c r="AN430" s="1894">
        <v>295</v>
      </c>
      <c r="AO430" s="1894">
        <v>84.72</v>
      </c>
      <c r="AP430" s="1894">
        <v>236</v>
      </c>
      <c r="AQ430" s="1894">
        <v>0.98440000000000005</v>
      </c>
      <c r="AR430" s="1894">
        <v>42.61</v>
      </c>
      <c r="AS430" s="1894">
        <v>26859</v>
      </c>
      <c r="AT430" s="1894">
        <f t="shared" si="168"/>
        <v>37819</v>
      </c>
      <c r="AU430" s="1894">
        <f t="shared" si="169"/>
        <v>0</v>
      </c>
      <c r="AV430" s="1894">
        <v>295</v>
      </c>
      <c r="AW430" s="1894">
        <v>96.96</v>
      </c>
      <c r="AX430" s="1894">
        <v>236</v>
      </c>
      <c r="AY430" s="1894">
        <v>0.98640000000000005</v>
      </c>
      <c r="AZ430" s="1894">
        <v>35.869999999999997</v>
      </c>
      <c r="BA430" s="1894">
        <v>25041</v>
      </c>
      <c r="BB430" s="1894">
        <f t="shared" si="170"/>
        <v>41887</v>
      </c>
      <c r="BC430" s="1894">
        <f t="shared" si="171"/>
        <v>0</v>
      </c>
      <c r="BD430" s="1894">
        <v>295</v>
      </c>
      <c r="BE430" s="1894">
        <v>85.68</v>
      </c>
      <c r="BF430" s="1894">
        <v>236</v>
      </c>
      <c r="BG430" s="1894">
        <v>0.97770000000000001</v>
      </c>
      <c r="BH430" s="1894">
        <v>34.450000000000003</v>
      </c>
      <c r="BI430" s="1894">
        <v>21960</v>
      </c>
      <c r="BJ430" s="1894">
        <f t="shared" si="172"/>
        <v>38248</v>
      </c>
      <c r="BK430" s="1894">
        <f t="shared" si="173"/>
        <v>0</v>
      </c>
      <c r="BL430" s="1894">
        <v>295</v>
      </c>
      <c r="BM430" s="1894">
        <v>61.199999999999996</v>
      </c>
      <c r="BN430" s="1894">
        <v>236</v>
      </c>
      <c r="BO430" s="1894">
        <v>0.97150000000000003</v>
      </c>
      <c r="BP430" s="1894">
        <v>36.409999999999997</v>
      </c>
      <c r="BQ430" s="1894">
        <v>16044</v>
      </c>
      <c r="BR430" s="1894">
        <f t="shared" si="174"/>
        <v>26438</v>
      </c>
      <c r="BS430" s="1894">
        <f t="shared" si="175"/>
        <v>0</v>
      </c>
      <c r="BT430" s="1894">
        <v>295</v>
      </c>
      <c r="BU430" s="1894">
        <v>45.6</v>
      </c>
      <c r="BV430" s="1894">
        <v>236</v>
      </c>
      <c r="BW430" s="1894">
        <v>0.95079999999999998</v>
      </c>
      <c r="BX430" s="1894">
        <v>40.11</v>
      </c>
      <c r="BY430" s="1894">
        <v>13608</v>
      </c>
      <c r="BZ430" s="1894">
        <f t="shared" si="176"/>
        <v>20356</v>
      </c>
      <c r="CA430" s="1894">
        <f t="shared" si="177"/>
        <v>0</v>
      </c>
      <c r="CB430" s="1894">
        <v>295</v>
      </c>
      <c r="CC430" s="1894">
        <v>48.24</v>
      </c>
      <c r="CD430" s="1894">
        <v>236</v>
      </c>
      <c r="CE430" s="1894">
        <v>0.9506</v>
      </c>
      <c r="CF430" s="1894">
        <v>32.89</v>
      </c>
      <c r="CG430" s="1894">
        <v>11805</v>
      </c>
      <c r="CH430" s="1894">
        <f t="shared" si="178"/>
        <v>21534</v>
      </c>
      <c r="CI430" s="1894">
        <f t="shared" si="179"/>
        <v>0</v>
      </c>
      <c r="CJ430" s="1894">
        <v>295</v>
      </c>
      <c r="CK430" s="1894">
        <v>49.68</v>
      </c>
      <c r="CL430" s="1894">
        <v>236</v>
      </c>
      <c r="CM430" s="1894">
        <v>0.97060000000000002</v>
      </c>
      <c r="CN430" s="1894">
        <v>37.36</v>
      </c>
      <c r="CO430" s="1894">
        <v>12474</v>
      </c>
      <c r="CP430" s="1894">
        <f t="shared" si="180"/>
        <v>20031</v>
      </c>
      <c r="CQ430" s="1894">
        <f t="shared" si="181"/>
        <v>0</v>
      </c>
      <c r="CR430" s="1924">
        <v>295</v>
      </c>
      <c r="CS430" s="1924">
        <v>56.160000000000004</v>
      </c>
      <c r="CT430" s="1924">
        <v>236</v>
      </c>
      <c r="CU430" s="1924">
        <v>0.98399999999999999</v>
      </c>
      <c r="CV430" s="1924">
        <v>39.270000000000003</v>
      </c>
      <c r="CW430" s="1924">
        <v>16407</v>
      </c>
      <c r="CX430" s="1894">
        <f t="shared" si="182"/>
        <v>25070</v>
      </c>
      <c r="CY430" s="1894">
        <f t="shared" si="183"/>
        <v>0</v>
      </c>
    </row>
    <row r="431" spans="1:103">
      <c r="A431" s="982">
        <v>124000000074</v>
      </c>
      <c r="B431" s="1923">
        <f t="shared" si="184"/>
        <v>425</v>
      </c>
      <c r="C431" s="1895" t="s">
        <v>3307</v>
      </c>
      <c r="D431" s="1894" t="s">
        <v>524</v>
      </c>
      <c r="E431" s="1895" t="s">
        <v>541</v>
      </c>
      <c r="F431" s="1894" t="s">
        <v>259</v>
      </c>
      <c r="G431" s="1924">
        <v>300</v>
      </c>
      <c r="H431" s="1894">
        <v>300</v>
      </c>
      <c r="I431" s="1894">
        <v>245.99999999999997</v>
      </c>
      <c r="J431" s="1894">
        <v>246</v>
      </c>
      <c r="K431" s="1894">
        <v>0.92269999999999996</v>
      </c>
      <c r="L431" s="1894">
        <v>7.46</v>
      </c>
      <c r="M431" s="1894">
        <v>17622</v>
      </c>
      <c r="N431" s="1894">
        <f t="shared" si="162"/>
        <v>106272</v>
      </c>
      <c r="O431" s="1894">
        <f t="shared" si="163"/>
        <v>0</v>
      </c>
      <c r="P431" s="1894">
        <v>300</v>
      </c>
      <c r="Q431" s="1894">
        <v>272.64000000000004</v>
      </c>
      <c r="R431" s="1894">
        <v>272.64</v>
      </c>
      <c r="S431" s="1894">
        <v>0.90539999999999998</v>
      </c>
      <c r="T431" s="1894">
        <v>40.880000000000003</v>
      </c>
      <c r="U431" s="1894">
        <v>90942</v>
      </c>
      <c r="V431" s="1894">
        <f t="shared" si="164"/>
        <v>121706</v>
      </c>
      <c r="W431" s="1894">
        <f t="shared" si="165"/>
        <v>0</v>
      </c>
      <c r="X431" s="1894">
        <v>300</v>
      </c>
      <c r="Y431" s="1894">
        <v>286.32</v>
      </c>
      <c r="Z431" s="1894">
        <v>286.32</v>
      </c>
      <c r="AA431" s="1894">
        <v>0.90390000000000004</v>
      </c>
      <c r="AB431" s="1894">
        <v>32.479999999999997</v>
      </c>
      <c r="AC431" s="1894">
        <v>66963</v>
      </c>
      <c r="AD431" s="1894">
        <f t="shared" si="166"/>
        <v>123690</v>
      </c>
      <c r="AE431" s="1894">
        <f t="shared" si="167"/>
        <v>0</v>
      </c>
      <c r="AF431" s="1894">
        <v>300</v>
      </c>
      <c r="AG431" s="1894">
        <v>275.27999999999997</v>
      </c>
      <c r="AH431" s="1894">
        <v>275.27999999999997</v>
      </c>
      <c r="AI431" s="1894">
        <v>0.89390000000000003</v>
      </c>
      <c r="AJ431" s="1894">
        <v>37.020000000000003</v>
      </c>
      <c r="AK431" s="1894">
        <v>75828</v>
      </c>
      <c r="AL431" s="1894">
        <f t="shared" si="160"/>
        <v>122885</v>
      </c>
      <c r="AM431" s="1894">
        <f t="shared" si="161"/>
        <v>0</v>
      </c>
      <c r="AN431" s="1894">
        <v>300</v>
      </c>
      <c r="AO431" s="1894">
        <v>225.35999999999999</v>
      </c>
      <c r="AP431" s="1894">
        <v>240</v>
      </c>
      <c r="AQ431" s="1894">
        <v>0.90369999999999995</v>
      </c>
      <c r="AR431" s="1894">
        <v>19.899999999999999</v>
      </c>
      <c r="AS431" s="1894">
        <v>33363</v>
      </c>
      <c r="AT431" s="1894">
        <f t="shared" si="168"/>
        <v>100601</v>
      </c>
      <c r="AU431" s="1894">
        <f t="shared" si="169"/>
        <v>0</v>
      </c>
      <c r="AV431" s="1894">
        <v>300</v>
      </c>
      <c r="AW431" s="1894">
        <v>219.6</v>
      </c>
      <c r="AX431" s="1894">
        <v>240</v>
      </c>
      <c r="AY431" s="1894">
        <v>0.9103</v>
      </c>
      <c r="AZ431" s="1894">
        <v>32.479999999999997</v>
      </c>
      <c r="BA431" s="1894">
        <v>51354</v>
      </c>
      <c r="BB431" s="1894">
        <f t="shared" si="170"/>
        <v>94867</v>
      </c>
      <c r="BC431" s="1894">
        <f t="shared" si="171"/>
        <v>0</v>
      </c>
      <c r="BD431" s="1894">
        <v>300</v>
      </c>
      <c r="BE431" s="1894">
        <v>195.36</v>
      </c>
      <c r="BF431" s="1894">
        <v>240</v>
      </c>
      <c r="BG431" s="1894">
        <v>0.98870000000000002</v>
      </c>
      <c r="BH431" s="1894">
        <v>31.83</v>
      </c>
      <c r="BI431" s="1894">
        <v>46260</v>
      </c>
      <c r="BJ431" s="1894">
        <f t="shared" si="172"/>
        <v>87209</v>
      </c>
      <c r="BK431" s="1894">
        <f t="shared" si="173"/>
        <v>0</v>
      </c>
      <c r="BL431" s="1894">
        <v>300</v>
      </c>
      <c r="BM431" s="1894">
        <v>233.04000000000002</v>
      </c>
      <c r="BN431" s="1894">
        <v>240</v>
      </c>
      <c r="BO431" s="1894">
        <v>0.98960000000000004</v>
      </c>
      <c r="BP431" s="1894">
        <v>36.61</v>
      </c>
      <c r="BQ431" s="1894">
        <v>61425</v>
      </c>
      <c r="BR431" s="1894">
        <f t="shared" si="174"/>
        <v>100673</v>
      </c>
      <c r="BS431" s="1894">
        <f t="shared" si="175"/>
        <v>0</v>
      </c>
      <c r="BT431" s="1894">
        <v>300</v>
      </c>
      <c r="BU431" s="1894">
        <v>235.92</v>
      </c>
      <c r="BV431" s="1894">
        <v>240</v>
      </c>
      <c r="BW431" s="1894">
        <v>0.99050000000000005</v>
      </c>
      <c r="BX431" s="1894">
        <v>42.18</v>
      </c>
      <c r="BY431" s="1894">
        <v>74040</v>
      </c>
      <c r="BZ431" s="1894">
        <f t="shared" si="176"/>
        <v>105315</v>
      </c>
      <c r="CA431" s="1894">
        <f t="shared" si="177"/>
        <v>0</v>
      </c>
      <c r="CB431" s="1894">
        <v>300</v>
      </c>
      <c r="CC431" s="1894">
        <v>209.52</v>
      </c>
      <c r="CD431" s="1894">
        <v>240</v>
      </c>
      <c r="CE431" s="1894">
        <v>0.98640000000000005</v>
      </c>
      <c r="CF431" s="1894">
        <v>32.07</v>
      </c>
      <c r="CG431" s="1894">
        <v>49986</v>
      </c>
      <c r="CH431" s="1894">
        <f t="shared" si="178"/>
        <v>93530</v>
      </c>
      <c r="CI431" s="1894">
        <f t="shared" si="179"/>
        <v>0</v>
      </c>
      <c r="CJ431" s="1894">
        <v>300</v>
      </c>
      <c r="CK431" s="1894">
        <v>225.11999999999998</v>
      </c>
      <c r="CL431" s="1894">
        <v>240</v>
      </c>
      <c r="CM431" s="1894">
        <v>0.9919</v>
      </c>
      <c r="CN431" s="1894">
        <v>44.37</v>
      </c>
      <c r="CO431" s="1894">
        <v>67116</v>
      </c>
      <c r="CP431" s="1894">
        <f t="shared" si="180"/>
        <v>90768</v>
      </c>
      <c r="CQ431" s="1894">
        <f t="shared" si="181"/>
        <v>0</v>
      </c>
      <c r="CR431" s="1924">
        <v>300</v>
      </c>
      <c r="CS431" s="1924">
        <v>227.28000000000003</v>
      </c>
      <c r="CT431" s="1924">
        <v>240</v>
      </c>
      <c r="CU431" s="1924">
        <v>0.99139999999999995</v>
      </c>
      <c r="CV431" s="1924">
        <v>38.590000000000003</v>
      </c>
      <c r="CW431" s="1924">
        <v>65262</v>
      </c>
      <c r="CX431" s="1894">
        <f t="shared" si="182"/>
        <v>101458</v>
      </c>
      <c r="CY431" s="1894">
        <f t="shared" si="183"/>
        <v>0</v>
      </c>
    </row>
    <row r="432" spans="1:103">
      <c r="A432" s="982">
        <v>124000000076</v>
      </c>
      <c r="B432" s="1923">
        <f t="shared" si="184"/>
        <v>426</v>
      </c>
      <c r="C432" s="1895" t="s">
        <v>3308</v>
      </c>
      <c r="D432" s="1894" t="s">
        <v>524</v>
      </c>
      <c r="E432" s="1895" t="s">
        <v>636</v>
      </c>
      <c r="F432" s="1894" t="s">
        <v>259</v>
      </c>
      <c r="G432" s="1924">
        <v>300</v>
      </c>
      <c r="H432" s="1894">
        <v>0</v>
      </c>
      <c r="I432" s="1894">
        <v>0</v>
      </c>
      <c r="J432" s="1894">
        <v>0</v>
      </c>
      <c r="K432" s="1894">
        <v>0</v>
      </c>
      <c r="L432" s="1894">
        <v>0</v>
      </c>
      <c r="M432" s="1894">
        <v>0</v>
      </c>
      <c r="N432" s="1894">
        <f t="shared" si="162"/>
        <v>0</v>
      </c>
      <c r="O432" s="1894">
        <f t="shared" si="163"/>
        <v>0</v>
      </c>
      <c r="P432" s="1894">
        <v>0</v>
      </c>
      <c r="Q432" s="1894">
        <v>0</v>
      </c>
      <c r="R432" s="1894">
        <v>0</v>
      </c>
      <c r="S432" s="1894">
        <v>0</v>
      </c>
      <c r="T432" s="1894">
        <v>0</v>
      </c>
      <c r="U432" s="1894">
        <v>0</v>
      </c>
      <c r="V432" s="1894">
        <f t="shared" si="164"/>
        <v>0</v>
      </c>
      <c r="W432" s="1894">
        <f t="shared" si="165"/>
        <v>0</v>
      </c>
      <c r="X432" s="1894">
        <v>0</v>
      </c>
      <c r="Y432" s="1894">
        <v>0</v>
      </c>
      <c r="Z432" s="1894">
        <v>0</v>
      </c>
      <c r="AA432" s="1894">
        <v>0</v>
      </c>
      <c r="AB432" s="1894">
        <v>0</v>
      </c>
      <c r="AC432" s="1894">
        <v>0</v>
      </c>
      <c r="AD432" s="1894">
        <f t="shared" si="166"/>
        <v>0</v>
      </c>
      <c r="AE432" s="1894">
        <f t="shared" si="167"/>
        <v>0</v>
      </c>
      <c r="AF432" s="1894">
        <v>0</v>
      </c>
      <c r="AG432" s="1894">
        <v>0</v>
      </c>
      <c r="AH432" s="1894">
        <v>0</v>
      </c>
      <c r="AI432" s="1894">
        <v>0</v>
      </c>
      <c r="AJ432" s="1894">
        <v>0</v>
      </c>
      <c r="AK432" s="1894">
        <v>0</v>
      </c>
      <c r="AL432" s="1894">
        <f t="shared" si="160"/>
        <v>0</v>
      </c>
      <c r="AM432" s="1894">
        <f t="shared" si="161"/>
        <v>0</v>
      </c>
      <c r="AN432" s="1894">
        <v>0</v>
      </c>
      <c r="AO432" s="1894">
        <v>0</v>
      </c>
      <c r="AP432" s="1894">
        <v>0</v>
      </c>
      <c r="AQ432" s="1894">
        <v>0</v>
      </c>
      <c r="AR432" s="1894">
        <v>0</v>
      </c>
      <c r="AS432" s="1894">
        <v>0</v>
      </c>
      <c r="AT432" s="1894">
        <f t="shared" si="168"/>
        <v>0</v>
      </c>
      <c r="AU432" s="1894">
        <f t="shared" si="169"/>
        <v>0</v>
      </c>
      <c r="AV432" s="1894">
        <v>300</v>
      </c>
      <c r="AW432" s="1894">
        <v>6.4</v>
      </c>
      <c r="AX432" s="1894">
        <v>240</v>
      </c>
      <c r="AY432" s="1894">
        <v>0.35099999999999998</v>
      </c>
      <c r="AZ432" s="1894">
        <v>73.319999999999993</v>
      </c>
      <c r="BA432" s="1894">
        <v>1464</v>
      </c>
      <c r="BB432" s="1894">
        <f t="shared" si="170"/>
        <v>2765</v>
      </c>
      <c r="BC432" s="1894">
        <f t="shared" si="171"/>
        <v>0</v>
      </c>
      <c r="BD432" s="1894">
        <v>300</v>
      </c>
      <c r="BE432" s="1894">
        <v>26.88</v>
      </c>
      <c r="BF432" s="1894">
        <v>240</v>
      </c>
      <c r="BG432" s="1894">
        <v>0.40010000000000001</v>
      </c>
      <c r="BH432" s="1894">
        <v>20.5</v>
      </c>
      <c r="BI432" s="1894">
        <v>4496</v>
      </c>
      <c r="BJ432" s="1894">
        <f t="shared" si="172"/>
        <v>11999</v>
      </c>
      <c r="BK432" s="1894">
        <f t="shared" si="173"/>
        <v>0</v>
      </c>
      <c r="BL432" s="1894">
        <v>300</v>
      </c>
      <c r="BM432" s="1894">
        <v>24.48</v>
      </c>
      <c r="BN432" s="1894">
        <v>240</v>
      </c>
      <c r="BO432" s="1894">
        <v>0.30380000000000001</v>
      </c>
      <c r="BP432" s="1894">
        <v>23.32</v>
      </c>
      <c r="BQ432" s="1894">
        <v>4110</v>
      </c>
      <c r="BR432" s="1894">
        <f t="shared" si="174"/>
        <v>10575</v>
      </c>
      <c r="BS432" s="1894">
        <f t="shared" si="175"/>
        <v>0</v>
      </c>
      <c r="BT432" s="1894">
        <v>300</v>
      </c>
      <c r="BU432" s="1894">
        <v>6.88</v>
      </c>
      <c r="BV432" s="1894">
        <v>240</v>
      </c>
      <c r="BW432" s="1894">
        <v>0.33889999999999998</v>
      </c>
      <c r="BX432" s="1894">
        <v>78.55</v>
      </c>
      <c r="BY432" s="1894">
        <v>4021</v>
      </c>
      <c r="BZ432" s="1894">
        <f t="shared" si="176"/>
        <v>3071</v>
      </c>
      <c r="CA432" s="1894">
        <f t="shared" si="177"/>
        <v>950</v>
      </c>
      <c r="CB432" s="1894">
        <v>300</v>
      </c>
      <c r="CC432" s="1894">
        <v>7.9200000000000008</v>
      </c>
      <c r="CD432" s="1894">
        <v>240</v>
      </c>
      <c r="CE432" s="1894">
        <v>0.40870000000000001</v>
      </c>
      <c r="CF432" s="1894">
        <v>66.88</v>
      </c>
      <c r="CG432" s="1894">
        <v>3941</v>
      </c>
      <c r="CH432" s="1894">
        <f t="shared" si="178"/>
        <v>3535</v>
      </c>
      <c r="CI432" s="1894">
        <f t="shared" si="179"/>
        <v>406</v>
      </c>
      <c r="CJ432" s="1894">
        <v>300</v>
      </c>
      <c r="CK432" s="1894">
        <v>12.08</v>
      </c>
      <c r="CL432" s="1894">
        <v>240</v>
      </c>
      <c r="CM432" s="1894">
        <v>0.48509999999999998</v>
      </c>
      <c r="CN432" s="1894">
        <v>47.25</v>
      </c>
      <c r="CO432" s="1894">
        <v>3836</v>
      </c>
      <c r="CP432" s="1894">
        <f t="shared" si="180"/>
        <v>4871</v>
      </c>
      <c r="CQ432" s="1894">
        <f t="shared" si="181"/>
        <v>0</v>
      </c>
      <c r="CR432" s="1924">
        <v>300</v>
      </c>
      <c r="CS432" s="1924">
        <v>14.56</v>
      </c>
      <c r="CT432" s="1924">
        <v>240</v>
      </c>
      <c r="CU432" s="1924">
        <v>0.56130000000000002</v>
      </c>
      <c r="CV432" s="1924">
        <v>28.39</v>
      </c>
      <c r="CW432" s="1924">
        <v>3075</v>
      </c>
      <c r="CX432" s="1894">
        <f t="shared" si="182"/>
        <v>6500</v>
      </c>
      <c r="CY432" s="1894">
        <f t="shared" si="183"/>
        <v>0</v>
      </c>
    </row>
    <row r="433" spans="1:103">
      <c r="A433" s="982">
        <v>611000000116</v>
      </c>
      <c r="B433" s="1923">
        <f t="shared" si="184"/>
        <v>427</v>
      </c>
      <c r="C433" s="1895" t="s">
        <v>3309</v>
      </c>
      <c r="D433" s="1894" t="s">
        <v>524</v>
      </c>
      <c r="E433" s="1895" t="s">
        <v>541</v>
      </c>
      <c r="F433" s="1894" t="s">
        <v>259</v>
      </c>
      <c r="G433" s="1924">
        <v>300</v>
      </c>
      <c r="H433" s="1894">
        <v>0</v>
      </c>
      <c r="I433" s="1894">
        <v>0</v>
      </c>
      <c r="J433" s="1894">
        <v>0</v>
      </c>
      <c r="K433" s="1894">
        <v>0</v>
      </c>
      <c r="L433" s="1894">
        <v>0</v>
      </c>
      <c r="M433" s="1894">
        <v>0</v>
      </c>
      <c r="N433" s="1894">
        <f t="shared" si="162"/>
        <v>0</v>
      </c>
      <c r="O433" s="1894">
        <f t="shared" si="163"/>
        <v>0</v>
      </c>
      <c r="P433" s="1894">
        <v>300</v>
      </c>
      <c r="Q433" s="1894">
        <v>122.39999999999999</v>
      </c>
      <c r="R433" s="1894">
        <v>240</v>
      </c>
      <c r="S433" s="1894">
        <v>0.98850000000000005</v>
      </c>
      <c r="T433" s="1894">
        <v>14.67</v>
      </c>
      <c r="U433" s="1894">
        <v>10770</v>
      </c>
      <c r="V433" s="1894">
        <f t="shared" si="164"/>
        <v>54639</v>
      </c>
      <c r="W433" s="1894">
        <f t="shared" si="165"/>
        <v>0</v>
      </c>
      <c r="X433" s="1894">
        <v>300</v>
      </c>
      <c r="Y433" s="1894">
        <v>0.24000000000000002</v>
      </c>
      <c r="Z433" s="1894">
        <v>240</v>
      </c>
      <c r="AA433" s="1894">
        <v>0.96609999999999996</v>
      </c>
      <c r="AB433" s="1894">
        <v>96.03</v>
      </c>
      <c r="AC433" s="1894">
        <v>177</v>
      </c>
      <c r="AD433" s="1894">
        <f t="shared" si="166"/>
        <v>104</v>
      </c>
      <c r="AE433" s="1894">
        <f t="shared" si="167"/>
        <v>73</v>
      </c>
      <c r="AF433" s="1894">
        <v>300</v>
      </c>
      <c r="AG433" s="1894">
        <v>14.16</v>
      </c>
      <c r="AH433" s="1894">
        <v>240</v>
      </c>
      <c r="AI433" s="1894">
        <v>0.56020000000000003</v>
      </c>
      <c r="AJ433" s="1894">
        <v>12.88</v>
      </c>
      <c r="AK433" s="1894">
        <v>1269</v>
      </c>
      <c r="AL433" s="1894">
        <f t="shared" si="160"/>
        <v>6321</v>
      </c>
      <c r="AM433" s="1894">
        <f t="shared" si="161"/>
        <v>0</v>
      </c>
      <c r="AN433" s="1894">
        <v>300</v>
      </c>
      <c r="AO433" s="1894">
        <v>132.72</v>
      </c>
      <c r="AP433" s="1894">
        <v>240</v>
      </c>
      <c r="AQ433" s="1894">
        <v>0.66590000000000005</v>
      </c>
      <c r="AR433" s="1894">
        <v>1.43</v>
      </c>
      <c r="AS433" s="1894">
        <v>1365</v>
      </c>
      <c r="AT433" s="1894">
        <f t="shared" si="168"/>
        <v>59246</v>
      </c>
      <c r="AU433" s="1894">
        <f t="shared" si="169"/>
        <v>0</v>
      </c>
      <c r="AV433" s="1894">
        <v>300</v>
      </c>
      <c r="AW433" s="1894">
        <v>215.76</v>
      </c>
      <c r="AX433" s="1894">
        <v>240</v>
      </c>
      <c r="AY433" s="1894">
        <v>0.92659999999999998</v>
      </c>
      <c r="AZ433" s="1894">
        <v>12.16</v>
      </c>
      <c r="BA433" s="1894">
        <v>20157</v>
      </c>
      <c r="BB433" s="1894">
        <f t="shared" si="170"/>
        <v>93208</v>
      </c>
      <c r="BC433" s="1894">
        <f t="shared" si="171"/>
        <v>0</v>
      </c>
      <c r="BD433" s="1894">
        <v>300</v>
      </c>
      <c r="BE433" s="1894">
        <v>101.03999999999999</v>
      </c>
      <c r="BF433" s="1894">
        <v>240</v>
      </c>
      <c r="BG433" s="1894">
        <v>0.83420000000000005</v>
      </c>
      <c r="BH433" s="1894">
        <v>9.94</v>
      </c>
      <c r="BI433" s="1894">
        <v>8199</v>
      </c>
      <c r="BJ433" s="1894">
        <f t="shared" si="172"/>
        <v>45104</v>
      </c>
      <c r="BK433" s="1894">
        <f t="shared" si="173"/>
        <v>0</v>
      </c>
      <c r="BL433" s="1894">
        <v>300</v>
      </c>
      <c r="BM433" s="1894">
        <v>206.88</v>
      </c>
      <c r="BN433" s="1894">
        <v>240</v>
      </c>
      <c r="BO433" s="1894">
        <v>0.95850000000000002</v>
      </c>
      <c r="BP433" s="1894">
        <v>20.51</v>
      </c>
      <c r="BQ433" s="1894">
        <v>30543</v>
      </c>
      <c r="BR433" s="1894">
        <f t="shared" si="174"/>
        <v>89372</v>
      </c>
      <c r="BS433" s="1894">
        <f t="shared" si="175"/>
        <v>0</v>
      </c>
      <c r="BT433" s="1894">
        <v>300</v>
      </c>
      <c r="BU433" s="1894">
        <v>42.72</v>
      </c>
      <c r="BV433" s="1894">
        <v>240</v>
      </c>
      <c r="BW433" s="1894">
        <v>0.6028</v>
      </c>
      <c r="BX433" s="1894">
        <v>10.65</v>
      </c>
      <c r="BY433" s="1894">
        <v>3384</v>
      </c>
      <c r="BZ433" s="1894">
        <f t="shared" si="176"/>
        <v>19070</v>
      </c>
      <c r="CA433" s="1894">
        <f t="shared" si="177"/>
        <v>0</v>
      </c>
      <c r="CB433" s="1894">
        <v>300</v>
      </c>
      <c r="CC433" s="1894">
        <v>232.8</v>
      </c>
      <c r="CD433" s="1894">
        <v>240</v>
      </c>
      <c r="CE433" s="1894">
        <v>0.97799999999999998</v>
      </c>
      <c r="CF433" s="1894">
        <v>15.53</v>
      </c>
      <c r="CG433" s="1894">
        <v>26895</v>
      </c>
      <c r="CH433" s="1894">
        <f t="shared" si="178"/>
        <v>103922</v>
      </c>
      <c r="CI433" s="1894">
        <f t="shared" si="179"/>
        <v>0</v>
      </c>
      <c r="CJ433" s="1894">
        <v>300</v>
      </c>
      <c r="CK433" s="1894">
        <v>206.16</v>
      </c>
      <c r="CL433" s="1894">
        <v>240</v>
      </c>
      <c r="CM433" s="1894">
        <v>0.97529999999999994</v>
      </c>
      <c r="CN433" s="1894">
        <v>16.23</v>
      </c>
      <c r="CO433" s="1894">
        <v>22491</v>
      </c>
      <c r="CP433" s="1894">
        <f t="shared" si="180"/>
        <v>83124</v>
      </c>
      <c r="CQ433" s="1894">
        <f t="shared" si="181"/>
        <v>0</v>
      </c>
      <c r="CR433" s="1924">
        <v>300</v>
      </c>
      <c r="CS433" s="1924">
        <v>35.04</v>
      </c>
      <c r="CT433" s="1924">
        <v>240</v>
      </c>
      <c r="CU433" s="1924">
        <v>0.68230000000000002</v>
      </c>
      <c r="CV433" s="1924">
        <v>8.58</v>
      </c>
      <c r="CW433" s="1924">
        <v>2238</v>
      </c>
      <c r="CX433" s="1894">
        <f t="shared" si="182"/>
        <v>15642</v>
      </c>
      <c r="CY433" s="1894">
        <f t="shared" si="183"/>
        <v>0</v>
      </c>
    </row>
    <row r="434" spans="1:103">
      <c r="A434" s="982">
        <v>121000000003</v>
      </c>
      <c r="B434" s="1923">
        <f t="shared" si="184"/>
        <v>428</v>
      </c>
      <c r="C434" s="1895" t="s">
        <v>3310</v>
      </c>
      <c r="D434" s="1894" t="s">
        <v>524</v>
      </c>
      <c r="E434" s="1895" t="s">
        <v>636</v>
      </c>
      <c r="F434" s="1894" t="s">
        <v>259</v>
      </c>
      <c r="G434" s="1924">
        <v>300</v>
      </c>
      <c r="H434" s="1894">
        <v>300</v>
      </c>
      <c r="I434" s="1894">
        <v>322.8</v>
      </c>
      <c r="J434" s="1894">
        <v>322.8</v>
      </c>
      <c r="K434" s="1894">
        <v>0.98170000000000002</v>
      </c>
      <c r="L434" s="1894">
        <v>56.04</v>
      </c>
      <c r="M434" s="1894">
        <v>130251</v>
      </c>
      <c r="N434" s="1894">
        <f t="shared" si="162"/>
        <v>139450</v>
      </c>
      <c r="O434" s="1894">
        <f t="shared" si="163"/>
        <v>0</v>
      </c>
      <c r="P434" s="1894">
        <v>300</v>
      </c>
      <c r="Q434" s="1894">
        <v>264.71999999999997</v>
      </c>
      <c r="R434" s="1894">
        <v>264.72000000000003</v>
      </c>
      <c r="S434" s="1894">
        <v>0.9577</v>
      </c>
      <c r="T434" s="1894">
        <v>65.09</v>
      </c>
      <c r="U434" s="1894">
        <v>115791</v>
      </c>
      <c r="V434" s="1894">
        <f t="shared" si="164"/>
        <v>118171</v>
      </c>
      <c r="W434" s="1894">
        <f t="shared" si="165"/>
        <v>0</v>
      </c>
      <c r="X434" s="1894">
        <v>300</v>
      </c>
      <c r="Y434" s="1894">
        <v>271.92</v>
      </c>
      <c r="Z434" s="1894">
        <v>271.92</v>
      </c>
      <c r="AA434" s="1894">
        <v>0.96740000000000004</v>
      </c>
      <c r="AB434" s="1894">
        <v>64.39</v>
      </c>
      <c r="AC434" s="1894">
        <v>134475</v>
      </c>
      <c r="AD434" s="1894">
        <f t="shared" si="166"/>
        <v>117469</v>
      </c>
      <c r="AE434" s="1894">
        <f t="shared" si="167"/>
        <v>17006</v>
      </c>
      <c r="AF434" s="1894">
        <v>300</v>
      </c>
      <c r="AG434" s="1894">
        <v>236.16</v>
      </c>
      <c r="AH434" s="1894">
        <v>240</v>
      </c>
      <c r="AI434" s="1894">
        <v>0.95599999999999996</v>
      </c>
      <c r="AJ434" s="1894">
        <v>70.09</v>
      </c>
      <c r="AK434" s="1894">
        <v>127131</v>
      </c>
      <c r="AL434" s="1894">
        <f t="shared" si="160"/>
        <v>105422</v>
      </c>
      <c r="AM434" s="1894">
        <f t="shared" si="161"/>
        <v>21709</v>
      </c>
      <c r="AN434" s="1894">
        <v>300</v>
      </c>
      <c r="AO434" s="1894">
        <v>245.28</v>
      </c>
      <c r="AP434" s="1894">
        <v>245.28</v>
      </c>
      <c r="AQ434" s="1894">
        <v>0.9415</v>
      </c>
      <c r="AR434" s="1894">
        <v>67.14</v>
      </c>
      <c r="AS434" s="1894">
        <v>122514</v>
      </c>
      <c r="AT434" s="1894">
        <f t="shared" si="168"/>
        <v>109493</v>
      </c>
      <c r="AU434" s="1894">
        <f t="shared" si="169"/>
        <v>13021</v>
      </c>
      <c r="AV434" s="1894">
        <v>300</v>
      </c>
      <c r="AW434" s="1894">
        <v>270.47999999999996</v>
      </c>
      <c r="AX434" s="1894">
        <v>270.48</v>
      </c>
      <c r="AY434" s="1894">
        <v>0.94499999999999995</v>
      </c>
      <c r="AZ434" s="1894">
        <v>63.2</v>
      </c>
      <c r="BA434" s="1894">
        <v>123084</v>
      </c>
      <c r="BB434" s="1894">
        <f t="shared" si="170"/>
        <v>116847</v>
      </c>
      <c r="BC434" s="1894">
        <f t="shared" si="171"/>
        <v>6237</v>
      </c>
      <c r="BD434" s="1894">
        <v>300</v>
      </c>
      <c r="BE434" s="1894">
        <v>259.2</v>
      </c>
      <c r="BF434" s="1894">
        <v>259.2</v>
      </c>
      <c r="BG434" s="1894">
        <v>0.92979999999999996</v>
      </c>
      <c r="BH434" s="1894">
        <v>59.84</v>
      </c>
      <c r="BI434" s="1894">
        <v>115389</v>
      </c>
      <c r="BJ434" s="1894">
        <f t="shared" si="172"/>
        <v>115707</v>
      </c>
      <c r="BK434" s="1894">
        <f t="shared" si="173"/>
        <v>0</v>
      </c>
      <c r="BL434" s="1894">
        <v>300</v>
      </c>
      <c r="BM434" s="1894">
        <v>210.72</v>
      </c>
      <c r="BN434" s="1894">
        <v>240</v>
      </c>
      <c r="BO434" s="1894">
        <v>0.87450000000000006</v>
      </c>
      <c r="BP434" s="1894">
        <v>54.2</v>
      </c>
      <c r="BQ434" s="1894">
        <v>82233</v>
      </c>
      <c r="BR434" s="1894">
        <f t="shared" si="174"/>
        <v>91031</v>
      </c>
      <c r="BS434" s="1894">
        <f t="shared" si="175"/>
        <v>0</v>
      </c>
      <c r="BT434" s="1894">
        <v>300</v>
      </c>
      <c r="BU434" s="1894">
        <v>213.84</v>
      </c>
      <c r="BV434" s="1894">
        <v>240</v>
      </c>
      <c r="BW434" s="1894">
        <v>0.87680000000000002</v>
      </c>
      <c r="BX434" s="1894">
        <v>45.32</v>
      </c>
      <c r="BY434" s="1894">
        <v>72105</v>
      </c>
      <c r="BZ434" s="1894">
        <f t="shared" si="176"/>
        <v>95458</v>
      </c>
      <c r="CA434" s="1894">
        <f t="shared" si="177"/>
        <v>0</v>
      </c>
      <c r="CB434" s="1894">
        <v>300</v>
      </c>
      <c r="CC434" s="1894">
        <v>165.60000000000002</v>
      </c>
      <c r="CD434" s="1894">
        <v>240</v>
      </c>
      <c r="CE434" s="1894">
        <v>0.86509999999999998</v>
      </c>
      <c r="CF434" s="1894">
        <v>60.4</v>
      </c>
      <c r="CG434" s="1894">
        <v>74418</v>
      </c>
      <c r="CH434" s="1894">
        <f t="shared" si="178"/>
        <v>73924</v>
      </c>
      <c r="CI434" s="1894">
        <f t="shared" si="179"/>
        <v>494</v>
      </c>
      <c r="CJ434" s="1894">
        <v>300</v>
      </c>
      <c r="CK434" s="1894">
        <v>199.44</v>
      </c>
      <c r="CL434" s="1894">
        <v>240</v>
      </c>
      <c r="CM434" s="1894">
        <v>0.94220000000000004</v>
      </c>
      <c r="CN434" s="1894">
        <v>52.02</v>
      </c>
      <c r="CO434" s="1894">
        <v>69717</v>
      </c>
      <c r="CP434" s="1894">
        <f t="shared" si="180"/>
        <v>80414</v>
      </c>
      <c r="CQ434" s="1894">
        <f t="shared" si="181"/>
        <v>0</v>
      </c>
      <c r="CR434" s="1924">
        <v>300</v>
      </c>
      <c r="CS434" s="1924">
        <v>211.44</v>
      </c>
      <c r="CT434" s="1924">
        <v>240</v>
      </c>
      <c r="CU434" s="1924">
        <v>0.95479999999999998</v>
      </c>
      <c r="CV434" s="1924">
        <v>59.21</v>
      </c>
      <c r="CW434" s="1924">
        <v>93150</v>
      </c>
      <c r="CX434" s="1894">
        <f t="shared" si="182"/>
        <v>94387</v>
      </c>
      <c r="CY434" s="1894">
        <f t="shared" si="183"/>
        <v>0</v>
      </c>
    </row>
    <row r="435" spans="1:103">
      <c r="A435" s="982">
        <v>121000000051</v>
      </c>
      <c r="B435" s="1923">
        <f t="shared" si="184"/>
        <v>429</v>
      </c>
      <c r="C435" s="1895" t="s">
        <v>3311</v>
      </c>
      <c r="D435" s="1894" t="s">
        <v>524</v>
      </c>
      <c r="E435" s="1895" t="s">
        <v>541</v>
      </c>
      <c r="F435" s="1894" t="s">
        <v>259</v>
      </c>
      <c r="G435" s="1924">
        <v>300</v>
      </c>
      <c r="H435" s="1894">
        <v>300</v>
      </c>
      <c r="I435" s="1894">
        <v>250.79999999999998</v>
      </c>
      <c r="J435" s="1894">
        <v>250.8</v>
      </c>
      <c r="K435" s="1894">
        <v>0.99260000000000004</v>
      </c>
      <c r="L435" s="1894">
        <v>37.42</v>
      </c>
      <c r="M435" s="1894">
        <v>67563</v>
      </c>
      <c r="N435" s="1894">
        <f t="shared" si="162"/>
        <v>108346</v>
      </c>
      <c r="O435" s="1894">
        <f t="shared" si="163"/>
        <v>0</v>
      </c>
      <c r="P435" s="1894">
        <v>300</v>
      </c>
      <c r="Q435" s="1894">
        <v>255.12</v>
      </c>
      <c r="R435" s="1894">
        <v>255.12</v>
      </c>
      <c r="S435" s="1894">
        <v>0.98929999999999996</v>
      </c>
      <c r="T435" s="1894">
        <v>40.98</v>
      </c>
      <c r="U435" s="1894">
        <v>77793</v>
      </c>
      <c r="V435" s="1894">
        <f t="shared" si="164"/>
        <v>113886</v>
      </c>
      <c r="W435" s="1894">
        <f t="shared" si="165"/>
        <v>0</v>
      </c>
      <c r="X435" s="1894">
        <v>300</v>
      </c>
      <c r="Y435" s="1894">
        <v>256.08</v>
      </c>
      <c r="Z435" s="1894">
        <v>256.08</v>
      </c>
      <c r="AA435" s="1894">
        <v>0.98970000000000002</v>
      </c>
      <c r="AB435" s="1894">
        <v>43.27</v>
      </c>
      <c r="AC435" s="1894">
        <v>79779</v>
      </c>
      <c r="AD435" s="1894">
        <f t="shared" si="166"/>
        <v>110627</v>
      </c>
      <c r="AE435" s="1894">
        <f t="shared" si="167"/>
        <v>0</v>
      </c>
      <c r="AF435" s="1894">
        <v>300</v>
      </c>
      <c r="AG435" s="1894">
        <v>293.04000000000002</v>
      </c>
      <c r="AH435" s="1894">
        <v>293.04000000000002</v>
      </c>
      <c r="AI435" s="1894">
        <v>0.98939999999999995</v>
      </c>
      <c r="AJ435" s="1894">
        <v>34.520000000000003</v>
      </c>
      <c r="AK435" s="1894">
        <v>75258</v>
      </c>
      <c r="AL435" s="1894">
        <f t="shared" si="160"/>
        <v>130813</v>
      </c>
      <c r="AM435" s="1894">
        <f t="shared" si="161"/>
        <v>0</v>
      </c>
      <c r="AN435" s="1894">
        <v>300</v>
      </c>
      <c r="AO435" s="1894">
        <v>193.92</v>
      </c>
      <c r="AP435" s="1894">
        <v>240</v>
      </c>
      <c r="AQ435" s="1894">
        <v>0.99360000000000004</v>
      </c>
      <c r="AR435" s="1894">
        <v>52.22</v>
      </c>
      <c r="AS435" s="1894">
        <v>75336</v>
      </c>
      <c r="AT435" s="1894">
        <f t="shared" si="168"/>
        <v>86566</v>
      </c>
      <c r="AU435" s="1894">
        <f t="shared" si="169"/>
        <v>0</v>
      </c>
      <c r="AV435" s="1894">
        <v>300</v>
      </c>
      <c r="AW435" s="1894">
        <v>241.20000000000002</v>
      </c>
      <c r="AX435" s="1894">
        <v>241.2</v>
      </c>
      <c r="AY435" s="1894">
        <v>0.99070000000000003</v>
      </c>
      <c r="AZ435" s="1894">
        <v>21.22</v>
      </c>
      <c r="BA435" s="1894">
        <v>36846</v>
      </c>
      <c r="BB435" s="1894">
        <f t="shared" si="170"/>
        <v>104198</v>
      </c>
      <c r="BC435" s="1894">
        <f t="shared" si="171"/>
        <v>0</v>
      </c>
      <c r="BD435" s="1894">
        <v>300</v>
      </c>
      <c r="BE435" s="1894">
        <v>10.799999999999999</v>
      </c>
      <c r="BF435" s="1894">
        <v>240</v>
      </c>
      <c r="BG435" s="1894">
        <v>1</v>
      </c>
      <c r="BH435" s="1894">
        <v>24.45</v>
      </c>
      <c r="BI435" s="1894">
        <v>1965</v>
      </c>
      <c r="BJ435" s="1894">
        <f t="shared" si="172"/>
        <v>4821</v>
      </c>
      <c r="BK435" s="1894">
        <f t="shared" si="173"/>
        <v>0</v>
      </c>
      <c r="BL435" s="1894">
        <v>300</v>
      </c>
      <c r="BM435" s="1894">
        <v>114</v>
      </c>
      <c r="BN435" s="1894">
        <v>240</v>
      </c>
      <c r="BO435" s="1894">
        <v>0.9879</v>
      </c>
      <c r="BP435" s="1894">
        <v>2.93</v>
      </c>
      <c r="BQ435" s="1894">
        <v>2244</v>
      </c>
      <c r="BR435" s="1894">
        <f t="shared" si="174"/>
        <v>49248</v>
      </c>
      <c r="BS435" s="1894">
        <f t="shared" si="175"/>
        <v>0</v>
      </c>
      <c r="BT435" s="1894">
        <v>300</v>
      </c>
      <c r="BU435" s="1894">
        <v>24.959999999999997</v>
      </c>
      <c r="BV435" s="1894">
        <v>240</v>
      </c>
      <c r="BW435" s="1894">
        <v>0.99060000000000004</v>
      </c>
      <c r="BX435" s="1894">
        <v>12.04</v>
      </c>
      <c r="BY435" s="1894">
        <v>2235</v>
      </c>
      <c r="BZ435" s="1894">
        <f t="shared" si="176"/>
        <v>11142</v>
      </c>
      <c r="CA435" s="1894">
        <f t="shared" si="177"/>
        <v>0</v>
      </c>
      <c r="CB435" s="1894">
        <v>300</v>
      </c>
      <c r="CC435" s="1894">
        <v>228</v>
      </c>
      <c r="CD435" s="1894">
        <v>240</v>
      </c>
      <c r="CE435" s="1894">
        <v>0.99490000000000001</v>
      </c>
      <c r="CF435" s="1894">
        <v>29.62</v>
      </c>
      <c r="CG435" s="1894">
        <v>51873</v>
      </c>
      <c r="CH435" s="1894">
        <f t="shared" si="178"/>
        <v>101779</v>
      </c>
      <c r="CI435" s="1894">
        <f t="shared" si="179"/>
        <v>0</v>
      </c>
      <c r="CJ435" s="1894">
        <v>300</v>
      </c>
      <c r="CK435" s="1894">
        <v>227.51999999999998</v>
      </c>
      <c r="CL435" s="1894">
        <v>240</v>
      </c>
      <c r="CM435" s="1894">
        <v>0.99390000000000001</v>
      </c>
      <c r="CN435" s="1894">
        <v>23.69</v>
      </c>
      <c r="CO435" s="1894">
        <v>36216</v>
      </c>
      <c r="CP435" s="1894">
        <f t="shared" si="180"/>
        <v>91736</v>
      </c>
      <c r="CQ435" s="1894">
        <f t="shared" si="181"/>
        <v>0</v>
      </c>
      <c r="CR435" s="1924">
        <v>300</v>
      </c>
      <c r="CS435" s="1924">
        <v>241.68</v>
      </c>
      <c r="CT435" s="1924">
        <v>241.68</v>
      </c>
      <c r="CU435" s="1924">
        <v>0.99180000000000001</v>
      </c>
      <c r="CV435" s="1924">
        <v>53.65</v>
      </c>
      <c r="CW435" s="1924">
        <v>90237</v>
      </c>
      <c r="CX435" s="1894">
        <f t="shared" si="182"/>
        <v>107886</v>
      </c>
      <c r="CY435" s="1894">
        <f t="shared" si="183"/>
        <v>0</v>
      </c>
    </row>
    <row r="436" spans="1:103">
      <c r="A436" s="982">
        <v>122000000019</v>
      </c>
      <c r="B436" s="1923">
        <f t="shared" si="184"/>
        <v>430</v>
      </c>
      <c r="C436" s="1895" t="s">
        <v>3312</v>
      </c>
      <c r="D436" s="1894" t="s">
        <v>524</v>
      </c>
      <c r="E436" s="1895" t="s">
        <v>541</v>
      </c>
      <c r="F436" s="1894" t="s">
        <v>259</v>
      </c>
      <c r="G436" s="1924">
        <v>300</v>
      </c>
      <c r="H436" s="1894">
        <v>300</v>
      </c>
      <c r="I436" s="1894">
        <v>275</v>
      </c>
      <c r="J436" s="1894">
        <v>275</v>
      </c>
      <c r="K436" s="1894">
        <v>0.99770000000000003</v>
      </c>
      <c r="L436" s="1894">
        <v>67.05</v>
      </c>
      <c r="M436" s="1894">
        <v>146035</v>
      </c>
      <c r="N436" s="1894">
        <f t="shared" si="162"/>
        <v>118800</v>
      </c>
      <c r="O436" s="1894">
        <f t="shared" si="163"/>
        <v>27235</v>
      </c>
      <c r="P436" s="1894">
        <v>300</v>
      </c>
      <c r="Q436" s="1894">
        <v>277</v>
      </c>
      <c r="R436" s="1894">
        <v>277</v>
      </c>
      <c r="S436" s="1894">
        <v>0.99760000000000004</v>
      </c>
      <c r="T436" s="1894">
        <v>63.23</v>
      </c>
      <c r="U436" s="1894">
        <v>121905</v>
      </c>
      <c r="V436" s="1894">
        <f t="shared" si="164"/>
        <v>123653</v>
      </c>
      <c r="W436" s="1894">
        <f t="shared" si="165"/>
        <v>0</v>
      </c>
      <c r="X436" s="1894">
        <v>300</v>
      </c>
      <c r="Y436" s="1894">
        <v>272.39999999999998</v>
      </c>
      <c r="Z436" s="1894">
        <v>272.39999999999998</v>
      </c>
      <c r="AA436" s="1894">
        <v>0.99480000000000002</v>
      </c>
      <c r="AB436" s="1894">
        <v>64.16</v>
      </c>
      <c r="AC436" s="1894">
        <v>142618</v>
      </c>
      <c r="AD436" s="1894">
        <f t="shared" si="166"/>
        <v>117677</v>
      </c>
      <c r="AE436" s="1894">
        <f t="shared" si="167"/>
        <v>24941</v>
      </c>
      <c r="AF436" s="1894">
        <v>300</v>
      </c>
      <c r="AG436" s="1894">
        <v>274</v>
      </c>
      <c r="AH436" s="1894">
        <v>274</v>
      </c>
      <c r="AI436" s="1894">
        <v>0.99560000000000004</v>
      </c>
      <c r="AJ436" s="1894">
        <v>60.72</v>
      </c>
      <c r="AK436" s="1894">
        <v>123783</v>
      </c>
      <c r="AL436" s="1894">
        <f t="shared" si="160"/>
        <v>122314</v>
      </c>
      <c r="AM436" s="1894">
        <f t="shared" si="161"/>
        <v>1469</v>
      </c>
      <c r="AN436" s="1894">
        <v>300</v>
      </c>
      <c r="AO436" s="1894">
        <v>275.2</v>
      </c>
      <c r="AP436" s="1894">
        <v>275.2</v>
      </c>
      <c r="AQ436" s="1894">
        <v>0.9929</v>
      </c>
      <c r="AR436" s="1894">
        <v>58.41</v>
      </c>
      <c r="AS436" s="1894">
        <v>115738</v>
      </c>
      <c r="AT436" s="1894">
        <f t="shared" si="168"/>
        <v>122849</v>
      </c>
      <c r="AU436" s="1894">
        <f t="shared" si="169"/>
        <v>0</v>
      </c>
      <c r="AV436" s="1894">
        <v>300</v>
      </c>
      <c r="AW436" s="1894">
        <v>271.60000000000002</v>
      </c>
      <c r="AX436" s="1894">
        <v>271.60000000000002</v>
      </c>
      <c r="AY436" s="1894">
        <v>0.99460000000000004</v>
      </c>
      <c r="AZ436" s="1894">
        <v>58.81</v>
      </c>
      <c r="BA436" s="1894">
        <v>118837</v>
      </c>
      <c r="BB436" s="1894">
        <f t="shared" si="170"/>
        <v>117331</v>
      </c>
      <c r="BC436" s="1894">
        <f t="shared" si="171"/>
        <v>1506</v>
      </c>
      <c r="BD436" s="1894">
        <v>300</v>
      </c>
      <c r="BE436" s="1894">
        <v>275.8</v>
      </c>
      <c r="BF436" s="1894">
        <v>275.8</v>
      </c>
      <c r="BG436" s="1894">
        <v>0.98919999999999997</v>
      </c>
      <c r="BH436" s="1894">
        <v>56.12</v>
      </c>
      <c r="BI436" s="1894">
        <v>115165</v>
      </c>
      <c r="BJ436" s="1894">
        <f t="shared" si="172"/>
        <v>123117</v>
      </c>
      <c r="BK436" s="1894">
        <f t="shared" si="173"/>
        <v>0</v>
      </c>
      <c r="BL436" s="1894">
        <v>300</v>
      </c>
      <c r="BM436" s="1894">
        <v>276</v>
      </c>
      <c r="BN436" s="1894">
        <v>276</v>
      </c>
      <c r="BO436" s="1894">
        <v>0.99519999999999997</v>
      </c>
      <c r="BP436" s="1894">
        <v>65.930000000000007</v>
      </c>
      <c r="BQ436" s="1894">
        <v>131010</v>
      </c>
      <c r="BR436" s="1894">
        <f t="shared" si="174"/>
        <v>119232</v>
      </c>
      <c r="BS436" s="1894">
        <f t="shared" si="175"/>
        <v>11778</v>
      </c>
      <c r="BT436" s="1894">
        <v>300</v>
      </c>
      <c r="BU436" s="1894">
        <v>272.2</v>
      </c>
      <c r="BV436" s="1894">
        <v>272.2</v>
      </c>
      <c r="BW436" s="1894">
        <v>0.99490000000000001</v>
      </c>
      <c r="BX436" s="1894">
        <v>64.03</v>
      </c>
      <c r="BY436" s="1894">
        <v>129668</v>
      </c>
      <c r="BZ436" s="1894">
        <f t="shared" si="176"/>
        <v>121510</v>
      </c>
      <c r="CA436" s="1894">
        <f t="shared" si="177"/>
        <v>8158</v>
      </c>
      <c r="CB436" s="1894">
        <v>300</v>
      </c>
      <c r="CC436" s="1894">
        <v>263.40000000000003</v>
      </c>
      <c r="CD436" s="1894">
        <v>263.39999999999998</v>
      </c>
      <c r="CE436" s="1894">
        <v>0.99239999999999995</v>
      </c>
      <c r="CF436" s="1894">
        <v>59.12</v>
      </c>
      <c r="CG436" s="1894">
        <v>115850</v>
      </c>
      <c r="CH436" s="1894">
        <f t="shared" si="178"/>
        <v>117582</v>
      </c>
      <c r="CI436" s="1894">
        <f t="shared" si="179"/>
        <v>0</v>
      </c>
      <c r="CJ436" s="1894">
        <v>300</v>
      </c>
      <c r="CK436" s="1894">
        <v>276.2</v>
      </c>
      <c r="CL436" s="1894">
        <v>276.2</v>
      </c>
      <c r="CM436" s="1894">
        <v>0.99809999999999999</v>
      </c>
      <c r="CN436" s="1894">
        <v>69.08</v>
      </c>
      <c r="CO436" s="1894">
        <v>128215</v>
      </c>
      <c r="CP436" s="1894">
        <f t="shared" si="180"/>
        <v>111364</v>
      </c>
      <c r="CQ436" s="1894">
        <f t="shared" si="181"/>
        <v>16851</v>
      </c>
      <c r="CR436" s="1924">
        <v>300</v>
      </c>
      <c r="CS436" s="1924">
        <v>284.39999999999998</v>
      </c>
      <c r="CT436" s="1924">
        <v>284.39999999999998</v>
      </c>
      <c r="CU436" s="1924">
        <v>0.99890000000000001</v>
      </c>
      <c r="CV436" s="1924">
        <v>74.81</v>
      </c>
      <c r="CW436" s="1924">
        <v>158300</v>
      </c>
      <c r="CX436" s="1894">
        <f t="shared" si="182"/>
        <v>126956</v>
      </c>
      <c r="CY436" s="1894">
        <f t="shared" si="183"/>
        <v>31344</v>
      </c>
    </row>
    <row r="437" spans="1:103">
      <c r="A437" s="982">
        <v>122000000043</v>
      </c>
      <c r="B437" s="1923">
        <f t="shared" si="184"/>
        <v>431</v>
      </c>
      <c r="C437" s="1895" t="s">
        <v>3313</v>
      </c>
      <c r="D437" s="1894" t="s">
        <v>524</v>
      </c>
      <c r="E437" s="1895" t="s">
        <v>541</v>
      </c>
      <c r="F437" s="1894" t="s">
        <v>259</v>
      </c>
      <c r="G437" s="1924">
        <v>300</v>
      </c>
      <c r="H437" s="1894">
        <v>300</v>
      </c>
      <c r="I437" s="1894">
        <v>191</v>
      </c>
      <c r="J437" s="1894">
        <v>240</v>
      </c>
      <c r="K437" s="1894">
        <v>0.99919999999999998</v>
      </c>
      <c r="L437" s="1894">
        <v>54.5</v>
      </c>
      <c r="M437" s="1894">
        <v>74948</v>
      </c>
      <c r="N437" s="1894">
        <f t="shared" si="162"/>
        <v>82512</v>
      </c>
      <c r="O437" s="1894">
        <f t="shared" si="163"/>
        <v>0</v>
      </c>
      <c r="P437" s="1894">
        <v>300</v>
      </c>
      <c r="Q437" s="1894">
        <v>150</v>
      </c>
      <c r="R437" s="1894">
        <v>240</v>
      </c>
      <c r="S437" s="1894">
        <v>0.99760000000000004</v>
      </c>
      <c r="T437" s="1894">
        <v>58.36</v>
      </c>
      <c r="U437" s="1894">
        <v>65125</v>
      </c>
      <c r="V437" s="1894">
        <f t="shared" si="164"/>
        <v>66960</v>
      </c>
      <c r="W437" s="1894">
        <f t="shared" si="165"/>
        <v>0</v>
      </c>
      <c r="X437" s="1894">
        <v>300</v>
      </c>
      <c r="Y437" s="1894">
        <v>162</v>
      </c>
      <c r="Z437" s="1894">
        <v>240</v>
      </c>
      <c r="AA437" s="1894">
        <v>0.996</v>
      </c>
      <c r="AB437" s="1894">
        <v>52.4</v>
      </c>
      <c r="AC437" s="1894">
        <v>61122</v>
      </c>
      <c r="AD437" s="1894">
        <f t="shared" si="166"/>
        <v>69984</v>
      </c>
      <c r="AE437" s="1894">
        <f t="shared" si="167"/>
        <v>0</v>
      </c>
      <c r="AF437" s="1894">
        <v>300</v>
      </c>
      <c r="AG437" s="1894">
        <v>185</v>
      </c>
      <c r="AH437" s="1894">
        <v>240</v>
      </c>
      <c r="AI437" s="1894">
        <v>0.99929999999999997</v>
      </c>
      <c r="AJ437" s="1894">
        <v>58.2</v>
      </c>
      <c r="AK437" s="1894">
        <v>80100</v>
      </c>
      <c r="AL437" s="1894">
        <f t="shared" si="160"/>
        <v>82584</v>
      </c>
      <c r="AM437" s="1894">
        <f t="shared" si="161"/>
        <v>0</v>
      </c>
      <c r="AN437" s="1894">
        <v>300</v>
      </c>
      <c r="AO437" s="1894">
        <v>185</v>
      </c>
      <c r="AP437" s="1894">
        <v>240</v>
      </c>
      <c r="AQ437" s="1894">
        <v>0.996</v>
      </c>
      <c r="AR437" s="1894">
        <v>49.18</v>
      </c>
      <c r="AS437" s="1894">
        <v>63325</v>
      </c>
      <c r="AT437" s="1894">
        <f t="shared" si="168"/>
        <v>82584</v>
      </c>
      <c r="AU437" s="1894">
        <f t="shared" si="169"/>
        <v>0</v>
      </c>
      <c r="AV437" s="1894">
        <v>300</v>
      </c>
      <c r="AW437" s="1894">
        <v>235</v>
      </c>
      <c r="AX437" s="1894">
        <v>240</v>
      </c>
      <c r="AY437" s="1894">
        <v>0.99919999999999998</v>
      </c>
      <c r="AZ437" s="1894">
        <v>64.63</v>
      </c>
      <c r="BA437" s="1894">
        <v>116643</v>
      </c>
      <c r="BB437" s="1894">
        <f t="shared" si="170"/>
        <v>101520</v>
      </c>
      <c r="BC437" s="1894">
        <f t="shared" si="171"/>
        <v>15123</v>
      </c>
      <c r="BD437" s="1894">
        <v>300</v>
      </c>
      <c r="BE437" s="1894">
        <v>241.44</v>
      </c>
      <c r="BF437" s="1894">
        <v>241.44</v>
      </c>
      <c r="BG437" s="1894">
        <v>0.99780000000000002</v>
      </c>
      <c r="BH437" s="1894">
        <v>73.16</v>
      </c>
      <c r="BI437" s="1894">
        <v>131421</v>
      </c>
      <c r="BJ437" s="1894">
        <f t="shared" si="172"/>
        <v>107779</v>
      </c>
      <c r="BK437" s="1894">
        <f t="shared" si="173"/>
        <v>23642</v>
      </c>
      <c r="BL437" s="1894">
        <v>300</v>
      </c>
      <c r="BM437" s="1894">
        <v>208.8</v>
      </c>
      <c r="BN437" s="1894">
        <v>240</v>
      </c>
      <c r="BO437" s="1894">
        <v>0.99919999999999998</v>
      </c>
      <c r="BP437" s="1894">
        <v>54.31</v>
      </c>
      <c r="BQ437" s="1894">
        <v>81654</v>
      </c>
      <c r="BR437" s="1894">
        <f t="shared" si="174"/>
        <v>90202</v>
      </c>
      <c r="BS437" s="1894">
        <f t="shared" si="175"/>
        <v>0</v>
      </c>
      <c r="BT437" s="1894">
        <v>300</v>
      </c>
      <c r="BU437" s="1894">
        <v>196.64</v>
      </c>
      <c r="BV437" s="1894">
        <v>240</v>
      </c>
      <c r="BW437" s="1894">
        <v>1</v>
      </c>
      <c r="BX437" s="1894">
        <v>56.14</v>
      </c>
      <c r="BY437" s="1894">
        <v>82140</v>
      </c>
      <c r="BZ437" s="1894">
        <f t="shared" si="176"/>
        <v>87780</v>
      </c>
      <c r="CA437" s="1894">
        <f t="shared" si="177"/>
        <v>0</v>
      </c>
      <c r="CB437" s="1894">
        <v>300</v>
      </c>
      <c r="CC437" s="1894">
        <v>204</v>
      </c>
      <c r="CD437" s="1894">
        <v>240</v>
      </c>
      <c r="CE437" s="1894">
        <v>0.99909999999999999</v>
      </c>
      <c r="CF437" s="1894">
        <v>47.18</v>
      </c>
      <c r="CG437" s="1894">
        <v>71612</v>
      </c>
      <c r="CH437" s="1894">
        <f t="shared" si="178"/>
        <v>91066</v>
      </c>
      <c r="CI437" s="1894">
        <f t="shared" si="179"/>
        <v>0</v>
      </c>
      <c r="CJ437" s="1894">
        <v>300</v>
      </c>
      <c r="CK437" s="1894">
        <v>220.96</v>
      </c>
      <c r="CL437" s="1894">
        <v>240</v>
      </c>
      <c r="CM437" s="1894">
        <v>0.99980000000000002</v>
      </c>
      <c r="CN437" s="1894">
        <v>65.819999999999993</v>
      </c>
      <c r="CO437" s="1894">
        <v>97738</v>
      </c>
      <c r="CP437" s="1894">
        <f t="shared" si="180"/>
        <v>89091</v>
      </c>
      <c r="CQ437" s="1894">
        <f t="shared" si="181"/>
        <v>8647</v>
      </c>
      <c r="CR437" s="1924">
        <v>300</v>
      </c>
      <c r="CS437" s="1924">
        <v>241.27999999999997</v>
      </c>
      <c r="CT437" s="1924">
        <v>241.28</v>
      </c>
      <c r="CU437" s="1924">
        <v>0.99990000000000001</v>
      </c>
      <c r="CV437" s="1924">
        <v>56.8</v>
      </c>
      <c r="CW437" s="1924">
        <v>101964</v>
      </c>
      <c r="CX437" s="1894">
        <f t="shared" si="182"/>
        <v>107707</v>
      </c>
      <c r="CY437" s="1894">
        <f t="shared" si="183"/>
        <v>0</v>
      </c>
    </row>
    <row r="438" spans="1:103">
      <c r="A438" s="982">
        <v>122000000067</v>
      </c>
      <c r="B438" s="1923">
        <f t="shared" si="184"/>
        <v>432</v>
      </c>
      <c r="C438" s="1895" t="s">
        <v>3314</v>
      </c>
      <c r="D438" s="1894" t="s">
        <v>524</v>
      </c>
      <c r="E438" s="1895" t="s">
        <v>623</v>
      </c>
      <c r="F438" s="1894" t="s">
        <v>259</v>
      </c>
      <c r="G438" s="1924">
        <v>300</v>
      </c>
      <c r="H438" s="1894">
        <v>300</v>
      </c>
      <c r="I438" s="1894">
        <v>71.52</v>
      </c>
      <c r="J438" s="1894">
        <v>300</v>
      </c>
      <c r="K438" s="1894">
        <v>0.99770000000000003</v>
      </c>
      <c r="L438" s="1894">
        <v>0</v>
      </c>
      <c r="M438" s="1894">
        <v>1754</v>
      </c>
      <c r="N438" s="1894">
        <f t="shared" si="162"/>
        <v>30897</v>
      </c>
      <c r="O438" s="1894">
        <f t="shared" si="163"/>
        <v>0</v>
      </c>
      <c r="P438" s="1894">
        <v>300</v>
      </c>
      <c r="Q438" s="1894">
        <v>185.12</v>
      </c>
      <c r="R438" s="1894">
        <v>300</v>
      </c>
      <c r="S438" s="1894">
        <v>0.99839999999999995</v>
      </c>
      <c r="T438" s="1894">
        <v>0</v>
      </c>
      <c r="U438" s="1894">
        <v>20144</v>
      </c>
      <c r="V438" s="1894">
        <f t="shared" si="164"/>
        <v>82638</v>
      </c>
      <c r="W438" s="1894">
        <f t="shared" si="165"/>
        <v>0</v>
      </c>
      <c r="X438" s="1894">
        <v>300</v>
      </c>
      <c r="Y438" s="1894">
        <v>214.56</v>
      </c>
      <c r="Z438" s="1894">
        <v>300</v>
      </c>
      <c r="AA438" s="1894">
        <v>0.99150000000000005</v>
      </c>
      <c r="AB438" s="1894">
        <v>0</v>
      </c>
      <c r="AC438" s="1894">
        <v>90842</v>
      </c>
      <c r="AD438" s="1894">
        <f t="shared" si="166"/>
        <v>92690</v>
      </c>
      <c r="AE438" s="1894">
        <f t="shared" si="167"/>
        <v>0</v>
      </c>
      <c r="AF438" s="1894">
        <v>300</v>
      </c>
      <c r="AG438" s="1894">
        <v>187.84</v>
      </c>
      <c r="AH438" s="1894">
        <v>300</v>
      </c>
      <c r="AI438" s="1894">
        <v>0.99180000000000001</v>
      </c>
      <c r="AJ438" s="1894">
        <v>0</v>
      </c>
      <c r="AK438" s="1894">
        <v>73424</v>
      </c>
      <c r="AL438" s="1894">
        <f t="shared" si="160"/>
        <v>83852</v>
      </c>
      <c r="AM438" s="1894">
        <f t="shared" si="161"/>
        <v>0</v>
      </c>
      <c r="AN438" s="1894">
        <v>300</v>
      </c>
      <c r="AO438" s="1894">
        <v>185.92</v>
      </c>
      <c r="AP438" s="1894">
        <v>300</v>
      </c>
      <c r="AQ438" s="1894">
        <v>1.0063</v>
      </c>
      <c r="AR438" s="1894">
        <v>0</v>
      </c>
      <c r="AS438" s="1894">
        <v>40574</v>
      </c>
      <c r="AT438" s="1894">
        <f t="shared" si="168"/>
        <v>82995</v>
      </c>
      <c r="AU438" s="1894">
        <f t="shared" si="169"/>
        <v>0</v>
      </c>
      <c r="AV438" s="1894">
        <v>300</v>
      </c>
      <c r="AW438" s="1894">
        <v>180.48</v>
      </c>
      <c r="AX438" s="1894">
        <v>300</v>
      </c>
      <c r="AY438" s="1894">
        <v>0.95330000000000004</v>
      </c>
      <c r="AZ438" s="1894">
        <v>0</v>
      </c>
      <c r="BA438" s="1894">
        <v>7210</v>
      </c>
      <c r="BB438" s="1894">
        <f t="shared" si="170"/>
        <v>77967</v>
      </c>
      <c r="BC438" s="1894">
        <f t="shared" si="171"/>
        <v>0</v>
      </c>
      <c r="BD438" s="1894">
        <v>300</v>
      </c>
      <c r="BE438" s="1894">
        <v>176.96</v>
      </c>
      <c r="BF438" s="1894">
        <v>300</v>
      </c>
      <c r="BG438" s="1894">
        <v>0.98119999999999996</v>
      </c>
      <c r="BH438" s="1894">
        <v>0</v>
      </c>
      <c r="BI438" s="1894">
        <v>12824</v>
      </c>
      <c r="BJ438" s="1894">
        <f t="shared" si="172"/>
        <v>78995</v>
      </c>
      <c r="BK438" s="1894">
        <f t="shared" si="173"/>
        <v>0</v>
      </c>
      <c r="BL438" s="1894">
        <v>300</v>
      </c>
      <c r="BM438" s="1894">
        <v>73.440000000000012</v>
      </c>
      <c r="BN438" s="1894">
        <v>300</v>
      </c>
      <c r="BO438" s="1894">
        <v>0.77170000000000005</v>
      </c>
      <c r="BP438" s="1894">
        <v>0</v>
      </c>
      <c r="BQ438" s="1894">
        <v>3602</v>
      </c>
      <c r="BR438" s="1894">
        <f t="shared" si="174"/>
        <v>31726</v>
      </c>
      <c r="BS438" s="1894">
        <f t="shared" si="175"/>
        <v>0</v>
      </c>
      <c r="BT438" s="1894">
        <v>300</v>
      </c>
      <c r="BU438" s="1894">
        <v>70.72</v>
      </c>
      <c r="BV438" s="1894">
        <v>300</v>
      </c>
      <c r="BW438" s="1894">
        <v>0.88859999999999995</v>
      </c>
      <c r="BX438" s="1894">
        <v>0</v>
      </c>
      <c r="BY438" s="1894">
        <v>2336</v>
      </c>
      <c r="BZ438" s="1894">
        <f t="shared" si="176"/>
        <v>31569</v>
      </c>
      <c r="CA438" s="1894">
        <f t="shared" si="177"/>
        <v>0</v>
      </c>
      <c r="CB438" s="1894">
        <v>300</v>
      </c>
      <c r="CC438" s="1894">
        <v>67.36</v>
      </c>
      <c r="CD438" s="1894">
        <v>300</v>
      </c>
      <c r="CE438" s="1894">
        <v>0.997</v>
      </c>
      <c r="CF438" s="1894">
        <v>0</v>
      </c>
      <c r="CG438" s="1894">
        <v>1362</v>
      </c>
      <c r="CH438" s="1894">
        <f t="shared" si="178"/>
        <v>30070</v>
      </c>
      <c r="CI438" s="1894">
        <f t="shared" si="179"/>
        <v>0</v>
      </c>
      <c r="CJ438" s="1894">
        <v>300</v>
      </c>
      <c r="CK438" s="1894">
        <v>61.760000000000005</v>
      </c>
      <c r="CL438" s="1894">
        <v>300</v>
      </c>
      <c r="CM438" s="1894">
        <v>0.99709999999999999</v>
      </c>
      <c r="CN438" s="1894">
        <v>0</v>
      </c>
      <c r="CO438" s="1894">
        <v>1424</v>
      </c>
      <c r="CP438" s="1894">
        <f t="shared" si="180"/>
        <v>24902</v>
      </c>
      <c r="CQ438" s="1894">
        <f t="shared" si="181"/>
        <v>0</v>
      </c>
      <c r="CR438" s="1924">
        <v>300</v>
      </c>
      <c r="CS438" s="1924">
        <v>66.88</v>
      </c>
      <c r="CT438" s="1924">
        <v>300</v>
      </c>
      <c r="CU438" s="1924">
        <v>0.54930000000000001</v>
      </c>
      <c r="CV438" s="1924">
        <v>0</v>
      </c>
      <c r="CW438" s="1924">
        <v>3670</v>
      </c>
      <c r="CX438" s="1894">
        <f t="shared" si="182"/>
        <v>29855</v>
      </c>
      <c r="CY438" s="1894">
        <f t="shared" si="183"/>
        <v>0</v>
      </c>
    </row>
    <row r="439" spans="1:103">
      <c r="A439" s="982">
        <v>122000000071</v>
      </c>
      <c r="B439" s="1923">
        <f t="shared" si="184"/>
        <v>433</v>
      </c>
      <c r="C439" s="1895" t="s">
        <v>3315</v>
      </c>
      <c r="D439" s="1894" t="s">
        <v>524</v>
      </c>
      <c r="E439" s="1895" t="s">
        <v>2966</v>
      </c>
      <c r="F439" s="1894" t="s">
        <v>259</v>
      </c>
      <c r="G439" s="1924">
        <v>300</v>
      </c>
      <c r="H439" s="1894">
        <v>300</v>
      </c>
      <c r="I439" s="1894">
        <v>133.19999999999999</v>
      </c>
      <c r="J439" s="1894">
        <v>300</v>
      </c>
      <c r="K439" s="1894">
        <v>0.96399999999999997</v>
      </c>
      <c r="L439" s="1894">
        <v>0</v>
      </c>
      <c r="M439" s="1894">
        <v>30624</v>
      </c>
      <c r="N439" s="1894">
        <f t="shared" si="162"/>
        <v>57542</v>
      </c>
      <c r="O439" s="1894">
        <f t="shared" si="163"/>
        <v>0</v>
      </c>
      <c r="P439" s="1894">
        <v>300</v>
      </c>
      <c r="Q439" s="1894">
        <v>126</v>
      </c>
      <c r="R439" s="1894">
        <v>300</v>
      </c>
      <c r="S439" s="1894">
        <v>0.95209999999999995</v>
      </c>
      <c r="T439" s="1894">
        <v>0</v>
      </c>
      <c r="U439" s="1894">
        <v>27321</v>
      </c>
      <c r="V439" s="1894">
        <f t="shared" si="164"/>
        <v>56246</v>
      </c>
      <c r="W439" s="1894">
        <f t="shared" si="165"/>
        <v>0</v>
      </c>
      <c r="X439" s="1894">
        <v>300</v>
      </c>
      <c r="Y439" s="1894">
        <v>120.96000000000001</v>
      </c>
      <c r="Z439" s="1894">
        <v>300</v>
      </c>
      <c r="AA439" s="1894">
        <v>0.90139999999999998</v>
      </c>
      <c r="AB439" s="1894">
        <v>0</v>
      </c>
      <c r="AC439" s="1894">
        <v>8763</v>
      </c>
      <c r="AD439" s="1894">
        <f t="shared" si="166"/>
        <v>52255</v>
      </c>
      <c r="AE439" s="1894">
        <f t="shared" si="167"/>
        <v>0</v>
      </c>
      <c r="AF439" s="1894">
        <v>300</v>
      </c>
      <c r="AG439" s="1894">
        <v>82.800000000000011</v>
      </c>
      <c r="AH439" s="1894">
        <v>300</v>
      </c>
      <c r="AI439" s="1894">
        <v>0.87549999999999994</v>
      </c>
      <c r="AJ439" s="1894">
        <v>0</v>
      </c>
      <c r="AK439" s="1894">
        <v>9525</v>
      </c>
      <c r="AL439" s="1894">
        <f t="shared" si="160"/>
        <v>36962</v>
      </c>
      <c r="AM439" s="1894">
        <f t="shared" si="161"/>
        <v>0</v>
      </c>
      <c r="AN439" s="1894">
        <v>300</v>
      </c>
      <c r="AO439" s="1894">
        <v>20.88</v>
      </c>
      <c r="AP439" s="1894">
        <v>300</v>
      </c>
      <c r="AQ439" s="1894">
        <v>0.90600000000000003</v>
      </c>
      <c r="AR439" s="1894">
        <v>0</v>
      </c>
      <c r="AS439" s="1894">
        <v>17730</v>
      </c>
      <c r="AT439" s="1894">
        <f t="shared" si="168"/>
        <v>9321</v>
      </c>
      <c r="AU439" s="1894">
        <f t="shared" si="169"/>
        <v>8409</v>
      </c>
      <c r="AV439" s="1894">
        <v>300</v>
      </c>
      <c r="AW439" s="1894">
        <v>30.96</v>
      </c>
      <c r="AX439" s="1894">
        <v>300</v>
      </c>
      <c r="AY439" s="1894">
        <v>0.80330000000000001</v>
      </c>
      <c r="AZ439" s="1894">
        <v>0</v>
      </c>
      <c r="BA439" s="1894">
        <v>8175</v>
      </c>
      <c r="BB439" s="1894">
        <f t="shared" si="170"/>
        <v>13375</v>
      </c>
      <c r="BC439" s="1894">
        <f t="shared" si="171"/>
        <v>0</v>
      </c>
      <c r="BD439" s="1894">
        <v>300</v>
      </c>
      <c r="BE439" s="1894">
        <v>27.36</v>
      </c>
      <c r="BF439" s="1894">
        <v>300</v>
      </c>
      <c r="BG439" s="1894">
        <v>0.76819999999999999</v>
      </c>
      <c r="BH439" s="1894">
        <v>0</v>
      </c>
      <c r="BI439" s="1894">
        <v>6732</v>
      </c>
      <c r="BJ439" s="1894">
        <f t="shared" si="172"/>
        <v>12214</v>
      </c>
      <c r="BK439" s="1894">
        <f t="shared" si="173"/>
        <v>0</v>
      </c>
      <c r="BL439" s="1894">
        <v>300</v>
      </c>
      <c r="BM439" s="1894">
        <v>10.799999999999999</v>
      </c>
      <c r="BN439" s="1894">
        <v>300</v>
      </c>
      <c r="BO439" s="1894">
        <v>0.1842</v>
      </c>
      <c r="BP439" s="1894">
        <v>0</v>
      </c>
      <c r="BQ439" s="1894">
        <v>5634</v>
      </c>
      <c r="BR439" s="1894">
        <f t="shared" si="174"/>
        <v>4666</v>
      </c>
      <c r="BS439" s="1894">
        <f t="shared" si="175"/>
        <v>968</v>
      </c>
      <c r="BT439" s="1894">
        <v>300</v>
      </c>
      <c r="BU439" s="1894">
        <v>10.56</v>
      </c>
      <c r="BV439" s="1894">
        <v>300</v>
      </c>
      <c r="BW439" s="1894">
        <v>0.17080000000000001</v>
      </c>
      <c r="BX439" s="1894">
        <v>0</v>
      </c>
      <c r="BY439" s="1894">
        <v>6057</v>
      </c>
      <c r="BZ439" s="1894">
        <f t="shared" si="176"/>
        <v>4714</v>
      </c>
      <c r="CA439" s="1894">
        <f t="shared" si="177"/>
        <v>1343</v>
      </c>
      <c r="CB439" s="1894">
        <v>300</v>
      </c>
      <c r="CC439" s="1894">
        <v>72.239999999999995</v>
      </c>
      <c r="CD439" s="1894">
        <v>300</v>
      </c>
      <c r="CE439" s="1894">
        <v>0.45669999999999999</v>
      </c>
      <c r="CF439" s="1894">
        <v>0</v>
      </c>
      <c r="CG439" s="1894">
        <v>8697</v>
      </c>
      <c r="CH439" s="1894">
        <f t="shared" si="178"/>
        <v>32248</v>
      </c>
      <c r="CI439" s="1894">
        <f t="shared" si="179"/>
        <v>0</v>
      </c>
      <c r="CJ439" s="1894">
        <v>300</v>
      </c>
      <c r="CK439" s="1894">
        <v>132.47999999999999</v>
      </c>
      <c r="CL439" s="1894">
        <v>300</v>
      </c>
      <c r="CM439" s="1894">
        <v>0.625</v>
      </c>
      <c r="CN439" s="1894">
        <v>0</v>
      </c>
      <c r="CO439" s="1894">
        <v>12369</v>
      </c>
      <c r="CP439" s="1894">
        <f t="shared" si="180"/>
        <v>53416</v>
      </c>
      <c r="CQ439" s="1894">
        <f t="shared" si="181"/>
        <v>0</v>
      </c>
      <c r="CR439" s="1924">
        <v>300</v>
      </c>
      <c r="CS439" s="1924">
        <v>127.2</v>
      </c>
      <c r="CT439" s="1924">
        <v>300</v>
      </c>
      <c r="CU439" s="1924">
        <v>0.64729999999999999</v>
      </c>
      <c r="CV439" s="1924">
        <v>0</v>
      </c>
      <c r="CW439" s="1924">
        <v>23409</v>
      </c>
      <c r="CX439" s="1894">
        <f t="shared" si="182"/>
        <v>56782</v>
      </c>
      <c r="CY439" s="1894">
        <f t="shared" si="183"/>
        <v>0</v>
      </c>
    </row>
    <row r="440" spans="1:103">
      <c r="A440" s="982">
        <v>123000000062</v>
      </c>
      <c r="B440" s="1923">
        <f t="shared" si="184"/>
        <v>434</v>
      </c>
      <c r="C440" s="1895" t="s">
        <v>3316</v>
      </c>
      <c r="D440" s="1894" t="s">
        <v>524</v>
      </c>
      <c r="E440" s="1895" t="s">
        <v>2966</v>
      </c>
      <c r="F440" s="1894" t="s">
        <v>259</v>
      </c>
      <c r="G440" s="1924">
        <v>300</v>
      </c>
      <c r="H440" s="1894">
        <v>300</v>
      </c>
      <c r="I440" s="1894">
        <v>148.96</v>
      </c>
      <c r="J440" s="1894">
        <v>300</v>
      </c>
      <c r="K440" s="1894">
        <v>0.99570000000000003</v>
      </c>
      <c r="L440" s="1894">
        <v>0</v>
      </c>
      <c r="M440" s="1894">
        <v>22610</v>
      </c>
      <c r="N440" s="1894">
        <f t="shared" si="162"/>
        <v>64351</v>
      </c>
      <c r="O440" s="1894">
        <f t="shared" si="163"/>
        <v>0</v>
      </c>
      <c r="P440" s="1894">
        <v>300</v>
      </c>
      <c r="Q440" s="1894">
        <v>188</v>
      </c>
      <c r="R440" s="1894">
        <v>300</v>
      </c>
      <c r="S440" s="1894">
        <v>0.99490000000000001</v>
      </c>
      <c r="T440" s="1894">
        <v>0</v>
      </c>
      <c r="U440" s="1894">
        <v>55902</v>
      </c>
      <c r="V440" s="1894">
        <f t="shared" si="164"/>
        <v>83923</v>
      </c>
      <c r="W440" s="1894">
        <f t="shared" si="165"/>
        <v>0</v>
      </c>
      <c r="X440" s="1894">
        <v>300</v>
      </c>
      <c r="Y440" s="1894">
        <v>145.12</v>
      </c>
      <c r="Z440" s="1894">
        <v>300</v>
      </c>
      <c r="AA440" s="1894">
        <v>0.99160000000000004</v>
      </c>
      <c r="AB440" s="1894">
        <v>0</v>
      </c>
      <c r="AC440" s="1894">
        <v>26176</v>
      </c>
      <c r="AD440" s="1894">
        <f t="shared" si="166"/>
        <v>62692</v>
      </c>
      <c r="AE440" s="1894">
        <f t="shared" si="167"/>
        <v>0</v>
      </c>
      <c r="AF440" s="1894">
        <v>300</v>
      </c>
      <c r="AG440" s="1894">
        <v>137.44</v>
      </c>
      <c r="AH440" s="1894">
        <v>300</v>
      </c>
      <c r="AI440" s="1894">
        <v>0.9889</v>
      </c>
      <c r="AJ440" s="1894">
        <v>0</v>
      </c>
      <c r="AK440" s="1894">
        <v>23528</v>
      </c>
      <c r="AL440" s="1894">
        <f t="shared" si="160"/>
        <v>61353</v>
      </c>
      <c r="AM440" s="1894">
        <f t="shared" si="161"/>
        <v>0</v>
      </c>
      <c r="AN440" s="1894">
        <v>300</v>
      </c>
      <c r="AO440" s="1894">
        <v>145.28</v>
      </c>
      <c r="AP440" s="1894">
        <v>300</v>
      </c>
      <c r="AQ440" s="1894">
        <v>0.99339999999999995</v>
      </c>
      <c r="AR440" s="1894">
        <v>0</v>
      </c>
      <c r="AS440" s="1894">
        <v>26938</v>
      </c>
      <c r="AT440" s="1894">
        <f t="shared" si="168"/>
        <v>64853</v>
      </c>
      <c r="AU440" s="1894">
        <f t="shared" si="169"/>
        <v>0</v>
      </c>
      <c r="AV440" s="1894">
        <v>300</v>
      </c>
      <c r="AW440" s="1894">
        <v>222.08</v>
      </c>
      <c r="AX440" s="1894">
        <v>300</v>
      </c>
      <c r="AY440" s="1894">
        <v>0.99590000000000001</v>
      </c>
      <c r="AZ440" s="1894">
        <v>0</v>
      </c>
      <c r="BA440" s="1894">
        <v>45468</v>
      </c>
      <c r="BB440" s="1894">
        <f t="shared" si="170"/>
        <v>95939</v>
      </c>
      <c r="BC440" s="1894">
        <f t="shared" si="171"/>
        <v>0</v>
      </c>
      <c r="BD440" s="1894">
        <v>300</v>
      </c>
      <c r="BE440" s="1894">
        <v>201.28</v>
      </c>
      <c r="BF440" s="1894">
        <v>300</v>
      </c>
      <c r="BG440" s="1894">
        <v>0.99550000000000005</v>
      </c>
      <c r="BH440" s="1894">
        <v>0</v>
      </c>
      <c r="BI440" s="1894">
        <v>56878</v>
      </c>
      <c r="BJ440" s="1894">
        <f t="shared" si="172"/>
        <v>89851</v>
      </c>
      <c r="BK440" s="1894">
        <f t="shared" si="173"/>
        <v>0</v>
      </c>
      <c r="BL440" s="1894">
        <v>300</v>
      </c>
      <c r="BM440" s="1894">
        <v>148.80000000000001</v>
      </c>
      <c r="BN440" s="1894">
        <v>300</v>
      </c>
      <c r="BO440" s="1894">
        <v>0.99250000000000005</v>
      </c>
      <c r="BP440" s="1894">
        <v>0</v>
      </c>
      <c r="BQ440" s="1894">
        <v>32374</v>
      </c>
      <c r="BR440" s="1894">
        <f t="shared" si="174"/>
        <v>64282</v>
      </c>
      <c r="BS440" s="1894">
        <f t="shared" si="175"/>
        <v>0</v>
      </c>
      <c r="BT440" s="1894">
        <v>300</v>
      </c>
      <c r="BU440" s="1894">
        <v>79.679999999999993</v>
      </c>
      <c r="BV440" s="1894">
        <v>300</v>
      </c>
      <c r="BW440" s="1894">
        <v>0.97350000000000003</v>
      </c>
      <c r="BX440" s="1894">
        <v>0</v>
      </c>
      <c r="BY440" s="1894">
        <v>8484</v>
      </c>
      <c r="BZ440" s="1894">
        <f t="shared" si="176"/>
        <v>35569</v>
      </c>
      <c r="CA440" s="1894">
        <f t="shared" si="177"/>
        <v>0</v>
      </c>
      <c r="CB440" s="1894">
        <v>300</v>
      </c>
      <c r="CC440" s="1894">
        <v>12.64</v>
      </c>
      <c r="CD440" s="1894">
        <v>300</v>
      </c>
      <c r="CE440" s="1894">
        <v>0.95479999999999998</v>
      </c>
      <c r="CF440" s="1894">
        <v>0</v>
      </c>
      <c r="CG440" s="1894">
        <v>2792</v>
      </c>
      <c r="CH440" s="1894">
        <f t="shared" si="178"/>
        <v>5642</v>
      </c>
      <c r="CI440" s="1894">
        <f t="shared" si="179"/>
        <v>0</v>
      </c>
      <c r="CJ440" s="1894">
        <v>300</v>
      </c>
      <c r="CK440" s="1894">
        <v>99.039999999999992</v>
      </c>
      <c r="CL440" s="1894">
        <v>300</v>
      </c>
      <c r="CM440" s="1894">
        <v>0.97609999999999997</v>
      </c>
      <c r="CN440" s="1894">
        <v>0</v>
      </c>
      <c r="CO440" s="1894">
        <v>10916</v>
      </c>
      <c r="CP440" s="1894">
        <f t="shared" si="180"/>
        <v>39933</v>
      </c>
      <c r="CQ440" s="1894">
        <f t="shared" si="181"/>
        <v>0</v>
      </c>
      <c r="CR440" s="1924">
        <v>300</v>
      </c>
      <c r="CS440" s="1924">
        <v>120.63999999999999</v>
      </c>
      <c r="CT440" s="1924">
        <v>300</v>
      </c>
      <c r="CU440" s="1924">
        <v>0.9919</v>
      </c>
      <c r="CV440" s="1924">
        <v>0</v>
      </c>
      <c r="CW440" s="1924">
        <v>18042</v>
      </c>
      <c r="CX440" s="1894">
        <f t="shared" si="182"/>
        <v>53854</v>
      </c>
      <c r="CY440" s="1894">
        <f t="shared" si="183"/>
        <v>0</v>
      </c>
    </row>
    <row r="441" spans="1:103">
      <c r="A441" s="982">
        <v>123000000095</v>
      </c>
      <c r="B441" s="1923">
        <f t="shared" si="184"/>
        <v>435</v>
      </c>
      <c r="C441" s="1895" t="s">
        <v>3317</v>
      </c>
      <c r="D441" s="1894" t="s">
        <v>524</v>
      </c>
      <c r="E441" s="1895" t="s">
        <v>541</v>
      </c>
      <c r="F441" s="1894" t="s">
        <v>259</v>
      </c>
      <c r="G441" s="1924">
        <v>300</v>
      </c>
      <c r="H441" s="1894">
        <v>300</v>
      </c>
      <c r="I441" s="1894">
        <v>280.8</v>
      </c>
      <c r="J441" s="1894">
        <v>280.8</v>
      </c>
      <c r="K441" s="1894">
        <v>0.98850000000000005</v>
      </c>
      <c r="L441" s="1894">
        <v>49.28</v>
      </c>
      <c r="M441" s="1894">
        <v>99635</v>
      </c>
      <c r="N441" s="1894">
        <f t="shared" si="162"/>
        <v>121306</v>
      </c>
      <c r="O441" s="1894">
        <f t="shared" si="163"/>
        <v>0</v>
      </c>
      <c r="P441" s="1894">
        <v>300</v>
      </c>
      <c r="Q441" s="1894">
        <v>292</v>
      </c>
      <c r="R441" s="1894">
        <v>292</v>
      </c>
      <c r="S441" s="1894">
        <v>0.98699999999999999</v>
      </c>
      <c r="T441" s="1894">
        <v>37.340000000000003</v>
      </c>
      <c r="U441" s="1894">
        <v>81130</v>
      </c>
      <c r="V441" s="1894">
        <f t="shared" si="164"/>
        <v>130349</v>
      </c>
      <c r="W441" s="1894">
        <f t="shared" si="165"/>
        <v>0</v>
      </c>
      <c r="X441" s="1894">
        <v>300</v>
      </c>
      <c r="Y441" s="1894">
        <v>336</v>
      </c>
      <c r="Z441" s="1894">
        <v>336</v>
      </c>
      <c r="AA441" s="1894">
        <v>0.95009999999999994</v>
      </c>
      <c r="AB441" s="1894">
        <v>34.67</v>
      </c>
      <c r="AC441" s="1894">
        <v>83870</v>
      </c>
      <c r="AD441" s="1894">
        <f t="shared" si="166"/>
        <v>145152</v>
      </c>
      <c r="AE441" s="1894">
        <f t="shared" si="167"/>
        <v>0</v>
      </c>
      <c r="AF441" s="1894">
        <v>300</v>
      </c>
      <c r="AG441" s="1894">
        <v>300.39999999999998</v>
      </c>
      <c r="AH441" s="1894">
        <v>300.39999999999998</v>
      </c>
      <c r="AI441" s="1894">
        <v>0.98170000000000002</v>
      </c>
      <c r="AJ441" s="1894">
        <v>32.93</v>
      </c>
      <c r="AK441" s="1894">
        <v>73590</v>
      </c>
      <c r="AL441" s="1894">
        <f t="shared" si="160"/>
        <v>134099</v>
      </c>
      <c r="AM441" s="1894">
        <f t="shared" si="161"/>
        <v>0</v>
      </c>
      <c r="AN441" s="1894">
        <v>300</v>
      </c>
      <c r="AO441" s="1894">
        <v>277.60000000000002</v>
      </c>
      <c r="AP441" s="1894">
        <v>277.60000000000002</v>
      </c>
      <c r="AQ441" s="1894">
        <v>0.98619999999999997</v>
      </c>
      <c r="AR441" s="1894">
        <v>26.53</v>
      </c>
      <c r="AS441" s="1894">
        <v>54790</v>
      </c>
      <c r="AT441" s="1894">
        <f t="shared" si="168"/>
        <v>123921</v>
      </c>
      <c r="AU441" s="1894">
        <f t="shared" si="169"/>
        <v>0</v>
      </c>
      <c r="AV441" s="1894">
        <v>300</v>
      </c>
      <c r="AW441" s="1894">
        <v>262.79999999999995</v>
      </c>
      <c r="AX441" s="1894">
        <v>262.8</v>
      </c>
      <c r="AY441" s="1894">
        <v>0.98180000000000001</v>
      </c>
      <c r="AZ441" s="1894">
        <v>25.81</v>
      </c>
      <c r="BA441" s="1894">
        <v>48835</v>
      </c>
      <c r="BB441" s="1894">
        <f t="shared" si="170"/>
        <v>113530</v>
      </c>
      <c r="BC441" s="1894">
        <f t="shared" si="171"/>
        <v>0</v>
      </c>
      <c r="BD441" s="1894">
        <v>300</v>
      </c>
      <c r="BE441" s="1894">
        <v>398</v>
      </c>
      <c r="BF441" s="1894">
        <v>398</v>
      </c>
      <c r="BG441" s="1894">
        <v>0.98960000000000004</v>
      </c>
      <c r="BH441" s="1894">
        <v>28.85</v>
      </c>
      <c r="BI441" s="1894">
        <v>85425</v>
      </c>
      <c r="BJ441" s="1894">
        <f t="shared" si="172"/>
        <v>177667</v>
      </c>
      <c r="BK441" s="1894">
        <f t="shared" si="173"/>
        <v>0</v>
      </c>
      <c r="BL441" s="1894">
        <v>300</v>
      </c>
      <c r="BM441" s="1894">
        <v>281.2</v>
      </c>
      <c r="BN441" s="1894">
        <v>281.2</v>
      </c>
      <c r="BO441" s="1894">
        <v>0.98760000000000003</v>
      </c>
      <c r="BP441" s="1894">
        <v>41.3</v>
      </c>
      <c r="BQ441" s="1894">
        <v>83615</v>
      </c>
      <c r="BR441" s="1894">
        <f t="shared" si="174"/>
        <v>121478</v>
      </c>
      <c r="BS441" s="1894">
        <f t="shared" si="175"/>
        <v>0</v>
      </c>
      <c r="BT441" s="1894">
        <v>300</v>
      </c>
      <c r="BU441" s="1894">
        <v>287.60000000000002</v>
      </c>
      <c r="BV441" s="1894">
        <v>287.60000000000002</v>
      </c>
      <c r="BW441" s="1894">
        <v>0.98809999999999998</v>
      </c>
      <c r="BX441" s="1894">
        <v>42.79</v>
      </c>
      <c r="BY441" s="1894">
        <v>91555</v>
      </c>
      <c r="BZ441" s="1894">
        <f t="shared" si="176"/>
        <v>128385</v>
      </c>
      <c r="CA441" s="1894">
        <f t="shared" si="177"/>
        <v>0</v>
      </c>
      <c r="CB441" s="1894">
        <v>300</v>
      </c>
      <c r="CC441" s="1894">
        <v>267.2</v>
      </c>
      <c r="CD441" s="1894">
        <v>267.2</v>
      </c>
      <c r="CE441" s="1894">
        <v>0.98040000000000005</v>
      </c>
      <c r="CF441" s="1894">
        <v>40.159999999999997</v>
      </c>
      <c r="CG441" s="1894">
        <v>79830</v>
      </c>
      <c r="CH441" s="1894">
        <f t="shared" si="178"/>
        <v>119278</v>
      </c>
      <c r="CI441" s="1894">
        <f t="shared" si="179"/>
        <v>0</v>
      </c>
      <c r="CJ441" s="1894">
        <v>300</v>
      </c>
      <c r="CK441" s="1894">
        <v>288.8</v>
      </c>
      <c r="CL441" s="1894">
        <v>288.8</v>
      </c>
      <c r="CM441" s="1894">
        <v>0.97019999999999995</v>
      </c>
      <c r="CN441" s="1894">
        <v>41.98</v>
      </c>
      <c r="CO441" s="1894">
        <v>81470</v>
      </c>
      <c r="CP441" s="1894">
        <f t="shared" si="180"/>
        <v>116444</v>
      </c>
      <c r="CQ441" s="1894">
        <f t="shared" si="181"/>
        <v>0</v>
      </c>
      <c r="CR441" s="1924">
        <v>300</v>
      </c>
      <c r="CS441" s="1924">
        <v>262.40000000000003</v>
      </c>
      <c r="CT441" s="1924">
        <v>262.39999999999998</v>
      </c>
      <c r="CU441" s="1924">
        <v>0.98540000000000005</v>
      </c>
      <c r="CV441" s="1924">
        <v>36.21</v>
      </c>
      <c r="CW441" s="1924">
        <v>70685</v>
      </c>
      <c r="CX441" s="1894">
        <f t="shared" si="182"/>
        <v>117135</v>
      </c>
      <c r="CY441" s="1894">
        <f t="shared" si="183"/>
        <v>0</v>
      </c>
    </row>
    <row r="442" spans="1:103">
      <c r="A442" s="982">
        <v>124000000046</v>
      </c>
      <c r="B442" s="1923">
        <f t="shared" si="184"/>
        <v>436</v>
      </c>
      <c r="C442" s="1895" t="s">
        <v>3318</v>
      </c>
      <c r="D442" s="1894" t="s">
        <v>524</v>
      </c>
      <c r="E442" s="1895" t="s">
        <v>2966</v>
      </c>
      <c r="F442" s="1894" t="s">
        <v>259</v>
      </c>
      <c r="G442" s="1924">
        <v>300</v>
      </c>
      <c r="H442" s="1894">
        <v>167</v>
      </c>
      <c r="I442" s="1894">
        <v>199.76</v>
      </c>
      <c r="J442" s="1894">
        <v>199.76</v>
      </c>
      <c r="K442" s="1894">
        <v>0.96850000000000003</v>
      </c>
      <c r="L442" s="1894">
        <v>0</v>
      </c>
      <c r="M442" s="1894">
        <v>81897</v>
      </c>
      <c r="N442" s="1894">
        <f t="shared" si="162"/>
        <v>86296</v>
      </c>
      <c r="O442" s="1894">
        <f t="shared" si="163"/>
        <v>0</v>
      </c>
      <c r="P442" s="1894">
        <v>167</v>
      </c>
      <c r="Q442" s="1894">
        <v>194.64</v>
      </c>
      <c r="R442" s="1894">
        <v>194.64</v>
      </c>
      <c r="S442" s="1894">
        <v>0.97470000000000001</v>
      </c>
      <c r="T442" s="1894">
        <v>0</v>
      </c>
      <c r="U442" s="1894">
        <v>75215</v>
      </c>
      <c r="V442" s="1894">
        <f t="shared" si="164"/>
        <v>86887</v>
      </c>
      <c r="W442" s="1894">
        <f t="shared" si="165"/>
        <v>0</v>
      </c>
      <c r="X442" s="1894">
        <v>167</v>
      </c>
      <c r="Y442" s="1894">
        <v>212.16</v>
      </c>
      <c r="Z442" s="1894">
        <v>212.16</v>
      </c>
      <c r="AA442" s="1894">
        <v>0.96099999999999997</v>
      </c>
      <c r="AB442" s="1894">
        <v>0</v>
      </c>
      <c r="AC442" s="1894">
        <v>80926</v>
      </c>
      <c r="AD442" s="1894">
        <f t="shared" si="166"/>
        <v>91653</v>
      </c>
      <c r="AE442" s="1894">
        <f t="shared" si="167"/>
        <v>0</v>
      </c>
      <c r="AF442" s="1894">
        <v>167</v>
      </c>
      <c r="AG442" s="1894">
        <v>188.88</v>
      </c>
      <c r="AH442" s="1894">
        <v>188.88</v>
      </c>
      <c r="AI442" s="1894">
        <v>0.96819999999999995</v>
      </c>
      <c r="AJ442" s="1894">
        <v>0</v>
      </c>
      <c r="AK442" s="1894">
        <v>79263</v>
      </c>
      <c r="AL442" s="1894">
        <f t="shared" si="160"/>
        <v>84316</v>
      </c>
      <c r="AM442" s="1894">
        <f t="shared" si="161"/>
        <v>0</v>
      </c>
      <c r="AN442" s="1894">
        <v>167</v>
      </c>
      <c r="AO442" s="1894">
        <v>191.68</v>
      </c>
      <c r="AP442" s="1894">
        <v>191.68</v>
      </c>
      <c r="AQ442" s="1894">
        <v>0.9647</v>
      </c>
      <c r="AR442" s="1894">
        <v>0</v>
      </c>
      <c r="AS442" s="1894">
        <v>70479</v>
      </c>
      <c r="AT442" s="1894">
        <f t="shared" si="168"/>
        <v>85566</v>
      </c>
      <c r="AU442" s="1894">
        <f t="shared" si="169"/>
        <v>0</v>
      </c>
      <c r="AV442" s="1894">
        <v>167</v>
      </c>
      <c r="AW442" s="1894">
        <v>188.56</v>
      </c>
      <c r="AX442" s="1894">
        <v>188.56</v>
      </c>
      <c r="AY442" s="1894">
        <v>0.96350000000000002</v>
      </c>
      <c r="AZ442" s="1894">
        <v>0</v>
      </c>
      <c r="BA442" s="1894">
        <v>66605</v>
      </c>
      <c r="BB442" s="1894">
        <f t="shared" si="170"/>
        <v>81458</v>
      </c>
      <c r="BC442" s="1894">
        <f t="shared" si="171"/>
        <v>0</v>
      </c>
      <c r="BD442" s="1894">
        <v>167</v>
      </c>
      <c r="BE442" s="1894">
        <v>162.56</v>
      </c>
      <c r="BF442" s="1894">
        <v>167</v>
      </c>
      <c r="BG442" s="1894">
        <v>0.97460000000000002</v>
      </c>
      <c r="BH442" s="1894">
        <v>0</v>
      </c>
      <c r="BI442" s="1894">
        <v>73033</v>
      </c>
      <c r="BJ442" s="1894">
        <f t="shared" si="172"/>
        <v>72567</v>
      </c>
      <c r="BK442" s="1894">
        <f t="shared" si="173"/>
        <v>466</v>
      </c>
      <c r="BL442" s="1894">
        <v>300</v>
      </c>
      <c r="BM442" s="1894">
        <v>264</v>
      </c>
      <c r="BN442" s="1894">
        <v>300</v>
      </c>
      <c r="BO442" s="1894">
        <v>0.98150000000000004</v>
      </c>
      <c r="BP442" s="1894">
        <v>0</v>
      </c>
      <c r="BQ442" s="1894">
        <v>52458</v>
      </c>
      <c r="BR442" s="1894">
        <f t="shared" si="174"/>
        <v>114048</v>
      </c>
      <c r="BS442" s="1894">
        <f t="shared" si="175"/>
        <v>0</v>
      </c>
      <c r="BT442" s="1894">
        <v>300</v>
      </c>
      <c r="BU442" s="1894">
        <v>145.28</v>
      </c>
      <c r="BV442" s="1894">
        <v>300</v>
      </c>
      <c r="BW442" s="1894">
        <v>0.97840000000000005</v>
      </c>
      <c r="BX442" s="1894">
        <v>0</v>
      </c>
      <c r="BY442" s="1894">
        <v>74392</v>
      </c>
      <c r="BZ442" s="1894">
        <f t="shared" si="176"/>
        <v>64853</v>
      </c>
      <c r="CA442" s="1894">
        <f t="shared" si="177"/>
        <v>9539</v>
      </c>
      <c r="CB442" s="1894">
        <v>300</v>
      </c>
      <c r="CC442" s="1894">
        <v>142.56</v>
      </c>
      <c r="CD442" s="1894">
        <v>300</v>
      </c>
      <c r="CE442" s="1894">
        <v>0.98040000000000005</v>
      </c>
      <c r="CF442" s="1894">
        <v>0</v>
      </c>
      <c r="CG442" s="1894">
        <v>77606</v>
      </c>
      <c r="CH442" s="1894">
        <f t="shared" si="178"/>
        <v>63639</v>
      </c>
      <c r="CI442" s="1894">
        <f t="shared" si="179"/>
        <v>13967</v>
      </c>
      <c r="CJ442" s="1894">
        <v>300</v>
      </c>
      <c r="CK442" s="1894">
        <v>199.04</v>
      </c>
      <c r="CL442" s="1894">
        <v>300</v>
      </c>
      <c r="CM442" s="1894">
        <v>0.97909999999999997</v>
      </c>
      <c r="CN442" s="1894">
        <v>0</v>
      </c>
      <c r="CO442" s="1894">
        <v>60980</v>
      </c>
      <c r="CP442" s="1894">
        <f t="shared" si="180"/>
        <v>80253</v>
      </c>
      <c r="CQ442" s="1894">
        <f t="shared" si="181"/>
        <v>0</v>
      </c>
      <c r="CR442" s="1924">
        <v>300</v>
      </c>
      <c r="CS442" s="1924">
        <v>162.24</v>
      </c>
      <c r="CT442" s="1924">
        <v>300</v>
      </c>
      <c r="CU442" s="1924">
        <v>0.98660000000000003</v>
      </c>
      <c r="CV442" s="1924">
        <v>0</v>
      </c>
      <c r="CW442" s="1924">
        <v>60386</v>
      </c>
      <c r="CX442" s="1894">
        <f t="shared" si="182"/>
        <v>72424</v>
      </c>
      <c r="CY442" s="1894">
        <f t="shared" si="183"/>
        <v>0</v>
      </c>
    </row>
    <row r="443" spans="1:103">
      <c r="A443" s="982">
        <v>125000000025</v>
      </c>
      <c r="B443" s="1923">
        <f t="shared" si="184"/>
        <v>437</v>
      </c>
      <c r="C443" s="1895" t="s">
        <v>3319</v>
      </c>
      <c r="D443" s="1894" t="s">
        <v>524</v>
      </c>
      <c r="E443" s="1895" t="s">
        <v>541</v>
      </c>
      <c r="F443" s="1894" t="s">
        <v>259</v>
      </c>
      <c r="G443" s="1924">
        <v>300</v>
      </c>
      <c r="H443" s="1894">
        <v>300</v>
      </c>
      <c r="I443" s="1894">
        <v>265.76</v>
      </c>
      <c r="J443" s="1894">
        <v>265.76</v>
      </c>
      <c r="K443" s="1894">
        <v>0.92579999999999996</v>
      </c>
      <c r="L443" s="1894">
        <v>51.69</v>
      </c>
      <c r="M443" s="1894">
        <v>98904</v>
      </c>
      <c r="N443" s="1894">
        <f t="shared" si="162"/>
        <v>114808</v>
      </c>
      <c r="O443" s="1894">
        <f t="shared" si="163"/>
        <v>0</v>
      </c>
      <c r="P443" s="1894">
        <v>300</v>
      </c>
      <c r="Q443" s="1894">
        <v>294.39999999999998</v>
      </c>
      <c r="R443" s="1894">
        <v>294.39999999999998</v>
      </c>
      <c r="S443" s="1894">
        <v>0.91869999999999996</v>
      </c>
      <c r="T443" s="1894">
        <v>37.85</v>
      </c>
      <c r="U443" s="1894">
        <v>82908</v>
      </c>
      <c r="V443" s="1894">
        <f t="shared" si="164"/>
        <v>131420</v>
      </c>
      <c r="W443" s="1894">
        <f t="shared" si="165"/>
        <v>0</v>
      </c>
      <c r="X443" s="1894">
        <v>300</v>
      </c>
      <c r="Y443" s="1894">
        <v>262.08</v>
      </c>
      <c r="Z443" s="1894">
        <v>262.08</v>
      </c>
      <c r="AA443" s="1894">
        <v>0.92959999999999998</v>
      </c>
      <c r="AB443" s="1894">
        <v>39.44</v>
      </c>
      <c r="AC443" s="1894">
        <v>74422</v>
      </c>
      <c r="AD443" s="1894">
        <f t="shared" si="166"/>
        <v>113219</v>
      </c>
      <c r="AE443" s="1894">
        <f t="shared" si="167"/>
        <v>0</v>
      </c>
      <c r="AF443" s="1894">
        <v>300</v>
      </c>
      <c r="AG443" s="1894">
        <v>272.32</v>
      </c>
      <c r="AH443" s="1894">
        <v>272.32</v>
      </c>
      <c r="AI443" s="1894">
        <v>0.95579999999999998</v>
      </c>
      <c r="AJ443" s="1894">
        <v>36.369999999999997</v>
      </c>
      <c r="AK443" s="1894">
        <v>73690</v>
      </c>
      <c r="AL443" s="1894">
        <f t="shared" si="160"/>
        <v>121564</v>
      </c>
      <c r="AM443" s="1894">
        <f t="shared" si="161"/>
        <v>0</v>
      </c>
      <c r="AN443" s="1894">
        <v>300</v>
      </c>
      <c r="AO443" s="1894">
        <v>275.2</v>
      </c>
      <c r="AP443" s="1894">
        <v>275.2</v>
      </c>
      <c r="AQ443" s="1894">
        <v>0.91839999999999999</v>
      </c>
      <c r="AR443" s="1894">
        <v>42.28</v>
      </c>
      <c r="AS443" s="1894">
        <v>86558</v>
      </c>
      <c r="AT443" s="1894">
        <f t="shared" si="168"/>
        <v>122849</v>
      </c>
      <c r="AU443" s="1894">
        <f t="shared" si="169"/>
        <v>0</v>
      </c>
      <c r="AV443" s="1894">
        <v>300</v>
      </c>
      <c r="AW443" s="1894">
        <v>289.92</v>
      </c>
      <c r="AX443" s="1894">
        <v>289.92</v>
      </c>
      <c r="AY443" s="1894">
        <v>0.89090000000000003</v>
      </c>
      <c r="AZ443" s="1894">
        <v>35.08</v>
      </c>
      <c r="BA443" s="1894">
        <v>73222</v>
      </c>
      <c r="BB443" s="1894">
        <f t="shared" si="170"/>
        <v>125245</v>
      </c>
      <c r="BC443" s="1894">
        <f t="shared" si="171"/>
        <v>0</v>
      </c>
      <c r="BD443" s="1894">
        <v>300</v>
      </c>
      <c r="BE443" s="1894">
        <v>260.32</v>
      </c>
      <c r="BF443" s="1894">
        <v>260.32</v>
      </c>
      <c r="BG443" s="1894">
        <v>0.75049999999999994</v>
      </c>
      <c r="BH443" s="1894">
        <v>9.59</v>
      </c>
      <c r="BI443" s="1894">
        <v>18574</v>
      </c>
      <c r="BJ443" s="1894">
        <f t="shared" si="172"/>
        <v>116207</v>
      </c>
      <c r="BK443" s="1894">
        <f t="shared" si="173"/>
        <v>0</v>
      </c>
      <c r="BL443" s="1894">
        <v>300</v>
      </c>
      <c r="BM443" s="1894">
        <v>259.2</v>
      </c>
      <c r="BN443" s="1894">
        <v>259.2</v>
      </c>
      <c r="BO443" s="1894">
        <v>0.93440000000000001</v>
      </c>
      <c r="BP443" s="1894">
        <v>20.12</v>
      </c>
      <c r="BQ443" s="1894">
        <v>37544</v>
      </c>
      <c r="BR443" s="1894">
        <f t="shared" si="174"/>
        <v>111974</v>
      </c>
      <c r="BS443" s="1894">
        <f t="shared" si="175"/>
        <v>0</v>
      </c>
      <c r="BT443" s="1894">
        <v>300</v>
      </c>
      <c r="BU443" s="1894">
        <v>263.2</v>
      </c>
      <c r="BV443" s="1894">
        <v>263.2</v>
      </c>
      <c r="BW443" s="1894">
        <v>0.82899999999999996</v>
      </c>
      <c r="BX443" s="1894">
        <v>13.48</v>
      </c>
      <c r="BY443" s="1894">
        <v>26388</v>
      </c>
      <c r="BZ443" s="1894">
        <f t="shared" si="176"/>
        <v>117492</v>
      </c>
      <c r="CA443" s="1894">
        <f t="shared" si="177"/>
        <v>0</v>
      </c>
      <c r="CB443" s="1894">
        <v>300</v>
      </c>
      <c r="CC443" s="1894">
        <v>307.52000000000004</v>
      </c>
      <c r="CD443" s="1894">
        <v>307.52</v>
      </c>
      <c r="CE443" s="1894">
        <v>0.84970000000000001</v>
      </c>
      <c r="CF443" s="1894">
        <v>48.03</v>
      </c>
      <c r="CG443" s="1894">
        <v>109896</v>
      </c>
      <c r="CH443" s="1894">
        <f t="shared" si="178"/>
        <v>137277</v>
      </c>
      <c r="CI443" s="1894">
        <f t="shared" si="179"/>
        <v>0</v>
      </c>
      <c r="CJ443" s="1894">
        <v>300</v>
      </c>
      <c r="CK443" s="1894">
        <v>327.84</v>
      </c>
      <c r="CL443" s="1894">
        <v>327.84</v>
      </c>
      <c r="CM443" s="1894">
        <v>0.84370000000000001</v>
      </c>
      <c r="CN443" s="1894">
        <v>47.54</v>
      </c>
      <c r="CO443" s="1894">
        <v>104744</v>
      </c>
      <c r="CP443" s="1894">
        <f t="shared" si="180"/>
        <v>132185</v>
      </c>
      <c r="CQ443" s="1894">
        <f t="shared" si="181"/>
        <v>0</v>
      </c>
      <c r="CR443" s="1924">
        <v>300</v>
      </c>
      <c r="CS443" s="1924">
        <v>341.92</v>
      </c>
      <c r="CT443" s="1924">
        <v>341.92</v>
      </c>
      <c r="CU443" s="1924">
        <v>0.88370000000000004</v>
      </c>
      <c r="CV443" s="1924">
        <v>42.08</v>
      </c>
      <c r="CW443" s="1924">
        <v>107058</v>
      </c>
      <c r="CX443" s="1894">
        <f t="shared" si="182"/>
        <v>152633</v>
      </c>
      <c r="CY443" s="1894">
        <f t="shared" si="183"/>
        <v>0</v>
      </c>
    </row>
    <row r="444" spans="1:103">
      <c r="A444" s="982">
        <v>126000000043</v>
      </c>
      <c r="B444" s="1923">
        <f t="shared" si="184"/>
        <v>438</v>
      </c>
      <c r="C444" s="1895" t="s">
        <v>3320</v>
      </c>
      <c r="D444" s="1894" t="s">
        <v>524</v>
      </c>
      <c r="E444" s="1895" t="s">
        <v>541</v>
      </c>
      <c r="F444" s="1894" t="s">
        <v>259</v>
      </c>
      <c r="G444" s="1924">
        <v>300</v>
      </c>
      <c r="H444" s="1894">
        <v>300</v>
      </c>
      <c r="I444" s="1894">
        <v>195.6</v>
      </c>
      <c r="J444" s="1894">
        <v>240</v>
      </c>
      <c r="K444" s="1894">
        <v>0.96650000000000003</v>
      </c>
      <c r="L444" s="1894">
        <v>12.49</v>
      </c>
      <c r="M444" s="1894">
        <v>17586</v>
      </c>
      <c r="N444" s="1894">
        <f t="shared" si="162"/>
        <v>84499</v>
      </c>
      <c r="O444" s="1894">
        <f t="shared" si="163"/>
        <v>0</v>
      </c>
      <c r="P444" s="1894">
        <v>300</v>
      </c>
      <c r="Q444" s="1894">
        <v>206.16</v>
      </c>
      <c r="R444" s="1894">
        <v>240</v>
      </c>
      <c r="S444" s="1894">
        <v>0.93779999999999997</v>
      </c>
      <c r="T444" s="1894">
        <v>14.18</v>
      </c>
      <c r="U444" s="1894">
        <v>17535</v>
      </c>
      <c r="V444" s="1894">
        <f t="shared" si="164"/>
        <v>92030</v>
      </c>
      <c r="W444" s="1894">
        <f t="shared" si="165"/>
        <v>0</v>
      </c>
      <c r="X444" s="1894">
        <v>300</v>
      </c>
      <c r="Y444" s="1894">
        <v>306.71999999999997</v>
      </c>
      <c r="Z444" s="1894">
        <v>306.72000000000003</v>
      </c>
      <c r="AA444" s="1894">
        <v>0.84850000000000003</v>
      </c>
      <c r="AB444" s="1894">
        <v>13.04</v>
      </c>
      <c r="AC444" s="1894">
        <v>34554</v>
      </c>
      <c r="AD444" s="1894">
        <f t="shared" si="166"/>
        <v>132503</v>
      </c>
      <c r="AE444" s="1894">
        <f t="shared" si="167"/>
        <v>0</v>
      </c>
      <c r="AF444" s="1894">
        <v>300</v>
      </c>
      <c r="AG444" s="1894">
        <v>270.47999999999996</v>
      </c>
      <c r="AH444" s="1894">
        <v>270.48</v>
      </c>
      <c r="AI444" s="1894">
        <v>0.94889999999999997</v>
      </c>
      <c r="AJ444" s="1894">
        <v>10.9</v>
      </c>
      <c r="AK444" s="1894">
        <v>21933</v>
      </c>
      <c r="AL444" s="1894">
        <f t="shared" si="160"/>
        <v>120742</v>
      </c>
      <c r="AM444" s="1894">
        <f t="shared" si="161"/>
        <v>0</v>
      </c>
      <c r="AN444" s="1894">
        <v>300</v>
      </c>
      <c r="AO444" s="1894">
        <v>190.32</v>
      </c>
      <c r="AP444" s="1894">
        <v>240</v>
      </c>
      <c r="AQ444" s="1894">
        <v>0.94189999999999996</v>
      </c>
      <c r="AR444" s="1894">
        <v>14.3</v>
      </c>
      <c r="AS444" s="1894">
        <v>20250</v>
      </c>
      <c r="AT444" s="1894">
        <f t="shared" si="168"/>
        <v>84959</v>
      </c>
      <c r="AU444" s="1894">
        <f t="shared" si="169"/>
        <v>0</v>
      </c>
      <c r="AV444" s="1894">
        <v>300</v>
      </c>
      <c r="AW444" s="1894">
        <v>187.2</v>
      </c>
      <c r="AX444" s="1894">
        <v>240</v>
      </c>
      <c r="AY444" s="1894">
        <v>0.96840000000000004</v>
      </c>
      <c r="AZ444" s="1894">
        <v>11.63</v>
      </c>
      <c r="BA444" s="1894">
        <v>15678</v>
      </c>
      <c r="BB444" s="1894">
        <f t="shared" si="170"/>
        <v>80870</v>
      </c>
      <c r="BC444" s="1894">
        <f t="shared" si="171"/>
        <v>0</v>
      </c>
      <c r="BD444" s="1894">
        <v>300</v>
      </c>
      <c r="BE444" s="1894">
        <v>191.27999999999997</v>
      </c>
      <c r="BF444" s="1894">
        <v>240</v>
      </c>
      <c r="BG444" s="1894">
        <v>0.96919999999999995</v>
      </c>
      <c r="BH444" s="1894">
        <v>14.12</v>
      </c>
      <c r="BI444" s="1894">
        <v>20088</v>
      </c>
      <c r="BJ444" s="1894">
        <f t="shared" si="172"/>
        <v>85387</v>
      </c>
      <c r="BK444" s="1894">
        <f t="shared" si="173"/>
        <v>0</v>
      </c>
      <c r="BL444" s="1894">
        <v>300</v>
      </c>
      <c r="BM444" s="1894">
        <v>182.88</v>
      </c>
      <c r="BN444" s="1894">
        <v>240</v>
      </c>
      <c r="BO444" s="1894">
        <v>0.89710000000000001</v>
      </c>
      <c r="BP444" s="1894">
        <v>13.95</v>
      </c>
      <c r="BQ444" s="1894">
        <v>17757</v>
      </c>
      <c r="BR444" s="1894">
        <f t="shared" si="174"/>
        <v>79004</v>
      </c>
      <c r="BS444" s="1894">
        <f t="shared" si="175"/>
        <v>0</v>
      </c>
      <c r="BT444" s="1894">
        <v>300</v>
      </c>
      <c r="BU444" s="1894">
        <v>195.84</v>
      </c>
      <c r="BV444" s="1894">
        <v>240</v>
      </c>
      <c r="BW444" s="1894">
        <v>0.874</v>
      </c>
      <c r="BX444" s="1894">
        <v>13.05</v>
      </c>
      <c r="BY444" s="1894">
        <v>19632</v>
      </c>
      <c r="BZ444" s="1894">
        <f t="shared" si="176"/>
        <v>87423</v>
      </c>
      <c r="CA444" s="1894">
        <f t="shared" si="177"/>
        <v>0</v>
      </c>
      <c r="CB444" s="1894">
        <v>300</v>
      </c>
      <c r="CC444" s="1894">
        <v>182.16</v>
      </c>
      <c r="CD444" s="1894">
        <v>240</v>
      </c>
      <c r="CE444" s="1894">
        <v>0.79379999999999995</v>
      </c>
      <c r="CF444" s="1894">
        <v>9.0299999999999994</v>
      </c>
      <c r="CG444" s="1894">
        <v>12237</v>
      </c>
      <c r="CH444" s="1894">
        <f t="shared" si="178"/>
        <v>81316</v>
      </c>
      <c r="CI444" s="1894">
        <f t="shared" si="179"/>
        <v>0</v>
      </c>
      <c r="CJ444" s="1894">
        <v>300</v>
      </c>
      <c r="CK444" s="1894">
        <v>185.28</v>
      </c>
      <c r="CL444" s="1894">
        <v>240</v>
      </c>
      <c r="CM444" s="1894">
        <v>0.86519999999999997</v>
      </c>
      <c r="CN444" s="1894">
        <v>11.69</v>
      </c>
      <c r="CO444" s="1894">
        <v>14556</v>
      </c>
      <c r="CP444" s="1894">
        <f t="shared" si="180"/>
        <v>74705</v>
      </c>
      <c r="CQ444" s="1894">
        <f t="shared" si="181"/>
        <v>0</v>
      </c>
      <c r="CR444" s="1924">
        <v>300</v>
      </c>
      <c r="CS444" s="1924">
        <v>200.4</v>
      </c>
      <c r="CT444" s="1924">
        <v>240</v>
      </c>
      <c r="CU444" s="1924">
        <v>0.95760000000000001</v>
      </c>
      <c r="CV444" s="1924">
        <v>13.59</v>
      </c>
      <c r="CW444" s="1924">
        <v>20259</v>
      </c>
      <c r="CX444" s="1894">
        <f t="shared" si="182"/>
        <v>89459</v>
      </c>
      <c r="CY444" s="1894">
        <f t="shared" si="183"/>
        <v>0</v>
      </c>
    </row>
    <row r="445" spans="1:103">
      <c r="A445" s="982">
        <v>127000000013</v>
      </c>
      <c r="B445" s="1923">
        <f t="shared" si="184"/>
        <v>439</v>
      </c>
      <c r="C445" s="1895" t="s">
        <v>3321</v>
      </c>
      <c r="D445" s="1894" t="s">
        <v>524</v>
      </c>
      <c r="E445" s="1895" t="s">
        <v>541</v>
      </c>
      <c r="F445" s="1894" t="s">
        <v>259</v>
      </c>
      <c r="G445" s="1924">
        <v>300</v>
      </c>
      <c r="H445" s="1894">
        <v>300</v>
      </c>
      <c r="I445" s="1894">
        <v>117.6</v>
      </c>
      <c r="J445" s="1894">
        <v>240</v>
      </c>
      <c r="K445" s="1894">
        <v>0.99180000000000001</v>
      </c>
      <c r="L445" s="1894">
        <v>8.41</v>
      </c>
      <c r="M445" s="1894">
        <v>7124</v>
      </c>
      <c r="N445" s="1894">
        <f t="shared" si="162"/>
        <v>50803</v>
      </c>
      <c r="O445" s="1894">
        <f t="shared" si="163"/>
        <v>0</v>
      </c>
      <c r="P445" s="1894">
        <v>300</v>
      </c>
      <c r="Q445" s="1894">
        <v>112.79999999999998</v>
      </c>
      <c r="R445" s="1894">
        <v>240</v>
      </c>
      <c r="S445" s="1894">
        <v>0.98929999999999996</v>
      </c>
      <c r="T445" s="1894">
        <v>10.28</v>
      </c>
      <c r="U445" s="1894">
        <v>8630</v>
      </c>
      <c r="V445" s="1894">
        <f t="shared" si="164"/>
        <v>50354</v>
      </c>
      <c r="W445" s="1894">
        <f t="shared" si="165"/>
        <v>0</v>
      </c>
      <c r="X445" s="1894">
        <v>300</v>
      </c>
      <c r="Y445" s="1894">
        <v>115.19999999999999</v>
      </c>
      <c r="Z445" s="1894">
        <v>240</v>
      </c>
      <c r="AA445" s="1894">
        <v>0.99529999999999996</v>
      </c>
      <c r="AB445" s="1894">
        <v>11.04</v>
      </c>
      <c r="AC445" s="1894">
        <v>7324</v>
      </c>
      <c r="AD445" s="1894">
        <f t="shared" si="166"/>
        <v>49766</v>
      </c>
      <c r="AE445" s="1894">
        <f t="shared" si="167"/>
        <v>0</v>
      </c>
      <c r="AF445" s="1894">
        <v>300</v>
      </c>
      <c r="AG445" s="1894">
        <v>100.47999999999999</v>
      </c>
      <c r="AH445" s="1894">
        <v>240</v>
      </c>
      <c r="AI445" s="1894">
        <v>0.98480000000000001</v>
      </c>
      <c r="AJ445" s="1894">
        <v>16.23</v>
      </c>
      <c r="AK445" s="1894">
        <v>12130</v>
      </c>
      <c r="AL445" s="1894">
        <f t="shared" ref="AL445:AL487" si="185">+ROUND((24*31*0.6*AG445),0)</f>
        <v>44854</v>
      </c>
      <c r="AM445" s="1894">
        <f t="shared" ref="AM445:AM487" si="186">+MAX((AK445-AL445),0)</f>
        <v>0</v>
      </c>
      <c r="AN445" s="1894">
        <v>300</v>
      </c>
      <c r="AO445" s="1894">
        <v>120.96000000000001</v>
      </c>
      <c r="AP445" s="1894">
        <v>240</v>
      </c>
      <c r="AQ445" s="1894">
        <v>0.98450000000000004</v>
      </c>
      <c r="AR445" s="1894">
        <v>14.74</v>
      </c>
      <c r="AS445" s="1894">
        <v>12840</v>
      </c>
      <c r="AT445" s="1894">
        <f t="shared" si="168"/>
        <v>53997</v>
      </c>
      <c r="AU445" s="1894">
        <f t="shared" si="169"/>
        <v>0</v>
      </c>
      <c r="AV445" s="1894">
        <v>300</v>
      </c>
      <c r="AW445" s="1894">
        <v>114.24000000000001</v>
      </c>
      <c r="AX445" s="1894">
        <v>240</v>
      </c>
      <c r="AY445" s="1894">
        <v>0.98770000000000002</v>
      </c>
      <c r="AZ445" s="1894">
        <v>10.16</v>
      </c>
      <c r="BA445" s="1894">
        <v>8354</v>
      </c>
      <c r="BB445" s="1894">
        <f t="shared" si="170"/>
        <v>49352</v>
      </c>
      <c r="BC445" s="1894">
        <f t="shared" si="171"/>
        <v>0</v>
      </c>
      <c r="BD445" s="1894">
        <v>300</v>
      </c>
      <c r="BE445" s="1894">
        <v>110.4</v>
      </c>
      <c r="BF445" s="1894">
        <v>240</v>
      </c>
      <c r="BG445" s="1894">
        <v>0.98870000000000002</v>
      </c>
      <c r="BH445" s="1894">
        <v>14.79</v>
      </c>
      <c r="BI445" s="1894">
        <v>12934</v>
      </c>
      <c r="BJ445" s="1894">
        <f t="shared" si="172"/>
        <v>49283</v>
      </c>
      <c r="BK445" s="1894">
        <f t="shared" si="173"/>
        <v>0</v>
      </c>
      <c r="BL445" s="1894">
        <v>300</v>
      </c>
      <c r="BM445" s="1894">
        <v>114.24000000000001</v>
      </c>
      <c r="BN445" s="1894">
        <v>240</v>
      </c>
      <c r="BO445" s="1894">
        <v>0.98870000000000002</v>
      </c>
      <c r="BP445" s="1894">
        <v>16.920000000000002</v>
      </c>
      <c r="BQ445" s="1894">
        <v>13454</v>
      </c>
      <c r="BR445" s="1894">
        <f t="shared" si="174"/>
        <v>49352</v>
      </c>
      <c r="BS445" s="1894">
        <f t="shared" si="175"/>
        <v>0</v>
      </c>
      <c r="BT445" s="1894">
        <v>300</v>
      </c>
      <c r="BU445" s="1894">
        <v>113.12</v>
      </c>
      <c r="BV445" s="1894">
        <v>240</v>
      </c>
      <c r="BW445" s="1894">
        <v>0.98160000000000003</v>
      </c>
      <c r="BX445" s="1894">
        <v>11.93</v>
      </c>
      <c r="BY445" s="1894">
        <v>9390</v>
      </c>
      <c r="BZ445" s="1894">
        <f t="shared" si="176"/>
        <v>50497</v>
      </c>
      <c r="CA445" s="1894">
        <f t="shared" si="177"/>
        <v>0</v>
      </c>
      <c r="CB445" s="1894">
        <v>300</v>
      </c>
      <c r="CC445" s="1894">
        <v>109.92</v>
      </c>
      <c r="CD445" s="1894">
        <v>240</v>
      </c>
      <c r="CE445" s="1894">
        <v>0.98970000000000002</v>
      </c>
      <c r="CF445" s="1894">
        <v>12.2</v>
      </c>
      <c r="CG445" s="1894">
        <v>12548</v>
      </c>
      <c r="CH445" s="1894">
        <f t="shared" si="178"/>
        <v>49068</v>
      </c>
      <c r="CI445" s="1894">
        <f t="shared" si="179"/>
        <v>0</v>
      </c>
      <c r="CJ445" s="1894">
        <v>300</v>
      </c>
      <c r="CK445" s="1894">
        <v>100</v>
      </c>
      <c r="CL445" s="1894">
        <v>240</v>
      </c>
      <c r="CM445" s="1894">
        <v>0.99009999999999998</v>
      </c>
      <c r="CN445" s="1894">
        <v>13.66</v>
      </c>
      <c r="CO445" s="1894">
        <v>9182</v>
      </c>
      <c r="CP445" s="1894">
        <f t="shared" si="180"/>
        <v>40320</v>
      </c>
      <c r="CQ445" s="1894">
        <f t="shared" si="181"/>
        <v>0</v>
      </c>
      <c r="CR445" s="1924">
        <v>300</v>
      </c>
      <c r="CS445" s="1924">
        <v>112.00000000000001</v>
      </c>
      <c r="CT445" s="1924">
        <v>240</v>
      </c>
      <c r="CU445" s="1924">
        <v>0.99009999999999998</v>
      </c>
      <c r="CV445" s="1924">
        <v>15.15</v>
      </c>
      <c r="CW445" s="1924">
        <v>12624</v>
      </c>
      <c r="CX445" s="1894">
        <f t="shared" si="182"/>
        <v>49997</v>
      </c>
      <c r="CY445" s="1894">
        <f t="shared" si="183"/>
        <v>0</v>
      </c>
    </row>
    <row r="446" spans="1:103">
      <c r="A446" s="982">
        <v>611000000053</v>
      </c>
      <c r="B446" s="1923">
        <f t="shared" si="184"/>
        <v>440</v>
      </c>
      <c r="C446" s="1895" t="s">
        <v>3322</v>
      </c>
      <c r="D446" s="1894" t="s">
        <v>524</v>
      </c>
      <c r="E446" s="1895" t="s">
        <v>636</v>
      </c>
      <c r="F446" s="1894" t="s">
        <v>259</v>
      </c>
      <c r="G446" s="1924">
        <v>300</v>
      </c>
      <c r="H446" s="1894">
        <v>300</v>
      </c>
      <c r="I446" s="1894">
        <v>89.52</v>
      </c>
      <c r="J446" s="1894">
        <v>240</v>
      </c>
      <c r="K446" s="1894">
        <v>0.99690000000000001</v>
      </c>
      <c r="L446" s="1894">
        <v>15.26</v>
      </c>
      <c r="M446" s="1894">
        <v>9837</v>
      </c>
      <c r="N446" s="1894">
        <f t="shared" si="162"/>
        <v>38673</v>
      </c>
      <c r="O446" s="1894">
        <f t="shared" si="163"/>
        <v>0</v>
      </c>
      <c r="P446" s="1894">
        <v>300</v>
      </c>
      <c r="Q446" s="1894">
        <v>32.4</v>
      </c>
      <c r="R446" s="1894">
        <v>240</v>
      </c>
      <c r="S446" s="1894">
        <v>0.99490000000000001</v>
      </c>
      <c r="T446" s="1894">
        <v>34.83</v>
      </c>
      <c r="U446" s="1894">
        <v>8397</v>
      </c>
      <c r="V446" s="1894">
        <f t="shared" si="164"/>
        <v>14463</v>
      </c>
      <c r="W446" s="1894">
        <f t="shared" si="165"/>
        <v>0</v>
      </c>
      <c r="X446" s="1894">
        <v>300</v>
      </c>
      <c r="Y446" s="1894">
        <v>55.679999999999993</v>
      </c>
      <c r="Z446" s="1894">
        <v>240</v>
      </c>
      <c r="AA446" s="1894">
        <v>0.99229999999999996</v>
      </c>
      <c r="AB446" s="1894">
        <v>21.39</v>
      </c>
      <c r="AC446" s="1894">
        <v>8577</v>
      </c>
      <c r="AD446" s="1894">
        <f t="shared" si="166"/>
        <v>24054</v>
      </c>
      <c r="AE446" s="1894">
        <f t="shared" si="167"/>
        <v>0</v>
      </c>
      <c r="AF446" s="1894">
        <v>300</v>
      </c>
      <c r="AG446" s="1894">
        <v>57.839999999999996</v>
      </c>
      <c r="AH446" s="1894">
        <v>240</v>
      </c>
      <c r="AI446" s="1894">
        <v>0.98329999999999995</v>
      </c>
      <c r="AJ446" s="1894">
        <v>17.82</v>
      </c>
      <c r="AK446" s="1894">
        <v>6678</v>
      </c>
      <c r="AL446" s="1894">
        <f t="shared" si="185"/>
        <v>25820</v>
      </c>
      <c r="AM446" s="1894">
        <f t="shared" si="186"/>
        <v>0</v>
      </c>
      <c r="AN446" s="1894">
        <v>300</v>
      </c>
      <c r="AO446" s="1894">
        <v>11.52</v>
      </c>
      <c r="AP446" s="1894">
        <v>240</v>
      </c>
      <c r="AQ446" s="1894">
        <v>0.99250000000000005</v>
      </c>
      <c r="AR446" s="1894">
        <v>112.13</v>
      </c>
      <c r="AS446" s="1894">
        <v>10851</v>
      </c>
      <c r="AT446" s="1894">
        <f t="shared" si="168"/>
        <v>5143</v>
      </c>
      <c r="AU446" s="1894">
        <f t="shared" si="169"/>
        <v>5708</v>
      </c>
      <c r="AV446" s="1894">
        <v>300</v>
      </c>
      <c r="AW446" s="1894">
        <v>36.24</v>
      </c>
      <c r="AX446" s="1894">
        <v>240</v>
      </c>
      <c r="AY446" s="1894">
        <v>0.99199999999999999</v>
      </c>
      <c r="AZ446" s="1894">
        <v>30.39</v>
      </c>
      <c r="BA446" s="1894">
        <v>7929</v>
      </c>
      <c r="BB446" s="1894">
        <f t="shared" si="170"/>
        <v>15656</v>
      </c>
      <c r="BC446" s="1894">
        <f t="shared" si="171"/>
        <v>0</v>
      </c>
      <c r="BD446" s="1894">
        <v>300</v>
      </c>
      <c r="BE446" s="1894">
        <v>31.919999999999998</v>
      </c>
      <c r="BF446" s="1894">
        <v>240</v>
      </c>
      <c r="BG446" s="1894">
        <v>0.99060000000000004</v>
      </c>
      <c r="BH446" s="1894">
        <v>39.15</v>
      </c>
      <c r="BI446" s="1894">
        <v>9297</v>
      </c>
      <c r="BJ446" s="1894">
        <f t="shared" si="172"/>
        <v>14249</v>
      </c>
      <c r="BK446" s="1894">
        <f t="shared" si="173"/>
        <v>0</v>
      </c>
      <c r="BL446" s="1894">
        <v>300</v>
      </c>
      <c r="BM446" s="1894">
        <v>72.72</v>
      </c>
      <c r="BN446" s="1894">
        <v>240</v>
      </c>
      <c r="BO446" s="1894">
        <v>0.98199999999999998</v>
      </c>
      <c r="BP446" s="1894">
        <v>16.63</v>
      </c>
      <c r="BQ446" s="1894">
        <v>8709</v>
      </c>
      <c r="BR446" s="1894">
        <f t="shared" si="174"/>
        <v>31415</v>
      </c>
      <c r="BS446" s="1894">
        <f t="shared" si="175"/>
        <v>0</v>
      </c>
      <c r="BT446" s="1894">
        <v>300</v>
      </c>
      <c r="BU446" s="1894">
        <v>111.35999999999999</v>
      </c>
      <c r="BV446" s="1894">
        <v>240</v>
      </c>
      <c r="BW446" s="1894">
        <v>0.96740000000000004</v>
      </c>
      <c r="BX446" s="1894">
        <v>7.46</v>
      </c>
      <c r="BY446" s="1894">
        <v>6180</v>
      </c>
      <c r="BZ446" s="1894">
        <f t="shared" si="176"/>
        <v>49711</v>
      </c>
      <c r="CA446" s="1894">
        <f t="shared" si="177"/>
        <v>0</v>
      </c>
      <c r="CB446" s="1894">
        <v>300</v>
      </c>
      <c r="CC446" s="1894">
        <v>19.680000000000003</v>
      </c>
      <c r="CD446" s="1894">
        <v>240</v>
      </c>
      <c r="CE446" s="1894">
        <v>0.98119999999999996</v>
      </c>
      <c r="CF446" s="1894">
        <v>38.25</v>
      </c>
      <c r="CG446" s="1894">
        <v>5601</v>
      </c>
      <c r="CH446" s="1894">
        <f t="shared" si="178"/>
        <v>8785</v>
      </c>
      <c r="CI446" s="1894">
        <f t="shared" si="179"/>
        <v>0</v>
      </c>
      <c r="CJ446" s="1894">
        <v>300</v>
      </c>
      <c r="CK446" s="1894">
        <v>19.680000000000003</v>
      </c>
      <c r="CL446" s="1894">
        <v>240</v>
      </c>
      <c r="CM446" s="1894">
        <v>0.97260000000000002</v>
      </c>
      <c r="CN446" s="1894">
        <v>40.58</v>
      </c>
      <c r="CO446" s="1894">
        <v>5367</v>
      </c>
      <c r="CP446" s="1894">
        <f t="shared" si="180"/>
        <v>7935</v>
      </c>
      <c r="CQ446" s="1894">
        <f t="shared" si="181"/>
        <v>0</v>
      </c>
      <c r="CR446" s="1924">
        <v>300</v>
      </c>
      <c r="CS446" s="1924">
        <v>64.8</v>
      </c>
      <c r="CT446" s="1924">
        <v>240</v>
      </c>
      <c r="CU446" s="1924">
        <v>1</v>
      </c>
      <c r="CV446" s="1924">
        <v>16.829999999999998</v>
      </c>
      <c r="CW446" s="1924">
        <v>8112</v>
      </c>
      <c r="CX446" s="1894">
        <f t="shared" si="182"/>
        <v>28927</v>
      </c>
      <c r="CY446" s="1894">
        <f t="shared" si="183"/>
        <v>0</v>
      </c>
    </row>
    <row r="447" spans="1:103">
      <c r="A447" s="982">
        <v>621000000007</v>
      </c>
      <c r="B447" s="1923">
        <f t="shared" si="184"/>
        <v>441</v>
      </c>
      <c r="C447" s="1895" t="s">
        <v>3323</v>
      </c>
      <c r="D447" s="1894" t="s">
        <v>524</v>
      </c>
      <c r="E447" s="1895" t="s">
        <v>541</v>
      </c>
      <c r="F447" s="1894" t="s">
        <v>259</v>
      </c>
      <c r="G447" s="1924">
        <v>300</v>
      </c>
      <c r="H447" s="1894">
        <v>300</v>
      </c>
      <c r="I447" s="1894">
        <v>177.84</v>
      </c>
      <c r="J447" s="1894">
        <v>240</v>
      </c>
      <c r="K447" s="1894">
        <v>0.90249999999999997</v>
      </c>
      <c r="L447" s="1894">
        <v>3.5</v>
      </c>
      <c r="M447" s="1894">
        <v>5079</v>
      </c>
      <c r="N447" s="1894">
        <f t="shared" si="162"/>
        <v>76827</v>
      </c>
      <c r="O447" s="1894">
        <f t="shared" si="163"/>
        <v>0</v>
      </c>
      <c r="P447" s="1894">
        <v>300</v>
      </c>
      <c r="Q447" s="1894">
        <v>195.72</v>
      </c>
      <c r="R447" s="1894">
        <v>240</v>
      </c>
      <c r="S447" s="1894">
        <v>0.90449999999999997</v>
      </c>
      <c r="T447" s="1894">
        <v>20.72</v>
      </c>
      <c r="U447" s="1894">
        <v>30177</v>
      </c>
      <c r="V447" s="1894">
        <f t="shared" si="164"/>
        <v>87369</v>
      </c>
      <c r="W447" s="1894">
        <f t="shared" si="165"/>
        <v>0</v>
      </c>
      <c r="X447" s="1894">
        <v>300</v>
      </c>
      <c r="Y447" s="1894">
        <v>203.28</v>
      </c>
      <c r="Z447" s="1894">
        <v>240</v>
      </c>
      <c r="AA447" s="1894">
        <v>0.92730000000000001</v>
      </c>
      <c r="AB447" s="1894">
        <v>20.71</v>
      </c>
      <c r="AC447" s="1894">
        <v>30308</v>
      </c>
      <c r="AD447" s="1894">
        <f t="shared" si="166"/>
        <v>87817</v>
      </c>
      <c r="AE447" s="1894">
        <f t="shared" si="167"/>
        <v>0</v>
      </c>
      <c r="AF447" s="1894">
        <v>300</v>
      </c>
      <c r="AG447" s="1894">
        <v>194.51999999999998</v>
      </c>
      <c r="AH447" s="1894">
        <v>240</v>
      </c>
      <c r="AI447" s="1894">
        <v>0.92490000000000006</v>
      </c>
      <c r="AJ447" s="1894">
        <v>23.19</v>
      </c>
      <c r="AK447" s="1894">
        <v>31392</v>
      </c>
      <c r="AL447" s="1894">
        <f t="shared" si="185"/>
        <v>86834</v>
      </c>
      <c r="AM447" s="1894">
        <f t="shared" si="186"/>
        <v>0</v>
      </c>
      <c r="AN447" s="1894">
        <v>300</v>
      </c>
      <c r="AO447" s="1894">
        <v>103.68</v>
      </c>
      <c r="AP447" s="1894">
        <v>240</v>
      </c>
      <c r="AQ447" s="1894">
        <v>0.90759999999999996</v>
      </c>
      <c r="AR447" s="1894">
        <v>42.23</v>
      </c>
      <c r="AS447" s="1894">
        <v>34680</v>
      </c>
      <c r="AT447" s="1894">
        <f t="shared" si="168"/>
        <v>46283</v>
      </c>
      <c r="AU447" s="1894">
        <f t="shared" si="169"/>
        <v>0</v>
      </c>
      <c r="AV447" s="1894">
        <v>300</v>
      </c>
      <c r="AW447" s="1894">
        <v>184.56</v>
      </c>
      <c r="AX447" s="1894">
        <v>240</v>
      </c>
      <c r="AY447" s="1894">
        <v>0.90710000000000002</v>
      </c>
      <c r="AZ447" s="1894">
        <v>22.16</v>
      </c>
      <c r="BA447" s="1894">
        <v>29448</v>
      </c>
      <c r="BB447" s="1894">
        <f t="shared" si="170"/>
        <v>79730</v>
      </c>
      <c r="BC447" s="1894">
        <f t="shared" si="171"/>
        <v>0</v>
      </c>
      <c r="BD447" s="1894">
        <v>300</v>
      </c>
      <c r="BE447" s="1894">
        <v>166.92000000000002</v>
      </c>
      <c r="BF447" s="1894">
        <v>240</v>
      </c>
      <c r="BG447" s="1894">
        <v>0.91839999999999999</v>
      </c>
      <c r="BH447" s="1894">
        <v>17.47</v>
      </c>
      <c r="BI447" s="1894">
        <v>21692</v>
      </c>
      <c r="BJ447" s="1894">
        <f t="shared" si="172"/>
        <v>74513</v>
      </c>
      <c r="BK447" s="1894">
        <f t="shared" si="173"/>
        <v>0</v>
      </c>
      <c r="BL447" s="1894">
        <v>300</v>
      </c>
      <c r="BM447" s="1894">
        <v>204.83999999999997</v>
      </c>
      <c r="BN447" s="1894">
        <v>240</v>
      </c>
      <c r="BO447" s="1894">
        <v>0.91200000000000003</v>
      </c>
      <c r="BP447" s="1894">
        <v>18.61</v>
      </c>
      <c r="BQ447" s="1894">
        <v>27446</v>
      </c>
      <c r="BR447" s="1894">
        <f t="shared" si="174"/>
        <v>88491</v>
      </c>
      <c r="BS447" s="1894">
        <f t="shared" si="175"/>
        <v>0</v>
      </c>
      <c r="BT447" s="1894">
        <v>300</v>
      </c>
      <c r="BU447" s="1894">
        <v>200.28</v>
      </c>
      <c r="BV447" s="1894">
        <v>240</v>
      </c>
      <c r="BW447" s="1894">
        <v>0.89870000000000005</v>
      </c>
      <c r="BX447" s="1894">
        <v>19.46</v>
      </c>
      <c r="BY447" s="1894">
        <v>28993</v>
      </c>
      <c r="BZ447" s="1894">
        <f t="shared" si="176"/>
        <v>89405</v>
      </c>
      <c r="CA447" s="1894">
        <f t="shared" si="177"/>
        <v>0</v>
      </c>
      <c r="CB447" s="1894">
        <v>300</v>
      </c>
      <c r="CC447" s="1894">
        <v>205.07999999999998</v>
      </c>
      <c r="CD447" s="1894">
        <v>240</v>
      </c>
      <c r="CE447" s="1894">
        <v>0.90539999999999998</v>
      </c>
      <c r="CF447" s="1894">
        <v>21.69</v>
      </c>
      <c r="CG447" s="1894">
        <v>33101</v>
      </c>
      <c r="CH447" s="1894">
        <f t="shared" si="178"/>
        <v>91548</v>
      </c>
      <c r="CI447" s="1894">
        <f t="shared" si="179"/>
        <v>0</v>
      </c>
      <c r="CJ447" s="1894">
        <v>300</v>
      </c>
      <c r="CK447" s="1894">
        <v>215.16</v>
      </c>
      <c r="CL447" s="1894">
        <v>240</v>
      </c>
      <c r="CM447" s="1894">
        <v>0.92330000000000001</v>
      </c>
      <c r="CN447" s="1894">
        <v>19.72</v>
      </c>
      <c r="CO447" s="1894">
        <v>28510</v>
      </c>
      <c r="CP447" s="1894">
        <f t="shared" si="180"/>
        <v>86753</v>
      </c>
      <c r="CQ447" s="1894">
        <f t="shared" si="181"/>
        <v>0</v>
      </c>
      <c r="CR447" s="1924">
        <v>300</v>
      </c>
      <c r="CS447" s="1924">
        <v>204.96</v>
      </c>
      <c r="CT447" s="1924">
        <v>240</v>
      </c>
      <c r="CU447" s="1924">
        <v>0.92030000000000001</v>
      </c>
      <c r="CV447" s="1924">
        <v>12.61</v>
      </c>
      <c r="CW447" s="1924">
        <v>19225</v>
      </c>
      <c r="CX447" s="1894">
        <f t="shared" si="182"/>
        <v>91494</v>
      </c>
      <c r="CY447" s="1894">
        <f t="shared" si="183"/>
        <v>0</v>
      </c>
    </row>
    <row r="448" spans="1:103">
      <c r="A448" s="982">
        <v>613000000018</v>
      </c>
      <c r="B448" s="1923">
        <f t="shared" si="184"/>
        <v>442</v>
      </c>
      <c r="C448" s="1895" t="s">
        <v>3324</v>
      </c>
      <c r="D448" s="1894" t="s">
        <v>524</v>
      </c>
      <c r="E448" s="1895" t="s">
        <v>541</v>
      </c>
      <c r="F448" s="1894" t="s">
        <v>259</v>
      </c>
      <c r="G448" s="1924">
        <v>300</v>
      </c>
      <c r="H448" s="1894">
        <v>300</v>
      </c>
      <c r="I448" s="1894">
        <v>168</v>
      </c>
      <c r="J448" s="1894">
        <v>240</v>
      </c>
      <c r="K448" s="1894">
        <v>0.91549999999999998</v>
      </c>
      <c r="L448" s="1894">
        <v>45.54</v>
      </c>
      <c r="M448" s="1894">
        <v>55080</v>
      </c>
      <c r="N448" s="1894">
        <f t="shared" si="162"/>
        <v>72576</v>
      </c>
      <c r="O448" s="1894">
        <f t="shared" si="163"/>
        <v>0</v>
      </c>
      <c r="P448" s="1894">
        <v>300</v>
      </c>
      <c r="Q448" s="1894">
        <v>182.4</v>
      </c>
      <c r="R448" s="1894">
        <v>240</v>
      </c>
      <c r="S448" s="1894">
        <v>0.92010000000000003</v>
      </c>
      <c r="T448" s="1894">
        <v>42.96</v>
      </c>
      <c r="U448" s="1894">
        <v>58304</v>
      </c>
      <c r="V448" s="1894">
        <f t="shared" si="164"/>
        <v>81423</v>
      </c>
      <c r="W448" s="1894">
        <f t="shared" si="165"/>
        <v>0</v>
      </c>
      <c r="X448" s="1894">
        <v>300</v>
      </c>
      <c r="Y448" s="1894">
        <v>196.96</v>
      </c>
      <c r="Z448" s="1894">
        <v>240</v>
      </c>
      <c r="AA448" s="1894">
        <v>0.89670000000000005</v>
      </c>
      <c r="AB448" s="1894">
        <v>28.41</v>
      </c>
      <c r="AC448" s="1894">
        <v>40288</v>
      </c>
      <c r="AD448" s="1894">
        <f t="shared" si="166"/>
        <v>85087</v>
      </c>
      <c r="AE448" s="1894">
        <f t="shared" si="167"/>
        <v>0</v>
      </c>
      <c r="AF448" s="1894">
        <v>300</v>
      </c>
      <c r="AG448" s="1894">
        <v>190.56</v>
      </c>
      <c r="AH448" s="1894">
        <v>240</v>
      </c>
      <c r="AI448" s="1894">
        <v>0.90659999999999996</v>
      </c>
      <c r="AJ448" s="1894">
        <v>31.99</v>
      </c>
      <c r="AK448" s="1894">
        <v>45354</v>
      </c>
      <c r="AL448" s="1894">
        <f t="shared" si="185"/>
        <v>85066</v>
      </c>
      <c r="AM448" s="1894">
        <f t="shared" si="186"/>
        <v>0</v>
      </c>
      <c r="AN448" s="1894">
        <v>300</v>
      </c>
      <c r="AO448" s="1894">
        <v>159.51999999999998</v>
      </c>
      <c r="AP448" s="1894">
        <v>240</v>
      </c>
      <c r="AQ448" s="1894">
        <v>0.89870000000000005</v>
      </c>
      <c r="AR448" s="1894">
        <v>58.23</v>
      </c>
      <c r="AS448" s="1894">
        <v>69104</v>
      </c>
      <c r="AT448" s="1894">
        <f t="shared" si="168"/>
        <v>71210</v>
      </c>
      <c r="AU448" s="1894">
        <f t="shared" si="169"/>
        <v>0</v>
      </c>
      <c r="AV448" s="1894">
        <v>300</v>
      </c>
      <c r="AW448" s="1894">
        <v>177.12</v>
      </c>
      <c r="AX448" s="1894">
        <v>240</v>
      </c>
      <c r="AY448" s="1894">
        <v>0.39069999999999999</v>
      </c>
      <c r="AZ448" s="1894">
        <v>10.81</v>
      </c>
      <c r="BA448" s="1894">
        <v>13788</v>
      </c>
      <c r="BB448" s="1894">
        <f t="shared" si="170"/>
        <v>76516</v>
      </c>
      <c r="BC448" s="1894">
        <f t="shared" si="171"/>
        <v>0</v>
      </c>
      <c r="BD448" s="1894">
        <v>300</v>
      </c>
      <c r="BE448" s="1894">
        <v>81.12</v>
      </c>
      <c r="BF448" s="1894">
        <v>240</v>
      </c>
      <c r="BG448" s="1894">
        <v>0.34610000000000002</v>
      </c>
      <c r="BH448" s="1894">
        <v>28.01</v>
      </c>
      <c r="BI448" s="1894">
        <v>16906</v>
      </c>
      <c r="BJ448" s="1894">
        <f t="shared" si="172"/>
        <v>36212</v>
      </c>
      <c r="BK448" s="1894">
        <f t="shared" si="173"/>
        <v>0</v>
      </c>
      <c r="BL448" s="1894">
        <v>300</v>
      </c>
      <c r="BM448" s="1894">
        <v>530.24</v>
      </c>
      <c r="BN448" s="1894">
        <v>530.24</v>
      </c>
      <c r="BO448" s="1894">
        <v>0.27839999999999998</v>
      </c>
      <c r="BP448" s="1894">
        <v>5.74</v>
      </c>
      <c r="BQ448" s="1894">
        <v>21916</v>
      </c>
      <c r="BR448" s="1894">
        <f t="shared" si="174"/>
        <v>229064</v>
      </c>
      <c r="BS448" s="1894">
        <f t="shared" si="175"/>
        <v>0</v>
      </c>
      <c r="BT448" s="1894">
        <v>300</v>
      </c>
      <c r="BU448" s="1894">
        <v>176.64</v>
      </c>
      <c r="BV448" s="1894">
        <v>240</v>
      </c>
      <c r="BW448" s="1894">
        <v>0.36009999999999998</v>
      </c>
      <c r="BX448" s="1894">
        <v>29.84</v>
      </c>
      <c r="BY448" s="1894">
        <v>30356</v>
      </c>
      <c r="BZ448" s="1894">
        <f t="shared" si="176"/>
        <v>78852</v>
      </c>
      <c r="CA448" s="1894">
        <f t="shared" si="177"/>
        <v>0</v>
      </c>
      <c r="CB448" s="1894">
        <v>300</v>
      </c>
      <c r="CC448" s="1894">
        <v>193.6</v>
      </c>
      <c r="CD448" s="1894">
        <v>240</v>
      </c>
      <c r="CE448" s="1894">
        <v>0.79469999999999996</v>
      </c>
      <c r="CF448" s="1894">
        <v>47.49</v>
      </c>
      <c r="CG448" s="1894">
        <v>83848</v>
      </c>
      <c r="CH448" s="1894">
        <f t="shared" si="178"/>
        <v>86423</v>
      </c>
      <c r="CI448" s="1894">
        <f t="shared" si="179"/>
        <v>0</v>
      </c>
      <c r="CJ448" s="1894">
        <v>300</v>
      </c>
      <c r="CK448" s="1894">
        <v>250.72</v>
      </c>
      <c r="CL448" s="1894">
        <v>250.72</v>
      </c>
      <c r="CM448" s="1894">
        <v>0.90029999999999999</v>
      </c>
      <c r="CN448" s="1894">
        <v>38.89</v>
      </c>
      <c r="CO448" s="1894">
        <v>65524</v>
      </c>
      <c r="CP448" s="1894">
        <f t="shared" si="180"/>
        <v>101090</v>
      </c>
      <c r="CQ448" s="1894">
        <f t="shared" si="181"/>
        <v>0</v>
      </c>
      <c r="CR448" s="1924">
        <v>300</v>
      </c>
      <c r="CS448" s="1924">
        <v>187.35999999999999</v>
      </c>
      <c r="CT448" s="1924">
        <v>240</v>
      </c>
      <c r="CU448" s="1924">
        <v>0.94599999999999995</v>
      </c>
      <c r="CV448" s="1924">
        <v>51.57</v>
      </c>
      <c r="CW448" s="1924">
        <v>71884</v>
      </c>
      <c r="CX448" s="1894">
        <f t="shared" si="182"/>
        <v>83638</v>
      </c>
      <c r="CY448" s="1894">
        <f t="shared" si="183"/>
        <v>0</v>
      </c>
    </row>
    <row r="449" spans="1:103">
      <c r="A449" s="982">
        <v>622000000182</v>
      </c>
      <c r="B449" s="1923">
        <f t="shared" si="184"/>
        <v>443</v>
      </c>
      <c r="C449" s="1895" t="s">
        <v>3325</v>
      </c>
      <c r="D449" s="1894" t="s">
        <v>2930</v>
      </c>
      <c r="E449" s="1895" t="s">
        <v>541</v>
      </c>
      <c r="F449" s="1894" t="s">
        <v>259</v>
      </c>
      <c r="G449" s="1924">
        <v>300</v>
      </c>
      <c r="H449" s="1894">
        <v>300</v>
      </c>
      <c r="I449" s="1894">
        <v>0</v>
      </c>
      <c r="J449" s="1894">
        <v>240</v>
      </c>
      <c r="K449" s="1894">
        <v>0</v>
      </c>
      <c r="L449" s="1894">
        <v>0</v>
      </c>
      <c r="M449" s="1894">
        <v>0</v>
      </c>
      <c r="N449" s="1894">
        <f t="shared" si="162"/>
        <v>0</v>
      </c>
      <c r="O449" s="1894">
        <f t="shared" si="163"/>
        <v>0</v>
      </c>
      <c r="P449" s="1894">
        <v>300</v>
      </c>
      <c r="Q449" s="1894">
        <v>0</v>
      </c>
      <c r="R449" s="1894">
        <v>240</v>
      </c>
      <c r="S449" s="1894">
        <v>0</v>
      </c>
      <c r="T449" s="1894">
        <v>0</v>
      </c>
      <c r="U449" s="1894">
        <v>0</v>
      </c>
      <c r="V449" s="1894">
        <f t="shared" si="164"/>
        <v>0</v>
      </c>
      <c r="W449" s="1894">
        <f t="shared" si="165"/>
        <v>0</v>
      </c>
      <c r="X449" s="1894">
        <v>300</v>
      </c>
      <c r="Y449" s="1894">
        <v>0</v>
      </c>
      <c r="Z449" s="1894">
        <v>240</v>
      </c>
      <c r="AA449" s="1894">
        <v>0</v>
      </c>
      <c r="AB449" s="1894">
        <v>0</v>
      </c>
      <c r="AC449" s="1894">
        <v>0</v>
      </c>
      <c r="AD449" s="1894">
        <f t="shared" si="166"/>
        <v>0</v>
      </c>
      <c r="AE449" s="1894">
        <f t="shared" si="167"/>
        <v>0</v>
      </c>
      <c r="AF449" s="1894">
        <v>300</v>
      </c>
      <c r="AG449" s="1894">
        <v>0</v>
      </c>
      <c r="AH449" s="1894">
        <v>240</v>
      </c>
      <c r="AI449" s="1894">
        <v>0</v>
      </c>
      <c r="AJ449" s="1894">
        <v>0</v>
      </c>
      <c r="AK449" s="1894">
        <v>0</v>
      </c>
      <c r="AL449" s="1894">
        <f t="shared" si="185"/>
        <v>0</v>
      </c>
      <c r="AM449" s="1894">
        <f t="shared" si="186"/>
        <v>0</v>
      </c>
      <c r="AN449" s="1894">
        <v>300</v>
      </c>
      <c r="AO449" s="1894">
        <v>0</v>
      </c>
      <c r="AP449" s="1894">
        <v>240</v>
      </c>
      <c r="AQ449" s="1894">
        <v>0</v>
      </c>
      <c r="AR449" s="1894">
        <v>0</v>
      </c>
      <c r="AS449" s="1894">
        <v>0</v>
      </c>
      <c r="AT449" s="1894">
        <f t="shared" si="168"/>
        <v>0</v>
      </c>
      <c r="AU449" s="1894">
        <f t="shared" si="169"/>
        <v>0</v>
      </c>
      <c r="AV449" s="1894">
        <v>300</v>
      </c>
      <c r="AW449" s="1894">
        <v>0</v>
      </c>
      <c r="AX449" s="1894">
        <v>240</v>
      </c>
      <c r="AY449" s="1894">
        <v>0</v>
      </c>
      <c r="AZ449" s="1894">
        <v>0</v>
      </c>
      <c r="BA449" s="1894">
        <v>0</v>
      </c>
      <c r="BB449" s="1894">
        <f t="shared" si="170"/>
        <v>0</v>
      </c>
      <c r="BC449" s="1894">
        <f t="shared" si="171"/>
        <v>0</v>
      </c>
      <c r="BD449" s="1894">
        <v>300</v>
      </c>
      <c r="BE449" s="1894">
        <v>0</v>
      </c>
      <c r="BF449" s="1894">
        <v>240</v>
      </c>
      <c r="BG449" s="1894">
        <v>0</v>
      </c>
      <c r="BH449" s="1894">
        <v>0</v>
      </c>
      <c r="BI449" s="1894">
        <v>0</v>
      </c>
      <c r="BJ449" s="1894">
        <f t="shared" si="172"/>
        <v>0</v>
      </c>
      <c r="BK449" s="1894">
        <f t="shared" si="173"/>
        <v>0</v>
      </c>
      <c r="BL449" s="1894">
        <v>300</v>
      </c>
      <c r="BM449" s="1894">
        <v>0</v>
      </c>
      <c r="BN449" s="1894">
        <v>240</v>
      </c>
      <c r="BO449" s="1894">
        <v>0</v>
      </c>
      <c r="BP449" s="1894">
        <v>0</v>
      </c>
      <c r="BQ449" s="1894">
        <v>0</v>
      </c>
      <c r="BR449" s="1894">
        <f t="shared" si="174"/>
        <v>0</v>
      </c>
      <c r="BS449" s="1894">
        <f t="shared" si="175"/>
        <v>0</v>
      </c>
      <c r="BT449" s="1894">
        <v>300</v>
      </c>
      <c r="BU449" s="1894">
        <v>0</v>
      </c>
      <c r="BV449" s="1894">
        <v>240</v>
      </c>
      <c r="BW449" s="1894">
        <v>0</v>
      </c>
      <c r="BX449" s="1894">
        <v>0</v>
      </c>
      <c r="BY449" s="1894">
        <v>0</v>
      </c>
      <c r="BZ449" s="1894">
        <f t="shared" si="176"/>
        <v>0</v>
      </c>
      <c r="CA449" s="1894">
        <f t="shared" si="177"/>
        <v>0</v>
      </c>
      <c r="CB449" s="1894">
        <v>300</v>
      </c>
      <c r="CC449" s="1894">
        <v>0</v>
      </c>
      <c r="CD449" s="1894">
        <v>240</v>
      </c>
      <c r="CE449" s="1894">
        <v>0</v>
      </c>
      <c r="CF449" s="1894">
        <v>0</v>
      </c>
      <c r="CG449" s="1894">
        <v>0</v>
      </c>
      <c r="CH449" s="1894">
        <f t="shared" si="178"/>
        <v>0</v>
      </c>
      <c r="CI449" s="1894">
        <f t="shared" si="179"/>
        <v>0</v>
      </c>
      <c r="CJ449" s="1894">
        <v>300</v>
      </c>
      <c r="CK449" s="1894">
        <v>0</v>
      </c>
      <c r="CL449" s="1894">
        <v>240</v>
      </c>
      <c r="CM449" s="1894">
        <v>0</v>
      </c>
      <c r="CN449" s="1894">
        <v>0</v>
      </c>
      <c r="CO449" s="1894">
        <v>0</v>
      </c>
      <c r="CP449" s="1894">
        <f t="shared" si="180"/>
        <v>0</v>
      </c>
      <c r="CQ449" s="1894">
        <f t="shared" si="181"/>
        <v>0</v>
      </c>
      <c r="CR449" s="1924">
        <v>300</v>
      </c>
      <c r="CS449" s="1924">
        <v>0</v>
      </c>
      <c r="CT449" s="1924">
        <v>240</v>
      </c>
      <c r="CU449" s="1924">
        <v>0</v>
      </c>
      <c r="CV449" s="1924">
        <v>0</v>
      </c>
      <c r="CW449" s="1924">
        <v>0</v>
      </c>
      <c r="CX449" s="1894">
        <f t="shared" si="182"/>
        <v>0</v>
      </c>
      <c r="CY449" s="1894">
        <f t="shared" si="183"/>
        <v>0</v>
      </c>
    </row>
    <row r="450" spans="1:103">
      <c r="A450" s="982">
        <v>622000000183</v>
      </c>
      <c r="B450" s="1923">
        <f t="shared" si="184"/>
        <v>444</v>
      </c>
      <c r="C450" s="1895" t="s">
        <v>3326</v>
      </c>
      <c r="D450" s="1894" t="s">
        <v>2930</v>
      </c>
      <c r="E450" s="1895" t="s">
        <v>541</v>
      </c>
      <c r="F450" s="1894" t="s">
        <v>259</v>
      </c>
      <c r="G450" s="1924">
        <v>300</v>
      </c>
      <c r="H450" s="1894">
        <v>300</v>
      </c>
      <c r="I450" s="1894">
        <v>0</v>
      </c>
      <c r="J450" s="1894">
        <v>240</v>
      </c>
      <c r="K450" s="1894">
        <v>0</v>
      </c>
      <c r="L450" s="1894">
        <v>0</v>
      </c>
      <c r="M450" s="1894">
        <v>0</v>
      </c>
      <c r="N450" s="1894">
        <f t="shared" si="162"/>
        <v>0</v>
      </c>
      <c r="O450" s="1894">
        <f t="shared" si="163"/>
        <v>0</v>
      </c>
      <c r="P450" s="1894">
        <v>300</v>
      </c>
      <c r="Q450" s="1894">
        <v>0</v>
      </c>
      <c r="R450" s="1894">
        <v>240</v>
      </c>
      <c r="S450" s="1894">
        <v>0</v>
      </c>
      <c r="T450" s="1894">
        <v>0</v>
      </c>
      <c r="U450" s="1894">
        <v>0</v>
      </c>
      <c r="V450" s="1894">
        <f t="shared" si="164"/>
        <v>0</v>
      </c>
      <c r="W450" s="1894">
        <f t="shared" si="165"/>
        <v>0</v>
      </c>
      <c r="X450" s="1894">
        <v>300</v>
      </c>
      <c r="Y450" s="1894">
        <v>0</v>
      </c>
      <c r="Z450" s="1894">
        <v>240</v>
      </c>
      <c r="AA450" s="1894">
        <v>0</v>
      </c>
      <c r="AB450" s="1894">
        <v>0</v>
      </c>
      <c r="AC450" s="1894">
        <v>0</v>
      </c>
      <c r="AD450" s="1894">
        <f t="shared" si="166"/>
        <v>0</v>
      </c>
      <c r="AE450" s="1894">
        <f t="shared" si="167"/>
        <v>0</v>
      </c>
      <c r="AF450" s="1894">
        <v>300</v>
      </c>
      <c r="AG450" s="1894">
        <v>0</v>
      </c>
      <c r="AH450" s="1894">
        <v>240</v>
      </c>
      <c r="AI450" s="1894">
        <v>0</v>
      </c>
      <c r="AJ450" s="1894">
        <v>0</v>
      </c>
      <c r="AK450" s="1894">
        <v>0</v>
      </c>
      <c r="AL450" s="1894">
        <f t="shared" si="185"/>
        <v>0</v>
      </c>
      <c r="AM450" s="1894">
        <f t="shared" si="186"/>
        <v>0</v>
      </c>
      <c r="AN450" s="1894">
        <v>300</v>
      </c>
      <c r="AO450" s="1894">
        <v>0</v>
      </c>
      <c r="AP450" s="1894">
        <v>240</v>
      </c>
      <c r="AQ450" s="1894">
        <v>0</v>
      </c>
      <c r="AR450" s="1894">
        <v>0</v>
      </c>
      <c r="AS450" s="1894">
        <v>0</v>
      </c>
      <c r="AT450" s="1894">
        <f t="shared" si="168"/>
        <v>0</v>
      </c>
      <c r="AU450" s="1894">
        <f t="shared" si="169"/>
        <v>0</v>
      </c>
      <c r="AV450" s="1894">
        <v>300</v>
      </c>
      <c r="AW450" s="1894">
        <v>0</v>
      </c>
      <c r="AX450" s="1894">
        <v>240</v>
      </c>
      <c r="AY450" s="1894">
        <v>0</v>
      </c>
      <c r="AZ450" s="1894">
        <v>0</v>
      </c>
      <c r="BA450" s="1894">
        <v>0</v>
      </c>
      <c r="BB450" s="1894">
        <f t="shared" si="170"/>
        <v>0</v>
      </c>
      <c r="BC450" s="1894">
        <f t="shared" si="171"/>
        <v>0</v>
      </c>
      <c r="BD450" s="1894">
        <v>300</v>
      </c>
      <c r="BE450" s="1894">
        <v>0</v>
      </c>
      <c r="BF450" s="1894">
        <v>240</v>
      </c>
      <c r="BG450" s="1894">
        <v>0</v>
      </c>
      <c r="BH450" s="1894">
        <v>0</v>
      </c>
      <c r="BI450" s="1894">
        <v>0</v>
      </c>
      <c r="BJ450" s="1894">
        <f t="shared" si="172"/>
        <v>0</v>
      </c>
      <c r="BK450" s="1894">
        <f t="shared" si="173"/>
        <v>0</v>
      </c>
      <c r="BL450" s="1894">
        <v>300</v>
      </c>
      <c r="BM450" s="1894">
        <v>0</v>
      </c>
      <c r="BN450" s="1894">
        <v>240</v>
      </c>
      <c r="BO450" s="1894">
        <v>0</v>
      </c>
      <c r="BP450" s="1894">
        <v>0</v>
      </c>
      <c r="BQ450" s="1894">
        <v>0</v>
      </c>
      <c r="BR450" s="1894">
        <f t="shared" si="174"/>
        <v>0</v>
      </c>
      <c r="BS450" s="1894">
        <f t="shared" si="175"/>
        <v>0</v>
      </c>
      <c r="BT450" s="1894">
        <v>300</v>
      </c>
      <c r="BU450" s="1894">
        <v>0</v>
      </c>
      <c r="BV450" s="1894">
        <v>240</v>
      </c>
      <c r="BW450" s="1894">
        <v>0</v>
      </c>
      <c r="BX450" s="1894">
        <v>0</v>
      </c>
      <c r="BY450" s="1894">
        <v>0</v>
      </c>
      <c r="BZ450" s="1894">
        <f t="shared" si="176"/>
        <v>0</v>
      </c>
      <c r="CA450" s="1894">
        <f t="shared" si="177"/>
        <v>0</v>
      </c>
      <c r="CB450" s="1894">
        <v>300</v>
      </c>
      <c r="CC450" s="1894">
        <v>0</v>
      </c>
      <c r="CD450" s="1894">
        <v>240</v>
      </c>
      <c r="CE450" s="1894">
        <v>0</v>
      </c>
      <c r="CF450" s="1894">
        <v>0</v>
      </c>
      <c r="CG450" s="1894">
        <v>0</v>
      </c>
      <c r="CH450" s="1894">
        <f t="shared" si="178"/>
        <v>0</v>
      </c>
      <c r="CI450" s="1894">
        <f t="shared" si="179"/>
        <v>0</v>
      </c>
      <c r="CJ450" s="1894">
        <v>300</v>
      </c>
      <c r="CK450" s="1894">
        <v>0</v>
      </c>
      <c r="CL450" s="1894">
        <v>240</v>
      </c>
      <c r="CM450" s="1894">
        <v>0</v>
      </c>
      <c r="CN450" s="1894">
        <v>0</v>
      </c>
      <c r="CO450" s="1894">
        <v>0</v>
      </c>
      <c r="CP450" s="1894">
        <f t="shared" si="180"/>
        <v>0</v>
      </c>
      <c r="CQ450" s="1894">
        <f t="shared" si="181"/>
        <v>0</v>
      </c>
      <c r="CR450" s="1924">
        <v>300</v>
      </c>
      <c r="CS450" s="1924">
        <v>0</v>
      </c>
      <c r="CT450" s="1924">
        <v>240</v>
      </c>
      <c r="CU450" s="1924">
        <v>0</v>
      </c>
      <c r="CV450" s="1924">
        <v>0</v>
      </c>
      <c r="CW450" s="1924">
        <v>0</v>
      </c>
      <c r="CX450" s="1894">
        <f t="shared" si="182"/>
        <v>0</v>
      </c>
      <c r="CY450" s="1894">
        <f t="shared" si="183"/>
        <v>0</v>
      </c>
    </row>
    <row r="451" spans="1:103">
      <c r="A451" s="982">
        <v>126000000006</v>
      </c>
      <c r="B451" s="1923">
        <f t="shared" si="184"/>
        <v>445</v>
      </c>
      <c r="C451" s="1895" t="s">
        <v>3327</v>
      </c>
      <c r="D451" s="1894" t="s">
        <v>524</v>
      </c>
      <c r="E451" s="1895" t="s">
        <v>541</v>
      </c>
      <c r="F451" s="1894" t="s">
        <v>259</v>
      </c>
      <c r="G451" s="1924">
        <v>301</v>
      </c>
      <c r="H451" s="1894">
        <v>301</v>
      </c>
      <c r="I451" s="1894">
        <v>276.48</v>
      </c>
      <c r="J451" s="1894">
        <v>276.48</v>
      </c>
      <c r="K451" s="1894">
        <v>0.94840000000000002</v>
      </c>
      <c r="L451" s="1894">
        <v>38.42</v>
      </c>
      <c r="M451" s="1894">
        <v>76482</v>
      </c>
      <c r="N451" s="1894">
        <f t="shared" si="162"/>
        <v>119439</v>
      </c>
      <c r="O451" s="1894">
        <f t="shared" si="163"/>
        <v>0</v>
      </c>
      <c r="P451" s="1894">
        <v>301</v>
      </c>
      <c r="Q451" s="1894">
        <v>254.88</v>
      </c>
      <c r="R451" s="1894">
        <v>254.88</v>
      </c>
      <c r="S451" s="1894">
        <v>0.95040000000000002</v>
      </c>
      <c r="T451" s="1894">
        <v>40.22</v>
      </c>
      <c r="U451" s="1894">
        <v>61500</v>
      </c>
      <c r="V451" s="1894">
        <f t="shared" si="164"/>
        <v>113778</v>
      </c>
      <c r="W451" s="1894">
        <f t="shared" si="165"/>
        <v>0</v>
      </c>
      <c r="X451" s="1894">
        <v>301</v>
      </c>
      <c r="Y451" s="1894">
        <v>243.60000000000002</v>
      </c>
      <c r="Z451" s="1894">
        <v>243.6</v>
      </c>
      <c r="AA451" s="1894">
        <v>0.95789999999999997</v>
      </c>
      <c r="AB451" s="1894">
        <v>40.5</v>
      </c>
      <c r="AC451" s="1894">
        <v>85236</v>
      </c>
      <c r="AD451" s="1894">
        <f t="shared" si="166"/>
        <v>105235</v>
      </c>
      <c r="AE451" s="1894">
        <f t="shared" si="167"/>
        <v>0</v>
      </c>
      <c r="AF451" s="1894">
        <v>301</v>
      </c>
      <c r="AG451" s="1894">
        <v>247.2</v>
      </c>
      <c r="AH451" s="1894">
        <v>247.2</v>
      </c>
      <c r="AI451" s="1894">
        <v>0.94579999999999997</v>
      </c>
      <c r="AJ451" s="1894">
        <v>38.869999999999997</v>
      </c>
      <c r="AK451" s="1894">
        <v>71490</v>
      </c>
      <c r="AL451" s="1894">
        <f t="shared" si="185"/>
        <v>110350</v>
      </c>
      <c r="AM451" s="1894">
        <f t="shared" si="186"/>
        <v>0</v>
      </c>
      <c r="AN451" s="1894">
        <v>301</v>
      </c>
      <c r="AO451" s="1894">
        <v>252.48000000000002</v>
      </c>
      <c r="AP451" s="1894">
        <v>252.48</v>
      </c>
      <c r="AQ451" s="1894">
        <v>0.9556</v>
      </c>
      <c r="AR451" s="1894">
        <v>41.58</v>
      </c>
      <c r="AS451" s="1894">
        <v>65514</v>
      </c>
      <c r="AT451" s="1894">
        <f t="shared" si="168"/>
        <v>112707</v>
      </c>
      <c r="AU451" s="1894">
        <f t="shared" si="169"/>
        <v>0</v>
      </c>
      <c r="AV451" s="1894">
        <v>301</v>
      </c>
      <c r="AW451" s="1894">
        <v>261.12</v>
      </c>
      <c r="AX451" s="1894">
        <v>261.12</v>
      </c>
      <c r="AY451" s="1894">
        <v>0.9637</v>
      </c>
      <c r="AZ451" s="1894">
        <v>27.9</v>
      </c>
      <c r="BA451" s="1894">
        <v>54207</v>
      </c>
      <c r="BB451" s="1894">
        <f t="shared" si="170"/>
        <v>112804</v>
      </c>
      <c r="BC451" s="1894">
        <f t="shared" si="171"/>
        <v>0</v>
      </c>
      <c r="BD451" s="1894">
        <v>301</v>
      </c>
      <c r="BE451" s="1894">
        <v>264.71999999999997</v>
      </c>
      <c r="BF451" s="1894">
        <v>264.72000000000003</v>
      </c>
      <c r="BG451" s="1894">
        <v>0.87980000000000003</v>
      </c>
      <c r="BH451" s="1894">
        <v>19.25</v>
      </c>
      <c r="BI451" s="1894">
        <v>39132</v>
      </c>
      <c r="BJ451" s="1894">
        <f t="shared" si="172"/>
        <v>118171</v>
      </c>
      <c r="BK451" s="1894">
        <f t="shared" si="173"/>
        <v>0</v>
      </c>
      <c r="BL451" s="1894">
        <v>301</v>
      </c>
      <c r="BM451" s="1894">
        <v>27.599999999999998</v>
      </c>
      <c r="BN451" s="1894">
        <v>240.8</v>
      </c>
      <c r="BO451" s="1894">
        <v>0.21129999999999999</v>
      </c>
      <c r="BP451" s="1894">
        <v>36.11</v>
      </c>
      <c r="BQ451" s="1894">
        <v>7893</v>
      </c>
      <c r="BR451" s="1894">
        <f t="shared" si="174"/>
        <v>11923</v>
      </c>
      <c r="BS451" s="1894">
        <f t="shared" si="175"/>
        <v>0</v>
      </c>
      <c r="BT451" s="1894">
        <v>301</v>
      </c>
      <c r="BU451" s="1894">
        <v>271.68</v>
      </c>
      <c r="BV451" s="1894">
        <v>271.68</v>
      </c>
      <c r="BW451" s="1894">
        <v>0.85980000000000001</v>
      </c>
      <c r="BX451" s="1894">
        <v>26.46</v>
      </c>
      <c r="BY451" s="1894">
        <v>44856</v>
      </c>
      <c r="BZ451" s="1894">
        <f t="shared" si="176"/>
        <v>121278</v>
      </c>
      <c r="CA451" s="1894">
        <f t="shared" si="177"/>
        <v>0</v>
      </c>
      <c r="CB451" s="1894">
        <v>301</v>
      </c>
      <c r="CC451" s="1894">
        <v>252.72</v>
      </c>
      <c r="CD451" s="1894">
        <v>252.72</v>
      </c>
      <c r="CE451" s="1894">
        <v>0.96130000000000004</v>
      </c>
      <c r="CF451" s="1894">
        <v>32.94</v>
      </c>
      <c r="CG451" s="1894">
        <v>71934</v>
      </c>
      <c r="CH451" s="1894">
        <f t="shared" si="178"/>
        <v>112814</v>
      </c>
      <c r="CI451" s="1894">
        <f t="shared" si="179"/>
        <v>0</v>
      </c>
      <c r="CJ451" s="1894">
        <v>301</v>
      </c>
      <c r="CK451" s="1894">
        <v>250.56</v>
      </c>
      <c r="CL451" s="1894">
        <v>250.56</v>
      </c>
      <c r="CM451" s="1894">
        <v>0.96120000000000005</v>
      </c>
      <c r="CN451" s="1894">
        <v>35.83</v>
      </c>
      <c r="CO451" s="1894">
        <v>60324</v>
      </c>
      <c r="CP451" s="1894">
        <f t="shared" si="180"/>
        <v>101026</v>
      </c>
      <c r="CQ451" s="1894">
        <f t="shared" si="181"/>
        <v>0</v>
      </c>
      <c r="CR451" s="1924">
        <v>301</v>
      </c>
      <c r="CS451" s="1924">
        <v>263.28000000000003</v>
      </c>
      <c r="CT451" s="1924">
        <v>263.27999999999997</v>
      </c>
      <c r="CU451" s="1924">
        <v>0.94030000000000002</v>
      </c>
      <c r="CV451" s="1924">
        <v>46.11</v>
      </c>
      <c r="CW451" s="1924">
        <v>90321</v>
      </c>
      <c r="CX451" s="1894">
        <f t="shared" si="182"/>
        <v>117528</v>
      </c>
      <c r="CY451" s="1894">
        <f t="shared" si="183"/>
        <v>0</v>
      </c>
    </row>
    <row r="452" spans="1:103">
      <c r="A452" s="982">
        <v>127000000016</v>
      </c>
      <c r="B452" s="1923">
        <f t="shared" si="184"/>
        <v>446</v>
      </c>
      <c r="C452" s="1895" t="s">
        <v>3328</v>
      </c>
      <c r="D452" s="1894" t="s">
        <v>524</v>
      </c>
      <c r="E452" s="1895" t="s">
        <v>737</v>
      </c>
      <c r="F452" s="1894" t="s">
        <v>259</v>
      </c>
      <c r="G452" s="1924">
        <v>303</v>
      </c>
      <c r="H452" s="1894">
        <v>303</v>
      </c>
      <c r="I452" s="1894">
        <v>14.399999999999999</v>
      </c>
      <c r="J452" s="1894">
        <v>242.4</v>
      </c>
      <c r="K452" s="1894">
        <v>0.5111</v>
      </c>
      <c r="L452" s="1894">
        <v>47.55</v>
      </c>
      <c r="M452" s="1894">
        <v>4930</v>
      </c>
      <c r="N452" s="1894">
        <f t="shared" si="162"/>
        <v>6221</v>
      </c>
      <c r="O452" s="1894">
        <f t="shared" si="163"/>
        <v>0</v>
      </c>
      <c r="P452" s="1894">
        <v>303</v>
      </c>
      <c r="Q452" s="1894">
        <v>19.600000000000001</v>
      </c>
      <c r="R452" s="1894">
        <v>242.4</v>
      </c>
      <c r="S452" s="1894">
        <v>0.50290000000000001</v>
      </c>
      <c r="T452" s="1894">
        <v>42.41</v>
      </c>
      <c r="U452" s="1894">
        <v>6184</v>
      </c>
      <c r="V452" s="1894">
        <f t="shared" si="164"/>
        <v>8749</v>
      </c>
      <c r="W452" s="1894">
        <f t="shared" si="165"/>
        <v>0</v>
      </c>
      <c r="X452" s="1894">
        <v>303</v>
      </c>
      <c r="Y452" s="1894">
        <v>65.44</v>
      </c>
      <c r="Z452" s="1894">
        <v>242.4</v>
      </c>
      <c r="AA452" s="1894">
        <v>0.57220000000000004</v>
      </c>
      <c r="AB452" s="1894">
        <v>13.15</v>
      </c>
      <c r="AC452" s="1894">
        <v>4956</v>
      </c>
      <c r="AD452" s="1894">
        <f t="shared" si="166"/>
        <v>28270</v>
      </c>
      <c r="AE452" s="1894">
        <f t="shared" si="167"/>
        <v>0</v>
      </c>
      <c r="AF452" s="1894">
        <v>303</v>
      </c>
      <c r="AG452" s="1894">
        <v>16.96</v>
      </c>
      <c r="AH452" s="1894">
        <v>242.4</v>
      </c>
      <c r="AI452" s="1894">
        <v>0.50160000000000005</v>
      </c>
      <c r="AJ452" s="1894">
        <v>48.56</v>
      </c>
      <c r="AK452" s="1894">
        <v>6128</v>
      </c>
      <c r="AL452" s="1894">
        <f t="shared" si="185"/>
        <v>7571</v>
      </c>
      <c r="AM452" s="1894">
        <f t="shared" si="186"/>
        <v>0</v>
      </c>
      <c r="AN452" s="1894">
        <v>303</v>
      </c>
      <c r="AO452" s="1894">
        <v>14.399999999999999</v>
      </c>
      <c r="AP452" s="1894">
        <v>242.4</v>
      </c>
      <c r="AQ452" s="1894">
        <v>0.39979999999999999</v>
      </c>
      <c r="AR452" s="1894">
        <v>55.43</v>
      </c>
      <c r="AS452" s="1894">
        <v>7088</v>
      </c>
      <c r="AT452" s="1894">
        <f t="shared" si="168"/>
        <v>6428</v>
      </c>
      <c r="AU452" s="1894">
        <f t="shared" si="169"/>
        <v>660</v>
      </c>
      <c r="AV452" s="1894">
        <v>303</v>
      </c>
      <c r="AW452" s="1894">
        <v>14.879999999999999</v>
      </c>
      <c r="AX452" s="1894">
        <v>242.4</v>
      </c>
      <c r="AY452" s="1894">
        <v>0.4078</v>
      </c>
      <c r="AZ452" s="1894">
        <v>54.93</v>
      </c>
      <c r="BA452" s="1894">
        <v>4512</v>
      </c>
      <c r="BB452" s="1894">
        <f t="shared" si="170"/>
        <v>6428</v>
      </c>
      <c r="BC452" s="1894">
        <f t="shared" si="171"/>
        <v>0</v>
      </c>
      <c r="BD452" s="1894">
        <v>303</v>
      </c>
      <c r="BE452" s="1894">
        <v>14.399999999999999</v>
      </c>
      <c r="BF452" s="1894">
        <v>242.4</v>
      </c>
      <c r="BG452" s="1894">
        <v>0.3533</v>
      </c>
      <c r="BH452" s="1894">
        <v>57.98</v>
      </c>
      <c r="BI452" s="1894">
        <v>7414</v>
      </c>
      <c r="BJ452" s="1894">
        <f t="shared" si="172"/>
        <v>6428</v>
      </c>
      <c r="BK452" s="1894">
        <f t="shared" si="173"/>
        <v>986</v>
      </c>
      <c r="BL452" s="1894">
        <v>303</v>
      </c>
      <c r="BM452" s="1894">
        <v>12.8</v>
      </c>
      <c r="BN452" s="1894">
        <v>242.4</v>
      </c>
      <c r="BO452" s="1894">
        <v>0.2596</v>
      </c>
      <c r="BP452" s="1894">
        <v>70.290000000000006</v>
      </c>
      <c r="BQ452" s="1894">
        <v>6694</v>
      </c>
      <c r="BR452" s="1894">
        <f t="shared" si="174"/>
        <v>5530</v>
      </c>
      <c r="BS452" s="1894">
        <f t="shared" si="175"/>
        <v>1164</v>
      </c>
      <c r="BT452" s="1894">
        <v>303</v>
      </c>
      <c r="BU452" s="1894">
        <v>15.2</v>
      </c>
      <c r="BV452" s="1894">
        <v>242.4</v>
      </c>
      <c r="BW452" s="1894">
        <v>0.32979999999999998</v>
      </c>
      <c r="BX452" s="1894">
        <v>60.59</v>
      </c>
      <c r="BY452" s="1894">
        <v>6852</v>
      </c>
      <c r="BZ452" s="1894">
        <f t="shared" si="176"/>
        <v>6785</v>
      </c>
      <c r="CA452" s="1894">
        <f t="shared" si="177"/>
        <v>67</v>
      </c>
      <c r="CB452" s="1894">
        <v>303</v>
      </c>
      <c r="CC452" s="1894">
        <v>14.08</v>
      </c>
      <c r="CD452" s="1894">
        <v>242.4</v>
      </c>
      <c r="CE452" s="1894">
        <v>0.43390000000000001</v>
      </c>
      <c r="CF452" s="1894">
        <v>58.82</v>
      </c>
      <c r="CG452" s="1894">
        <v>6162</v>
      </c>
      <c r="CH452" s="1894">
        <f t="shared" si="178"/>
        <v>6285</v>
      </c>
      <c r="CI452" s="1894">
        <f t="shared" si="179"/>
        <v>0</v>
      </c>
      <c r="CJ452" s="1894">
        <v>303</v>
      </c>
      <c r="CK452" s="1894">
        <v>13.28</v>
      </c>
      <c r="CL452" s="1894">
        <v>242.4</v>
      </c>
      <c r="CM452" s="1894">
        <v>0.48570000000000002</v>
      </c>
      <c r="CN452" s="1894">
        <v>58.22</v>
      </c>
      <c r="CO452" s="1894">
        <v>5196</v>
      </c>
      <c r="CP452" s="1894">
        <f t="shared" si="180"/>
        <v>5354</v>
      </c>
      <c r="CQ452" s="1894">
        <f t="shared" si="181"/>
        <v>0</v>
      </c>
      <c r="CR452" s="1924">
        <v>303</v>
      </c>
      <c r="CS452" s="1924">
        <v>14.24</v>
      </c>
      <c r="CT452" s="1924">
        <v>242.4</v>
      </c>
      <c r="CU452" s="1924">
        <v>0.56499999999999995</v>
      </c>
      <c r="CV452" s="1924">
        <v>53.52</v>
      </c>
      <c r="CW452" s="1924">
        <v>5670</v>
      </c>
      <c r="CX452" s="1894">
        <f t="shared" si="182"/>
        <v>6357</v>
      </c>
      <c r="CY452" s="1894">
        <f t="shared" si="183"/>
        <v>0</v>
      </c>
    </row>
    <row r="453" spans="1:103">
      <c r="A453" s="982">
        <v>613000000023</v>
      </c>
      <c r="B453" s="1923">
        <f t="shared" si="184"/>
        <v>447</v>
      </c>
      <c r="C453" s="1895" t="s">
        <v>3329</v>
      </c>
      <c r="D453" s="1894" t="s">
        <v>524</v>
      </c>
      <c r="E453" s="1895" t="s">
        <v>623</v>
      </c>
      <c r="F453" s="1894" t="s">
        <v>259</v>
      </c>
      <c r="G453" s="1924">
        <v>304</v>
      </c>
      <c r="H453" s="1894">
        <v>304</v>
      </c>
      <c r="I453" s="1894">
        <v>167.76000000000002</v>
      </c>
      <c r="J453" s="1894">
        <v>304</v>
      </c>
      <c r="K453" s="1894">
        <v>0.99019999999999997</v>
      </c>
      <c r="L453" s="1894">
        <v>0</v>
      </c>
      <c r="M453" s="1894">
        <v>57972</v>
      </c>
      <c r="N453" s="1894">
        <f t="shared" si="162"/>
        <v>72472</v>
      </c>
      <c r="O453" s="1894">
        <f t="shared" si="163"/>
        <v>0</v>
      </c>
      <c r="P453" s="1894">
        <v>304</v>
      </c>
      <c r="Q453" s="1894">
        <v>157.91999999999999</v>
      </c>
      <c r="R453" s="1894">
        <v>304</v>
      </c>
      <c r="S453" s="1894">
        <v>0.99250000000000005</v>
      </c>
      <c r="T453" s="1894">
        <v>0</v>
      </c>
      <c r="U453" s="1894">
        <v>57678</v>
      </c>
      <c r="V453" s="1894">
        <f t="shared" si="164"/>
        <v>70495</v>
      </c>
      <c r="W453" s="1894">
        <f t="shared" si="165"/>
        <v>0</v>
      </c>
      <c r="X453" s="1894">
        <v>304</v>
      </c>
      <c r="Y453" s="1894">
        <v>154.56</v>
      </c>
      <c r="Z453" s="1894">
        <v>304</v>
      </c>
      <c r="AA453" s="1894">
        <v>0.99050000000000005</v>
      </c>
      <c r="AB453" s="1894">
        <v>0</v>
      </c>
      <c r="AC453" s="1894">
        <v>51918</v>
      </c>
      <c r="AD453" s="1894">
        <f t="shared" si="166"/>
        <v>66770</v>
      </c>
      <c r="AE453" s="1894">
        <f t="shared" si="167"/>
        <v>0</v>
      </c>
      <c r="AF453" s="1894">
        <v>304</v>
      </c>
      <c r="AG453" s="1894">
        <v>152.16</v>
      </c>
      <c r="AH453" s="1894">
        <v>304</v>
      </c>
      <c r="AI453" s="1894">
        <v>0.98180000000000001</v>
      </c>
      <c r="AJ453" s="1894">
        <v>0</v>
      </c>
      <c r="AK453" s="1894">
        <v>44022</v>
      </c>
      <c r="AL453" s="1894">
        <f t="shared" si="185"/>
        <v>67924</v>
      </c>
      <c r="AM453" s="1894">
        <f t="shared" si="186"/>
        <v>0</v>
      </c>
      <c r="AN453" s="1894">
        <v>304</v>
      </c>
      <c r="AO453" s="1894">
        <v>156.72</v>
      </c>
      <c r="AP453" s="1894">
        <v>304</v>
      </c>
      <c r="AQ453" s="1894">
        <v>0.97809999999999997</v>
      </c>
      <c r="AR453" s="1894">
        <v>0</v>
      </c>
      <c r="AS453" s="1894">
        <v>40854</v>
      </c>
      <c r="AT453" s="1894">
        <f t="shared" si="168"/>
        <v>69960</v>
      </c>
      <c r="AU453" s="1894">
        <f t="shared" si="169"/>
        <v>0</v>
      </c>
      <c r="AV453" s="1894">
        <v>304</v>
      </c>
      <c r="AW453" s="1894">
        <v>150.96</v>
      </c>
      <c r="AX453" s="1894">
        <v>304</v>
      </c>
      <c r="AY453" s="1894">
        <v>0.99419999999999997</v>
      </c>
      <c r="AZ453" s="1894">
        <v>0</v>
      </c>
      <c r="BA453" s="1894">
        <v>42204</v>
      </c>
      <c r="BB453" s="1894">
        <f t="shared" si="170"/>
        <v>65215</v>
      </c>
      <c r="BC453" s="1894">
        <f t="shared" si="171"/>
        <v>0</v>
      </c>
      <c r="BD453" s="1894">
        <v>304</v>
      </c>
      <c r="BE453" s="1894">
        <v>154.07999999999998</v>
      </c>
      <c r="BF453" s="1894">
        <v>304</v>
      </c>
      <c r="BG453" s="1894">
        <v>0.97030000000000005</v>
      </c>
      <c r="BH453" s="1894">
        <v>0</v>
      </c>
      <c r="BI453" s="1894">
        <v>38739</v>
      </c>
      <c r="BJ453" s="1894">
        <f t="shared" si="172"/>
        <v>68781</v>
      </c>
      <c r="BK453" s="1894">
        <f t="shared" si="173"/>
        <v>0</v>
      </c>
      <c r="BL453" s="1894">
        <v>304</v>
      </c>
      <c r="BM453" s="1894">
        <v>120.96000000000001</v>
      </c>
      <c r="BN453" s="1894">
        <v>304</v>
      </c>
      <c r="BO453" s="1894">
        <v>0.97150000000000003</v>
      </c>
      <c r="BP453" s="1894">
        <v>0</v>
      </c>
      <c r="BQ453" s="1894">
        <v>32640</v>
      </c>
      <c r="BR453" s="1894">
        <f t="shared" si="174"/>
        <v>52255</v>
      </c>
      <c r="BS453" s="1894">
        <f t="shared" si="175"/>
        <v>0</v>
      </c>
      <c r="BT453" s="1894">
        <v>304</v>
      </c>
      <c r="BU453" s="1894">
        <v>121.92</v>
      </c>
      <c r="BV453" s="1894">
        <v>304</v>
      </c>
      <c r="BW453" s="1894">
        <v>0.98599999999999999</v>
      </c>
      <c r="BX453" s="1894">
        <v>0</v>
      </c>
      <c r="BY453" s="1894">
        <v>33138</v>
      </c>
      <c r="BZ453" s="1894">
        <f t="shared" si="176"/>
        <v>54425</v>
      </c>
      <c r="CA453" s="1894">
        <f t="shared" si="177"/>
        <v>0</v>
      </c>
      <c r="CB453" s="1894">
        <v>304</v>
      </c>
      <c r="CC453" s="1894">
        <v>119.28</v>
      </c>
      <c r="CD453" s="1894">
        <v>304</v>
      </c>
      <c r="CE453" s="1894">
        <v>0.99429999999999996</v>
      </c>
      <c r="CF453" s="1894">
        <v>0</v>
      </c>
      <c r="CG453" s="1894">
        <v>31056</v>
      </c>
      <c r="CH453" s="1894">
        <f t="shared" si="178"/>
        <v>53247</v>
      </c>
      <c r="CI453" s="1894">
        <f t="shared" si="179"/>
        <v>0</v>
      </c>
      <c r="CJ453" s="1894">
        <v>304</v>
      </c>
      <c r="CK453" s="1894">
        <v>113.28</v>
      </c>
      <c r="CL453" s="1894">
        <v>304</v>
      </c>
      <c r="CM453" s="1894">
        <v>0.98770000000000002</v>
      </c>
      <c r="CN453" s="1894">
        <v>0</v>
      </c>
      <c r="CO453" s="1894">
        <v>31962</v>
      </c>
      <c r="CP453" s="1894">
        <f t="shared" si="180"/>
        <v>45674</v>
      </c>
      <c r="CQ453" s="1894">
        <f t="shared" si="181"/>
        <v>0</v>
      </c>
      <c r="CR453" s="1924">
        <v>304</v>
      </c>
      <c r="CS453" s="1924">
        <v>116.64</v>
      </c>
      <c r="CT453" s="1924">
        <v>304</v>
      </c>
      <c r="CU453" s="1924">
        <v>0.99080000000000001</v>
      </c>
      <c r="CV453" s="1924">
        <v>0</v>
      </c>
      <c r="CW453" s="1924">
        <v>38319</v>
      </c>
      <c r="CX453" s="1894">
        <f t="shared" si="182"/>
        <v>52068</v>
      </c>
      <c r="CY453" s="1894">
        <f t="shared" si="183"/>
        <v>0</v>
      </c>
    </row>
    <row r="454" spans="1:103">
      <c r="A454" s="982">
        <v>421000000013</v>
      </c>
      <c r="B454" s="1923">
        <f t="shared" si="184"/>
        <v>448</v>
      </c>
      <c r="C454" s="1895" t="s">
        <v>3330</v>
      </c>
      <c r="D454" s="1894" t="s">
        <v>524</v>
      </c>
      <c r="E454" s="1895" t="s">
        <v>623</v>
      </c>
      <c r="F454" s="1894" t="s">
        <v>259</v>
      </c>
      <c r="G454" s="1924">
        <v>306</v>
      </c>
      <c r="H454" s="1894">
        <v>306</v>
      </c>
      <c r="I454" s="1894">
        <v>349.2</v>
      </c>
      <c r="J454" s="1894">
        <v>349.2</v>
      </c>
      <c r="K454" s="1894">
        <v>0.81289999999999996</v>
      </c>
      <c r="L454" s="1894">
        <v>0</v>
      </c>
      <c r="M454" s="1894">
        <v>99695</v>
      </c>
      <c r="N454" s="1894">
        <f t="shared" si="162"/>
        <v>150854</v>
      </c>
      <c r="O454" s="1894">
        <f t="shared" si="163"/>
        <v>0</v>
      </c>
      <c r="P454" s="1894">
        <v>306</v>
      </c>
      <c r="Q454" s="1894">
        <v>265.2</v>
      </c>
      <c r="R454" s="1894">
        <v>306</v>
      </c>
      <c r="S454" s="1894">
        <v>0.81669999999999998</v>
      </c>
      <c r="T454" s="1894">
        <v>0</v>
      </c>
      <c r="U454" s="1894">
        <v>88425</v>
      </c>
      <c r="V454" s="1894">
        <f t="shared" si="164"/>
        <v>118385</v>
      </c>
      <c r="W454" s="1894">
        <f t="shared" si="165"/>
        <v>0</v>
      </c>
      <c r="X454" s="1894">
        <v>306</v>
      </c>
      <c r="Y454" s="1894">
        <v>271.2</v>
      </c>
      <c r="Z454" s="1894">
        <v>306</v>
      </c>
      <c r="AA454" s="1894">
        <v>0.83</v>
      </c>
      <c r="AB454" s="1894">
        <v>0</v>
      </c>
      <c r="AC454" s="1894">
        <v>86560</v>
      </c>
      <c r="AD454" s="1894">
        <f t="shared" si="166"/>
        <v>117158</v>
      </c>
      <c r="AE454" s="1894">
        <f t="shared" si="167"/>
        <v>0</v>
      </c>
      <c r="AF454" s="1894">
        <v>306</v>
      </c>
      <c r="AG454" s="1894">
        <v>251.2</v>
      </c>
      <c r="AH454" s="1894">
        <v>306</v>
      </c>
      <c r="AI454" s="1894">
        <v>0.83379999999999999</v>
      </c>
      <c r="AJ454" s="1894">
        <v>0</v>
      </c>
      <c r="AK454" s="1894">
        <v>91270</v>
      </c>
      <c r="AL454" s="1894">
        <f t="shared" si="185"/>
        <v>112136</v>
      </c>
      <c r="AM454" s="1894">
        <f t="shared" si="186"/>
        <v>0</v>
      </c>
      <c r="AN454" s="1894">
        <v>306</v>
      </c>
      <c r="AO454" s="1894">
        <v>288</v>
      </c>
      <c r="AP454" s="1894">
        <v>306</v>
      </c>
      <c r="AQ454" s="1894">
        <v>0.83489999999999998</v>
      </c>
      <c r="AR454" s="1894">
        <v>0</v>
      </c>
      <c r="AS454" s="1894">
        <v>107605</v>
      </c>
      <c r="AT454" s="1894">
        <f t="shared" si="168"/>
        <v>128563</v>
      </c>
      <c r="AU454" s="1894">
        <f t="shared" si="169"/>
        <v>0</v>
      </c>
      <c r="AV454" s="1894">
        <v>306</v>
      </c>
      <c r="AW454" s="1894">
        <v>261.60000000000002</v>
      </c>
      <c r="AX454" s="1894">
        <v>306</v>
      </c>
      <c r="AY454" s="1894">
        <v>0.82909999999999995</v>
      </c>
      <c r="AZ454" s="1894">
        <v>0</v>
      </c>
      <c r="BA454" s="1894">
        <v>98245</v>
      </c>
      <c r="BB454" s="1894">
        <f t="shared" si="170"/>
        <v>113011</v>
      </c>
      <c r="BC454" s="1894">
        <f t="shared" si="171"/>
        <v>0</v>
      </c>
      <c r="BD454" s="1894">
        <v>306</v>
      </c>
      <c r="BE454" s="1894">
        <v>242.4</v>
      </c>
      <c r="BF454" s="1894">
        <v>306</v>
      </c>
      <c r="BG454" s="1894">
        <v>0.81240000000000001</v>
      </c>
      <c r="BH454" s="1894">
        <v>0</v>
      </c>
      <c r="BI454" s="1894">
        <v>100590</v>
      </c>
      <c r="BJ454" s="1894">
        <f t="shared" si="172"/>
        <v>108207</v>
      </c>
      <c r="BK454" s="1894">
        <f t="shared" si="173"/>
        <v>0</v>
      </c>
      <c r="BL454" s="1894">
        <v>306</v>
      </c>
      <c r="BM454" s="1894">
        <v>248</v>
      </c>
      <c r="BN454" s="1894">
        <v>306</v>
      </c>
      <c r="BO454" s="1894">
        <v>0.78290000000000004</v>
      </c>
      <c r="BP454" s="1894">
        <v>0</v>
      </c>
      <c r="BQ454" s="1894">
        <v>91000</v>
      </c>
      <c r="BR454" s="1894">
        <f t="shared" si="174"/>
        <v>107136</v>
      </c>
      <c r="BS454" s="1894">
        <f t="shared" si="175"/>
        <v>0</v>
      </c>
      <c r="BT454" s="1894">
        <v>306</v>
      </c>
      <c r="BU454" s="1894">
        <v>224</v>
      </c>
      <c r="BV454" s="1894">
        <v>306</v>
      </c>
      <c r="BW454" s="1894">
        <v>0.77449999999999997</v>
      </c>
      <c r="BX454" s="1894">
        <v>0</v>
      </c>
      <c r="BY454" s="1894">
        <v>80805</v>
      </c>
      <c r="BZ454" s="1894">
        <f t="shared" si="176"/>
        <v>99994</v>
      </c>
      <c r="CA454" s="1894">
        <f t="shared" si="177"/>
        <v>0</v>
      </c>
      <c r="CB454" s="1894">
        <v>306</v>
      </c>
      <c r="CC454" s="1894">
        <v>238.8</v>
      </c>
      <c r="CD454" s="1894">
        <v>306</v>
      </c>
      <c r="CE454" s="1894">
        <v>0.79730000000000001</v>
      </c>
      <c r="CF454" s="1894">
        <v>0</v>
      </c>
      <c r="CG454" s="1894">
        <v>82180</v>
      </c>
      <c r="CH454" s="1894">
        <f t="shared" si="178"/>
        <v>106600</v>
      </c>
      <c r="CI454" s="1894">
        <f t="shared" si="179"/>
        <v>0</v>
      </c>
      <c r="CJ454" s="1894">
        <v>306</v>
      </c>
      <c r="CK454" s="1894">
        <v>230</v>
      </c>
      <c r="CL454" s="1894">
        <v>306</v>
      </c>
      <c r="CM454" s="1894">
        <v>0.81679999999999997</v>
      </c>
      <c r="CN454" s="1894">
        <v>0</v>
      </c>
      <c r="CO454" s="1894">
        <v>90800</v>
      </c>
      <c r="CP454" s="1894">
        <f t="shared" si="180"/>
        <v>92736</v>
      </c>
      <c r="CQ454" s="1894">
        <f t="shared" si="181"/>
        <v>0</v>
      </c>
      <c r="CR454" s="1924">
        <v>306</v>
      </c>
      <c r="CS454" s="1924">
        <v>306.39999999999998</v>
      </c>
      <c r="CT454" s="1924">
        <v>306.39999999999998</v>
      </c>
      <c r="CU454" s="1924">
        <v>0.82920000000000005</v>
      </c>
      <c r="CV454" s="1924">
        <v>0</v>
      </c>
      <c r="CW454" s="1924">
        <v>111390</v>
      </c>
      <c r="CX454" s="1894">
        <f t="shared" si="182"/>
        <v>136777</v>
      </c>
      <c r="CY454" s="1894">
        <f t="shared" si="183"/>
        <v>0</v>
      </c>
    </row>
    <row r="455" spans="1:103">
      <c r="A455" s="982">
        <v>125000000041</v>
      </c>
      <c r="B455" s="1923">
        <f t="shared" si="184"/>
        <v>449</v>
      </c>
      <c r="C455" s="1895" t="s">
        <v>3331</v>
      </c>
      <c r="D455" s="1894" t="s">
        <v>524</v>
      </c>
      <c r="E455" s="1895" t="s">
        <v>541</v>
      </c>
      <c r="F455" s="1894" t="s">
        <v>259</v>
      </c>
      <c r="G455" s="1924">
        <v>314</v>
      </c>
      <c r="H455" s="1894">
        <v>314</v>
      </c>
      <c r="I455" s="1894">
        <v>192</v>
      </c>
      <c r="J455" s="1894">
        <v>251.2</v>
      </c>
      <c r="K455" s="1894">
        <v>0.96150000000000002</v>
      </c>
      <c r="L455" s="1894">
        <v>48.51</v>
      </c>
      <c r="M455" s="1894">
        <v>67062</v>
      </c>
      <c r="N455" s="1894">
        <f t="shared" ref="N455:N518" si="187">+ROUND((24*30*0.6*I455),0)</f>
        <v>82944</v>
      </c>
      <c r="O455" s="1894">
        <f t="shared" ref="O455:O518" si="188">+MAX((M455-N455),0)</f>
        <v>0</v>
      </c>
      <c r="P455" s="1894">
        <v>314</v>
      </c>
      <c r="Q455" s="1894">
        <v>180</v>
      </c>
      <c r="R455" s="1894">
        <v>251.2</v>
      </c>
      <c r="S455" s="1894">
        <v>0.96350000000000002</v>
      </c>
      <c r="T455" s="1894">
        <v>56</v>
      </c>
      <c r="U455" s="1894">
        <v>72582</v>
      </c>
      <c r="V455" s="1894">
        <f t="shared" ref="V455:V518" si="189">+ROUND((24*31*0.6*Q455),0)</f>
        <v>80352</v>
      </c>
      <c r="W455" s="1894">
        <f t="shared" ref="W455:W518" si="190">+MAX((U455-V455),0)</f>
        <v>0</v>
      </c>
      <c r="X455" s="1894">
        <v>314</v>
      </c>
      <c r="Y455" s="1894">
        <v>174</v>
      </c>
      <c r="Z455" s="1894">
        <v>251.2</v>
      </c>
      <c r="AA455" s="1894">
        <v>0.95640000000000003</v>
      </c>
      <c r="AB455" s="1894">
        <v>56.2</v>
      </c>
      <c r="AC455" s="1894">
        <v>65709</v>
      </c>
      <c r="AD455" s="1894">
        <f t="shared" ref="AD455:AD518" si="191">+ROUND((24*30*0.6*Y455),0)</f>
        <v>75168</v>
      </c>
      <c r="AE455" s="1894">
        <f t="shared" ref="AE455:AE518" si="192">+MAX((AC455-AD455),0)</f>
        <v>0</v>
      </c>
      <c r="AF455" s="1894">
        <v>314</v>
      </c>
      <c r="AG455" s="1894">
        <v>168</v>
      </c>
      <c r="AH455" s="1894">
        <v>251.2</v>
      </c>
      <c r="AI455" s="1894">
        <v>0.92820000000000003</v>
      </c>
      <c r="AJ455" s="1894">
        <v>25.94</v>
      </c>
      <c r="AK455" s="1894">
        <v>34509</v>
      </c>
      <c r="AL455" s="1894">
        <f t="shared" si="185"/>
        <v>74995</v>
      </c>
      <c r="AM455" s="1894">
        <f t="shared" si="186"/>
        <v>0</v>
      </c>
      <c r="AN455" s="1894">
        <v>314</v>
      </c>
      <c r="AO455" s="1894">
        <v>168</v>
      </c>
      <c r="AP455" s="1894">
        <v>251.2</v>
      </c>
      <c r="AQ455" s="1894">
        <v>0.94510000000000005</v>
      </c>
      <c r="AR455" s="1894">
        <v>43.9</v>
      </c>
      <c r="AS455" s="1894">
        <v>60180</v>
      </c>
      <c r="AT455" s="1894">
        <f t="shared" ref="AT455:AT518" si="193">+ROUND((24*31*0.6*AO455),0)</f>
        <v>74995</v>
      </c>
      <c r="AU455" s="1894">
        <f t="shared" ref="AU455:AU518" si="194">+MAX((AS455-AT455),0)</f>
        <v>0</v>
      </c>
      <c r="AV455" s="1894">
        <v>314</v>
      </c>
      <c r="AW455" s="1894">
        <v>180</v>
      </c>
      <c r="AX455" s="1894">
        <v>251.2</v>
      </c>
      <c r="AY455" s="1894">
        <v>0.95930000000000004</v>
      </c>
      <c r="AZ455" s="1894">
        <v>45.56</v>
      </c>
      <c r="BA455" s="1894">
        <v>59052</v>
      </c>
      <c r="BB455" s="1894">
        <f t="shared" ref="BB455:BB518" si="195">+ROUND((24*30*0.6*AW455),0)</f>
        <v>77760</v>
      </c>
      <c r="BC455" s="1894">
        <f t="shared" ref="BC455:BC518" si="196">+MAX((BA455-BB455),0)</f>
        <v>0</v>
      </c>
      <c r="BD455" s="1894">
        <v>314</v>
      </c>
      <c r="BE455" s="1894">
        <v>180.72</v>
      </c>
      <c r="BF455" s="1894">
        <v>251.2</v>
      </c>
      <c r="BG455" s="1894">
        <v>0.97309999999999997</v>
      </c>
      <c r="BH455" s="1894">
        <v>76.81</v>
      </c>
      <c r="BI455" s="1894">
        <v>103278</v>
      </c>
      <c r="BJ455" s="1894">
        <f t="shared" ref="BJ455:BJ518" si="197">+ROUND((24*31*0.6*BE455),0)</f>
        <v>80673</v>
      </c>
      <c r="BK455" s="1894">
        <f t="shared" ref="BK455:BK518" si="198">+MAX((BI455-BJ455),0)</f>
        <v>22605</v>
      </c>
      <c r="BL455" s="1894">
        <v>314</v>
      </c>
      <c r="BM455" s="1894">
        <v>197.76</v>
      </c>
      <c r="BN455" s="1894">
        <v>251.2</v>
      </c>
      <c r="BO455" s="1894">
        <v>0.99929999999999997</v>
      </c>
      <c r="BP455" s="1894">
        <v>65.48</v>
      </c>
      <c r="BQ455" s="1894">
        <v>93240</v>
      </c>
      <c r="BR455" s="1894">
        <f t="shared" ref="BR455:BR518" si="199">+ROUND((24*30*0.6*BM455),0)</f>
        <v>85432</v>
      </c>
      <c r="BS455" s="1894">
        <f t="shared" ref="BS455:BS518" si="200">+MAX((BQ455-BR455),0)</f>
        <v>7808</v>
      </c>
      <c r="BT455" s="1894">
        <v>314</v>
      </c>
      <c r="BU455" s="1894">
        <v>201.36</v>
      </c>
      <c r="BV455" s="1894">
        <v>251.2</v>
      </c>
      <c r="BW455" s="1894">
        <v>0.99919999999999998</v>
      </c>
      <c r="BX455" s="1894">
        <v>72.67</v>
      </c>
      <c r="BY455" s="1894">
        <v>108867</v>
      </c>
      <c r="BZ455" s="1894">
        <f t="shared" ref="BZ455:BZ518" si="201">+ROUND((24*31*0.6*BU455),0)</f>
        <v>89887</v>
      </c>
      <c r="CA455" s="1894">
        <f t="shared" ref="CA455:CA518" si="202">+MAX((BY455-BZ455),0)</f>
        <v>18980</v>
      </c>
      <c r="CB455" s="1894">
        <v>314</v>
      </c>
      <c r="CC455" s="1894">
        <v>218.16</v>
      </c>
      <c r="CD455" s="1894">
        <v>251.2</v>
      </c>
      <c r="CE455" s="1894">
        <v>0.99399999999999999</v>
      </c>
      <c r="CF455" s="1894">
        <v>58.52</v>
      </c>
      <c r="CG455" s="1894">
        <v>94989</v>
      </c>
      <c r="CH455" s="1894">
        <f t="shared" ref="CH455:CH518" si="203">+ROUND((24*31*0.6*CC455),0)</f>
        <v>97387</v>
      </c>
      <c r="CI455" s="1894">
        <f t="shared" ref="CI455:CI518" si="204">+MAX((CG455-CH455),0)</f>
        <v>0</v>
      </c>
      <c r="CJ455" s="1894">
        <v>314</v>
      </c>
      <c r="CK455" s="1894">
        <v>255.84</v>
      </c>
      <c r="CL455" s="1894">
        <v>255.84</v>
      </c>
      <c r="CM455" s="1894">
        <v>0.997</v>
      </c>
      <c r="CN455" s="1894">
        <v>67.34</v>
      </c>
      <c r="CO455" s="1894">
        <v>115779</v>
      </c>
      <c r="CP455" s="1894">
        <f t="shared" ref="CP455:CP518" si="205">+ROUND((24*28*0.6*CK455),0)</f>
        <v>103155</v>
      </c>
      <c r="CQ455" s="1894">
        <f t="shared" ref="CQ455:CQ518" si="206">+MAX((CO455-CP455),0)</f>
        <v>12624</v>
      </c>
      <c r="CR455" s="1924">
        <v>314</v>
      </c>
      <c r="CS455" s="1924">
        <v>293.76</v>
      </c>
      <c r="CT455" s="1924">
        <v>293.76</v>
      </c>
      <c r="CU455" s="1924">
        <v>0.99360000000000004</v>
      </c>
      <c r="CV455" s="1924">
        <v>68.78</v>
      </c>
      <c r="CW455" s="1924">
        <v>145485</v>
      </c>
      <c r="CX455" s="1894">
        <f t="shared" ref="CX455:CX518" si="207">+ROUND((24*31*0.6*CS455),0)</f>
        <v>131134</v>
      </c>
      <c r="CY455" s="1894">
        <f t="shared" ref="CY455:CY518" si="208">+MAX((CW455-CX455),0)</f>
        <v>14351</v>
      </c>
    </row>
    <row r="456" spans="1:103">
      <c r="A456" s="982">
        <v>122000000095</v>
      </c>
      <c r="B456" s="1923">
        <f t="shared" ref="B456:B519" si="209">+B455+1</f>
        <v>450</v>
      </c>
      <c r="C456" s="1895" t="s">
        <v>3332</v>
      </c>
      <c r="D456" s="1894" t="s">
        <v>524</v>
      </c>
      <c r="E456" s="1895" t="s">
        <v>636</v>
      </c>
      <c r="F456" s="1894" t="s">
        <v>259</v>
      </c>
      <c r="G456" s="1924">
        <v>317</v>
      </c>
      <c r="H456" s="1894">
        <v>317</v>
      </c>
      <c r="I456" s="1894">
        <v>120</v>
      </c>
      <c r="J456" s="1894">
        <v>253.6</v>
      </c>
      <c r="K456" s="1894">
        <v>0.99739999999999995</v>
      </c>
      <c r="L456" s="1894">
        <v>21.43</v>
      </c>
      <c r="M456" s="1894">
        <v>20370</v>
      </c>
      <c r="N456" s="1894">
        <f t="shared" si="187"/>
        <v>51840</v>
      </c>
      <c r="O456" s="1894">
        <f t="shared" si="188"/>
        <v>0</v>
      </c>
      <c r="P456" s="1894">
        <v>317</v>
      </c>
      <c r="Q456" s="1894">
        <v>123.36</v>
      </c>
      <c r="R456" s="1894">
        <v>253.6</v>
      </c>
      <c r="S456" s="1894">
        <v>0.99870000000000003</v>
      </c>
      <c r="T456" s="1894">
        <v>25.15</v>
      </c>
      <c r="U456" s="1894">
        <v>22338</v>
      </c>
      <c r="V456" s="1894">
        <f t="shared" si="189"/>
        <v>55068</v>
      </c>
      <c r="W456" s="1894">
        <f t="shared" si="190"/>
        <v>0</v>
      </c>
      <c r="X456" s="1894">
        <v>317</v>
      </c>
      <c r="Y456" s="1894">
        <v>116.64</v>
      </c>
      <c r="Z456" s="1894">
        <v>253.6</v>
      </c>
      <c r="AA456" s="1894">
        <v>0.997</v>
      </c>
      <c r="AB456" s="1894">
        <v>20.94</v>
      </c>
      <c r="AC456" s="1894">
        <v>17583</v>
      </c>
      <c r="AD456" s="1894">
        <f t="shared" si="191"/>
        <v>50388</v>
      </c>
      <c r="AE456" s="1894">
        <f t="shared" si="192"/>
        <v>0</v>
      </c>
      <c r="AF456" s="1894">
        <v>317</v>
      </c>
      <c r="AG456" s="1894">
        <v>121.44</v>
      </c>
      <c r="AH456" s="1894">
        <v>253.6</v>
      </c>
      <c r="AI456" s="1894">
        <v>0.99639999999999995</v>
      </c>
      <c r="AJ456" s="1894">
        <v>24.4</v>
      </c>
      <c r="AK456" s="1894">
        <v>21333</v>
      </c>
      <c r="AL456" s="1894">
        <f t="shared" si="185"/>
        <v>54211</v>
      </c>
      <c r="AM456" s="1894">
        <f t="shared" si="186"/>
        <v>0</v>
      </c>
      <c r="AN456" s="1894">
        <v>317</v>
      </c>
      <c r="AO456" s="1894">
        <v>126.96000000000001</v>
      </c>
      <c r="AP456" s="1894">
        <v>253.6</v>
      </c>
      <c r="AQ456" s="1894">
        <v>0.99560000000000004</v>
      </c>
      <c r="AR456" s="1894">
        <v>20</v>
      </c>
      <c r="AS456" s="1894">
        <v>20112</v>
      </c>
      <c r="AT456" s="1894">
        <f t="shared" si="193"/>
        <v>56675</v>
      </c>
      <c r="AU456" s="1894">
        <f t="shared" si="194"/>
        <v>0</v>
      </c>
      <c r="AV456" s="1894">
        <v>317</v>
      </c>
      <c r="AW456" s="1894">
        <v>124.56</v>
      </c>
      <c r="AX456" s="1894">
        <v>253.6</v>
      </c>
      <c r="AY456" s="1894">
        <v>0.99650000000000005</v>
      </c>
      <c r="AZ456" s="1894">
        <v>23.32</v>
      </c>
      <c r="BA456" s="1894">
        <v>20214</v>
      </c>
      <c r="BB456" s="1894">
        <f t="shared" si="195"/>
        <v>53810</v>
      </c>
      <c r="BC456" s="1894">
        <f t="shared" si="196"/>
        <v>0</v>
      </c>
      <c r="BD456" s="1894">
        <v>317</v>
      </c>
      <c r="BE456" s="1894">
        <v>101.76</v>
      </c>
      <c r="BF456" s="1894">
        <v>253.6</v>
      </c>
      <c r="BG456" s="1894">
        <v>0.99309999999999998</v>
      </c>
      <c r="BH456" s="1894">
        <v>21.22</v>
      </c>
      <c r="BI456" s="1894">
        <v>17619</v>
      </c>
      <c r="BJ456" s="1894">
        <f t="shared" si="197"/>
        <v>45426</v>
      </c>
      <c r="BK456" s="1894">
        <f t="shared" si="198"/>
        <v>0</v>
      </c>
      <c r="BL456" s="1894">
        <v>317</v>
      </c>
      <c r="BM456" s="1894">
        <v>61.440000000000005</v>
      </c>
      <c r="BN456" s="1894">
        <v>253.6</v>
      </c>
      <c r="BO456" s="1894">
        <v>0.9849</v>
      </c>
      <c r="BP456" s="1894">
        <v>22.49</v>
      </c>
      <c r="BQ456" s="1894">
        <v>9948</v>
      </c>
      <c r="BR456" s="1894">
        <f t="shared" si="199"/>
        <v>26542</v>
      </c>
      <c r="BS456" s="1894">
        <f t="shared" si="200"/>
        <v>0</v>
      </c>
      <c r="BT456" s="1894">
        <v>317</v>
      </c>
      <c r="BU456" s="1894">
        <v>33.6</v>
      </c>
      <c r="BV456" s="1894">
        <v>253.6</v>
      </c>
      <c r="BW456" s="1894">
        <v>0.97819999999999996</v>
      </c>
      <c r="BX456" s="1894">
        <v>30.84</v>
      </c>
      <c r="BY456" s="1894">
        <v>7710</v>
      </c>
      <c r="BZ456" s="1894">
        <f t="shared" si="201"/>
        <v>14999</v>
      </c>
      <c r="CA456" s="1894">
        <f t="shared" si="202"/>
        <v>0</v>
      </c>
      <c r="CB456" s="1894">
        <v>317</v>
      </c>
      <c r="CC456" s="1894">
        <v>34.080000000000005</v>
      </c>
      <c r="CD456" s="1894">
        <v>253.6</v>
      </c>
      <c r="CE456" s="1894">
        <v>0.98599999999999999</v>
      </c>
      <c r="CF456" s="1894">
        <v>31.4</v>
      </c>
      <c r="CG456" s="1894">
        <v>7962</v>
      </c>
      <c r="CH456" s="1894">
        <f t="shared" si="203"/>
        <v>15213</v>
      </c>
      <c r="CI456" s="1894">
        <f t="shared" si="204"/>
        <v>0</v>
      </c>
      <c r="CJ456" s="1894">
        <v>317</v>
      </c>
      <c r="CK456" s="1894">
        <v>60.72</v>
      </c>
      <c r="CL456" s="1894">
        <v>253.6</v>
      </c>
      <c r="CM456" s="1894">
        <v>0.99390000000000001</v>
      </c>
      <c r="CN456" s="1894">
        <v>23.1</v>
      </c>
      <c r="CO456" s="1894">
        <v>9426</v>
      </c>
      <c r="CP456" s="1894">
        <f t="shared" si="205"/>
        <v>24482</v>
      </c>
      <c r="CQ456" s="1894">
        <f t="shared" si="206"/>
        <v>0</v>
      </c>
      <c r="CR456" s="1924">
        <v>317</v>
      </c>
      <c r="CS456" s="1924">
        <v>87.84</v>
      </c>
      <c r="CT456" s="1924">
        <v>253.6</v>
      </c>
      <c r="CU456" s="1924">
        <v>0.99629999999999996</v>
      </c>
      <c r="CV456" s="1924">
        <v>22.59</v>
      </c>
      <c r="CW456" s="1924">
        <v>14763</v>
      </c>
      <c r="CX456" s="1894">
        <f t="shared" si="207"/>
        <v>39212</v>
      </c>
      <c r="CY456" s="1894">
        <f t="shared" si="208"/>
        <v>0</v>
      </c>
    </row>
    <row r="457" spans="1:103">
      <c r="A457" s="982">
        <v>126000000039</v>
      </c>
      <c r="B457" s="1923">
        <f t="shared" si="209"/>
        <v>451</v>
      </c>
      <c r="C457" s="1895" t="s">
        <v>3333</v>
      </c>
      <c r="D457" s="1894" t="s">
        <v>524</v>
      </c>
      <c r="E457" s="1895" t="s">
        <v>541</v>
      </c>
      <c r="F457" s="1894" t="s">
        <v>259</v>
      </c>
      <c r="G457" s="1924">
        <v>317</v>
      </c>
      <c r="H457" s="1894">
        <v>317</v>
      </c>
      <c r="I457" s="1894">
        <v>248.64</v>
      </c>
      <c r="J457" s="1894">
        <v>253.6</v>
      </c>
      <c r="K457" s="1894">
        <v>0.751</v>
      </c>
      <c r="L457" s="1894">
        <v>15.19</v>
      </c>
      <c r="M457" s="1894">
        <v>27189</v>
      </c>
      <c r="N457" s="1894">
        <f t="shared" si="187"/>
        <v>107412</v>
      </c>
      <c r="O457" s="1894">
        <f t="shared" si="188"/>
        <v>0</v>
      </c>
      <c r="P457" s="1894">
        <v>317</v>
      </c>
      <c r="Q457" s="1894">
        <v>235.44000000000003</v>
      </c>
      <c r="R457" s="1894">
        <v>253.6</v>
      </c>
      <c r="S457" s="1894">
        <v>0.7581</v>
      </c>
      <c r="T457" s="1894">
        <v>18.52</v>
      </c>
      <c r="U457" s="1894">
        <v>32442</v>
      </c>
      <c r="V457" s="1894">
        <f t="shared" si="189"/>
        <v>105100</v>
      </c>
      <c r="W457" s="1894">
        <f t="shared" si="190"/>
        <v>0</v>
      </c>
      <c r="X457" s="1894">
        <v>317</v>
      </c>
      <c r="Y457" s="1894">
        <v>217.2</v>
      </c>
      <c r="Z457" s="1894">
        <v>253.6</v>
      </c>
      <c r="AA457" s="1894">
        <v>0.75009999999999999</v>
      </c>
      <c r="AB457" s="1894">
        <v>14.44</v>
      </c>
      <c r="AC457" s="1894">
        <v>22575</v>
      </c>
      <c r="AD457" s="1894">
        <f t="shared" si="191"/>
        <v>93830</v>
      </c>
      <c r="AE457" s="1894">
        <f t="shared" si="192"/>
        <v>0</v>
      </c>
      <c r="AF457" s="1894">
        <v>317</v>
      </c>
      <c r="AG457" s="1894">
        <v>165.12</v>
      </c>
      <c r="AH457" s="1894">
        <v>253.6</v>
      </c>
      <c r="AI457" s="1894">
        <v>0.6865</v>
      </c>
      <c r="AJ457" s="1894">
        <v>4.83</v>
      </c>
      <c r="AK457" s="1894">
        <v>5934</v>
      </c>
      <c r="AL457" s="1894">
        <f t="shared" si="185"/>
        <v>73710</v>
      </c>
      <c r="AM457" s="1894">
        <f t="shared" si="186"/>
        <v>0</v>
      </c>
      <c r="AN457" s="1894">
        <v>317</v>
      </c>
      <c r="AO457" s="1894">
        <v>27.839999999999996</v>
      </c>
      <c r="AP457" s="1894">
        <v>253.6</v>
      </c>
      <c r="AQ457" s="1894">
        <v>0.64439999999999997</v>
      </c>
      <c r="AR457" s="1894">
        <v>11.93</v>
      </c>
      <c r="AS457" s="1894">
        <v>2472</v>
      </c>
      <c r="AT457" s="1894">
        <f t="shared" si="193"/>
        <v>12428</v>
      </c>
      <c r="AU457" s="1894">
        <f t="shared" si="194"/>
        <v>0</v>
      </c>
      <c r="AV457" s="1894">
        <v>317</v>
      </c>
      <c r="AW457" s="1894">
        <v>28.32</v>
      </c>
      <c r="AX457" s="1894">
        <v>253.6</v>
      </c>
      <c r="AY457" s="1894">
        <v>0.64049999999999996</v>
      </c>
      <c r="AZ457" s="1894">
        <v>10.15</v>
      </c>
      <c r="BA457" s="1894">
        <v>2070</v>
      </c>
      <c r="BB457" s="1894">
        <f t="shared" si="195"/>
        <v>12234</v>
      </c>
      <c r="BC457" s="1894">
        <f t="shared" si="196"/>
        <v>0</v>
      </c>
      <c r="BD457" s="1894">
        <v>317</v>
      </c>
      <c r="BE457" s="1894">
        <v>203.28</v>
      </c>
      <c r="BF457" s="1894">
        <v>253.6</v>
      </c>
      <c r="BG457" s="1894">
        <v>0.6512</v>
      </c>
      <c r="BH457" s="1894">
        <v>4.87</v>
      </c>
      <c r="BI457" s="1894">
        <v>7131</v>
      </c>
      <c r="BJ457" s="1894">
        <f t="shared" si="197"/>
        <v>90744</v>
      </c>
      <c r="BK457" s="1894">
        <f t="shared" si="198"/>
        <v>0</v>
      </c>
      <c r="BL457" s="1894">
        <v>317</v>
      </c>
      <c r="BM457" s="1894">
        <v>273.12</v>
      </c>
      <c r="BN457" s="1894">
        <v>273.12</v>
      </c>
      <c r="BO457" s="1894">
        <v>0.64959999999999996</v>
      </c>
      <c r="BP457" s="1894">
        <v>16.100000000000001</v>
      </c>
      <c r="BQ457" s="1894">
        <v>32712</v>
      </c>
      <c r="BR457" s="1894">
        <f t="shared" si="199"/>
        <v>117988</v>
      </c>
      <c r="BS457" s="1894">
        <f t="shared" si="200"/>
        <v>0</v>
      </c>
      <c r="BT457" s="1894">
        <v>317</v>
      </c>
      <c r="BU457" s="1894">
        <v>267.12</v>
      </c>
      <c r="BV457" s="1894">
        <v>267.12</v>
      </c>
      <c r="BW457" s="1894">
        <v>0.64729999999999999</v>
      </c>
      <c r="BX457" s="1894">
        <v>18.37</v>
      </c>
      <c r="BY457" s="1894">
        <v>36501</v>
      </c>
      <c r="BZ457" s="1894">
        <f t="shared" si="201"/>
        <v>119242</v>
      </c>
      <c r="CA457" s="1894">
        <f t="shared" si="202"/>
        <v>0</v>
      </c>
      <c r="CB457" s="1894">
        <v>317</v>
      </c>
      <c r="CC457" s="1894">
        <v>221.76</v>
      </c>
      <c r="CD457" s="1894">
        <v>253.6</v>
      </c>
      <c r="CE457" s="1894">
        <v>0.70130000000000003</v>
      </c>
      <c r="CF457" s="1894">
        <v>12.09</v>
      </c>
      <c r="CG457" s="1894">
        <v>19953</v>
      </c>
      <c r="CH457" s="1894">
        <f t="shared" si="203"/>
        <v>98994</v>
      </c>
      <c r="CI457" s="1894">
        <f t="shared" si="204"/>
        <v>0</v>
      </c>
      <c r="CJ457" s="1894">
        <v>317</v>
      </c>
      <c r="CK457" s="1894">
        <v>247.2</v>
      </c>
      <c r="CL457" s="1894">
        <v>253.6</v>
      </c>
      <c r="CM457" s="1894">
        <v>0.69979999999999998</v>
      </c>
      <c r="CN457" s="1894">
        <v>16.05</v>
      </c>
      <c r="CO457" s="1894">
        <v>26658</v>
      </c>
      <c r="CP457" s="1894">
        <f t="shared" si="205"/>
        <v>99671</v>
      </c>
      <c r="CQ457" s="1894">
        <f t="shared" si="206"/>
        <v>0</v>
      </c>
      <c r="CR457" s="1924">
        <v>317</v>
      </c>
      <c r="CS457" s="1924">
        <v>244.07999999999998</v>
      </c>
      <c r="CT457" s="1924">
        <v>253.6</v>
      </c>
      <c r="CU457" s="1924">
        <v>0.72109999999999996</v>
      </c>
      <c r="CV457" s="1924">
        <v>21.07</v>
      </c>
      <c r="CW457" s="1924">
        <v>38262</v>
      </c>
      <c r="CX457" s="1894">
        <f t="shared" si="207"/>
        <v>108957</v>
      </c>
      <c r="CY457" s="1894">
        <f t="shared" si="208"/>
        <v>0</v>
      </c>
    </row>
    <row r="458" spans="1:103">
      <c r="A458" s="982">
        <v>125000000040</v>
      </c>
      <c r="B458" s="1923">
        <f t="shared" si="209"/>
        <v>452</v>
      </c>
      <c r="C458" s="1895" t="s">
        <v>3334</v>
      </c>
      <c r="D458" s="1894" t="s">
        <v>524</v>
      </c>
      <c r="E458" s="1895" t="s">
        <v>737</v>
      </c>
      <c r="F458" s="1894" t="s">
        <v>259</v>
      </c>
      <c r="G458" s="1924">
        <v>322</v>
      </c>
      <c r="H458" s="1894">
        <v>322</v>
      </c>
      <c r="I458" s="1894">
        <v>108</v>
      </c>
      <c r="J458" s="1894">
        <v>257.60000000000002</v>
      </c>
      <c r="K458" s="1894">
        <v>0.99050000000000005</v>
      </c>
      <c r="L458" s="1894">
        <v>12.66</v>
      </c>
      <c r="M458" s="1894">
        <v>10170</v>
      </c>
      <c r="N458" s="1894">
        <f t="shared" si="187"/>
        <v>46656</v>
      </c>
      <c r="O458" s="1894">
        <f t="shared" si="188"/>
        <v>0</v>
      </c>
      <c r="P458" s="1894">
        <v>322</v>
      </c>
      <c r="Q458" s="1894">
        <v>90</v>
      </c>
      <c r="R458" s="1894">
        <v>257.60000000000002</v>
      </c>
      <c r="S458" s="1894">
        <v>0.98580000000000001</v>
      </c>
      <c r="T458" s="1894">
        <v>14.35</v>
      </c>
      <c r="U458" s="1894">
        <v>9300</v>
      </c>
      <c r="V458" s="1894">
        <f t="shared" si="189"/>
        <v>40176</v>
      </c>
      <c r="W458" s="1894">
        <f t="shared" si="190"/>
        <v>0</v>
      </c>
      <c r="X458" s="1894">
        <v>322</v>
      </c>
      <c r="Y458" s="1894">
        <v>117.60000000000001</v>
      </c>
      <c r="Z458" s="1894">
        <v>257.60000000000002</v>
      </c>
      <c r="AA458" s="1894">
        <v>0.97260000000000002</v>
      </c>
      <c r="AB458" s="1894">
        <v>13.08</v>
      </c>
      <c r="AC458" s="1894">
        <v>12180</v>
      </c>
      <c r="AD458" s="1894">
        <f t="shared" si="191"/>
        <v>50803</v>
      </c>
      <c r="AE458" s="1894">
        <f t="shared" si="192"/>
        <v>0</v>
      </c>
      <c r="AF458" s="1894">
        <v>322</v>
      </c>
      <c r="AG458" s="1894">
        <v>157.67999999999998</v>
      </c>
      <c r="AH458" s="1894">
        <v>257.60000000000002</v>
      </c>
      <c r="AI458" s="1894">
        <v>0.96930000000000005</v>
      </c>
      <c r="AJ458" s="1894">
        <v>8.5399999999999991</v>
      </c>
      <c r="AK458" s="1894">
        <v>8406</v>
      </c>
      <c r="AL458" s="1894">
        <f t="shared" si="185"/>
        <v>70388</v>
      </c>
      <c r="AM458" s="1894">
        <f t="shared" si="186"/>
        <v>0</v>
      </c>
      <c r="AN458" s="1894">
        <v>322</v>
      </c>
      <c r="AO458" s="1894">
        <v>104.39999999999999</v>
      </c>
      <c r="AP458" s="1894">
        <v>257.60000000000002</v>
      </c>
      <c r="AQ458" s="1894">
        <v>0.97529999999999994</v>
      </c>
      <c r="AR458" s="1894">
        <v>11.87</v>
      </c>
      <c r="AS458" s="1894">
        <v>10704</v>
      </c>
      <c r="AT458" s="1894">
        <f t="shared" si="193"/>
        <v>46604</v>
      </c>
      <c r="AU458" s="1894">
        <f t="shared" si="194"/>
        <v>0</v>
      </c>
      <c r="AV458" s="1894">
        <v>322</v>
      </c>
      <c r="AW458" s="1894">
        <v>102.96000000000001</v>
      </c>
      <c r="AX458" s="1894">
        <v>257.60000000000002</v>
      </c>
      <c r="AY458" s="1894">
        <v>0.98029999999999995</v>
      </c>
      <c r="AZ458" s="1894">
        <v>12.62</v>
      </c>
      <c r="BA458" s="1894">
        <v>7482</v>
      </c>
      <c r="BB458" s="1894">
        <f t="shared" si="195"/>
        <v>44479</v>
      </c>
      <c r="BC458" s="1894">
        <f t="shared" si="196"/>
        <v>0</v>
      </c>
      <c r="BD458" s="1894">
        <v>322</v>
      </c>
      <c r="BE458" s="1894">
        <v>19.920000000000002</v>
      </c>
      <c r="BF458" s="1894">
        <v>257.60000000000002</v>
      </c>
      <c r="BG458" s="1894">
        <v>0.96530000000000005</v>
      </c>
      <c r="BH458" s="1894">
        <v>55.31</v>
      </c>
      <c r="BI458" s="1894">
        <v>9519</v>
      </c>
      <c r="BJ458" s="1894">
        <f t="shared" si="197"/>
        <v>8892</v>
      </c>
      <c r="BK458" s="1894">
        <f t="shared" si="198"/>
        <v>627</v>
      </c>
      <c r="BL458" s="1894">
        <v>322</v>
      </c>
      <c r="BM458" s="1894">
        <v>112.2</v>
      </c>
      <c r="BN458" s="1894">
        <v>257.60000000000002</v>
      </c>
      <c r="BO458" s="1894">
        <v>0.90169999999999995</v>
      </c>
      <c r="BP458" s="1894">
        <v>9.0399999999999991</v>
      </c>
      <c r="BQ458" s="1894">
        <v>7545</v>
      </c>
      <c r="BR458" s="1894">
        <f t="shared" si="199"/>
        <v>48470</v>
      </c>
      <c r="BS458" s="1894">
        <f t="shared" si="200"/>
        <v>0</v>
      </c>
      <c r="BT458" s="1894">
        <v>322</v>
      </c>
      <c r="BU458" s="1894">
        <v>113.04</v>
      </c>
      <c r="BV458" s="1894">
        <v>257.60000000000002</v>
      </c>
      <c r="BW458" s="1894">
        <v>0.89949999999999997</v>
      </c>
      <c r="BX458" s="1894">
        <v>9.56</v>
      </c>
      <c r="BY458" s="1894">
        <v>8037</v>
      </c>
      <c r="BZ458" s="1894">
        <f t="shared" si="201"/>
        <v>50461</v>
      </c>
      <c r="CA458" s="1894">
        <f t="shared" si="202"/>
        <v>0</v>
      </c>
      <c r="CB458" s="1894">
        <v>322</v>
      </c>
      <c r="CC458" s="1894">
        <v>110.88</v>
      </c>
      <c r="CD458" s="1894">
        <v>257.60000000000002</v>
      </c>
      <c r="CE458" s="1894">
        <v>0.89739999999999998</v>
      </c>
      <c r="CF458" s="1894">
        <v>10.35</v>
      </c>
      <c r="CG458" s="1894">
        <v>8541</v>
      </c>
      <c r="CH458" s="1894">
        <f t="shared" si="203"/>
        <v>49497</v>
      </c>
      <c r="CI458" s="1894">
        <f t="shared" si="204"/>
        <v>0</v>
      </c>
      <c r="CJ458" s="1894">
        <v>322</v>
      </c>
      <c r="CK458" s="1894">
        <v>109.67999999999999</v>
      </c>
      <c r="CL458" s="1894">
        <v>257.60000000000002</v>
      </c>
      <c r="CM458" s="1894">
        <v>0.88419999999999999</v>
      </c>
      <c r="CN458" s="1894">
        <v>12.37</v>
      </c>
      <c r="CO458" s="1894">
        <v>9120</v>
      </c>
      <c r="CP458" s="1894">
        <f t="shared" si="205"/>
        <v>44223</v>
      </c>
      <c r="CQ458" s="1894">
        <f t="shared" si="206"/>
        <v>0</v>
      </c>
      <c r="CR458" s="1924">
        <v>322</v>
      </c>
      <c r="CS458" s="1924">
        <v>114.24000000000001</v>
      </c>
      <c r="CT458" s="1924">
        <v>257.60000000000002</v>
      </c>
      <c r="CU458" s="1924">
        <v>0.93259999999999998</v>
      </c>
      <c r="CV458" s="1924">
        <v>9.91</v>
      </c>
      <c r="CW458" s="1924">
        <v>8421</v>
      </c>
      <c r="CX458" s="1894">
        <f t="shared" si="207"/>
        <v>50997</v>
      </c>
      <c r="CY458" s="1894">
        <f t="shared" si="208"/>
        <v>0</v>
      </c>
    </row>
    <row r="459" spans="1:103">
      <c r="A459" s="982">
        <v>123000000141</v>
      </c>
      <c r="B459" s="1923">
        <f t="shared" si="209"/>
        <v>453</v>
      </c>
      <c r="C459" s="1895" t="s">
        <v>3335</v>
      </c>
      <c r="D459" s="1894" t="s">
        <v>524</v>
      </c>
      <c r="E459" s="1895" t="s">
        <v>541</v>
      </c>
      <c r="F459" s="1894" t="s">
        <v>259</v>
      </c>
      <c r="G459" s="1924">
        <v>328</v>
      </c>
      <c r="H459" s="1894">
        <v>0</v>
      </c>
      <c r="I459" s="1894">
        <v>0</v>
      </c>
      <c r="J459" s="1894">
        <v>0</v>
      </c>
      <c r="K459" s="1894">
        <v>0</v>
      </c>
      <c r="L459" s="1894">
        <v>0</v>
      </c>
      <c r="M459" s="1894">
        <v>0</v>
      </c>
      <c r="N459" s="1894">
        <f t="shared" si="187"/>
        <v>0</v>
      </c>
      <c r="O459" s="1894">
        <f t="shared" si="188"/>
        <v>0</v>
      </c>
      <c r="P459" s="1894">
        <v>0</v>
      </c>
      <c r="Q459" s="1894">
        <v>0</v>
      </c>
      <c r="R459" s="1894">
        <v>0</v>
      </c>
      <c r="S459" s="1894">
        <v>0</v>
      </c>
      <c r="T459" s="1894">
        <v>0</v>
      </c>
      <c r="U459" s="1894">
        <v>0</v>
      </c>
      <c r="V459" s="1894">
        <f t="shared" si="189"/>
        <v>0</v>
      </c>
      <c r="W459" s="1894">
        <f t="shared" si="190"/>
        <v>0</v>
      </c>
      <c r="X459" s="1894">
        <v>0</v>
      </c>
      <c r="Y459" s="1894">
        <v>0</v>
      </c>
      <c r="Z459" s="1894">
        <v>0</v>
      </c>
      <c r="AA459" s="1894">
        <v>0</v>
      </c>
      <c r="AB459" s="1894">
        <v>0</v>
      </c>
      <c r="AC459" s="1894">
        <v>0</v>
      </c>
      <c r="AD459" s="1894">
        <f t="shared" si="191"/>
        <v>0</v>
      </c>
      <c r="AE459" s="1894">
        <f t="shared" si="192"/>
        <v>0</v>
      </c>
      <c r="AF459" s="1894">
        <v>0</v>
      </c>
      <c r="AG459" s="1894">
        <v>0</v>
      </c>
      <c r="AH459" s="1894">
        <v>0</v>
      </c>
      <c r="AI459" s="1894">
        <v>0</v>
      </c>
      <c r="AJ459" s="1894">
        <v>0</v>
      </c>
      <c r="AK459" s="1894">
        <v>0</v>
      </c>
      <c r="AL459" s="1894">
        <f t="shared" si="185"/>
        <v>0</v>
      </c>
      <c r="AM459" s="1894">
        <f t="shared" si="186"/>
        <v>0</v>
      </c>
      <c r="AN459" s="1894">
        <v>0</v>
      </c>
      <c r="AO459" s="1894">
        <v>0</v>
      </c>
      <c r="AP459" s="1894">
        <v>0</v>
      </c>
      <c r="AQ459" s="1894">
        <v>0</v>
      </c>
      <c r="AR459" s="1894">
        <v>0</v>
      </c>
      <c r="AS459" s="1894">
        <v>0</v>
      </c>
      <c r="AT459" s="1894">
        <f t="shared" si="193"/>
        <v>0</v>
      </c>
      <c r="AU459" s="1894">
        <f t="shared" si="194"/>
        <v>0</v>
      </c>
      <c r="AV459" s="1894">
        <v>0</v>
      </c>
      <c r="AW459" s="1894">
        <v>0</v>
      </c>
      <c r="AX459" s="1894">
        <v>0</v>
      </c>
      <c r="AY459" s="1894">
        <v>0</v>
      </c>
      <c r="AZ459" s="1894">
        <v>0</v>
      </c>
      <c r="BA459" s="1894">
        <v>0</v>
      </c>
      <c r="BB459" s="1894">
        <f t="shared" si="195"/>
        <v>0</v>
      </c>
      <c r="BC459" s="1894">
        <f t="shared" si="196"/>
        <v>0</v>
      </c>
      <c r="BD459" s="1894">
        <v>0</v>
      </c>
      <c r="BE459" s="1894">
        <v>0</v>
      </c>
      <c r="BF459" s="1894">
        <v>0</v>
      </c>
      <c r="BG459" s="1894">
        <v>0</v>
      </c>
      <c r="BH459" s="1894">
        <v>0</v>
      </c>
      <c r="BI459" s="1894">
        <v>0</v>
      </c>
      <c r="BJ459" s="1894">
        <f t="shared" si="197"/>
        <v>0</v>
      </c>
      <c r="BK459" s="1894">
        <f t="shared" si="198"/>
        <v>0</v>
      </c>
      <c r="BL459" s="1894">
        <v>0</v>
      </c>
      <c r="BM459" s="1894">
        <v>0</v>
      </c>
      <c r="BN459" s="1894">
        <v>0</v>
      </c>
      <c r="BO459" s="1894">
        <v>0</v>
      </c>
      <c r="BP459" s="1894">
        <v>0</v>
      </c>
      <c r="BQ459" s="1894">
        <v>0</v>
      </c>
      <c r="BR459" s="1894">
        <f t="shared" si="199"/>
        <v>0</v>
      </c>
      <c r="BS459" s="1894">
        <f t="shared" si="200"/>
        <v>0</v>
      </c>
      <c r="BT459" s="1894">
        <v>0</v>
      </c>
      <c r="BU459" s="1894">
        <v>0</v>
      </c>
      <c r="BV459" s="1894">
        <v>0</v>
      </c>
      <c r="BW459" s="1894">
        <v>0</v>
      </c>
      <c r="BX459" s="1894">
        <v>0</v>
      </c>
      <c r="BY459" s="1894">
        <v>0</v>
      </c>
      <c r="BZ459" s="1894">
        <f t="shared" si="201"/>
        <v>0</v>
      </c>
      <c r="CA459" s="1894">
        <f t="shared" si="202"/>
        <v>0</v>
      </c>
      <c r="CB459" s="1894">
        <v>328</v>
      </c>
      <c r="CC459" s="1894">
        <v>196.8</v>
      </c>
      <c r="CD459" s="1894">
        <v>262.39999999999998</v>
      </c>
      <c r="CE459" s="1894">
        <v>0.64559999999999995</v>
      </c>
      <c r="CF459" s="1894">
        <v>8.99</v>
      </c>
      <c r="CG459" s="1894">
        <v>17410</v>
      </c>
      <c r="CH459" s="1894">
        <f t="shared" si="203"/>
        <v>87852</v>
      </c>
      <c r="CI459" s="1894">
        <f t="shared" si="204"/>
        <v>0</v>
      </c>
      <c r="CJ459" s="1894">
        <v>328</v>
      </c>
      <c r="CK459" s="1894">
        <v>208.95999999999998</v>
      </c>
      <c r="CL459" s="1894">
        <v>262.39999999999998</v>
      </c>
      <c r="CM459" s="1894">
        <v>0.6794</v>
      </c>
      <c r="CN459" s="1894">
        <v>11.55</v>
      </c>
      <c r="CO459" s="1894">
        <v>16220</v>
      </c>
      <c r="CP459" s="1894">
        <f t="shared" si="205"/>
        <v>84253</v>
      </c>
      <c r="CQ459" s="1894">
        <f t="shared" si="206"/>
        <v>0</v>
      </c>
      <c r="CR459" s="1924">
        <v>328</v>
      </c>
      <c r="CS459" s="1924">
        <v>204.64000000000001</v>
      </c>
      <c r="CT459" s="1924">
        <v>262.39999999999998</v>
      </c>
      <c r="CU459" s="1924">
        <v>0.67490000000000006</v>
      </c>
      <c r="CV459" s="1924">
        <v>4.8899999999999997</v>
      </c>
      <c r="CW459" s="1924">
        <v>7446</v>
      </c>
      <c r="CX459" s="1894">
        <f t="shared" si="207"/>
        <v>91351</v>
      </c>
      <c r="CY459" s="1894">
        <f t="shared" si="208"/>
        <v>0</v>
      </c>
    </row>
    <row r="460" spans="1:103">
      <c r="A460" s="982">
        <v>121000000098</v>
      </c>
      <c r="B460" s="1923">
        <f t="shared" si="209"/>
        <v>454</v>
      </c>
      <c r="C460" s="1895" t="s">
        <v>3336</v>
      </c>
      <c r="D460" s="1894" t="s">
        <v>524</v>
      </c>
      <c r="E460" s="1895" t="s">
        <v>541</v>
      </c>
      <c r="F460" s="1894" t="s">
        <v>259</v>
      </c>
      <c r="G460" s="1924">
        <v>328</v>
      </c>
      <c r="H460" s="1894">
        <v>0</v>
      </c>
      <c r="I460" s="1894">
        <v>0</v>
      </c>
      <c r="J460" s="1894">
        <v>0</v>
      </c>
      <c r="K460" s="1894">
        <v>0</v>
      </c>
      <c r="L460" s="1894">
        <v>0</v>
      </c>
      <c r="M460" s="1894">
        <v>0</v>
      </c>
      <c r="N460" s="1894">
        <f t="shared" si="187"/>
        <v>0</v>
      </c>
      <c r="O460" s="1894">
        <f t="shared" si="188"/>
        <v>0</v>
      </c>
      <c r="P460" s="1894">
        <v>328</v>
      </c>
      <c r="Q460" s="1894">
        <v>176.32000000000002</v>
      </c>
      <c r="R460" s="1894">
        <v>262.39999999999998</v>
      </c>
      <c r="S460" s="1894">
        <v>0.78269999999999995</v>
      </c>
      <c r="T460" s="1894">
        <v>30.79</v>
      </c>
      <c r="U460" s="1894">
        <v>29968</v>
      </c>
      <c r="V460" s="1894">
        <f t="shared" si="189"/>
        <v>78709</v>
      </c>
      <c r="W460" s="1894">
        <f t="shared" si="190"/>
        <v>0</v>
      </c>
      <c r="X460" s="1894">
        <v>328</v>
      </c>
      <c r="Y460" s="1894">
        <v>329.12</v>
      </c>
      <c r="Z460" s="1894">
        <v>329.12</v>
      </c>
      <c r="AA460" s="1894">
        <v>0.77139999999999997</v>
      </c>
      <c r="AB460" s="1894">
        <v>50.44</v>
      </c>
      <c r="AC460" s="1894">
        <v>123504</v>
      </c>
      <c r="AD460" s="1894">
        <f t="shared" si="191"/>
        <v>142180</v>
      </c>
      <c r="AE460" s="1894">
        <f t="shared" si="192"/>
        <v>0</v>
      </c>
      <c r="AF460" s="1894">
        <v>328</v>
      </c>
      <c r="AG460" s="1894">
        <v>346.72</v>
      </c>
      <c r="AH460" s="1894">
        <v>346.72</v>
      </c>
      <c r="AI460" s="1894">
        <v>0.75349999999999995</v>
      </c>
      <c r="AJ460" s="1894">
        <v>35.67</v>
      </c>
      <c r="AK460" s="1894">
        <v>92026</v>
      </c>
      <c r="AL460" s="1894">
        <f t="shared" si="185"/>
        <v>154776</v>
      </c>
      <c r="AM460" s="1894">
        <f t="shared" si="186"/>
        <v>0</v>
      </c>
      <c r="AN460" s="1894">
        <v>328</v>
      </c>
      <c r="AO460" s="1894">
        <v>175.36</v>
      </c>
      <c r="AP460" s="1894">
        <v>262.39999999999998</v>
      </c>
      <c r="AQ460" s="1894">
        <v>0.749</v>
      </c>
      <c r="AR460" s="1894">
        <v>25.2</v>
      </c>
      <c r="AS460" s="1894">
        <v>32872</v>
      </c>
      <c r="AT460" s="1894">
        <f t="shared" si="193"/>
        <v>78281</v>
      </c>
      <c r="AU460" s="1894">
        <f t="shared" si="194"/>
        <v>0</v>
      </c>
      <c r="AV460" s="1894">
        <v>328</v>
      </c>
      <c r="AW460" s="1894">
        <v>175.2</v>
      </c>
      <c r="AX460" s="1894">
        <v>262.39999999999998</v>
      </c>
      <c r="AY460" s="1894">
        <v>0.76859999999999995</v>
      </c>
      <c r="AZ460" s="1894">
        <v>18.96</v>
      </c>
      <c r="BA460" s="1894">
        <v>23914</v>
      </c>
      <c r="BB460" s="1894">
        <f t="shared" si="195"/>
        <v>75686</v>
      </c>
      <c r="BC460" s="1894">
        <f t="shared" si="196"/>
        <v>0</v>
      </c>
      <c r="BD460" s="1894">
        <v>328</v>
      </c>
      <c r="BE460" s="1894">
        <v>163.04000000000002</v>
      </c>
      <c r="BF460" s="1894">
        <v>262.39999999999998</v>
      </c>
      <c r="BG460" s="1894">
        <v>0.76219999999999999</v>
      </c>
      <c r="BH460" s="1894">
        <v>20.69</v>
      </c>
      <c r="BI460" s="1894">
        <v>25094</v>
      </c>
      <c r="BJ460" s="1894">
        <f t="shared" si="197"/>
        <v>72781</v>
      </c>
      <c r="BK460" s="1894">
        <f t="shared" si="198"/>
        <v>0</v>
      </c>
      <c r="BL460" s="1894">
        <v>328</v>
      </c>
      <c r="BM460" s="1894">
        <v>160</v>
      </c>
      <c r="BN460" s="1894">
        <v>262.39999999999998</v>
      </c>
      <c r="BO460" s="1894">
        <v>0.70779999999999998</v>
      </c>
      <c r="BP460" s="1894">
        <v>11.74</v>
      </c>
      <c r="BQ460" s="1894">
        <v>13528</v>
      </c>
      <c r="BR460" s="1894">
        <f t="shared" si="199"/>
        <v>69120</v>
      </c>
      <c r="BS460" s="1894">
        <f t="shared" si="200"/>
        <v>0</v>
      </c>
      <c r="BT460" s="1894">
        <v>328</v>
      </c>
      <c r="BU460" s="1894">
        <v>148.32</v>
      </c>
      <c r="BV460" s="1894">
        <v>262.39999999999998</v>
      </c>
      <c r="BW460" s="1894">
        <v>0.68230000000000002</v>
      </c>
      <c r="BX460" s="1894">
        <v>5.31</v>
      </c>
      <c r="BY460" s="1894">
        <v>5856</v>
      </c>
      <c r="BZ460" s="1894">
        <f t="shared" si="201"/>
        <v>66210</v>
      </c>
      <c r="CA460" s="1894">
        <f t="shared" si="202"/>
        <v>0</v>
      </c>
      <c r="CB460" s="1894">
        <v>328</v>
      </c>
      <c r="CC460" s="1894">
        <v>11.200000000000001</v>
      </c>
      <c r="CD460" s="1894">
        <v>262.39999999999998</v>
      </c>
      <c r="CE460" s="1894">
        <v>0.90969999999999995</v>
      </c>
      <c r="CF460" s="1894">
        <v>46.27</v>
      </c>
      <c r="CG460" s="1894">
        <v>3856</v>
      </c>
      <c r="CH460" s="1894">
        <f t="shared" si="203"/>
        <v>5000</v>
      </c>
      <c r="CI460" s="1894">
        <f t="shared" si="204"/>
        <v>0</v>
      </c>
      <c r="CJ460" s="1894">
        <v>328</v>
      </c>
      <c r="CK460" s="1894">
        <v>12</v>
      </c>
      <c r="CL460" s="1894">
        <v>262.39999999999998</v>
      </c>
      <c r="CM460" s="1894">
        <v>0.87609999999999999</v>
      </c>
      <c r="CN460" s="1894">
        <v>39.86</v>
      </c>
      <c r="CO460" s="1894">
        <v>3214</v>
      </c>
      <c r="CP460" s="1894">
        <f t="shared" si="205"/>
        <v>4838</v>
      </c>
      <c r="CQ460" s="1894">
        <f t="shared" si="206"/>
        <v>0</v>
      </c>
      <c r="CR460" s="1924">
        <v>328</v>
      </c>
      <c r="CS460" s="1924">
        <v>167.52</v>
      </c>
      <c r="CT460" s="1924">
        <v>262.39999999999998</v>
      </c>
      <c r="CU460" s="1924">
        <v>0.82709999999999995</v>
      </c>
      <c r="CV460" s="1924">
        <v>6.22</v>
      </c>
      <c r="CW460" s="1924">
        <v>7752</v>
      </c>
      <c r="CX460" s="1894">
        <f t="shared" si="207"/>
        <v>74781</v>
      </c>
      <c r="CY460" s="1894">
        <f t="shared" si="208"/>
        <v>0</v>
      </c>
    </row>
    <row r="461" spans="1:103">
      <c r="A461" s="982">
        <v>121000000038</v>
      </c>
      <c r="B461" s="1923">
        <f t="shared" si="209"/>
        <v>455</v>
      </c>
      <c r="C461" s="1895" t="s">
        <v>3337</v>
      </c>
      <c r="D461" s="1894" t="s">
        <v>524</v>
      </c>
      <c r="E461" s="1895" t="s">
        <v>2966</v>
      </c>
      <c r="F461" s="1894" t="s">
        <v>259</v>
      </c>
      <c r="G461" s="1924">
        <v>329</v>
      </c>
      <c r="H461" s="1894">
        <v>329</v>
      </c>
      <c r="I461" s="1894">
        <v>272.88</v>
      </c>
      <c r="J461" s="1894">
        <v>329</v>
      </c>
      <c r="K461" s="1894">
        <v>0.89510000000000001</v>
      </c>
      <c r="L461" s="1894">
        <v>0</v>
      </c>
      <c r="M461" s="1894">
        <v>59524</v>
      </c>
      <c r="N461" s="1894">
        <f t="shared" si="187"/>
        <v>117884</v>
      </c>
      <c r="O461" s="1894">
        <f t="shared" si="188"/>
        <v>0</v>
      </c>
      <c r="P461" s="1894">
        <v>329</v>
      </c>
      <c r="Q461" s="1894">
        <v>292.32</v>
      </c>
      <c r="R461" s="1894">
        <v>329</v>
      </c>
      <c r="S461" s="1894">
        <v>0.89319999999999999</v>
      </c>
      <c r="T461" s="1894">
        <v>0</v>
      </c>
      <c r="U461" s="1894">
        <v>86104</v>
      </c>
      <c r="V461" s="1894">
        <f t="shared" si="189"/>
        <v>130492</v>
      </c>
      <c r="W461" s="1894">
        <f t="shared" si="190"/>
        <v>0</v>
      </c>
      <c r="X461" s="1894">
        <v>329</v>
      </c>
      <c r="Y461" s="1894">
        <v>372</v>
      </c>
      <c r="Z461" s="1894">
        <v>372</v>
      </c>
      <c r="AA461" s="1894">
        <v>0.84830000000000005</v>
      </c>
      <c r="AB461" s="1894">
        <v>0</v>
      </c>
      <c r="AC461" s="1894">
        <v>106856</v>
      </c>
      <c r="AD461" s="1894">
        <f t="shared" si="191"/>
        <v>160704</v>
      </c>
      <c r="AE461" s="1894">
        <f t="shared" si="192"/>
        <v>0</v>
      </c>
      <c r="AF461" s="1894">
        <v>329</v>
      </c>
      <c r="AG461" s="1894">
        <v>334.4</v>
      </c>
      <c r="AH461" s="1894">
        <v>334.4</v>
      </c>
      <c r="AI461" s="1894">
        <v>0.89739999999999998</v>
      </c>
      <c r="AJ461" s="1894">
        <v>0</v>
      </c>
      <c r="AK461" s="1894">
        <v>65480</v>
      </c>
      <c r="AL461" s="1894">
        <f t="shared" si="185"/>
        <v>149276</v>
      </c>
      <c r="AM461" s="1894">
        <f t="shared" si="186"/>
        <v>0</v>
      </c>
      <c r="AN461" s="1894">
        <v>329</v>
      </c>
      <c r="AO461" s="1894">
        <v>250.72</v>
      </c>
      <c r="AP461" s="1894">
        <v>329</v>
      </c>
      <c r="AQ461" s="1894">
        <v>0.90129999999999999</v>
      </c>
      <c r="AR461" s="1894">
        <v>0</v>
      </c>
      <c r="AS461" s="1894">
        <v>62094</v>
      </c>
      <c r="AT461" s="1894">
        <f t="shared" si="193"/>
        <v>111921</v>
      </c>
      <c r="AU461" s="1894">
        <f t="shared" si="194"/>
        <v>0</v>
      </c>
      <c r="AV461" s="1894">
        <v>329</v>
      </c>
      <c r="AW461" s="1894">
        <v>203.52</v>
      </c>
      <c r="AX461" s="1894">
        <v>329</v>
      </c>
      <c r="AY461" s="1894">
        <v>0.90990000000000004</v>
      </c>
      <c r="AZ461" s="1894">
        <v>0</v>
      </c>
      <c r="BA461" s="1894">
        <v>48078</v>
      </c>
      <c r="BB461" s="1894">
        <f t="shared" si="195"/>
        <v>87921</v>
      </c>
      <c r="BC461" s="1894">
        <f t="shared" si="196"/>
        <v>0</v>
      </c>
      <c r="BD461" s="1894">
        <v>329</v>
      </c>
      <c r="BE461" s="1894">
        <v>260.64</v>
      </c>
      <c r="BF461" s="1894">
        <v>329</v>
      </c>
      <c r="BG461" s="1894">
        <v>0.87849999999999995</v>
      </c>
      <c r="BH461" s="1894">
        <v>0</v>
      </c>
      <c r="BI461" s="1894">
        <v>86606</v>
      </c>
      <c r="BJ461" s="1894">
        <f t="shared" si="197"/>
        <v>116350</v>
      </c>
      <c r="BK461" s="1894">
        <f t="shared" si="198"/>
        <v>0</v>
      </c>
      <c r="BL461" s="1894">
        <v>329</v>
      </c>
      <c r="BM461" s="1894">
        <v>300</v>
      </c>
      <c r="BN461" s="1894">
        <v>329</v>
      </c>
      <c r="BO461" s="1894">
        <v>0.89380000000000004</v>
      </c>
      <c r="BP461" s="1894">
        <v>0</v>
      </c>
      <c r="BQ461" s="1894">
        <v>59710</v>
      </c>
      <c r="BR461" s="1894">
        <f t="shared" si="199"/>
        <v>129600</v>
      </c>
      <c r="BS461" s="1894">
        <f t="shared" si="200"/>
        <v>0</v>
      </c>
      <c r="BT461" s="1894">
        <v>329</v>
      </c>
      <c r="BU461" s="1894">
        <v>72.48</v>
      </c>
      <c r="BV461" s="1894">
        <v>329</v>
      </c>
      <c r="BW461" s="1894">
        <v>0.99939999999999996</v>
      </c>
      <c r="BX461" s="1894">
        <v>0</v>
      </c>
      <c r="BY461" s="1894">
        <v>10154</v>
      </c>
      <c r="BZ461" s="1894">
        <f t="shared" si="201"/>
        <v>32355</v>
      </c>
      <c r="CA461" s="1894">
        <f t="shared" si="202"/>
        <v>0</v>
      </c>
      <c r="CB461" s="1894">
        <v>329</v>
      </c>
      <c r="CC461" s="1894">
        <v>22.720000000000002</v>
      </c>
      <c r="CD461" s="1894">
        <v>329</v>
      </c>
      <c r="CE461" s="1894">
        <v>1</v>
      </c>
      <c r="CF461" s="1894">
        <v>0</v>
      </c>
      <c r="CG461" s="1894">
        <v>3258</v>
      </c>
      <c r="CH461" s="1894">
        <f t="shared" si="203"/>
        <v>10142</v>
      </c>
      <c r="CI461" s="1894">
        <f t="shared" si="204"/>
        <v>0</v>
      </c>
      <c r="CJ461" s="1894">
        <v>329</v>
      </c>
      <c r="CK461" s="1894">
        <v>14.08</v>
      </c>
      <c r="CL461" s="1894">
        <v>329</v>
      </c>
      <c r="CM461" s="1894">
        <v>1</v>
      </c>
      <c r="CN461" s="1894">
        <v>0</v>
      </c>
      <c r="CO461" s="1894">
        <v>2482</v>
      </c>
      <c r="CP461" s="1894">
        <f t="shared" si="205"/>
        <v>5677</v>
      </c>
      <c r="CQ461" s="1894">
        <f t="shared" si="206"/>
        <v>0</v>
      </c>
      <c r="CR461" s="1924">
        <v>329</v>
      </c>
      <c r="CS461" s="1924">
        <v>110.72</v>
      </c>
      <c r="CT461" s="1924">
        <v>329</v>
      </c>
      <c r="CU461" s="1924">
        <v>0.99750000000000005</v>
      </c>
      <c r="CV461" s="1924">
        <v>0</v>
      </c>
      <c r="CW461" s="1924">
        <v>10768</v>
      </c>
      <c r="CX461" s="1894">
        <f t="shared" si="207"/>
        <v>49425</v>
      </c>
      <c r="CY461" s="1894">
        <f t="shared" si="208"/>
        <v>0</v>
      </c>
    </row>
    <row r="462" spans="1:103">
      <c r="A462" s="982">
        <v>621000000055</v>
      </c>
      <c r="B462" s="1923">
        <f t="shared" si="209"/>
        <v>456</v>
      </c>
      <c r="C462" s="1895" t="s">
        <v>3338</v>
      </c>
      <c r="D462" s="1894" t="s">
        <v>524</v>
      </c>
      <c r="E462" s="1895" t="s">
        <v>641</v>
      </c>
      <c r="F462" s="1894" t="s">
        <v>259</v>
      </c>
      <c r="G462" s="1924">
        <v>330</v>
      </c>
      <c r="H462" s="1894">
        <v>330</v>
      </c>
      <c r="I462" s="1894">
        <v>112.88</v>
      </c>
      <c r="J462" s="1894">
        <v>264</v>
      </c>
      <c r="K462" s="1894">
        <v>0.78900000000000003</v>
      </c>
      <c r="L462" s="1894">
        <v>37.17</v>
      </c>
      <c r="M462" s="1894">
        <v>30210</v>
      </c>
      <c r="N462" s="1894">
        <f t="shared" si="187"/>
        <v>48764</v>
      </c>
      <c r="O462" s="1894">
        <f t="shared" si="188"/>
        <v>0</v>
      </c>
      <c r="P462" s="1894">
        <v>330</v>
      </c>
      <c r="Q462" s="1894">
        <v>102.71999999999998</v>
      </c>
      <c r="R462" s="1894">
        <v>264</v>
      </c>
      <c r="S462" s="1894">
        <v>0.70750000000000002</v>
      </c>
      <c r="T462" s="1894">
        <v>27.26</v>
      </c>
      <c r="U462" s="1894">
        <v>20831</v>
      </c>
      <c r="V462" s="1894">
        <f t="shared" si="189"/>
        <v>45854</v>
      </c>
      <c r="W462" s="1894">
        <f t="shared" si="190"/>
        <v>0</v>
      </c>
      <c r="X462" s="1894">
        <v>330</v>
      </c>
      <c r="Y462" s="1894">
        <v>51.839999999999996</v>
      </c>
      <c r="Z462" s="1894">
        <v>264</v>
      </c>
      <c r="AA462" s="1894">
        <v>0.62829999999999997</v>
      </c>
      <c r="AB462" s="1894">
        <v>41</v>
      </c>
      <c r="AC462" s="1894">
        <v>15304</v>
      </c>
      <c r="AD462" s="1894">
        <f t="shared" si="191"/>
        <v>22395</v>
      </c>
      <c r="AE462" s="1894">
        <f t="shared" si="192"/>
        <v>0</v>
      </c>
      <c r="AF462" s="1894">
        <v>330</v>
      </c>
      <c r="AG462" s="1894">
        <v>83.52000000000001</v>
      </c>
      <c r="AH462" s="1894">
        <v>264</v>
      </c>
      <c r="AI462" s="1894">
        <v>0.60489999999999999</v>
      </c>
      <c r="AJ462" s="1894">
        <v>24.72</v>
      </c>
      <c r="AK462" s="1894">
        <v>15359</v>
      </c>
      <c r="AL462" s="1894">
        <f t="shared" si="185"/>
        <v>37283</v>
      </c>
      <c r="AM462" s="1894">
        <f t="shared" si="186"/>
        <v>0</v>
      </c>
      <c r="AN462" s="1894">
        <v>330</v>
      </c>
      <c r="AO462" s="1894">
        <v>36</v>
      </c>
      <c r="AP462" s="1894">
        <v>264</v>
      </c>
      <c r="AQ462" s="1894">
        <v>0.59919999999999995</v>
      </c>
      <c r="AR462" s="1894">
        <v>51.52</v>
      </c>
      <c r="AS462" s="1894">
        <v>13800</v>
      </c>
      <c r="AT462" s="1894">
        <f t="shared" si="193"/>
        <v>16070</v>
      </c>
      <c r="AU462" s="1894">
        <f t="shared" si="194"/>
        <v>0</v>
      </c>
      <c r="AV462" s="1894">
        <v>330</v>
      </c>
      <c r="AW462" s="1894">
        <v>45.76</v>
      </c>
      <c r="AX462" s="1894">
        <v>264</v>
      </c>
      <c r="AY462" s="1894">
        <v>0.60740000000000005</v>
      </c>
      <c r="AZ462" s="1894">
        <v>34.869999999999997</v>
      </c>
      <c r="BA462" s="1894">
        <v>11490</v>
      </c>
      <c r="BB462" s="1894">
        <f t="shared" si="195"/>
        <v>19768</v>
      </c>
      <c r="BC462" s="1894">
        <f t="shared" si="196"/>
        <v>0</v>
      </c>
      <c r="BD462" s="1894">
        <v>330</v>
      </c>
      <c r="BE462" s="1894">
        <v>50.32</v>
      </c>
      <c r="BF462" s="1894">
        <v>264</v>
      </c>
      <c r="BG462" s="1894">
        <v>0.60340000000000005</v>
      </c>
      <c r="BH462" s="1894">
        <v>40.299999999999997</v>
      </c>
      <c r="BI462" s="1894">
        <v>15088</v>
      </c>
      <c r="BJ462" s="1894">
        <f t="shared" si="197"/>
        <v>22463</v>
      </c>
      <c r="BK462" s="1894">
        <f t="shared" si="198"/>
        <v>0</v>
      </c>
      <c r="BL462" s="1894">
        <v>330</v>
      </c>
      <c r="BM462" s="1894">
        <v>47.92</v>
      </c>
      <c r="BN462" s="1894">
        <v>264</v>
      </c>
      <c r="BO462" s="1894">
        <v>0.59009999999999996</v>
      </c>
      <c r="BP462" s="1894">
        <v>39.54</v>
      </c>
      <c r="BQ462" s="1894">
        <v>13643</v>
      </c>
      <c r="BR462" s="1894">
        <f t="shared" si="199"/>
        <v>20701</v>
      </c>
      <c r="BS462" s="1894">
        <f t="shared" si="200"/>
        <v>0</v>
      </c>
      <c r="BT462" s="1894">
        <v>330</v>
      </c>
      <c r="BU462" s="1894">
        <v>41.68</v>
      </c>
      <c r="BV462" s="1894">
        <v>264</v>
      </c>
      <c r="BW462" s="1894">
        <v>0.55789999999999995</v>
      </c>
      <c r="BX462" s="1894">
        <v>44.99</v>
      </c>
      <c r="BY462" s="1894">
        <v>13951</v>
      </c>
      <c r="BZ462" s="1894">
        <f t="shared" si="201"/>
        <v>18606</v>
      </c>
      <c r="CA462" s="1894">
        <f t="shared" si="202"/>
        <v>0</v>
      </c>
      <c r="CB462" s="1894">
        <v>330</v>
      </c>
      <c r="CC462" s="1894">
        <v>41.199999999999996</v>
      </c>
      <c r="CD462" s="1894">
        <v>264</v>
      </c>
      <c r="CE462" s="1894">
        <v>0.62</v>
      </c>
      <c r="CF462" s="1894">
        <v>50.29</v>
      </c>
      <c r="CG462" s="1894">
        <v>15414</v>
      </c>
      <c r="CH462" s="1894">
        <f t="shared" si="203"/>
        <v>18392</v>
      </c>
      <c r="CI462" s="1894">
        <f t="shared" si="204"/>
        <v>0</v>
      </c>
      <c r="CJ462" s="1894">
        <v>330</v>
      </c>
      <c r="CK462" s="1894">
        <v>47.599999999999994</v>
      </c>
      <c r="CL462" s="1894">
        <v>264</v>
      </c>
      <c r="CM462" s="1894">
        <v>0.59389999999999998</v>
      </c>
      <c r="CN462" s="1894">
        <v>43.43</v>
      </c>
      <c r="CO462" s="1894">
        <v>13891</v>
      </c>
      <c r="CP462" s="1894">
        <f t="shared" si="205"/>
        <v>19192</v>
      </c>
      <c r="CQ462" s="1894">
        <f t="shared" si="206"/>
        <v>0</v>
      </c>
      <c r="CR462" s="1924">
        <v>330</v>
      </c>
      <c r="CS462" s="1924">
        <v>42.24</v>
      </c>
      <c r="CT462" s="1924">
        <v>264</v>
      </c>
      <c r="CU462" s="1924">
        <v>0.58620000000000005</v>
      </c>
      <c r="CV462" s="1924">
        <v>46.75</v>
      </c>
      <c r="CW462" s="1924">
        <v>14691</v>
      </c>
      <c r="CX462" s="1894">
        <f t="shared" si="207"/>
        <v>18856</v>
      </c>
      <c r="CY462" s="1894">
        <f t="shared" si="208"/>
        <v>0</v>
      </c>
    </row>
    <row r="463" spans="1:103">
      <c r="A463" s="982">
        <v>613000000040</v>
      </c>
      <c r="B463" s="1923">
        <f t="shared" si="209"/>
        <v>457</v>
      </c>
      <c r="C463" s="1895" t="s">
        <v>3339</v>
      </c>
      <c r="D463" s="1894" t="s">
        <v>524</v>
      </c>
      <c r="E463" s="1895" t="s">
        <v>541</v>
      </c>
      <c r="F463" s="1894" t="s">
        <v>259</v>
      </c>
      <c r="G463" s="1924">
        <v>332</v>
      </c>
      <c r="H463" s="1894">
        <v>0</v>
      </c>
      <c r="I463" s="1894">
        <v>0</v>
      </c>
      <c r="J463" s="1894">
        <v>0</v>
      </c>
      <c r="K463" s="1894">
        <v>0</v>
      </c>
      <c r="L463" s="1894">
        <v>0</v>
      </c>
      <c r="M463" s="1894">
        <v>0</v>
      </c>
      <c r="N463" s="1894">
        <f t="shared" si="187"/>
        <v>0</v>
      </c>
      <c r="O463" s="1894">
        <f t="shared" si="188"/>
        <v>0</v>
      </c>
      <c r="P463" s="1894">
        <v>0</v>
      </c>
      <c r="Q463" s="1894">
        <v>0</v>
      </c>
      <c r="R463" s="1894">
        <v>0</v>
      </c>
      <c r="S463" s="1894">
        <v>0</v>
      </c>
      <c r="T463" s="1894">
        <v>0</v>
      </c>
      <c r="U463" s="1894">
        <v>0</v>
      </c>
      <c r="V463" s="1894">
        <f t="shared" si="189"/>
        <v>0</v>
      </c>
      <c r="W463" s="1894">
        <f t="shared" si="190"/>
        <v>0</v>
      </c>
      <c r="X463" s="1894">
        <v>0</v>
      </c>
      <c r="Y463" s="1894">
        <v>0</v>
      </c>
      <c r="Z463" s="1894">
        <v>0</v>
      </c>
      <c r="AA463" s="1894">
        <v>0</v>
      </c>
      <c r="AB463" s="1894">
        <v>0</v>
      </c>
      <c r="AC463" s="1894">
        <v>0</v>
      </c>
      <c r="AD463" s="1894">
        <f t="shared" si="191"/>
        <v>0</v>
      </c>
      <c r="AE463" s="1894">
        <f t="shared" si="192"/>
        <v>0</v>
      </c>
      <c r="AF463" s="1894">
        <v>0</v>
      </c>
      <c r="AG463" s="1894">
        <v>0</v>
      </c>
      <c r="AH463" s="1894">
        <v>0</v>
      </c>
      <c r="AI463" s="1894">
        <v>0</v>
      </c>
      <c r="AJ463" s="1894">
        <v>0</v>
      </c>
      <c r="AK463" s="1894">
        <v>0</v>
      </c>
      <c r="AL463" s="1894">
        <f t="shared" si="185"/>
        <v>0</v>
      </c>
      <c r="AM463" s="1894">
        <f t="shared" si="186"/>
        <v>0</v>
      </c>
      <c r="AN463" s="1894">
        <v>0</v>
      </c>
      <c r="AO463" s="1894">
        <v>0</v>
      </c>
      <c r="AP463" s="1894">
        <v>0</v>
      </c>
      <c r="AQ463" s="1894">
        <v>0</v>
      </c>
      <c r="AR463" s="1894">
        <v>0</v>
      </c>
      <c r="AS463" s="1894">
        <v>0</v>
      </c>
      <c r="AT463" s="1894">
        <f t="shared" si="193"/>
        <v>0</v>
      </c>
      <c r="AU463" s="1894">
        <f t="shared" si="194"/>
        <v>0</v>
      </c>
      <c r="AV463" s="1894">
        <v>0</v>
      </c>
      <c r="AW463" s="1894">
        <v>0</v>
      </c>
      <c r="AX463" s="1894">
        <v>0</v>
      </c>
      <c r="AY463" s="1894">
        <v>0</v>
      </c>
      <c r="AZ463" s="1894">
        <v>0</v>
      </c>
      <c r="BA463" s="1894">
        <v>0</v>
      </c>
      <c r="BB463" s="1894">
        <f t="shared" si="195"/>
        <v>0</v>
      </c>
      <c r="BC463" s="1894">
        <f t="shared" si="196"/>
        <v>0</v>
      </c>
      <c r="BD463" s="1894">
        <v>0</v>
      </c>
      <c r="BE463" s="1894">
        <v>0</v>
      </c>
      <c r="BF463" s="1894">
        <v>0</v>
      </c>
      <c r="BG463" s="1894">
        <v>0</v>
      </c>
      <c r="BH463" s="1894">
        <v>0</v>
      </c>
      <c r="BI463" s="1894">
        <v>0</v>
      </c>
      <c r="BJ463" s="1894">
        <f t="shared" si="197"/>
        <v>0</v>
      </c>
      <c r="BK463" s="1894">
        <f t="shared" si="198"/>
        <v>0</v>
      </c>
      <c r="BL463" s="1894">
        <v>0</v>
      </c>
      <c r="BM463" s="1894">
        <v>0</v>
      </c>
      <c r="BN463" s="1894">
        <v>0</v>
      </c>
      <c r="BO463" s="1894">
        <v>0</v>
      </c>
      <c r="BP463" s="1894">
        <v>0</v>
      </c>
      <c r="BQ463" s="1894">
        <v>0</v>
      </c>
      <c r="BR463" s="1894">
        <f t="shared" si="199"/>
        <v>0</v>
      </c>
      <c r="BS463" s="1894">
        <f t="shared" si="200"/>
        <v>0</v>
      </c>
      <c r="BT463" s="1894">
        <v>332</v>
      </c>
      <c r="BU463" s="1894">
        <v>0</v>
      </c>
      <c r="BV463" s="1894">
        <v>265.60000000000002</v>
      </c>
      <c r="BW463" s="1894">
        <v>0</v>
      </c>
      <c r="BX463" s="1894">
        <v>0</v>
      </c>
      <c r="BY463" s="1894">
        <v>0</v>
      </c>
      <c r="BZ463" s="1894">
        <f t="shared" si="201"/>
        <v>0</v>
      </c>
      <c r="CA463" s="1894">
        <f t="shared" si="202"/>
        <v>0</v>
      </c>
      <c r="CB463" s="1894">
        <v>332</v>
      </c>
      <c r="CC463" s="1894">
        <v>253.92000000000002</v>
      </c>
      <c r="CD463" s="1894">
        <v>265.60000000000002</v>
      </c>
      <c r="CE463" s="1894">
        <v>0.70820000000000005</v>
      </c>
      <c r="CF463" s="1894">
        <v>2.29</v>
      </c>
      <c r="CG463" s="1894">
        <v>4332</v>
      </c>
      <c r="CH463" s="1894">
        <f t="shared" si="203"/>
        <v>113350</v>
      </c>
      <c r="CI463" s="1894">
        <f t="shared" si="204"/>
        <v>0</v>
      </c>
      <c r="CJ463" s="1894">
        <v>332</v>
      </c>
      <c r="CK463" s="1894">
        <v>5.12</v>
      </c>
      <c r="CL463" s="1894">
        <v>265.60000000000002</v>
      </c>
      <c r="CM463" s="1894">
        <v>0.70879999999999999</v>
      </c>
      <c r="CN463" s="1894">
        <v>30.34</v>
      </c>
      <c r="CO463" s="1894">
        <v>1044</v>
      </c>
      <c r="CP463" s="1894">
        <f t="shared" si="205"/>
        <v>2064</v>
      </c>
      <c r="CQ463" s="1894">
        <f t="shared" si="206"/>
        <v>0</v>
      </c>
      <c r="CR463" s="1924">
        <v>332</v>
      </c>
      <c r="CS463" s="1924">
        <v>206.88</v>
      </c>
      <c r="CT463" s="1924">
        <v>265.60000000000002</v>
      </c>
      <c r="CU463" s="1924">
        <v>0.75229999999999997</v>
      </c>
      <c r="CV463" s="1924">
        <v>1.1200000000000001</v>
      </c>
      <c r="CW463" s="1924">
        <v>1728</v>
      </c>
      <c r="CX463" s="1894">
        <f t="shared" si="207"/>
        <v>92351</v>
      </c>
      <c r="CY463" s="1894">
        <f t="shared" si="208"/>
        <v>0</v>
      </c>
    </row>
    <row r="464" spans="1:103">
      <c r="A464" s="982">
        <v>611000000118</v>
      </c>
      <c r="B464" s="1923">
        <f t="shared" si="209"/>
        <v>458</v>
      </c>
      <c r="C464" s="1895" t="s">
        <v>3340</v>
      </c>
      <c r="D464" s="1894" t="s">
        <v>524</v>
      </c>
      <c r="E464" s="1895" t="s">
        <v>636</v>
      </c>
      <c r="F464" s="1894" t="s">
        <v>259</v>
      </c>
      <c r="G464" s="1924">
        <v>333</v>
      </c>
      <c r="H464" s="1894">
        <v>0</v>
      </c>
      <c r="I464" s="1894">
        <v>0</v>
      </c>
      <c r="J464" s="1894">
        <v>0</v>
      </c>
      <c r="K464" s="1894">
        <v>0</v>
      </c>
      <c r="L464" s="1894">
        <v>0</v>
      </c>
      <c r="M464" s="1894">
        <v>0</v>
      </c>
      <c r="N464" s="1894">
        <f t="shared" si="187"/>
        <v>0</v>
      </c>
      <c r="O464" s="1894">
        <f t="shared" si="188"/>
        <v>0</v>
      </c>
      <c r="P464" s="1894">
        <v>333</v>
      </c>
      <c r="Q464" s="1894">
        <v>140.48000000000002</v>
      </c>
      <c r="R464" s="1894">
        <v>266.39999999999998</v>
      </c>
      <c r="S464" s="1894">
        <v>0.98860000000000003</v>
      </c>
      <c r="T464" s="1894">
        <v>24.01</v>
      </c>
      <c r="U464" s="1894">
        <v>27527</v>
      </c>
      <c r="V464" s="1894">
        <f t="shared" si="189"/>
        <v>62710</v>
      </c>
      <c r="W464" s="1894">
        <f t="shared" si="190"/>
        <v>0</v>
      </c>
      <c r="X464" s="1894">
        <v>333</v>
      </c>
      <c r="Y464" s="1894">
        <v>80.47999999999999</v>
      </c>
      <c r="Z464" s="1894">
        <v>266.39999999999998</v>
      </c>
      <c r="AA464" s="1894">
        <v>0.99299999999999999</v>
      </c>
      <c r="AB464" s="1894">
        <v>44.19</v>
      </c>
      <c r="AC464" s="1894">
        <v>30724</v>
      </c>
      <c r="AD464" s="1894">
        <f t="shared" si="191"/>
        <v>34767</v>
      </c>
      <c r="AE464" s="1894">
        <f t="shared" si="192"/>
        <v>0</v>
      </c>
      <c r="AF464" s="1894">
        <v>333</v>
      </c>
      <c r="AG464" s="1894">
        <v>79.36</v>
      </c>
      <c r="AH464" s="1894">
        <v>266.39999999999998</v>
      </c>
      <c r="AI464" s="1894">
        <v>0.9929</v>
      </c>
      <c r="AJ464" s="1894">
        <v>46.71</v>
      </c>
      <c r="AK464" s="1894">
        <v>27578</v>
      </c>
      <c r="AL464" s="1894">
        <f t="shared" si="185"/>
        <v>35426</v>
      </c>
      <c r="AM464" s="1894">
        <f t="shared" si="186"/>
        <v>0</v>
      </c>
      <c r="AN464" s="1894">
        <v>333</v>
      </c>
      <c r="AO464" s="1894">
        <v>89.759999999999991</v>
      </c>
      <c r="AP464" s="1894">
        <v>266.39999999999998</v>
      </c>
      <c r="AQ464" s="1894">
        <v>0.99729999999999996</v>
      </c>
      <c r="AR464" s="1894">
        <v>44.06</v>
      </c>
      <c r="AS464" s="1894">
        <v>29422</v>
      </c>
      <c r="AT464" s="1894">
        <f t="shared" si="193"/>
        <v>40069</v>
      </c>
      <c r="AU464" s="1894">
        <f t="shared" si="194"/>
        <v>0</v>
      </c>
      <c r="AV464" s="1894">
        <v>333</v>
      </c>
      <c r="AW464" s="1894">
        <v>112.4</v>
      </c>
      <c r="AX464" s="1894">
        <v>266.39999999999998</v>
      </c>
      <c r="AY464" s="1894">
        <v>0.99890000000000001</v>
      </c>
      <c r="AZ464" s="1894">
        <v>37.54</v>
      </c>
      <c r="BA464" s="1894">
        <v>22260</v>
      </c>
      <c r="BB464" s="1894">
        <f t="shared" si="195"/>
        <v>48557</v>
      </c>
      <c r="BC464" s="1894">
        <f t="shared" si="196"/>
        <v>0</v>
      </c>
      <c r="BD464" s="1894">
        <v>333</v>
      </c>
      <c r="BE464" s="1894">
        <v>103.36000000000001</v>
      </c>
      <c r="BF464" s="1894">
        <v>266.39999999999998</v>
      </c>
      <c r="BG464" s="1894">
        <v>0.99650000000000005</v>
      </c>
      <c r="BH464" s="1894">
        <v>26.82</v>
      </c>
      <c r="BI464" s="1894">
        <v>23948</v>
      </c>
      <c r="BJ464" s="1894">
        <f t="shared" si="197"/>
        <v>46140</v>
      </c>
      <c r="BK464" s="1894">
        <f t="shared" si="198"/>
        <v>0</v>
      </c>
      <c r="BL464" s="1894">
        <v>333</v>
      </c>
      <c r="BM464" s="1894">
        <v>91.52</v>
      </c>
      <c r="BN464" s="1894">
        <v>266.39999999999998</v>
      </c>
      <c r="BO464" s="1894">
        <v>0.99439999999999995</v>
      </c>
      <c r="BP464" s="1894">
        <v>28.91</v>
      </c>
      <c r="BQ464" s="1894">
        <v>19053.067900000002</v>
      </c>
      <c r="BR464" s="1894">
        <f t="shared" si="199"/>
        <v>39537</v>
      </c>
      <c r="BS464" s="1894">
        <f t="shared" si="200"/>
        <v>0</v>
      </c>
      <c r="BT464" s="1894">
        <v>333</v>
      </c>
      <c r="BU464" s="1894">
        <v>74.56</v>
      </c>
      <c r="BV464" s="1894">
        <v>266.39999999999998</v>
      </c>
      <c r="BW464" s="1894">
        <v>0.99280000000000002</v>
      </c>
      <c r="BX464" s="1894">
        <v>29.36</v>
      </c>
      <c r="BY464" s="1894">
        <v>16285</v>
      </c>
      <c r="BZ464" s="1894">
        <f t="shared" si="201"/>
        <v>33284</v>
      </c>
      <c r="CA464" s="1894">
        <f t="shared" si="202"/>
        <v>0</v>
      </c>
      <c r="CB464" s="1894">
        <v>333</v>
      </c>
      <c r="CC464" s="1894">
        <v>77.92</v>
      </c>
      <c r="CD464" s="1894">
        <v>266.39999999999998</v>
      </c>
      <c r="CE464" s="1894">
        <v>0.99399999999999999</v>
      </c>
      <c r="CF464" s="1894">
        <v>22.1</v>
      </c>
      <c r="CG464" s="1894">
        <v>12812.2052</v>
      </c>
      <c r="CH464" s="1894">
        <f t="shared" si="203"/>
        <v>34783</v>
      </c>
      <c r="CI464" s="1894">
        <f t="shared" si="204"/>
        <v>0</v>
      </c>
      <c r="CJ464" s="1894">
        <v>333</v>
      </c>
      <c r="CK464" s="1894">
        <v>84.64</v>
      </c>
      <c r="CL464" s="1894">
        <v>266.39999999999998</v>
      </c>
      <c r="CM464" s="1894">
        <v>0.9919</v>
      </c>
      <c r="CN464" s="1894">
        <v>26.62</v>
      </c>
      <c r="CO464" s="1894">
        <v>15140.2855</v>
      </c>
      <c r="CP464" s="1894">
        <f t="shared" si="205"/>
        <v>34127</v>
      </c>
      <c r="CQ464" s="1894">
        <f t="shared" si="206"/>
        <v>0</v>
      </c>
      <c r="CR464" s="1924">
        <v>333</v>
      </c>
      <c r="CS464" s="1924">
        <v>91.2</v>
      </c>
      <c r="CT464" s="1924">
        <v>266.39999999999998</v>
      </c>
      <c r="CU464" s="1924">
        <v>0.99370000000000003</v>
      </c>
      <c r="CV464" s="1924">
        <v>22.85</v>
      </c>
      <c r="CW464" s="1924">
        <v>15507</v>
      </c>
      <c r="CX464" s="1894">
        <f t="shared" si="207"/>
        <v>40712</v>
      </c>
      <c r="CY464" s="1894">
        <f t="shared" si="208"/>
        <v>0</v>
      </c>
    </row>
    <row r="465" spans="1:103">
      <c r="A465" s="982">
        <v>124000000072</v>
      </c>
      <c r="B465" s="1923">
        <f t="shared" si="209"/>
        <v>459</v>
      </c>
      <c r="C465" s="1895" t="s">
        <v>3341</v>
      </c>
      <c r="D465" s="1894" t="s">
        <v>524</v>
      </c>
      <c r="E465" s="1895" t="s">
        <v>541</v>
      </c>
      <c r="F465" s="1894" t="s">
        <v>259</v>
      </c>
      <c r="G465" s="1924">
        <v>333</v>
      </c>
      <c r="H465" s="1894">
        <v>333</v>
      </c>
      <c r="I465" s="1894">
        <v>335.2</v>
      </c>
      <c r="J465" s="1894">
        <v>335.2</v>
      </c>
      <c r="K465" s="1894">
        <v>0.99229999999999996</v>
      </c>
      <c r="L465" s="1894">
        <v>28.32</v>
      </c>
      <c r="M465" s="1894">
        <v>68342</v>
      </c>
      <c r="N465" s="1894">
        <f t="shared" si="187"/>
        <v>144806</v>
      </c>
      <c r="O465" s="1894">
        <f t="shared" si="188"/>
        <v>0</v>
      </c>
      <c r="P465" s="1894">
        <v>333</v>
      </c>
      <c r="Q465" s="1894">
        <v>308</v>
      </c>
      <c r="R465" s="1894">
        <v>308</v>
      </c>
      <c r="S465" s="1894">
        <v>0.99709999999999999</v>
      </c>
      <c r="T465" s="1894">
        <v>20.420000000000002</v>
      </c>
      <c r="U465" s="1894">
        <v>37732</v>
      </c>
      <c r="V465" s="1894">
        <f t="shared" si="189"/>
        <v>137491</v>
      </c>
      <c r="W465" s="1894">
        <f t="shared" si="190"/>
        <v>0</v>
      </c>
      <c r="X465" s="1894">
        <v>333</v>
      </c>
      <c r="Y465" s="1894">
        <v>327.52</v>
      </c>
      <c r="Z465" s="1894">
        <v>327.52</v>
      </c>
      <c r="AA465" s="1894">
        <v>0.99</v>
      </c>
      <c r="AB465" s="1894">
        <v>23.53</v>
      </c>
      <c r="AC465" s="1894">
        <v>61048</v>
      </c>
      <c r="AD465" s="1894">
        <f t="shared" si="191"/>
        <v>141489</v>
      </c>
      <c r="AE465" s="1894">
        <f t="shared" si="192"/>
        <v>0</v>
      </c>
      <c r="AF465" s="1894">
        <v>333</v>
      </c>
      <c r="AG465" s="1894">
        <v>318.08</v>
      </c>
      <c r="AH465" s="1894">
        <v>318.08</v>
      </c>
      <c r="AI465" s="1894">
        <v>0.99539999999999995</v>
      </c>
      <c r="AJ465" s="1894">
        <v>19.739999999999998</v>
      </c>
      <c r="AK465" s="1894">
        <v>43702</v>
      </c>
      <c r="AL465" s="1894">
        <f t="shared" si="185"/>
        <v>141991</v>
      </c>
      <c r="AM465" s="1894">
        <f t="shared" si="186"/>
        <v>0</v>
      </c>
      <c r="AN465" s="1894">
        <v>333</v>
      </c>
      <c r="AO465" s="1894">
        <v>319.36</v>
      </c>
      <c r="AP465" s="1894">
        <v>319.36</v>
      </c>
      <c r="AQ465" s="1894">
        <v>0.99170000000000003</v>
      </c>
      <c r="AR465" s="1894">
        <v>20.62</v>
      </c>
      <c r="AS465" s="1894">
        <v>47412</v>
      </c>
      <c r="AT465" s="1894">
        <f t="shared" si="193"/>
        <v>142562</v>
      </c>
      <c r="AU465" s="1894">
        <f t="shared" si="194"/>
        <v>0</v>
      </c>
      <c r="AV465" s="1894">
        <v>333</v>
      </c>
      <c r="AW465" s="1894">
        <v>305.27999999999997</v>
      </c>
      <c r="AX465" s="1894">
        <v>305.27999999999997</v>
      </c>
      <c r="AY465" s="1894">
        <v>0.99509999999999998</v>
      </c>
      <c r="AZ465" s="1894">
        <v>23.21</v>
      </c>
      <c r="BA465" s="1894">
        <v>54420</v>
      </c>
      <c r="BB465" s="1894">
        <f t="shared" si="195"/>
        <v>131881</v>
      </c>
      <c r="BC465" s="1894">
        <f t="shared" si="196"/>
        <v>0</v>
      </c>
      <c r="BD465" s="1894">
        <v>333</v>
      </c>
      <c r="BE465" s="1894">
        <v>336.32</v>
      </c>
      <c r="BF465" s="1894">
        <v>336.32</v>
      </c>
      <c r="BG465" s="1894">
        <v>0.99239999999999995</v>
      </c>
      <c r="BH465" s="1894">
        <v>25.93</v>
      </c>
      <c r="BI465" s="1894">
        <v>60698</v>
      </c>
      <c r="BJ465" s="1894">
        <f t="shared" si="197"/>
        <v>150133</v>
      </c>
      <c r="BK465" s="1894">
        <f t="shared" si="198"/>
        <v>0</v>
      </c>
      <c r="BL465" s="1894">
        <v>333</v>
      </c>
      <c r="BM465" s="1894">
        <v>365.91999999999996</v>
      </c>
      <c r="BN465" s="1894">
        <v>365.92</v>
      </c>
      <c r="BO465" s="1894">
        <v>0.98580000000000001</v>
      </c>
      <c r="BP465" s="1894">
        <v>34.020000000000003</v>
      </c>
      <c r="BQ465" s="1894">
        <v>92610</v>
      </c>
      <c r="BR465" s="1894">
        <f t="shared" si="199"/>
        <v>158077</v>
      </c>
      <c r="BS465" s="1894">
        <f t="shared" si="200"/>
        <v>0</v>
      </c>
      <c r="BT465" s="1894">
        <v>333</v>
      </c>
      <c r="BU465" s="1894">
        <v>358.40000000000003</v>
      </c>
      <c r="BV465" s="1894">
        <v>358.4</v>
      </c>
      <c r="BW465" s="1894">
        <v>0.97540000000000004</v>
      </c>
      <c r="BX465" s="1894">
        <v>35.020000000000003</v>
      </c>
      <c r="BY465" s="1894">
        <v>108436</v>
      </c>
      <c r="BZ465" s="1894">
        <f t="shared" si="201"/>
        <v>159990</v>
      </c>
      <c r="CA465" s="1894">
        <f t="shared" si="202"/>
        <v>0</v>
      </c>
      <c r="CB465" s="1894">
        <v>333</v>
      </c>
      <c r="CC465" s="1894">
        <v>364</v>
      </c>
      <c r="CD465" s="1894">
        <v>364</v>
      </c>
      <c r="CE465" s="1894">
        <v>0.97419999999999995</v>
      </c>
      <c r="CF465" s="1894">
        <v>31.71</v>
      </c>
      <c r="CG465" s="1894">
        <v>85864</v>
      </c>
      <c r="CH465" s="1894">
        <f t="shared" si="203"/>
        <v>162490</v>
      </c>
      <c r="CI465" s="1894">
        <f t="shared" si="204"/>
        <v>0</v>
      </c>
      <c r="CJ465" s="1894">
        <v>333</v>
      </c>
      <c r="CK465" s="1894">
        <v>360</v>
      </c>
      <c r="CL465" s="1894">
        <v>360</v>
      </c>
      <c r="CM465" s="1894">
        <v>0.97440000000000004</v>
      </c>
      <c r="CN465" s="1894">
        <v>28.46</v>
      </c>
      <c r="CO465" s="1894">
        <v>68860</v>
      </c>
      <c r="CP465" s="1894">
        <f t="shared" si="205"/>
        <v>145152</v>
      </c>
      <c r="CQ465" s="1894">
        <f t="shared" si="206"/>
        <v>0</v>
      </c>
      <c r="CR465" s="1924">
        <v>333</v>
      </c>
      <c r="CS465" s="1924">
        <v>342.88</v>
      </c>
      <c r="CT465" s="1924">
        <v>342.88</v>
      </c>
      <c r="CU465" s="1924">
        <v>0.97460000000000002</v>
      </c>
      <c r="CV465" s="1924">
        <v>25</v>
      </c>
      <c r="CW465" s="1924">
        <v>63782</v>
      </c>
      <c r="CX465" s="1894">
        <f t="shared" si="207"/>
        <v>153062</v>
      </c>
      <c r="CY465" s="1894">
        <f t="shared" si="208"/>
        <v>0</v>
      </c>
    </row>
    <row r="466" spans="1:103">
      <c r="A466" s="982">
        <v>122000000097</v>
      </c>
      <c r="B466" s="1923">
        <f t="shared" si="209"/>
        <v>460</v>
      </c>
      <c r="C466" s="1895" t="s">
        <v>3342</v>
      </c>
      <c r="D466" s="1894" t="s">
        <v>524</v>
      </c>
      <c r="E466" s="1895" t="s">
        <v>636</v>
      </c>
      <c r="F466" s="1894" t="s">
        <v>259</v>
      </c>
      <c r="G466" s="1924">
        <v>333</v>
      </c>
      <c r="H466" s="1894">
        <v>333</v>
      </c>
      <c r="I466" s="1894">
        <v>194.4</v>
      </c>
      <c r="J466" s="1894">
        <v>266.39999999999998</v>
      </c>
      <c r="K466" s="1894">
        <v>0.997</v>
      </c>
      <c r="L466" s="1894">
        <v>40.729999999999997</v>
      </c>
      <c r="M466" s="1894">
        <v>57008</v>
      </c>
      <c r="N466" s="1894">
        <f t="shared" si="187"/>
        <v>83981</v>
      </c>
      <c r="O466" s="1894">
        <f t="shared" si="188"/>
        <v>0</v>
      </c>
      <c r="P466" s="1894">
        <v>333</v>
      </c>
      <c r="Q466" s="1894">
        <v>202.72</v>
      </c>
      <c r="R466" s="1894">
        <v>266.39999999999998</v>
      </c>
      <c r="S466" s="1894">
        <v>0.99839999999999995</v>
      </c>
      <c r="T466" s="1894">
        <v>39.020000000000003</v>
      </c>
      <c r="U466" s="1894">
        <v>58854</v>
      </c>
      <c r="V466" s="1894">
        <f t="shared" si="189"/>
        <v>90494</v>
      </c>
      <c r="W466" s="1894">
        <f t="shared" si="190"/>
        <v>0</v>
      </c>
      <c r="X466" s="1894">
        <v>333</v>
      </c>
      <c r="Y466" s="1894">
        <v>210.88</v>
      </c>
      <c r="Z466" s="1894">
        <v>266.39999999999998</v>
      </c>
      <c r="AA466" s="1894">
        <v>0.99870000000000003</v>
      </c>
      <c r="AB466" s="1894">
        <v>38.68</v>
      </c>
      <c r="AC466" s="1894">
        <v>58724</v>
      </c>
      <c r="AD466" s="1894">
        <f t="shared" si="191"/>
        <v>91100</v>
      </c>
      <c r="AE466" s="1894">
        <f t="shared" si="192"/>
        <v>0</v>
      </c>
      <c r="AF466" s="1894">
        <v>333</v>
      </c>
      <c r="AG466" s="1894">
        <v>184.32</v>
      </c>
      <c r="AH466" s="1894">
        <v>266.39999999999998</v>
      </c>
      <c r="AI466" s="1894">
        <v>0.99639999999999995</v>
      </c>
      <c r="AJ466" s="1894">
        <v>36.200000000000003</v>
      </c>
      <c r="AK466" s="1894">
        <v>49640</v>
      </c>
      <c r="AL466" s="1894">
        <f t="shared" si="185"/>
        <v>82280</v>
      </c>
      <c r="AM466" s="1894">
        <f t="shared" si="186"/>
        <v>0</v>
      </c>
      <c r="AN466" s="1894">
        <v>333</v>
      </c>
      <c r="AO466" s="1894">
        <v>165.12</v>
      </c>
      <c r="AP466" s="1894">
        <v>266.39999999999998</v>
      </c>
      <c r="AQ466" s="1894">
        <v>0.99490000000000001</v>
      </c>
      <c r="AR466" s="1894">
        <v>34.44</v>
      </c>
      <c r="AS466" s="1894">
        <v>32758</v>
      </c>
      <c r="AT466" s="1894">
        <f t="shared" si="193"/>
        <v>73710</v>
      </c>
      <c r="AU466" s="1894">
        <f t="shared" si="194"/>
        <v>0</v>
      </c>
      <c r="AV466" s="1894">
        <v>333</v>
      </c>
      <c r="AW466" s="1894">
        <v>156.80000000000001</v>
      </c>
      <c r="AX466" s="1894">
        <v>266.39999999999998</v>
      </c>
      <c r="AY466" s="1894">
        <v>0.99539999999999995</v>
      </c>
      <c r="AZ466" s="1894">
        <v>39.130000000000003</v>
      </c>
      <c r="BA466" s="1894">
        <v>54484</v>
      </c>
      <c r="BB466" s="1894">
        <f t="shared" si="195"/>
        <v>67738</v>
      </c>
      <c r="BC466" s="1894">
        <f t="shared" si="196"/>
        <v>0</v>
      </c>
      <c r="BD466" s="1894">
        <v>333</v>
      </c>
      <c r="BE466" s="1894">
        <v>156.16</v>
      </c>
      <c r="BF466" s="1894">
        <v>266.39999999999998</v>
      </c>
      <c r="BG466" s="1894">
        <v>0.99790000000000001</v>
      </c>
      <c r="BH466" s="1894">
        <v>37.6</v>
      </c>
      <c r="BI466" s="1894">
        <v>43690</v>
      </c>
      <c r="BJ466" s="1894">
        <f t="shared" si="197"/>
        <v>69710</v>
      </c>
      <c r="BK466" s="1894">
        <f t="shared" si="198"/>
        <v>0</v>
      </c>
      <c r="BL466" s="1894">
        <v>333</v>
      </c>
      <c r="BM466" s="1894">
        <v>137.12</v>
      </c>
      <c r="BN466" s="1894">
        <v>266.39999999999998</v>
      </c>
      <c r="BO466" s="1894">
        <v>0.99780000000000002</v>
      </c>
      <c r="BP466" s="1894">
        <v>27.15</v>
      </c>
      <c r="BQ466" s="1894">
        <v>25914</v>
      </c>
      <c r="BR466" s="1894">
        <f t="shared" si="199"/>
        <v>59236</v>
      </c>
      <c r="BS466" s="1894">
        <f t="shared" si="200"/>
        <v>0</v>
      </c>
      <c r="BT466" s="1894">
        <v>333</v>
      </c>
      <c r="BU466" s="1894">
        <v>130.4</v>
      </c>
      <c r="BV466" s="1894">
        <v>266.39999999999998</v>
      </c>
      <c r="BW466" s="1894">
        <v>0.99809999999999999</v>
      </c>
      <c r="BX466" s="1894">
        <v>24.9</v>
      </c>
      <c r="BY466" s="1894">
        <v>24934</v>
      </c>
      <c r="BZ466" s="1894">
        <f t="shared" si="201"/>
        <v>58211</v>
      </c>
      <c r="CA466" s="1894">
        <f t="shared" si="202"/>
        <v>0</v>
      </c>
      <c r="CB466" s="1894">
        <v>333</v>
      </c>
      <c r="CC466" s="1894">
        <v>108.80000000000001</v>
      </c>
      <c r="CD466" s="1894">
        <v>266.39999999999998</v>
      </c>
      <c r="CE466" s="1894">
        <v>0.99839999999999995</v>
      </c>
      <c r="CF466" s="1894">
        <v>28.5</v>
      </c>
      <c r="CG466" s="1894">
        <v>23066</v>
      </c>
      <c r="CH466" s="1894">
        <f t="shared" si="203"/>
        <v>48568</v>
      </c>
      <c r="CI466" s="1894">
        <f t="shared" si="204"/>
        <v>0</v>
      </c>
      <c r="CJ466" s="1894">
        <v>333</v>
      </c>
      <c r="CK466" s="1894">
        <v>127.51999999999998</v>
      </c>
      <c r="CL466" s="1894">
        <v>266.39999999999998</v>
      </c>
      <c r="CM466" s="1894">
        <v>0.99829999999999997</v>
      </c>
      <c r="CN466" s="1894">
        <v>32.700000000000003</v>
      </c>
      <c r="CO466" s="1894">
        <v>28024</v>
      </c>
      <c r="CP466" s="1894">
        <f t="shared" si="205"/>
        <v>51416</v>
      </c>
      <c r="CQ466" s="1894">
        <f t="shared" si="206"/>
        <v>0</v>
      </c>
      <c r="CR466" s="1924">
        <v>333</v>
      </c>
      <c r="CS466" s="1924">
        <v>128.32</v>
      </c>
      <c r="CT466" s="1924">
        <v>266.39999999999998</v>
      </c>
      <c r="CU466" s="1924">
        <v>0.99780000000000002</v>
      </c>
      <c r="CV466" s="1924">
        <v>37.119999999999997</v>
      </c>
      <c r="CW466" s="1924">
        <v>35434</v>
      </c>
      <c r="CX466" s="1894">
        <f t="shared" si="207"/>
        <v>57282</v>
      </c>
      <c r="CY466" s="1894">
        <f t="shared" si="208"/>
        <v>0</v>
      </c>
    </row>
    <row r="467" spans="1:103">
      <c r="A467" s="982">
        <v>613000000032</v>
      </c>
      <c r="B467" s="1923">
        <f t="shared" si="209"/>
        <v>461</v>
      </c>
      <c r="C467" s="1895" t="s">
        <v>3343</v>
      </c>
      <c r="D467" s="1894" t="s">
        <v>524</v>
      </c>
      <c r="E467" s="1895" t="s">
        <v>541</v>
      </c>
      <c r="F467" s="1894" t="s">
        <v>259</v>
      </c>
      <c r="G467" s="1924">
        <v>333</v>
      </c>
      <c r="H467" s="1894">
        <v>333</v>
      </c>
      <c r="I467" s="1894">
        <v>273.60000000000002</v>
      </c>
      <c r="J467" s="1894">
        <v>273.60000000000002</v>
      </c>
      <c r="K467" s="1894">
        <v>0.98119999999999996</v>
      </c>
      <c r="L467" s="1894">
        <v>39.92</v>
      </c>
      <c r="M467" s="1894">
        <v>83880</v>
      </c>
      <c r="N467" s="1894">
        <f t="shared" si="187"/>
        <v>118195</v>
      </c>
      <c r="O467" s="1894">
        <f t="shared" si="188"/>
        <v>0</v>
      </c>
      <c r="P467" s="1894">
        <v>333</v>
      </c>
      <c r="Q467" s="1894">
        <v>258</v>
      </c>
      <c r="R467" s="1894">
        <v>266.39999999999998</v>
      </c>
      <c r="S467" s="1894">
        <v>0.9738</v>
      </c>
      <c r="T467" s="1894">
        <v>28.15</v>
      </c>
      <c r="U467" s="1894">
        <v>54030</v>
      </c>
      <c r="V467" s="1894">
        <f t="shared" si="189"/>
        <v>115171</v>
      </c>
      <c r="W467" s="1894">
        <f t="shared" si="190"/>
        <v>0</v>
      </c>
      <c r="X467" s="1894">
        <v>333</v>
      </c>
      <c r="Y467" s="1894">
        <v>279.60000000000002</v>
      </c>
      <c r="Z467" s="1894">
        <v>279.60000000000002</v>
      </c>
      <c r="AA467" s="1894">
        <v>0.96109999999999995</v>
      </c>
      <c r="AB467" s="1894">
        <v>18.11</v>
      </c>
      <c r="AC467" s="1894">
        <v>36460</v>
      </c>
      <c r="AD467" s="1894">
        <f t="shared" si="191"/>
        <v>120787</v>
      </c>
      <c r="AE467" s="1894">
        <f t="shared" si="192"/>
        <v>0</v>
      </c>
      <c r="AF467" s="1894">
        <v>333</v>
      </c>
      <c r="AG467" s="1894">
        <v>332.8</v>
      </c>
      <c r="AH467" s="1894">
        <v>332.8</v>
      </c>
      <c r="AI467" s="1894">
        <v>0.9778</v>
      </c>
      <c r="AJ467" s="1894">
        <v>32.380000000000003</v>
      </c>
      <c r="AK467" s="1894">
        <v>80185</v>
      </c>
      <c r="AL467" s="1894">
        <f t="shared" si="185"/>
        <v>148562</v>
      </c>
      <c r="AM467" s="1894">
        <f t="shared" si="186"/>
        <v>0</v>
      </c>
      <c r="AN467" s="1894">
        <v>333</v>
      </c>
      <c r="AO467" s="1894">
        <v>342.4</v>
      </c>
      <c r="AP467" s="1894">
        <v>342.4</v>
      </c>
      <c r="AQ467" s="1894">
        <v>0.97440000000000004</v>
      </c>
      <c r="AR467" s="1894">
        <v>25.06</v>
      </c>
      <c r="AS467" s="1894">
        <v>61785</v>
      </c>
      <c r="AT467" s="1894">
        <f t="shared" si="193"/>
        <v>152847</v>
      </c>
      <c r="AU467" s="1894">
        <f t="shared" si="194"/>
        <v>0</v>
      </c>
      <c r="AV467" s="1894">
        <v>333</v>
      </c>
      <c r="AW467" s="1894">
        <v>94</v>
      </c>
      <c r="AX467" s="1894">
        <v>266.39999999999998</v>
      </c>
      <c r="AY467" s="1894">
        <v>0.99390000000000001</v>
      </c>
      <c r="AZ467" s="1894">
        <v>4.57</v>
      </c>
      <c r="BA467" s="1894">
        <v>3300</v>
      </c>
      <c r="BB467" s="1894">
        <f t="shared" si="195"/>
        <v>40608</v>
      </c>
      <c r="BC467" s="1894">
        <f t="shared" si="196"/>
        <v>0</v>
      </c>
      <c r="BD467" s="1894">
        <v>333</v>
      </c>
      <c r="BE467" s="1894">
        <v>7.2</v>
      </c>
      <c r="BF467" s="1894">
        <v>266.39999999999998</v>
      </c>
      <c r="BG467" s="1894">
        <v>1</v>
      </c>
      <c r="BH467" s="1894">
        <v>37.979999999999997</v>
      </c>
      <c r="BI467" s="1894">
        <v>2100</v>
      </c>
      <c r="BJ467" s="1894">
        <f t="shared" si="197"/>
        <v>3214</v>
      </c>
      <c r="BK467" s="1894">
        <f t="shared" si="198"/>
        <v>0</v>
      </c>
      <c r="BL467" s="1894">
        <v>333</v>
      </c>
      <c r="BM467" s="1894">
        <v>17.600000000000001</v>
      </c>
      <c r="BN467" s="1894">
        <v>266.39999999999998</v>
      </c>
      <c r="BO467" s="1894">
        <v>1</v>
      </c>
      <c r="BP467" s="1894">
        <v>23.45</v>
      </c>
      <c r="BQ467" s="1894">
        <v>3070</v>
      </c>
      <c r="BR467" s="1894">
        <f t="shared" si="199"/>
        <v>7603</v>
      </c>
      <c r="BS467" s="1894">
        <f t="shared" si="200"/>
        <v>0</v>
      </c>
      <c r="BT467" s="1894">
        <v>333</v>
      </c>
      <c r="BU467" s="1894">
        <v>278.39999999999998</v>
      </c>
      <c r="BV467" s="1894">
        <v>278.39999999999998</v>
      </c>
      <c r="BW467" s="1894">
        <v>0.97689999999999999</v>
      </c>
      <c r="BX467" s="1894">
        <v>9.11</v>
      </c>
      <c r="BY467" s="1894">
        <v>18870</v>
      </c>
      <c r="BZ467" s="1894">
        <f t="shared" si="201"/>
        <v>124278</v>
      </c>
      <c r="CA467" s="1894">
        <f t="shared" si="202"/>
        <v>0</v>
      </c>
      <c r="CB467" s="1894">
        <v>333</v>
      </c>
      <c r="CC467" s="1894">
        <v>296.39999999999998</v>
      </c>
      <c r="CD467" s="1894">
        <v>296.39999999999998</v>
      </c>
      <c r="CE467" s="1894">
        <v>0.97419999999999995</v>
      </c>
      <c r="CF467" s="1894">
        <v>39.54</v>
      </c>
      <c r="CG467" s="1894">
        <v>87205</v>
      </c>
      <c r="CH467" s="1894">
        <f t="shared" si="203"/>
        <v>132313</v>
      </c>
      <c r="CI467" s="1894">
        <f t="shared" si="204"/>
        <v>0</v>
      </c>
      <c r="CJ467" s="1894">
        <v>333</v>
      </c>
      <c r="CK467" s="1894">
        <v>303.20000000000005</v>
      </c>
      <c r="CL467" s="1894">
        <v>303.2</v>
      </c>
      <c r="CM467" s="1894">
        <v>0.96950000000000003</v>
      </c>
      <c r="CN467" s="1894">
        <v>42.13</v>
      </c>
      <c r="CO467" s="1894">
        <v>85850</v>
      </c>
      <c r="CP467" s="1894">
        <f t="shared" si="205"/>
        <v>122250</v>
      </c>
      <c r="CQ467" s="1894">
        <f t="shared" si="206"/>
        <v>0</v>
      </c>
      <c r="CR467" s="1924">
        <v>333</v>
      </c>
      <c r="CS467" s="1924">
        <v>302.39999999999998</v>
      </c>
      <c r="CT467" s="1924">
        <v>302.39999999999998</v>
      </c>
      <c r="CU467" s="1924">
        <v>0.96830000000000005</v>
      </c>
      <c r="CV467" s="1924">
        <v>42.32</v>
      </c>
      <c r="CW467" s="1924">
        <v>95205</v>
      </c>
      <c r="CX467" s="1894">
        <f t="shared" si="207"/>
        <v>134991</v>
      </c>
      <c r="CY467" s="1894">
        <f t="shared" si="208"/>
        <v>0</v>
      </c>
    </row>
    <row r="468" spans="1:103">
      <c r="A468" s="982">
        <v>124000000073</v>
      </c>
      <c r="B468" s="1923">
        <f t="shared" si="209"/>
        <v>462</v>
      </c>
      <c r="C468" s="1895" t="s">
        <v>3344</v>
      </c>
      <c r="D468" s="1894" t="s">
        <v>524</v>
      </c>
      <c r="E468" s="1895" t="s">
        <v>541</v>
      </c>
      <c r="F468" s="1894" t="s">
        <v>259</v>
      </c>
      <c r="G468" s="1924">
        <v>333</v>
      </c>
      <c r="H468" s="1894">
        <v>333</v>
      </c>
      <c r="I468" s="1894">
        <v>256.79999999999995</v>
      </c>
      <c r="J468" s="1894">
        <v>266.39999999999998</v>
      </c>
      <c r="K468" s="1894">
        <v>0.78090000000000004</v>
      </c>
      <c r="L468" s="1894">
        <v>31.89</v>
      </c>
      <c r="M468" s="1894">
        <v>62892</v>
      </c>
      <c r="N468" s="1894">
        <f t="shared" si="187"/>
        <v>110938</v>
      </c>
      <c r="O468" s="1894">
        <f t="shared" si="188"/>
        <v>0</v>
      </c>
      <c r="P468" s="1894">
        <v>333</v>
      </c>
      <c r="Q468" s="1894">
        <v>255.60000000000002</v>
      </c>
      <c r="R468" s="1894">
        <v>266.39999999999998</v>
      </c>
      <c r="S468" s="1894">
        <v>0.76160000000000005</v>
      </c>
      <c r="T468" s="1894">
        <v>30.94</v>
      </c>
      <c r="U468" s="1894">
        <v>56943</v>
      </c>
      <c r="V468" s="1894">
        <f t="shared" si="189"/>
        <v>114100</v>
      </c>
      <c r="W468" s="1894">
        <f t="shared" si="190"/>
        <v>0</v>
      </c>
      <c r="X468" s="1894">
        <v>333</v>
      </c>
      <c r="Y468" s="1894">
        <v>0</v>
      </c>
      <c r="Z468" s="1894">
        <v>266.39999999999998</v>
      </c>
      <c r="AA468" s="1894">
        <v>0</v>
      </c>
      <c r="AB468" s="1894">
        <v>0</v>
      </c>
      <c r="AC468" s="1894">
        <v>0</v>
      </c>
      <c r="AD468" s="1894">
        <f t="shared" si="191"/>
        <v>0</v>
      </c>
      <c r="AE468" s="1894">
        <f t="shared" si="192"/>
        <v>0</v>
      </c>
      <c r="AF468" s="1894">
        <v>333</v>
      </c>
      <c r="AG468" s="1894">
        <v>276</v>
      </c>
      <c r="AH468" s="1894">
        <v>276</v>
      </c>
      <c r="AI468" s="1894">
        <v>0.74590000000000001</v>
      </c>
      <c r="AJ468" s="1894">
        <v>25.17</v>
      </c>
      <c r="AK468" s="1894">
        <v>41682</v>
      </c>
      <c r="AL468" s="1894">
        <f t="shared" si="185"/>
        <v>123206</v>
      </c>
      <c r="AM468" s="1894">
        <f t="shared" si="186"/>
        <v>0</v>
      </c>
      <c r="AN468" s="1894">
        <v>333</v>
      </c>
      <c r="AO468" s="1894">
        <v>50.400000000000006</v>
      </c>
      <c r="AP468" s="1894">
        <v>266.39999999999998</v>
      </c>
      <c r="AQ468" s="1894">
        <v>0.90100000000000002</v>
      </c>
      <c r="AR468" s="1894">
        <v>10.61</v>
      </c>
      <c r="AS468" s="1894">
        <v>3849</v>
      </c>
      <c r="AT468" s="1894">
        <f t="shared" si="193"/>
        <v>22499</v>
      </c>
      <c r="AU468" s="1894">
        <f t="shared" si="194"/>
        <v>0</v>
      </c>
      <c r="AV468" s="1894">
        <v>333</v>
      </c>
      <c r="AW468" s="1894">
        <v>32.4</v>
      </c>
      <c r="AX468" s="1894">
        <v>266.39999999999998</v>
      </c>
      <c r="AY468" s="1894">
        <v>0.9869</v>
      </c>
      <c r="AZ468" s="1894">
        <v>8.89</v>
      </c>
      <c r="BA468" s="1894">
        <v>2073</v>
      </c>
      <c r="BB468" s="1894">
        <f t="shared" si="195"/>
        <v>13997</v>
      </c>
      <c r="BC468" s="1894">
        <f t="shared" si="196"/>
        <v>0</v>
      </c>
      <c r="BD468" s="1894">
        <v>333</v>
      </c>
      <c r="BE468" s="1894">
        <v>10.08</v>
      </c>
      <c r="BF468" s="1894">
        <v>266.39999999999998</v>
      </c>
      <c r="BG468" s="1894">
        <v>0.95640000000000003</v>
      </c>
      <c r="BH468" s="1894">
        <v>31.29</v>
      </c>
      <c r="BI468" s="1894">
        <v>2271</v>
      </c>
      <c r="BJ468" s="1894">
        <f t="shared" si="197"/>
        <v>4500</v>
      </c>
      <c r="BK468" s="1894">
        <f t="shared" si="198"/>
        <v>0</v>
      </c>
      <c r="BL468" s="1894">
        <v>333</v>
      </c>
      <c r="BM468" s="1894">
        <v>34.800000000000004</v>
      </c>
      <c r="BN468" s="1894">
        <v>266.39999999999998</v>
      </c>
      <c r="BO468" s="1894">
        <v>0.95240000000000002</v>
      </c>
      <c r="BP468" s="1894">
        <v>10.38</v>
      </c>
      <c r="BQ468" s="1894">
        <v>2775</v>
      </c>
      <c r="BR468" s="1894">
        <f t="shared" si="199"/>
        <v>15034</v>
      </c>
      <c r="BS468" s="1894">
        <f t="shared" si="200"/>
        <v>0</v>
      </c>
      <c r="BT468" s="1894">
        <v>333</v>
      </c>
      <c r="BU468" s="1894">
        <v>308.88</v>
      </c>
      <c r="BV468" s="1894">
        <v>308.88</v>
      </c>
      <c r="BW468" s="1894">
        <v>0.72340000000000004</v>
      </c>
      <c r="BX468" s="1894">
        <v>49.29</v>
      </c>
      <c r="BY468" s="1894">
        <v>135189</v>
      </c>
      <c r="BZ468" s="1894">
        <f t="shared" si="201"/>
        <v>137884</v>
      </c>
      <c r="CA468" s="1894">
        <f t="shared" si="202"/>
        <v>0</v>
      </c>
      <c r="CB468" s="1894">
        <v>333</v>
      </c>
      <c r="CC468" s="1894">
        <v>282.24</v>
      </c>
      <c r="CD468" s="1894">
        <v>282.24</v>
      </c>
      <c r="CE468" s="1894">
        <v>0.82899999999999996</v>
      </c>
      <c r="CF468" s="1894">
        <v>54.61</v>
      </c>
      <c r="CG468" s="1894">
        <v>114675</v>
      </c>
      <c r="CH468" s="1894">
        <f t="shared" si="203"/>
        <v>125992</v>
      </c>
      <c r="CI468" s="1894">
        <f t="shared" si="204"/>
        <v>0</v>
      </c>
      <c r="CJ468" s="1894">
        <v>333</v>
      </c>
      <c r="CK468" s="1894">
        <v>223.2</v>
      </c>
      <c r="CL468" s="1894">
        <v>266.39999999999998</v>
      </c>
      <c r="CM468" s="1894">
        <v>0.99390000000000001</v>
      </c>
      <c r="CN468" s="1894">
        <v>64.5</v>
      </c>
      <c r="CO468" s="1894">
        <v>96750</v>
      </c>
      <c r="CP468" s="1894">
        <f t="shared" si="205"/>
        <v>89994</v>
      </c>
      <c r="CQ468" s="1894">
        <f t="shared" si="206"/>
        <v>6756</v>
      </c>
      <c r="CR468" s="1924">
        <v>333</v>
      </c>
      <c r="CS468" s="1924">
        <v>268.08</v>
      </c>
      <c r="CT468" s="1924">
        <v>268.08</v>
      </c>
      <c r="CU468" s="1924">
        <v>0.9839</v>
      </c>
      <c r="CV468" s="1924">
        <v>48.7</v>
      </c>
      <c r="CW468" s="1924">
        <v>97125</v>
      </c>
      <c r="CX468" s="1894">
        <f t="shared" si="207"/>
        <v>119671</v>
      </c>
      <c r="CY468" s="1894">
        <f t="shared" si="208"/>
        <v>0</v>
      </c>
    </row>
    <row r="469" spans="1:103">
      <c r="A469" s="982">
        <v>121000000072</v>
      </c>
      <c r="B469" s="1923">
        <f t="shared" si="209"/>
        <v>463</v>
      </c>
      <c r="C469" s="1895" t="s">
        <v>3345</v>
      </c>
      <c r="D469" s="1894" t="s">
        <v>524</v>
      </c>
      <c r="E469" s="1895" t="s">
        <v>636</v>
      </c>
      <c r="F469" s="1894" t="s">
        <v>259</v>
      </c>
      <c r="G469" s="1924">
        <v>333</v>
      </c>
      <c r="H469" s="1894">
        <v>333</v>
      </c>
      <c r="I469" s="1894">
        <v>108.96</v>
      </c>
      <c r="J469" s="1894">
        <v>266.39999999999998</v>
      </c>
      <c r="K469" s="1894">
        <v>0.98640000000000005</v>
      </c>
      <c r="L469" s="1894">
        <v>49.68</v>
      </c>
      <c r="M469" s="1894">
        <v>38978</v>
      </c>
      <c r="N469" s="1894">
        <f t="shared" si="187"/>
        <v>47071</v>
      </c>
      <c r="O469" s="1894">
        <f t="shared" si="188"/>
        <v>0</v>
      </c>
      <c r="P469" s="1894">
        <v>333</v>
      </c>
      <c r="Q469" s="1894">
        <v>109.60000000000001</v>
      </c>
      <c r="R469" s="1894">
        <v>266.39999999999998</v>
      </c>
      <c r="S469" s="1894">
        <v>0.98240000000000005</v>
      </c>
      <c r="T469" s="1894">
        <v>46.15</v>
      </c>
      <c r="U469" s="1894">
        <v>37630</v>
      </c>
      <c r="V469" s="1894">
        <f t="shared" si="189"/>
        <v>48925</v>
      </c>
      <c r="W469" s="1894">
        <f t="shared" si="190"/>
        <v>0</v>
      </c>
      <c r="X469" s="1894">
        <v>333</v>
      </c>
      <c r="Y469" s="1894">
        <v>107.84</v>
      </c>
      <c r="Z469" s="1894">
        <v>266.39999999999998</v>
      </c>
      <c r="AA469" s="1894">
        <v>0.9788</v>
      </c>
      <c r="AB469" s="1894">
        <v>47.49</v>
      </c>
      <c r="AC469" s="1894">
        <v>36876</v>
      </c>
      <c r="AD469" s="1894">
        <f t="shared" si="191"/>
        <v>46587</v>
      </c>
      <c r="AE469" s="1894">
        <f t="shared" si="192"/>
        <v>0</v>
      </c>
      <c r="AF469" s="1894">
        <v>333</v>
      </c>
      <c r="AG469" s="1894">
        <v>95.04</v>
      </c>
      <c r="AH469" s="1894">
        <v>266.39999999999998</v>
      </c>
      <c r="AI469" s="1894">
        <v>0.96860000000000002</v>
      </c>
      <c r="AJ469" s="1894">
        <v>49.34</v>
      </c>
      <c r="AK469" s="1894">
        <v>34890</v>
      </c>
      <c r="AL469" s="1894">
        <f t="shared" si="185"/>
        <v>42426</v>
      </c>
      <c r="AM469" s="1894">
        <f t="shared" si="186"/>
        <v>0</v>
      </c>
      <c r="AN469" s="1894">
        <v>333</v>
      </c>
      <c r="AO469" s="1894">
        <v>104.16000000000001</v>
      </c>
      <c r="AP469" s="1894">
        <v>266.39999999999998</v>
      </c>
      <c r="AQ469" s="1894">
        <v>0.96960000000000002</v>
      </c>
      <c r="AR469" s="1894">
        <v>44.6</v>
      </c>
      <c r="AS469" s="1894">
        <v>34562</v>
      </c>
      <c r="AT469" s="1894">
        <f t="shared" si="193"/>
        <v>46497</v>
      </c>
      <c r="AU469" s="1894">
        <f t="shared" si="194"/>
        <v>0</v>
      </c>
      <c r="AV469" s="1894">
        <v>333</v>
      </c>
      <c r="AW469" s="1894">
        <v>91.679999999999993</v>
      </c>
      <c r="AX469" s="1894">
        <v>266.39999999999998</v>
      </c>
      <c r="AY469" s="1894">
        <v>0.95899999999999996</v>
      </c>
      <c r="AZ469" s="1894">
        <v>49.67</v>
      </c>
      <c r="BA469" s="1894">
        <v>32790</v>
      </c>
      <c r="BB469" s="1894">
        <f t="shared" si="195"/>
        <v>39606</v>
      </c>
      <c r="BC469" s="1894">
        <f t="shared" si="196"/>
        <v>0</v>
      </c>
      <c r="BD469" s="1894">
        <v>333</v>
      </c>
      <c r="BE469" s="1894">
        <v>87.039999999999992</v>
      </c>
      <c r="BF469" s="1894">
        <v>266.39999999999998</v>
      </c>
      <c r="BG469" s="1894">
        <v>0.95589999999999997</v>
      </c>
      <c r="BH469" s="1894">
        <v>50.08</v>
      </c>
      <c r="BI469" s="1894">
        <v>32430</v>
      </c>
      <c r="BJ469" s="1894">
        <f t="shared" si="197"/>
        <v>38855</v>
      </c>
      <c r="BK469" s="1894">
        <f t="shared" si="198"/>
        <v>0</v>
      </c>
      <c r="BL469" s="1894">
        <v>333</v>
      </c>
      <c r="BM469" s="1894">
        <v>72.64</v>
      </c>
      <c r="BN469" s="1894">
        <v>266.39999999999998</v>
      </c>
      <c r="BO469" s="1894">
        <v>0.93820000000000003</v>
      </c>
      <c r="BP469" s="1894">
        <v>50</v>
      </c>
      <c r="BQ469" s="1894">
        <v>26150</v>
      </c>
      <c r="BR469" s="1894">
        <f t="shared" si="199"/>
        <v>31380</v>
      </c>
      <c r="BS469" s="1894">
        <f t="shared" si="200"/>
        <v>0</v>
      </c>
      <c r="BT469" s="1894">
        <v>333</v>
      </c>
      <c r="BU469" s="1894">
        <v>63.519999999999996</v>
      </c>
      <c r="BV469" s="1894">
        <v>266.39999999999998</v>
      </c>
      <c r="BW469" s="1894">
        <v>0.89780000000000004</v>
      </c>
      <c r="BX469" s="1894">
        <v>53.9</v>
      </c>
      <c r="BY469" s="1894">
        <v>25474</v>
      </c>
      <c r="BZ469" s="1894">
        <f t="shared" si="201"/>
        <v>28355</v>
      </c>
      <c r="CA469" s="1894">
        <f t="shared" si="202"/>
        <v>0</v>
      </c>
      <c r="CB469" s="1894">
        <v>333</v>
      </c>
      <c r="CC469" s="1894">
        <v>67.040000000000006</v>
      </c>
      <c r="CD469" s="1894">
        <v>266.39999999999998</v>
      </c>
      <c r="CE469" s="1894">
        <v>0.91830000000000001</v>
      </c>
      <c r="CF469" s="1894">
        <v>53.38</v>
      </c>
      <c r="CG469" s="1894">
        <v>26626</v>
      </c>
      <c r="CH469" s="1894">
        <f t="shared" si="203"/>
        <v>29927</v>
      </c>
      <c r="CI469" s="1894">
        <f t="shared" si="204"/>
        <v>0</v>
      </c>
      <c r="CJ469" s="1894">
        <v>333</v>
      </c>
      <c r="CK469" s="1894">
        <v>108</v>
      </c>
      <c r="CL469" s="1894">
        <v>266.39999999999998</v>
      </c>
      <c r="CM469" s="1894">
        <v>0.93020000000000003</v>
      </c>
      <c r="CN469" s="1894">
        <v>38.29</v>
      </c>
      <c r="CO469" s="1894">
        <v>27790</v>
      </c>
      <c r="CP469" s="1894">
        <f t="shared" si="205"/>
        <v>43546</v>
      </c>
      <c r="CQ469" s="1894">
        <f t="shared" si="206"/>
        <v>0</v>
      </c>
      <c r="CR469" s="1924">
        <v>333</v>
      </c>
      <c r="CS469" s="1924">
        <v>87.36</v>
      </c>
      <c r="CT469" s="1924">
        <v>266.39999999999998</v>
      </c>
      <c r="CU469" s="1924">
        <v>0.94179999999999997</v>
      </c>
      <c r="CV469" s="1924">
        <v>48.02</v>
      </c>
      <c r="CW469" s="1924">
        <v>31214</v>
      </c>
      <c r="CX469" s="1894">
        <f t="shared" si="207"/>
        <v>38998</v>
      </c>
      <c r="CY469" s="1894">
        <f t="shared" si="208"/>
        <v>0</v>
      </c>
    </row>
    <row r="470" spans="1:103">
      <c r="A470" s="982">
        <v>122000000045</v>
      </c>
      <c r="B470" s="1923">
        <f t="shared" si="209"/>
        <v>464</v>
      </c>
      <c r="C470" s="1895" t="s">
        <v>3346</v>
      </c>
      <c r="D470" s="1894" t="s">
        <v>524</v>
      </c>
      <c r="E470" s="1895" t="s">
        <v>541</v>
      </c>
      <c r="F470" s="1894" t="s">
        <v>259</v>
      </c>
      <c r="G470" s="1924">
        <v>333</v>
      </c>
      <c r="H470" s="1894">
        <v>333</v>
      </c>
      <c r="I470" s="1894">
        <v>255</v>
      </c>
      <c r="J470" s="1894">
        <v>266.39999999999998</v>
      </c>
      <c r="K470" s="1894">
        <v>0.9839</v>
      </c>
      <c r="L470" s="1894">
        <v>41.61</v>
      </c>
      <c r="M470" s="1894">
        <v>76405</v>
      </c>
      <c r="N470" s="1894">
        <f t="shared" si="187"/>
        <v>110160</v>
      </c>
      <c r="O470" s="1894">
        <f t="shared" si="188"/>
        <v>0</v>
      </c>
      <c r="P470" s="1894">
        <v>333</v>
      </c>
      <c r="Q470" s="1894">
        <v>282</v>
      </c>
      <c r="R470" s="1894">
        <v>282</v>
      </c>
      <c r="S470" s="1894">
        <v>0.98070000000000002</v>
      </c>
      <c r="T470" s="1894">
        <v>28.01</v>
      </c>
      <c r="U470" s="1894">
        <v>58770</v>
      </c>
      <c r="V470" s="1894">
        <f t="shared" si="189"/>
        <v>125885</v>
      </c>
      <c r="W470" s="1894">
        <f t="shared" si="190"/>
        <v>0</v>
      </c>
      <c r="X470" s="1894">
        <v>333</v>
      </c>
      <c r="Y470" s="1894">
        <v>246</v>
      </c>
      <c r="Z470" s="1894">
        <v>266.39999999999998</v>
      </c>
      <c r="AA470" s="1894">
        <v>0.97789999999999999</v>
      </c>
      <c r="AB470" s="1894">
        <v>44.47</v>
      </c>
      <c r="AC470" s="1894">
        <v>78760</v>
      </c>
      <c r="AD470" s="1894">
        <f t="shared" si="191"/>
        <v>106272</v>
      </c>
      <c r="AE470" s="1894">
        <f t="shared" si="192"/>
        <v>0</v>
      </c>
      <c r="AF470" s="1894">
        <v>333</v>
      </c>
      <c r="AG470" s="1894">
        <v>238.8</v>
      </c>
      <c r="AH470" s="1894">
        <v>266.39999999999998</v>
      </c>
      <c r="AI470" s="1894">
        <v>0.97140000000000004</v>
      </c>
      <c r="AJ470" s="1894">
        <v>44.68</v>
      </c>
      <c r="AK470" s="1894">
        <v>71698</v>
      </c>
      <c r="AL470" s="1894">
        <f t="shared" si="185"/>
        <v>106600</v>
      </c>
      <c r="AM470" s="1894">
        <f t="shared" si="186"/>
        <v>0</v>
      </c>
      <c r="AN470" s="1894">
        <v>333</v>
      </c>
      <c r="AO470" s="1894">
        <v>207.6</v>
      </c>
      <c r="AP470" s="1894">
        <v>266.39999999999998</v>
      </c>
      <c r="AQ470" s="1894">
        <v>0.96330000000000005</v>
      </c>
      <c r="AR470" s="1894">
        <v>38.42</v>
      </c>
      <c r="AS470" s="1894">
        <v>65080</v>
      </c>
      <c r="AT470" s="1894">
        <f t="shared" si="193"/>
        <v>92673</v>
      </c>
      <c r="AU470" s="1894">
        <f t="shared" si="194"/>
        <v>0</v>
      </c>
      <c r="AV470" s="1894">
        <v>333</v>
      </c>
      <c r="AW470" s="1894">
        <v>244.79999999999998</v>
      </c>
      <c r="AX470" s="1894">
        <v>266.39999999999998</v>
      </c>
      <c r="AY470" s="1894">
        <v>0.96409999999999996</v>
      </c>
      <c r="AZ470" s="1894">
        <v>31.48</v>
      </c>
      <c r="BA470" s="1894">
        <v>55483</v>
      </c>
      <c r="BB470" s="1894">
        <f t="shared" si="195"/>
        <v>105754</v>
      </c>
      <c r="BC470" s="1894">
        <f t="shared" si="196"/>
        <v>0</v>
      </c>
      <c r="BD470" s="1894">
        <v>333</v>
      </c>
      <c r="BE470" s="1894">
        <v>253.4</v>
      </c>
      <c r="BF470" s="1894">
        <v>266.39999999999998</v>
      </c>
      <c r="BG470" s="1894">
        <v>0.96220000000000006</v>
      </c>
      <c r="BH470" s="1894">
        <v>43.8</v>
      </c>
      <c r="BI470" s="1894">
        <v>82580</v>
      </c>
      <c r="BJ470" s="1894">
        <f t="shared" si="197"/>
        <v>113118</v>
      </c>
      <c r="BK470" s="1894">
        <f t="shared" si="198"/>
        <v>0</v>
      </c>
      <c r="BL470" s="1894">
        <v>333</v>
      </c>
      <c r="BM470" s="1894">
        <v>267.2</v>
      </c>
      <c r="BN470" s="1894">
        <v>267.2</v>
      </c>
      <c r="BO470" s="1894">
        <v>0.95789999999999997</v>
      </c>
      <c r="BP470" s="1894">
        <v>48.57</v>
      </c>
      <c r="BQ470" s="1894">
        <v>93435</v>
      </c>
      <c r="BR470" s="1894">
        <f t="shared" si="199"/>
        <v>115430</v>
      </c>
      <c r="BS470" s="1894">
        <f t="shared" si="200"/>
        <v>0</v>
      </c>
      <c r="BT470" s="1894">
        <v>333</v>
      </c>
      <c r="BU470" s="1894">
        <v>275.8</v>
      </c>
      <c r="BV470" s="1894">
        <v>275.8</v>
      </c>
      <c r="BW470" s="1894">
        <v>0.93659999999999999</v>
      </c>
      <c r="BX470" s="1894">
        <v>50.9</v>
      </c>
      <c r="BY470" s="1894">
        <v>104445</v>
      </c>
      <c r="BZ470" s="1894">
        <f t="shared" si="201"/>
        <v>123117</v>
      </c>
      <c r="CA470" s="1894">
        <f t="shared" si="202"/>
        <v>0</v>
      </c>
      <c r="CB470" s="1894">
        <v>333</v>
      </c>
      <c r="CC470" s="1894">
        <v>296.8</v>
      </c>
      <c r="CD470" s="1894">
        <v>296.8</v>
      </c>
      <c r="CE470" s="1894">
        <v>0.94089999999999996</v>
      </c>
      <c r="CF470" s="1894">
        <v>44.77</v>
      </c>
      <c r="CG470" s="1894">
        <v>98868</v>
      </c>
      <c r="CH470" s="1894">
        <f t="shared" si="203"/>
        <v>132492</v>
      </c>
      <c r="CI470" s="1894">
        <f t="shared" si="204"/>
        <v>0</v>
      </c>
      <c r="CJ470" s="1894">
        <v>333</v>
      </c>
      <c r="CK470" s="1894">
        <v>319.79999999999995</v>
      </c>
      <c r="CL470" s="1894">
        <v>319.8</v>
      </c>
      <c r="CM470" s="1894">
        <v>0.96020000000000005</v>
      </c>
      <c r="CN470" s="1894">
        <v>42.13</v>
      </c>
      <c r="CO470" s="1894">
        <v>90550</v>
      </c>
      <c r="CP470" s="1894">
        <f t="shared" si="205"/>
        <v>128943</v>
      </c>
      <c r="CQ470" s="1894">
        <f t="shared" si="206"/>
        <v>0</v>
      </c>
      <c r="CR470" s="1924">
        <v>333</v>
      </c>
      <c r="CS470" s="1924">
        <v>262.60000000000002</v>
      </c>
      <c r="CT470" s="1924">
        <v>266.39999999999998</v>
      </c>
      <c r="CU470" s="1924">
        <v>0.98380000000000001</v>
      </c>
      <c r="CV470" s="1924">
        <v>46.16</v>
      </c>
      <c r="CW470" s="1924">
        <v>90190</v>
      </c>
      <c r="CX470" s="1894">
        <f t="shared" si="207"/>
        <v>117225</v>
      </c>
      <c r="CY470" s="1894">
        <f t="shared" si="208"/>
        <v>0</v>
      </c>
    </row>
    <row r="471" spans="1:103">
      <c r="A471" s="982">
        <v>124000000034</v>
      </c>
      <c r="B471" s="1923">
        <f t="shared" si="209"/>
        <v>465</v>
      </c>
      <c r="C471" s="1895" t="s">
        <v>3347</v>
      </c>
      <c r="D471" s="1894" t="s">
        <v>524</v>
      </c>
      <c r="E471" s="1895" t="s">
        <v>541</v>
      </c>
      <c r="F471" s="1894" t="s">
        <v>259</v>
      </c>
      <c r="G471" s="1924">
        <v>333</v>
      </c>
      <c r="H471" s="1894">
        <v>333</v>
      </c>
      <c r="I471" s="1894">
        <v>215</v>
      </c>
      <c r="J471" s="1894">
        <v>266.39999999999998</v>
      </c>
      <c r="K471" s="1894">
        <v>0.92449999999999999</v>
      </c>
      <c r="L471" s="1894">
        <v>55.49</v>
      </c>
      <c r="M471" s="1894">
        <v>77310</v>
      </c>
      <c r="N471" s="1894">
        <f t="shared" si="187"/>
        <v>92880</v>
      </c>
      <c r="O471" s="1894">
        <f t="shared" si="188"/>
        <v>0</v>
      </c>
      <c r="P471" s="1894">
        <v>333</v>
      </c>
      <c r="Q471" s="1894">
        <v>220</v>
      </c>
      <c r="R471" s="1894">
        <v>266.39999999999998</v>
      </c>
      <c r="S471" s="1894">
        <v>0.92889999999999995</v>
      </c>
      <c r="T471" s="1894">
        <v>46.47</v>
      </c>
      <c r="U471" s="1894">
        <v>80970</v>
      </c>
      <c r="V471" s="1894">
        <f t="shared" si="189"/>
        <v>98208</v>
      </c>
      <c r="W471" s="1894">
        <f t="shared" si="190"/>
        <v>0</v>
      </c>
      <c r="X471" s="1894">
        <v>333</v>
      </c>
      <c r="Y471" s="1894">
        <v>265.60000000000002</v>
      </c>
      <c r="Z471" s="1894">
        <v>266.39999999999998</v>
      </c>
      <c r="AA471" s="1894">
        <v>0.83260000000000001</v>
      </c>
      <c r="AB471" s="1894">
        <v>32.04</v>
      </c>
      <c r="AC471" s="1894">
        <v>53103</v>
      </c>
      <c r="AD471" s="1894">
        <f t="shared" si="191"/>
        <v>114739</v>
      </c>
      <c r="AE471" s="1894">
        <f t="shared" si="192"/>
        <v>0</v>
      </c>
      <c r="AF471" s="1894">
        <v>333</v>
      </c>
      <c r="AG471" s="1894">
        <v>24.400000000000002</v>
      </c>
      <c r="AH471" s="1894">
        <v>266.39999999999998</v>
      </c>
      <c r="AI471" s="1894">
        <v>0.76659999999999995</v>
      </c>
      <c r="AJ471" s="1894">
        <v>48.5</v>
      </c>
      <c r="AK471" s="1894">
        <v>8520</v>
      </c>
      <c r="AL471" s="1894">
        <f t="shared" si="185"/>
        <v>10892</v>
      </c>
      <c r="AM471" s="1894">
        <f t="shared" si="186"/>
        <v>0</v>
      </c>
      <c r="AN471" s="1894">
        <v>333</v>
      </c>
      <c r="AO471" s="1894">
        <v>23.400000000000002</v>
      </c>
      <c r="AP471" s="1894">
        <v>266.39999999999998</v>
      </c>
      <c r="AQ471" s="1894">
        <v>0.99809999999999999</v>
      </c>
      <c r="AR471" s="1894">
        <v>15.86</v>
      </c>
      <c r="AS471" s="1894">
        <v>2672</v>
      </c>
      <c r="AT471" s="1894">
        <f t="shared" si="193"/>
        <v>10446</v>
      </c>
      <c r="AU471" s="1894">
        <f t="shared" si="194"/>
        <v>0</v>
      </c>
      <c r="AV471" s="1894">
        <v>333</v>
      </c>
      <c r="AW471" s="1894">
        <v>25.8</v>
      </c>
      <c r="AX471" s="1894">
        <v>266.39999999999998</v>
      </c>
      <c r="AY471" s="1894">
        <v>0.99709999999999999</v>
      </c>
      <c r="AZ471" s="1894">
        <v>15.17</v>
      </c>
      <c r="BA471" s="1894">
        <v>2818</v>
      </c>
      <c r="BB471" s="1894">
        <f t="shared" si="195"/>
        <v>11146</v>
      </c>
      <c r="BC471" s="1894">
        <f t="shared" si="196"/>
        <v>0</v>
      </c>
      <c r="BD471" s="1894">
        <v>333</v>
      </c>
      <c r="BE471" s="1894">
        <v>20.6</v>
      </c>
      <c r="BF471" s="1894">
        <v>266.39999999999998</v>
      </c>
      <c r="BG471" s="1894">
        <v>0.99609999999999999</v>
      </c>
      <c r="BH471" s="1894">
        <v>17.38</v>
      </c>
      <c r="BI471" s="1894">
        <v>2578</v>
      </c>
      <c r="BJ471" s="1894">
        <f t="shared" si="197"/>
        <v>9196</v>
      </c>
      <c r="BK471" s="1894">
        <f t="shared" si="198"/>
        <v>0</v>
      </c>
      <c r="BL471" s="1894">
        <v>333</v>
      </c>
      <c r="BM471" s="1894">
        <v>280.39999999999998</v>
      </c>
      <c r="BN471" s="1894">
        <v>280.39999999999998</v>
      </c>
      <c r="BO471" s="1894">
        <v>0.94220000000000004</v>
      </c>
      <c r="BP471" s="1894">
        <v>6.74</v>
      </c>
      <c r="BQ471" s="1894">
        <v>15420</v>
      </c>
      <c r="BR471" s="1894">
        <f t="shared" si="199"/>
        <v>121133</v>
      </c>
      <c r="BS471" s="1894">
        <f t="shared" si="200"/>
        <v>0</v>
      </c>
      <c r="BT471" s="1894">
        <v>333</v>
      </c>
      <c r="BU471" s="1894">
        <v>430.20000000000005</v>
      </c>
      <c r="BV471" s="1894">
        <v>430.2</v>
      </c>
      <c r="BW471" s="1894">
        <v>0.91759999999999997</v>
      </c>
      <c r="BX471" s="1894">
        <v>14.6</v>
      </c>
      <c r="BY471" s="1894">
        <v>52755</v>
      </c>
      <c r="BZ471" s="1894">
        <f t="shared" si="201"/>
        <v>192041</v>
      </c>
      <c r="CA471" s="1894">
        <f t="shared" si="202"/>
        <v>0</v>
      </c>
      <c r="CB471" s="1894">
        <v>333</v>
      </c>
      <c r="CC471" s="1894">
        <v>310.40000000000003</v>
      </c>
      <c r="CD471" s="1894">
        <v>310.39999999999998</v>
      </c>
      <c r="CE471" s="1894">
        <v>0.96850000000000003</v>
      </c>
      <c r="CF471" s="1894">
        <v>35.01</v>
      </c>
      <c r="CG471" s="1894">
        <v>80855</v>
      </c>
      <c r="CH471" s="1894">
        <f t="shared" si="203"/>
        <v>138563</v>
      </c>
      <c r="CI471" s="1894">
        <f t="shared" si="204"/>
        <v>0</v>
      </c>
      <c r="CJ471" s="1894">
        <v>333</v>
      </c>
      <c r="CK471" s="1894">
        <v>290</v>
      </c>
      <c r="CL471" s="1894">
        <v>290</v>
      </c>
      <c r="CM471" s="1894">
        <v>0.98</v>
      </c>
      <c r="CN471" s="1894">
        <v>49.63</v>
      </c>
      <c r="CO471" s="1894">
        <v>96723</v>
      </c>
      <c r="CP471" s="1894">
        <f t="shared" si="205"/>
        <v>116928</v>
      </c>
      <c r="CQ471" s="1894">
        <f t="shared" si="206"/>
        <v>0</v>
      </c>
      <c r="CR471" s="1924">
        <v>333</v>
      </c>
      <c r="CS471" s="1924">
        <v>286.39999999999998</v>
      </c>
      <c r="CT471" s="1924">
        <v>286.39999999999998</v>
      </c>
      <c r="CU471" s="1924">
        <v>0.97719999999999996</v>
      </c>
      <c r="CV471" s="1924">
        <v>40.94</v>
      </c>
      <c r="CW471" s="1924">
        <v>87225</v>
      </c>
      <c r="CX471" s="1894">
        <f t="shared" si="207"/>
        <v>127849</v>
      </c>
      <c r="CY471" s="1894">
        <f t="shared" si="208"/>
        <v>0</v>
      </c>
    </row>
    <row r="472" spans="1:103">
      <c r="A472" s="982">
        <v>126000000008</v>
      </c>
      <c r="B472" s="1923">
        <f t="shared" si="209"/>
        <v>466</v>
      </c>
      <c r="C472" s="1895" t="s">
        <v>3348</v>
      </c>
      <c r="D472" s="1894" t="s">
        <v>524</v>
      </c>
      <c r="E472" s="1895" t="s">
        <v>541</v>
      </c>
      <c r="F472" s="1894" t="s">
        <v>259</v>
      </c>
      <c r="G472" s="1924">
        <v>333</v>
      </c>
      <c r="H472" s="1894">
        <v>333</v>
      </c>
      <c r="I472" s="1894">
        <v>399.6</v>
      </c>
      <c r="J472" s="1894">
        <v>399.6</v>
      </c>
      <c r="K472" s="1894">
        <v>0.99450000000000005</v>
      </c>
      <c r="L472" s="1894">
        <v>46.21</v>
      </c>
      <c r="M472" s="1894">
        <v>132953</v>
      </c>
      <c r="N472" s="1894">
        <f t="shared" si="187"/>
        <v>172627</v>
      </c>
      <c r="O472" s="1894">
        <f t="shared" si="188"/>
        <v>0</v>
      </c>
      <c r="P472" s="1894">
        <v>333</v>
      </c>
      <c r="Q472" s="1894">
        <v>393.6</v>
      </c>
      <c r="R472" s="1894">
        <v>393.6</v>
      </c>
      <c r="S472" s="1894">
        <v>0.99260000000000004</v>
      </c>
      <c r="T472" s="1894">
        <v>59.91</v>
      </c>
      <c r="U472" s="1894">
        <v>175425</v>
      </c>
      <c r="V472" s="1894">
        <f t="shared" si="189"/>
        <v>175703</v>
      </c>
      <c r="W472" s="1894">
        <f t="shared" si="190"/>
        <v>0</v>
      </c>
      <c r="X472" s="1894">
        <v>333</v>
      </c>
      <c r="Y472" s="1894">
        <v>363.6</v>
      </c>
      <c r="Z472" s="1894">
        <v>363.6</v>
      </c>
      <c r="AA472" s="1894">
        <v>0.99429999999999996</v>
      </c>
      <c r="AB472" s="1894">
        <v>44.55</v>
      </c>
      <c r="AC472" s="1894">
        <v>116633</v>
      </c>
      <c r="AD472" s="1894">
        <f t="shared" si="191"/>
        <v>157075</v>
      </c>
      <c r="AE472" s="1894">
        <f t="shared" si="192"/>
        <v>0</v>
      </c>
      <c r="AF472" s="1894">
        <v>333</v>
      </c>
      <c r="AG472" s="1894">
        <v>361.8</v>
      </c>
      <c r="AH472" s="1894">
        <v>361.8</v>
      </c>
      <c r="AI472" s="1894">
        <v>0.99519999999999997</v>
      </c>
      <c r="AJ472" s="1894">
        <v>28.11</v>
      </c>
      <c r="AK472" s="1894">
        <v>75660</v>
      </c>
      <c r="AL472" s="1894">
        <f t="shared" si="185"/>
        <v>161508</v>
      </c>
      <c r="AM472" s="1894">
        <f t="shared" si="186"/>
        <v>0</v>
      </c>
      <c r="AN472" s="1894">
        <v>333</v>
      </c>
      <c r="AO472" s="1894">
        <v>348.59999999999997</v>
      </c>
      <c r="AP472" s="1894">
        <v>348.6</v>
      </c>
      <c r="AQ472" s="1894">
        <v>0.99560000000000004</v>
      </c>
      <c r="AR472" s="1894">
        <v>36.35</v>
      </c>
      <c r="AS472" s="1894">
        <v>94282</v>
      </c>
      <c r="AT472" s="1894">
        <f t="shared" si="193"/>
        <v>155615</v>
      </c>
      <c r="AU472" s="1894">
        <f t="shared" si="194"/>
        <v>0</v>
      </c>
      <c r="AV472" s="1894">
        <v>333</v>
      </c>
      <c r="AW472" s="1894">
        <v>349.8</v>
      </c>
      <c r="AX472" s="1894">
        <v>349.8</v>
      </c>
      <c r="AY472" s="1894">
        <v>0.99650000000000005</v>
      </c>
      <c r="AZ472" s="1894">
        <v>34.47</v>
      </c>
      <c r="BA472" s="1894">
        <v>86813</v>
      </c>
      <c r="BB472" s="1894">
        <f t="shared" si="195"/>
        <v>151114</v>
      </c>
      <c r="BC472" s="1894">
        <f t="shared" si="196"/>
        <v>0</v>
      </c>
      <c r="BD472" s="1894">
        <v>333</v>
      </c>
      <c r="BE472" s="1894">
        <v>345</v>
      </c>
      <c r="BF472" s="1894">
        <v>345</v>
      </c>
      <c r="BG472" s="1894">
        <v>0.99570000000000003</v>
      </c>
      <c r="BH472" s="1894">
        <v>28.62</v>
      </c>
      <c r="BI472" s="1894">
        <v>73470</v>
      </c>
      <c r="BJ472" s="1894">
        <f t="shared" si="197"/>
        <v>154008</v>
      </c>
      <c r="BK472" s="1894">
        <f t="shared" si="198"/>
        <v>0</v>
      </c>
      <c r="BL472" s="1894">
        <v>333</v>
      </c>
      <c r="BM472" s="1894">
        <v>195.6</v>
      </c>
      <c r="BN472" s="1894">
        <v>266.39999999999998</v>
      </c>
      <c r="BO472" s="1894">
        <v>0.98860000000000003</v>
      </c>
      <c r="BP472" s="1894">
        <v>5.37</v>
      </c>
      <c r="BQ472" s="1894">
        <v>7313</v>
      </c>
      <c r="BR472" s="1894">
        <f t="shared" si="199"/>
        <v>84499</v>
      </c>
      <c r="BS472" s="1894">
        <f t="shared" si="200"/>
        <v>0</v>
      </c>
      <c r="BT472" s="1894">
        <v>333</v>
      </c>
      <c r="BU472" s="1894">
        <v>332.4</v>
      </c>
      <c r="BV472" s="1894">
        <v>332.4</v>
      </c>
      <c r="BW472" s="1894">
        <v>0.99119999999999997</v>
      </c>
      <c r="BX472" s="1894">
        <v>9.3800000000000008</v>
      </c>
      <c r="BY472" s="1894">
        <v>23948</v>
      </c>
      <c r="BZ472" s="1894">
        <f t="shared" si="201"/>
        <v>148383</v>
      </c>
      <c r="CA472" s="1894">
        <f t="shared" si="202"/>
        <v>0</v>
      </c>
      <c r="CB472" s="1894">
        <v>333</v>
      </c>
      <c r="CC472" s="1894">
        <v>345</v>
      </c>
      <c r="CD472" s="1894">
        <v>345</v>
      </c>
      <c r="CE472" s="1894">
        <v>0.99299999999999999</v>
      </c>
      <c r="CF472" s="1894">
        <v>56.41</v>
      </c>
      <c r="CG472" s="1894">
        <v>144795</v>
      </c>
      <c r="CH472" s="1894">
        <f t="shared" si="203"/>
        <v>154008</v>
      </c>
      <c r="CI472" s="1894">
        <f t="shared" si="204"/>
        <v>0</v>
      </c>
      <c r="CJ472" s="1894">
        <v>333</v>
      </c>
      <c r="CK472" s="1894">
        <v>371.4</v>
      </c>
      <c r="CL472" s="1894">
        <v>371.4</v>
      </c>
      <c r="CM472" s="1894">
        <v>0.99199999999999999</v>
      </c>
      <c r="CN472" s="1894">
        <v>61.75</v>
      </c>
      <c r="CO472" s="1894">
        <v>154125</v>
      </c>
      <c r="CP472" s="1894">
        <f t="shared" si="205"/>
        <v>149748</v>
      </c>
      <c r="CQ472" s="1894">
        <f t="shared" si="206"/>
        <v>4377</v>
      </c>
      <c r="CR472" s="1924">
        <v>333</v>
      </c>
      <c r="CS472" s="1924">
        <v>350.4</v>
      </c>
      <c r="CT472" s="1924">
        <v>350.4</v>
      </c>
      <c r="CU472" s="1924">
        <v>0.99260000000000004</v>
      </c>
      <c r="CV472" s="1924">
        <v>60.9</v>
      </c>
      <c r="CW472" s="1924">
        <v>158760</v>
      </c>
      <c r="CX472" s="1894">
        <f t="shared" si="207"/>
        <v>156419</v>
      </c>
      <c r="CY472" s="1894">
        <f t="shared" si="208"/>
        <v>2341</v>
      </c>
    </row>
    <row r="473" spans="1:103">
      <c r="A473" s="982">
        <v>615000000011</v>
      </c>
      <c r="B473" s="1923">
        <f t="shared" si="209"/>
        <v>467</v>
      </c>
      <c r="C473" s="1895" t="s">
        <v>3349</v>
      </c>
      <c r="D473" s="1894" t="s">
        <v>524</v>
      </c>
      <c r="E473" s="1895" t="s">
        <v>541</v>
      </c>
      <c r="F473" s="1894" t="s">
        <v>259</v>
      </c>
      <c r="G473" s="1924">
        <v>333</v>
      </c>
      <c r="H473" s="1894">
        <v>333</v>
      </c>
      <c r="I473" s="1894">
        <v>11.6</v>
      </c>
      <c r="J473" s="1894">
        <v>266.39999999999998</v>
      </c>
      <c r="K473" s="1894">
        <v>1</v>
      </c>
      <c r="L473" s="1894">
        <v>19.82</v>
      </c>
      <c r="M473" s="1894">
        <v>1655</v>
      </c>
      <c r="N473" s="1894">
        <f t="shared" si="187"/>
        <v>5011</v>
      </c>
      <c r="O473" s="1894">
        <f t="shared" si="188"/>
        <v>0</v>
      </c>
      <c r="P473" s="1894">
        <v>333</v>
      </c>
      <c r="Q473" s="1894">
        <v>6.4</v>
      </c>
      <c r="R473" s="1894">
        <v>266.39999999999998</v>
      </c>
      <c r="S473" s="1894">
        <v>1</v>
      </c>
      <c r="T473" s="1894">
        <v>24.78</v>
      </c>
      <c r="U473" s="1894">
        <v>1180</v>
      </c>
      <c r="V473" s="1894">
        <f t="shared" si="189"/>
        <v>2857</v>
      </c>
      <c r="W473" s="1894">
        <f t="shared" si="190"/>
        <v>0</v>
      </c>
      <c r="X473" s="1894">
        <v>333</v>
      </c>
      <c r="Y473" s="1894">
        <v>5.6</v>
      </c>
      <c r="Z473" s="1894">
        <v>266.39999999999998</v>
      </c>
      <c r="AA473" s="1894">
        <v>1</v>
      </c>
      <c r="AB473" s="1894">
        <v>31.13</v>
      </c>
      <c r="AC473" s="1894">
        <v>1255</v>
      </c>
      <c r="AD473" s="1894">
        <f t="shared" si="191"/>
        <v>2419</v>
      </c>
      <c r="AE473" s="1894">
        <f t="shared" si="192"/>
        <v>0</v>
      </c>
      <c r="AF473" s="1894">
        <v>333</v>
      </c>
      <c r="AG473" s="1894">
        <v>111.19999999999999</v>
      </c>
      <c r="AH473" s="1894">
        <v>266.39999999999998</v>
      </c>
      <c r="AI473" s="1894">
        <v>0.99590000000000001</v>
      </c>
      <c r="AJ473" s="1894">
        <v>1.48</v>
      </c>
      <c r="AK473" s="1894">
        <v>1225</v>
      </c>
      <c r="AL473" s="1894">
        <f t="shared" si="185"/>
        <v>49640</v>
      </c>
      <c r="AM473" s="1894">
        <f t="shared" si="186"/>
        <v>0</v>
      </c>
      <c r="AN473" s="1894">
        <v>333</v>
      </c>
      <c r="AO473" s="1894">
        <v>3.6</v>
      </c>
      <c r="AP473" s="1894">
        <v>266.39999999999998</v>
      </c>
      <c r="AQ473" s="1894">
        <v>1</v>
      </c>
      <c r="AR473" s="1894">
        <v>42.56</v>
      </c>
      <c r="AS473" s="1894">
        <v>1140</v>
      </c>
      <c r="AT473" s="1894">
        <f t="shared" si="193"/>
        <v>1607</v>
      </c>
      <c r="AU473" s="1894">
        <f t="shared" si="194"/>
        <v>0</v>
      </c>
      <c r="AV473" s="1894">
        <v>333</v>
      </c>
      <c r="AW473" s="1894">
        <v>38</v>
      </c>
      <c r="AX473" s="1894">
        <v>266.39999999999998</v>
      </c>
      <c r="AY473" s="1894">
        <v>1.0043</v>
      </c>
      <c r="AZ473" s="1894">
        <v>4.18</v>
      </c>
      <c r="BA473" s="1894">
        <v>1145</v>
      </c>
      <c r="BB473" s="1894">
        <f t="shared" si="195"/>
        <v>16416</v>
      </c>
      <c r="BC473" s="1894">
        <f t="shared" si="196"/>
        <v>0</v>
      </c>
      <c r="BD473" s="1894">
        <v>333</v>
      </c>
      <c r="BE473" s="1894">
        <v>29.6</v>
      </c>
      <c r="BF473" s="1894">
        <v>266.39999999999998</v>
      </c>
      <c r="BG473" s="1894">
        <v>0.99739999999999995</v>
      </c>
      <c r="BH473" s="1894">
        <v>9.01</v>
      </c>
      <c r="BI473" s="1894">
        <v>1985</v>
      </c>
      <c r="BJ473" s="1894">
        <f t="shared" si="197"/>
        <v>13213</v>
      </c>
      <c r="BK473" s="1894">
        <f t="shared" si="198"/>
        <v>0</v>
      </c>
      <c r="BL473" s="1894">
        <v>333</v>
      </c>
      <c r="BM473" s="1894">
        <v>45.199999999999996</v>
      </c>
      <c r="BN473" s="1894">
        <v>266.39999999999998</v>
      </c>
      <c r="BO473" s="1894">
        <v>1</v>
      </c>
      <c r="BP473" s="1894">
        <v>3.81</v>
      </c>
      <c r="BQ473" s="1894">
        <v>1240</v>
      </c>
      <c r="BR473" s="1894">
        <f t="shared" si="199"/>
        <v>19526</v>
      </c>
      <c r="BS473" s="1894">
        <f t="shared" si="200"/>
        <v>0</v>
      </c>
      <c r="BT473" s="1894">
        <v>333</v>
      </c>
      <c r="BU473" s="1894">
        <v>120.39999999999999</v>
      </c>
      <c r="BV473" s="1894">
        <v>266.39999999999998</v>
      </c>
      <c r="BW473" s="1894">
        <v>1</v>
      </c>
      <c r="BX473" s="1894">
        <v>3.43</v>
      </c>
      <c r="BY473" s="1894">
        <v>3070</v>
      </c>
      <c r="BZ473" s="1894">
        <f t="shared" si="201"/>
        <v>53747</v>
      </c>
      <c r="CA473" s="1894">
        <f t="shared" si="202"/>
        <v>0</v>
      </c>
      <c r="CB473" s="1894">
        <v>333</v>
      </c>
      <c r="CC473" s="1894">
        <v>125.6</v>
      </c>
      <c r="CD473" s="1894">
        <v>266.39999999999998</v>
      </c>
      <c r="CE473" s="1894">
        <v>0.99650000000000005</v>
      </c>
      <c r="CF473" s="1894">
        <v>35.5</v>
      </c>
      <c r="CG473" s="1894">
        <v>33170</v>
      </c>
      <c r="CH473" s="1894">
        <f t="shared" si="203"/>
        <v>56068</v>
      </c>
      <c r="CI473" s="1894">
        <f t="shared" si="204"/>
        <v>0</v>
      </c>
      <c r="CJ473" s="1894">
        <v>333</v>
      </c>
      <c r="CK473" s="1894">
        <v>122.39999999999999</v>
      </c>
      <c r="CL473" s="1894">
        <v>266.39999999999998</v>
      </c>
      <c r="CM473" s="1894">
        <v>0.99590000000000001</v>
      </c>
      <c r="CN473" s="1894">
        <v>57.3</v>
      </c>
      <c r="CO473" s="1894">
        <v>47130</v>
      </c>
      <c r="CP473" s="1894">
        <f t="shared" si="205"/>
        <v>49352</v>
      </c>
      <c r="CQ473" s="1894">
        <f t="shared" si="206"/>
        <v>0</v>
      </c>
      <c r="CR473" s="1924">
        <v>333</v>
      </c>
      <c r="CS473" s="1924">
        <v>128.39999999999998</v>
      </c>
      <c r="CT473" s="1924">
        <v>266.39999999999998</v>
      </c>
      <c r="CU473" s="1924">
        <v>0.99580000000000002</v>
      </c>
      <c r="CV473" s="1924">
        <v>64.569999999999993</v>
      </c>
      <c r="CW473" s="1924">
        <v>61680</v>
      </c>
      <c r="CX473" s="1894">
        <f t="shared" si="207"/>
        <v>57318</v>
      </c>
      <c r="CY473" s="1894">
        <f t="shared" si="208"/>
        <v>4362</v>
      </c>
    </row>
    <row r="474" spans="1:103">
      <c r="A474" s="982">
        <v>611000000051</v>
      </c>
      <c r="B474" s="1923">
        <f t="shared" si="209"/>
        <v>468</v>
      </c>
      <c r="C474" s="1895" t="s">
        <v>3350</v>
      </c>
      <c r="D474" s="1894" t="s">
        <v>524</v>
      </c>
      <c r="E474" s="1895" t="s">
        <v>541</v>
      </c>
      <c r="F474" s="1894" t="s">
        <v>259</v>
      </c>
      <c r="G474" s="1924">
        <v>333</v>
      </c>
      <c r="H474" s="1894">
        <v>333</v>
      </c>
      <c r="I474" s="1894">
        <v>89.6</v>
      </c>
      <c r="J474" s="1894">
        <v>266.39999999999998</v>
      </c>
      <c r="K474" s="1894">
        <v>0.96560000000000001</v>
      </c>
      <c r="L474" s="1894">
        <v>44.64</v>
      </c>
      <c r="M474" s="1894">
        <v>28798</v>
      </c>
      <c r="N474" s="1894">
        <f t="shared" si="187"/>
        <v>38707</v>
      </c>
      <c r="O474" s="1894">
        <f t="shared" si="188"/>
        <v>0</v>
      </c>
      <c r="P474" s="1894">
        <v>333</v>
      </c>
      <c r="Q474" s="1894">
        <v>93.600000000000009</v>
      </c>
      <c r="R474" s="1894">
        <v>266.39999999999998</v>
      </c>
      <c r="S474" s="1894">
        <v>0.94369999999999998</v>
      </c>
      <c r="T474" s="1894">
        <v>28.71</v>
      </c>
      <c r="U474" s="1894">
        <v>19990</v>
      </c>
      <c r="V474" s="1894">
        <f t="shared" si="189"/>
        <v>41783</v>
      </c>
      <c r="W474" s="1894">
        <f t="shared" si="190"/>
        <v>0</v>
      </c>
      <c r="X474" s="1894">
        <v>333</v>
      </c>
      <c r="Y474" s="1894">
        <v>186.4</v>
      </c>
      <c r="Z474" s="1894">
        <v>266.39999999999998</v>
      </c>
      <c r="AA474" s="1894">
        <v>0.8609</v>
      </c>
      <c r="AB474" s="1894">
        <v>24.24</v>
      </c>
      <c r="AC474" s="1894">
        <v>32533</v>
      </c>
      <c r="AD474" s="1894">
        <f t="shared" si="191"/>
        <v>80525</v>
      </c>
      <c r="AE474" s="1894">
        <f t="shared" si="192"/>
        <v>0</v>
      </c>
      <c r="AF474" s="1894">
        <v>333</v>
      </c>
      <c r="AG474" s="1894">
        <v>229.8</v>
      </c>
      <c r="AH474" s="1894">
        <v>266.39999999999998</v>
      </c>
      <c r="AI474" s="1894">
        <v>0.77939999999999998</v>
      </c>
      <c r="AJ474" s="1894">
        <v>27.8</v>
      </c>
      <c r="AK474" s="1894">
        <v>47535</v>
      </c>
      <c r="AL474" s="1894">
        <f t="shared" si="185"/>
        <v>102583</v>
      </c>
      <c r="AM474" s="1894">
        <f t="shared" si="186"/>
        <v>0</v>
      </c>
      <c r="AN474" s="1894">
        <v>333</v>
      </c>
      <c r="AO474" s="1894">
        <v>228.4</v>
      </c>
      <c r="AP474" s="1894">
        <v>266.39999999999998</v>
      </c>
      <c r="AQ474" s="1894">
        <v>0.78510000000000002</v>
      </c>
      <c r="AR474" s="1894">
        <v>31.66</v>
      </c>
      <c r="AS474" s="1894">
        <v>53808</v>
      </c>
      <c r="AT474" s="1894">
        <f t="shared" si="193"/>
        <v>101958</v>
      </c>
      <c r="AU474" s="1894">
        <f t="shared" si="194"/>
        <v>0</v>
      </c>
      <c r="AV474" s="1894">
        <v>333</v>
      </c>
      <c r="AW474" s="1894">
        <v>227.20000000000002</v>
      </c>
      <c r="AX474" s="1894">
        <v>266.39999999999998</v>
      </c>
      <c r="AY474" s="1894">
        <v>0.8004</v>
      </c>
      <c r="AZ474" s="1894">
        <v>30.24</v>
      </c>
      <c r="BA474" s="1894">
        <v>49470</v>
      </c>
      <c r="BB474" s="1894">
        <f t="shared" si="195"/>
        <v>98150</v>
      </c>
      <c r="BC474" s="1894">
        <f t="shared" si="196"/>
        <v>0</v>
      </c>
      <c r="BD474" s="1894">
        <v>333</v>
      </c>
      <c r="BE474" s="1894">
        <v>225</v>
      </c>
      <c r="BF474" s="1894">
        <v>266.39999999999998</v>
      </c>
      <c r="BG474" s="1894">
        <v>0.76890000000000003</v>
      </c>
      <c r="BH474" s="1894">
        <v>34.380000000000003</v>
      </c>
      <c r="BI474" s="1894">
        <v>57560</v>
      </c>
      <c r="BJ474" s="1894">
        <f t="shared" si="197"/>
        <v>100440</v>
      </c>
      <c r="BK474" s="1894">
        <f t="shared" si="198"/>
        <v>0</v>
      </c>
      <c r="BL474" s="1894">
        <v>333</v>
      </c>
      <c r="BM474" s="1894">
        <v>246.2</v>
      </c>
      <c r="BN474" s="1894">
        <v>266.39999999999998</v>
      </c>
      <c r="BO474" s="1894">
        <v>0.76049999999999995</v>
      </c>
      <c r="BP474" s="1894">
        <v>36.450000000000003</v>
      </c>
      <c r="BQ474" s="1894">
        <v>64620</v>
      </c>
      <c r="BR474" s="1894">
        <f t="shared" si="199"/>
        <v>106358</v>
      </c>
      <c r="BS474" s="1894">
        <f t="shared" si="200"/>
        <v>0</v>
      </c>
      <c r="BT474" s="1894">
        <v>333</v>
      </c>
      <c r="BU474" s="1894">
        <v>229.2</v>
      </c>
      <c r="BV474" s="1894">
        <v>266.39999999999998</v>
      </c>
      <c r="BW474" s="1894">
        <v>0.77470000000000006</v>
      </c>
      <c r="BX474" s="1894">
        <v>32.06</v>
      </c>
      <c r="BY474" s="1894">
        <v>54668</v>
      </c>
      <c r="BZ474" s="1894">
        <f t="shared" si="201"/>
        <v>102315</v>
      </c>
      <c r="CA474" s="1894">
        <f t="shared" si="202"/>
        <v>0</v>
      </c>
      <c r="CB474" s="1894">
        <v>333</v>
      </c>
      <c r="CC474" s="1894">
        <v>230</v>
      </c>
      <c r="CD474" s="1894">
        <v>266.39999999999998</v>
      </c>
      <c r="CE474" s="1894">
        <v>0.80789999999999995</v>
      </c>
      <c r="CF474" s="1894">
        <v>30.89</v>
      </c>
      <c r="CG474" s="1894">
        <v>52855</v>
      </c>
      <c r="CH474" s="1894">
        <f t="shared" si="203"/>
        <v>102672</v>
      </c>
      <c r="CI474" s="1894">
        <f t="shared" si="204"/>
        <v>0</v>
      </c>
      <c r="CJ474" s="1894">
        <v>333</v>
      </c>
      <c r="CK474" s="1894">
        <v>238</v>
      </c>
      <c r="CL474" s="1894">
        <v>266.39999999999998</v>
      </c>
      <c r="CM474" s="1894">
        <v>0.80569999999999997</v>
      </c>
      <c r="CN474" s="1894">
        <v>31.78</v>
      </c>
      <c r="CO474" s="1894">
        <v>50820</v>
      </c>
      <c r="CP474" s="1894">
        <f t="shared" si="205"/>
        <v>95962</v>
      </c>
      <c r="CQ474" s="1894">
        <f t="shared" si="206"/>
        <v>0</v>
      </c>
      <c r="CR474" s="1924">
        <v>333</v>
      </c>
      <c r="CS474" s="1924">
        <v>207.8</v>
      </c>
      <c r="CT474" s="1924">
        <v>266.39999999999998</v>
      </c>
      <c r="CU474" s="1924">
        <v>0.79649999999999999</v>
      </c>
      <c r="CV474" s="1924">
        <v>33.86</v>
      </c>
      <c r="CW474" s="1924">
        <v>52352</v>
      </c>
      <c r="CX474" s="1894">
        <f t="shared" si="207"/>
        <v>92762</v>
      </c>
      <c r="CY474" s="1894">
        <f t="shared" si="208"/>
        <v>0</v>
      </c>
    </row>
    <row r="475" spans="1:103">
      <c r="A475" s="982">
        <v>613000000036</v>
      </c>
      <c r="B475" s="1923">
        <f t="shared" si="209"/>
        <v>469</v>
      </c>
      <c r="C475" s="1895" t="s">
        <v>3351</v>
      </c>
      <c r="D475" s="1894" t="s">
        <v>524</v>
      </c>
      <c r="E475" s="1895" t="s">
        <v>541</v>
      </c>
      <c r="F475" s="1894" t="s">
        <v>259</v>
      </c>
      <c r="G475" s="1924">
        <v>333</v>
      </c>
      <c r="H475" s="1894">
        <v>333</v>
      </c>
      <c r="I475" s="1894">
        <v>268.2</v>
      </c>
      <c r="J475" s="1894">
        <v>268.2</v>
      </c>
      <c r="K475" s="1894">
        <v>0.99860000000000004</v>
      </c>
      <c r="L475" s="1894">
        <v>35.94</v>
      </c>
      <c r="M475" s="1894">
        <v>90222</v>
      </c>
      <c r="N475" s="1894">
        <f t="shared" si="187"/>
        <v>115862</v>
      </c>
      <c r="O475" s="1894">
        <f t="shared" si="188"/>
        <v>0</v>
      </c>
      <c r="P475" s="1894">
        <v>333</v>
      </c>
      <c r="Q475" s="1894">
        <v>258</v>
      </c>
      <c r="R475" s="1894">
        <v>266.39999999999998</v>
      </c>
      <c r="S475" s="1894">
        <v>0.99880000000000002</v>
      </c>
      <c r="T475" s="1894">
        <v>22.44</v>
      </c>
      <c r="U475" s="1894">
        <v>43065</v>
      </c>
      <c r="V475" s="1894">
        <f t="shared" si="189"/>
        <v>115171</v>
      </c>
      <c r="W475" s="1894">
        <f t="shared" si="190"/>
        <v>0</v>
      </c>
      <c r="X475" s="1894">
        <v>333</v>
      </c>
      <c r="Y475" s="1894">
        <v>293.28000000000003</v>
      </c>
      <c r="Z475" s="1894">
        <v>293.27999999999997</v>
      </c>
      <c r="AA475" s="1894">
        <v>0.9748</v>
      </c>
      <c r="AB475" s="1894">
        <v>23.41</v>
      </c>
      <c r="AC475" s="1894">
        <v>41202</v>
      </c>
      <c r="AD475" s="1894">
        <f t="shared" si="191"/>
        <v>126697</v>
      </c>
      <c r="AE475" s="1894">
        <f t="shared" si="192"/>
        <v>0</v>
      </c>
      <c r="AF475" s="1894">
        <v>333</v>
      </c>
      <c r="AG475" s="1894">
        <v>343.79999999999995</v>
      </c>
      <c r="AH475" s="1894">
        <v>343.8</v>
      </c>
      <c r="AI475" s="1894">
        <v>0.80079999999999996</v>
      </c>
      <c r="AJ475" s="1894">
        <v>44.29</v>
      </c>
      <c r="AK475" s="1894">
        <v>131559</v>
      </c>
      <c r="AL475" s="1894">
        <f t="shared" si="185"/>
        <v>153472</v>
      </c>
      <c r="AM475" s="1894">
        <f t="shared" si="186"/>
        <v>0</v>
      </c>
      <c r="AN475" s="1894">
        <v>333</v>
      </c>
      <c r="AO475" s="1894">
        <v>307.68</v>
      </c>
      <c r="AP475" s="1894">
        <v>307.68</v>
      </c>
      <c r="AQ475" s="1894">
        <v>0.85509999999999997</v>
      </c>
      <c r="AR475" s="1894">
        <v>12.19</v>
      </c>
      <c r="AS475" s="1894">
        <v>21597</v>
      </c>
      <c r="AT475" s="1894">
        <f t="shared" si="193"/>
        <v>137348</v>
      </c>
      <c r="AU475" s="1894">
        <f t="shared" si="194"/>
        <v>0</v>
      </c>
      <c r="AV475" s="1894">
        <v>333</v>
      </c>
      <c r="AW475" s="1894">
        <v>9.8400000000000016</v>
      </c>
      <c r="AX475" s="1894">
        <v>266.39999999999998</v>
      </c>
      <c r="AY475" s="1894">
        <v>0.5101</v>
      </c>
      <c r="AZ475" s="1894">
        <v>34.26</v>
      </c>
      <c r="BA475" s="1894">
        <v>2670</v>
      </c>
      <c r="BB475" s="1894">
        <f t="shared" si="195"/>
        <v>4251</v>
      </c>
      <c r="BC475" s="1894">
        <f t="shared" si="196"/>
        <v>0</v>
      </c>
      <c r="BD475" s="1894">
        <v>333</v>
      </c>
      <c r="BE475" s="1894">
        <v>13.799999999999999</v>
      </c>
      <c r="BF475" s="1894">
        <v>266.39999999999998</v>
      </c>
      <c r="BG475" s="1894">
        <v>0.99219999999999997</v>
      </c>
      <c r="BH475" s="1894">
        <v>13.28</v>
      </c>
      <c r="BI475" s="1894">
        <v>1539</v>
      </c>
      <c r="BJ475" s="1894">
        <f t="shared" si="197"/>
        <v>6160</v>
      </c>
      <c r="BK475" s="1894">
        <f t="shared" si="198"/>
        <v>0</v>
      </c>
      <c r="BL475" s="1894">
        <v>333</v>
      </c>
      <c r="BM475" s="1894">
        <v>15.6</v>
      </c>
      <c r="BN475" s="1894">
        <v>266.39999999999998</v>
      </c>
      <c r="BO475" s="1894">
        <v>1.0016</v>
      </c>
      <c r="BP475" s="1894">
        <v>16.32</v>
      </c>
      <c r="BQ475" s="1894">
        <v>1833</v>
      </c>
      <c r="BR475" s="1894">
        <f t="shared" si="199"/>
        <v>6739</v>
      </c>
      <c r="BS475" s="1894">
        <f t="shared" si="200"/>
        <v>0</v>
      </c>
      <c r="BT475" s="1894">
        <v>333</v>
      </c>
      <c r="BU475" s="1894">
        <v>250.79999999999998</v>
      </c>
      <c r="BV475" s="1894">
        <v>266.39999999999998</v>
      </c>
      <c r="BW475" s="1894">
        <v>0.99939999999999996</v>
      </c>
      <c r="BX475" s="1894">
        <v>9.48</v>
      </c>
      <c r="BY475" s="1894">
        <v>17697</v>
      </c>
      <c r="BZ475" s="1894">
        <f t="shared" si="201"/>
        <v>111957</v>
      </c>
      <c r="CA475" s="1894">
        <f t="shared" si="202"/>
        <v>0</v>
      </c>
      <c r="CB475" s="1894">
        <v>333</v>
      </c>
      <c r="CC475" s="1894">
        <v>266.15999999999997</v>
      </c>
      <c r="CD475" s="1894">
        <v>266.39999999999998</v>
      </c>
      <c r="CE475" s="1894">
        <v>0.99980000000000002</v>
      </c>
      <c r="CF475" s="1894">
        <v>34.43</v>
      </c>
      <c r="CG475" s="1894">
        <v>68178</v>
      </c>
      <c r="CH475" s="1894">
        <f t="shared" si="203"/>
        <v>118814</v>
      </c>
      <c r="CI475" s="1894">
        <f t="shared" si="204"/>
        <v>0</v>
      </c>
      <c r="CJ475" s="1894">
        <v>333</v>
      </c>
      <c r="CK475" s="1894">
        <v>281.27999999999997</v>
      </c>
      <c r="CL475" s="1894">
        <v>281.27999999999997</v>
      </c>
      <c r="CM475" s="1894">
        <v>0.99980000000000002</v>
      </c>
      <c r="CN475" s="1894">
        <v>50.91</v>
      </c>
      <c r="CO475" s="1894">
        <v>96228</v>
      </c>
      <c r="CP475" s="1894">
        <f t="shared" si="205"/>
        <v>113412</v>
      </c>
      <c r="CQ475" s="1894">
        <f t="shared" si="206"/>
        <v>0</v>
      </c>
      <c r="CR475" s="1924">
        <v>333</v>
      </c>
      <c r="CS475" s="1924">
        <v>291.12</v>
      </c>
      <c r="CT475" s="1924">
        <v>291.12</v>
      </c>
      <c r="CU475" s="1924">
        <v>0.99970000000000003</v>
      </c>
      <c r="CV475" s="1924">
        <v>49.77</v>
      </c>
      <c r="CW475" s="1924">
        <v>107796</v>
      </c>
      <c r="CX475" s="1894">
        <f t="shared" si="207"/>
        <v>129956</v>
      </c>
      <c r="CY475" s="1894">
        <f t="shared" si="208"/>
        <v>0</v>
      </c>
    </row>
    <row r="476" spans="1:103">
      <c r="A476" s="982">
        <v>121000000086</v>
      </c>
      <c r="B476" s="1923">
        <f t="shared" si="209"/>
        <v>470</v>
      </c>
      <c r="C476" s="1895" t="s">
        <v>3352</v>
      </c>
      <c r="D476" s="1894" t="s">
        <v>524</v>
      </c>
      <c r="E476" s="1895" t="s">
        <v>2966</v>
      </c>
      <c r="F476" s="1894" t="s">
        <v>259</v>
      </c>
      <c r="G476" s="1924">
        <v>334</v>
      </c>
      <c r="H476" s="1894">
        <v>334</v>
      </c>
      <c r="I476" s="1894">
        <v>112.2</v>
      </c>
      <c r="J476" s="1894">
        <v>334</v>
      </c>
      <c r="K476" s="1894">
        <v>0.61850000000000005</v>
      </c>
      <c r="L476" s="1894">
        <v>0</v>
      </c>
      <c r="M476" s="1894">
        <v>33603</v>
      </c>
      <c r="N476" s="1894">
        <f t="shared" si="187"/>
        <v>48470</v>
      </c>
      <c r="O476" s="1894">
        <f t="shared" si="188"/>
        <v>0</v>
      </c>
      <c r="P476" s="1894">
        <v>334</v>
      </c>
      <c r="Q476" s="1894">
        <v>219.12</v>
      </c>
      <c r="R476" s="1894">
        <v>334</v>
      </c>
      <c r="S476" s="1894">
        <v>0.78069999999999995</v>
      </c>
      <c r="T476" s="1894">
        <v>0</v>
      </c>
      <c r="U476" s="1894">
        <v>47343</v>
      </c>
      <c r="V476" s="1894">
        <f t="shared" si="189"/>
        <v>97815</v>
      </c>
      <c r="W476" s="1894">
        <f t="shared" si="190"/>
        <v>0</v>
      </c>
      <c r="X476" s="1894">
        <v>334</v>
      </c>
      <c r="Y476" s="1894">
        <v>232.8</v>
      </c>
      <c r="Z476" s="1894">
        <v>334</v>
      </c>
      <c r="AA476" s="1894">
        <v>0.7278</v>
      </c>
      <c r="AB476" s="1894">
        <v>0</v>
      </c>
      <c r="AC476" s="1894">
        <v>39549</v>
      </c>
      <c r="AD476" s="1894">
        <f t="shared" si="191"/>
        <v>100570</v>
      </c>
      <c r="AE476" s="1894">
        <f t="shared" si="192"/>
        <v>0</v>
      </c>
      <c r="AF476" s="1894">
        <v>334</v>
      </c>
      <c r="AG476" s="1894">
        <v>89.52</v>
      </c>
      <c r="AH476" s="1894">
        <v>334</v>
      </c>
      <c r="AI476" s="1894">
        <v>0.17960000000000001</v>
      </c>
      <c r="AJ476" s="1894">
        <v>0</v>
      </c>
      <c r="AK476" s="1894">
        <v>21405</v>
      </c>
      <c r="AL476" s="1894">
        <f t="shared" si="185"/>
        <v>39962</v>
      </c>
      <c r="AM476" s="1894">
        <f t="shared" si="186"/>
        <v>0</v>
      </c>
      <c r="AN476" s="1894">
        <v>334</v>
      </c>
      <c r="AO476" s="1894">
        <v>104.39999999999999</v>
      </c>
      <c r="AP476" s="1894">
        <v>334</v>
      </c>
      <c r="AQ476" s="1894">
        <v>0.14069999999999999</v>
      </c>
      <c r="AR476" s="1894">
        <v>0</v>
      </c>
      <c r="AS476" s="1894">
        <v>22335</v>
      </c>
      <c r="AT476" s="1894">
        <f t="shared" si="193"/>
        <v>46604</v>
      </c>
      <c r="AU476" s="1894">
        <f t="shared" si="194"/>
        <v>0</v>
      </c>
      <c r="AV476" s="1894">
        <v>334</v>
      </c>
      <c r="AW476" s="1894">
        <v>85.199999999999989</v>
      </c>
      <c r="AX476" s="1894">
        <v>334</v>
      </c>
      <c r="AY476" s="1894">
        <v>0.25190000000000001</v>
      </c>
      <c r="AZ476" s="1894">
        <v>0</v>
      </c>
      <c r="BA476" s="1894">
        <v>16683</v>
      </c>
      <c r="BB476" s="1894">
        <f t="shared" si="195"/>
        <v>36806</v>
      </c>
      <c r="BC476" s="1894">
        <f t="shared" si="196"/>
        <v>0</v>
      </c>
      <c r="BD476" s="1894">
        <v>334</v>
      </c>
      <c r="BE476" s="1894">
        <v>137.28</v>
      </c>
      <c r="BF476" s="1894">
        <v>334</v>
      </c>
      <c r="BG476" s="1894">
        <v>0.35120000000000001</v>
      </c>
      <c r="BH476" s="1894">
        <v>0</v>
      </c>
      <c r="BI476" s="1894">
        <v>47523</v>
      </c>
      <c r="BJ476" s="1894">
        <f t="shared" si="197"/>
        <v>61282</v>
      </c>
      <c r="BK476" s="1894">
        <f t="shared" si="198"/>
        <v>0</v>
      </c>
      <c r="BL476" s="1894">
        <v>334</v>
      </c>
      <c r="BM476" s="1894">
        <v>139.91999999999999</v>
      </c>
      <c r="BN476" s="1894">
        <v>334</v>
      </c>
      <c r="BO476" s="1894">
        <v>0.36380000000000001</v>
      </c>
      <c r="BP476" s="1894">
        <v>0</v>
      </c>
      <c r="BQ476" s="1894">
        <v>55287</v>
      </c>
      <c r="BR476" s="1894">
        <f t="shared" si="199"/>
        <v>60445</v>
      </c>
      <c r="BS476" s="1894">
        <f t="shared" si="200"/>
        <v>0</v>
      </c>
      <c r="BT476" s="1894">
        <v>334</v>
      </c>
      <c r="BU476" s="1894">
        <v>102.72</v>
      </c>
      <c r="BV476" s="1894">
        <v>334</v>
      </c>
      <c r="BW476" s="1894">
        <v>0.18329999999999999</v>
      </c>
      <c r="BX476" s="1894">
        <v>0</v>
      </c>
      <c r="BY476" s="1894">
        <v>28860</v>
      </c>
      <c r="BZ476" s="1894">
        <f t="shared" si="201"/>
        <v>45854</v>
      </c>
      <c r="CA476" s="1894">
        <f t="shared" si="202"/>
        <v>0</v>
      </c>
      <c r="CB476" s="1894">
        <v>334</v>
      </c>
      <c r="CC476" s="1894">
        <v>48.72</v>
      </c>
      <c r="CD476" s="1894">
        <v>334</v>
      </c>
      <c r="CE476" s="1894">
        <v>0.24840000000000001</v>
      </c>
      <c r="CF476" s="1894">
        <v>0</v>
      </c>
      <c r="CG476" s="1894">
        <v>16881</v>
      </c>
      <c r="CH476" s="1894">
        <f t="shared" si="203"/>
        <v>21749</v>
      </c>
      <c r="CI476" s="1894">
        <f t="shared" si="204"/>
        <v>0</v>
      </c>
      <c r="CJ476" s="1894">
        <v>334</v>
      </c>
      <c r="CK476" s="1894">
        <v>129.36000000000001</v>
      </c>
      <c r="CL476" s="1894">
        <v>334</v>
      </c>
      <c r="CM476" s="1894">
        <v>0.47499999999999998</v>
      </c>
      <c r="CN476" s="1894">
        <v>0</v>
      </c>
      <c r="CO476" s="1894">
        <v>16923</v>
      </c>
      <c r="CP476" s="1894">
        <f t="shared" si="205"/>
        <v>52158</v>
      </c>
      <c r="CQ476" s="1894">
        <f t="shared" si="206"/>
        <v>0</v>
      </c>
      <c r="CR476" s="1924">
        <v>334</v>
      </c>
      <c r="CS476" s="1924">
        <v>175.68</v>
      </c>
      <c r="CT476" s="1924">
        <v>334</v>
      </c>
      <c r="CU476" s="1924">
        <v>0.74560000000000004</v>
      </c>
      <c r="CV476" s="1924">
        <v>0</v>
      </c>
      <c r="CW476" s="1924">
        <v>47541</v>
      </c>
      <c r="CX476" s="1894">
        <f t="shared" si="207"/>
        <v>78424</v>
      </c>
      <c r="CY476" s="1894">
        <f t="shared" si="208"/>
        <v>0</v>
      </c>
    </row>
    <row r="477" spans="1:103">
      <c r="A477" s="982">
        <v>122000000063</v>
      </c>
      <c r="B477" s="1923">
        <f t="shared" si="209"/>
        <v>471</v>
      </c>
      <c r="C477" s="1895" t="s">
        <v>3353</v>
      </c>
      <c r="D477" s="1894" t="s">
        <v>524</v>
      </c>
      <c r="E477" s="1895" t="s">
        <v>636</v>
      </c>
      <c r="F477" s="1894" t="s">
        <v>259</v>
      </c>
      <c r="G477" s="1924">
        <v>334</v>
      </c>
      <c r="H477" s="1894">
        <v>334</v>
      </c>
      <c r="I477" s="1894">
        <v>126.8</v>
      </c>
      <c r="J477" s="1894">
        <v>267.2</v>
      </c>
      <c r="K477" s="1894">
        <v>0.97330000000000005</v>
      </c>
      <c r="L477" s="1894">
        <v>32.89</v>
      </c>
      <c r="M477" s="1894">
        <v>32030</v>
      </c>
      <c r="N477" s="1894">
        <f t="shared" si="187"/>
        <v>54778</v>
      </c>
      <c r="O477" s="1894">
        <f t="shared" si="188"/>
        <v>0</v>
      </c>
      <c r="P477" s="1894">
        <v>334</v>
      </c>
      <c r="Q477" s="1894">
        <v>119.6</v>
      </c>
      <c r="R477" s="1894">
        <v>267.2</v>
      </c>
      <c r="S477" s="1894">
        <v>0.96940000000000004</v>
      </c>
      <c r="T477" s="1894">
        <v>35.31</v>
      </c>
      <c r="U477" s="1894">
        <v>31420</v>
      </c>
      <c r="V477" s="1894">
        <f t="shared" si="189"/>
        <v>53389</v>
      </c>
      <c r="W477" s="1894">
        <f t="shared" si="190"/>
        <v>0</v>
      </c>
      <c r="X477" s="1894">
        <v>334</v>
      </c>
      <c r="Y477" s="1894">
        <v>127.03999999999999</v>
      </c>
      <c r="Z477" s="1894">
        <v>267.2</v>
      </c>
      <c r="AA477" s="1894">
        <v>0.97119999999999995</v>
      </c>
      <c r="AB477" s="1894">
        <v>34.61</v>
      </c>
      <c r="AC477" s="1894">
        <v>25328</v>
      </c>
      <c r="AD477" s="1894">
        <f t="shared" si="191"/>
        <v>54881</v>
      </c>
      <c r="AE477" s="1894">
        <f t="shared" si="192"/>
        <v>0</v>
      </c>
      <c r="AF477" s="1894">
        <v>334</v>
      </c>
      <c r="AG477" s="1894">
        <v>118.88000000000001</v>
      </c>
      <c r="AH477" s="1894">
        <v>267.2</v>
      </c>
      <c r="AI477" s="1894">
        <v>0.96260000000000001</v>
      </c>
      <c r="AJ477" s="1894">
        <v>29.98</v>
      </c>
      <c r="AK477" s="1894">
        <v>31648</v>
      </c>
      <c r="AL477" s="1894">
        <f t="shared" si="185"/>
        <v>53068</v>
      </c>
      <c r="AM477" s="1894">
        <f t="shared" si="186"/>
        <v>0</v>
      </c>
      <c r="AN477" s="1894">
        <v>334</v>
      </c>
      <c r="AO477" s="1894">
        <v>17.440000000000001</v>
      </c>
      <c r="AP477" s="1894">
        <v>267.2</v>
      </c>
      <c r="AQ477" s="1894">
        <v>0.97819999999999996</v>
      </c>
      <c r="AR477" s="1894">
        <v>195.54</v>
      </c>
      <c r="AS477" s="1894">
        <v>25372</v>
      </c>
      <c r="AT477" s="1894">
        <f t="shared" si="193"/>
        <v>7785</v>
      </c>
      <c r="AU477" s="1894">
        <f t="shared" si="194"/>
        <v>17587</v>
      </c>
      <c r="AV477" s="1894">
        <v>334</v>
      </c>
      <c r="AW477" s="1894">
        <v>106.72</v>
      </c>
      <c r="AX477" s="1894">
        <v>267.2</v>
      </c>
      <c r="AY477" s="1894">
        <v>0.94730000000000003</v>
      </c>
      <c r="AZ477" s="1894">
        <v>33.090000000000003</v>
      </c>
      <c r="BA477" s="1894">
        <v>25428</v>
      </c>
      <c r="BB477" s="1894">
        <f t="shared" si="195"/>
        <v>46103</v>
      </c>
      <c r="BC477" s="1894">
        <f t="shared" si="196"/>
        <v>0</v>
      </c>
      <c r="BD477" s="1894">
        <v>334</v>
      </c>
      <c r="BE477" s="1894">
        <v>109.28</v>
      </c>
      <c r="BF477" s="1894">
        <v>267.2</v>
      </c>
      <c r="BG477" s="1894">
        <v>0.93740000000000001</v>
      </c>
      <c r="BH477" s="1894">
        <v>30.42</v>
      </c>
      <c r="BI477" s="1894">
        <v>24732</v>
      </c>
      <c r="BJ477" s="1894">
        <f t="shared" si="197"/>
        <v>48783</v>
      </c>
      <c r="BK477" s="1894">
        <f t="shared" si="198"/>
        <v>0</v>
      </c>
      <c r="BL477" s="1894">
        <v>334</v>
      </c>
      <c r="BM477" s="1894">
        <v>102.08</v>
      </c>
      <c r="BN477" s="1894">
        <v>267.2</v>
      </c>
      <c r="BO477" s="1894">
        <v>0.93110000000000004</v>
      </c>
      <c r="BP477" s="1894">
        <v>25.84</v>
      </c>
      <c r="BQ477" s="1894">
        <v>18990</v>
      </c>
      <c r="BR477" s="1894">
        <f t="shared" si="199"/>
        <v>44099</v>
      </c>
      <c r="BS477" s="1894">
        <f t="shared" si="200"/>
        <v>0</v>
      </c>
      <c r="BT477" s="1894">
        <v>334</v>
      </c>
      <c r="BU477" s="1894">
        <v>68.959999999999994</v>
      </c>
      <c r="BV477" s="1894">
        <v>267.2</v>
      </c>
      <c r="BW477" s="1894">
        <v>0.95189999999999997</v>
      </c>
      <c r="BX477" s="1894">
        <v>29.93</v>
      </c>
      <c r="BY477" s="1894">
        <v>15358</v>
      </c>
      <c r="BZ477" s="1894">
        <f t="shared" si="201"/>
        <v>30784</v>
      </c>
      <c r="CA477" s="1894">
        <f t="shared" si="202"/>
        <v>0</v>
      </c>
      <c r="CB477" s="1894">
        <v>334</v>
      </c>
      <c r="CC477" s="1894">
        <v>73.599999999999994</v>
      </c>
      <c r="CD477" s="1894">
        <v>267.2</v>
      </c>
      <c r="CE477" s="1894">
        <v>0.96830000000000005</v>
      </c>
      <c r="CF477" s="1894">
        <v>28.78</v>
      </c>
      <c r="CG477" s="1894">
        <v>15758</v>
      </c>
      <c r="CH477" s="1894">
        <f t="shared" si="203"/>
        <v>32855</v>
      </c>
      <c r="CI477" s="1894">
        <f t="shared" si="204"/>
        <v>0</v>
      </c>
      <c r="CJ477" s="1894">
        <v>334</v>
      </c>
      <c r="CK477" s="1894">
        <v>99.36</v>
      </c>
      <c r="CL477" s="1894">
        <v>267.2</v>
      </c>
      <c r="CM477" s="1894">
        <v>0.96530000000000005</v>
      </c>
      <c r="CN477" s="1894">
        <v>25.78</v>
      </c>
      <c r="CO477" s="1894">
        <v>17212</v>
      </c>
      <c r="CP477" s="1894">
        <f t="shared" si="205"/>
        <v>40062</v>
      </c>
      <c r="CQ477" s="1894">
        <f t="shared" si="206"/>
        <v>0</v>
      </c>
      <c r="CR477" s="1924">
        <v>334</v>
      </c>
      <c r="CS477" s="1924">
        <v>92.800000000000011</v>
      </c>
      <c r="CT477" s="1924">
        <v>267.2</v>
      </c>
      <c r="CU477" s="1924">
        <v>0.96079999999999999</v>
      </c>
      <c r="CV477" s="1924">
        <v>30.07</v>
      </c>
      <c r="CW477" s="1924">
        <v>20758</v>
      </c>
      <c r="CX477" s="1894">
        <f t="shared" si="207"/>
        <v>41426</v>
      </c>
      <c r="CY477" s="1894">
        <f t="shared" si="208"/>
        <v>0</v>
      </c>
    </row>
    <row r="478" spans="1:103">
      <c r="A478" s="982">
        <v>124000000060</v>
      </c>
      <c r="B478" s="1923">
        <f t="shared" si="209"/>
        <v>472</v>
      </c>
      <c r="C478" s="1895" t="s">
        <v>3354</v>
      </c>
      <c r="D478" s="1894" t="s">
        <v>524</v>
      </c>
      <c r="E478" s="1895" t="s">
        <v>737</v>
      </c>
      <c r="F478" s="1894" t="s">
        <v>259</v>
      </c>
      <c r="G478" s="1924">
        <v>334</v>
      </c>
      <c r="H478" s="1894">
        <v>334</v>
      </c>
      <c r="I478" s="1894">
        <v>135</v>
      </c>
      <c r="J478" s="1894">
        <v>267.2</v>
      </c>
      <c r="K478" s="1894">
        <v>0.98919999999999997</v>
      </c>
      <c r="L478" s="1894">
        <v>49.72</v>
      </c>
      <c r="M478" s="1894">
        <v>49938</v>
      </c>
      <c r="N478" s="1894">
        <f t="shared" si="187"/>
        <v>58320</v>
      </c>
      <c r="O478" s="1894">
        <f t="shared" si="188"/>
        <v>0</v>
      </c>
      <c r="P478" s="1894">
        <v>334</v>
      </c>
      <c r="Q478" s="1894">
        <v>135</v>
      </c>
      <c r="R478" s="1894">
        <v>267.2</v>
      </c>
      <c r="S478" s="1894">
        <v>0.99160000000000004</v>
      </c>
      <c r="T478" s="1894">
        <v>47.38</v>
      </c>
      <c r="U478" s="1894">
        <v>46053</v>
      </c>
      <c r="V478" s="1894">
        <f t="shared" si="189"/>
        <v>60264</v>
      </c>
      <c r="W478" s="1894">
        <f t="shared" si="190"/>
        <v>0</v>
      </c>
      <c r="X478" s="1894">
        <v>334</v>
      </c>
      <c r="Y478" s="1894">
        <v>133.68</v>
      </c>
      <c r="Z478" s="1894">
        <v>267.2</v>
      </c>
      <c r="AA478" s="1894">
        <v>0.99129999999999996</v>
      </c>
      <c r="AB478" s="1894">
        <v>48.01</v>
      </c>
      <c r="AC478" s="1894">
        <v>50830</v>
      </c>
      <c r="AD478" s="1894">
        <f t="shared" si="191"/>
        <v>57750</v>
      </c>
      <c r="AE478" s="1894">
        <f t="shared" si="192"/>
        <v>0</v>
      </c>
      <c r="AF478" s="1894">
        <v>334</v>
      </c>
      <c r="AG478" s="1894">
        <v>131.64000000000001</v>
      </c>
      <c r="AH478" s="1894">
        <v>267.2</v>
      </c>
      <c r="AI478" s="1894">
        <v>0.99229999999999996</v>
      </c>
      <c r="AJ478" s="1894">
        <v>55.86</v>
      </c>
      <c r="AK478" s="1894">
        <v>58242</v>
      </c>
      <c r="AL478" s="1894">
        <f t="shared" si="185"/>
        <v>58764</v>
      </c>
      <c r="AM478" s="1894">
        <f t="shared" si="186"/>
        <v>0</v>
      </c>
      <c r="AN478" s="1894">
        <v>334</v>
      </c>
      <c r="AO478" s="1894">
        <v>130.92000000000002</v>
      </c>
      <c r="AP478" s="1894">
        <v>267.2</v>
      </c>
      <c r="AQ478" s="1894">
        <v>0.99080000000000001</v>
      </c>
      <c r="AR478" s="1894">
        <v>51.79</v>
      </c>
      <c r="AS478" s="1894">
        <v>50449</v>
      </c>
      <c r="AT478" s="1894">
        <f t="shared" si="193"/>
        <v>58443</v>
      </c>
      <c r="AU478" s="1894">
        <f t="shared" si="194"/>
        <v>0</v>
      </c>
      <c r="AV478" s="1894">
        <v>334</v>
      </c>
      <c r="AW478" s="1894">
        <v>128.52000000000001</v>
      </c>
      <c r="AX478" s="1894">
        <v>267.2</v>
      </c>
      <c r="AY478" s="1894">
        <v>0.99050000000000005</v>
      </c>
      <c r="AZ478" s="1894">
        <v>50</v>
      </c>
      <c r="BA478" s="1894">
        <v>46270</v>
      </c>
      <c r="BB478" s="1894">
        <f t="shared" si="195"/>
        <v>55521</v>
      </c>
      <c r="BC478" s="1894">
        <f t="shared" si="196"/>
        <v>0</v>
      </c>
      <c r="BD478" s="1894">
        <v>334</v>
      </c>
      <c r="BE478" s="1894">
        <v>133.92000000000002</v>
      </c>
      <c r="BF478" s="1894">
        <v>267.2</v>
      </c>
      <c r="BG478" s="1894">
        <v>0.99029999999999996</v>
      </c>
      <c r="BH478" s="1894">
        <v>46.62</v>
      </c>
      <c r="BI478" s="1894">
        <v>46454</v>
      </c>
      <c r="BJ478" s="1894">
        <f t="shared" si="197"/>
        <v>59782</v>
      </c>
      <c r="BK478" s="1894">
        <f t="shared" si="198"/>
        <v>0</v>
      </c>
      <c r="BL478" s="1894">
        <v>334</v>
      </c>
      <c r="BM478" s="1894">
        <v>121.92</v>
      </c>
      <c r="BN478" s="1894">
        <v>267.2</v>
      </c>
      <c r="BO478" s="1894">
        <v>0.98699999999999999</v>
      </c>
      <c r="BP478" s="1894">
        <v>46.28</v>
      </c>
      <c r="BQ478" s="1894">
        <v>40629</v>
      </c>
      <c r="BR478" s="1894">
        <f t="shared" si="199"/>
        <v>52669</v>
      </c>
      <c r="BS478" s="1894">
        <f t="shared" si="200"/>
        <v>0</v>
      </c>
      <c r="BT478" s="1894">
        <v>334</v>
      </c>
      <c r="BU478" s="1894">
        <v>121.08</v>
      </c>
      <c r="BV478" s="1894">
        <v>267.2</v>
      </c>
      <c r="BW478" s="1894">
        <v>0.98340000000000005</v>
      </c>
      <c r="BX478" s="1894">
        <v>42.63</v>
      </c>
      <c r="BY478" s="1894">
        <v>38399</v>
      </c>
      <c r="BZ478" s="1894">
        <f t="shared" si="201"/>
        <v>54050</v>
      </c>
      <c r="CA478" s="1894">
        <f t="shared" si="202"/>
        <v>0</v>
      </c>
      <c r="CB478" s="1894">
        <v>334</v>
      </c>
      <c r="CC478" s="1894">
        <v>112.44000000000001</v>
      </c>
      <c r="CD478" s="1894">
        <v>267.2</v>
      </c>
      <c r="CE478" s="1894">
        <v>0.98429999999999995</v>
      </c>
      <c r="CF478" s="1894">
        <v>46.04</v>
      </c>
      <c r="CG478" s="1894">
        <v>38514</v>
      </c>
      <c r="CH478" s="1894">
        <f t="shared" si="203"/>
        <v>50193</v>
      </c>
      <c r="CI478" s="1894">
        <f t="shared" si="204"/>
        <v>0</v>
      </c>
      <c r="CJ478" s="1894">
        <v>334</v>
      </c>
      <c r="CK478" s="1894">
        <v>120.48</v>
      </c>
      <c r="CL478" s="1894">
        <v>267.2</v>
      </c>
      <c r="CM478" s="1894">
        <v>0.99099999999999999</v>
      </c>
      <c r="CN478" s="1894">
        <v>51.6</v>
      </c>
      <c r="CO478" s="1894">
        <v>41773</v>
      </c>
      <c r="CP478" s="1894">
        <f t="shared" si="205"/>
        <v>48578</v>
      </c>
      <c r="CQ478" s="1894">
        <f t="shared" si="206"/>
        <v>0</v>
      </c>
      <c r="CR478" s="1924">
        <v>334</v>
      </c>
      <c r="CS478" s="1924">
        <v>133.92000000000002</v>
      </c>
      <c r="CT478" s="1924">
        <v>267.2</v>
      </c>
      <c r="CU478" s="1924">
        <v>0.99529999999999996</v>
      </c>
      <c r="CV478" s="1924">
        <v>51.97</v>
      </c>
      <c r="CW478" s="1924">
        <v>51783</v>
      </c>
      <c r="CX478" s="1894">
        <f t="shared" si="207"/>
        <v>59782</v>
      </c>
      <c r="CY478" s="1894">
        <f t="shared" si="208"/>
        <v>0</v>
      </c>
    </row>
    <row r="479" spans="1:103">
      <c r="A479" s="982">
        <v>123000000008</v>
      </c>
      <c r="B479" s="1923">
        <f t="shared" si="209"/>
        <v>473</v>
      </c>
      <c r="C479" s="1895" t="s">
        <v>3355</v>
      </c>
      <c r="D479" s="1894" t="s">
        <v>524</v>
      </c>
      <c r="E479" s="1895" t="s">
        <v>541</v>
      </c>
      <c r="F479" s="1894" t="s">
        <v>259</v>
      </c>
      <c r="G479" s="1924">
        <v>335</v>
      </c>
      <c r="H479" s="1894">
        <v>335</v>
      </c>
      <c r="I479" s="1894">
        <v>466.4</v>
      </c>
      <c r="J479" s="1894">
        <v>466.4</v>
      </c>
      <c r="K479" s="1894">
        <v>0.96299999999999997</v>
      </c>
      <c r="L479" s="1894">
        <v>47</v>
      </c>
      <c r="M479" s="1894">
        <v>163074</v>
      </c>
      <c r="N479" s="1894">
        <f t="shared" si="187"/>
        <v>201485</v>
      </c>
      <c r="O479" s="1894">
        <f t="shared" si="188"/>
        <v>0</v>
      </c>
      <c r="P479" s="1894">
        <v>335</v>
      </c>
      <c r="Q479" s="1894">
        <v>534.4</v>
      </c>
      <c r="R479" s="1894">
        <v>534.4</v>
      </c>
      <c r="S479" s="1894">
        <v>0.96309999999999996</v>
      </c>
      <c r="T479" s="1894">
        <v>41.29</v>
      </c>
      <c r="U479" s="1894">
        <v>180064</v>
      </c>
      <c r="V479" s="1894">
        <f t="shared" si="189"/>
        <v>238556</v>
      </c>
      <c r="W479" s="1894">
        <f t="shared" si="190"/>
        <v>0</v>
      </c>
      <c r="X479" s="1894">
        <v>335</v>
      </c>
      <c r="Y479" s="1894">
        <v>480.15999999999997</v>
      </c>
      <c r="Z479" s="1894">
        <v>480.16</v>
      </c>
      <c r="AA479" s="1894">
        <v>0.96240000000000003</v>
      </c>
      <c r="AB479" s="1894">
        <v>44.88</v>
      </c>
      <c r="AC479" s="1894">
        <v>155162</v>
      </c>
      <c r="AD479" s="1894">
        <f t="shared" si="191"/>
        <v>207429</v>
      </c>
      <c r="AE479" s="1894">
        <f t="shared" si="192"/>
        <v>0</v>
      </c>
      <c r="AF479" s="1894">
        <v>335</v>
      </c>
      <c r="AG479" s="1894">
        <v>526.72</v>
      </c>
      <c r="AH479" s="1894">
        <v>526.72</v>
      </c>
      <c r="AI479" s="1894">
        <v>0.95909999999999995</v>
      </c>
      <c r="AJ479" s="1894">
        <v>40.549999999999997</v>
      </c>
      <c r="AK479" s="1894">
        <v>158894</v>
      </c>
      <c r="AL479" s="1894">
        <f t="shared" si="185"/>
        <v>235128</v>
      </c>
      <c r="AM479" s="1894">
        <f t="shared" si="186"/>
        <v>0</v>
      </c>
      <c r="AN479" s="1894">
        <v>335</v>
      </c>
      <c r="AO479" s="1894">
        <v>482.72</v>
      </c>
      <c r="AP479" s="1894">
        <v>482.72</v>
      </c>
      <c r="AQ479" s="1894">
        <v>0.95609999999999995</v>
      </c>
      <c r="AR479" s="1894">
        <v>45.18</v>
      </c>
      <c r="AS479" s="1894">
        <v>162288</v>
      </c>
      <c r="AT479" s="1894">
        <f t="shared" si="193"/>
        <v>215486</v>
      </c>
      <c r="AU479" s="1894">
        <f t="shared" si="194"/>
        <v>0</v>
      </c>
      <c r="AV479" s="1894">
        <v>335</v>
      </c>
      <c r="AW479" s="1894">
        <v>476.48</v>
      </c>
      <c r="AX479" s="1894">
        <v>476.48</v>
      </c>
      <c r="AY479" s="1894">
        <v>0.93569999999999998</v>
      </c>
      <c r="AZ479" s="1894">
        <v>43.48</v>
      </c>
      <c r="BA479" s="1894">
        <v>149230</v>
      </c>
      <c r="BB479" s="1894">
        <f t="shared" si="195"/>
        <v>205839</v>
      </c>
      <c r="BC479" s="1894">
        <f t="shared" si="196"/>
        <v>0</v>
      </c>
      <c r="BD479" s="1894">
        <v>335</v>
      </c>
      <c r="BE479" s="1894">
        <v>482.55999999999995</v>
      </c>
      <c r="BF479" s="1894">
        <v>482.56</v>
      </c>
      <c r="BG479" s="1894">
        <v>0.93810000000000004</v>
      </c>
      <c r="BH479" s="1894">
        <v>38.700000000000003</v>
      </c>
      <c r="BI479" s="1894">
        <v>138936.0716</v>
      </c>
      <c r="BJ479" s="1894">
        <f t="shared" si="197"/>
        <v>215415</v>
      </c>
      <c r="BK479" s="1894">
        <f t="shared" si="198"/>
        <v>0</v>
      </c>
      <c r="BL479" s="1894">
        <v>335</v>
      </c>
      <c r="BM479" s="1894">
        <v>509.6</v>
      </c>
      <c r="BN479" s="1894">
        <v>509.6</v>
      </c>
      <c r="BO479" s="1894">
        <v>0.97130000000000005</v>
      </c>
      <c r="BP479" s="1894">
        <v>41.73</v>
      </c>
      <c r="BQ479" s="1894">
        <v>153118.1588</v>
      </c>
      <c r="BR479" s="1894">
        <f t="shared" si="199"/>
        <v>220147</v>
      </c>
      <c r="BS479" s="1894">
        <f t="shared" si="200"/>
        <v>0</v>
      </c>
      <c r="BT479" s="1894">
        <v>335</v>
      </c>
      <c r="BU479" s="1894">
        <v>477.44</v>
      </c>
      <c r="BV479" s="1894">
        <v>477.44</v>
      </c>
      <c r="BW479" s="1894">
        <v>0.97150000000000003</v>
      </c>
      <c r="BX479" s="1894">
        <v>42.18</v>
      </c>
      <c r="BY479" s="1894">
        <v>149817</v>
      </c>
      <c r="BZ479" s="1894">
        <f t="shared" si="201"/>
        <v>213129</v>
      </c>
      <c r="CA479" s="1894">
        <f t="shared" si="202"/>
        <v>0</v>
      </c>
      <c r="CB479" s="1894">
        <v>335</v>
      </c>
      <c r="CC479" s="1894">
        <v>430.08</v>
      </c>
      <c r="CD479" s="1894">
        <v>430.08</v>
      </c>
      <c r="CE479" s="1894">
        <v>0.98399999999999999</v>
      </c>
      <c r="CF479" s="1894">
        <v>40.74</v>
      </c>
      <c r="CG479" s="1894">
        <v>130364</v>
      </c>
      <c r="CH479" s="1894">
        <f t="shared" si="203"/>
        <v>191988</v>
      </c>
      <c r="CI479" s="1894">
        <f t="shared" si="204"/>
        <v>0</v>
      </c>
      <c r="CJ479" s="1894">
        <v>335</v>
      </c>
      <c r="CK479" s="1894">
        <v>490.24</v>
      </c>
      <c r="CL479" s="1894">
        <v>490.24</v>
      </c>
      <c r="CM479" s="1894">
        <v>0.97989999999999999</v>
      </c>
      <c r="CN479" s="1894">
        <v>44.66</v>
      </c>
      <c r="CO479" s="1894">
        <v>147120</v>
      </c>
      <c r="CP479" s="1894">
        <f t="shared" si="205"/>
        <v>197665</v>
      </c>
      <c r="CQ479" s="1894">
        <f t="shared" si="206"/>
        <v>0</v>
      </c>
      <c r="CR479" s="1924">
        <v>335</v>
      </c>
      <c r="CS479" s="1924">
        <v>476.64</v>
      </c>
      <c r="CT479" s="1924">
        <v>476.64</v>
      </c>
      <c r="CU479" s="1924">
        <v>0.97860000000000003</v>
      </c>
      <c r="CV479" s="1924">
        <v>44.66</v>
      </c>
      <c r="CW479" s="1924">
        <v>158381.34710000001</v>
      </c>
      <c r="CX479" s="1894">
        <f t="shared" si="207"/>
        <v>212772</v>
      </c>
      <c r="CY479" s="1894">
        <f t="shared" si="208"/>
        <v>0</v>
      </c>
    </row>
    <row r="480" spans="1:103">
      <c r="A480" s="982">
        <v>622000000146</v>
      </c>
      <c r="B480" s="1923">
        <f t="shared" si="209"/>
        <v>474</v>
      </c>
      <c r="C480" s="1895" t="s">
        <v>3356</v>
      </c>
      <c r="D480" s="1894" t="s">
        <v>524</v>
      </c>
      <c r="E480" s="1895" t="s">
        <v>730</v>
      </c>
      <c r="F480" s="1894" t="s">
        <v>259</v>
      </c>
      <c r="G480" s="1924">
        <v>341</v>
      </c>
      <c r="H480" s="1894">
        <v>341</v>
      </c>
      <c r="I480" s="1894">
        <v>113</v>
      </c>
      <c r="J480" s="1894">
        <v>272.8</v>
      </c>
      <c r="K480" s="1894">
        <v>0.877</v>
      </c>
      <c r="L480" s="1894">
        <v>21.72</v>
      </c>
      <c r="M480" s="1894">
        <v>17080</v>
      </c>
      <c r="N480" s="1894">
        <f t="shared" si="187"/>
        <v>48816</v>
      </c>
      <c r="O480" s="1894">
        <f t="shared" si="188"/>
        <v>0</v>
      </c>
      <c r="P480" s="1894">
        <v>341</v>
      </c>
      <c r="Q480" s="1894">
        <v>105</v>
      </c>
      <c r="R480" s="1894">
        <v>272.8</v>
      </c>
      <c r="S480" s="1894">
        <v>0.87590000000000001</v>
      </c>
      <c r="T480" s="1894">
        <v>23.21</v>
      </c>
      <c r="U480" s="1894">
        <v>15795</v>
      </c>
      <c r="V480" s="1894">
        <f t="shared" si="189"/>
        <v>46872</v>
      </c>
      <c r="W480" s="1894">
        <f t="shared" si="190"/>
        <v>0</v>
      </c>
      <c r="X480" s="1894">
        <v>341</v>
      </c>
      <c r="Y480" s="1894">
        <v>99</v>
      </c>
      <c r="Z480" s="1894">
        <v>272.8</v>
      </c>
      <c r="AA480" s="1894">
        <v>0.87519999999999998</v>
      </c>
      <c r="AB480" s="1894">
        <v>25.5</v>
      </c>
      <c r="AC480" s="1894">
        <v>21205</v>
      </c>
      <c r="AD480" s="1894">
        <f t="shared" si="191"/>
        <v>42768</v>
      </c>
      <c r="AE480" s="1894">
        <f t="shared" si="192"/>
        <v>0</v>
      </c>
      <c r="AF480" s="1894">
        <v>341</v>
      </c>
      <c r="AG480" s="1894">
        <v>103</v>
      </c>
      <c r="AH480" s="1894">
        <v>272.8</v>
      </c>
      <c r="AI480" s="1894">
        <v>0.9083</v>
      </c>
      <c r="AJ480" s="1894">
        <v>24.21</v>
      </c>
      <c r="AK480" s="1894">
        <v>19750</v>
      </c>
      <c r="AL480" s="1894">
        <f t="shared" si="185"/>
        <v>45979</v>
      </c>
      <c r="AM480" s="1894">
        <f t="shared" si="186"/>
        <v>0</v>
      </c>
      <c r="AN480" s="1894">
        <v>341</v>
      </c>
      <c r="AO480" s="1894">
        <v>101</v>
      </c>
      <c r="AP480" s="1894">
        <v>272.8</v>
      </c>
      <c r="AQ480" s="1894">
        <v>0.8407</v>
      </c>
      <c r="AR480" s="1894">
        <v>22.35</v>
      </c>
      <c r="AS480" s="1894">
        <v>16795</v>
      </c>
      <c r="AT480" s="1894">
        <f t="shared" si="193"/>
        <v>45086</v>
      </c>
      <c r="AU480" s="1894">
        <f t="shared" si="194"/>
        <v>0</v>
      </c>
      <c r="AV480" s="1894">
        <v>341</v>
      </c>
      <c r="AW480" s="1894">
        <v>116</v>
      </c>
      <c r="AX480" s="1894">
        <v>272.8</v>
      </c>
      <c r="AY480" s="1894">
        <v>0.81430000000000002</v>
      </c>
      <c r="AZ480" s="1894">
        <v>21.75</v>
      </c>
      <c r="BA480" s="1894">
        <v>17228</v>
      </c>
      <c r="BB480" s="1894">
        <f t="shared" si="195"/>
        <v>50112</v>
      </c>
      <c r="BC480" s="1894">
        <f t="shared" si="196"/>
        <v>0</v>
      </c>
      <c r="BD480" s="1894">
        <v>341</v>
      </c>
      <c r="BE480" s="1894">
        <v>115.4</v>
      </c>
      <c r="BF480" s="1894">
        <v>272.8</v>
      </c>
      <c r="BG480" s="1894">
        <v>0.87590000000000001</v>
      </c>
      <c r="BH480" s="1894">
        <v>27.71</v>
      </c>
      <c r="BI480" s="1894">
        <v>23792</v>
      </c>
      <c r="BJ480" s="1894">
        <f t="shared" si="197"/>
        <v>51515</v>
      </c>
      <c r="BK480" s="1894">
        <f t="shared" si="198"/>
        <v>0</v>
      </c>
      <c r="BL480" s="1894">
        <v>341</v>
      </c>
      <c r="BM480" s="1894">
        <v>114.4</v>
      </c>
      <c r="BN480" s="1894">
        <v>272.8</v>
      </c>
      <c r="BO480" s="1894">
        <v>0.876</v>
      </c>
      <c r="BP480" s="1894">
        <v>32.03</v>
      </c>
      <c r="BQ480" s="1894">
        <v>22863</v>
      </c>
      <c r="BR480" s="1894">
        <f t="shared" si="199"/>
        <v>49421</v>
      </c>
      <c r="BS480" s="1894">
        <f t="shared" si="200"/>
        <v>0</v>
      </c>
      <c r="BT480" s="1894">
        <v>341</v>
      </c>
      <c r="BU480" s="1894">
        <v>114.6</v>
      </c>
      <c r="BV480" s="1894">
        <v>272.8</v>
      </c>
      <c r="BW480" s="1894">
        <v>0.87070000000000003</v>
      </c>
      <c r="BX480" s="1894">
        <v>28.16</v>
      </c>
      <c r="BY480" s="1894">
        <v>25563</v>
      </c>
      <c r="BZ480" s="1894">
        <f t="shared" si="201"/>
        <v>51157</v>
      </c>
      <c r="CA480" s="1894">
        <f t="shared" si="202"/>
        <v>0</v>
      </c>
      <c r="CB480" s="1894">
        <v>341</v>
      </c>
      <c r="CC480" s="1894">
        <v>113.8</v>
      </c>
      <c r="CD480" s="1894">
        <v>272.8</v>
      </c>
      <c r="CE480" s="1894">
        <v>0.86150000000000004</v>
      </c>
      <c r="CF480" s="1894">
        <v>26.84</v>
      </c>
      <c r="CG480" s="1894">
        <v>24188</v>
      </c>
      <c r="CH480" s="1894">
        <f t="shared" si="203"/>
        <v>50800</v>
      </c>
      <c r="CI480" s="1894">
        <f t="shared" si="204"/>
        <v>0</v>
      </c>
      <c r="CJ480" s="1894">
        <v>341</v>
      </c>
      <c r="CK480" s="1894">
        <v>121.80000000000001</v>
      </c>
      <c r="CL480" s="1894">
        <v>272.8</v>
      </c>
      <c r="CM480" s="1894">
        <v>0.8599</v>
      </c>
      <c r="CN480" s="1894">
        <v>30.31</v>
      </c>
      <c r="CO480" s="1894">
        <v>25695</v>
      </c>
      <c r="CP480" s="1894">
        <f t="shared" si="205"/>
        <v>49110</v>
      </c>
      <c r="CQ480" s="1894">
        <f t="shared" si="206"/>
        <v>0</v>
      </c>
      <c r="CR480" s="1924">
        <v>341</v>
      </c>
      <c r="CS480" s="1924">
        <v>114.8</v>
      </c>
      <c r="CT480" s="1924">
        <v>272.8</v>
      </c>
      <c r="CU480" s="1924">
        <v>0.86729999999999996</v>
      </c>
      <c r="CV480" s="1924">
        <v>35.32</v>
      </c>
      <c r="CW480" s="1924">
        <v>25305</v>
      </c>
      <c r="CX480" s="1894">
        <f t="shared" si="207"/>
        <v>51247</v>
      </c>
      <c r="CY480" s="1894">
        <f t="shared" si="208"/>
        <v>0</v>
      </c>
    </row>
    <row r="481" spans="1:103">
      <c r="A481" s="982">
        <v>123000000119</v>
      </c>
      <c r="B481" s="1923">
        <f t="shared" si="209"/>
        <v>475</v>
      </c>
      <c r="C481" s="1895" t="s">
        <v>3357</v>
      </c>
      <c r="D481" s="1894" t="s">
        <v>524</v>
      </c>
      <c r="E481" s="1895" t="s">
        <v>541</v>
      </c>
      <c r="F481" s="1894" t="s">
        <v>259</v>
      </c>
      <c r="G481" s="1924">
        <v>345</v>
      </c>
      <c r="H481" s="1894">
        <v>156</v>
      </c>
      <c r="I481" s="1894">
        <v>296.64</v>
      </c>
      <c r="J481" s="1894">
        <v>296.64</v>
      </c>
      <c r="K481" s="1894">
        <v>0.93079999999999996</v>
      </c>
      <c r="L481" s="1894">
        <v>49.93</v>
      </c>
      <c r="M481" s="1894">
        <v>106643</v>
      </c>
      <c r="N481" s="1894">
        <f t="shared" si="187"/>
        <v>128148</v>
      </c>
      <c r="O481" s="1894">
        <f t="shared" si="188"/>
        <v>0</v>
      </c>
      <c r="P481" s="1894">
        <v>156</v>
      </c>
      <c r="Q481" s="1894">
        <v>326.95999999999998</v>
      </c>
      <c r="R481" s="1894">
        <v>326.95999999999998</v>
      </c>
      <c r="S481" s="1894">
        <v>0.94140000000000001</v>
      </c>
      <c r="T481" s="1894">
        <v>46.93</v>
      </c>
      <c r="U481" s="1894">
        <v>114165</v>
      </c>
      <c r="V481" s="1894">
        <f t="shared" si="189"/>
        <v>145955</v>
      </c>
      <c r="W481" s="1894">
        <f t="shared" si="190"/>
        <v>0</v>
      </c>
      <c r="X481" s="1894">
        <v>156</v>
      </c>
      <c r="Y481" s="1894">
        <v>346.32</v>
      </c>
      <c r="Z481" s="1894">
        <v>346.32</v>
      </c>
      <c r="AA481" s="1894">
        <v>0.94369999999999998</v>
      </c>
      <c r="AB481" s="1894">
        <v>48.44</v>
      </c>
      <c r="AC481" s="1894">
        <v>120776</v>
      </c>
      <c r="AD481" s="1894">
        <f t="shared" si="191"/>
        <v>149610</v>
      </c>
      <c r="AE481" s="1894">
        <f t="shared" si="192"/>
        <v>0</v>
      </c>
      <c r="AF481" s="1894">
        <v>156</v>
      </c>
      <c r="AG481" s="1894">
        <v>250.72</v>
      </c>
      <c r="AH481" s="1894">
        <v>250.72</v>
      </c>
      <c r="AI481" s="1894">
        <v>0.90490000000000004</v>
      </c>
      <c r="AJ481" s="1894">
        <v>49.69</v>
      </c>
      <c r="AK481" s="1894">
        <v>92682</v>
      </c>
      <c r="AL481" s="1894">
        <f t="shared" si="185"/>
        <v>111921</v>
      </c>
      <c r="AM481" s="1894">
        <f t="shared" si="186"/>
        <v>0</v>
      </c>
      <c r="AN481" s="1894">
        <v>156</v>
      </c>
      <c r="AO481" s="1894">
        <v>225.04</v>
      </c>
      <c r="AP481" s="1894">
        <v>225.04</v>
      </c>
      <c r="AQ481" s="1894">
        <v>0.88929999999999998</v>
      </c>
      <c r="AR481" s="1894">
        <v>36.479999999999997</v>
      </c>
      <c r="AS481" s="1894">
        <v>61082</v>
      </c>
      <c r="AT481" s="1894">
        <f t="shared" si="193"/>
        <v>100458</v>
      </c>
      <c r="AU481" s="1894">
        <f t="shared" si="194"/>
        <v>0</v>
      </c>
      <c r="AV481" s="1894">
        <v>156</v>
      </c>
      <c r="AW481" s="1894">
        <v>197.84</v>
      </c>
      <c r="AX481" s="1894">
        <v>197.84</v>
      </c>
      <c r="AY481" s="1894">
        <v>0.9113</v>
      </c>
      <c r="AZ481" s="1894">
        <v>42.68</v>
      </c>
      <c r="BA481" s="1894">
        <v>60801</v>
      </c>
      <c r="BB481" s="1894">
        <f t="shared" si="195"/>
        <v>85467</v>
      </c>
      <c r="BC481" s="1894">
        <f t="shared" si="196"/>
        <v>0</v>
      </c>
      <c r="BD481" s="1894">
        <v>345</v>
      </c>
      <c r="BE481" s="1894">
        <v>690</v>
      </c>
      <c r="BF481" s="1894">
        <v>276</v>
      </c>
      <c r="BG481" s="1894">
        <v>0.92479999999999996</v>
      </c>
      <c r="BH481" s="1894">
        <v>553.12</v>
      </c>
      <c r="BI481" s="1894">
        <v>88889</v>
      </c>
      <c r="BJ481" s="1894">
        <f t="shared" si="197"/>
        <v>308016</v>
      </c>
      <c r="BK481" s="1894">
        <f t="shared" si="198"/>
        <v>0</v>
      </c>
      <c r="BL481" s="1894">
        <v>345</v>
      </c>
      <c r="BM481" s="1894">
        <v>309.60000000000002</v>
      </c>
      <c r="BN481" s="1894">
        <v>309.60000000000002</v>
      </c>
      <c r="BO481" s="1894">
        <v>0.93379999999999996</v>
      </c>
      <c r="BP481" s="1894">
        <v>51.45</v>
      </c>
      <c r="BQ481" s="1894">
        <v>114696</v>
      </c>
      <c r="BR481" s="1894">
        <f t="shared" si="199"/>
        <v>133747</v>
      </c>
      <c r="BS481" s="1894">
        <f t="shared" si="200"/>
        <v>0</v>
      </c>
      <c r="BT481" s="1894">
        <v>345</v>
      </c>
      <c r="BU481" s="1894">
        <v>281.27999999999997</v>
      </c>
      <c r="BV481" s="1894">
        <v>281.27999999999997</v>
      </c>
      <c r="BW481" s="1894">
        <v>0.92989999999999995</v>
      </c>
      <c r="BX481" s="1894">
        <v>48.13</v>
      </c>
      <c r="BY481" s="1894">
        <v>100722</v>
      </c>
      <c r="BZ481" s="1894">
        <f t="shared" si="201"/>
        <v>125563</v>
      </c>
      <c r="CA481" s="1894">
        <f t="shared" si="202"/>
        <v>0</v>
      </c>
      <c r="CB481" s="1894">
        <v>345</v>
      </c>
      <c r="CC481" s="1894">
        <v>356.4</v>
      </c>
      <c r="CD481" s="1894">
        <v>356.4</v>
      </c>
      <c r="CE481" s="1894">
        <v>0.93320000000000003</v>
      </c>
      <c r="CF481" s="1894">
        <v>45.76</v>
      </c>
      <c r="CG481" s="1894">
        <v>121341</v>
      </c>
      <c r="CH481" s="1894">
        <f t="shared" si="203"/>
        <v>159097</v>
      </c>
      <c r="CI481" s="1894">
        <f t="shared" si="204"/>
        <v>0</v>
      </c>
      <c r="CJ481" s="1894">
        <v>345</v>
      </c>
      <c r="CK481" s="1894">
        <v>388.55999999999995</v>
      </c>
      <c r="CL481" s="1894">
        <v>388.56</v>
      </c>
      <c r="CM481" s="1894">
        <v>0.9325</v>
      </c>
      <c r="CN481" s="1894">
        <v>54.05</v>
      </c>
      <c r="CO481" s="1894">
        <v>141144</v>
      </c>
      <c r="CP481" s="1894">
        <f t="shared" si="205"/>
        <v>156667</v>
      </c>
      <c r="CQ481" s="1894">
        <f t="shared" si="206"/>
        <v>0</v>
      </c>
      <c r="CR481" s="1924">
        <v>345</v>
      </c>
      <c r="CS481" s="1924">
        <v>387.84</v>
      </c>
      <c r="CT481" s="1924">
        <v>387.84</v>
      </c>
      <c r="CU481" s="1924">
        <v>0.93799999999999994</v>
      </c>
      <c r="CV481" s="1924">
        <v>54.49</v>
      </c>
      <c r="CW481" s="1924">
        <v>157233</v>
      </c>
      <c r="CX481" s="1894">
        <f t="shared" si="207"/>
        <v>173132</v>
      </c>
      <c r="CY481" s="1894">
        <f t="shared" si="208"/>
        <v>0</v>
      </c>
    </row>
    <row r="482" spans="1:103">
      <c r="A482" s="982">
        <v>125000000011</v>
      </c>
      <c r="B482" s="1923">
        <f t="shared" si="209"/>
        <v>476</v>
      </c>
      <c r="C482" s="1895" t="s">
        <v>3358</v>
      </c>
      <c r="D482" s="1894" t="s">
        <v>524</v>
      </c>
      <c r="E482" s="1895" t="s">
        <v>541</v>
      </c>
      <c r="F482" s="1894" t="s">
        <v>259</v>
      </c>
      <c r="G482" s="1924">
        <v>349</v>
      </c>
      <c r="H482" s="1894">
        <v>349</v>
      </c>
      <c r="I482" s="1894">
        <v>246</v>
      </c>
      <c r="J482" s="1894">
        <v>279.2</v>
      </c>
      <c r="K482" s="1894">
        <v>0.99419999999999997</v>
      </c>
      <c r="L482" s="1894">
        <v>57.05</v>
      </c>
      <c r="M482" s="1894">
        <v>101040</v>
      </c>
      <c r="N482" s="1894">
        <f t="shared" si="187"/>
        <v>106272</v>
      </c>
      <c r="O482" s="1894">
        <f t="shared" si="188"/>
        <v>0</v>
      </c>
      <c r="P482" s="1894">
        <v>349</v>
      </c>
      <c r="Q482" s="1894">
        <v>290</v>
      </c>
      <c r="R482" s="1894">
        <v>290</v>
      </c>
      <c r="S482" s="1894">
        <v>0.99029999999999996</v>
      </c>
      <c r="T482" s="1894">
        <v>48.25</v>
      </c>
      <c r="U482" s="1894">
        <v>94030</v>
      </c>
      <c r="V482" s="1894">
        <f t="shared" si="189"/>
        <v>129456</v>
      </c>
      <c r="W482" s="1894">
        <f t="shared" si="190"/>
        <v>0</v>
      </c>
      <c r="X482" s="1894">
        <v>349</v>
      </c>
      <c r="Y482" s="1894">
        <v>280.39999999999998</v>
      </c>
      <c r="Z482" s="1894">
        <v>280.39999999999998</v>
      </c>
      <c r="AA482" s="1894">
        <v>0.96260000000000001</v>
      </c>
      <c r="AB482" s="1894">
        <v>47.84</v>
      </c>
      <c r="AC482" s="1894">
        <v>99795</v>
      </c>
      <c r="AD482" s="1894">
        <f t="shared" si="191"/>
        <v>121133</v>
      </c>
      <c r="AE482" s="1894">
        <f t="shared" si="192"/>
        <v>0</v>
      </c>
      <c r="AF482" s="1894">
        <v>349</v>
      </c>
      <c r="AG482" s="1894">
        <v>282.8</v>
      </c>
      <c r="AH482" s="1894">
        <v>282.8</v>
      </c>
      <c r="AI482" s="1894">
        <v>0.90010000000000001</v>
      </c>
      <c r="AJ482" s="1894">
        <v>46.34</v>
      </c>
      <c r="AK482" s="1894">
        <v>88065</v>
      </c>
      <c r="AL482" s="1894">
        <f t="shared" si="185"/>
        <v>126242</v>
      </c>
      <c r="AM482" s="1894">
        <f t="shared" si="186"/>
        <v>0</v>
      </c>
      <c r="AN482" s="1894">
        <v>349</v>
      </c>
      <c r="AO482" s="1894">
        <v>284.8</v>
      </c>
      <c r="AP482" s="1894">
        <v>284.8</v>
      </c>
      <c r="AQ482" s="1894">
        <v>0.87760000000000005</v>
      </c>
      <c r="AR482" s="1894">
        <v>30.8</v>
      </c>
      <c r="AS482" s="1894">
        <v>63155</v>
      </c>
      <c r="AT482" s="1894">
        <f t="shared" si="193"/>
        <v>127135</v>
      </c>
      <c r="AU482" s="1894">
        <f t="shared" si="194"/>
        <v>0</v>
      </c>
      <c r="AV482" s="1894">
        <v>349</v>
      </c>
      <c r="AW482" s="1894">
        <v>235.6</v>
      </c>
      <c r="AX482" s="1894">
        <v>279.2</v>
      </c>
      <c r="AY482" s="1894">
        <v>0.93169999999999997</v>
      </c>
      <c r="AZ482" s="1894">
        <v>42.06</v>
      </c>
      <c r="BA482" s="1894">
        <v>73725</v>
      </c>
      <c r="BB482" s="1894">
        <f t="shared" si="195"/>
        <v>101779</v>
      </c>
      <c r="BC482" s="1894">
        <f t="shared" si="196"/>
        <v>0</v>
      </c>
      <c r="BD482" s="1894">
        <v>349</v>
      </c>
      <c r="BE482" s="1894">
        <v>218.79999999999998</v>
      </c>
      <c r="BF482" s="1894">
        <v>279.2</v>
      </c>
      <c r="BG482" s="1894">
        <v>0.96889999999999998</v>
      </c>
      <c r="BH482" s="1894">
        <v>25.94</v>
      </c>
      <c r="BI482" s="1894">
        <v>49040</v>
      </c>
      <c r="BJ482" s="1894">
        <f t="shared" si="197"/>
        <v>97672</v>
      </c>
      <c r="BK482" s="1894">
        <f t="shared" si="198"/>
        <v>0</v>
      </c>
      <c r="BL482" s="1894">
        <v>349</v>
      </c>
      <c r="BM482" s="1894">
        <v>173.6</v>
      </c>
      <c r="BN482" s="1894">
        <v>279.2</v>
      </c>
      <c r="BO482" s="1894">
        <v>0.95299999999999996</v>
      </c>
      <c r="BP482" s="1894">
        <v>40.32</v>
      </c>
      <c r="BQ482" s="1894">
        <v>50395</v>
      </c>
      <c r="BR482" s="1894">
        <f t="shared" si="199"/>
        <v>74995</v>
      </c>
      <c r="BS482" s="1894">
        <f t="shared" si="200"/>
        <v>0</v>
      </c>
      <c r="BT482" s="1894">
        <v>349</v>
      </c>
      <c r="BU482" s="1894">
        <v>285.60000000000002</v>
      </c>
      <c r="BV482" s="1894">
        <v>285.60000000000002</v>
      </c>
      <c r="BW482" s="1894">
        <v>0.94869999999999999</v>
      </c>
      <c r="BX482" s="1894">
        <v>36.479999999999997</v>
      </c>
      <c r="BY482" s="1894">
        <v>77515</v>
      </c>
      <c r="BZ482" s="1894">
        <f t="shared" si="201"/>
        <v>127492</v>
      </c>
      <c r="CA482" s="1894">
        <f t="shared" si="202"/>
        <v>0</v>
      </c>
      <c r="CB482" s="1894">
        <v>349</v>
      </c>
      <c r="CC482" s="1894">
        <v>294</v>
      </c>
      <c r="CD482" s="1894">
        <v>294</v>
      </c>
      <c r="CE482" s="1894">
        <v>0.92600000000000005</v>
      </c>
      <c r="CF482" s="1894">
        <v>51.83</v>
      </c>
      <c r="CG482" s="1894">
        <v>113380</v>
      </c>
      <c r="CH482" s="1894">
        <f t="shared" si="203"/>
        <v>131242</v>
      </c>
      <c r="CI482" s="1894">
        <f t="shared" si="204"/>
        <v>0</v>
      </c>
      <c r="CJ482" s="1894">
        <v>349</v>
      </c>
      <c r="CK482" s="1894">
        <v>284.8</v>
      </c>
      <c r="CL482" s="1894">
        <v>284.8</v>
      </c>
      <c r="CM482" s="1894">
        <v>0.93610000000000004</v>
      </c>
      <c r="CN482" s="1894">
        <v>51.3</v>
      </c>
      <c r="CO482" s="1894">
        <v>98175</v>
      </c>
      <c r="CP482" s="1894">
        <f t="shared" si="205"/>
        <v>114831</v>
      </c>
      <c r="CQ482" s="1894">
        <f t="shared" si="206"/>
        <v>0</v>
      </c>
      <c r="CR482" s="1924">
        <v>349</v>
      </c>
      <c r="CS482" s="1924">
        <v>282.8</v>
      </c>
      <c r="CT482" s="1924">
        <v>282.8</v>
      </c>
      <c r="CU482" s="1924">
        <v>0.9526</v>
      </c>
      <c r="CV482" s="1924">
        <v>53.44</v>
      </c>
      <c r="CW482" s="1924">
        <v>112440</v>
      </c>
      <c r="CX482" s="1894">
        <f t="shared" si="207"/>
        <v>126242</v>
      </c>
      <c r="CY482" s="1894">
        <f t="shared" si="208"/>
        <v>0</v>
      </c>
    </row>
    <row r="483" spans="1:103">
      <c r="A483" s="982">
        <v>121000000074</v>
      </c>
      <c r="B483" s="1923">
        <f t="shared" si="209"/>
        <v>477</v>
      </c>
      <c r="C483" s="1895" t="s">
        <v>3359</v>
      </c>
      <c r="D483" s="1894" t="s">
        <v>524</v>
      </c>
      <c r="E483" s="1895" t="s">
        <v>737</v>
      </c>
      <c r="F483" s="1894" t="s">
        <v>259</v>
      </c>
      <c r="G483" s="1924">
        <v>350</v>
      </c>
      <c r="H483" s="1894">
        <v>350</v>
      </c>
      <c r="I483" s="1894">
        <v>159.36000000000001</v>
      </c>
      <c r="J483" s="1894">
        <v>280</v>
      </c>
      <c r="K483" s="1894">
        <v>0.98219999999999996</v>
      </c>
      <c r="L483" s="1894">
        <v>40.270000000000003</v>
      </c>
      <c r="M483" s="1894">
        <v>46200</v>
      </c>
      <c r="N483" s="1894">
        <f t="shared" si="187"/>
        <v>68844</v>
      </c>
      <c r="O483" s="1894">
        <f t="shared" si="188"/>
        <v>0</v>
      </c>
      <c r="P483" s="1894">
        <v>350</v>
      </c>
      <c r="Q483" s="1894">
        <v>162.72</v>
      </c>
      <c r="R483" s="1894">
        <v>280</v>
      </c>
      <c r="S483" s="1894">
        <v>0.9839</v>
      </c>
      <c r="T483" s="1894">
        <v>39.93</v>
      </c>
      <c r="U483" s="1894">
        <v>48345</v>
      </c>
      <c r="V483" s="1894">
        <f t="shared" si="189"/>
        <v>72638</v>
      </c>
      <c r="W483" s="1894">
        <f t="shared" si="190"/>
        <v>0</v>
      </c>
      <c r="X483" s="1894">
        <v>350</v>
      </c>
      <c r="Y483" s="1894">
        <v>211.68</v>
      </c>
      <c r="Z483" s="1894">
        <v>280</v>
      </c>
      <c r="AA483" s="1894">
        <v>0.98340000000000005</v>
      </c>
      <c r="AB483" s="1894">
        <v>32.76</v>
      </c>
      <c r="AC483" s="1894">
        <v>49929</v>
      </c>
      <c r="AD483" s="1894">
        <f t="shared" si="191"/>
        <v>91446</v>
      </c>
      <c r="AE483" s="1894">
        <f t="shared" si="192"/>
        <v>0</v>
      </c>
      <c r="AF483" s="1894">
        <v>350</v>
      </c>
      <c r="AG483" s="1894">
        <v>239.76000000000002</v>
      </c>
      <c r="AH483" s="1894">
        <v>280</v>
      </c>
      <c r="AI483" s="1894">
        <v>0.98099999999999998</v>
      </c>
      <c r="AJ483" s="1894">
        <v>28.78</v>
      </c>
      <c r="AK483" s="1894">
        <v>51342</v>
      </c>
      <c r="AL483" s="1894">
        <f t="shared" si="185"/>
        <v>107029</v>
      </c>
      <c r="AM483" s="1894">
        <f t="shared" si="186"/>
        <v>0</v>
      </c>
      <c r="AN483" s="1894">
        <v>350</v>
      </c>
      <c r="AO483" s="1894">
        <v>232.8</v>
      </c>
      <c r="AP483" s="1894">
        <v>280</v>
      </c>
      <c r="AQ483" s="1894">
        <v>0.98329999999999995</v>
      </c>
      <c r="AR483" s="1894">
        <v>29.91</v>
      </c>
      <c r="AS483" s="1894">
        <v>51810</v>
      </c>
      <c r="AT483" s="1894">
        <f t="shared" si="193"/>
        <v>103922</v>
      </c>
      <c r="AU483" s="1894">
        <f t="shared" si="194"/>
        <v>0</v>
      </c>
      <c r="AV483" s="1894">
        <v>350</v>
      </c>
      <c r="AW483" s="1894">
        <v>204.48</v>
      </c>
      <c r="AX483" s="1894">
        <v>280</v>
      </c>
      <c r="AY483" s="1894">
        <v>0.98850000000000005</v>
      </c>
      <c r="AZ483" s="1894">
        <v>36.22</v>
      </c>
      <c r="BA483" s="1894">
        <v>53328</v>
      </c>
      <c r="BB483" s="1894">
        <f t="shared" si="195"/>
        <v>88335</v>
      </c>
      <c r="BC483" s="1894">
        <f t="shared" si="196"/>
        <v>0</v>
      </c>
      <c r="BD483" s="1894">
        <v>350</v>
      </c>
      <c r="BE483" s="1894">
        <v>187.2</v>
      </c>
      <c r="BF483" s="1894">
        <v>280</v>
      </c>
      <c r="BG483" s="1894">
        <v>0.98699999999999999</v>
      </c>
      <c r="BH483" s="1894">
        <v>35.479999999999997</v>
      </c>
      <c r="BI483" s="1894">
        <v>49419</v>
      </c>
      <c r="BJ483" s="1894">
        <f t="shared" si="197"/>
        <v>83566</v>
      </c>
      <c r="BK483" s="1894">
        <f t="shared" si="198"/>
        <v>0</v>
      </c>
      <c r="BL483" s="1894">
        <v>350</v>
      </c>
      <c r="BM483" s="1894">
        <v>148.32</v>
      </c>
      <c r="BN483" s="1894">
        <v>280</v>
      </c>
      <c r="BO483" s="1894">
        <v>0.97550000000000003</v>
      </c>
      <c r="BP483" s="1894">
        <v>31.54</v>
      </c>
      <c r="BQ483" s="1894">
        <v>33684</v>
      </c>
      <c r="BR483" s="1894">
        <f t="shared" si="199"/>
        <v>64074</v>
      </c>
      <c r="BS483" s="1894">
        <f t="shared" si="200"/>
        <v>0</v>
      </c>
      <c r="BT483" s="1894">
        <v>350</v>
      </c>
      <c r="BU483" s="1894">
        <v>166.07999999999998</v>
      </c>
      <c r="BV483" s="1894">
        <v>280</v>
      </c>
      <c r="BW483" s="1894">
        <v>0.95</v>
      </c>
      <c r="BX483" s="1894">
        <v>23.39</v>
      </c>
      <c r="BY483" s="1894">
        <v>28896</v>
      </c>
      <c r="BZ483" s="1894">
        <f t="shared" si="201"/>
        <v>74138</v>
      </c>
      <c r="CA483" s="1894">
        <f t="shared" si="202"/>
        <v>0</v>
      </c>
      <c r="CB483" s="1894">
        <v>350</v>
      </c>
      <c r="CC483" s="1894">
        <v>151.68</v>
      </c>
      <c r="CD483" s="1894">
        <v>280</v>
      </c>
      <c r="CE483" s="1894">
        <v>0.95889999999999997</v>
      </c>
      <c r="CF483" s="1894">
        <v>28.12</v>
      </c>
      <c r="CG483" s="1894">
        <v>31734</v>
      </c>
      <c r="CH483" s="1894">
        <f t="shared" si="203"/>
        <v>67710</v>
      </c>
      <c r="CI483" s="1894">
        <f t="shared" si="204"/>
        <v>0</v>
      </c>
      <c r="CJ483" s="1894">
        <v>350</v>
      </c>
      <c r="CK483" s="1894">
        <v>135.84</v>
      </c>
      <c r="CL483" s="1894">
        <v>280</v>
      </c>
      <c r="CM483" s="1894">
        <v>0.97460000000000002</v>
      </c>
      <c r="CN483" s="1894">
        <v>38.549999999999997</v>
      </c>
      <c r="CO483" s="1894">
        <v>35193</v>
      </c>
      <c r="CP483" s="1894">
        <f t="shared" si="205"/>
        <v>54771</v>
      </c>
      <c r="CQ483" s="1894">
        <f t="shared" si="206"/>
        <v>0</v>
      </c>
      <c r="CR483" s="1924">
        <v>350</v>
      </c>
      <c r="CS483" s="1924">
        <v>158.4</v>
      </c>
      <c r="CT483" s="1924">
        <v>280</v>
      </c>
      <c r="CU483" s="1924">
        <v>0.98219999999999996</v>
      </c>
      <c r="CV483" s="1924">
        <v>41.16</v>
      </c>
      <c r="CW483" s="1924">
        <v>48507</v>
      </c>
      <c r="CX483" s="1894">
        <f t="shared" si="207"/>
        <v>70710</v>
      </c>
      <c r="CY483" s="1894">
        <f t="shared" si="208"/>
        <v>0</v>
      </c>
    </row>
    <row r="484" spans="1:103">
      <c r="A484" s="982">
        <v>123000000029</v>
      </c>
      <c r="B484" s="1923">
        <f t="shared" si="209"/>
        <v>478</v>
      </c>
      <c r="C484" s="1895" t="s">
        <v>3360</v>
      </c>
      <c r="D484" s="1894" t="s">
        <v>524</v>
      </c>
      <c r="E484" s="1895" t="s">
        <v>636</v>
      </c>
      <c r="F484" s="1894" t="s">
        <v>259</v>
      </c>
      <c r="G484" s="1924">
        <v>350</v>
      </c>
      <c r="H484" s="1894">
        <v>350</v>
      </c>
      <c r="I484" s="1894">
        <v>315.83999999999997</v>
      </c>
      <c r="J484" s="1894">
        <v>315.83999999999997</v>
      </c>
      <c r="K484" s="1894">
        <v>0.99180000000000001</v>
      </c>
      <c r="L484" s="1894">
        <v>22.98</v>
      </c>
      <c r="M484" s="1894">
        <v>57558</v>
      </c>
      <c r="N484" s="1894">
        <f t="shared" si="187"/>
        <v>136443</v>
      </c>
      <c r="O484" s="1894">
        <f t="shared" si="188"/>
        <v>0</v>
      </c>
      <c r="P484" s="1894">
        <v>350</v>
      </c>
      <c r="Q484" s="1894">
        <v>217.92000000000002</v>
      </c>
      <c r="R484" s="1894">
        <v>280</v>
      </c>
      <c r="S484" s="1894">
        <v>0.99160000000000004</v>
      </c>
      <c r="T484" s="1894">
        <v>34.630000000000003</v>
      </c>
      <c r="U484" s="1894">
        <v>61398</v>
      </c>
      <c r="V484" s="1894">
        <f t="shared" si="189"/>
        <v>97279</v>
      </c>
      <c r="W484" s="1894">
        <f t="shared" si="190"/>
        <v>0</v>
      </c>
      <c r="X484" s="1894">
        <v>350</v>
      </c>
      <c r="Y484" s="1894">
        <v>312</v>
      </c>
      <c r="Z484" s="1894">
        <v>312</v>
      </c>
      <c r="AA484" s="1894">
        <v>0.99060000000000004</v>
      </c>
      <c r="AB484" s="1894">
        <v>23.35</v>
      </c>
      <c r="AC484" s="1894">
        <v>53754</v>
      </c>
      <c r="AD484" s="1894">
        <f t="shared" si="191"/>
        <v>134784</v>
      </c>
      <c r="AE484" s="1894">
        <f t="shared" si="192"/>
        <v>0</v>
      </c>
      <c r="AF484" s="1894">
        <v>350</v>
      </c>
      <c r="AG484" s="1894">
        <v>228.48000000000002</v>
      </c>
      <c r="AH484" s="1894">
        <v>280</v>
      </c>
      <c r="AI484" s="1894">
        <v>0.92800000000000005</v>
      </c>
      <c r="AJ484" s="1894">
        <v>29.54</v>
      </c>
      <c r="AK484" s="1894">
        <v>51738</v>
      </c>
      <c r="AL484" s="1894">
        <f t="shared" si="185"/>
        <v>101993</v>
      </c>
      <c r="AM484" s="1894">
        <f t="shared" si="186"/>
        <v>0</v>
      </c>
      <c r="AN484" s="1894">
        <v>350</v>
      </c>
      <c r="AO484" s="1894">
        <v>251.52</v>
      </c>
      <c r="AP484" s="1894">
        <v>280</v>
      </c>
      <c r="AQ484" s="1894">
        <v>0.98860000000000003</v>
      </c>
      <c r="AR484" s="1894">
        <v>25.32</v>
      </c>
      <c r="AS484" s="1894">
        <v>48672</v>
      </c>
      <c r="AT484" s="1894">
        <f t="shared" si="193"/>
        <v>112279</v>
      </c>
      <c r="AU484" s="1894">
        <f t="shared" si="194"/>
        <v>0</v>
      </c>
      <c r="AV484" s="1894">
        <v>350</v>
      </c>
      <c r="AW484" s="1894">
        <v>211.68</v>
      </c>
      <c r="AX484" s="1894">
        <v>280</v>
      </c>
      <c r="AY484" s="1894">
        <v>0.99650000000000005</v>
      </c>
      <c r="AZ484" s="1894">
        <v>29.3</v>
      </c>
      <c r="BA484" s="1894">
        <v>45600</v>
      </c>
      <c r="BB484" s="1894">
        <f t="shared" si="195"/>
        <v>91446</v>
      </c>
      <c r="BC484" s="1894">
        <f t="shared" si="196"/>
        <v>0</v>
      </c>
      <c r="BD484" s="1894">
        <v>350</v>
      </c>
      <c r="BE484" s="1894">
        <v>189.6</v>
      </c>
      <c r="BF484" s="1894">
        <v>280</v>
      </c>
      <c r="BG484" s="1894">
        <v>0.99660000000000004</v>
      </c>
      <c r="BH484" s="1894">
        <v>30.63</v>
      </c>
      <c r="BI484" s="1894">
        <v>43213.046399999999</v>
      </c>
      <c r="BJ484" s="1894">
        <f t="shared" si="197"/>
        <v>84637</v>
      </c>
      <c r="BK484" s="1894">
        <f t="shared" si="198"/>
        <v>0</v>
      </c>
      <c r="BL484" s="1894">
        <v>350</v>
      </c>
      <c r="BM484" s="1894">
        <v>231.35999999999999</v>
      </c>
      <c r="BN484" s="1894">
        <v>280</v>
      </c>
      <c r="BO484" s="1894">
        <v>0.99680000000000002</v>
      </c>
      <c r="BP484" s="1894">
        <v>34.369999999999997</v>
      </c>
      <c r="BQ484" s="1894">
        <v>57258</v>
      </c>
      <c r="BR484" s="1894">
        <f t="shared" si="199"/>
        <v>99948</v>
      </c>
      <c r="BS484" s="1894">
        <f t="shared" si="200"/>
        <v>0</v>
      </c>
      <c r="BT484" s="1894">
        <v>350</v>
      </c>
      <c r="BU484" s="1894">
        <v>321.12</v>
      </c>
      <c r="BV484" s="1894">
        <v>321.12</v>
      </c>
      <c r="BW484" s="1894">
        <v>0.94810000000000005</v>
      </c>
      <c r="BX484" s="1894">
        <v>31.03</v>
      </c>
      <c r="BY484" s="1894">
        <v>74123</v>
      </c>
      <c r="BZ484" s="1894">
        <f t="shared" si="201"/>
        <v>143348</v>
      </c>
      <c r="CA484" s="1894">
        <f t="shared" si="202"/>
        <v>0</v>
      </c>
      <c r="CB484" s="1894">
        <v>350</v>
      </c>
      <c r="CC484" s="1894">
        <v>379.2</v>
      </c>
      <c r="CD484" s="1894">
        <v>379.2</v>
      </c>
      <c r="CE484" s="1894">
        <v>0.97840000000000005</v>
      </c>
      <c r="CF484" s="1894">
        <v>28.99</v>
      </c>
      <c r="CG484" s="1894">
        <v>81792</v>
      </c>
      <c r="CH484" s="1894">
        <f t="shared" si="203"/>
        <v>169275</v>
      </c>
      <c r="CI484" s="1894">
        <f t="shared" si="204"/>
        <v>0</v>
      </c>
      <c r="CJ484" s="1894">
        <v>350</v>
      </c>
      <c r="CK484" s="1894">
        <v>312.95999999999998</v>
      </c>
      <c r="CL484" s="1894">
        <v>312.95999999999998</v>
      </c>
      <c r="CM484" s="1894">
        <v>0.97019999999999995</v>
      </c>
      <c r="CN484" s="1894">
        <v>34.950000000000003</v>
      </c>
      <c r="CO484" s="1894">
        <v>73512</v>
      </c>
      <c r="CP484" s="1894">
        <f t="shared" si="205"/>
        <v>126185</v>
      </c>
      <c r="CQ484" s="1894">
        <f t="shared" si="206"/>
        <v>0</v>
      </c>
      <c r="CR484" s="1924">
        <v>350</v>
      </c>
      <c r="CS484" s="1924">
        <v>298.08</v>
      </c>
      <c r="CT484" s="1924">
        <v>298.08</v>
      </c>
      <c r="CU484" s="1924">
        <v>0.96799999999999997</v>
      </c>
      <c r="CV484" s="1924">
        <v>34.03</v>
      </c>
      <c r="CW484" s="1924">
        <v>75474</v>
      </c>
      <c r="CX484" s="1894">
        <f t="shared" si="207"/>
        <v>133063</v>
      </c>
      <c r="CY484" s="1894">
        <f t="shared" si="208"/>
        <v>0</v>
      </c>
    </row>
    <row r="485" spans="1:103">
      <c r="A485" s="982">
        <v>123000000036</v>
      </c>
      <c r="B485" s="1923">
        <f t="shared" si="209"/>
        <v>479</v>
      </c>
      <c r="C485" s="1895" t="s">
        <v>3361</v>
      </c>
      <c r="D485" s="1894" t="s">
        <v>524</v>
      </c>
      <c r="E485" s="1895" t="s">
        <v>541</v>
      </c>
      <c r="F485" s="1894" t="s">
        <v>259</v>
      </c>
      <c r="G485" s="1924">
        <v>350</v>
      </c>
      <c r="H485" s="1894">
        <v>210</v>
      </c>
      <c r="I485" s="1894">
        <v>325.44</v>
      </c>
      <c r="J485" s="1894">
        <v>325.44</v>
      </c>
      <c r="K485" s="1894">
        <v>0.99670000000000003</v>
      </c>
      <c r="L485" s="1894">
        <v>17.809999999999999</v>
      </c>
      <c r="M485" s="1894">
        <v>41721</v>
      </c>
      <c r="N485" s="1894">
        <f t="shared" si="187"/>
        <v>140590</v>
      </c>
      <c r="O485" s="1894">
        <f t="shared" si="188"/>
        <v>0</v>
      </c>
      <c r="P485" s="1894">
        <v>210</v>
      </c>
      <c r="Q485" s="1894">
        <v>296.88</v>
      </c>
      <c r="R485" s="1894">
        <v>296.88</v>
      </c>
      <c r="S485" s="1894">
        <v>0.99819999999999998</v>
      </c>
      <c r="T485" s="1894">
        <v>19.25</v>
      </c>
      <c r="U485" s="1894">
        <v>42510</v>
      </c>
      <c r="V485" s="1894">
        <f t="shared" si="189"/>
        <v>132527</v>
      </c>
      <c r="W485" s="1894">
        <f t="shared" si="190"/>
        <v>0</v>
      </c>
      <c r="X485" s="1894">
        <v>210</v>
      </c>
      <c r="Y485" s="1894">
        <v>270.71999999999997</v>
      </c>
      <c r="Z485" s="1894">
        <v>270.72000000000003</v>
      </c>
      <c r="AA485" s="1894">
        <v>0.99770000000000003</v>
      </c>
      <c r="AB485" s="1894">
        <v>20.98</v>
      </c>
      <c r="AC485" s="1894">
        <v>40887</v>
      </c>
      <c r="AD485" s="1894">
        <f t="shared" si="191"/>
        <v>116951</v>
      </c>
      <c r="AE485" s="1894">
        <f t="shared" si="192"/>
        <v>0</v>
      </c>
      <c r="AF485" s="1894">
        <v>210</v>
      </c>
      <c r="AG485" s="1894">
        <v>271.68</v>
      </c>
      <c r="AH485" s="1894">
        <v>271.68</v>
      </c>
      <c r="AI485" s="1894">
        <v>0.99709999999999999</v>
      </c>
      <c r="AJ485" s="1894">
        <v>19.13</v>
      </c>
      <c r="AK485" s="1894">
        <v>38676</v>
      </c>
      <c r="AL485" s="1894">
        <f t="shared" si="185"/>
        <v>121278</v>
      </c>
      <c r="AM485" s="1894">
        <f t="shared" si="186"/>
        <v>0</v>
      </c>
      <c r="AN485" s="1894">
        <v>210</v>
      </c>
      <c r="AO485" s="1894">
        <v>299.28000000000003</v>
      </c>
      <c r="AP485" s="1894">
        <v>299.27999999999997</v>
      </c>
      <c r="AQ485" s="1894">
        <v>0.99670000000000003</v>
      </c>
      <c r="AR485" s="1894">
        <v>18.73</v>
      </c>
      <c r="AS485" s="1894">
        <v>41715</v>
      </c>
      <c r="AT485" s="1894">
        <f t="shared" si="193"/>
        <v>133599</v>
      </c>
      <c r="AU485" s="1894">
        <f t="shared" si="194"/>
        <v>0</v>
      </c>
      <c r="AV485" s="1894">
        <v>350</v>
      </c>
      <c r="AW485" s="1894">
        <v>302.88</v>
      </c>
      <c r="AX485" s="1894">
        <v>302.88</v>
      </c>
      <c r="AY485" s="1894">
        <v>0.996</v>
      </c>
      <c r="AZ485" s="1894">
        <v>17.98</v>
      </c>
      <c r="BA485" s="1894">
        <v>39216</v>
      </c>
      <c r="BB485" s="1894">
        <f t="shared" si="195"/>
        <v>130844</v>
      </c>
      <c r="BC485" s="1894">
        <f t="shared" si="196"/>
        <v>0</v>
      </c>
      <c r="BD485" s="1894">
        <v>350</v>
      </c>
      <c r="BE485" s="1894">
        <v>280.32</v>
      </c>
      <c r="BF485" s="1894">
        <v>280.32</v>
      </c>
      <c r="BG485" s="1894">
        <v>0.99419999999999997</v>
      </c>
      <c r="BH485" s="1894">
        <v>20.420000000000002</v>
      </c>
      <c r="BI485" s="1894">
        <v>41223</v>
      </c>
      <c r="BJ485" s="1894">
        <f t="shared" si="197"/>
        <v>125135</v>
      </c>
      <c r="BK485" s="1894">
        <f t="shared" si="198"/>
        <v>0</v>
      </c>
      <c r="BL485" s="1894">
        <v>350</v>
      </c>
      <c r="BM485" s="1894">
        <v>237.12</v>
      </c>
      <c r="BN485" s="1894">
        <v>280</v>
      </c>
      <c r="BO485" s="1894">
        <v>0.99539999999999995</v>
      </c>
      <c r="BP485" s="1894">
        <v>22.96</v>
      </c>
      <c r="BQ485" s="1894">
        <v>39204</v>
      </c>
      <c r="BR485" s="1894">
        <f t="shared" si="199"/>
        <v>102436</v>
      </c>
      <c r="BS485" s="1894">
        <f t="shared" si="200"/>
        <v>0</v>
      </c>
      <c r="BT485" s="1894">
        <v>350</v>
      </c>
      <c r="BU485" s="1894">
        <v>278.16000000000003</v>
      </c>
      <c r="BV485" s="1894">
        <v>280</v>
      </c>
      <c r="BW485" s="1894">
        <v>0.99550000000000005</v>
      </c>
      <c r="BX485" s="1894">
        <v>22.52</v>
      </c>
      <c r="BY485" s="1894">
        <v>48099</v>
      </c>
      <c r="BZ485" s="1894">
        <f t="shared" si="201"/>
        <v>124171</v>
      </c>
      <c r="CA485" s="1894">
        <f t="shared" si="202"/>
        <v>0</v>
      </c>
      <c r="CB485" s="1894">
        <v>350</v>
      </c>
      <c r="CC485" s="1894">
        <v>286.2</v>
      </c>
      <c r="CD485" s="1894">
        <v>286.2</v>
      </c>
      <c r="CE485" s="1894">
        <v>0.99409999999999998</v>
      </c>
      <c r="CF485" s="1894">
        <v>18.39</v>
      </c>
      <c r="CG485" s="1894">
        <v>39156</v>
      </c>
      <c r="CH485" s="1894">
        <f t="shared" si="203"/>
        <v>127760</v>
      </c>
      <c r="CI485" s="1894">
        <f t="shared" si="204"/>
        <v>0</v>
      </c>
      <c r="CJ485" s="1894">
        <v>350</v>
      </c>
      <c r="CK485" s="1894">
        <v>276</v>
      </c>
      <c r="CL485" s="1894">
        <v>280</v>
      </c>
      <c r="CM485" s="1894">
        <v>0.99280000000000002</v>
      </c>
      <c r="CN485" s="1894">
        <v>18.86</v>
      </c>
      <c r="CO485" s="1894">
        <v>34974</v>
      </c>
      <c r="CP485" s="1894">
        <f t="shared" si="205"/>
        <v>111283</v>
      </c>
      <c r="CQ485" s="1894">
        <f t="shared" si="206"/>
        <v>0</v>
      </c>
      <c r="CR485" s="1924">
        <v>350</v>
      </c>
      <c r="CS485" s="1924">
        <v>285.83999999999997</v>
      </c>
      <c r="CT485" s="1924">
        <v>285.83999999999997</v>
      </c>
      <c r="CU485" s="1924">
        <v>0.99250000000000005</v>
      </c>
      <c r="CV485" s="1924">
        <v>17.399999999999999</v>
      </c>
      <c r="CW485" s="1924">
        <v>36999</v>
      </c>
      <c r="CX485" s="1894">
        <f t="shared" si="207"/>
        <v>127599</v>
      </c>
      <c r="CY485" s="1894">
        <f t="shared" si="208"/>
        <v>0</v>
      </c>
    </row>
    <row r="486" spans="1:103">
      <c r="A486" s="982">
        <v>123000000047</v>
      </c>
      <c r="B486" s="1923">
        <f t="shared" si="209"/>
        <v>480</v>
      </c>
      <c r="C486" s="1895" t="s">
        <v>3362</v>
      </c>
      <c r="D486" s="1894" t="s">
        <v>524</v>
      </c>
      <c r="E486" s="1895" t="s">
        <v>2966</v>
      </c>
      <c r="F486" s="1894" t="s">
        <v>259</v>
      </c>
      <c r="G486" s="1924">
        <v>350</v>
      </c>
      <c r="H486" s="1894">
        <v>350</v>
      </c>
      <c r="I486" s="1894">
        <v>159.20000000000002</v>
      </c>
      <c r="J486" s="1894">
        <v>350</v>
      </c>
      <c r="K486" s="1894">
        <v>0.6431</v>
      </c>
      <c r="L486" s="1894">
        <v>0</v>
      </c>
      <c r="M486" s="1894">
        <v>41227</v>
      </c>
      <c r="N486" s="1894">
        <f t="shared" si="187"/>
        <v>68774</v>
      </c>
      <c r="O486" s="1894">
        <f t="shared" si="188"/>
        <v>0</v>
      </c>
      <c r="P486" s="1894">
        <v>350</v>
      </c>
      <c r="Q486" s="1894">
        <v>230.8</v>
      </c>
      <c r="R486" s="1894">
        <v>350</v>
      </c>
      <c r="S486" s="1894">
        <v>0.71689999999999998</v>
      </c>
      <c r="T486" s="1894">
        <v>0</v>
      </c>
      <c r="U486" s="1894">
        <v>67997</v>
      </c>
      <c r="V486" s="1894">
        <f t="shared" si="189"/>
        <v>103029</v>
      </c>
      <c r="W486" s="1894">
        <f t="shared" si="190"/>
        <v>0</v>
      </c>
      <c r="X486" s="1894">
        <v>350</v>
      </c>
      <c r="Y486" s="1894">
        <v>136</v>
      </c>
      <c r="Z486" s="1894">
        <v>350</v>
      </c>
      <c r="AA486" s="1894">
        <v>0.70450000000000002</v>
      </c>
      <c r="AB486" s="1894">
        <v>0</v>
      </c>
      <c r="AC486" s="1894">
        <v>29483</v>
      </c>
      <c r="AD486" s="1894">
        <f t="shared" si="191"/>
        <v>58752</v>
      </c>
      <c r="AE486" s="1894">
        <f t="shared" si="192"/>
        <v>0</v>
      </c>
      <c r="AF486" s="1894">
        <v>350</v>
      </c>
      <c r="AG486" s="1894">
        <v>179.79999999999998</v>
      </c>
      <c r="AH486" s="1894">
        <v>350</v>
      </c>
      <c r="AI486" s="1894">
        <v>0.64370000000000005</v>
      </c>
      <c r="AJ486" s="1894">
        <v>0</v>
      </c>
      <c r="AK486" s="1894">
        <v>52922</v>
      </c>
      <c r="AL486" s="1894">
        <f t="shared" si="185"/>
        <v>80263</v>
      </c>
      <c r="AM486" s="1894">
        <f t="shared" si="186"/>
        <v>0</v>
      </c>
      <c r="AN486" s="1894">
        <v>350</v>
      </c>
      <c r="AO486" s="1894">
        <v>185</v>
      </c>
      <c r="AP486" s="1894">
        <v>350</v>
      </c>
      <c r="AQ486" s="1894">
        <v>0.6643</v>
      </c>
      <c r="AR486" s="1894">
        <v>0</v>
      </c>
      <c r="AS486" s="1894">
        <v>30643</v>
      </c>
      <c r="AT486" s="1894">
        <f t="shared" si="193"/>
        <v>82584</v>
      </c>
      <c r="AU486" s="1894">
        <f t="shared" si="194"/>
        <v>0</v>
      </c>
      <c r="AV486" s="1894">
        <v>350</v>
      </c>
      <c r="AW486" s="1894">
        <v>116.4</v>
      </c>
      <c r="AX486" s="1894">
        <v>350</v>
      </c>
      <c r="AY486" s="1894">
        <v>0.53710000000000002</v>
      </c>
      <c r="AZ486" s="1894">
        <v>0</v>
      </c>
      <c r="BA486" s="1894">
        <v>25287</v>
      </c>
      <c r="BB486" s="1894">
        <f t="shared" si="195"/>
        <v>50285</v>
      </c>
      <c r="BC486" s="1894">
        <f t="shared" si="196"/>
        <v>0</v>
      </c>
      <c r="BD486" s="1894">
        <v>350</v>
      </c>
      <c r="BE486" s="1894">
        <v>158.6</v>
      </c>
      <c r="BF486" s="1894">
        <v>350</v>
      </c>
      <c r="BG486" s="1894">
        <v>0.58989999999999998</v>
      </c>
      <c r="BH486" s="1894">
        <v>0</v>
      </c>
      <c r="BI486" s="1894">
        <v>50997</v>
      </c>
      <c r="BJ486" s="1894">
        <f t="shared" si="197"/>
        <v>70799</v>
      </c>
      <c r="BK486" s="1894">
        <f t="shared" si="198"/>
        <v>0</v>
      </c>
      <c r="BL486" s="1894">
        <v>350</v>
      </c>
      <c r="BM486" s="1894">
        <v>155.20000000000002</v>
      </c>
      <c r="BN486" s="1894">
        <v>350</v>
      </c>
      <c r="BO486" s="1894">
        <v>0.63670000000000004</v>
      </c>
      <c r="BP486" s="1894">
        <v>0</v>
      </c>
      <c r="BQ486" s="1894">
        <v>35305</v>
      </c>
      <c r="BR486" s="1894">
        <f t="shared" si="199"/>
        <v>67046</v>
      </c>
      <c r="BS486" s="1894">
        <f t="shared" si="200"/>
        <v>0</v>
      </c>
      <c r="BT486" s="1894">
        <v>350</v>
      </c>
      <c r="BU486" s="1894">
        <v>40.599999999999994</v>
      </c>
      <c r="BV486" s="1894">
        <v>350</v>
      </c>
      <c r="BW486" s="1894">
        <v>0.45519999999999999</v>
      </c>
      <c r="BX486" s="1894">
        <v>0</v>
      </c>
      <c r="BY486" s="1894">
        <v>8320</v>
      </c>
      <c r="BZ486" s="1894">
        <f t="shared" si="201"/>
        <v>18124</v>
      </c>
      <c r="CA486" s="1894">
        <f t="shared" si="202"/>
        <v>0</v>
      </c>
      <c r="CB486" s="1894">
        <v>350</v>
      </c>
      <c r="CC486" s="1894">
        <v>30.4</v>
      </c>
      <c r="CD486" s="1894">
        <v>350</v>
      </c>
      <c r="CE486" s="1894">
        <v>0.4219</v>
      </c>
      <c r="CF486" s="1894">
        <v>0</v>
      </c>
      <c r="CG486" s="1894">
        <v>7560</v>
      </c>
      <c r="CH486" s="1894">
        <f t="shared" si="203"/>
        <v>13571</v>
      </c>
      <c r="CI486" s="1894">
        <f t="shared" si="204"/>
        <v>0</v>
      </c>
      <c r="CJ486" s="1894">
        <v>350</v>
      </c>
      <c r="CK486" s="1894">
        <v>60.199999999999996</v>
      </c>
      <c r="CL486" s="1894">
        <v>350</v>
      </c>
      <c r="CM486" s="1894">
        <v>0.68379999999999996</v>
      </c>
      <c r="CN486" s="1894">
        <v>0</v>
      </c>
      <c r="CO486" s="1894">
        <v>12478</v>
      </c>
      <c r="CP486" s="1894">
        <f t="shared" si="205"/>
        <v>24273</v>
      </c>
      <c r="CQ486" s="1894">
        <f t="shared" si="206"/>
        <v>0</v>
      </c>
      <c r="CR486" s="1924">
        <v>350</v>
      </c>
      <c r="CS486" s="1924">
        <v>114.6</v>
      </c>
      <c r="CT486" s="1924">
        <v>350</v>
      </c>
      <c r="CU486" s="1924">
        <v>0.59589999999999999</v>
      </c>
      <c r="CV486" s="1924">
        <v>0</v>
      </c>
      <c r="CW486" s="1924">
        <v>21700</v>
      </c>
      <c r="CX486" s="1894">
        <f t="shared" si="207"/>
        <v>51157</v>
      </c>
      <c r="CY486" s="1894">
        <f t="shared" si="208"/>
        <v>0</v>
      </c>
    </row>
    <row r="487" spans="1:103">
      <c r="A487" s="982">
        <v>622000000148</v>
      </c>
      <c r="B487" s="1923">
        <f t="shared" si="209"/>
        <v>481</v>
      </c>
      <c r="C487" s="1895" t="s">
        <v>3363</v>
      </c>
      <c r="D487" s="1894" t="s">
        <v>524</v>
      </c>
      <c r="E487" s="1895" t="s">
        <v>636</v>
      </c>
      <c r="F487" s="1894" t="s">
        <v>259</v>
      </c>
      <c r="G487" s="1924">
        <v>350</v>
      </c>
      <c r="H487" s="1894">
        <v>350</v>
      </c>
      <c r="I487" s="1894">
        <v>179.4</v>
      </c>
      <c r="J487" s="1894">
        <v>280</v>
      </c>
      <c r="K487" s="1894">
        <v>0.9919</v>
      </c>
      <c r="L487" s="1894">
        <v>44.43</v>
      </c>
      <c r="M487" s="1894">
        <v>59305</v>
      </c>
      <c r="N487" s="1894">
        <f t="shared" si="187"/>
        <v>77501</v>
      </c>
      <c r="O487" s="1894">
        <f t="shared" si="188"/>
        <v>0</v>
      </c>
      <c r="P487" s="1894">
        <v>350</v>
      </c>
      <c r="Q487" s="1894">
        <v>162.95000000000002</v>
      </c>
      <c r="R487" s="1894">
        <v>280</v>
      </c>
      <c r="S487" s="1894">
        <v>0.99239999999999995</v>
      </c>
      <c r="T487" s="1894">
        <v>43.22</v>
      </c>
      <c r="U487" s="1894">
        <v>52400</v>
      </c>
      <c r="V487" s="1894">
        <f t="shared" si="189"/>
        <v>72741</v>
      </c>
      <c r="W487" s="1894">
        <f t="shared" si="190"/>
        <v>0</v>
      </c>
      <c r="X487" s="1894">
        <v>350</v>
      </c>
      <c r="Y487" s="1894">
        <v>169.05</v>
      </c>
      <c r="Z487" s="1894">
        <v>280</v>
      </c>
      <c r="AA487" s="1894">
        <v>0.99139999999999995</v>
      </c>
      <c r="AB487" s="1894">
        <v>41.35</v>
      </c>
      <c r="AC487" s="1894">
        <v>45370</v>
      </c>
      <c r="AD487" s="1894">
        <f t="shared" si="191"/>
        <v>73030</v>
      </c>
      <c r="AE487" s="1894">
        <f t="shared" si="192"/>
        <v>0</v>
      </c>
      <c r="AF487" s="1894">
        <v>350</v>
      </c>
      <c r="AG487" s="1894">
        <v>120</v>
      </c>
      <c r="AH487" s="1894">
        <v>280</v>
      </c>
      <c r="AI487" s="1894">
        <v>0.99150000000000005</v>
      </c>
      <c r="AJ487" s="1894">
        <v>48.93</v>
      </c>
      <c r="AK487" s="1894">
        <v>46505</v>
      </c>
      <c r="AL487" s="1894">
        <f t="shared" si="185"/>
        <v>53568</v>
      </c>
      <c r="AM487" s="1894">
        <f t="shared" si="186"/>
        <v>0</v>
      </c>
      <c r="AN487" s="1894">
        <v>350</v>
      </c>
      <c r="AO487" s="1894">
        <v>117.05</v>
      </c>
      <c r="AP487" s="1894">
        <v>280</v>
      </c>
      <c r="AQ487" s="1894">
        <v>0.98629999999999995</v>
      </c>
      <c r="AR487" s="1894">
        <v>48.56</v>
      </c>
      <c r="AS487" s="1894">
        <v>39560</v>
      </c>
      <c r="AT487" s="1894">
        <f t="shared" si="193"/>
        <v>52251</v>
      </c>
      <c r="AU487" s="1894">
        <f t="shared" si="194"/>
        <v>0</v>
      </c>
      <c r="AV487" s="1894">
        <v>350</v>
      </c>
      <c r="AW487" s="1894">
        <v>135.15</v>
      </c>
      <c r="AX487" s="1894">
        <v>280</v>
      </c>
      <c r="AY487" s="1894">
        <v>0.98619999999999997</v>
      </c>
      <c r="AZ487" s="1894">
        <v>47.18</v>
      </c>
      <c r="BA487" s="1894">
        <v>47445</v>
      </c>
      <c r="BB487" s="1894">
        <f t="shared" si="195"/>
        <v>58385</v>
      </c>
      <c r="BC487" s="1894">
        <f t="shared" si="196"/>
        <v>0</v>
      </c>
      <c r="BD487" s="1894">
        <v>350</v>
      </c>
      <c r="BE487" s="1894">
        <v>110</v>
      </c>
      <c r="BF487" s="1894">
        <v>280</v>
      </c>
      <c r="BG487" s="1894">
        <v>0.98870000000000002</v>
      </c>
      <c r="BH487" s="1894">
        <v>44.69</v>
      </c>
      <c r="BI487" s="1894">
        <v>30675</v>
      </c>
      <c r="BJ487" s="1894">
        <f t="shared" si="197"/>
        <v>49104</v>
      </c>
      <c r="BK487" s="1894">
        <f t="shared" si="198"/>
        <v>0</v>
      </c>
      <c r="BL487" s="1894">
        <v>350</v>
      </c>
      <c r="BM487" s="1894">
        <v>103.8</v>
      </c>
      <c r="BN487" s="1894">
        <v>280</v>
      </c>
      <c r="BO487" s="1894">
        <v>0.9909</v>
      </c>
      <c r="BP487" s="1894">
        <v>45.54</v>
      </c>
      <c r="BQ487" s="1894">
        <v>37435</v>
      </c>
      <c r="BR487" s="1894">
        <f t="shared" si="199"/>
        <v>44842</v>
      </c>
      <c r="BS487" s="1894">
        <f t="shared" si="200"/>
        <v>0</v>
      </c>
      <c r="BT487" s="1894">
        <v>350</v>
      </c>
      <c r="BU487" s="1894">
        <v>105.80000000000001</v>
      </c>
      <c r="BV487" s="1894">
        <v>280</v>
      </c>
      <c r="BW487" s="1894">
        <v>0.99329999999999996</v>
      </c>
      <c r="BX487" s="1894">
        <v>47.53</v>
      </c>
      <c r="BY487" s="1894">
        <v>38617</v>
      </c>
      <c r="BZ487" s="1894">
        <f t="shared" si="201"/>
        <v>47229</v>
      </c>
      <c r="CA487" s="1894">
        <f t="shared" si="202"/>
        <v>0</v>
      </c>
      <c r="CB487" s="1894">
        <v>350</v>
      </c>
      <c r="CC487" s="1894">
        <v>136.19999999999999</v>
      </c>
      <c r="CD487" s="1894">
        <v>280</v>
      </c>
      <c r="CE487" s="1894">
        <v>0.99639999999999995</v>
      </c>
      <c r="CF487" s="1894">
        <v>35.770000000000003</v>
      </c>
      <c r="CG487" s="1894">
        <v>39755</v>
      </c>
      <c r="CH487" s="1894">
        <f t="shared" si="203"/>
        <v>60800</v>
      </c>
      <c r="CI487" s="1894">
        <f t="shared" si="204"/>
        <v>0</v>
      </c>
      <c r="CJ487" s="1894">
        <v>350</v>
      </c>
      <c r="CK487" s="1894">
        <v>104.80000000000001</v>
      </c>
      <c r="CL487" s="1894">
        <v>280</v>
      </c>
      <c r="CM487" s="1894">
        <v>0.99119999999999997</v>
      </c>
      <c r="CN487" s="1894">
        <v>43.15</v>
      </c>
      <c r="CO487" s="1894">
        <v>30390</v>
      </c>
      <c r="CP487" s="1894">
        <f t="shared" si="205"/>
        <v>42255</v>
      </c>
      <c r="CQ487" s="1894">
        <f t="shared" si="206"/>
        <v>0</v>
      </c>
      <c r="CR487" s="1924">
        <v>350</v>
      </c>
      <c r="CS487" s="1924">
        <v>97</v>
      </c>
      <c r="CT487" s="1924">
        <v>280</v>
      </c>
      <c r="CU487" s="1924">
        <v>0.98970000000000002</v>
      </c>
      <c r="CV487" s="1924">
        <v>45.1</v>
      </c>
      <c r="CW487" s="1924">
        <v>32546</v>
      </c>
      <c r="CX487" s="1894">
        <f t="shared" si="207"/>
        <v>43301</v>
      </c>
      <c r="CY487" s="1894">
        <f t="shared" si="208"/>
        <v>0</v>
      </c>
    </row>
    <row r="488" spans="1:103">
      <c r="A488" s="982">
        <v>122000000018</v>
      </c>
      <c r="B488" s="1923">
        <f t="shared" si="209"/>
        <v>482</v>
      </c>
      <c r="C488" s="1895" t="s">
        <v>3644</v>
      </c>
      <c r="D488" s="1894" t="s">
        <v>2930</v>
      </c>
      <c r="E488" s="1895" t="s">
        <v>541</v>
      </c>
      <c r="F488" s="1894" t="s">
        <v>259</v>
      </c>
      <c r="G488" s="1894">
        <v>350</v>
      </c>
      <c r="H488" s="1894">
        <v>350</v>
      </c>
      <c r="I488" s="1894">
        <v>0.8</v>
      </c>
      <c r="J488" s="1894">
        <v>280</v>
      </c>
      <c r="K488" s="1894">
        <v>6.3799999999999996E-2</v>
      </c>
      <c r="L488" s="1894">
        <v>89.76</v>
      </c>
      <c r="M488" s="1925">
        <v>517</v>
      </c>
      <c r="N488" s="1894">
        <f t="shared" si="187"/>
        <v>346</v>
      </c>
      <c r="O488" s="1894">
        <f t="shared" si="188"/>
        <v>171</v>
      </c>
      <c r="P488" s="1894">
        <v>350</v>
      </c>
      <c r="Q488" s="1894">
        <v>1</v>
      </c>
      <c r="R488" s="1894">
        <v>280</v>
      </c>
      <c r="S488" s="1894">
        <v>0</v>
      </c>
      <c r="T488" s="1894">
        <v>0</v>
      </c>
      <c r="U488" s="1894">
        <v>0</v>
      </c>
      <c r="V488" s="1894">
        <f t="shared" si="189"/>
        <v>446</v>
      </c>
      <c r="W488" s="1894">
        <f t="shared" si="190"/>
        <v>0</v>
      </c>
      <c r="X488" s="1894">
        <v>350</v>
      </c>
      <c r="Y488" s="1894">
        <v>0</v>
      </c>
      <c r="Z488" s="1894">
        <v>0</v>
      </c>
      <c r="AA488" s="1894">
        <v>0</v>
      </c>
      <c r="AB488" s="1894">
        <v>0</v>
      </c>
      <c r="AC488" s="1894">
        <v>0</v>
      </c>
      <c r="AD488" s="1894">
        <f t="shared" si="191"/>
        <v>0</v>
      </c>
      <c r="AE488" s="1894">
        <f t="shared" si="192"/>
        <v>0</v>
      </c>
      <c r="AF488" s="1894">
        <v>350</v>
      </c>
      <c r="AG488" s="1894">
        <v>0</v>
      </c>
      <c r="AH488" s="1894">
        <v>0</v>
      </c>
      <c r="AI488" s="1894">
        <v>0</v>
      </c>
      <c r="AJ488" s="1894">
        <v>0</v>
      </c>
      <c r="AK488" s="1894">
        <v>0</v>
      </c>
      <c r="AL488" s="1894">
        <v>0</v>
      </c>
      <c r="AM488" s="1894">
        <v>0</v>
      </c>
      <c r="AN488" s="1894">
        <v>350</v>
      </c>
      <c r="AO488" s="1894">
        <v>0</v>
      </c>
      <c r="AP488" s="1894">
        <v>0</v>
      </c>
      <c r="AQ488" s="1894">
        <v>0</v>
      </c>
      <c r="AR488" s="1894">
        <v>0</v>
      </c>
      <c r="AS488" s="1894">
        <v>0</v>
      </c>
      <c r="AT488" s="1894">
        <f t="shared" si="193"/>
        <v>0</v>
      </c>
      <c r="AU488" s="1894">
        <f t="shared" si="194"/>
        <v>0</v>
      </c>
      <c r="AV488" s="1894">
        <v>350</v>
      </c>
      <c r="AW488" s="1894">
        <v>0</v>
      </c>
      <c r="AX488" s="1894">
        <v>0</v>
      </c>
      <c r="AY488" s="1894">
        <v>0</v>
      </c>
      <c r="AZ488" s="1894">
        <v>0</v>
      </c>
      <c r="BA488" s="1894">
        <v>0</v>
      </c>
      <c r="BB488" s="1894">
        <f t="shared" si="195"/>
        <v>0</v>
      </c>
      <c r="BC488" s="1894">
        <f t="shared" si="196"/>
        <v>0</v>
      </c>
      <c r="BD488" s="1894">
        <v>0</v>
      </c>
      <c r="BE488" s="1894">
        <v>0</v>
      </c>
      <c r="BF488" s="1894">
        <v>0</v>
      </c>
      <c r="BG488" s="1894">
        <v>0</v>
      </c>
      <c r="BH488" s="1894">
        <v>0</v>
      </c>
      <c r="BI488" s="1894">
        <v>0</v>
      </c>
      <c r="BJ488" s="1894">
        <f t="shared" si="197"/>
        <v>0</v>
      </c>
      <c r="BK488" s="1894">
        <f t="shared" si="198"/>
        <v>0</v>
      </c>
      <c r="BL488" s="1894">
        <v>0</v>
      </c>
      <c r="BM488" s="1894">
        <v>0</v>
      </c>
      <c r="BN488" s="1894">
        <v>0</v>
      </c>
      <c r="BO488" s="1894">
        <v>0</v>
      </c>
      <c r="BP488" s="1894">
        <v>0</v>
      </c>
      <c r="BQ488" s="1894">
        <v>0</v>
      </c>
      <c r="BR488" s="1894">
        <f t="shared" si="199"/>
        <v>0</v>
      </c>
      <c r="BS488" s="1894">
        <f t="shared" si="200"/>
        <v>0</v>
      </c>
      <c r="BT488" s="1894">
        <v>0</v>
      </c>
      <c r="BU488" s="1894">
        <v>0</v>
      </c>
      <c r="BV488" s="1894">
        <v>0</v>
      </c>
      <c r="BW488" s="1894">
        <v>0</v>
      </c>
      <c r="BX488" s="1894">
        <v>0</v>
      </c>
      <c r="BY488" s="1894">
        <v>0</v>
      </c>
      <c r="BZ488" s="1894">
        <f t="shared" si="201"/>
        <v>0</v>
      </c>
      <c r="CA488" s="1894">
        <f t="shared" si="202"/>
        <v>0</v>
      </c>
      <c r="CB488" s="1894">
        <v>350</v>
      </c>
      <c r="CC488" s="1894">
        <v>0</v>
      </c>
      <c r="CD488" s="1894">
        <v>0</v>
      </c>
      <c r="CE488" s="1894">
        <v>0</v>
      </c>
      <c r="CF488" s="1894">
        <v>0</v>
      </c>
      <c r="CG488" s="1894">
        <v>0</v>
      </c>
      <c r="CH488" s="1894">
        <f t="shared" si="203"/>
        <v>0</v>
      </c>
      <c r="CI488" s="1894">
        <f t="shared" si="204"/>
        <v>0</v>
      </c>
      <c r="CJ488" s="1894">
        <v>0</v>
      </c>
      <c r="CK488" s="1894">
        <v>0</v>
      </c>
      <c r="CL488" s="1894">
        <v>0</v>
      </c>
      <c r="CM488" s="1894">
        <v>0</v>
      </c>
      <c r="CN488" s="1894">
        <v>0</v>
      </c>
      <c r="CO488" s="1894">
        <v>0</v>
      </c>
      <c r="CP488" s="1894">
        <f t="shared" si="205"/>
        <v>0</v>
      </c>
      <c r="CQ488" s="1894">
        <f t="shared" si="206"/>
        <v>0</v>
      </c>
      <c r="CR488" s="1894">
        <v>0</v>
      </c>
      <c r="CS488" s="1894">
        <v>0</v>
      </c>
      <c r="CT488" s="1894">
        <v>0</v>
      </c>
      <c r="CU488" s="1894">
        <v>0</v>
      </c>
      <c r="CV488" s="1894">
        <v>0</v>
      </c>
      <c r="CW488" s="1894">
        <v>0</v>
      </c>
      <c r="CX488" s="1894">
        <f t="shared" si="207"/>
        <v>0</v>
      </c>
      <c r="CY488" s="1894">
        <f t="shared" si="208"/>
        <v>0</v>
      </c>
    </row>
    <row r="489" spans="1:103">
      <c r="A489" s="982">
        <v>611000000109</v>
      </c>
      <c r="B489" s="1923">
        <f t="shared" si="209"/>
        <v>483</v>
      </c>
      <c r="C489" s="1895" t="s">
        <v>3364</v>
      </c>
      <c r="D489" s="1894" t="s">
        <v>524</v>
      </c>
      <c r="E489" s="1895" t="s">
        <v>730</v>
      </c>
      <c r="F489" s="1894" t="s">
        <v>259</v>
      </c>
      <c r="G489" s="1924">
        <v>351</v>
      </c>
      <c r="H489" s="1894">
        <v>351</v>
      </c>
      <c r="I489" s="1894">
        <v>191.68</v>
      </c>
      <c r="J489" s="1894">
        <v>280.8</v>
      </c>
      <c r="K489" s="1894">
        <v>0.96230000000000004</v>
      </c>
      <c r="L489" s="1894">
        <v>33.68</v>
      </c>
      <c r="M489" s="1894">
        <v>46488</v>
      </c>
      <c r="N489" s="1894">
        <f t="shared" si="187"/>
        <v>82806</v>
      </c>
      <c r="O489" s="1894">
        <f t="shared" si="188"/>
        <v>0</v>
      </c>
      <c r="P489" s="1894">
        <v>351</v>
      </c>
      <c r="Q489" s="1894">
        <v>191.84</v>
      </c>
      <c r="R489" s="1894">
        <v>280.8</v>
      </c>
      <c r="S489" s="1894">
        <v>0.96430000000000005</v>
      </c>
      <c r="T489" s="1894">
        <v>40.28</v>
      </c>
      <c r="U489" s="1894">
        <v>57488</v>
      </c>
      <c r="V489" s="1894">
        <f t="shared" si="189"/>
        <v>85637</v>
      </c>
      <c r="W489" s="1894">
        <f t="shared" si="190"/>
        <v>0</v>
      </c>
      <c r="X489" s="1894">
        <v>351</v>
      </c>
      <c r="Y489" s="1894">
        <v>183.20000000000002</v>
      </c>
      <c r="Z489" s="1894">
        <v>280.8</v>
      </c>
      <c r="AA489" s="1894">
        <v>0.96660000000000001</v>
      </c>
      <c r="AB489" s="1894">
        <v>25.76</v>
      </c>
      <c r="AC489" s="1894">
        <v>33974</v>
      </c>
      <c r="AD489" s="1894">
        <f t="shared" si="191"/>
        <v>79142</v>
      </c>
      <c r="AE489" s="1894">
        <f t="shared" si="192"/>
        <v>0</v>
      </c>
      <c r="AF489" s="1894">
        <v>351</v>
      </c>
      <c r="AG489" s="1894">
        <v>170.56</v>
      </c>
      <c r="AH489" s="1894">
        <v>280.8</v>
      </c>
      <c r="AI489" s="1894">
        <v>0.94689999999999996</v>
      </c>
      <c r="AJ489" s="1894">
        <v>26.51</v>
      </c>
      <c r="AK489" s="1894">
        <v>33634</v>
      </c>
      <c r="AL489" s="1894">
        <f t="shared" ref="AL489:AL505" si="210">+ROUND((24*31*0.6*AG489),0)</f>
        <v>76138</v>
      </c>
      <c r="AM489" s="1894">
        <f t="shared" ref="AM489:AM505" si="211">+MAX((AK489-AL489),0)</f>
        <v>0</v>
      </c>
      <c r="AN489" s="1894">
        <v>351</v>
      </c>
      <c r="AO489" s="1894">
        <v>184.95999999999998</v>
      </c>
      <c r="AP489" s="1894">
        <v>280.8</v>
      </c>
      <c r="AQ489" s="1894">
        <v>0.94679999999999997</v>
      </c>
      <c r="AR489" s="1894">
        <v>31.09</v>
      </c>
      <c r="AS489" s="1894">
        <v>42782</v>
      </c>
      <c r="AT489" s="1894">
        <f t="shared" si="193"/>
        <v>82566</v>
      </c>
      <c r="AU489" s="1894">
        <f t="shared" si="194"/>
        <v>0</v>
      </c>
      <c r="AV489" s="1894">
        <v>351</v>
      </c>
      <c r="AW489" s="1894">
        <v>183.20000000000002</v>
      </c>
      <c r="AX489" s="1894">
        <v>280.8</v>
      </c>
      <c r="AY489" s="1894">
        <v>0.93689999999999996</v>
      </c>
      <c r="AZ489" s="1894">
        <v>33.69</v>
      </c>
      <c r="BA489" s="1894">
        <v>44442</v>
      </c>
      <c r="BB489" s="1894">
        <f t="shared" si="195"/>
        <v>79142</v>
      </c>
      <c r="BC489" s="1894">
        <f t="shared" si="196"/>
        <v>0</v>
      </c>
      <c r="BD489" s="1894">
        <v>351</v>
      </c>
      <c r="BE489" s="1894">
        <v>192.79999999999998</v>
      </c>
      <c r="BF489" s="1894">
        <v>280.8</v>
      </c>
      <c r="BG489" s="1894">
        <v>0.94820000000000004</v>
      </c>
      <c r="BH489" s="1894">
        <v>32.75</v>
      </c>
      <c r="BI489" s="1894">
        <v>46978</v>
      </c>
      <c r="BJ489" s="1894">
        <f t="shared" si="197"/>
        <v>86066</v>
      </c>
      <c r="BK489" s="1894">
        <f t="shared" si="198"/>
        <v>0</v>
      </c>
      <c r="BL489" s="1894">
        <v>351</v>
      </c>
      <c r="BM489" s="1894">
        <v>206.56</v>
      </c>
      <c r="BN489" s="1894">
        <v>280.8</v>
      </c>
      <c r="BO489" s="1894">
        <v>0.9224</v>
      </c>
      <c r="BP489" s="1894">
        <v>24.61</v>
      </c>
      <c r="BQ489" s="1894">
        <v>36606</v>
      </c>
      <c r="BR489" s="1894">
        <f t="shared" si="199"/>
        <v>89234</v>
      </c>
      <c r="BS489" s="1894">
        <f t="shared" si="200"/>
        <v>0</v>
      </c>
      <c r="BT489" s="1894">
        <v>351</v>
      </c>
      <c r="BU489" s="1894">
        <v>192.79999999999998</v>
      </c>
      <c r="BV489" s="1894">
        <v>280.8</v>
      </c>
      <c r="BW489" s="1894">
        <v>0.94579999999999997</v>
      </c>
      <c r="BX489" s="1894">
        <v>36.47</v>
      </c>
      <c r="BY489" s="1894">
        <v>52312</v>
      </c>
      <c r="BZ489" s="1894">
        <f t="shared" si="201"/>
        <v>86066</v>
      </c>
      <c r="CA489" s="1894">
        <f t="shared" si="202"/>
        <v>0</v>
      </c>
      <c r="CB489" s="1894">
        <v>351</v>
      </c>
      <c r="CC489" s="1894">
        <v>197.44</v>
      </c>
      <c r="CD489" s="1894">
        <v>280.8</v>
      </c>
      <c r="CE489" s="1894">
        <v>0.95269999999999999</v>
      </c>
      <c r="CF489" s="1894">
        <v>46.29</v>
      </c>
      <c r="CG489" s="1894">
        <v>67994</v>
      </c>
      <c r="CH489" s="1894">
        <f t="shared" si="203"/>
        <v>88137</v>
      </c>
      <c r="CI489" s="1894">
        <f t="shared" si="204"/>
        <v>0</v>
      </c>
      <c r="CJ489" s="1894">
        <v>351</v>
      </c>
      <c r="CK489" s="1894">
        <v>187.84</v>
      </c>
      <c r="CL489" s="1894">
        <v>280.8</v>
      </c>
      <c r="CM489" s="1894">
        <v>0.94889999999999997</v>
      </c>
      <c r="CN489" s="1894">
        <v>51.97</v>
      </c>
      <c r="CO489" s="1894">
        <v>65598</v>
      </c>
      <c r="CP489" s="1894">
        <f t="shared" si="205"/>
        <v>75737</v>
      </c>
      <c r="CQ489" s="1894">
        <f t="shared" si="206"/>
        <v>0</v>
      </c>
      <c r="CR489" s="1924">
        <v>351</v>
      </c>
      <c r="CS489" s="1924">
        <v>187.52</v>
      </c>
      <c r="CT489" s="1924">
        <v>280.8</v>
      </c>
      <c r="CU489" s="1924">
        <v>0.95650000000000002</v>
      </c>
      <c r="CV489" s="1924">
        <v>48.61</v>
      </c>
      <c r="CW489" s="1924">
        <v>67822</v>
      </c>
      <c r="CX489" s="1894">
        <f t="shared" si="207"/>
        <v>83709</v>
      </c>
      <c r="CY489" s="1894">
        <f t="shared" si="208"/>
        <v>0</v>
      </c>
    </row>
    <row r="490" spans="1:103">
      <c r="A490" s="982">
        <v>121000000043</v>
      </c>
      <c r="B490" s="1923">
        <f t="shared" si="209"/>
        <v>484</v>
      </c>
      <c r="C490" s="1895" t="s">
        <v>3365</v>
      </c>
      <c r="D490" s="1894" t="s">
        <v>524</v>
      </c>
      <c r="E490" s="1895" t="s">
        <v>541</v>
      </c>
      <c r="F490" s="1894" t="s">
        <v>259</v>
      </c>
      <c r="G490" s="1924">
        <v>351</v>
      </c>
      <c r="H490" s="1894">
        <v>351</v>
      </c>
      <c r="I490" s="1894">
        <v>315.60000000000002</v>
      </c>
      <c r="J490" s="1894">
        <v>315.60000000000002</v>
      </c>
      <c r="K490" s="1894">
        <v>0.99890000000000001</v>
      </c>
      <c r="L490" s="1894">
        <v>64.099999999999994</v>
      </c>
      <c r="M490" s="1894">
        <v>145662</v>
      </c>
      <c r="N490" s="1894">
        <f t="shared" si="187"/>
        <v>136339</v>
      </c>
      <c r="O490" s="1894">
        <f t="shared" si="188"/>
        <v>9323</v>
      </c>
      <c r="P490" s="1894">
        <v>351</v>
      </c>
      <c r="Q490" s="1894">
        <v>344.4</v>
      </c>
      <c r="R490" s="1894">
        <v>344.4</v>
      </c>
      <c r="S490" s="1894">
        <v>0.99709999999999999</v>
      </c>
      <c r="T490" s="1894">
        <v>53.75</v>
      </c>
      <c r="U490" s="1894">
        <v>137736</v>
      </c>
      <c r="V490" s="1894">
        <f t="shared" si="189"/>
        <v>153740</v>
      </c>
      <c r="W490" s="1894">
        <f t="shared" si="190"/>
        <v>0</v>
      </c>
      <c r="X490" s="1894">
        <v>351</v>
      </c>
      <c r="Y490" s="1894">
        <v>360.71999999999997</v>
      </c>
      <c r="Z490" s="1894">
        <v>360.72</v>
      </c>
      <c r="AA490" s="1894">
        <v>0.99719999999999998</v>
      </c>
      <c r="AB490" s="1894">
        <v>50.5</v>
      </c>
      <c r="AC490" s="1894">
        <v>131151</v>
      </c>
      <c r="AD490" s="1894">
        <f t="shared" si="191"/>
        <v>155831</v>
      </c>
      <c r="AE490" s="1894">
        <f t="shared" si="192"/>
        <v>0</v>
      </c>
      <c r="AF490" s="1894">
        <v>351</v>
      </c>
      <c r="AG490" s="1894">
        <v>341.76</v>
      </c>
      <c r="AH490" s="1894">
        <v>341.76</v>
      </c>
      <c r="AI490" s="1894">
        <v>0.997</v>
      </c>
      <c r="AJ490" s="1894">
        <v>55.65</v>
      </c>
      <c r="AK490" s="1894">
        <v>141510</v>
      </c>
      <c r="AL490" s="1894">
        <f t="shared" si="210"/>
        <v>152562</v>
      </c>
      <c r="AM490" s="1894">
        <f t="shared" si="211"/>
        <v>0</v>
      </c>
      <c r="AN490" s="1894">
        <v>351</v>
      </c>
      <c r="AO490" s="1894">
        <v>300.23999999999995</v>
      </c>
      <c r="AP490" s="1894">
        <v>300.24</v>
      </c>
      <c r="AQ490" s="1894">
        <v>0.99309999999999998</v>
      </c>
      <c r="AR490" s="1894">
        <v>51.94</v>
      </c>
      <c r="AS490" s="1894">
        <v>116025</v>
      </c>
      <c r="AT490" s="1894">
        <f t="shared" si="193"/>
        <v>134027</v>
      </c>
      <c r="AU490" s="1894">
        <f t="shared" si="194"/>
        <v>0</v>
      </c>
      <c r="AV490" s="1894">
        <v>351</v>
      </c>
      <c r="AW490" s="1894">
        <v>328.8</v>
      </c>
      <c r="AX490" s="1894">
        <v>328.8</v>
      </c>
      <c r="AY490" s="1894">
        <v>0.99380000000000002</v>
      </c>
      <c r="AZ490" s="1894">
        <v>49.97</v>
      </c>
      <c r="BA490" s="1894">
        <v>118302</v>
      </c>
      <c r="BB490" s="1894">
        <f t="shared" si="195"/>
        <v>142042</v>
      </c>
      <c r="BC490" s="1894">
        <f t="shared" si="196"/>
        <v>0</v>
      </c>
      <c r="BD490" s="1894">
        <v>351</v>
      </c>
      <c r="BE490" s="1894">
        <v>287.04000000000002</v>
      </c>
      <c r="BF490" s="1894">
        <v>287.04000000000002</v>
      </c>
      <c r="BG490" s="1894">
        <v>0.99250000000000005</v>
      </c>
      <c r="BH490" s="1894">
        <v>28.44</v>
      </c>
      <c r="BI490" s="1894">
        <v>60735</v>
      </c>
      <c r="BJ490" s="1894">
        <f t="shared" si="197"/>
        <v>128135</v>
      </c>
      <c r="BK490" s="1894">
        <f t="shared" si="198"/>
        <v>0</v>
      </c>
      <c r="BL490" s="1894">
        <v>351</v>
      </c>
      <c r="BM490" s="1894">
        <v>17.52</v>
      </c>
      <c r="BN490" s="1894">
        <v>280.8</v>
      </c>
      <c r="BO490" s="1894">
        <v>0.97099999999999997</v>
      </c>
      <c r="BP490" s="1894">
        <v>18.05</v>
      </c>
      <c r="BQ490" s="1894">
        <v>2277</v>
      </c>
      <c r="BR490" s="1894">
        <f t="shared" si="199"/>
        <v>7569</v>
      </c>
      <c r="BS490" s="1894">
        <f t="shared" si="200"/>
        <v>0</v>
      </c>
      <c r="BT490" s="1894">
        <v>351</v>
      </c>
      <c r="BU490" s="1894">
        <v>30.240000000000002</v>
      </c>
      <c r="BV490" s="1894">
        <v>280.8</v>
      </c>
      <c r="BW490" s="1894">
        <v>0.9667</v>
      </c>
      <c r="BX490" s="1894">
        <v>10.81</v>
      </c>
      <c r="BY490" s="1894">
        <v>2433</v>
      </c>
      <c r="BZ490" s="1894">
        <f t="shared" si="201"/>
        <v>13499</v>
      </c>
      <c r="CA490" s="1894">
        <f t="shared" si="202"/>
        <v>0</v>
      </c>
      <c r="CB490" s="1894">
        <v>351</v>
      </c>
      <c r="CC490" s="1894">
        <v>313.2</v>
      </c>
      <c r="CD490" s="1894">
        <v>313.2</v>
      </c>
      <c r="CE490" s="1894">
        <v>0.97370000000000001</v>
      </c>
      <c r="CF490" s="1894">
        <v>5.21</v>
      </c>
      <c r="CG490" s="1894">
        <v>12129</v>
      </c>
      <c r="CH490" s="1894">
        <f t="shared" si="203"/>
        <v>139812</v>
      </c>
      <c r="CI490" s="1894">
        <f t="shared" si="204"/>
        <v>0</v>
      </c>
      <c r="CJ490" s="1894">
        <v>351</v>
      </c>
      <c r="CK490" s="1894">
        <v>359.76</v>
      </c>
      <c r="CL490" s="1894">
        <v>359.76</v>
      </c>
      <c r="CM490" s="1894">
        <v>0.97850000000000004</v>
      </c>
      <c r="CN490" s="1894">
        <v>28.07</v>
      </c>
      <c r="CO490" s="1894">
        <v>67857</v>
      </c>
      <c r="CP490" s="1894">
        <f t="shared" si="205"/>
        <v>145055</v>
      </c>
      <c r="CQ490" s="1894">
        <f t="shared" si="206"/>
        <v>0</v>
      </c>
      <c r="CR490" s="1924">
        <v>351</v>
      </c>
      <c r="CS490" s="1924">
        <v>416.64</v>
      </c>
      <c r="CT490" s="1924">
        <v>416.64</v>
      </c>
      <c r="CU490" s="1924">
        <v>0.99060000000000004</v>
      </c>
      <c r="CV490" s="1924">
        <v>30.79</v>
      </c>
      <c r="CW490" s="1924">
        <v>95457</v>
      </c>
      <c r="CX490" s="1894">
        <f t="shared" si="207"/>
        <v>185988</v>
      </c>
      <c r="CY490" s="1894">
        <f t="shared" si="208"/>
        <v>0</v>
      </c>
    </row>
    <row r="491" spans="1:103">
      <c r="A491" s="982">
        <v>121000000005</v>
      </c>
      <c r="B491" s="1923">
        <f t="shared" si="209"/>
        <v>485</v>
      </c>
      <c r="C491" s="1895" t="s">
        <v>3366</v>
      </c>
      <c r="D491" s="1894" t="s">
        <v>524</v>
      </c>
      <c r="E491" s="1895" t="s">
        <v>541</v>
      </c>
      <c r="F491" s="1894" t="s">
        <v>259</v>
      </c>
      <c r="G491" s="1924">
        <v>353</v>
      </c>
      <c r="H491" s="1894">
        <v>353</v>
      </c>
      <c r="I491" s="1894">
        <v>360</v>
      </c>
      <c r="J491" s="1894">
        <v>360</v>
      </c>
      <c r="K491" s="1894">
        <v>0.9899</v>
      </c>
      <c r="L491" s="1894">
        <v>23.96</v>
      </c>
      <c r="M491" s="1894">
        <v>62095</v>
      </c>
      <c r="N491" s="1894">
        <f t="shared" si="187"/>
        <v>155520</v>
      </c>
      <c r="O491" s="1894">
        <f t="shared" si="188"/>
        <v>0</v>
      </c>
      <c r="P491" s="1894">
        <v>353</v>
      </c>
      <c r="Q491" s="1894">
        <v>375</v>
      </c>
      <c r="R491" s="1894">
        <v>375</v>
      </c>
      <c r="S491" s="1894">
        <v>0.98839999999999995</v>
      </c>
      <c r="T491" s="1894">
        <v>23.9</v>
      </c>
      <c r="U491" s="1894">
        <v>66670</v>
      </c>
      <c r="V491" s="1894">
        <f t="shared" si="189"/>
        <v>167400</v>
      </c>
      <c r="W491" s="1894">
        <f t="shared" si="190"/>
        <v>0</v>
      </c>
      <c r="X491" s="1894">
        <v>353</v>
      </c>
      <c r="Y491" s="1894">
        <v>382.2</v>
      </c>
      <c r="Z491" s="1894">
        <v>382.2</v>
      </c>
      <c r="AA491" s="1894">
        <v>0.98570000000000002</v>
      </c>
      <c r="AB491" s="1894">
        <v>27.54</v>
      </c>
      <c r="AC491" s="1894">
        <v>75778</v>
      </c>
      <c r="AD491" s="1894">
        <f t="shared" si="191"/>
        <v>165110</v>
      </c>
      <c r="AE491" s="1894">
        <f t="shared" si="192"/>
        <v>0</v>
      </c>
      <c r="AF491" s="1894">
        <v>353</v>
      </c>
      <c r="AG491" s="1894">
        <v>394.6</v>
      </c>
      <c r="AH491" s="1894">
        <v>394.6</v>
      </c>
      <c r="AI491" s="1894">
        <v>0.98219999999999996</v>
      </c>
      <c r="AJ491" s="1894">
        <v>30.37</v>
      </c>
      <c r="AK491" s="1894">
        <v>89173</v>
      </c>
      <c r="AL491" s="1894">
        <f t="shared" si="210"/>
        <v>176149</v>
      </c>
      <c r="AM491" s="1894">
        <f t="shared" si="211"/>
        <v>0</v>
      </c>
      <c r="AN491" s="1894">
        <v>353</v>
      </c>
      <c r="AO491" s="1894">
        <v>283.2</v>
      </c>
      <c r="AP491" s="1894">
        <v>283.2</v>
      </c>
      <c r="AQ491" s="1894">
        <v>0.97989999999999999</v>
      </c>
      <c r="AR491" s="1894">
        <v>40.909999999999997</v>
      </c>
      <c r="AS491" s="1894">
        <v>86208</v>
      </c>
      <c r="AT491" s="1894">
        <f t="shared" si="193"/>
        <v>126420</v>
      </c>
      <c r="AU491" s="1894">
        <f t="shared" si="194"/>
        <v>0</v>
      </c>
      <c r="AV491" s="1894">
        <v>353</v>
      </c>
      <c r="AW491" s="1894">
        <v>400.4</v>
      </c>
      <c r="AX491" s="1894">
        <v>400.4</v>
      </c>
      <c r="AY491" s="1894">
        <v>0.97709999999999997</v>
      </c>
      <c r="AZ491" s="1894">
        <v>34.340000000000003</v>
      </c>
      <c r="BA491" s="1894">
        <v>99008</v>
      </c>
      <c r="BB491" s="1894">
        <f t="shared" si="195"/>
        <v>172973</v>
      </c>
      <c r="BC491" s="1894">
        <f t="shared" si="196"/>
        <v>0</v>
      </c>
      <c r="BD491" s="1894">
        <v>353</v>
      </c>
      <c r="BE491" s="1894">
        <v>499.40000000000003</v>
      </c>
      <c r="BF491" s="1894">
        <v>499.4</v>
      </c>
      <c r="BG491" s="1894">
        <v>0.96279999999999999</v>
      </c>
      <c r="BH491" s="1894">
        <v>27.81</v>
      </c>
      <c r="BI491" s="1894">
        <v>103332</v>
      </c>
      <c r="BJ491" s="1894">
        <f t="shared" si="197"/>
        <v>222932</v>
      </c>
      <c r="BK491" s="1894">
        <f t="shared" si="198"/>
        <v>0</v>
      </c>
      <c r="BL491" s="1894">
        <v>353</v>
      </c>
      <c r="BM491" s="1894">
        <v>401.4</v>
      </c>
      <c r="BN491" s="1894">
        <v>401.4</v>
      </c>
      <c r="BO491" s="1894">
        <v>0.98609999999999998</v>
      </c>
      <c r="BP491" s="1894">
        <v>25.99</v>
      </c>
      <c r="BQ491" s="1894">
        <v>75103</v>
      </c>
      <c r="BR491" s="1894">
        <f t="shared" si="199"/>
        <v>173405</v>
      </c>
      <c r="BS491" s="1894">
        <f t="shared" si="200"/>
        <v>0</v>
      </c>
      <c r="BT491" s="1894">
        <v>353</v>
      </c>
      <c r="BU491" s="1894">
        <v>408.8</v>
      </c>
      <c r="BV491" s="1894">
        <v>408.8</v>
      </c>
      <c r="BW491" s="1894">
        <v>0.98470000000000002</v>
      </c>
      <c r="BX491" s="1894">
        <v>19.190000000000001</v>
      </c>
      <c r="BY491" s="1894">
        <v>58372</v>
      </c>
      <c r="BZ491" s="1894">
        <f t="shared" si="201"/>
        <v>182488</v>
      </c>
      <c r="CA491" s="1894">
        <f t="shared" si="202"/>
        <v>0</v>
      </c>
      <c r="CB491" s="1894">
        <v>353</v>
      </c>
      <c r="CC491" s="1894">
        <v>403.4</v>
      </c>
      <c r="CD491" s="1894">
        <v>403.4</v>
      </c>
      <c r="CE491" s="1894">
        <v>0.9708</v>
      </c>
      <c r="CF491" s="1894">
        <v>13.42</v>
      </c>
      <c r="CG491" s="1894">
        <v>40283</v>
      </c>
      <c r="CH491" s="1894">
        <f t="shared" si="203"/>
        <v>180078</v>
      </c>
      <c r="CI491" s="1894">
        <f t="shared" si="204"/>
        <v>0</v>
      </c>
      <c r="CJ491" s="1894">
        <v>353</v>
      </c>
      <c r="CK491" s="1894">
        <v>411.6</v>
      </c>
      <c r="CL491" s="1894">
        <v>411.6</v>
      </c>
      <c r="CM491" s="1894">
        <v>0.97050000000000003</v>
      </c>
      <c r="CN491" s="1894">
        <v>18.010000000000002</v>
      </c>
      <c r="CO491" s="1894">
        <v>49808</v>
      </c>
      <c r="CP491" s="1894">
        <f t="shared" si="205"/>
        <v>165957</v>
      </c>
      <c r="CQ491" s="1894">
        <f t="shared" si="206"/>
        <v>0</v>
      </c>
      <c r="CR491" s="1924">
        <v>353</v>
      </c>
      <c r="CS491" s="1924">
        <v>436</v>
      </c>
      <c r="CT491" s="1924">
        <v>436</v>
      </c>
      <c r="CU491" s="1924">
        <v>0.97689999999999999</v>
      </c>
      <c r="CV491" s="1924">
        <v>23.62</v>
      </c>
      <c r="CW491" s="1924">
        <v>76630</v>
      </c>
      <c r="CX491" s="1894">
        <f t="shared" si="207"/>
        <v>194630</v>
      </c>
      <c r="CY491" s="1894">
        <f t="shared" si="208"/>
        <v>0</v>
      </c>
    </row>
    <row r="492" spans="1:103">
      <c r="A492" s="982">
        <v>613000000021</v>
      </c>
      <c r="B492" s="1923">
        <f t="shared" si="209"/>
        <v>486</v>
      </c>
      <c r="C492" s="1895" t="s">
        <v>3367</v>
      </c>
      <c r="D492" s="1894" t="s">
        <v>524</v>
      </c>
      <c r="E492" s="1895" t="s">
        <v>541</v>
      </c>
      <c r="F492" s="1894" t="s">
        <v>259</v>
      </c>
      <c r="G492" s="1924">
        <v>356</v>
      </c>
      <c r="H492" s="1894">
        <v>356</v>
      </c>
      <c r="I492" s="1894">
        <v>147</v>
      </c>
      <c r="J492" s="1894">
        <v>284.8</v>
      </c>
      <c r="K492" s="1894">
        <v>0.97909999999999997</v>
      </c>
      <c r="L492" s="1894">
        <v>51.02</v>
      </c>
      <c r="M492" s="1894">
        <v>57600</v>
      </c>
      <c r="N492" s="1894">
        <f t="shared" si="187"/>
        <v>63504</v>
      </c>
      <c r="O492" s="1894">
        <f t="shared" si="188"/>
        <v>0</v>
      </c>
      <c r="P492" s="1894">
        <v>356</v>
      </c>
      <c r="Q492" s="1894">
        <v>148</v>
      </c>
      <c r="R492" s="1894">
        <v>284.8</v>
      </c>
      <c r="S492" s="1894">
        <v>0.98519999999999996</v>
      </c>
      <c r="T492" s="1894">
        <v>56.3</v>
      </c>
      <c r="U492" s="1894">
        <v>65998</v>
      </c>
      <c r="V492" s="1894">
        <f t="shared" si="189"/>
        <v>66067</v>
      </c>
      <c r="W492" s="1894">
        <f t="shared" si="190"/>
        <v>0</v>
      </c>
      <c r="X492" s="1894">
        <v>356</v>
      </c>
      <c r="Y492" s="1894">
        <v>191.8</v>
      </c>
      <c r="Z492" s="1894">
        <v>284.8</v>
      </c>
      <c r="AA492" s="1894">
        <v>0.91879999999999995</v>
      </c>
      <c r="AB492" s="1894">
        <v>36.799999999999997</v>
      </c>
      <c r="AC492" s="1894">
        <v>50823</v>
      </c>
      <c r="AD492" s="1894">
        <f t="shared" si="191"/>
        <v>82858</v>
      </c>
      <c r="AE492" s="1894">
        <f t="shared" si="192"/>
        <v>0</v>
      </c>
      <c r="AF492" s="1894">
        <v>356</v>
      </c>
      <c r="AG492" s="1894">
        <v>131.80000000000001</v>
      </c>
      <c r="AH492" s="1894">
        <v>284.8</v>
      </c>
      <c r="AI492" s="1894">
        <v>0.94279999999999997</v>
      </c>
      <c r="AJ492" s="1894">
        <v>12.4</v>
      </c>
      <c r="AK492" s="1894">
        <v>11373</v>
      </c>
      <c r="AL492" s="1894">
        <f t="shared" si="210"/>
        <v>58836</v>
      </c>
      <c r="AM492" s="1894">
        <f t="shared" si="211"/>
        <v>0</v>
      </c>
      <c r="AN492" s="1894">
        <v>356</v>
      </c>
      <c r="AO492" s="1894">
        <v>10.4</v>
      </c>
      <c r="AP492" s="1894">
        <v>284.8</v>
      </c>
      <c r="AQ492" s="1894">
        <v>0.68230000000000002</v>
      </c>
      <c r="AR492" s="1894">
        <v>113.11</v>
      </c>
      <c r="AS492" s="1894">
        <v>9317</v>
      </c>
      <c r="AT492" s="1894">
        <f t="shared" si="193"/>
        <v>4643</v>
      </c>
      <c r="AU492" s="1894">
        <f t="shared" si="194"/>
        <v>4674</v>
      </c>
      <c r="AV492" s="1894">
        <v>356</v>
      </c>
      <c r="AW492" s="1894">
        <v>56.800000000000004</v>
      </c>
      <c r="AX492" s="1894">
        <v>284.8</v>
      </c>
      <c r="AY492" s="1894">
        <v>0.8579</v>
      </c>
      <c r="AZ492" s="1894">
        <v>4.5999999999999996</v>
      </c>
      <c r="BA492" s="1894">
        <v>1880</v>
      </c>
      <c r="BB492" s="1894">
        <f t="shared" si="195"/>
        <v>24538</v>
      </c>
      <c r="BC492" s="1894">
        <f t="shared" si="196"/>
        <v>0</v>
      </c>
      <c r="BD492" s="1894">
        <v>356</v>
      </c>
      <c r="BE492" s="1894">
        <v>23.2</v>
      </c>
      <c r="BF492" s="1894">
        <v>284.8</v>
      </c>
      <c r="BG492" s="1894">
        <v>0.55769999999999997</v>
      </c>
      <c r="BH492" s="1894">
        <v>18.510000000000002</v>
      </c>
      <c r="BI492" s="1894">
        <v>3195</v>
      </c>
      <c r="BJ492" s="1894">
        <f t="shared" si="197"/>
        <v>10356</v>
      </c>
      <c r="BK492" s="1894">
        <f t="shared" si="198"/>
        <v>0</v>
      </c>
      <c r="BL492" s="1894">
        <v>356</v>
      </c>
      <c r="BM492" s="1894">
        <v>154.4</v>
      </c>
      <c r="BN492" s="1894">
        <v>284.8</v>
      </c>
      <c r="BO492" s="1894">
        <v>0.32950000000000002</v>
      </c>
      <c r="BP492" s="1894">
        <v>4.78</v>
      </c>
      <c r="BQ492" s="1894">
        <v>5310</v>
      </c>
      <c r="BR492" s="1894">
        <f t="shared" si="199"/>
        <v>66701</v>
      </c>
      <c r="BS492" s="1894">
        <f t="shared" si="200"/>
        <v>0</v>
      </c>
      <c r="BT492" s="1894">
        <v>356</v>
      </c>
      <c r="BU492" s="1894">
        <v>188.4</v>
      </c>
      <c r="BV492" s="1894">
        <v>284.8</v>
      </c>
      <c r="BW492" s="1894">
        <v>0.73099999999999998</v>
      </c>
      <c r="BX492" s="1894">
        <v>11.48</v>
      </c>
      <c r="BY492" s="1894">
        <v>16097</v>
      </c>
      <c r="BZ492" s="1894">
        <f t="shared" si="201"/>
        <v>84102</v>
      </c>
      <c r="CA492" s="1894">
        <f t="shared" si="202"/>
        <v>0</v>
      </c>
      <c r="CB492" s="1894">
        <v>356</v>
      </c>
      <c r="CC492" s="1894">
        <v>135</v>
      </c>
      <c r="CD492" s="1894">
        <v>284.8</v>
      </c>
      <c r="CE492" s="1894">
        <v>0.96850000000000003</v>
      </c>
      <c r="CF492" s="1894">
        <v>36.799999999999997</v>
      </c>
      <c r="CG492" s="1894">
        <v>36960</v>
      </c>
      <c r="CH492" s="1894">
        <f t="shared" si="203"/>
        <v>60264</v>
      </c>
      <c r="CI492" s="1894">
        <f t="shared" si="204"/>
        <v>0</v>
      </c>
      <c r="CJ492" s="1894">
        <v>356</v>
      </c>
      <c r="CK492" s="1894">
        <v>147.60000000000002</v>
      </c>
      <c r="CL492" s="1894">
        <v>284.8</v>
      </c>
      <c r="CM492" s="1894">
        <v>0.98219999999999996</v>
      </c>
      <c r="CN492" s="1894">
        <v>54.31</v>
      </c>
      <c r="CO492" s="1894">
        <v>53870</v>
      </c>
      <c r="CP492" s="1894">
        <f t="shared" si="205"/>
        <v>59512</v>
      </c>
      <c r="CQ492" s="1894">
        <f t="shared" si="206"/>
        <v>0</v>
      </c>
      <c r="CR492" s="1924">
        <v>356</v>
      </c>
      <c r="CS492" s="1924">
        <v>144.6</v>
      </c>
      <c r="CT492" s="1924">
        <v>284.8</v>
      </c>
      <c r="CU492" s="1924">
        <v>0.9829</v>
      </c>
      <c r="CV492" s="1924">
        <v>50.9</v>
      </c>
      <c r="CW492" s="1924">
        <v>49460</v>
      </c>
      <c r="CX492" s="1894">
        <f t="shared" si="207"/>
        <v>64549</v>
      </c>
      <c r="CY492" s="1894">
        <f t="shared" si="208"/>
        <v>0</v>
      </c>
    </row>
    <row r="493" spans="1:103">
      <c r="A493" s="982">
        <v>614000000001</v>
      </c>
      <c r="B493" s="1923">
        <f t="shared" si="209"/>
        <v>487</v>
      </c>
      <c r="C493" s="1895" t="s">
        <v>3368</v>
      </c>
      <c r="D493" s="1894" t="s">
        <v>524</v>
      </c>
      <c r="E493" s="1895" t="s">
        <v>737</v>
      </c>
      <c r="F493" s="1894" t="s">
        <v>259</v>
      </c>
      <c r="G493" s="1924">
        <v>356</v>
      </c>
      <c r="H493" s="1894">
        <v>356</v>
      </c>
      <c r="I493" s="1894">
        <v>133.91999999999999</v>
      </c>
      <c r="J493" s="1894">
        <v>284.8</v>
      </c>
      <c r="K493" s="1894">
        <v>0.95479999999999998</v>
      </c>
      <c r="L493" s="1894">
        <v>36.81</v>
      </c>
      <c r="M493" s="1894">
        <v>35492</v>
      </c>
      <c r="N493" s="1894">
        <f t="shared" si="187"/>
        <v>57853</v>
      </c>
      <c r="O493" s="1894">
        <f t="shared" si="188"/>
        <v>0</v>
      </c>
      <c r="P493" s="1894">
        <v>356</v>
      </c>
      <c r="Q493" s="1894">
        <v>140.32</v>
      </c>
      <c r="R493" s="1894">
        <v>284.8</v>
      </c>
      <c r="S493" s="1894">
        <v>0.95199999999999996</v>
      </c>
      <c r="T493" s="1894">
        <v>34.86</v>
      </c>
      <c r="U493" s="1894">
        <v>36388</v>
      </c>
      <c r="V493" s="1894">
        <f t="shared" si="189"/>
        <v>62639</v>
      </c>
      <c r="W493" s="1894">
        <f t="shared" si="190"/>
        <v>0</v>
      </c>
      <c r="X493" s="1894">
        <v>356</v>
      </c>
      <c r="Y493" s="1894">
        <v>123.83999999999999</v>
      </c>
      <c r="Z493" s="1894">
        <v>284.8</v>
      </c>
      <c r="AA493" s="1894">
        <v>0.94310000000000005</v>
      </c>
      <c r="AB493" s="1894">
        <v>39.92</v>
      </c>
      <c r="AC493" s="1894">
        <v>35594</v>
      </c>
      <c r="AD493" s="1894">
        <f t="shared" si="191"/>
        <v>53499</v>
      </c>
      <c r="AE493" s="1894">
        <f t="shared" si="192"/>
        <v>0</v>
      </c>
      <c r="AF493" s="1894">
        <v>356</v>
      </c>
      <c r="AG493" s="1894">
        <v>112.00000000000001</v>
      </c>
      <c r="AH493" s="1894">
        <v>284.8</v>
      </c>
      <c r="AI493" s="1894">
        <v>0.94040000000000001</v>
      </c>
      <c r="AJ493" s="1894">
        <v>41.87</v>
      </c>
      <c r="AK493" s="1894">
        <v>34886</v>
      </c>
      <c r="AL493" s="1894">
        <f t="shared" si="210"/>
        <v>49997</v>
      </c>
      <c r="AM493" s="1894">
        <f t="shared" si="211"/>
        <v>0</v>
      </c>
      <c r="AN493" s="1894">
        <v>356</v>
      </c>
      <c r="AO493" s="1894">
        <v>113.6</v>
      </c>
      <c r="AP493" s="1894">
        <v>284.8</v>
      </c>
      <c r="AQ493" s="1894">
        <v>0.91969999999999996</v>
      </c>
      <c r="AR493" s="1894">
        <v>42.95</v>
      </c>
      <c r="AS493" s="1894">
        <v>36298</v>
      </c>
      <c r="AT493" s="1894">
        <f t="shared" si="193"/>
        <v>50711</v>
      </c>
      <c r="AU493" s="1894">
        <f t="shared" si="194"/>
        <v>0</v>
      </c>
      <c r="AV493" s="1894">
        <v>356</v>
      </c>
      <c r="AW493" s="1894">
        <v>106.56000000000002</v>
      </c>
      <c r="AX493" s="1894">
        <v>284.8</v>
      </c>
      <c r="AY493" s="1894">
        <v>0.94110000000000005</v>
      </c>
      <c r="AZ493" s="1894">
        <v>45.93</v>
      </c>
      <c r="BA493" s="1894">
        <v>35236</v>
      </c>
      <c r="BB493" s="1894">
        <f t="shared" si="195"/>
        <v>46034</v>
      </c>
      <c r="BC493" s="1894">
        <f t="shared" si="196"/>
        <v>0</v>
      </c>
      <c r="BD493" s="1894">
        <v>356</v>
      </c>
      <c r="BE493" s="1894">
        <v>105.60000000000001</v>
      </c>
      <c r="BF493" s="1894">
        <v>284.8</v>
      </c>
      <c r="BG493" s="1894">
        <v>0.91479999999999995</v>
      </c>
      <c r="BH493" s="1894">
        <v>37.979999999999997</v>
      </c>
      <c r="BI493" s="1894">
        <v>29842</v>
      </c>
      <c r="BJ493" s="1894">
        <f t="shared" si="197"/>
        <v>47140</v>
      </c>
      <c r="BK493" s="1894">
        <f t="shared" si="198"/>
        <v>0</v>
      </c>
      <c r="BL493" s="1894">
        <v>356</v>
      </c>
      <c r="BM493" s="1894">
        <v>90.72</v>
      </c>
      <c r="BN493" s="1894">
        <v>284.8</v>
      </c>
      <c r="BO493" s="1894">
        <v>0.84440000000000004</v>
      </c>
      <c r="BP493" s="1894">
        <v>40.26</v>
      </c>
      <c r="BQ493" s="1894">
        <v>26296</v>
      </c>
      <c r="BR493" s="1894">
        <f t="shared" si="199"/>
        <v>39191</v>
      </c>
      <c r="BS493" s="1894">
        <f t="shared" si="200"/>
        <v>0</v>
      </c>
      <c r="BT493" s="1894">
        <v>356</v>
      </c>
      <c r="BU493" s="1894">
        <v>102.71999999999998</v>
      </c>
      <c r="BV493" s="1894">
        <v>284.8</v>
      </c>
      <c r="BW493" s="1894">
        <v>0.79059999999999997</v>
      </c>
      <c r="BX493" s="1894">
        <v>32.869999999999997</v>
      </c>
      <c r="BY493" s="1894">
        <v>25120</v>
      </c>
      <c r="BZ493" s="1894">
        <f t="shared" si="201"/>
        <v>45854</v>
      </c>
      <c r="CA493" s="1894">
        <f t="shared" si="202"/>
        <v>0</v>
      </c>
      <c r="CB493" s="1894">
        <v>356</v>
      </c>
      <c r="CC493" s="1894">
        <v>84.8</v>
      </c>
      <c r="CD493" s="1894">
        <v>284.8</v>
      </c>
      <c r="CE493" s="1894">
        <v>0.82740000000000002</v>
      </c>
      <c r="CF493" s="1894">
        <v>34.380000000000003</v>
      </c>
      <c r="CG493" s="1894">
        <v>21690</v>
      </c>
      <c r="CH493" s="1894">
        <f t="shared" si="203"/>
        <v>37855</v>
      </c>
      <c r="CI493" s="1894">
        <f t="shared" si="204"/>
        <v>0</v>
      </c>
      <c r="CJ493" s="1894">
        <v>356</v>
      </c>
      <c r="CK493" s="1894">
        <v>95.679999999999993</v>
      </c>
      <c r="CL493" s="1894">
        <v>284.8</v>
      </c>
      <c r="CM493" s="1894">
        <v>0.87039999999999995</v>
      </c>
      <c r="CN493" s="1894">
        <v>35.9</v>
      </c>
      <c r="CO493" s="1894">
        <v>23080</v>
      </c>
      <c r="CP493" s="1894">
        <f t="shared" si="205"/>
        <v>38578</v>
      </c>
      <c r="CQ493" s="1894">
        <f t="shared" si="206"/>
        <v>0</v>
      </c>
      <c r="CR493" s="1924">
        <v>356</v>
      </c>
      <c r="CS493" s="1924">
        <v>89.44</v>
      </c>
      <c r="CT493" s="1924">
        <v>284.8</v>
      </c>
      <c r="CU493" s="1924">
        <v>0.91449999999999998</v>
      </c>
      <c r="CV493" s="1924">
        <v>44.23</v>
      </c>
      <c r="CW493" s="1924">
        <v>29434</v>
      </c>
      <c r="CX493" s="1894">
        <f t="shared" si="207"/>
        <v>39926</v>
      </c>
      <c r="CY493" s="1894">
        <f t="shared" si="208"/>
        <v>0</v>
      </c>
    </row>
    <row r="494" spans="1:103">
      <c r="A494" s="982">
        <v>121000000040</v>
      </c>
      <c r="B494" s="1923">
        <f t="shared" si="209"/>
        <v>488</v>
      </c>
      <c r="C494" s="1895" t="s">
        <v>3369</v>
      </c>
      <c r="D494" s="1894" t="s">
        <v>524</v>
      </c>
      <c r="E494" s="1895" t="s">
        <v>2966</v>
      </c>
      <c r="F494" s="1894" t="s">
        <v>259</v>
      </c>
      <c r="G494" s="1924">
        <v>358</v>
      </c>
      <c r="H494" s="1894">
        <v>358</v>
      </c>
      <c r="I494" s="1894">
        <v>22.52</v>
      </c>
      <c r="J494" s="1894">
        <v>358</v>
      </c>
      <c r="K494" s="1894">
        <v>0.9889</v>
      </c>
      <c r="L494" s="1894">
        <v>0</v>
      </c>
      <c r="M494" s="1894">
        <v>5772</v>
      </c>
      <c r="N494" s="1894">
        <f t="shared" si="187"/>
        <v>9729</v>
      </c>
      <c r="O494" s="1894">
        <f t="shared" si="188"/>
        <v>0</v>
      </c>
      <c r="P494" s="1894">
        <v>358</v>
      </c>
      <c r="Q494" s="1894">
        <v>32.64</v>
      </c>
      <c r="R494" s="1894">
        <v>358</v>
      </c>
      <c r="S494" s="1894">
        <v>0.97560000000000002</v>
      </c>
      <c r="T494" s="1894">
        <v>0</v>
      </c>
      <c r="U494" s="1894">
        <v>8372</v>
      </c>
      <c r="V494" s="1894">
        <f t="shared" si="189"/>
        <v>14570</v>
      </c>
      <c r="W494" s="1894">
        <f t="shared" si="190"/>
        <v>0</v>
      </c>
      <c r="X494" s="1894">
        <v>358</v>
      </c>
      <c r="Y494" s="1894">
        <v>28.48</v>
      </c>
      <c r="Z494" s="1894">
        <v>358</v>
      </c>
      <c r="AA494" s="1894">
        <v>0.98</v>
      </c>
      <c r="AB494" s="1894">
        <v>0</v>
      </c>
      <c r="AC494" s="1894">
        <v>7306</v>
      </c>
      <c r="AD494" s="1894">
        <f t="shared" si="191"/>
        <v>12303</v>
      </c>
      <c r="AE494" s="1894">
        <f t="shared" si="192"/>
        <v>0</v>
      </c>
      <c r="AF494" s="1894">
        <v>358</v>
      </c>
      <c r="AG494" s="1894">
        <v>21.92</v>
      </c>
      <c r="AH494" s="1894">
        <v>358</v>
      </c>
      <c r="AI494" s="1894">
        <v>0.98580000000000001</v>
      </c>
      <c r="AJ494" s="1894">
        <v>0</v>
      </c>
      <c r="AK494" s="1894">
        <v>6918</v>
      </c>
      <c r="AL494" s="1894">
        <f t="shared" si="210"/>
        <v>9785</v>
      </c>
      <c r="AM494" s="1894">
        <f t="shared" si="211"/>
        <v>0</v>
      </c>
      <c r="AN494" s="1894">
        <v>358</v>
      </c>
      <c r="AO494" s="1894">
        <v>20.32</v>
      </c>
      <c r="AP494" s="1894">
        <v>358</v>
      </c>
      <c r="AQ494" s="1894">
        <v>0.94269999999999998</v>
      </c>
      <c r="AR494" s="1894">
        <v>0</v>
      </c>
      <c r="AS494" s="1894">
        <v>4678</v>
      </c>
      <c r="AT494" s="1894">
        <f t="shared" si="193"/>
        <v>9071</v>
      </c>
      <c r="AU494" s="1894">
        <f t="shared" si="194"/>
        <v>0</v>
      </c>
      <c r="AV494" s="1894">
        <v>358</v>
      </c>
      <c r="AW494" s="1894">
        <v>55.679999999999993</v>
      </c>
      <c r="AX494" s="1894">
        <v>358</v>
      </c>
      <c r="AY494" s="1894">
        <v>0.96160000000000001</v>
      </c>
      <c r="AZ494" s="1894">
        <v>0</v>
      </c>
      <c r="BA494" s="1894">
        <v>5422</v>
      </c>
      <c r="BB494" s="1894">
        <f t="shared" si="195"/>
        <v>24054</v>
      </c>
      <c r="BC494" s="1894">
        <f t="shared" si="196"/>
        <v>0</v>
      </c>
      <c r="BD494" s="1894">
        <v>358</v>
      </c>
      <c r="BE494" s="1894">
        <v>22.56</v>
      </c>
      <c r="BF494" s="1894">
        <v>358</v>
      </c>
      <c r="BG494" s="1894">
        <v>0.96409999999999996</v>
      </c>
      <c r="BH494" s="1894">
        <v>0</v>
      </c>
      <c r="BI494" s="1894">
        <v>7142</v>
      </c>
      <c r="BJ494" s="1894">
        <f t="shared" si="197"/>
        <v>10071</v>
      </c>
      <c r="BK494" s="1894">
        <f t="shared" si="198"/>
        <v>0</v>
      </c>
      <c r="BL494" s="1894">
        <v>358</v>
      </c>
      <c r="BM494" s="1894">
        <v>29.599999999999998</v>
      </c>
      <c r="BN494" s="1894">
        <v>358</v>
      </c>
      <c r="BO494" s="1894">
        <v>0.88729999999999998</v>
      </c>
      <c r="BP494" s="1894">
        <v>0</v>
      </c>
      <c r="BQ494" s="1894">
        <v>8982</v>
      </c>
      <c r="BR494" s="1894">
        <f t="shared" si="199"/>
        <v>12787</v>
      </c>
      <c r="BS494" s="1894">
        <f t="shared" si="200"/>
        <v>0</v>
      </c>
      <c r="BT494" s="1894">
        <v>358</v>
      </c>
      <c r="BU494" s="1894">
        <v>37.6</v>
      </c>
      <c r="BV494" s="1894">
        <v>358</v>
      </c>
      <c r="BW494" s="1894">
        <v>0.85589999999999999</v>
      </c>
      <c r="BX494" s="1894">
        <v>0</v>
      </c>
      <c r="BY494" s="1894">
        <v>10802</v>
      </c>
      <c r="BZ494" s="1894">
        <f t="shared" si="201"/>
        <v>16785</v>
      </c>
      <c r="CA494" s="1894">
        <f t="shared" si="202"/>
        <v>0</v>
      </c>
      <c r="CB494" s="1894">
        <v>358</v>
      </c>
      <c r="CC494" s="1894">
        <v>31.04</v>
      </c>
      <c r="CD494" s="1894">
        <v>358</v>
      </c>
      <c r="CE494" s="1894">
        <v>0.92830000000000001</v>
      </c>
      <c r="CF494" s="1894">
        <v>0</v>
      </c>
      <c r="CG494" s="1894">
        <v>10604</v>
      </c>
      <c r="CH494" s="1894">
        <f t="shared" si="203"/>
        <v>13856</v>
      </c>
      <c r="CI494" s="1894">
        <f t="shared" si="204"/>
        <v>0</v>
      </c>
      <c r="CJ494" s="1894">
        <v>358</v>
      </c>
      <c r="CK494" s="1894">
        <v>37.76</v>
      </c>
      <c r="CL494" s="1894">
        <v>358</v>
      </c>
      <c r="CM494" s="1894">
        <v>0.94310000000000005</v>
      </c>
      <c r="CN494" s="1894">
        <v>0</v>
      </c>
      <c r="CO494" s="1894">
        <v>10554</v>
      </c>
      <c r="CP494" s="1894">
        <f t="shared" si="205"/>
        <v>15225</v>
      </c>
      <c r="CQ494" s="1894">
        <f t="shared" si="206"/>
        <v>0</v>
      </c>
      <c r="CR494" s="1924">
        <v>358</v>
      </c>
      <c r="CS494" s="1924">
        <v>30.72</v>
      </c>
      <c r="CT494" s="1924">
        <v>358</v>
      </c>
      <c r="CU494" s="1924">
        <v>0.96679999999999999</v>
      </c>
      <c r="CV494" s="1924">
        <v>0</v>
      </c>
      <c r="CW494" s="1924">
        <v>9418</v>
      </c>
      <c r="CX494" s="1894">
        <f t="shared" si="207"/>
        <v>13713</v>
      </c>
      <c r="CY494" s="1894">
        <f t="shared" si="208"/>
        <v>0</v>
      </c>
    </row>
    <row r="495" spans="1:103">
      <c r="A495" s="982">
        <v>126000000031</v>
      </c>
      <c r="B495" s="1923">
        <f t="shared" si="209"/>
        <v>489</v>
      </c>
      <c r="C495" s="1895" t="s">
        <v>3370</v>
      </c>
      <c r="D495" s="1894" t="s">
        <v>524</v>
      </c>
      <c r="E495" s="1895" t="s">
        <v>541</v>
      </c>
      <c r="F495" s="1894" t="s">
        <v>259</v>
      </c>
      <c r="G495" s="1924">
        <v>361</v>
      </c>
      <c r="H495" s="1894">
        <v>361</v>
      </c>
      <c r="I495" s="1894">
        <v>310.24</v>
      </c>
      <c r="J495" s="1894">
        <v>310.24</v>
      </c>
      <c r="K495" s="1894">
        <v>0.85570000000000002</v>
      </c>
      <c r="L495" s="1894">
        <v>23</v>
      </c>
      <c r="M495" s="1894">
        <v>51380</v>
      </c>
      <c r="N495" s="1894">
        <f t="shared" si="187"/>
        <v>134024</v>
      </c>
      <c r="O495" s="1894">
        <f t="shared" si="188"/>
        <v>0</v>
      </c>
      <c r="P495" s="1894">
        <v>361</v>
      </c>
      <c r="Q495" s="1894">
        <v>303.36</v>
      </c>
      <c r="R495" s="1894">
        <v>303.36</v>
      </c>
      <c r="S495" s="1894">
        <v>0.85519999999999996</v>
      </c>
      <c r="T495" s="1894">
        <v>26.04</v>
      </c>
      <c r="U495" s="1894">
        <v>58766</v>
      </c>
      <c r="V495" s="1894">
        <f t="shared" si="189"/>
        <v>135420</v>
      </c>
      <c r="W495" s="1894">
        <f t="shared" si="190"/>
        <v>0</v>
      </c>
      <c r="X495" s="1894">
        <v>361</v>
      </c>
      <c r="Y495" s="1894">
        <v>312.15999999999997</v>
      </c>
      <c r="Z495" s="1894">
        <v>312.16000000000003</v>
      </c>
      <c r="AA495" s="1894">
        <v>0.85940000000000005</v>
      </c>
      <c r="AB495" s="1894">
        <v>27.61</v>
      </c>
      <c r="AC495" s="1894">
        <v>62066</v>
      </c>
      <c r="AD495" s="1894">
        <f t="shared" si="191"/>
        <v>134853</v>
      </c>
      <c r="AE495" s="1894">
        <f t="shared" si="192"/>
        <v>0</v>
      </c>
      <c r="AF495" s="1894">
        <v>361</v>
      </c>
      <c r="AG495" s="1894">
        <v>331.04</v>
      </c>
      <c r="AH495" s="1894">
        <v>331.04</v>
      </c>
      <c r="AI495" s="1894">
        <v>0.84899999999999998</v>
      </c>
      <c r="AJ495" s="1894">
        <v>27.24</v>
      </c>
      <c r="AK495" s="1894">
        <v>67090</v>
      </c>
      <c r="AL495" s="1894">
        <f t="shared" si="210"/>
        <v>147776</v>
      </c>
      <c r="AM495" s="1894">
        <f t="shared" si="211"/>
        <v>0</v>
      </c>
      <c r="AN495" s="1894">
        <v>361</v>
      </c>
      <c r="AO495" s="1894">
        <v>346.24</v>
      </c>
      <c r="AP495" s="1894">
        <v>346.24</v>
      </c>
      <c r="AQ495" s="1894">
        <v>0.82150000000000001</v>
      </c>
      <c r="AR495" s="1894">
        <v>28.07</v>
      </c>
      <c r="AS495" s="1894">
        <v>72306</v>
      </c>
      <c r="AT495" s="1894">
        <f t="shared" si="193"/>
        <v>154562</v>
      </c>
      <c r="AU495" s="1894">
        <f t="shared" si="194"/>
        <v>0</v>
      </c>
      <c r="AV495" s="1894">
        <v>361</v>
      </c>
      <c r="AW495" s="1894">
        <v>358.40000000000003</v>
      </c>
      <c r="AX495" s="1894">
        <v>358.4</v>
      </c>
      <c r="AY495" s="1894">
        <v>0.85209999999999997</v>
      </c>
      <c r="AZ495" s="1894">
        <v>29.42</v>
      </c>
      <c r="BA495" s="1894">
        <v>75920</v>
      </c>
      <c r="BB495" s="1894">
        <f t="shared" si="195"/>
        <v>154829</v>
      </c>
      <c r="BC495" s="1894">
        <f t="shared" si="196"/>
        <v>0</v>
      </c>
      <c r="BD495" s="1894">
        <v>361</v>
      </c>
      <c r="BE495" s="1894">
        <v>360.15999999999997</v>
      </c>
      <c r="BF495" s="1894">
        <v>360.16</v>
      </c>
      <c r="BG495" s="1894">
        <v>0.89680000000000004</v>
      </c>
      <c r="BH495" s="1894">
        <v>27.72</v>
      </c>
      <c r="BI495" s="1894">
        <v>71880</v>
      </c>
      <c r="BJ495" s="1894">
        <f t="shared" si="197"/>
        <v>160775</v>
      </c>
      <c r="BK495" s="1894">
        <f t="shared" si="198"/>
        <v>0</v>
      </c>
      <c r="BL495" s="1894">
        <v>361</v>
      </c>
      <c r="BM495" s="1894">
        <v>378.08000000000004</v>
      </c>
      <c r="BN495" s="1894">
        <v>378.08</v>
      </c>
      <c r="BO495" s="1894">
        <v>0.92169999999999996</v>
      </c>
      <c r="BP495" s="1894">
        <v>38.630000000000003</v>
      </c>
      <c r="BQ495" s="1894">
        <v>108662</v>
      </c>
      <c r="BR495" s="1894">
        <f t="shared" si="199"/>
        <v>163331</v>
      </c>
      <c r="BS495" s="1894">
        <f t="shared" si="200"/>
        <v>0</v>
      </c>
      <c r="BT495" s="1894">
        <v>361</v>
      </c>
      <c r="BU495" s="1894">
        <v>330.88</v>
      </c>
      <c r="BV495" s="1894">
        <v>330.88</v>
      </c>
      <c r="BW495" s="1894">
        <v>0.94069999999999998</v>
      </c>
      <c r="BX495" s="1894">
        <v>23.74</v>
      </c>
      <c r="BY495" s="1894">
        <v>58454</v>
      </c>
      <c r="BZ495" s="1894">
        <f t="shared" si="201"/>
        <v>147705</v>
      </c>
      <c r="CA495" s="1894">
        <f t="shared" si="202"/>
        <v>0</v>
      </c>
      <c r="CB495" s="1894">
        <v>361</v>
      </c>
      <c r="CC495" s="1894">
        <v>332.8</v>
      </c>
      <c r="CD495" s="1894">
        <v>332.8</v>
      </c>
      <c r="CE495" s="1894">
        <v>0.95069999999999999</v>
      </c>
      <c r="CF495" s="1894">
        <v>26.38</v>
      </c>
      <c r="CG495" s="1894">
        <v>65328</v>
      </c>
      <c r="CH495" s="1894">
        <f t="shared" si="203"/>
        <v>148562</v>
      </c>
      <c r="CI495" s="1894">
        <f t="shared" si="204"/>
        <v>0</v>
      </c>
      <c r="CJ495" s="1894">
        <v>361</v>
      </c>
      <c r="CK495" s="1894">
        <v>315.68</v>
      </c>
      <c r="CL495" s="1894">
        <v>315.68</v>
      </c>
      <c r="CM495" s="1894">
        <v>0.94379999999999997</v>
      </c>
      <c r="CN495" s="1894">
        <v>33</v>
      </c>
      <c r="CO495" s="1894">
        <v>70010</v>
      </c>
      <c r="CP495" s="1894">
        <f t="shared" si="205"/>
        <v>127282</v>
      </c>
      <c r="CQ495" s="1894">
        <f t="shared" si="206"/>
        <v>0</v>
      </c>
      <c r="CR495" s="1924">
        <v>361</v>
      </c>
      <c r="CS495" s="1924">
        <v>360.96</v>
      </c>
      <c r="CT495" s="1924">
        <v>360.96</v>
      </c>
      <c r="CU495" s="1924">
        <v>0.95679999999999998</v>
      </c>
      <c r="CV495" s="1924">
        <v>24.89</v>
      </c>
      <c r="CW495" s="1924">
        <v>66834</v>
      </c>
      <c r="CX495" s="1894">
        <f t="shared" si="207"/>
        <v>161133</v>
      </c>
      <c r="CY495" s="1894">
        <f t="shared" si="208"/>
        <v>0</v>
      </c>
    </row>
    <row r="496" spans="1:103">
      <c r="A496" s="982">
        <v>611000000102</v>
      </c>
      <c r="B496" s="1923">
        <f t="shared" si="209"/>
        <v>490</v>
      </c>
      <c r="C496" s="1895" t="s">
        <v>3371</v>
      </c>
      <c r="D496" s="1894" t="s">
        <v>524</v>
      </c>
      <c r="E496" s="1895" t="s">
        <v>636</v>
      </c>
      <c r="F496" s="1894" t="s">
        <v>259</v>
      </c>
      <c r="G496" s="1924">
        <v>361</v>
      </c>
      <c r="H496" s="1894">
        <v>361</v>
      </c>
      <c r="I496" s="1894">
        <v>130.56</v>
      </c>
      <c r="J496" s="1894">
        <v>288.8</v>
      </c>
      <c r="K496" s="1894">
        <v>0.99890000000000001</v>
      </c>
      <c r="L496" s="1894">
        <v>56.16</v>
      </c>
      <c r="M496" s="1894">
        <v>52791</v>
      </c>
      <c r="N496" s="1894">
        <f t="shared" si="187"/>
        <v>56402</v>
      </c>
      <c r="O496" s="1894">
        <f t="shared" si="188"/>
        <v>0</v>
      </c>
      <c r="P496" s="1894">
        <v>361</v>
      </c>
      <c r="Q496" s="1894">
        <v>134.4</v>
      </c>
      <c r="R496" s="1894">
        <v>288.8</v>
      </c>
      <c r="S496" s="1894">
        <v>0.99919999999999998</v>
      </c>
      <c r="T496" s="1894">
        <v>54.53</v>
      </c>
      <c r="U496" s="1894">
        <v>54522</v>
      </c>
      <c r="V496" s="1894">
        <f t="shared" si="189"/>
        <v>59996</v>
      </c>
      <c r="W496" s="1894">
        <f t="shared" si="190"/>
        <v>0</v>
      </c>
      <c r="X496" s="1894">
        <v>361</v>
      </c>
      <c r="Y496" s="1894">
        <v>131.04000000000002</v>
      </c>
      <c r="Z496" s="1894">
        <v>288.8</v>
      </c>
      <c r="AA496" s="1894">
        <v>0.99909999999999999</v>
      </c>
      <c r="AB496" s="1894">
        <v>57.63</v>
      </c>
      <c r="AC496" s="1894">
        <v>54369</v>
      </c>
      <c r="AD496" s="1894">
        <f t="shared" si="191"/>
        <v>56609</v>
      </c>
      <c r="AE496" s="1894">
        <f t="shared" si="192"/>
        <v>0</v>
      </c>
      <c r="AF496" s="1894">
        <v>361</v>
      </c>
      <c r="AG496" s="1894">
        <v>114.48</v>
      </c>
      <c r="AH496" s="1894">
        <v>288.8</v>
      </c>
      <c r="AI496" s="1894">
        <v>0.99939999999999996</v>
      </c>
      <c r="AJ496" s="1894">
        <v>58.15</v>
      </c>
      <c r="AK496" s="1894">
        <v>49524</v>
      </c>
      <c r="AL496" s="1894">
        <f t="shared" si="210"/>
        <v>51104</v>
      </c>
      <c r="AM496" s="1894">
        <f t="shared" si="211"/>
        <v>0</v>
      </c>
      <c r="AN496" s="1894">
        <v>361</v>
      </c>
      <c r="AO496" s="1894">
        <v>143.28</v>
      </c>
      <c r="AP496" s="1894">
        <v>288.8</v>
      </c>
      <c r="AQ496" s="1894">
        <v>0.99929999999999997</v>
      </c>
      <c r="AR496" s="1894">
        <v>50.16</v>
      </c>
      <c r="AS496" s="1894">
        <v>53472</v>
      </c>
      <c r="AT496" s="1894">
        <f t="shared" si="193"/>
        <v>63960</v>
      </c>
      <c r="AU496" s="1894">
        <f t="shared" si="194"/>
        <v>0</v>
      </c>
      <c r="AV496" s="1894">
        <v>361</v>
      </c>
      <c r="AW496" s="1894">
        <v>145.19999999999999</v>
      </c>
      <c r="AX496" s="1894">
        <v>288.8</v>
      </c>
      <c r="AY496" s="1894">
        <v>0.99970000000000003</v>
      </c>
      <c r="AZ496" s="1894">
        <v>49.5</v>
      </c>
      <c r="BA496" s="1894">
        <v>51753</v>
      </c>
      <c r="BB496" s="1894">
        <f t="shared" si="195"/>
        <v>62726</v>
      </c>
      <c r="BC496" s="1894">
        <f t="shared" si="196"/>
        <v>0</v>
      </c>
      <c r="BD496" s="1894">
        <v>361</v>
      </c>
      <c r="BE496" s="1894">
        <v>128.64000000000001</v>
      </c>
      <c r="BF496" s="1894">
        <v>288.8</v>
      </c>
      <c r="BG496" s="1894">
        <v>0.99890000000000001</v>
      </c>
      <c r="BH496" s="1894">
        <v>48.05</v>
      </c>
      <c r="BI496" s="1894">
        <v>45987</v>
      </c>
      <c r="BJ496" s="1894">
        <f t="shared" si="197"/>
        <v>57425</v>
      </c>
      <c r="BK496" s="1894">
        <f t="shared" si="198"/>
        <v>0</v>
      </c>
      <c r="BL496" s="1894">
        <v>361</v>
      </c>
      <c r="BM496" s="1894">
        <v>110.64</v>
      </c>
      <c r="BN496" s="1894">
        <v>288.8</v>
      </c>
      <c r="BO496" s="1894">
        <v>0.99690000000000001</v>
      </c>
      <c r="BP496" s="1894">
        <v>48.68</v>
      </c>
      <c r="BQ496" s="1894">
        <v>38781</v>
      </c>
      <c r="BR496" s="1894">
        <f t="shared" si="199"/>
        <v>47796</v>
      </c>
      <c r="BS496" s="1894">
        <f t="shared" si="200"/>
        <v>0</v>
      </c>
      <c r="BT496" s="1894">
        <v>361</v>
      </c>
      <c r="BU496" s="1894">
        <v>95.52000000000001</v>
      </c>
      <c r="BV496" s="1894">
        <v>288.8</v>
      </c>
      <c r="BW496" s="1894">
        <v>0.99139999999999995</v>
      </c>
      <c r="BX496" s="1894">
        <v>49.33</v>
      </c>
      <c r="BY496" s="1894">
        <v>35055</v>
      </c>
      <c r="BZ496" s="1894">
        <f t="shared" si="201"/>
        <v>42640</v>
      </c>
      <c r="CA496" s="1894">
        <f t="shared" si="202"/>
        <v>0</v>
      </c>
      <c r="CB496" s="1894">
        <v>361</v>
      </c>
      <c r="CC496" s="1894">
        <v>90</v>
      </c>
      <c r="CD496" s="1894">
        <v>288.8</v>
      </c>
      <c r="CE496" s="1894">
        <v>0.9919</v>
      </c>
      <c r="CF496" s="1894">
        <v>51.7</v>
      </c>
      <c r="CG496" s="1894">
        <v>34617</v>
      </c>
      <c r="CH496" s="1894">
        <f t="shared" si="203"/>
        <v>40176</v>
      </c>
      <c r="CI496" s="1894">
        <f t="shared" si="204"/>
        <v>0</v>
      </c>
      <c r="CJ496" s="1894">
        <v>361</v>
      </c>
      <c r="CK496" s="1894">
        <v>110.64</v>
      </c>
      <c r="CL496" s="1894">
        <v>288.8</v>
      </c>
      <c r="CM496" s="1894">
        <v>0.99680000000000002</v>
      </c>
      <c r="CN496" s="1894">
        <v>49.85</v>
      </c>
      <c r="CO496" s="1894">
        <v>37065</v>
      </c>
      <c r="CP496" s="1894">
        <f t="shared" si="205"/>
        <v>44610</v>
      </c>
      <c r="CQ496" s="1894">
        <f t="shared" si="206"/>
        <v>0</v>
      </c>
      <c r="CR496" s="1924">
        <v>361</v>
      </c>
      <c r="CS496" s="1924">
        <v>115.2</v>
      </c>
      <c r="CT496" s="1924">
        <v>288.8</v>
      </c>
      <c r="CU496" s="1924">
        <v>0.99839999999999995</v>
      </c>
      <c r="CV496" s="1924">
        <v>48.44</v>
      </c>
      <c r="CW496" s="1924">
        <v>41520</v>
      </c>
      <c r="CX496" s="1894">
        <f t="shared" si="207"/>
        <v>51425</v>
      </c>
      <c r="CY496" s="1894">
        <f t="shared" si="208"/>
        <v>0</v>
      </c>
    </row>
    <row r="497" spans="1:103">
      <c r="A497" s="982">
        <v>621000000017</v>
      </c>
      <c r="B497" s="1923">
        <f t="shared" si="209"/>
        <v>491</v>
      </c>
      <c r="C497" s="1895" t="s">
        <v>3372</v>
      </c>
      <c r="D497" s="1894" t="s">
        <v>524</v>
      </c>
      <c r="E497" s="1895" t="s">
        <v>541</v>
      </c>
      <c r="F497" s="1894" t="s">
        <v>259</v>
      </c>
      <c r="G497" s="1924">
        <v>361</v>
      </c>
      <c r="H497" s="1894">
        <v>361</v>
      </c>
      <c r="I497" s="1894">
        <v>188.16</v>
      </c>
      <c r="J497" s="1894">
        <v>288.8</v>
      </c>
      <c r="K497" s="1894">
        <v>0.375</v>
      </c>
      <c r="L497" s="1894">
        <v>4.45</v>
      </c>
      <c r="M497" s="1894">
        <v>6024</v>
      </c>
      <c r="N497" s="1894">
        <f t="shared" si="187"/>
        <v>81285</v>
      </c>
      <c r="O497" s="1894">
        <f t="shared" si="188"/>
        <v>0</v>
      </c>
      <c r="P497" s="1894">
        <v>361</v>
      </c>
      <c r="Q497" s="1894">
        <v>146.4</v>
      </c>
      <c r="R497" s="1894">
        <v>288.8</v>
      </c>
      <c r="S497" s="1894">
        <v>0.83140000000000003</v>
      </c>
      <c r="T497" s="1894">
        <v>3.13</v>
      </c>
      <c r="U497" s="1894">
        <v>2973</v>
      </c>
      <c r="V497" s="1894">
        <f t="shared" si="189"/>
        <v>65353</v>
      </c>
      <c r="W497" s="1894">
        <f t="shared" si="190"/>
        <v>0</v>
      </c>
      <c r="X497" s="1894">
        <v>361</v>
      </c>
      <c r="Y497" s="1894">
        <v>7.6800000000000006</v>
      </c>
      <c r="Z497" s="1894">
        <v>288.8</v>
      </c>
      <c r="AA497" s="1894">
        <v>1.0034000000000001</v>
      </c>
      <c r="AB497" s="1894">
        <v>27.43</v>
      </c>
      <c r="AC497" s="1894">
        <v>1719</v>
      </c>
      <c r="AD497" s="1894">
        <f t="shared" si="191"/>
        <v>3318</v>
      </c>
      <c r="AE497" s="1894">
        <f t="shared" si="192"/>
        <v>0</v>
      </c>
      <c r="AF497" s="1894">
        <v>361</v>
      </c>
      <c r="AG497" s="1894">
        <v>5.28</v>
      </c>
      <c r="AH497" s="1894">
        <v>288.8</v>
      </c>
      <c r="AI497" s="1894">
        <v>1</v>
      </c>
      <c r="AJ497" s="1894">
        <v>36.04</v>
      </c>
      <c r="AK497" s="1894">
        <v>1233</v>
      </c>
      <c r="AL497" s="1894">
        <f t="shared" si="210"/>
        <v>2357</v>
      </c>
      <c r="AM497" s="1894">
        <f t="shared" si="211"/>
        <v>0</v>
      </c>
      <c r="AN497" s="1894">
        <v>361</v>
      </c>
      <c r="AO497" s="1894">
        <v>0.72</v>
      </c>
      <c r="AP497" s="1894">
        <v>288.8</v>
      </c>
      <c r="AQ497" s="1894">
        <v>0.99829999999999997</v>
      </c>
      <c r="AR497" s="1894">
        <v>302.08</v>
      </c>
      <c r="AS497" s="1894">
        <v>1827</v>
      </c>
      <c r="AT497" s="1894">
        <f t="shared" si="193"/>
        <v>321</v>
      </c>
      <c r="AU497" s="1894">
        <f t="shared" si="194"/>
        <v>1506</v>
      </c>
      <c r="AV497" s="1894">
        <v>361</v>
      </c>
      <c r="AW497" s="1894">
        <v>5.76</v>
      </c>
      <c r="AX497" s="1894">
        <v>288.8</v>
      </c>
      <c r="AY497" s="1894">
        <v>1.0032000000000001</v>
      </c>
      <c r="AZ497" s="1894">
        <v>22.06</v>
      </c>
      <c r="BA497" s="1894">
        <v>915</v>
      </c>
      <c r="BB497" s="1894">
        <f t="shared" si="195"/>
        <v>2488</v>
      </c>
      <c r="BC497" s="1894">
        <f t="shared" si="196"/>
        <v>0</v>
      </c>
      <c r="BD497" s="1894">
        <v>361</v>
      </c>
      <c r="BE497" s="1894">
        <v>6.9599999999999991</v>
      </c>
      <c r="BF497" s="1894">
        <v>288.8</v>
      </c>
      <c r="BG497" s="1894">
        <v>1</v>
      </c>
      <c r="BH497" s="1894">
        <v>24.74</v>
      </c>
      <c r="BI497" s="1894">
        <v>1281</v>
      </c>
      <c r="BJ497" s="1894">
        <f t="shared" si="197"/>
        <v>3107</v>
      </c>
      <c r="BK497" s="1894">
        <f t="shared" si="198"/>
        <v>0</v>
      </c>
      <c r="BL497" s="1894">
        <v>361</v>
      </c>
      <c r="BM497" s="1894">
        <v>11.76</v>
      </c>
      <c r="BN497" s="1894">
        <v>288.8</v>
      </c>
      <c r="BO497" s="1894">
        <v>1</v>
      </c>
      <c r="BP497" s="1894">
        <v>14.53</v>
      </c>
      <c r="BQ497" s="1894">
        <v>1230</v>
      </c>
      <c r="BR497" s="1894">
        <f t="shared" si="199"/>
        <v>5080</v>
      </c>
      <c r="BS497" s="1894">
        <f t="shared" si="200"/>
        <v>0</v>
      </c>
      <c r="BT497" s="1894">
        <v>361</v>
      </c>
      <c r="BU497" s="1894">
        <v>29.28</v>
      </c>
      <c r="BV497" s="1894">
        <v>288.8</v>
      </c>
      <c r="BW497" s="1894">
        <v>0.59289999999999998</v>
      </c>
      <c r="BX497" s="1894">
        <v>11.26</v>
      </c>
      <c r="BY497" s="1894">
        <v>2454</v>
      </c>
      <c r="BZ497" s="1894">
        <f t="shared" si="201"/>
        <v>13071</v>
      </c>
      <c r="CA497" s="1894">
        <f t="shared" si="202"/>
        <v>0</v>
      </c>
      <c r="CB497" s="1894">
        <v>361</v>
      </c>
      <c r="CC497" s="1894">
        <v>24</v>
      </c>
      <c r="CD497" s="1894">
        <v>288.8</v>
      </c>
      <c r="CE497" s="1894">
        <v>0.33729999999999999</v>
      </c>
      <c r="CF497" s="1894">
        <v>40.04</v>
      </c>
      <c r="CG497" s="1894">
        <v>7149</v>
      </c>
      <c r="CH497" s="1894">
        <f t="shared" si="203"/>
        <v>10714</v>
      </c>
      <c r="CI497" s="1894">
        <f t="shared" si="204"/>
        <v>0</v>
      </c>
      <c r="CJ497" s="1894">
        <v>361</v>
      </c>
      <c r="CK497" s="1894">
        <v>15.84</v>
      </c>
      <c r="CL497" s="1894">
        <v>288.8</v>
      </c>
      <c r="CM497" s="1894">
        <v>0.315</v>
      </c>
      <c r="CN497" s="1894">
        <v>53.41</v>
      </c>
      <c r="CO497" s="1894">
        <v>5685</v>
      </c>
      <c r="CP497" s="1894">
        <f t="shared" si="205"/>
        <v>6387</v>
      </c>
      <c r="CQ497" s="1894">
        <f t="shared" si="206"/>
        <v>0</v>
      </c>
      <c r="CR497" s="1924">
        <v>361</v>
      </c>
      <c r="CS497" s="1924">
        <v>17.52</v>
      </c>
      <c r="CT497" s="1924">
        <v>288.8</v>
      </c>
      <c r="CU497" s="1924">
        <v>0.30349999999999999</v>
      </c>
      <c r="CV497" s="1924">
        <v>42.23</v>
      </c>
      <c r="CW497" s="1924">
        <v>5505</v>
      </c>
      <c r="CX497" s="1894">
        <f t="shared" si="207"/>
        <v>7821</v>
      </c>
      <c r="CY497" s="1894">
        <f t="shared" si="208"/>
        <v>0</v>
      </c>
    </row>
    <row r="498" spans="1:103">
      <c r="A498" s="982">
        <v>124000000029</v>
      </c>
      <c r="B498" s="1923">
        <f t="shared" si="209"/>
        <v>492</v>
      </c>
      <c r="C498" s="1895" t="s">
        <v>3373</v>
      </c>
      <c r="D498" s="1894" t="s">
        <v>524</v>
      </c>
      <c r="E498" s="1895" t="s">
        <v>737</v>
      </c>
      <c r="F498" s="1894" t="s">
        <v>259</v>
      </c>
      <c r="G498" s="1924">
        <v>370</v>
      </c>
      <c r="H498" s="1894">
        <v>370</v>
      </c>
      <c r="I498" s="1894">
        <v>125.6</v>
      </c>
      <c r="J498" s="1894">
        <v>296</v>
      </c>
      <c r="K498" s="1894">
        <v>0.94589999999999996</v>
      </c>
      <c r="L498" s="1894">
        <v>23.52</v>
      </c>
      <c r="M498" s="1894">
        <v>21268</v>
      </c>
      <c r="N498" s="1894">
        <f t="shared" si="187"/>
        <v>54259</v>
      </c>
      <c r="O498" s="1894">
        <f t="shared" si="188"/>
        <v>0</v>
      </c>
      <c r="P498" s="1894">
        <v>370</v>
      </c>
      <c r="Q498" s="1894">
        <v>120</v>
      </c>
      <c r="R498" s="1894">
        <v>296</v>
      </c>
      <c r="S498" s="1894">
        <v>0.94850000000000001</v>
      </c>
      <c r="T498" s="1894">
        <v>24.24</v>
      </c>
      <c r="U498" s="1894">
        <v>17454</v>
      </c>
      <c r="V498" s="1894">
        <f t="shared" si="189"/>
        <v>53568</v>
      </c>
      <c r="W498" s="1894">
        <f t="shared" si="190"/>
        <v>0</v>
      </c>
      <c r="X498" s="1894">
        <v>370</v>
      </c>
      <c r="Y498" s="1894">
        <v>119.6</v>
      </c>
      <c r="Z498" s="1894">
        <v>296</v>
      </c>
      <c r="AA498" s="1894">
        <v>0.94350000000000001</v>
      </c>
      <c r="AB498" s="1894">
        <v>19.489999999999998</v>
      </c>
      <c r="AC498" s="1894">
        <v>20136</v>
      </c>
      <c r="AD498" s="1894">
        <f t="shared" si="191"/>
        <v>51667</v>
      </c>
      <c r="AE498" s="1894">
        <f t="shared" si="192"/>
        <v>0</v>
      </c>
      <c r="AF498" s="1894">
        <v>370</v>
      </c>
      <c r="AG498" s="1894">
        <v>133.20000000000002</v>
      </c>
      <c r="AH498" s="1894">
        <v>296</v>
      </c>
      <c r="AI498" s="1894">
        <v>0.93540000000000001</v>
      </c>
      <c r="AJ498" s="1894">
        <v>20.56</v>
      </c>
      <c r="AK498" s="1894">
        <v>20374</v>
      </c>
      <c r="AL498" s="1894">
        <f t="shared" si="210"/>
        <v>59460</v>
      </c>
      <c r="AM498" s="1894">
        <f t="shared" si="211"/>
        <v>0</v>
      </c>
      <c r="AN498" s="1894">
        <v>370</v>
      </c>
      <c r="AO498" s="1894">
        <v>124.8</v>
      </c>
      <c r="AP498" s="1894">
        <v>296</v>
      </c>
      <c r="AQ498" s="1894">
        <v>0.93259999999999998</v>
      </c>
      <c r="AR498" s="1894">
        <v>21.1</v>
      </c>
      <c r="AS498" s="1894">
        <v>19592</v>
      </c>
      <c r="AT498" s="1894">
        <f t="shared" si="193"/>
        <v>55711</v>
      </c>
      <c r="AU498" s="1894">
        <f t="shared" si="194"/>
        <v>0</v>
      </c>
      <c r="AV498" s="1894">
        <v>370</v>
      </c>
      <c r="AW498" s="1894">
        <v>113.75999999999999</v>
      </c>
      <c r="AX498" s="1894">
        <v>296</v>
      </c>
      <c r="AY498" s="1894">
        <v>0.93879999999999997</v>
      </c>
      <c r="AZ498" s="1894">
        <v>22.2</v>
      </c>
      <c r="BA498" s="1894">
        <v>16362</v>
      </c>
      <c r="BB498" s="1894">
        <f t="shared" si="195"/>
        <v>49144</v>
      </c>
      <c r="BC498" s="1894">
        <f t="shared" si="196"/>
        <v>0</v>
      </c>
      <c r="BD498" s="1894">
        <v>370</v>
      </c>
      <c r="BE498" s="1894">
        <v>89.600000000000009</v>
      </c>
      <c r="BF498" s="1894">
        <v>296</v>
      </c>
      <c r="BG498" s="1894">
        <v>0.92989999999999995</v>
      </c>
      <c r="BH498" s="1894">
        <v>22.45</v>
      </c>
      <c r="BI498" s="1894">
        <v>15932</v>
      </c>
      <c r="BJ498" s="1894">
        <f t="shared" si="197"/>
        <v>39997</v>
      </c>
      <c r="BK498" s="1894">
        <f t="shared" si="198"/>
        <v>0</v>
      </c>
      <c r="BL498" s="1894">
        <v>370</v>
      </c>
      <c r="BM498" s="1894">
        <v>70</v>
      </c>
      <c r="BN498" s="1894">
        <v>296</v>
      </c>
      <c r="BO498" s="1894">
        <v>0.91</v>
      </c>
      <c r="BP498" s="1894">
        <v>26.07</v>
      </c>
      <c r="BQ498" s="1894">
        <v>13578</v>
      </c>
      <c r="BR498" s="1894">
        <f t="shared" si="199"/>
        <v>30240</v>
      </c>
      <c r="BS498" s="1894">
        <f t="shared" si="200"/>
        <v>0</v>
      </c>
      <c r="BT498" s="1894">
        <v>370</v>
      </c>
      <c r="BU498" s="1894">
        <v>50.72</v>
      </c>
      <c r="BV498" s="1894">
        <v>296</v>
      </c>
      <c r="BW498" s="1894">
        <v>0.90759999999999996</v>
      </c>
      <c r="BX498" s="1894">
        <v>33.47</v>
      </c>
      <c r="BY498" s="1894">
        <v>12630</v>
      </c>
      <c r="BZ498" s="1894">
        <f t="shared" si="201"/>
        <v>22641</v>
      </c>
      <c r="CA498" s="1894">
        <f t="shared" si="202"/>
        <v>0</v>
      </c>
      <c r="CB498" s="1894">
        <v>370</v>
      </c>
      <c r="CC498" s="1894">
        <v>55.36</v>
      </c>
      <c r="CD498" s="1894">
        <v>296</v>
      </c>
      <c r="CE498" s="1894">
        <v>0.91990000000000005</v>
      </c>
      <c r="CF498" s="1894">
        <v>29.41</v>
      </c>
      <c r="CG498" s="1894">
        <v>12112</v>
      </c>
      <c r="CH498" s="1894">
        <f t="shared" si="203"/>
        <v>24713</v>
      </c>
      <c r="CI498" s="1894">
        <f t="shared" si="204"/>
        <v>0</v>
      </c>
      <c r="CJ498" s="1894">
        <v>370</v>
      </c>
      <c r="CK498" s="1894">
        <v>83.679999999999993</v>
      </c>
      <c r="CL498" s="1894">
        <v>296</v>
      </c>
      <c r="CM498" s="1894">
        <v>0.93189999999999995</v>
      </c>
      <c r="CN498" s="1894">
        <v>24.62</v>
      </c>
      <c r="CO498" s="1894">
        <v>13846</v>
      </c>
      <c r="CP498" s="1894">
        <f t="shared" si="205"/>
        <v>33740</v>
      </c>
      <c r="CQ498" s="1894">
        <f t="shared" si="206"/>
        <v>0</v>
      </c>
      <c r="CR498" s="1924">
        <v>370</v>
      </c>
      <c r="CS498" s="1924">
        <v>142.08000000000001</v>
      </c>
      <c r="CT498" s="1924">
        <v>296</v>
      </c>
      <c r="CU498" s="1924">
        <v>0.94089999999999996</v>
      </c>
      <c r="CV498" s="1924">
        <v>18.309999999999999</v>
      </c>
      <c r="CW498" s="1924">
        <v>19352</v>
      </c>
      <c r="CX498" s="1894">
        <f t="shared" si="207"/>
        <v>63425</v>
      </c>
      <c r="CY498" s="1894">
        <f t="shared" si="208"/>
        <v>0</v>
      </c>
    </row>
    <row r="499" spans="1:103">
      <c r="A499" s="982">
        <v>123000000101</v>
      </c>
      <c r="B499" s="1923">
        <f t="shared" si="209"/>
        <v>493</v>
      </c>
      <c r="C499" s="1895" t="s">
        <v>3374</v>
      </c>
      <c r="D499" s="1894" t="s">
        <v>524</v>
      </c>
      <c r="E499" s="1895" t="s">
        <v>2966</v>
      </c>
      <c r="F499" s="1894" t="s">
        <v>259</v>
      </c>
      <c r="G499" s="1924">
        <v>372</v>
      </c>
      <c r="H499" s="1894">
        <v>372</v>
      </c>
      <c r="I499" s="1894">
        <v>108.60000000000001</v>
      </c>
      <c r="J499" s="1894">
        <v>372</v>
      </c>
      <c r="K499" s="1894">
        <v>0.99319999999999997</v>
      </c>
      <c r="L499" s="1894">
        <v>0</v>
      </c>
      <c r="M499" s="1894">
        <v>33790</v>
      </c>
      <c r="N499" s="1894">
        <f t="shared" si="187"/>
        <v>46915</v>
      </c>
      <c r="O499" s="1894">
        <f t="shared" si="188"/>
        <v>0</v>
      </c>
      <c r="P499" s="1894">
        <v>372</v>
      </c>
      <c r="Q499" s="1894">
        <v>101.6</v>
      </c>
      <c r="R499" s="1894">
        <v>372</v>
      </c>
      <c r="S499" s="1894">
        <v>0.99639999999999995</v>
      </c>
      <c r="T499" s="1894">
        <v>0</v>
      </c>
      <c r="U499" s="1894">
        <v>13350</v>
      </c>
      <c r="V499" s="1894">
        <f t="shared" si="189"/>
        <v>45354</v>
      </c>
      <c r="W499" s="1894">
        <f t="shared" si="190"/>
        <v>0</v>
      </c>
      <c r="X499" s="1894">
        <v>372</v>
      </c>
      <c r="Y499" s="1894">
        <v>60.199999999999996</v>
      </c>
      <c r="Z499" s="1894">
        <v>372</v>
      </c>
      <c r="AA499" s="1894">
        <v>0.99470000000000003</v>
      </c>
      <c r="AB499" s="1894">
        <v>0</v>
      </c>
      <c r="AC499" s="1894">
        <v>7970</v>
      </c>
      <c r="AD499" s="1894">
        <f t="shared" si="191"/>
        <v>26006</v>
      </c>
      <c r="AE499" s="1894">
        <f t="shared" si="192"/>
        <v>0</v>
      </c>
      <c r="AF499" s="1894">
        <v>372</v>
      </c>
      <c r="AG499" s="1894">
        <v>84.4</v>
      </c>
      <c r="AH499" s="1894">
        <v>372</v>
      </c>
      <c r="AI499" s="1894">
        <v>0.99519999999999997</v>
      </c>
      <c r="AJ499" s="1894">
        <v>0</v>
      </c>
      <c r="AK499" s="1894">
        <v>10960</v>
      </c>
      <c r="AL499" s="1894">
        <f t="shared" si="210"/>
        <v>37676</v>
      </c>
      <c r="AM499" s="1894">
        <f t="shared" si="211"/>
        <v>0</v>
      </c>
      <c r="AN499" s="1894">
        <v>372</v>
      </c>
      <c r="AO499" s="1894">
        <v>109.2</v>
      </c>
      <c r="AP499" s="1894">
        <v>372</v>
      </c>
      <c r="AQ499" s="1894">
        <v>0.99409999999999998</v>
      </c>
      <c r="AR499" s="1894">
        <v>0</v>
      </c>
      <c r="AS499" s="1894">
        <v>25007</v>
      </c>
      <c r="AT499" s="1894">
        <f t="shared" si="193"/>
        <v>48747</v>
      </c>
      <c r="AU499" s="1894">
        <f t="shared" si="194"/>
        <v>0</v>
      </c>
      <c r="AV499" s="1894">
        <v>372</v>
      </c>
      <c r="AW499" s="1894">
        <v>110.60000000000001</v>
      </c>
      <c r="AX499" s="1894">
        <v>372</v>
      </c>
      <c r="AY499" s="1894">
        <v>0.98950000000000005</v>
      </c>
      <c r="AZ499" s="1894">
        <v>0</v>
      </c>
      <c r="BA499" s="1894">
        <v>41150</v>
      </c>
      <c r="BB499" s="1894">
        <f t="shared" si="195"/>
        <v>47779</v>
      </c>
      <c r="BC499" s="1894">
        <f t="shared" si="196"/>
        <v>0</v>
      </c>
      <c r="BD499" s="1894">
        <v>372</v>
      </c>
      <c r="BE499" s="1894">
        <v>70.8</v>
      </c>
      <c r="BF499" s="1894">
        <v>372</v>
      </c>
      <c r="BG499" s="1894">
        <v>0.98770000000000002</v>
      </c>
      <c r="BH499" s="1894">
        <v>0</v>
      </c>
      <c r="BI499" s="1894">
        <v>29748</v>
      </c>
      <c r="BJ499" s="1894">
        <f t="shared" si="197"/>
        <v>31605</v>
      </c>
      <c r="BK499" s="1894">
        <f t="shared" si="198"/>
        <v>0</v>
      </c>
      <c r="BL499" s="1894">
        <v>372</v>
      </c>
      <c r="BM499" s="1894">
        <v>72.400000000000006</v>
      </c>
      <c r="BN499" s="1894">
        <v>372</v>
      </c>
      <c r="BO499" s="1894">
        <v>0.99029999999999996</v>
      </c>
      <c r="BP499" s="1894">
        <v>0</v>
      </c>
      <c r="BQ499" s="1894">
        <v>9525</v>
      </c>
      <c r="BR499" s="1894">
        <f t="shared" si="199"/>
        <v>31277</v>
      </c>
      <c r="BS499" s="1894">
        <f t="shared" si="200"/>
        <v>0</v>
      </c>
      <c r="BT499" s="1894">
        <v>372</v>
      </c>
      <c r="BU499" s="1894">
        <v>8.2000000000000011</v>
      </c>
      <c r="BV499" s="1894">
        <v>372</v>
      </c>
      <c r="BW499" s="1894">
        <v>0.99750000000000005</v>
      </c>
      <c r="BX499" s="1894">
        <v>0</v>
      </c>
      <c r="BY499" s="1894">
        <v>1248</v>
      </c>
      <c r="BZ499" s="1894">
        <f t="shared" si="201"/>
        <v>3660</v>
      </c>
      <c r="CA499" s="1894">
        <f t="shared" si="202"/>
        <v>0</v>
      </c>
      <c r="CB499" s="1894">
        <v>372</v>
      </c>
      <c r="CC499" s="1894">
        <v>8.2000000000000011</v>
      </c>
      <c r="CD499" s="1894">
        <v>372</v>
      </c>
      <c r="CE499" s="1894">
        <v>1</v>
      </c>
      <c r="CF499" s="1894">
        <v>0</v>
      </c>
      <c r="CG499" s="1894">
        <v>1183</v>
      </c>
      <c r="CH499" s="1894">
        <f t="shared" si="203"/>
        <v>3660</v>
      </c>
      <c r="CI499" s="1894">
        <f t="shared" si="204"/>
        <v>0</v>
      </c>
      <c r="CJ499" s="1894">
        <v>372</v>
      </c>
      <c r="CK499" s="1894">
        <v>73.800000000000011</v>
      </c>
      <c r="CL499" s="1894">
        <v>372</v>
      </c>
      <c r="CM499" s="1894">
        <v>0.98819999999999997</v>
      </c>
      <c r="CN499" s="1894">
        <v>0</v>
      </c>
      <c r="CO499" s="1894">
        <v>5770</v>
      </c>
      <c r="CP499" s="1894">
        <f t="shared" si="205"/>
        <v>29756</v>
      </c>
      <c r="CQ499" s="1894">
        <f t="shared" si="206"/>
        <v>0</v>
      </c>
      <c r="CR499" s="1924">
        <v>372</v>
      </c>
      <c r="CS499" s="1924">
        <v>93.399999999999991</v>
      </c>
      <c r="CT499" s="1924">
        <v>372</v>
      </c>
      <c r="CU499" s="1924">
        <v>0.98529999999999995</v>
      </c>
      <c r="CV499" s="1924">
        <v>0</v>
      </c>
      <c r="CW499" s="1924">
        <v>18113</v>
      </c>
      <c r="CX499" s="1894">
        <f t="shared" si="207"/>
        <v>41694</v>
      </c>
      <c r="CY499" s="1894">
        <f t="shared" si="208"/>
        <v>0</v>
      </c>
    </row>
    <row r="500" spans="1:103">
      <c r="A500" s="982">
        <v>124000000064</v>
      </c>
      <c r="B500" s="1923">
        <f t="shared" si="209"/>
        <v>494</v>
      </c>
      <c r="C500" s="1895" t="s">
        <v>3375</v>
      </c>
      <c r="D500" s="1894" t="s">
        <v>524</v>
      </c>
      <c r="E500" s="1895" t="s">
        <v>737</v>
      </c>
      <c r="F500" s="1894" t="s">
        <v>259</v>
      </c>
      <c r="G500" s="1924">
        <v>376</v>
      </c>
      <c r="H500" s="1894">
        <v>376</v>
      </c>
      <c r="I500" s="1894">
        <v>24</v>
      </c>
      <c r="J500" s="1894">
        <v>300.8</v>
      </c>
      <c r="K500" s="1894">
        <v>0.70240000000000002</v>
      </c>
      <c r="L500" s="1894">
        <v>21</v>
      </c>
      <c r="M500" s="1894">
        <v>3750</v>
      </c>
      <c r="N500" s="1894">
        <f t="shared" si="187"/>
        <v>10368</v>
      </c>
      <c r="O500" s="1894">
        <f t="shared" si="188"/>
        <v>0</v>
      </c>
      <c r="P500" s="1894">
        <v>376</v>
      </c>
      <c r="Q500" s="1894">
        <v>24</v>
      </c>
      <c r="R500" s="1894">
        <v>300.8</v>
      </c>
      <c r="S500" s="1894">
        <v>0.48449999999999999</v>
      </c>
      <c r="T500" s="1894">
        <v>17.420000000000002</v>
      </c>
      <c r="U500" s="1894">
        <v>2910</v>
      </c>
      <c r="V500" s="1894">
        <f t="shared" si="189"/>
        <v>10714</v>
      </c>
      <c r="W500" s="1894">
        <f t="shared" si="190"/>
        <v>0</v>
      </c>
      <c r="X500" s="1894">
        <v>376</v>
      </c>
      <c r="Y500" s="1894">
        <v>74.16</v>
      </c>
      <c r="Z500" s="1894">
        <v>300.8</v>
      </c>
      <c r="AA500" s="1894">
        <v>0.6129</v>
      </c>
      <c r="AB500" s="1894">
        <v>3.27</v>
      </c>
      <c r="AC500" s="1894">
        <v>1806</v>
      </c>
      <c r="AD500" s="1894">
        <f t="shared" si="191"/>
        <v>32037</v>
      </c>
      <c r="AE500" s="1894">
        <f t="shared" si="192"/>
        <v>0</v>
      </c>
      <c r="AF500" s="1894">
        <v>376</v>
      </c>
      <c r="AG500" s="1894">
        <v>309.60000000000002</v>
      </c>
      <c r="AH500" s="1894">
        <v>309.60000000000002</v>
      </c>
      <c r="AI500" s="1894">
        <v>0.6724</v>
      </c>
      <c r="AJ500" s="1894">
        <v>2.4</v>
      </c>
      <c r="AK500" s="1894">
        <v>5358</v>
      </c>
      <c r="AL500" s="1894">
        <f t="shared" si="210"/>
        <v>138205</v>
      </c>
      <c r="AM500" s="1894">
        <f t="shared" si="211"/>
        <v>0</v>
      </c>
      <c r="AN500" s="1894">
        <v>376</v>
      </c>
      <c r="AO500" s="1894">
        <v>283.68</v>
      </c>
      <c r="AP500" s="1894">
        <v>300.8</v>
      </c>
      <c r="AQ500" s="1894">
        <v>0.46460000000000001</v>
      </c>
      <c r="AR500" s="1894">
        <v>1.39</v>
      </c>
      <c r="AS500" s="1894">
        <v>2925</v>
      </c>
      <c r="AT500" s="1894">
        <f t="shared" si="193"/>
        <v>126635</v>
      </c>
      <c r="AU500" s="1894">
        <f t="shared" si="194"/>
        <v>0</v>
      </c>
      <c r="AV500" s="1894">
        <v>376</v>
      </c>
      <c r="AW500" s="1894">
        <v>300.71999999999997</v>
      </c>
      <c r="AX500" s="1894">
        <v>300.8</v>
      </c>
      <c r="AY500" s="1894">
        <v>0.60770000000000002</v>
      </c>
      <c r="AZ500" s="1894">
        <v>2.3199999999999998</v>
      </c>
      <c r="BA500" s="1894">
        <v>5529</v>
      </c>
      <c r="BB500" s="1894">
        <f t="shared" si="195"/>
        <v>129911</v>
      </c>
      <c r="BC500" s="1894">
        <f t="shared" si="196"/>
        <v>0</v>
      </c>
      <c r="BD500" s="1894">
        <v>376</v>
      </c>
      <c r="BE500" s="1894">
        <v>297.36</v>
      </c>
      <c r="BF500" s="1894">
        <v>300.8</v>
      </c>
      <c r="BG500" s="1894">
        <v>0.62509999999999999</v>
      </c>
      <c r="BH500" s="1894">
        <v>3.08</v>
      </c>
      <c r="BI500" s="1894">
        <v>6594</v>
      </c>
      <c r="BJ500" s="1894">
        <f t="shared" si="197"/>
        <v>132742</v>
      </c>
      <c r="BK500" s="1894">
        <f t="shared" si="198"/>
        <v>0</v>
      </c>
      <c r="BL500" s="1894">
        <v>376</v>
      </c>
      <c r="BM500" s="1894">
        <v>284.88</v>
      </c>
      <c r="BN500" s="1894">
        <v>300.8</v>
      </c>
      <c r="BO500" s="1894">
        <v>0.55059999999999998</v>
      </c>
      <c r="BP500" s="1894">
        <v>2.3199999999999998</v>
      </c>
      <c r="BQ500" s="1894">
        <v>4593</v>
      </c>
      <c r="BR500" s="1894">
        <f t="shared" si="199"/>
        <v>123068</v>
      </c>
      <c r="BS500" s="1894">
        <f t="shared" si="200"/>
        <v>0</v>
      </c>
      <c r="BT500" s="1894">
        <v>376</v>
      </c>
      <c r="BU500" s="1894">
        <v>32.64</v>
      </c>
      <c r="BV500" s="1894">
        <v>300.8</v>
      </c>
      <c r="BW500" s="1894">
        <v>0.48520000000000002</v>
      </c>
      <c r="BX500" s="1894">
        <v>16.97</v>
      </c>
      <c r="BY500" s="1894">
        <v>4785</v>
      </c>
      <c r="BZ500" s="1894">
        <f t="shared" si="201"/>
        <v>14570</v>
      </c>
      <c r="CA500" s="1894">
        <f t="shared" si="202"/>
        <v>0</v>
      </c>
      <c r="CB500" s="1894">
        <v>376</v>
      </c>
      <c r="CC500" s="1894">
        <v>110.16000000000001</v>
      </c>
      <c r="CD500" s="1894">
        <v>300.8</v>
      </c>
      <c r="CE500" s="1894">
        <v>0.4526</v>
      </c>
      <c r="CF500" s="1894">
        <v>4.95</v>
      </c>
      <c r="CG500" s="1894">
        <v>4056</v>
      </c>
      <c r="CH500" s="1894">
        <f t="shared" si="203"/>
        <v>49175</v>
      </c>
      <c r="CI500" s="1894">
        <f t="shared" si="204"/>
        <v>0</v>
      </c>
      <c r="CJ500" s="1894">
        <v>376</v>
      </c>
      <c r="CK500" s="1894">
        <v>260.15999999999997</v>
      </c>
      <c r="CL500" s="1894">
        <v>300.8</v>
      </c>
      <c r="CM500" s="1894">
        <v>0.48039999999999999</v>
      </c>
      <c r="CN500" s="1894">
        <v>2.06</v>
      </c>
      <c r="CO500" s="1894">
        <v>3603</v>
      </c>
      <c r="CP500" s="1894">
        <f t="shared" si="205"/>
        <v>104897</v>
      </c>
      <c r="CQ500" s="1894">
        <f t="shared" si="206"/>
        <v>0</v>
      </c>
      <c r="CR500" s="1924">
        <v>376</v>
      </c>
      <c r="CS500" s="1924">
        <v>292.56</v>
      </c>
      <c r="CT500" s="1924">
        <v>300.8</v>
      </c>
      <c r="CU500" s="1924">
        <v>0.58660000000000001</v>
      </c>
      <c r="CV500" s="1924">
        <v>2.1</v>
      </c>
      <c r="CW500" s="1924">
        <v>4572</v>
      </c>
      <c r="CX500" s="1894">
        <f t="shared" si="207"/>
        <v>130599</v>
      </c>
      <c r="CY500" s="1894">
        <f t="shared" si="208"/>
        <v>0</v>
      </c>
    </row>
    <row r="501" spans="1:103">
      <c r="A501" s="982">
        <v>126000000056</v>
      </c>
      <c r="B501" s="1923">
        <f t="shared" si="209"/>
        <v>495</v>
      </c>
      <c r="C501" s="1895" t="s">
        <v>3376</v>
      </c>
      <c r="D501" s="1894" t="s">
        <v>524</v>
      </c>
      <c r="E501" s="1895" t="s">
        <v>541</v>
      </c>
      <c r="F501" s="1894" t="s">
        <v>259</v>
      </c>
      <c r="G501" s="1924">
        <v>389</v>
      </c>
      <c r="H501" s="1894">
        <v>0</v>
      </c>
      <c r="I501" s="1894">
        <v>0</v>
      </c>
      <c r="J501" s="1894">
        <v>0</v>
      </c>
      <c r="K501" s="1894">
        <v>0</v>
      </c>
      <c r="L501" s="1894">
        <v>0</v>
      </c>
      <c r="M501" s="1894">
        <v>0</v>
      </c>
      <c r="N501" s="1894">
        <f t="shared" si="187"/>
        <v>0</v>
      </c>
      <c r="O501" s="1894">
        <f t="shared" si="188"/>
        <v>0</v>
      </c>
      <c r="P501" s="1894">
        <v>0</v>
      </c>
      <c r="Q501" s="1894">
        <v>0</v>
      </c>
      <c r="R501" s="1894">
        <v>0</v>
      </c>
      <c r="S501" s="1894">
        <v>0</v>
      </c>
      <c r="T501" s="1894">
        <v>0</v>
      </c>
      <c r="U501" s="1894">
        <v>0</v>
      </c>
      <c r="V501" s="1894">
        <f t="shared" si="189"/>
        <v>0</v>
      </c>
      <c r="W501" s="1894">
        <f t="shared" si="190"/>
        <v>0</v>
      </c>
      <c r="X501" s="1894">
        <v>0</v>
      </c>
      <c r="Y501" s="1894">
        <v>0</v>
      </c>
      <c r="Z501" s="1894">
        <v>0</v>
      </c>
      <c r="AA501" s="1894">
        <v>0</v>
      </c>
      <c r="AB501" s="1894">
        <v>0</v>
      </c>
      <c r="AC501" s="1894">
        <v>0</v>
      </c>
      <c r="AD501" s="1894">
        <f t="shared" si="191"/>
        <v>0</v>
      </c>
      <c r="AE501" s="1894">
        <f t="shared" si="192"/>
        <v>0</v>
      </c>
      <c r="AF501" s="1894">
        <v>0</v>
      </c>
      <c r="AG501" s="1894">
        <v>0</v>
      </c>
      <c r="AH501" s="1894">
        <v>0</v>
      </c>
      <c r="AI501" s="1894">
        <v>0</v>
      </c>
      <c r="AJ501" s="1894">
        <v>0</v>
      </c>
      <c r="AK501" s="1894">
        <v>0</v>
      </c>
      <c r="AL501" s="1894">
        <f t="shared" si="210"/>
        <v>0</v>
      </c>
      <c r="AM501" s="1894">
        <f t="shared" si="211"/>
        <v>0</v>
      </c>
      <c r="AN501" s="1894">
        <v>0</v>
      </c>
      <c r="AO501" s="1894">
        <v>0</v>
      </c>
      <c r="AP501" s="1894">
        <v>0</v>
      </c>
      <c r="AQ501" s="1894">
        <v>0</v>
      </c>
      <c r="AR501" s="1894">
        <v>0</v>
      </c>
      <c r="AS501" s="1894">
        <v>0</v>
      </c>
      <c r="AT501" s="1894">
        <f t="shared" si="193"/>
        <v>0</v>
      </c>
      <c r="AU501" s="1894">
        <f t="shared" si="194"/>
        <v>0</v>
      </c>
      <c r="AV501" s="1894">
        <v>0</v>
      </c>
      <c r="AW501" s="1894">
        <v>0</v>
      </c>
      <c r="AX501" s="1894">
        <v>0</v>
      </c>
      <c r="AY501" s="1894">
        <v>0</v>
      </c>
      <c r="AZ501" s="1894">
        <v>0</v>
      </c>
      <c r="BA501" s="1894">
        <v>0</v>
      </c>
      <c r="BB501" s="1894">
        <f t="shared" si="195"/>
        <v>0</v>
      </c>
      <c r="BC501" s="1894">
        <f t="shared" si="196"/>
        <v>0</v>
      </c>
      <c r="BD501" s="1894">
        <v>0</v>
      </c>
      <c r="BE501" s="1894">
        <v>0</v>
      </c>
      <c r="BF501" s="1894">
        <v>0</v>
      </c>
      <c r="BG501" s="1894">
        <v>0</v>
      </c>
      <c r="BH501" s="1894">
        <v>0</v>
      </c>
      <c r="BI501" s="1894">
        <v>0</v>
      </c>
      <c r="BJ501" s="1894">
        <f t="shared" si="197"/>
        <v>0</v>
      </c>
      <c r="BK501" s="1894">
        <f t="shared" si="198"/>
        <v>0</v>
      </c>
      <c r="BL501" s="1894">
        <v>0</v>
      </c>
      <c r="BM501" s="1894">
        <v>0</v>
      </c>
      <c r="BN501" s="1894">
        <v>0</v>
      </c>
      <c r="BO501" s="1894">
        <v>0</v>
      </c>
      <c r="BP501" s="1894">
        <v>0</v>
      </c>
      <c r="BQ501" s="1894">
        <v>0</v>
      </c>
      <c r="BR501" s="1894">
        <f t="shared" si="199"/>
        <v>0</v>
      </c>
      <c r="BS501" s="1894">
        <f t="shared" si="200"/>
        <v>0</v>
      </c>
      <c r="BT501" s="1894">
        <v>389</v>
      </c>
      <c r="BU501" s="1894">
        <v>198.72</v>
      </c>
      <c r="BV501" s="1894">
        <v>311.2</v>
      </c>
      <c r="BW501" s="1894">
        <v>0.48630000000000001</v>
      </c>
      <c r="BX501" s="1894">
        <v>3.86</v>
      </c>
      <c r="BY501" s="1894">
        <v>4608</v>
      </c>
      <c r="BZ501" s="1894">
        <f t="shared" si="201"/>
        <v>88709</v>
      </c>
      <c r="CA501" s="1894">
        <f t="shared" si="202"/>
        <v>0</v>
      </c>
      <c r="CB501" s="1894">
        <v>389</v>
      </c>
      <c r="CC501" s="1894">
        <v>358.32</v>
      </c>
      <c r="CD501" s="1894">
        <v>358.32</v>
      </c>
      <c r="CE501" s="1894">
        <v>0.75470000000000004</v>
      </c>
      <c r="CF501" s="1894">
        <v>25.76</v>
      </c>
      <c r="CG501" s="1894">
        <v>77538</v>
      </c>
      <c r="CH501" s="1894">
        <f t="shared" si="203"/>
        <v>159954</v>
      </c>
      <c r="CI501" s="1894">
        <f t="shared" si="204"/>
        <v>0</v>
      </c>
      <c r="CJ501" s="1894">
        <v>389</v>
      </c>
      <c r="CK501" s="1894">
        <v>353.04</v>
      </c>
      <c r="CL501" s="1894">
        <v>353.04</v>
      </c>
      <c r="CM501" s="1894">
        <v>0.75800000000000001</v>
      </c>
      <c r="CN501" s="1894">
        <v>10.3</v>
      </c>
      <c r="CO501" s="1894">
        <v>24426</v>
      </c>
      <c r="CP501" s="1894">
        <f t="shared" si="205"/>
        <v>142346</v>
      </c>
      <c r="CQ501" s="1894">
        <f t="shared" si="206"/>
        <v>0</v>
      </c>
      <c r="CR501" s="1924">
        <v>389</v>
      </c>
      <c r="CS501" s="1924">
        <v>363.36</v>
      </c>
      <c r="CT501" s="1924">
        <v>363.36</v>
      </c>
      <c r="CU501" s="1924">
        <v>0.79679999999999995</v>
      </c>
      <c r="CV501" s="1924">
        <v>21.23</v>
      </c>
      <c r="CW501" s="1924">
        <v>57384</v>
      </c>
      <c r="CX501" s="1894">
        <f t="shared" si="207"/>
        <v>162204</v>
      </c>
      <c r="CY501" s="1894">
        <f t="shared" si="208"/>
        <v>0</v>
      </c>
    </row>
    <row r="502" spans="1:103">
      <c r="A502" s="982">
        <v>123000000117</v>
      </c>
      <c r="B502" s="1923">
        <f t="shared" si="209"/>
        <v>496</v>
      </c>
      <c r="C502" s="1895" t="s">
        <v>3377</v>
      </c>
      <c r="D502" s="1894" t="s">
        <v>524</v>
      </c>
      <c r="E502" s="1895" t="s">
        <v>541</v>
      </c>
      <c r="F502" s="1894" t="s">
        <v>259</v>
      </c>
      <c r="G502" s="1924">
        <v>389</v>
      </c>
      <c r="H502" s="1894">
        <v>389</v>
      </c>
      <c r="I502" s="1894">
        <v>121.2</v>
      </c>
      <c r="J502" s="1894">
        <v>311.2</v>
      </c>
      <c r="K502" s="1894">
        <v>0.79530000000000001</v>
      </c>
      <c r="L502" s="1894">
        <v>7.15</v>
      </c>
      <c r="M502" s="1894">
        <v>6654</v>
      </c>
      <c r="N502" s="1894">
        <f t="shared" si="187"/>
        <v>52358</v>
      </c>
      <c r="O502" s="1894">
        <f t="shared" si="188"/>
        <v>0</v>
      </c>
      <c r="P502" s="1894">
        <v>389</v>
      </c>
      <c r="Q502" s="1894">
        <v>129.6</v>
      </c>
      <c r="R502" s="1894">
        <v>311.2</v>
      </c>
      <c r="S502" s="1894">
        <v>0.78920000000000001</v>
      </c>
      <c r="T502" s="1894">
        <v>4.97</v>
      </c>
      <c r="U502" s="1894">
        <v>5409</v>
      </c>
      <c r="V502" s="1894">
        <f t="shared" si="189"/>
        <v>57853</v>
      </c>
      <c r="W502" s="1894">
        <f t="shared" si="190"/>
        <v>0</v>
      </c>
      <c r="X502" s="1894">
        <v>389</v>
      </c>
      <c r="Y502" s="1894">
        <v>8.8800000000000008</v>
      </c>
      <c r="Z502" s="1894">
        <v>311.2</v>
      </c>
      <c r="AA502" s="1894">
        <v>0.59150000000000003</v>
      </c>
      <c r="AB502" s="1894">
        <v>31.02</v>
      </c>
      <c r="AC502" s="1894">
        <v>1983</v>
      </c>
      <c r="AD502" s="1894">
        <f t="shared" si="191"/>
        <v>3836</v>
      </c>
      <c r="AE502" s="1894">
        <f t="shared" si="192"/>
        <v>0</v>
      </c>
      <c r="AF502" s="1894">
        <v>389</v>
      </c>
      <c r="AG502" s="1894">
        <v>8.4</v>
      </c>
      <c r="AH502" s="1894">
        <v>311.2</v>
      </c>
      <c r="AI502" s="1894">
        <v>0.52229999999999999</v>
      </c>
      <c r="AJ502" s="1894">
        <v>32.26</v>
      </c>
      <c r="AK502" s="1894">
        <v>2016</v>
      </c>
      <c r="AL502" s="1894">
        <f t="shared" si="210"/>
        <v>3750</v>
      </c>
      <c r="AM502" s="1894">
        <f t="shared" si="211"/>
        <v>0</v>
      </c>
      <c r="AN502" s="1894">
        <v>389</v>
      </c>
      <c r="AO502" s="1894">
        <v>8.16</v>
      </c>
      <c r="AP502" s="1894">
        <v>311.2</v>
      </c>
      <c r="AQ502" s="1894">
        <v>0.75070000000000003</v>
      </c>
      <c r="AR502" s="1894">
        <v>177.05</v>
      </c>
      <c r="AS502" s="1894">
        <v>10749</v>
      </c>
      <c r="AT502" s="1894">
        <f t="shared" si="193"/>
        <v>3643</v>
      </c>
      <c r="AU502" s="1894">
        <f t="shared" si="194"/>
        <v>7106</v>
      </c>
      <c r="AV502" s="1894">
        <v>389</v>
      </c>
      <c r="AW502" s="1894">
        <v>132.72</v>
      </c>
      <c r="AX502" s="1894">
        <v>311.2</v>
      </c>
      <c r="AY502" s="1894">
        <v>0.76319999999999999</v>
      </c>
      <c r="AZ502" s="1894">
        <v>12.78</v>
      </c>
      <c r="BA502" s="1894">
        <v>12213</v>
      </c>
      <c r="BB502" s="1894">
        <f t="shared" si="195"/>
        <v>57335</v>
      </c>
      <c r="BC502" s="1894">
        <f t="shared" si="196"/>
        <v>0</v>
      </c>
      <c r="BD502" s="1894">
        <v>389</v>
      </c>
      <c r="BE502" s="1894">
        <v>141.6</v>
      </c>
      <c r="BF502" s="1894">
        <v>311.2</v>
      </c>
      <c r="BG502" s="1894">
        <v>0.73080000000000001</v>
      </c>
      <c r="BH502" s="1894">
        <v>13.88</v>
      </c>
      <c r="BI502" s="1894">
        <v>14622</v>
      </c>
      <c r="BJ502" s="1894">
        <f t="shared" si="197"/>
        <v>63210</v>
      </c>
      <c r="BK502" s="1894">
        <f t="shared" si="198"/>
        <v>0</v>
      </c>
      <c r="BL502" s="1894">
        <v>389</v>
      </c>
      <c r="BM502" s="1894">
        <v>138.72</v>
      </c>
      <c r="BN502" s="1894">
        <v>311.2</v>
      </c>
      <c r="BO502" s="1894">
        <v>0.7026</v>
      </c>
      <c r="BP502" s="1894">
        <v>16.18</v>
      </c>
      <c r="BQ502" s="1894">
        <v>16164</v>
      </c>
      <c r="BR502" s="1894">
        <f t="shared" si="199"/>
        <v>59927</v>
      </c>
      <c r="BS502" s="1894">
        <f t="shared" si="200"/>
        <v>0</v>
      </c>
      <c r="BT502" s="1894">
        <v>389</v>
      </c>
      <c r="BU502" s="1894">
        <v>138.96</v>
      </c>
      <c r="BV502" s="1894">
        <v>311.2</v>
      </c>
      <c r="BW502" s="1894">
        <v>0.66959999999999997</v>
      </c>
      <c r="BX502" s="1894">
        <v>14.85</v>
      </c>
      <c r="BY502" s="1894">
        <v>15357</v>
      </c>
      <c r="BZ502" s="1894">
        <f t="shared" si="201"/>
        <v>62032</v>
      </c>
      <c r="CA502" s="1894">
        <f t="shared" si="202"/>
        <v>0</v>
      </c>
      <c r="CB502" s="1894">
        <v>389</v>
      </c>
      <c r="CC502" s="1894">
        <v>135.6</v>
      </c>
      <c r="CD502" s="1894">
        <v>311.2</v>
      </c>
      <c r="CE502" s="1894">
        <v>0.53559999999999997</v>
      </c>
      <c r="CF502" s="1894">
        <v>9.02</v>
      </c>
      <c r="CG502" s="1894">
        <v>9096</v>
      </c>
      <c r="CH502" s="1894">
        <f t="shared" si="203"/>
        <v>60532</v>
      </c>
      <c r="CI502" s="1894">
        <f t="shared" si="204"/>
        <v>0</v>
      </c>
      <c r="CJ502" s="1894">
        <v>389</v>
      </c>
      <c r="CK502" s="1894">
        <v>111.36</v>
      </c>
      <c r="CL502" s="1894">
        <v>311.2</v>
      </c>
      <c r="CM502" s="1894">
        <v>0.56630000000000003</v>
      </c>
      <c r="CN502" s="1894">
        <v>11.4</v>
      </c>
      <c r="CO502" s="1894">
        <v>8529</v>
      </c>
      <c r="CP502" s="1894">
        <f t="shared" si="205"/>
        <v>44900</v>
      </c>
      <c r="CQ502" s="1894">
        <f t="shared" si="206"/>
        <v>0</v>
      </c>
      <c r="CR502" s="1924">
        <v>389</v>
      </c>
      <c r="CS502" s="1924">
        <v>58.32</v>
      </c>
      <c r="CT502" s="1924">
        <v>311.2</v>
      </c>
      <c r="CU502" s="1924">
        <v>0.25990000000000002</v>
      </c>
      <c r="CV502" s="1924">
        <v>11.3</v>
      </c>
      <c r="CW502" s="1924">
        <v>4905</v>
      </c>
      <c r="CX502" s="1894">
        <f t="shared" si="207"/>
        <v>26034</v>
      </c>
      <c r="CY502" s="1894">
        <f t="shared" si="208"/>
        <v>0</v>
      </c>
    </row>
    <row r="503" spans="1:103">
      <c r="A503" s="982">
        <v>126000000033</v>
      </c>
      <c r="B503" s="1923">
        <f t="shared" si="209"/>
        <v>497</v>
      </c>
      <c r="C503" s="1895" t="s">
        <v>3378</v>
      </c>
      <c r="D503" s="1894" t="s">
        <v>524</v>
      </c>
      <c r="E503" s="1895" t="s">
        <v>2966</v>
      </c>
      <c r="F503" s="1894" t="s">
        <v>259</v>
      </c>
      <c r="G503" s="1924">
        <v>389</v>
      </c>
      <c r="H503" s="1894">
        <v>389</v>
      </c>
      <c r="I503" s="1894">
        <v>150.24</v>
      </c>
      <c r="J503" s="1894">
        <v>389</v>
      </c>
      <c r="K503" s="1894">
        <v>0.81820000000000004</v>
      </c>
      <c r="L503" s="1894">
        <v>0</v>
      </c>
      <c r="M503" s="1894">
        <v>23472</v>
      </c>
      <c r="N503" s="1894">
        <f t="shared" si="187"/>
        <v>64904</v>
      </c>
      <c r="O503" s="1894">
        <f t="shared" si="188"/>
        <v>0</v>
      </c>
      <c r="P503" s="1894">
        <v>389</v>
      </c>
      <c r="Q503" s="1894">
        <v>181.92000000000002</v>
      </c>
      <c r="R503" s="1894">
        <v>389</v>
      </c>
      <c r="S503" s="1894">
        <v>0.93610000000000004</v>
      </c>
      <c r="T503" s="1894">
        <v>0</v>
      </c>
      <c r="U503" s="1894">
        <v>53112</v>
      </c>
      <c r="V503" s="1894">
        <f t="shared" si="189"/>
        <v>81209</v>
      </c>
      <c r="W503" s="1894">
        <f t="shared" si="190"/>
        <v>0</v>
      </c>
      <c r="X503" s="1894">
        <v>389</v>
      </c>
      <c r="Y503" s="1894">
        <v>278.16000000000003</v>
      </c>
      <c r="Z503" s="1894">
        <v>389</v>
      </c>
      <c r="AA503" s="1894">
        <v>0.89910000000000001</v>
      </c>
      <c r="AB503" s="1894">
        <v>0</v>
      </c>
      <c r="AC503" s="1894">
        <v>72528</v>
      </c>
      <c r="AD503" s="1894">
        <f t="shared" si="191"/>
        <v>120165</v>
      </c>
      <c r="AE503" s="1894">
        <f t="shared" si="192"/>
        <v>0</v>
      </c>
      <c r="AF503" s="1894">
        <v>389</v>
      </c>
      <c r="AG503" s="1894">
        <v>287.28000000000003</v>
      </c>
      <c r="AH503" s="1894">
        <v>389</v>
      </c>
      <c r="AI503" s="1894">
        <v>0.84560000000000002</v>
      </c>
      <c r="AJ503" s="1894">
        <v>0</v>
      </c>
      <c r="AK503" s="1894">
        <v>72180</v>
      </c>
      <c r="AL503" s="1894">
        <f t="shared" si="210"/>
        <v>128242</v>
      </c>
      <c r="AM503" s="1894">
        <f t="shared" si="211"/>
        <v>0</v>
      </c>
      <c r="AN503" s="1894">
        <v>389</v>
      </c>
      <c r="AO503" s="1894">
        <v>200.64</v>
      </c>
      <c r="AP503" s="1894">
        <v>389</v>
      </c>
      <c r="AQ503" s="1894">
        <v>0.89729999999999999</v>
      </c>
      <c r="AR503" s="1894">
        <v>0</v>
      </c>
      <c r="AS503" s="1894">
        <v>43680</v>
      </c>
      <c r="AT503" s="1894">
        <f t="shared" si="193"/>
        <v>89566</v>
      </c>
      <c r="AU503" s="1894">
        <f t="shared" si="194"/>
        <v>0</v>
      </c>
      <c r="AV503" s="1894">
        <v>389</v>
      </c>
      <c r="AW503" s="1894">
        <v>182.88</v>
      </c>
      <c r="AX503" s="1894">
        <v>389</v>
      </c>
      <c r="AY503" s="1894">
        <v>0.98029999999999995</v>
      </c>
      <c r="AZ503" s="1894">
        <v>0</v>
      </c>
      <c r="BA503" s="1894">
        <v>38895</v>
      </c>
      <c r="BB503" s="1894">
        <f t="shared" si="195"/>
        <v>79004</v>
      </c>
      <c r="BC503" s="1894">
        <f t="shared" si="196"/>
        <v>0</v>
      </c>
      <c r="BD503" s="1894">
        <v>389</v>
      </c>
      <c r="BE503" s="1894">
        <v>167.28</v>
      </c>
      <c r="BF503" s="1894">
        <v>389</v>
      </c>
      <c r="BG503" s="1894">
        <v>0.99299999999999999</v>
      </c>
      <c r="BH503" s="1894">
        <v>0</v>
      </c>
      <c r="BI503" s="1894">
        <v>52599</v>
      </c>
      <c r="BJ503" s="1894">
        <f t="shared" si="197"/>
        <v>74674</v>
      </c>
      <c r="BK503" s="1894">
        <f t="shared" si="198"/>
        <v>0</v>
      </c>
      <c r="BL503" s="1894">
        <v>389</v>
      </c>
      <c r="BM503" s="1894">
        <v>242.16</v>
      </c>
      <c r="BN503" s="1894">
        <v>389</v>
      </c>
      <c r="BO503" s="1894">
        <v>0.8871</v>
      </c>
      <c r="BP503" s="1894">
        <v>0</v>
      </c>
      <c r="BQ503" s="1894">
        <v>68724</v>
      </c>
      <c r="BR503" s="1894">
        <f t="shared" si="199"/>
        <v>104613</v>
      </c>
      <c r="BS503" s="1894">
        <f t="shared" si="200"/>
        <v>0</v>
      </c>
      <c r="BT503" s="1894">
        <v>389</v>
      </c>
      <c r="BU503" s="1894">
        <v>88.32</v>
      </c>
      <c r="BV503" s="1894">
        <v>389</v>
      </c>
      <c r="BW503" s="1894">
        <v>0.80740000000000001</v>
      </c>
      <c r="BX503" s="1894">
        <v>0</v>
      </c>
      <c r="BY503" s="1894">
        <v>9114</v>
      </c>
      <c r="BZ503" s="1894">
        <f t="shared" si="201"/>
        <v>39426</v>
      </c>
      <c r="CA503" s="1894">
        <f t="shared" si="202"/>
        <v>0</v>
      </c>
      <c r="CB503" s="1894">
        <v>389</v>
      </c>
      <c r="CC503" s="1894">
        <v>7.6800000000000006</v>
      </c>
      <c r="CD503" s="1894">
        <v>389</v>
      </c>
      <c r="CE503" s="1894">
        <v>0.46010000000000001</v>
      </c>
      <c r="CF503" s="1894">
        <v>0</v>
      </c>
      <c r="CG503" s="1894">
        <v>2901</v>
      </c>
      <c r="CH503" s="1894">
        <f t="shared" si="203"/>
        <v>3428</v>
      </c>
      <c r="CI503" s="1894">
        <f t="shared" si="204"/>
        <v>0</v>
      </c>
      <c r="CJ503" s="1894">
        <v>389</v>
      </c>
      <c r="CK503" s="1894">
        <v>19.680000000000003</v>
      </c>
      <c r="CL503" s="1894">
        <v>389</v>
      </c>
      <c r="CM503" s="1894">
        <v>0.52029999999999998</v>
      </c>
      <c r="CN503" s="1894">
        <v>0</v>
      </c>
      <c r="CO503" s="1894">
        <v>3021</v>
      </c>
      <c r="CP503" s="1894">
        <f t="shared" si="205"/>
        <v>7935</v>
      </c>
      <c r="CQ503" s="1894">
        <f t="shared" si="206"/>
        <v>0</v>
      </c>
      <c r="CR503" s="1924">
        <v>389</v>
      </c>
      <c r="CS503" s="1924">
        <v>91.44</v>
      </c>
      <c r="CT503" s="1924">
        <v>389</v>
      </c>
      <c r="CU503" s="1924">
        <v>0.69479999999999997</v>
      </c>
      <c r="CV503" s="1924">
        <v>0</v>
      </c>
      <c r="CW503" s="1924">
        <v>10734</v>
      </c>
      <c r="CX503" s="1894">
        <f t="shared" si="207"/>
        <v>40819</v>
      </c>
      <c r="CY503" s="1894">
        <f t="shared" si="208"/>
        <v>0</v>
      </c>
    </row>
    <row r="504" spans="1:103">
      <c r="A504" s="982">
        <v>611000000059</v>
      </c>
      <c r="B504" s="1923">
        <f t="shared" si="209"/>
        <v>498</v>
      </c>
      <c r="C504" s="1895" t="s">
        <v>3379</v>
      </c>
      <c r="D504" s="1894" t="s">
        <v>524</v>
      </c>
      <c r="E504" s="1895" t="s">
        <v>636</v>
      </c>
      <c r="F504" s="1894" t="s">
        <v>259</v>
      </c>
      <c r="G504" s="1924">
        <v>389</v>
      </c>
      <c r="H504" s="1894">
        <v>389</v>
      </c>
      <c r="I504" s="1894">
        <v>108.72</v>
      </c>
      <c r="J504" s="1894">
        <v>311.2</v>
      </c>
      <c r="K504" s="1894">
        <v>0.86460000000000004</v>
      </c>
      <c r="L504" s="1894">
        <v>41.1</v>
      </c>
      <c r="M504" s="1894">
        <v>32172</v>
      </c>
      <c r="N504" s="1894">
        <f t="shared" si="187"/>
        <v>46967</v>
      </c>
      <c r="O504" s="1894">
        <f t="shared" si="188"/>
        <v>0</v>
      </c>
      <c r="P504" s="1894">
        <v>389</v>
      </c>
      <c r="Q504" s="1894">
        <v>118.56</v>
      </c>
      <c r="R504" s="1894">
        <v>311.2</v>
      </c>
      <c r="S504" s="1894">
        <v>0.8619</v>
      </c>
      <c r="T504" s="1894">
        <v>39.89</v>
      </c>
      <c r="U504" s="1894">
        <v>35190</v>
      </c>
      <c r="V504" s="1894">
        <f t="shared" si="189"/>
        <v>52925</v>
      </c>
      <c r="W504" s="1894">
        <f t="shared" si="190"/>
        <v>0</v>
      </c>
      <c r="X504" s="1894">
        <v>389</v>
      </c>
      <c r="Y504" s="1894">
        <v>111.84</v>
      </c>
      <c r="Z504" s="1894">
        <v>311.2</v>
      </c>
      <c r="AA504" s="1894">
        <v>0.85340000000000005</v>
      </c>
      <c r="AB504" s="1894">
        <v>44.61</v>
      </c>
      <c r="AC504" s="1894">
        <v>35925</v>
      </c>
      <c r="AD504" s="1894">
        <f t="shared" si="191"/>
        <v>48315</v>
      </c>
      <c r="AE504" s="1894">
        <f t="shared" si="192"/>
        <v>0</v>
      </c>
      <c r="AF504" s="1894">
        <v>389</v>
      </c>
      <c r="AG504" s="1894">
        <v>109.2</v>
      </c>
      <c r="AH504" s="1894">
        <v>311.2</v>
      </c>
      <c r="AI504" s="1894">
        <v>0.82040000000000002</v>
      </c>
      <c r="AJ504" s="1894">
        <v>44.83</v>
      </c>
      <c r="AK504" s="1894">
        <v>36420</v>
      </c>
      <c r="AL504" s="1894">
        <f t="shared" si="210"/>
        <v>48747</v>
      </c>
      <c r="AM504" s="1894">
        <f t="shared" si="211"/>
        <v>0</v>
      </c>
      <c r="AN504" s="1894">
        <v>389</v>
      </c>
      <c r="AO504" s="1894">
        <v>96.48</v>
      </c>
      <c r="AP504" s="1894">
        <v>311.2</v>
      </c>
      <c r="AQ504" s="1894">
        <v>0.8125</v>
      </c>
      <c r="AR504" s="1894">
        <v>46.93</v>
      </c>
      <c r="AS504" s="1894">
        <v>33690</v>
      </c>
      <c r="AT504" s="1894">
        <f t="shared" si="193"/>
        <v>43069</v>
      </c>
      <c r="AU504" s="1894">
        <f t="shared" si="194"/>
        <v>0</v>
      </c>
      <c r="AV504" s="1894">
        <v>389</v>
      </c>
      <c r="AW504" s="1894">
        <v>128.16</v>
      </c>
      <c r="AX504" s="1894">
        <v>311.2</v>
      </c>
      <c r="AY504" s="1894">
        <v>0.80889999999999995</v>
      </c>
      <c r="AZ504" s="1894">
        <v>39.15</v>
      </c>
      <c r="BA504" s="1894">
        <v>36126</v>
      </c>
      <c r="BB504" s="1894">
        <f t="shared" si="195"/>
        <v>55365</v>
      </c>
      <c r="BC504" s="1894">
        <f t="shared" si="196"/>
        <v>0</v>
      </c>
      <c r="BD504" s="1894">
        <v>389</v>
      </c>
      <c r="BE504" s="1894">
        <v>111.35999999999999</v>
      </c>
      <c r="BF504" s="1894">
        <v>311.2</v>
      </c>
      <c r="BG504" s="1894">
        <v>0.71519999999999995</v>
      </c>
      <c r="BH504" s="1894">
        <v>33.229999999999997</v>
      </c>
      <c r="BI504" s="1894">
        <v>27531</v>
      </c>
      <c r="BJ504" s="1894">
        <f t="shared" si="197"/>
        <v>49711</v>
      </c>
      <c r="BK504" s="1894">
        <f t="shared" si="198"/>
        <v>0</v>
      </c>
      <c r="BL504" s="1894">
        <v>389</v>
      </c>
      <c r="BM504" s="1894">
        <v>85.68</v>
      </c>
      <c r="BN504" s="1894">
        <v>311.2</v>
      </c>
      <c r="BO504" s="1894">
        <v>0.70450000000000002</v>
      </c>
      <c r="BP504" s="1894">
        <v>44.75</v>
      </c>
      <c r="BQ504" s="1894">
        <v>27606</v>
      </c>
      <c r="BR504" s="1894">
        <f t="shared" si="199"/>
        <v>37014</v>
      </c>
      <c r="BS504" s="1894">
        <f t="shared" si="200"/>
        <v>0</v>
      </c>
      <c r="BT504" s="1894">
        <v>389</v>
      </c>
      <c r="BU504" s="1894">
        <v>70.08</v>
      </c>
      <c r="BV504" s="1894">
        <v>311.2</v>
      </c>
      <c r="BW504" s="1894">
        <v>0.68700000000000006</v>
      </c>
      <c r="BX504" s="1894">
        <v>51.58</v>
      </c>
      <c r="BY504" s="1894">
        <v>26895</v>
      </c>
      <c r="BZ504" s="1894">
        <f t="shared" si="201"/>
        <v>31284</v>
      </c>
      <c r="CA504" s="1894">
        <f t="shared" si="202"/>
        <v>0</v>
      </c>
      <c r="CB504" s="1894">
        <v>389</v>
      </c>
      <c r="CC504" s="1894">
        <v>66.72</v>
      </c>
      <c r="CD504" s="1894">
        <v>311.2</v>
      </c>
      <c r="CE504" s="1894">
        <v>0.70469999999999999</v>
      </c>
      <c r="CF504" s="1894">
        <v>45.47</v>
      </c>
      <c r="CG504" s="1894">
        <v>22569</v>
      </c>
      <c r="CH504" s="1894">
        <f t="shared" si="203"/>
        <v>29784</v>
      </c>
      <c r="CI504" s="1894">
        <f t="shared" si="204"/>
        <v>0</v>
      </c>
      <c r="CJ504" s="1894">
        <v>389</v>
      </c>
      <c r="CK504" s="1894">
        <v>83.28</v>
      </c>
      <c r="CL504" s="1894">
        <v>311.2</v>
      </c>
      <c r="CM504" s="1894">
        <v>0.77669999999999995</v>
      </c>
      <c r="CN504" s="1894">
        <v>42.11</v>
      </c>
      <c r="CO504" s="1894">
        <v>23568</v>
      </c>
      <c r="CP504" s="1894">
        <f t="shared" si="205"/>
        <v>33578</v>
      </c>
      <c r="CQ504" s="1894">
        <f t="shared" si="206"/>
        <v>0</v>
      </c>
      <c r="CR504" s="1924">
        <v>389</v>
      </c>
      <c r="CS504" s="1924">
        <v>91.2</v>
      </c>
      <c r="CT504" s="1924">
        <v>311.2</v>
      </c>
      <c r="CU504" s="1924">
        <v>0.78490000000000004</v>
      </c>
      <c r="CV504" s="1924">
        <v>36.299999999999997</v>
      </c>
      <c r="CW504" s="1924">
        <v>24633</v>
      </c>
      <c r="CX504" s="1894">
        <f t="shared" si="207"/>
        <v>40712</v>
      </c>
      <c r="CY504" s="1894">
        <f t="shared" si="208"/>
        <v>0</v>
      </c>
    </row>
    <row r="505" spans="1:103">
      <c r="A505" s="982">
        <v>621000000051</v>
      </c>
      <c r="B505" s="1923">
        <f t="shared" si="209"/>
        <v>499</v>
      </c>
      <c r="C505" s="1895" t="s">
        <v>3019</v>
      </c>
      <c r="D505" s="1894" t="s">
        <v>524</v>
      </c>
      <c r="E505" s="1895" t="s">
        <v>541</v>
      </c>
      <c r="F505" s="1894" t="s">
        <v>259</v>
      </c>
      <c r="G505" s="1924">
        <v>389</v>
      </c>
      <c r="H505" s="1894">
        <v>389</v>
      </c>
      <c r="I505" s="1894">
        <v>96.48</v>
      </c>
      <c r="J505" s="1894">
        <v>311.2</v>
      </c>
      <c r="K505" s="1894">
        <v>0.20069999999999999</v>
      </c>
      <c r="L505" s="1894">
        <v>37.92</v>
      </c>
      <c r="M505" s="1894">
        <v>10536</v>
      </c>
      <c r="N505" s="1894">
        <f t="shared" si="187"/>
        <v>41679</v>
      </c>
      <c r="O505" s="1894">
        <f t="shared" si="188"/>
        <v>0</v>
      </c>
      <c r="P505" s="1894">
        <v>389</v>
      </c>
      <c r="Q505" s="1894">
        <v>0</v>
      </c>
      <c r="R505" s="1894">
        <v>311.2</v>
      </c>
      <c r="S505" s="1894">
        <v>0</v>
      </c>
      <c r="T505" s="1894">
        <v>0</v>
      </c>
      <c r="U505" s="1894">
        <v>0</v>
      </c>
      <c r="V505" s="1894">
        <f t="shared" si="189"/>
        <v>0</v>
      </c>
      <c r="W505" s="1894">
        <f t="shared" si="190"/>
        <v>0</v>
      </c>
      <c r="X505" s="1894">
        <v>389</v>
      </c>
      <c r="Y505" s="1894">
        <v>0</v>
      </c>
      <c r="Z505" s="1894">
        <v>311.2</v>
      </c>
      <c r="AA505" s="1894">
        <v>0</v>
      </c>
      <c r="AB505" s="1894">
        <v>0</v>
      </c>
      <c r="AC505" s="1894">
        <v>0</v>
      </c>
      <c r="AD505" s="1894">
        <f t="shared" si="191"/>
        <v>0</v>
      </c>
      <c r="AE505" s="1894">
        <f t="shared" si="192"/>
        <v>0</v>
      </c>
      <c r="AF505" s="1894">
        <v>389</v>
      </c>
      <c r="AG505" s="1894">
        <v>0</v>
      </c>
      <c r="AH505" s="1894">
        <v>311.2</v>
      </c>
      <c r="AI505" s="1894">
        <v>0</v>
      </c>
      <c r="AJ505" s="1894">
        <v>0</v>
      </c>
      <c r="AK505" s="1894">
        <v>0</v>
      </c>
      <c r="AL505" s="1894">
        <f t="shared" si="210"/>
        <v>0</v>
      </c>
      <c r="AM505" s="1894">
        <f t="shared" si="211"/>
        <v>0</v>
      </c>
      <c r="AN505" s="1894">
        <v>389</v>
      </c>
      <c r="AO505" s="1894">
        <v>0</v>
      </c>
      <c r="AP505" s="1894">
        <v>311.2</v>
      </c>
      <c r="AQ505" s="1894">
        <v>0</v>
      </c>
      <c r="AR505" s="1894">
        <v>0</v>
      </c>
      <c r="AS505" s="1894">
        <v>0</v>
      </c>
      <c r="AT505" s="1894">
        <f t="shared" si="193"/>
        <v>0</v>
      </c>
      <c r="AU505" s="1894">
        <f t="shared" si="194"/>
        <v>0</v>
      </c>
      <c r="AV505" s="1894">
        <v>389</v>
      </c>
      <c r="AW505" s="1894">
        <v>0</v>
      </c>
      <c r="AX505" s="1894">
        <v>311.2</v>
      </c>
      <c r="AY505" s="1894">
        <v>0</v>
      </c>
      <c r="AZ505" s="1894">
        <v>0</v>
      </c>
      <c r="BA505" s="1894">
        <v>0</v>
      </c>
      <c r="BB505" s="1894">
        <f t="shared" si="195"/>
        <v>0</v>
      </c>
      <c r="BC505" s="1894">
        <f t="shared" si="196"/>
        <v>0</v>
      </c>
      <c r="BD505" s="1894">
        <v>389</v>
      </c>
      <c r="BE505" s="1894">
        <v>0</v>
      </c>
      <c r="BF505" s="1894">
        <v>311.2</v>
      </c>
      <c r="BG505" s="1894">
        <v>0</v>
      </c>
      <c r="BH505" s="1894">
        <v>0</v>
      </c>
      <c r="BI505" s="1894">
        <v>0</v>
      </c>
      <c r="BJ505" s="1894">
        <f t="shared" si="197"/>
        <v>0</v>
      </c>
      <c r="BK505" s="1894">
        <f t="shared" si="198"/>
        <v>0</v>
      </c>
      <c r="BL505" s="1894">
        <v>389</v>
      </c>
      <c r="BM505" s="1894">
        <v>0</v>
      </c>
      <c r="BN505" s="1894">
        <v>311.2</v>
      </c>
      <c r="BO505" s="1894">
        <v>0</v>
      </c>
      <c r="BP505" s="1894">
        <v>0</v>
      </c>
      <c r="BQ505" s="1894">
        <v>0</v>
      </c>
      <c r="BR505" s="1894">
        <f t="shared" si="199"/>
        <v>0</v>
      </c>
      <c r="BS505" s="1894">
        <f t="shared" si="200"/>
        <v>0</v>
      </c>
      <c r="BT505" s="1894">
        <v>389</v>
      </c>
      <c r="BU505" s="1894">
        <v>0</v>
      </c>
      <c r="BV505" s="1894">
        <v>311.2</v>
      </c>
      <c r="BW505" s="1894">
        <v>0</v>
      </c>
      <c r="BX505" s="1894">
        <v>0</v>
      </c>
      <c r="BY505" s="1894">
        <v>0</v>
      </c>
      <c r="BZ505" s="1894">
        <f t="shared" si="201"/>
        <v>0</v>
      </c>
      <c r="CA505" s="1894">
        <f t="shared" si="202"/>
        <v>0</v>
      </c>
      <c r="CB505" s="1894">
        <v>389</v>
      </c>
      <c r="CC505" s="1894">
        <v>0</v>
      </c>
      <c r="CD505" s="1894">
        <v>311.2</v>
      </c>
      <c r="CE505" s="1894">
        <v>0</v>
      </c>
      <c r="CF505" s="1894">
        <v>0</v>
      </c>
      <c r="CG505" s="1894">
        <v>0</v>
      </c>
      <c r="CH505" s="1894">
        <f t="shared" si="203"/>
        <v>0</v>
      </c>
      <c r="CI505" s="1894">
        <f t="shared" si="204"/>
        <v>0</v>
      </c>
      <c r="CJ505" s="1894">
        <v>389</v>
      </c>
      <c r="CK505" s="1894">
        <v>0</v>
      </c>
      <c r="CL505" s="1894">
        <v>311.2</v>
      </c>
      <c r="CM505" s="1894">
        <v>0</v>
      </c>
      <c r="CN505" s="1894">
        <v>0</v>
      </c>
      <c r="CO505" s="1894">
        <v>0</v>
      </c>
      <c r="CP505" s="1894">
        <f t="shared" si="205"/>
        <v>0</v>
      </c>
      <c r="CQ505" s="1894">
        <f t="shared" si="206"/>
        <v>0</v>
      </c>
      <c r="CR505" s="1924">
        <v>389</v>
      </c>
      <c r="CS505" s="1924">
        <v>0</v>
      </c>
      <c r="CT505" s="1924">
        <v>311.2</v>
      </c>
      <c r="CU505" s="1924">
        <v>0</v>
      </c>
      <c r="CV505" s="1924">
        <v>0</v>
      </c>
      <c r="CW505" s="1924">
        <v>0</v>
      </c>
      <c r="CX505" s="1894">
        <f t="shared" si="207"/>
        <v>0</v>
      </c>
      <c r="CY505" s="1894">
        <f t="shared" si="208"/>
        <v>0</v>
      </c>
    </row>
    <row r="506" spans="1:103">
      <c r="A506" s="982">
        <v>611000000073</v>
      </c>
      <c r="B506" s="1923">
        <f t="shared" si="209"/>
        <v>500</v>
      </c>
      <c r="C506" s="1895" t="s">
        <v>3645</v>
      </c>
      <c r="D506" s="1894" t="s">
        <v>2930</v>
      </c>
      <c r="E506" s="1895" t="s">
        <v>541</v>
      </c>
      <c r="F506" s="1894" t="s">
        <v>259</v>
      </c>
      <c r="G506" s="1894">
        <v>390</v>
      </c>
      <c r="H506" s="1894">
        <v>390</v>
      </c>
      <c r="I506" s="1894">
        <v>352.8</v>
      </c>
      <c r="J506" s="1894">
        <v>352.8</v>
      </c>
      <c r="K506" s="1894">
        <v>0.93489999999999995</v>
      </c>
      <c r="L506" s="1894">
        <v>14.29</v>
      </c>
      <c r="M506" s="1925">
        <v>31470</v>
      </c>
      <c r="N506" s="1894">
        <f t="shared" si="187"/>
        <v>152410</v>
      </c>
      <c r="O506" s="1894">
        <f t="shared" si="188"/>
        <v>0</v>
      </c>
      <c r="P506" s="1894">
        <v>390</v>
      </c>
      <c r="Q506" s="1894">
        <v>351.6</v>
      </c>
      <c r="R506" s="1894">
        <v>351.6</v>
      </c>
      <c r="S506" s="1894">
        <v>0.91549999999999998</v>
      </c>
      <c r="T506" s="1894">
        <v>7.22</v>
      </c>
      <c r="U506" s="1894">
        <v>21323</v>
      </c>
      <c r="V506" s="1894">
        <f t="shared" si="189"/>
        <v>156954</v>
      </c>
      <c r="W506" s="1894">
        <f t="shared" si="190"/>
        <v>0</v>
      </c>
      <c r="X506" s="1894">
        <v>390</v>
      </c>
      <c r="Y506" s="1894">
        <v>0</v>
      </c>
      <c r="Z506" s="1894">
        <v>312</v>
      </c>
      <c r="AA506" s="1894">
        <v>0</v>
      </c>
      <c r="AB506" s="1894">
        <v>0</v>
      </c>
      <c r="AC506" s="1894">
        <v>0</v>
      </c>
      <c r="AD506" s="1894">
        <f t="shared" si="191"/>
        <v>0</v>
      </c>
      <c r="AE506" s="1894">
        <f t="shared" si="192"/>
        <v>0</v>
      </c>
      <c r="AF506" s="1894">
        <v>390</v>
      </c>
      <c r="AG506" s="1894">
        <v>0</v>
      </c>
      <c r="AH506" s="1894">
        <v>312</v>
      </c>
      <c r="AI506" s="1894">
        <v>0</v>
      </c>
      <c r="AJ506" s="1894">
        <v>0</v>
      </c>
      <c r="AK506" s="1894">
        <v>0</v>
      </c>
      <c r="AL506" s="1894">
        <v>0</v>
      </c>
      <c r="AM506" s="1894">
        <v>0</v>
      </c>
      <c r="AN506" s="1894">
        <v>390</v>
      </c>
      <c r="AO506" s="1894">
        <v>0</v>
      </c>
      <c r="AP506" s="1894">
        <v>312</v>
      </c>
      <c r="AQ506" s="1894">
        <v>0</v>
      </c>
      <c r="AR506" s="1894">
        <v>0</v>
      </c>
      <c r="AS506" s="1894">
        <v>0</v>
      </c>
      <c r="AT506" s="1894">
        <f t="shared" si="193"/>
        <v>0</v>
      </c>
      <c r="AU506" s="1894">
        <f t="shared" si="194"/>
        <v>0</v>
      </c>
      <c r="AV506" s="1894">
        <v>390</v>
      </c>
      <c r="AW506" s="1894">
        <v>0</v>
      </c>
      <c r="AX506" s="1894">
        <v>312</v>
      </c>
      <c r="AY506" s="1894">
        <v>0</v>
      </c>
      <c r="AZ506" s="1894">
        <v>0</v>
      </c>
      <c r="BA506" s="1894">
        <v>0</v>
      </c>
      <c r="BB506" s="1894">
        <f t="shared" si="195"/>
        <v>0</v>
      </c>
      <c r="BC506" s="1894">
        <f t="shared" si="196"/>
        <v>0</v>
      </c>
      <c r="BD506" s="1894">
        <v>390</v>
      </c>
      <c r="BE506" s="1894">
        <v>0</v>
      </c>
      <c r="BF506" s="1894">
        <v>312</v>
      </c>
      <c r="BG506" s="1894">
        <v>0</v>
      </c>
      <c r="BH506" s="1894">
        <v>0</v>
      </c>
      <c r="BI506" s="1894">
        <v>0</v>
      </c>
      <c r="BJ506" s="1894">
        <f t="shared" si="197"/>
        <v>0</v>
      </c>
      <c r="BK506" s="1894">
        <f t="shared" si="198"/>
        <v>0</v>
      </c>
      <c r="BL506" s="1894">
        <v>0</v>
      </c>
      <c r="BM506" s="1894">
        <v>0</v>
      </c>
      <c r="BN506" s="1894">
        <v>0</v>
      </c>
      <c r="BO506" s="1894">
        <v>0</v>
      </c>
      <c r="BP506" s="1894">
        <v>0</v>
      </c>
      <c r="BQ506" s="1894">
        <v>0</v>
      </c>
      <c r="BR506" s="1894">
        <f t="shared" si="199"/>
        <v>0</v>
      </c>
      <c r="BS506" s="1894">
        <f t="shared" si="200"/>
        <v>0</v>
      </c>
      <c r="BT506" s="1894">
        <v>390</v>
      </c>
      <c r="BU506" s="1894">
        <v>0</v>
      </c>
      <c r="BV506" s="1894">
        <v>0</v>
      </c>
      <c r="BW506" s="1894">
        <v>0</v>
      </c>
      <c r="BX506" s="1894">
        <v>0</v>
      </c>
      <c r="BY506" s="1894">
        <v>0</v>
      </c>
      <c r="BZ506" s="1894">
        <f t="shared" si="201"/>
        <v>0</v>
      </c>
      <c r="CA506" s="1894">
        <f t="shared" si="202"/>
        <v>0</v>
      </c>
      <c r="CB506" s="1894">
        <v>390</v>
      </c>
      <c r="CC506" s="1894">
        <v>0</v>
      </c>
      <c r="CD506" s="1894">
        <v>0</v>
      </c>
      <c r="CE506" s="1894">
        <v>0</v>
      </c>
      <c r="CF506" s="1894">
        <v>0</v>
      </c>
      <c r="CG506" s="1894">
        <v>0</v>
      </c>
      <c r="CH506" s="1894">
        <f t="shared" si="203"/>
        <v>0</v>
      </c>
      <c r="CI506" s="1894">
        <f t="shared" si="204"/>
        <v>0</v>
      </c>
      <c r="CJ506" s="1894">
        <v>0</v>
      </c>
      <c r="CK506" s="1894">
        <v>0</v>
      </c>
      <c r="CL506" s="1894">
        <v>0</v>
      </c>
      <c r="CM506" s="1894">
        <v>0</v>
      </c>
      <c r="CN506" s="1894">
        <v>0</v>
      </c>
      <c r="CO506" s="1894">
        <v>0</v>
      </c>
      <c r="CP506" s="1894">
        <f t="shared" si="205"/>
        <v>0</v>
      </c>
      <c r="CQ506" s="1894">
        <f t="shared" si="206"/>
        <v>0</v>
      </c>
      <c r="CR506" s="1894">
        <v>0</v>
      </c>
      <c r="CS506" s="1894">
        <v>0</v>
      </c>
      <c r="CT506" s="1894">
        <v>0</v>
      </c>
      <c r="CU506" s="1894">
        <v>0</v>
      </c>
      <c r="CV506" s="1894">
        <v>0</v>
      </c>
      <c r="CW506" s="1894">
        <v>0</v>
      </c>
      <c r="CX506" s="1894">
        <f t="shared" si="207"/>
        <v>0</v>
      </c>
      <c r="CY506" s="1894">
        <f t="shared" si="208"/>
        <v>0</v>
      </c>
    </row>
    <row r="507" spans="1:103">
      <c r="A507" s="982">
        <v>622000000147</v>
      </c>
      <c r="B507" s="1923">
        <f t="shared" si="209"/>
        <v>501</v>
      </c>
      <c r="C507" s="1895" t="s">
        <v>3380</v>
      </c>
      <c r="D507" s="1894" t="s">
        <v>524</v>
      </c>
      <c r="E507" s="1895" t="s">
        <v>730</v>
      </c>
      <c r="F507" s="1894" t="s">
        <v>259</v>
      </c>
      <c r="G507" s="1924">
        <v>391</v>
      </c>
      <c r="H507" s="1894">
        <v>391</v>
      </c>
      <c r="I507" s="1894">
        <v>145.19999999999999</v>
      </c>
      <c r="J507" s="1894">
        <v>312.8</v>
      </c>
      <c r="K507" s="1894">
        <v>0.89390000000000003</v>
      </c>
      <c r="L507" s="1894">
        <v>61.96</v>
      </c>
      <c r="M507" s="1894">
        <v>64779</v>
      </c>
      <c r="N507" s="1894">
        <f t="shared" si="187"/>
        <v>62726</v>
      </c>
      <c r="O507" s="1894">
        <f t="shared" si="188"/>
        <v>2053</v>
      </c>
      <c r="P507" s="1894">
        <v>391</v>
      </c>
      <c r="Q507" s="1894">
        <v>147.6</v>
      </c>
      <c r="R507" s="1894">
        <v>312.8</v>
      </c>
      <c r="S507" s="1894">
        <v>0.89629999999999999</v>
      </c>
      <c r="T507" s="1894">
        <v>67.58</v>
      </c>
      <c r="U507" s="1894">
        <v>55062</v>
      </c>
      <c r="V507" s="1894">
        <f t="shared" si="189"/>
        <v>65889</v>
      </c>
      <c r="W507" s="1894">
        <f t="shared" si="190"/>
        <v>0</v>
      </c>
      <c r="X507" s="1894">
        <v>391</v>
      </c>
      <c r="Y507" s="1894">
        <v>146.4</v>
      </c>
      <c r="Z507" s="1894">
        <v>312.8</v>
      </c>
      <c r="AA507" s="1894">
        <v>0.89590000000000003</v>
      </c>
      <c r="AB507" s="1894">
        <v>69.83</v>
      </c>
      <c r="AC507" s="1894">
        <v>93237</v>
      </c>
      <c r="AD507" s="1894">
        <f t="shared" si="191"/>
        <v>63245</v>
      </c>
      <c r="AE507" s="1894">
        <f t="shared" si="192"/>
        <v>29992</v>
      </c>
      <c r="AF507" s="1894">
        <v>391</v>
      </c>
      <c r="AG507" s="1894">
        <v>165</v>
      </c>
      <c r="AH507" s="1894">
        <v>312.8</v>
      </c>
      <c r="AI507" s="1894">
        <v>0.89270000000000005</v>
      </c>
      <c r="AJ507" s="1894">
        <v>59.09</v>
      </c>
      <c r="AK507" s="1894">
        <v>72543</v>
      </c>
      <c r="AL507" s="1894">
        <f t="shared" ref="AL507:AL520" si="212">+ROUND((24*31*0.6*AG507),0)</f>
        <v>73656</v>
      </c>
      <c r="AM507" s="1894">
        <f t="shared" ref="AM507:AM520" si="213">+MAX((AK507-AL507),0)</f>
        <v>0</v>
      </c>
      <c r="AN507" s="1894">
        <v>391</v>
      </c>
      <c r="AO507" s="1894">
        <v>158.4</v>
      </c>
      <c r="AP507" s="1894">
        <v>312.8</v>
      </c>
      <c r="AQ507" s="1894">
        <v>0.88570000000000004</v>
      </c>
      <c r="AR507" s="1894">
        <v>54.01</v>
      </c>
      <c r="AS507" s="1894">
        <v>59541</v>
      </c>
      <c r="AT507" s="1894">
        <f t="shared" si="193"/>
        <v>70710</v>
      </c>
      <c r="AU507" s="1894">
        <f t="shared" si="194"/>
        <v>0</v>
      </c>
      <c r="AV507" s="1894">
        <v>391</v>
      </c>
      <c r="AW507" s="1894">
        <v>160.20000000000002</v>
      </c>
      <c r="AX507" s="1894">
        <v>312.8</v>
      </c>
      <c r="AY507" s="1894">
        <v>0.85029999999999994</v>
      </c>
      <c r="AZ507" s="1894">
        <v>68.489999999999995</v>
      </c>
      <c r="BA507" s="1894">
        <v>79739</v>
      </c>
      <c r="BB507" s="1894">
        <f t="shared" si="195"/>
        <v>69206</v>
      </c>
      <c r="BC507" s="1894">
        <f t="shared" si="196"/>
        <v>10533</v>
      </c>
      <c r="BD507" s="1894">
        <v>391</v>
      </c>
      <c r="BE507" s="1894">
        <v>239.16</v>
      </c>
      <c r="BF507" s="1894">
        <v>312.8</v>
      </c>
      <c r="BG507" s="1894">
        <v>0.88690000000000002</v>
      </c>
      <c r="BH507" s="1894">
        <v>52.77</v>
      </c>
      <c r="BI507" s="1894">
        <v>96927</v>
      </c>
      <c r="BJ507" s="1894">
        <f t="shared" si="197"/>
        <v>106761</v>
      </c>
      <c r="BK507" s="1894">
        <f t="shared" si="198"/>
        <v>0</v>
      </c>
      <c r="BL507" s="1894">
        <v>391</v>
      </c>
      <c r="BM507" s="1894">
        <v>240.12</v>
      </c>
      <c r="BN507" s="1894">
        <v>312.8</v>
      </c>
      <c r="BO507" s="1894">
        <v>0.88390000000000002</v>
      </c>
      <c r="BP507" s="1894">
        <v>54.98</v>
      </c>
      <c r="BQ507" s="1894">
        <v>95045</v>
      </c>
      <c r="BR507" s="1894">
        <f t="shared" si="199"/>
        <v>103732</v>
      </c>
      <c r="BS507" s="1894">
        <f t="shared" si="200"/>
        <v>0</v>
      </c>
      <c r="BT507" s="1894">
        <v>391</v>
      </c>
      <c r="BU507" s="1894">
        <v>233.51999999999998</v>
      </c>
      <c r="BV507" s="1894">
        <v>312.8</v>
      </c>
      <c r="BW507" s="1894">
        <v>0.8871</v>
      </c>
      <c r="BX507" s="1894">
        <v>47.09</v>
      </c>
      <c r="BY507" s="1894">
        <v>79179</v>
      </c>
      <c r="BZ507" s="1894">
        <f t="shared" si="201"/>
        <v>104243</v>
      </c>
      <c r="CA507" s="1894">
        <f t="shared" si="202"/>
        <v>0</v>
      </c>
      <c r="CB507" s="1894">
        <v>391</v>
      </c>
      <c r="CC507" s="1894">
        <v>151.80000000000001</v>
      </c>
      <c r="CD507" s="1894">
        <v>312.8</v>
      </c>
      <c r="CE507" s="1894">
        <v>0.87849999999999995</v>
      </c>
      <c r="CF507" s="1894">
        <v>61.69</v>
      </c>
      <c r="CG507" s="1894">
        <v>71919</v>
      </c>
      <c r="CH507" s="1894">
        <f t="shared" si="203"/>
        <v>67764</v>
      </c>
      <c r="CI507" s="1894">
        <f t="shared" si="204"/>
        <v>4155</v>
      </c>
      <c r="CJ507" s="1894">
        <v>391</v>
      </c>
      <c r="CK507" s="1894">
        <v>229.44</v>
      </c>
      <c r="CL507" s="1894">
        <v>312.8</v>
      </c>
      <c r="CM507" s="1894">
        <v>0.8861</v>
      </c>
      <c r="CN507" s="1894">
        <v>49.2</v>
      </c>
      <c r="CO507" s="1894">
        <v>75860</v>
      </c>
      <c r="CP507" s="1894">
        <f t="shared" si="205"/>
        <v>92510</v>
      </c>
      <c r="CQ507" s="1894">
        <f t="shared" si="206"/>
        <v>0</v>
      </c>
      <c r="CR507" s="1924">
        <v>391</v>
      </c>
      <c r="CS507" s="1924">
        <v>276.95999999999998</v>
      </c>
      <c r="CT507" s="1924">
        <v>312.8</v>
      </c>
      <c r="CU507" s="1924">
        <v>0.88500000000000001</v>
      </c>
      <c r="CV507" s="1924">
        <v>39.229999999999997</v>
      </c>
      <c r="CW507" s="1924">
        <v>80827</v>
      </c>
      <c r="CX507" s="1894">
        <f t="shared" si="207"/>
        <v>123635</v>
      </c>
      <c r="CY507" s="1894">
        <f t="shared" si="208"/>
        <v>0</v>
      </c>
    </row>
    <row r="508" spans="1:103">
      <c r="A508" s="982">
        <v>122000000069</v>
      </c>
      <c r="B508" s="1923">
        <f t="shared" si="209"/>
        <v>502</v>
      </c>
      <c r="C508" s="1895" t="s">
        <v>626</v>
      </c>
      <c r="D508" s="1894" t="s">
        <v>524</v>
      </c>
      <c r="E508" s="1895" t="s">
        <v>2966</v>
      </c>
      <c r="F508" s="1894" t="s">
        <v>259</v>
      </c>
      <c r="G508" s="1924">
        <v>395</v>
      </c>
      <c r="H508" s="1894">
        <v>395</v>
      </c>
      <c r="I508" s="1894">
        <v>240.4</v>
      </c>
      <c r="J508" s="1894">
        <v>395</v>
      </c>
      <c r="K508" s="1894">
        <v>0.72819999999999996</v>
      </c>
      <c r="L508" s="1894">
        <v>0</v>
      </c>
      <c r="M508" s="1894">
        <v>53705</v>
      </c>
      <c r="N508" s="1894">
        <f t="shared" si="187"/>
        <v>103853</v>
      </c>
      <c r="O508" s="1894">
        <f t="shared" si="188"/>
        <v>0</v>
      </c>
      <c r="P508" s="1894">
        <v>395</v>
      </c>
      <c r="Q508" s="1894">
        <v>248.79999999999998</v>
      </c>
      <c r="R508" s="1894">
        <v>395</v>
      </c>
      <c r="S508" s="1894">
        <v>0.73060000000000003</v>
      </c>
      <c r="T508" s="1894">
        <v>0</v>
      </c>
      <c r="U508" s="1894">
        <v>64650</v>
      </c>
      <c r="V508" s="1894">
        <f t="shared" si="189"/>
        <v>111064</v>
      </c>
      <c r="W508" s="1894">
        <f t="shared" si="190"/>
        <v>0</v>
      </c>
      <c r="X508" s="1894">
        <v>395</v>
      </c>
      <c r="Y508" s="1894">
        <v>251.6</v>
      </c>
      <c r="Z508" s="1894">
        <v>395</v>
      </c>
      <c r="AA508" s="1894">
        <v>0.73150000000000004</v>
      </c>
      <c r="AB508" s="1894">
        <v>0</v>
      </c>
      <c r="AC508" s="1894">
        <v>89335</v>
      </c>
      <c r="AD508" s="1894">
        <f t="shared" si="191"/>
        <v>108691</v>
      </c>
      <c r="AE508" s="1894">
        <f t="shared" si="192"/>
        <v>0</v>
      </c>
      <c r="AF508" s="1894">
        <v>395</v>
      </c>
      <c r="AG508" s="1894">
        <v>236.4</v>
      </c>
      <c r="AH508" s="1894">
        <v>395</v>
      </c>
      <c r="AI508" s="1894">
        <v>0.72919999999999996</v>
      </c>
      <c r="AJ508" s="1894">
        <v>0</v>
      </c>
      <c r="AK508" s="1894">
        <v>36045</v>
      </c>
      <c r="AL508" s="1894">
        <f t="shared" si="212"/>
        <v>105529</v>
      </c>
      <c r="AM508" s="1894">
        <f t="shared" si="213"/>
        <v>0</v>
      </c>
      <c r="AN508" s="1894">
        <v>395</v>
      </c>
      <c r="AO508" s="1894">
        <v>154.79999999999998</v>
      </c>
      <c r="AP508" s="1894">
        <v>395</v>
      </c>
      <c r="AQ508" s="1894">
        <v>0.72619999999999996</v>
      </c>
      <c r="AR508" s="1894">
        <v>0</v>
      </c>
      <c r="AS508" s="1894">
        <v>27070</v>
      </c>
      <c r="AT508" s="1894">
        <f t="shared" si="193"/>
        <v>69103</v>
      </c>
      <c r="AU508" s="1894">
        <f t="shared" si="194"/>
        <v>0</v>
      </c>
      <c r="AV508" s="1894">
        <v>395</v>
      </c>
      <c r="AW508" s="1894">
        <v>202.4</v>
      </c>
      <c r="AX508" s="1894">
        <v>395</v>
      </c>
      <c r="AY508" s="1894">
        <v>0.71750000000000003</v>
      </c>
      <c r="AZ508" s="1894">
        <v>0</v>
      </c>
      <c r="BA508" s="1894">
        <v>50485</v>
      </c>
      <c r="BB508" s="1894">
        <f t="shared" si="195"/>
        <v>87437</v>
      </c>
      <c r="BC508" s="1894">
        <f t="shared" si="196"/>
        <v>0</v>
      </c>
      <c r="BD508" s="1894">
        <v>395</v>
      </c>
      <c r="BE508" s="1894">
        <v>207.2</v>
      </c>
      <c r="BF508" s="1894">
        <v>395</v>
      </c>
      <c r="BG508" s="1894">
        <v>0.71850000000000003</v>
      </c>
      <c r="BH508" s="1894">
        <v>0</v>
      </c>
      <c r="BI508" s="1894">
        <v>68510</v>
      </c>
      <c r="BJ508" s="1894">
        <f t="shared" si="197"/>
        <v>92494</v>
      </c>
      <c r="BK508" s="1894">
        <f t="shared" si="198"/>
        <v>0</v>
      </c>
      <c r="BL508" s="1894">
        <v>395</v>
      </c>
      <c r="BM508" s="1894">
        <v>159.20000000000002</v>
      </c>
      <c r="BN508" s="1894">
        <v>395</v>
      </c>
      <c r="BO508" s="1894">
        <v>0.70550000000000002</v>
      </c>
      <c r="BP508" s="1894">
        <v>0</v>
      </c>
      <c r="BQ508" s="1894">
        <v>45720</v>
      </c>
      <c r="BR508" s="1894">
        <f t="shared" si="199"/>
        <v>68774</v>
      </c>
      <c r="BS508" s="1894">
        <f t="shared" si="200"/>
        <v>0</v>
      </c>
      <c r="BT508" s="1894">
        <v>395</v>
      </c>
      <c r="BU508" s="1894">
        <v>60.400000000000006</v>
      </c>
      <c r="BV508" s="1894">
        <v>395</v>
      </c>
      <c r="BW508" s="1894">
        <v>0.69420000000000004</v>
      </c>
      <c r="BX508" s="1894">
        <v>0</v>
      </c>
      <c r="BY508" s="1894">
        <v>10435</v>
      </c>
      <c r="BZ508" s="1894">
        <f t="shared" si="201"/>
        <v>26963</v>
      </c>
      <c r="CA508" s="1894">
        <f t="shared" si="202"/>
        <v>0</v>
      </c>
      <c r="CB508" s="1894">
        <v>395</v>
      </c>
      <c r="CC508" s="1894">
        <v>7.2</v>
      </c>
      <c r="CD508" s="1894">
        <v>395</v>
      </c>
      <c r="CE508" s="1894">
        <v>0.66720000000000002</v>
      </c>
      <c r="CF508" s="1894">
        <v>0</v>
      </c>
      <c r="CG508" s="1894">
        <v>2810</v>
      </c>
      <c r="CH508" s="1894">
        <f t="shared" si="203"/>
        <v>3214</v>
      </c>
      <c r="CI508" s="1894">
        <f t="shared" si="204"/>
        <v>0</v>
      </c>
      <c r="CJ508" s="1894">
        <v>395</v>
      </c>
      <c r="CK508" s="1894">
        <v>67.599999999999994</v>
      </c>
      <c r="CL508" s="1894">
        <v>395</v>
      </c>
      <c r="CM508" s="1894">
        <v>0.745</v>
      </c>
      <c r="CN508" s="1894">
        <v>0</v>
      </c>
      <c r="CO508" s="1894">
        <v>6335</v>
      </c>
      <c r="CP508" s="1894">
        <f t="shared" si="205"/>
        <v>27256</v>
      </c>
      <c r="CQ508" s="1894">
        <f t="shared" si="206"/>
        <v>0</v>
      </c>
      <c r="CR508" s="1924">
        <v>395</v>
      </c>
      <c r="CS508" s="1924">
        <v>122.80000000000001</v>
      </c>
      <c r="CT508" s="1924">
        <v>395</v>
      </c>
      <c r="CU508" s="1924">
        <v>0.7218</v>
      </c>
      <c r="CV508" s="1924">
        <v>0</v>
      </c>
      <c r="CW508" s="1924">
        <v>12675</v>
      </c>
      <c r="CX508" s="1894">
        <f t="shared" si="207"/>
        <v>54818</v>
      </c>
      <c r="CY508" s="1894">
        <f t="shared" si="208"/>
        <v>0</v>
      </c>
    </row>
    <row r="509" spans="1:103">
      <c r="A509" s="982">
        <v>621000000069</v>
      </c>
      <c r="B509" s="1923">
        <f t="shared" si="209"/>
        <v>503</v>
      </c>
      <c r="C509" s="1895" t="s">
        <v>3381</v>
      </c>
      <c r="D509" s="1894" t="s">
        <v>524</v>
      </c>
      <c r="E509" s="1895" t="s">
        <v>636</v>
      </c>
      <c r="F509" s="1894" t="s">
        <v>259</v>
      </c>
      <c r="G509" s="1924">
        <v>400</v>
      </c>
      <c r="H509" s="1894">
        <v>0</v>
      </c>
      <c r="I509" s="1894">
        <v>0</v>
      </c>
      <c r="J509" s="1894">
        <v>0</v>
      </c>
      <c r="K509" s="1894">
        <v>0</v>
      </c>
      <c r="L509" s="1894">
        <v>0</v>
      </c>
      <c r="M509" s="1894">
        <v>0</v>
      </c>
      <c r="N509" s="1894">
        <f t="shared" si="187"/>
        <v>0</v>
      </c>
      <c r="O509" s="1894">
        <f t="shared" si="188"/>
        <v>0</v>
      </c>
      <c r="P509" s="1894">
        <v>0</v>
      </c>
      <c r="Q509" s="1894">
        <v>0</v>
      </c>
      <c r="R509" s="1894">
        <v>0</v>
      </c>
      <c r="S509" s="1894">
        <v>0</v>
      </c>
      <c r="T509" s="1894">
        <v>0</v>
      </c>
      <c r="U509" s="1894">
        <v>0</v>
      </c>
      <c r="V509" s="1894">
        <f t="shared" si="189"/>
        <v>0</v>
      </c>
      <c r="W509" s="1894">
        <f t="shared" si="190"/>
        <v>0</v>
      </c>
      <c r="X509" s="1894">
        <v>0</v>
      </c>
      <c r="Y509" s="1894">
        <v>0</v>
      </c>
      <c r="Z509" s="1894">
        <v>0</v>
      </c>
      <c r="AA509" s="1894">
        <v>0</v>
      </c>
      <c r="AB509" s="1894">
        <v>0</v>
      </c>
      <c r="AC509" s="1894">
        <v>0</v>
      </c>
      <c r="AD509" s="1894">
        <f t="shared" si="191"/>
        <v>0</v>
      </c>
      <c r="AE509" s="1894">
        <f t="shared" si="192"/>
        <v>0</v>
      </c>
      <c r="AF509" s="1894">
        <v>0</v>
      </c>
      <c r="AG509" s="1894">
        <v>0</v>
      </c>
      <c r="AH509" s="1894">
        <v>0</v>
      </c>
      <c r="AI509" s="1894">
        <v>0</v>
      </c>
      <c r="AJ509" s="1894">
        <v>0</v>
      </c>
      <c r="AK509" s="1894">
        <v>0</v>
      </c>
      <c r="AL509" s="1894">
        <f t="shared" si="212"/>
        <v>0</v>
      </c>
      <c r="AM509" s="1894">
        <f t="shared" si="213"/>
        <v>0</v>
      </c>
      <c r="AN509" s="1894">
        <v>0</v>
      </c>
      <c r="AO509" s="1894">
        <v>0</v>
      </c>
      <c r="AP509" s="1894">
        <v>0</v>
      </c>
      <c r="AQ509" s="1894">
        <v>0</v>
      </c>
      <c r="AR509" s="1894">
        <v>0</v>
      </c>
      <c r="AS509" s="1894">
        <v>0</v>
      </c>
      <c r="AT509" s="1894">
        <f t="shared" si="193"/>
        <v>0</v>
      </c>
      <c r="AU509" s="1894">
        <f t="shared" si="194"/>
        <v>0</v>
      </c>
      <c r="AV509" s="1894">
        <v>0</v>
      </c>
      <c r="AW509" s="1894">
        <v>0</v>
      </c>
      <c r="AX509" s="1894">
        <v>0</v>
      </c>
      <c r="AY509" s="1894">
        <v>0</v>
      </c>
      <c r="AZ509" s="1894">
        <v>0</v>
      </c>
      <c r="BA509" s="1894">
        <v>0</v>
      </c>
      <c r="BB509" s="1894">
        <f t="shared" si="195"/>
        <v>0</v>
      </c>
      <c r="BC509" s="1894">
        <f t="shared" si="196"/>
        <v>0</v>
      </c>
      <c r="BD509" s="1894">
        <v>0</v>
      </c>
      <c r="BE509" s="1894">
        <v>0</v>
      </c>
      <c r="BF509" s="1894">
        <v>0</v>
      </c>
      <c r="BG509" s="1894">
        <v>0</v>
      </c>
      <c r="BH509" s="1894">
        <v>0</v>
      </c>
      <c r="BI509" s="1894">
        <v>0</v>
      </c>
      <c r="BJ509" s="1894">
        <f t="shared" si="197"/>
        <v>0</v>
      </c>
      <c r="BK509" s="1894">
        <f t="shared" si="198"/>
        <v>0</v>
      </c>
      <c r="BL509" s="1894">
        <v>0</v>
      </c>
      <c r="BM509" s="1894">
        <v>0</v>
      </c>
      <c r="BN509" s="1894">
        <v>0</v>
      </c>
      <c r="BO509" s="1894">
        <v>0</v>
      </c>
      <c r="BP509" s="1894">
        <v>0</v>
      </c>
      <c r="BQ509" s="1894">
        <v>0</v>
      </c>
      <c r="BR509" s="1894">
        <f t="shared" si="199"/>
        <v>0</v>
      </c>
      <c r="BS509" s="1894">
        <f t="shared" si="200"/>
        <v>0</v>
      </c>
      <c r="BT509" s="1894">
        <v>0</v>
      </c>
      <c r="BU509" s="1894">
        <v>0</v>
      </c>
      <c r="BV509" s="1894">
        <v>0</v>
      </c>
      <c r="BW509" s="1894">
        <v>0</v>
      </c>
      <c r="BX509" s="1894">
        <v>0</v>
      </c>
      <c r="BY509" s="1894">
        <v>0</v>
      </c>
      <c r="BZ509" s="1894">
        <f t="shared" si="201"/>
        <v>0</v>
      </c>
      <c r="CA509" s="1894">
        <f t="shared" si="202"/>
        <v>0</v>
      </c>
      <c r="CB509" s="1894">
        <v>0</v>
      </c>
      <c r="CC509" s="1894">
        <v>0</v>
      </c>
      <c r="CD509" s="1894">
        <v>0</v>
      </c>
      <c r="CE509" s="1894">
        <v>0</v>
      </c>
      <c r="CF509" s="1894">
        <v>0</v>
      </c>
      <c r="CG509" s="1894">
        <v>0</v>
      </c>
      <c r="CH509" s="1894">
        <f t="shared" si="203"/>
        <v>0</v>
      </c>
      <c r="CI509" s="1894">
        <f t="shared" si="204"/>
        <v>0</v>
      </c>
      <c r="CJ509" s="1894">
        <v>400</v>
      </c>
      <c r="CK509" s="1894">
        <v>208.4</v>
      </c>
      <c r="CL509" s="1894">
        <v>320</v>
      </c>
      <c r="CM509" s="1894">
        <v>0.81479999999999997</v>
      </c>
      <c r="CN509" s="1894">
        <v>5.01</v>
      </c>
      <c r="CO509" s="1894">
        <v>4510</v>
      </c>
      <c r="CP509" s="1894">
        <f t="shared" si="205"/>
        <v>84027</v>
      </c>
      <c r="CQ509" s="1894">
        <f t="shared" si="206"/>
        <v>0</v>
      </c>
      <c r="CR509" s="1924">
        <v>400</v>
      </c>
      <c r="CS509" s="1924">
        <v>280.39999999999998</v>
      </c>
      <c r="CT509" s="1924">
        <v>320</v>
      </c>
      <c r="CU509" s="1924">
        <v>0.80830000000000002</v>
      </c>
      <c r="CV509" s="1924">
        <v>4.82</v>
      </c>
      <c r="CW509" s="1924">
        <v>9730</v>
      </c>
      <c r="CX509" s="1894">
        <f t="shared" si="207"/>
        <v>125171</v>
      </c>
      <c r="CY509" s="1894">
        <f t="shared" si="208"/>
        <v>0</v>
      </c>
    </row>
    <row r="510" spans="1:103">
      <c r="A510" s="982">
        <v>122000000032</v>
      </c>
      <c r="B510" s="1923">
        <f t="shared" si="209"/>
        <v>504</v>
      </c>
      <c r="C510" s="1895" t="s">
        <v>3382</v>
      </c>
      <c r="D510" s="1894" t="s">
        <v>524</v>
      </c>
      <c r="E510" s="1895" t="s">
        <v>541</v>
      </c>
      <c r="F510" s="1894" t="s">
        <v>259</v>
      </c>
      <c r="G510" s="1924">
        <v>400</v>
      </c>
      <c r="H510" s="1894">
        <v>400</v>
      </c>
      <c r="I510" s="1894">
        <v>341.28</v>
      </c>
      <c r="J510" s="1894">
        <v>341.28</v>
      </c>
      <c r="K510" s="1894">
        <v>0.98640000000000005</v>
      </c>
      <c r="L510" s="1894">
        <v>42.83</v>
      </c>
      <c r="M510" s="1894">
        <v>105234</v>
      </c>
      <c r="N510" s="1894">
        <f t="shared" si="187"/>
        <v>147433</v>
      </c>
      <c r="O510" s="1894">
        <f t="shared" si="188"/>
        <v>0</v>
      </c>
      <c r="P510" s="1894">
        <v>400</v>
      </c>
      <c r="Q510" s="1894">
        <v>310.32</v>
      </c>
      <c r="R510" s="1894">
        <v>320</v>
      </c>
      <c r="S510" s="1894">
        <v>0.98340000000000005</v>
      </c>
      <c r="T510" s="1894">
        <v>36.450000000000003</v>
      </c>
      <c r="U510" s="1894">
        <v>84144</v>
      </c>
      <c r="V510" s="1894">
        <f t="shared" si="189"/>
        <v>138527</v>
      </c>
      <c r="W510" s="1894">
        <f t="shared" si="190"/>
        <v>0</v>
      </c>
      <c r="X510" s="1894">
        <v>400</v>
      </c>
      <c r="Y510" s="1894">
        <v>321.12</v>
      </c>
      <c r="Z510" s="1894">
        <v>321.12</v>
      </c>
      <c r="AA510" s="1894">
        <v>0.98870000000000002</v>
      </c>
      <c r="AB510" s="1894">
        <v>42.5</v>
      </c>
      <c r="AC510" s="1894">
        <v>98265</v>
      </c>
      <c r="AD510" s="1894">
        <f t="shared" si="191"/>
        <v>138724</v>
      </c>
      <c r="AE510" s="1894">
        <f t="shared" si="192"/>
        <v>0</v>
      </c>
      <c r="AF510" s="1894">
        <v>400</v>
      </c>
      <c r="AG510" s="1894">
        <v>331.92</v>
      </c>
      <c r="AH510" s="1894">
        <v>331.92</v>
      </c>
      <c r="AI510" s="1894">
        <v>0.98670000000000002</v>
      </c>
      <c r="AJ510" s="1894">
        <v>48.78</v>
      </c>
      <c r="AK510" s="1894">
        <v>120453</v>
      </c>
      <c r="AL510" s="1894">
        <f t="shared" si="212"/>
        <v>148169</v>
      </c>
      <c r="AM510" s="1894">
        <f t="shared" si="213"/>
        <v>0</v>
      </c>
      <c r="AN510" s="1894">
        <v>400</v>
      </c>
      <c r="AO510" s="1894">
        <v>323.52</v>
      </c>
      <c r="AP510" s="1894">
        <v>323.52</v>
      </c>
      <c r="AQ510" s="1894">
        <v>0.98480000000000001</v>
      </c>
      <c r="AR510" s="1894">
        <v>35.31</v>
      </c>
      <c r="AS510" s="1894">
        <v>84987</v>
      </c>
      <c r="AT510" s="1894">
        <f t="shared" si="193"/>
        <v>144419</v>
      </c>
      <c r="AU510" s="1894">
        <f t="shared" si="194"/>
        <v>0</v>
      </c>
      <c r="AV510" s="1894">
        <v>400</v>
      </c>
      <c r="AW510" s="1894">
        <v>342.24</v>
      </c>
      <c r="AX510" s="1894">
        <v>342.24</v>
      </c>
      <c r="AY510" s="1894">
        <v>0.98619999999999997</v>
      </c>
      <c r="AZ510" s="1894">
        <v>39.54</v>
      </c>
      <c r="BA510" s="1894">
        <v>97434</v>
      </c>
      <c r="BB510" s="1894">
        <f t="shared" si="195"/>
        <v>147848</v>
      </c>
      <c r="BC510" s="1894">
        <f t="shared" si="196"/>
        <v>0</v>
      </c>
      <c r="BD510" s="1894">
        <v>400</v>
      </c>
      <c r="BE510" s="1894">
        <v>328.32</v>
      </c>
      <c r="BF510" s="1894">
        <v>328.32</v>
      </c>
      <c r="BG510" s="1894">
        <v>0.98799999999999999</v>
      </c>
      <c r="BH510" s="1894">
        <v>47.66</v>
      </c>
      <c r="BI510" s="1894">
        <v>116415</v>
      </c>
      <c r="BJ510" s="1894">
        <f t="shared" si="197"/>
        <v>146562</v>
      </c>
      <c r="BK510" s="1894">
        <f t="shared" si="198"/>
        <v>0</v>
      </c>
      <c r="BL510" s="1894">
        <v>400</v>
      </c>
      <c r="BM510" s="1894">
        <v>326.40000000000003</v>
      </c>
      <c r="BN510" s="1894">
        <v>326.39999999999998</v>
      </c>
      <c r="BO510" s="1894">
        <v>0.98909999999999998</v>
      </c>
      <c r="BP510" s="1894">
        <v>46.58</v>
      </c>
      <c r="BQ510" s="1894">
        <v>109455</v>
      </c>
      <c r="BR510" s="1894">
        <f t="shared" si="199"/>
        <v>141005</v>
      </c>
      <c r="BS510" s="1894">
        <f t="shared" si="200"/>
        <v>0</v>
      </c>
      <c r="BT510" s="1894">
        <v>400</v>
      </c>
      <c r="BU510" s="1894">
        <v>368.4</v>
      </c>
      <c r="BV510" s="1894">
        <v>368.4</v>
      </c>
      <c r="BW510" s="1894">
        <v>0.98880000000000001</v>
      </c>
      <c r="BX510" s="1894">
        <v>45.64</v>
      </c>
      <c r="BY510" s="1894">
        <v>125097</v>
      </c>
      <c r="BZ510" s="1894">
        <f t="shared" si="201"/>
        <v>164454</v>
      </c>
      <c r="CA510" s="1894">
        <f t="shared" si="202"/>
        <v>0</v>
      </c>
      <c r="CB510" s="1894">
        <v>400</v>
      </c>
      <c r="CC510" s="1894">
        <v>361.44000000000005</v>
      </c>
      <c r="CD510" s="1894">
        <v>361.44</v>
      </c>
      <c r="CE510" s="1894">
        <v>0.98699999999999999</v>
      </c>
      <c r="CF510" s="1894">
        <v>53.73</v>
      </c>
      <c r="CG510" s="1894">
        <v>144495</v>
      </c>
      <c r="CH510" s="1894">
        <f t="shared" si="203"/>
        <v>161347</v>
      </c>
      <c r="CI510" s="1894">
        <f t="shared" si="204"/>
        <v>0</v>
      </c>
      <c r="CJ510" s="1894">
        <v>400</v>
      </c>
      <c r="CK510" s="1894">
        <v>363.59999999999997</v>
      </c>
      <c r="CL510" s="1894">
        <v>363.6</v>
      </c>
      <c r="CM510" s="1894">
        <v>0.98680000000000001</v>
      </c>
      <c r="CN510" s="1894">
        <v>54.87</v>
      </c>
      <c r="CO510" s="1894">
        <v>134073</v>
      </c>
      <c r="CP510" s="1894">
        <f t="shared" si="205"/>
        <v>146604</v>
      </c>
      <c r="CQ510" s="1894">
        <f t="shared" si="206"/>
        <v>0</v>
      </c>
      <c r="CR510" s="1924">
        <v>400</v>
      </c>
      <c r="CS510" s="1924">
        <v>336.24</v>
      </c>
      <c r="CT510" s="1924">
        <v>336.24</v>
      </c>
      <c r="CU510" s="1924">
        <v>0.98699999999999999</v>
      </c>
      <c r="CV510" s="1924">
        <v>49.79</v>
      </c>
      <c r="CW510" s="1924">
        <v>124545</v>
      </c>
      <c r="CX510" s="1894">
        <f t="shared" si="207"/>
        <v>150098</v>
      </c>
      <c r="CY510" s="1894">
        <f t="shared" si="208"/>
        <v>0</v>
      </c>
    </row>
    <row r="511" spans="1:103">
      <c r="A511" s="982">
        <v>122000000038</v>
      </c>
      <c r="B511" s="1923">
        <f t="shared" si="209"/>
        <v>505</v>
      </c>
      <c r="C511" s="1895" t="s">
        <v>3383</v>
      </c>
      <c r="D511" s="1894" t="s">
        <v>524</v>
      </c>
      <c r="E511" s="1895" t="s">
        <v>541</v>
      </c>
      <c r="F511" s="1894" t="s">
        <v>259</v>
      </c>
      <c r="G511" s="1924">
        <v>400</v>
      </c>
      <c r="H511" s="1894">
        <v>400</v>
      </c>
      <c r="I511" s="1894">
        <v>375.6</v>
      </c>
      <c r="J511" s="1894">
        <v>375.6</v>
      </c>
      <c r="K511" s="1894">
        <v>0.99850000000000005</v>
      </c>
      <c r="L511" s="1894">
        <v>27.33</v>
      </c>
      <c r="M511" s="1894">
        <v>73914</v>
      </c>
      <c r="N511" s="1894">
        <f t="shared" si="187"/>
        <v>162259</v>
      </c>
      <c r="O511" s="1894">
        <f t="shared" si="188"/>
        <v>0</v>
      </c>
      <c r="P511" s="1894">
        <v>400</v>
      </c>
      <c r="Q511" s="1894">
        <v>434.4</v>
      </c>
      <c r="R511" s="1894">
        <v>434.4</v>
      </c>
      <c r="S511" s="1894">
        <v>0.99950000000000006</v>
      </c>
      <c r="T511" s="1894">
        <v>24.96</v>
      </c>
      <c r="U511" s="1894">
        <v>72876</v>
      </c>
      <c r="V511" s="1894">
        <f t="shared" si="189"/>
        <v>193916</v>
      </c>
      <c r="W511" s="1894">
        <f t="shared" si="190"/>
        <v>0</v>
      </c>
      <c r="X511" s="1894">
        <v>400</v>
      </c>
      <c r="Y511" s="1894">
        <v>416.88</v>
      </c>
      <c r="Z511" s="1894">
        <v>416.88</v>
      </c>
      <c r="AA511" s="1894">
        <v>0.98560000000000003</v>
      </c>
      <c r="AB511" s="1894">
        <v>32.4</v>
      </c>
      <c r="AC511" s="1894">
        <v>106980</v>
      </c>
      <c r="AD511" s="1894">
        <f t="shared" si="191"/>
        <v>180092</v>
      </c>
      <c r="AE511" s="1894">
        <f t="shared" si="192"/>
        <v>0</v>
      </c>
      <c r="AF511" s="1894">
        <v>400</v>
      </c>
      <c r="AG511" s="1894">
        <v>360.71999999999997</v>
      </c>
      <c r="AH511" s="1894">
        <v>360.72</v>
      </c>
      <c r="AI511" s="1894">
        <v>0.97099999999999997</v>
      </c>
      <c r="AJ511" s="1894">
        <v>56.89</v>
      </c>
      <c r="AK511" s="1894">
        <v>152685</v>
      </c>
      <c r="AL511" s="1894">
        <f t="shared" si="212"/>
        <v>161025</v>
      </c>
      <c r="AM511" s="1894">
        <f t="shared" si="213"/>
        <v>0</v>
      </c>
      <c r="AN511" s="1894">
        <v>400</v>
      </c>
      <c r="AO511" s="1894">
        <v>281.03999999999996</v>
      </c>
      <c r="AP511" s="1894">
        <v>320</v>
      </c>
      <c r="AQ511" s="1894">
        <v>0.99960000000000004</v>
      </c>
      <c r="AR511" s="1894">
        <v>75.5</v>
      </c>
      <c r="AS511" s="1894">
        <v>157875</v>
      </c>
      <c r="AT511" s="1894">
        <f t="shared" si="193"/>
        <v>125456</v>
      </c>
      <c r="AU511" s="1894">
        <f t="shared" si="194"/>
        <v>32419</v>
      </c>
      <c r="AV511" s="1894">
        <v>400</v>
      </c>
      <c r="AW511" s="1894">
        <v>455.76000000000005</v>
      </c>
      <c r="AX511" s="1894">
        <v>455.76</v>
      </c>
      <c r="AY511" s="1894">
        <v>0.99950000000000006</v>
      </c>
      <c r="AZ511" s="1894">
        <v>30.05</v>
      </c>
      <c r="BA511" s="1894">
        <v>98601</v>
      </c>
      <c r="BB511" s="1894">
        <f t="shared" si="195"/>
        <v>196888</v>
      </c>
      <c r="BC511" s="1894">
        <f t="shared" si="196"/>
        <v>0</v>
      </c>
      <c r="BD511" s="1894">
        <v>400</v>
      </c>
      <c r="BE511" s="1894">
        <v>354.24</v>
      </c>
      <c r="BF511" s="1894">
        <v>354.24</v>
      </c>
      <c r="BG511" s="1894">
        <v>0.99970000000000003</v>
      </c>
      <c r="BH511" s="1894">
        <v>36.79</v>
      </c>
      <c r="BI511" s="1894">
        <v>96963</v>
      </c>
      <c r="BJ511" s="1894">
        <f t="shared" si="197"/>
        <v>158133</v>
      </c>
      <c r="BK511" s="1894">
        <f t="shared" si="198"/>
        <v>0</v>
      </c>
      <c r="BL511" s="1894">
        <v>400</v>
      </c>
      <c r="BM511" s="1894">
        <v>343.68</v>
      </c>
      <c r="BN511" s="1894">
        <v>343.68</v>
      </c>
      <c r="BO511" s="1894">
        <v>0.99980000000000002</v>
      </c>
      <c r="BP511" s="1894">
        <v>32.43</v>
      </c>
      <c r="BQ511" s="1894">
        <v>80256</v>
      </c>
      <c r="BR511" s="1894">
        <f t="shared" si="199"/>
        <v>148470</v>
      </c>
      <c r="BS511" s="1894">
        <f t="shared" si="200"/>
        <v>0</v>
      </c>
      <c r="BT511" s="1894">
        <v>400</v>
      </c>
      <c r="BU511" s="1894">
        <v>346.32000000000005</v>
      </c>
      <c r="BV511" s="1894">
        <v>346.32</v>
      </c>
      <c r="BW511" s="1894">
        <v>0.99980000000000002</v>
      </c>
      <c r="BX511" s="1894">
        <v>35.56</v>
      </c>
      <c r="BY511" s="1894">
        <v>91626</v>
      </c>
      <c r="BZ511" s="1894">
        <f t="shared" si="201"/>
        <v>154597</v>
      </c>
      <c r="CA511" s="1894">
        <f t="shared" si="202"/>
        <v>0</v>
      </c>
      <c r="CB511" s="1894">
        <v>400</v>
      </c>
      <c r="CC511" s="1894">
        <v>465.6</v>
      </c>
      <c r="CD511" s="1894">
        <v>465.6</v>
      </c>
      <c r="CE511" s="1894">
        <v>0.99939999999999996</v>
      </c>
      <c r="CF511" s="1894">
        <v>32.58</v>
      </c>
      <c r="CG511" s="1894">
        <v>112866</v>
      </c>
      <c r="CH511" s="1894">
        <f t="shared" si="203"/>
        <v>207844</v>
      </c>
      <c r="CI511" s="1894">
        <f t="shared" si="204"/>
        <v>0</v>
      </c>
      <c r="CJ511" s="1894">
        <v>400</v>
      </c>
      <c r="CK511" s="1894">
        <v>441.12</v>
      </c>
      <c r="CL511" s="1894">
        <v>441.12</v>
      </c>
      <c r="CM511" s="1894">
        <v>0.99960000000000004</v>
      </c>
      <c r="CN511" s="1894">
        <v>46.53</v>
      </c>
      <c r="CO511" s="1894">
        <v>137931</v>
      </c>
      <c r="CP511" s="1894">
        <f t="shared" si="205"/>
        <v>177860</v>
      </c>
      <c r="CQ511" s="1894">
        <f t="shared" si="206"/>
        <v>0</v>
      </c>
      <c r="CR511" s="1924">
        <v>400</v>
      </c>
      <c r="CS511" s="1924">
        <v>436.56</v>
      </c>
      <c r="CT511" s="1924">
        <v>436.56</v>
      </c>
      <c r="CU511" s="1924">
        <v>0.99970000000000003</v>
      </c>
      <c r="CV511" s="1924">
        <v>30.15</v>
      </c>
      <c r="CW511" s="1924">
        <v>97941</v>
      </c>
      <c r="CX511" s="1894">
        <f t="shared" si="207"/>
        <v>194880</v>
      </c>
      <c r="CY511" s="1894">
        <f t="shared" si="208"/>
        <v>0</v>
      </c>
    </row>
    <row r="512" spans="1:103">
      <c r="A512" s="982">
        <v>122000000040</v>
      </c>
      <c r="B512" s="1923">
        <f t="shared" si="209"/>
        <v>506</v>
      </c>
      <c r="C512" s="1895" t="s">
        <v>3384</v>
      </c>
      <c r="D512" s="1894" t="s">
        <v>524</v>
      </c>
      <c r="E512" s="1895" t="s">
        <v>623</v>
      </c>
      <c r="F512" s="1894" t="s">
        <v>259</v>
      </c>
      <c r="G512" s="1924">
        <v>400</v>
      </c>
      <c r="H512" s="1894">
        <v>400</v>
      </c>
      <c r="I512" s="1894">
        <v>267.54000000000002</v>
      </c>
      <c r="J512" s="1894">
        <v>400</v>
      </c>
      <c r="K512" s="1894">
        <v>0.98040000000000005</v>
      </c>
      <c r="L512" s="1894">
        <v>0</v>
      </c>
      <c r="M512" s="1894">
        <v>93156</v>
      </c>
      <c r="N512" s="1894">
        <f t="shared" si="187"/>
        <v>115577</v>
      </c>
      <c r="O512" s="1894">
        <f t="shared" si="188"/>
        <v>0</v>
      </c>
      <c r="P512" s="1894">
        <v>400</v>
      </c>
      <c r="Q512" s="1894">
        <v>263.45999999999998</v>
      </c>
      <c r="R512" s="1894">
        <v>400</v>
      </c>
      <c r="S512" s="1894">
        <v>0.97960000000000003</v>
      </c>
      <c r="T512" s="1894">
        <v>0</v>
      </c>
      <c r="U512" s="1894">
        <v>97704</v>
      </c>
      <c r="V512" s="1894">
        <f t="shared" si="189"/>
        <v>117609</v>
      </c>
      <c r="W512" s="1894">
        <f t="shared" si="190"/>
        <v>0</v>
      </c>
      <c r="X512" s="1894">
        <v>400</v>
      </c>
      <c r="Y512" s="1894">
        <v>250.86</v>
      </c>
      <c r="Z512" s="1894">
        <v>400</v>
      </c>
      <c r="AA512" s="1894">
        <v>0.98819999999999997</v>
      </c>
      <c r="AB512" s="1894">
        <v>0</v>
      </c>
      <c r="AC512" s="1894">
        <v>91530</v>
      </c>
      <c r="AD512" s="1894">
        <f t="shared" si="191"/>
        <v>108372</v>
      </c>
      <c r="AE512" s="1894">
        <f t="shared" si="192"/>
        <v>0</v>
      </c>
      <c r="AF512" s="1894">
        <v>400</v>
      </c>
      <c r="AG512" s="1894">
        <v>247.86</v>
      </c>
      <c r="AH512" s="1894">
        <v>400</v>
      </c>
      <c r="AI512" s="1894">
        <v>0.99260000000000004</v>
      </c>
      <c r="AJ512" s="1894">
        <v>0</v>
      </c>
      <c r="AK512" s="1894">
        <v>92022</v>
      </c>
      <c r="AL512" s="1894">
        <f t="shared" si="212"/>
        <v>110645</v>
      </c>
      <c r="AM512" s="1894">
        <f t="shared" si="213"/>
        <v>0</v>
      </c>
      <c r="AN512" s="1894">
        <v>400</v>
      </c>
      <c r="AO512" s="1894">
        <v>258.18</v>
      </c>
      <c r="AP512" s="1894">
        <v>400</v>
      </c>
      <c r="AQ512" s="1894">
        <v>0.99070000000000003</v>
      </c>
      <c r="AR512" s="1894">
        <v>0</v>
      </c>
      <c r="AS512" s="1894">
        <v>81990</v>
      </c>
      <c r="AT512" s="1894">
        <f t="shared" si="193"/>
        <v>115252</v>
      </c>
      <c r="AU512" s="1894">
        <f t="shared" si="194"/>
        <v>0</v>
      </c>
      <c r="AV512" s="1894">
        <v>400</v>
      </c>
      <c r="AW512" s="1894">
        <v>247.86</v>
      </c>
      <c r="AX512" s="1894">
        <v>400</v>
      </c>
      <c r="AY512" s="1894">
        <v>0.98939999999999995</v>
      </c>
      <c r="AZ512" s="1894">
        <v>0</v>
      </c>
      <c r="BA512" s="1894">
        <v>74742</v>
      </c>
      <c r="BB512" s="1894">
        <f t="shared" si="195"/>
        <v>107076</v>
      </c>
      <c r="BC512" s="1894">
        <f t="shared" si="196"/>
        <v>0</v>
      </c>
      <c r="BD512" s="1894">
        <v>400</v>
      </c>
      <c r="BE512" s="1894">
        <v>237.72</v>
      </c>
      <c r="BF512" s="1894">
        <v>400</v>
      </c>
      <c r="BG512" s="1894">
        <v>0.99250000000000005</v>
      </c>
      <c r="BH512" s="1894">
        <v>0</v>
      </c>
      <c r="BI512" s="1894">
        <v>87504</v>
      </c>
      <c r="BJ512" s="1894">
        <f t="shared" si="197"/>
        <v>106118</v>
      </c>
      <c r="BK512" s="1894">
        <f t="shared" si="198"/>
        <v>0</v>
      </c>
      <c r="BL512" s="1894">
        <v>400</v>
      </c>
      <c r="BM512" s="1894">
        <v>212.46</v>
      </c>
      <c r="BN512" s="1894">
        <v>400</v>
      </c>
      <c r="BO512" s="1894">
        <v>0.99750000000000005</v>
      </c>
      <c r="BP512" s="1894">
        <v>0</v>
      </c>
      <c r="BQ512" s="1894">
        <v>65772</v>
      </c>
      <c r="BR512" s="1894">
        <f t="shared" si="199"/>
        <v>91783</v>
      </c>
      <c r="BS512" s="1894">
        <f t="shared" si="200"/>
        <v>0</v>
      </c>
      <c r="BT512" s="1894">
        <v>400</v>
      </c>
      <c r="BU512" s="1894">
        <v>218.28</v>
      </c>
      <c r="BV512" s="1894">
        <v>400</v>
      </c>
      <c r="BW512" s="1894">
        <v>0.99429999999999996</v>
      </c>
      <c r="BX512" s="1894">
        <v>0</v>
      </c>
      <c r="BY512" s="1894">
        <v>73362</v>
      </c>
      <c r="BZ512" s="1894">
        <f t="shared" si="201"/>
        <v>97440</v>
      </c>
      <c r="CA512" s="1894">
        <f t="shared" si="202"/>
        <v>0</v>
      </c>
      <c r="CB512" s="1894">
        <v>400</v>
      </c>
      <c r="CC512" s="1894">
        <v>208.86</v>
      </c>
      <c r="CD512" s="1894">
        <v>400</v>
      </c>
      <c r="CE512" s="1894">
        <v>0.99470000000000003</v>
      </c>
      <c r="CF512" s="1894">
        <v>0</v>
      </c>
      <c r="CG512" s="1894">
        <v>67032</v>
      </c>
      <c r="CH512" s="1894">
        <f t="shared" si="203"/>
        <v>93235</v>
      </c>
      <c r="CI512" s="1894">
        <f t="shared" si="204"/>
        <v>0</v>
      </c>
      <c r="CJ512" s="1894">
        <v>400</v>
      </c>
      <c r="CK512" s="1894">
        <v>221.64000000000001</v>
      </c>
      <c r="CL512" s="1894">
        <v>400</v>
      </c>
      <c r="CM512" s="1894">
        <v>0.996</v>
      </c>
      <c r="CN512" s="1894">
        <v>0</v>
      </c>
      <c r="CO512" s="1894">
        <v>66618</v>
      </c>
      <c r="CP512" s="1894">
        <f t="shared" si="205"/>
        <v>89365</v>
      </c>
      <c r="CQ512" s="1894">
        <f t="shared" si="206"/>
        <v>0</v>
      </c>
      <c r="CR512" s="1924">
        <v>400</v>
      </c>
      <c r="CS512" s="1924">
        <v>255.95999999999998</v>
      </c>
      <c r="CT512" s="1924">
        <v>400</v>
      </c>
      <c r="CU512" s="1924">
        <v>0.98770000000000002</v>
      </c>
      <c r="CV512" s="1924">
        <v>0</v>
      </c>
      <c r="CW512" s="1924">
        <v>81558</v>
      </c>
      <c r="CX512" s="1894">
        <f t="shared" si="207"/>
        <v>114261</v>
      </c>
      <c r="CY512" s="1894">
        <f t="shared" si="208"/>
        <v>0</v>
      </c>
    </row>
    <row r="513" spans="1:103">
      <c r="A513" s="982">
        <v>122000000077</v>
      </c>
      <c r="B513" s="1923">
        <f t="shared" si="209"/>
        <v>507</v>
      </c>
      <c r="C513" s="1895" t="s">
        <v>3385</v>
      </c>
      <c r="D513" s="1894" t="s">
        <v>524</v>
      </c>
      <c r="E513" s="1895" t="s">
        <v>541</v>
      </c>
      <c r="F513" s="1894" t="s">
        <v>259</v>
      </c>
      <c r="G513" s="1924">
        <v>400</v>
      </c>
      <c r="H513" s="1894">
        <v>400</v>
      </c>
      <c r="I513" s="1894">
        <v>39.119999999999997</v>
      </c>
      <c r="J513" s="1894">
        <v>320</v>
      </c>
      <c r="K513" s="1894">
        <v>0.9657</v>
      </c>
      <c r="L513" s="1894">
        <v>46.4</v>
      </c>
      <c r="M513" s="1894">
        <v>13068</v>
      </c>
      <c r="N513" s="1894">
        <f t="shared" si="187"/>
        <v>16900</v>
      </c>
      <c r="O513" s="1894">
        <f t="shared" si="188"/>
        <v>0</v>
      </c>
      <c r="P513" s="1894">
        <v>400</v>
      </c>
      <c r="Q513" s="1894">
        <v>312.48</v>
      </c>
      <c r="R513" s="1894">
        <v>320</v>
      </c>
      <c r="S513" s="1894">
        <v>0.97970000000000002</v>
      </c>
      <c r="T513" s="1894">
        <v>31.81</v>
      </c>
      <c r="U513" s="1894">
        <v>73953</v>
      </c>
      <c r="V513" s="1894">
        <f t="shared" si="189"/>
        <v>139491</v>
      </c>
      <c r="W513" s="1894">
        <f t="shared" si="190"/>
        <v>0</v>
      </c>
      <c r="X513" s="1894">
        <v>400</v>
      </c>
      <c r="Y513" s="1894">
        <v>259.44</v>
      </c>
      <c r="Z513" s="1894">
        <v>320</v>
      </c>
      <c r="AA513" s="1894">
        <v>0.99609999999999999</v>
      </c>
      <c r="AB513" s="1894">
        <v>58.19</v>
      </c>
      <c r="AC513" s="1894">
        <v>108696</v>
      </c>
      <c r="AD513" s="1894">
        <f t="shared" si="191"/>
        <v>112078</v>
      </c>
      <c r="AE513" s="1894">
        <f t="shared" si="192"/>
        <v>0</v>
      </c>
      <c r="AF513" s="1894">
        <v>400</v>
      </c>
      <c r="AG513" s="1894">
        <v>284.16000000000003</v>
      </c>
      <c r="AH513" s="1894">
        <v>320</v>
      </c>
      <c r="AI513" s="1894">
        <v>0.99870000000000003</v>
      </c>
      <c r="AJ513" s="1894">
        <v>42.48</v>
      </c>
      <c r="AK513" s="1894">
        <v>89802</v>
      </c>
      <c r="AL513" s="1894">
        <f t="shared" si="212"/>
        <v>126849</v>
      </c>
      <c r="AM513" s="1894">
        <f t="shared" si="213"/>
        <v>0</v>
      </c>
      <c r="AN513" s="1894">
        <v>400</v>
      </c>
      <c r="AO513" s="1894">
        <v>250.56</v>
      </c>
      <c r="AP513" s="1894">
        <v>320</v>
      </c>
      <c r="AQ513" s="1894">
        <v>0.99839999999999995</v>
      </c>
      <c r="AR513" s="1894">
        <v>36.39</v>
      </c>
      <c r="AS513" s="1894">
        <v>67842</v>
      </c>
      <c r="AT513" s="1894">
        <f t="shared" si="193"/>
        <v>111850</v>
      </c>
      <c r="AU513" s="1894">
        <f t="shared" si="194"/>
        <v>0</v>
      </c>
      <c r="AV513" s="1894">
        <v>400</v>
      </c>
      <c r="AW513" s="1894">
        <v>259.91999999999996</v>
      </c>
      <c r="AX513" s="1894">
        <v>320</v>
      </c>
      <c r="AY513" s="1894">
        <v>0.99870000000000003</v>
      </c>
      <c r="AZ513" s="1894">
        <v>42.36</v>
      </c>
      <c r="BA513" s="1894">
        <v>79281</v>
      </c>
      <c r="BB513" s="1894">
        <f t="shared" si="195"/>
        <v>112285</v>
      </c>
      <c r="BC513" s="1894">
        <f t="shared" si="196"/>
        <v>0</v>
      </c>
      <c r="BD513" s="1894">
        <v>400</v>
      </c>
      <c r="BE513" s="1894">
        <v>221.51999999999998</v>
      </c>
      <c r="BF513" s="1894">
        <v>320</v>
      </c>
      <c r="BG513" s="1894">
        <v>0.99719999999999998</v>
      </c>
      <c r="BH513" s="1894">
        <v>32.35</v>
      </c>
      <c r="BI513" s="1894">
        <v>53319</v>
      </c>
      <c r="BJ513" s="1894">
        <f t="shared" si="197"/>
        <v>98887</v>
      </c>
      <c r="BK513" s="1894">
        <f t="shared" si="198"/>
        <v>0</v>
      </c>
      <c r="BL513" s="1894">
        <v>400</v>
      </c>
      <c r="BM513" s="1894">
        <v>164.64</v>
      </c>
      <c r="BN513" s="1894">
        <v>320</v>
      </c>
      <c r="BO513" s="1894">
        <v>0.99309999999999998</v>
      </c>
      <c r="BP513" s="1894">
        <v>36.69</v>
      </c>
      <c r="BQ513" s="1894">
        <v>42042</v>
      </c>
      <c r="BR513" s="1894">
        <f t="shared" si="199"/>
        <v>71124</v>
      </c>
      <c r="BS513" s="1894">
        <f t="shared" si="200"/>
        <v>0</v>
      </c>
      <c r="BT513" s="1894">
        <v>400</v>
      </c>
      <c r="BU513" s="1894">
        <v>132.72</v>
      </c>
      <c r="BV513" s="1894">
        <v>320</v>
      </c>
      <c r="BW513" s="1894">
        <v>0.95589999999999997</v>
      </c>
      <c r="BX513" s="1894">
        <v>14.76</v>
      </c>
      <c r="BY513" s="1894">
        <v>15045</v>
      </c>
      <c r="BZ513" s="1894">
        <f t="shared" si="201"/>
        <v>59246</v>
      </c>
      <c r="CA513" s="1894">
        <f t="shared" si="202"/>
        <v>0</v>
      </c>
      <c r="CB513" s="1894">
        <v>400</v>
      </c>
      <c r="CC513" s="1894">
        <v>103.68</v>
      </c>
      <c r="CD513" s="1894">
        <v>320</v>
      </c>
      <c r="CE513" s="1894">
        <v>0.93259999999999998</v>
      </c>
      <c r="CF513" s="1894">
        <v>10.57</v>
      </c>
      <c r="CG513" s="1894">
        <v>8151</v>
      </c>
      <c r="CH513" s="1894">
        <f t="shared" si="203"/>
        <v>46283</v>
      </c>
      <c r="CI513" s="1894">
        <f t="shared" si="204"/>
        <v>0</v>
      </c>
      <c r="CJ513" s="1894">
        <v>400</v>
      </c>
      <c r="CK513" s="1894">
        <v>110.64</v>
      </c>
      <c r="CL513" s="1894">
        <v>320</v>
      </c>
      <c r="CM513" s="1894">
        <v>0.9637</v>
      </c>
      <c r="CN513" s="1894">
        <v>11.67</v>
      </c>
      <c r="CO513" s="1894">
        <v>8679</v>
      </c>
      <c r="CP513" s="1894">
        <f t="shared" si="205"/>
        <v>44610</v>
      </c>
      <c r="CQ513" s="1894">
        <f t="shared" si="206"/>
        <v>0</v>
      </c>
      <c r="CR513" s="1924">
        <v>400</v>
      </c>
      <c r="CS513" s="1924">
        <v>126.96000000000001</v>
      </c>
      <c r="CT513" s="1924">
        <v>320</v>
      </c>
      <c r="CU513" s="1924">
        <v>0.97440000000000004</v>
      </c>
      <c r="CV513" s="1924">
        <v>12.08</v>
      </c>
      <c r="CW513" s="1924">
        <v>11409</v>
      </c>
      <c r="CX513" s="1894">
        <f t="shared" si="207"/>
        <v>56675</v>
      </c>
      <c r="CY513" s="1894">
        <f t="shared" si="208"/>
        <v>0</v>
      </c>
    </row>
    <row r="514" spans="1:103">
      <c r="A514" s="982">
        <v>122000000083</v>
      </c>
      <c r="B514" s="1923">
        <f t="shared" si="209"/>
        <v>508</v>
      </c>
      <c r="C514" s="1895" t="s">
        <v>3386</v>
      </c>
      <c r="D514" s="1894" t="s">
        <v>524</v>
      </c>
      <c r="E514" s="1895" t="s">
        <v>541</v>
      </c>
      <c r="F514" s="1894" t="s">
        <v>259</v>
      </c>
      <c r="G514" s="1924">
        <v>400</v>
      </c>
      <c r="H514" s="1894">
        <v>400</v>
      </c>
      <c r="I514" s="1894">
        <v>162.47999999999999</v>
      </c>
      <c r="J514" s="1894">
        <v>320</v>
      </c>
      <c r="K514" s="1894">
        <v>0.99870000000000003</v>
      </c>
      <c r="L514" s="1894">
        <v>10.1</v>
      </c>
      <c r="M514" s="1894">
        <v>11820</v>
      </c>
      <c r="N514" s="1894">
        <f t="shared" si="187"/>
        <v>70191</v>
      </c>
      <c r="O514" s="1894">
        <f t="shared" si="188"/>
        <v>0</v>
      </c>
      <c r="P514" s="1894">
        <v>400</v>
      </c>
      <c r="Q514" s="1894">
        <v>239.76000000000002</v>
      </c>
      <c r="R514" s="1894">
        <v>320</v>
      </c>
      <c r="S514" s="1894">
        <v>0.99909999999999999</v>
      </c>
      <c r="T514" s="1894">
        <v>15.61</v>
      </c>
      <c r="U514" s="1894">
        <v>27849</v>
      </c>
      <c r="V514" s="1894">
        <f t="shared" si="189"/>
        <v>107029</v>
      </c>
      <c r="W514" s="1894">
        <f t="shared" si="190"/>
        <v>0</v>
      </c>
      <c r="X514" s="1894">
        <v>400</v>
      </c>
      <c r="Y514" s="1894">
        <v>254.88</v>
      </c>
      <c r="Z514" s="1894">
        <v>320</v>
      </c>
      <c r="AA514" s="1894">
        <v>0.99960000000000004</v>
      </c>
      <c r="AB514" s="1894">
        <v>41.34</v>
      </c>
      <c r="AC514" s="1894">
        <v>75870</v>
      </c>
      <c r="AD514" s="1894">
        <f t="shared" si="191"/>
        <v>110108</v>
      </c>
      <c r="AE514" s="1894">
        <f t="shared" si="192"/>
        <v>0</v>
      </c>
      <c r="AF514" s="1894">
        <v>400</v>
      </c>
      <c r="AG514" s="1894">
        <v>247.92000000000002</v>
      </c>
      <c r="AH514" s="1894">
        <v>320</v>
      </c>
      <c r="AI514" s="1894">
        <v>0.99960000000000004</v>
      </c>
      <c r="AJ514" s="1894">
        <v>34.78</v>
      </c>
      <c r="AK514" s="1894">
        <v>64152</v>
      </c>
      <c r="AL514" s="1894">
        <f t="shared" si="212"/>
        <v>110671</v>
      </c>
      <c r="AM514" s="1894">
        <f t="shared" si="213"/>
        <v>0</v>
      </c>
      <c r="AN514" s="1894">
        <v>400</v>
      </c>
      <c r="AO514" s="1894">
        <v>242.4</v>
      </c>
      <c r="AP514" s="1894">
        <v>320</v>
      </c>
      <c r="AQ514" s="1894">
        <v>0.99939999999999996</v>
      </c>
      <c r="AR514" s="1894">
        <v>26.23</v>
      </c>
      <c r="AS514" s="1894">
        <v>47313</v>
      </c>
      <c r="AT514" s="1894">
        <f t="shared" si="193"/>
        <v>108207</v>
      </c>
      <c r="AU514" s="1894">
        <f t="shared" si="194"/>
        <v>0</v>
      </c>
      <c r="AV514" s="1894">
        <v>400</v>
      </c>
      <c r="AW514" s="1894">
        <v>246.72</v>
      </c>
      <c r="AX514" s="1894">
        <v>320</v>
      </c>
      <c r="AY514" s="1894">
        <v>0.99970000000000003</v>
      </c>
      <c r="AZ514" s="1894">
        <v>29.38</v>
      </c>
      <c r="BA514" s="1894">
        <v>52182</v>
      </c>
      <c r="BB514" s="1894">
        <f t="shared" si="195"/>
        <v>106583</v>
      </c>
      <c r="BC514" s="1894">
        <f t="shared" si="196"/>
        <v>0</v>
      </c>
      <c r="BD514" s="1894">
        <v>400</v>
      </c>
      <c r="BE514" s="1894">
        <v>249.6</v>
      </c>
      <c r="BF514" s="1894">
        <v>320</v>
      </c>
      <c r="BG514" s="1894">
        <v>0.99960000000000004</v>
      </c>
      <c r="BH514" s="1894">
        <v>22.76</v>
      </c>
      <c r="BI514" s="1894">
        <v>42261</v>
      </c>
      <c r="BJ514" s="1894">
        <f t="shared" si="197"/>
        <v>111421</v>
      </c>
      <c r="BK514" s="1894">
        <f t="shared" si="198"/>
        <v>0</v>
      </c>
      <c r="BL514" s="1894">
        <v>400</v>
      </c>
      <c r="BM514" s="1894">
        <v>233.04000000000002</v>
      </c>
      <c r="BN514" s="1894">
        <v>320</v>
      </c>
      <c r="BO514" s="1894">
        <v>0.99970000000000003</v>
      </c>
      <c r="BP514" s="1894">
        <v>19.88</v>
      </c>
      <c r="BQ514" s="1894">
        <v>33351</v>
      </c>
      <c r="BR514" s="1894">
        <f t="shared" si="199"/>
        <v>100673</v>
      </c>
      <c r="BS514" s="1894">
        <f t="shared" si="200"/>
        <v>0</v>
      </c>
      <c r="BT514" s="1894">
        <v>400</v>
      </c>
      <c r="BU514" s="1894">
        <v>168.23999999999998</v>
      </c>
      <c r="BV514" s="1894">
        <v>320</v>
      </c>
      <c r="BW514" s="1894">
        <v>0.99960000000000004</v>
      </c>
      <c r="BX514" s="1894">
        <v>21.28</v>
      </c>
      <c r="BY514" s="1894">
        <v>26637</v>
      </c>
      <c r="BZ514" s="1894">
        <f t="shared" si="201"/>
        <v>75102</v>
      </c>
      <c r="CA514" s="1894">
        <f t="shared" si="202"/>
        <v>0</v>
      </c>
      <c r="CB514" s="1894">
        <v>400</v>
      </c>
      <c r="CC514" s="1894">
        <v>164.4</v>
      </c>
      <c r="CD514" s="1894">
        <v>320</v>
      </c>
      <c r="CE514" s="1894">
        <v>0.99939999999999996</v>
      </c>
      <c r="CF514" s="1894">
        <v>17.68</v>
      </c>
      <c r="CG514" s="1894">
        <v>21621</v>
      </c>
      <c r="CH514" s="1894">
        <f t="shared" si="203"/>
        <v>73388</v>
      </c>
      <c r="CI514" s="1894">
        <f t="shared" si="204"/>
        <v>0</v>
      </c>
      <c r="CJ514" s="1894">
        <v>400</v>
      </c>
      <c r="CK514" s="1894">
        <v>227.04000000000002</v>
      </c>
      <c r="CL514" s="1894">
        <v>320</v>
      </c>
      <c r="CM514" s="1894">
        <v>0.99960000000000004</v>
      </c>
      <c r="CN514" s="1894">
        <v>17.72</v>
      </c>
      <c r="CO514" s="1894">
        <v>27042</v>
      </c>
      <c r="CP514" s="1894">
        <f t="shared" si="205"/>
        <v>91543</v>
      </c>
      <c r="CQ514" s="1894">
        <f t="shared" si="206"/>
        <v>0</v>
      </c>
      <c r="CR514" s="1924">
        <v>400</v>
      </c>
      <c r="CS514" s="1924">
        <v>161.52000000000001</v>
      </c>
      <c r="CT514" s="1924">
        <v>320</v>
      </c>
      <c r="CU514" s="1924">
        <v>0.99960000000000004</v>
      </c>
      <c r="CV514" s="1924">
        <v>21.22</v>
      </c>
      <c r="CW514" s="1924">
        <v>25503</v>
      </c>
      <c r="CX514" s="1894">
        <f t="shared" si="207"/>
        <v>72103</v>
      </c>
      <c r="CY514" s="1894">
        <f t="shared" si="208"/>
        <v>0</v>
      </c>
    </row>
    <row r="515" spans="1:103">
      <c r="A515" s="982">
        <v>123000000057</v>
      </c>
      <c r="B515" s="1923">
        <f t="shared" si="209"/>
        <v>509</v>
      </c>
      <c r="C515" s="1895" t="s">
        <v>3387</v>
      </c>
      <c r="D515" s="1894" t="s">
        <v>524</v>
      </c>
      <c r="E515" s="1895" t="s">
        <v>737</v>
      </c>
      <c r="F515" s="1894" t="s">
        <v>259</v>
      </c>
      <c r="G515" s="1924">
        <v>400</v>
      </c>
      <c r="H515" s="1894">
        <v>400</v>
      </c>
      <c r="I515" s="1894">
        <v>173.4</v>
      </c>
      <c r="J515" s="1894">
        <v>320</v>
      </c>
      <c r="K515" s="1894">
        <v>0.99729999999999996</v>
      </c>
      <c r="L515" s="1894">
        <v>45.83</v>
      </c>
      <c r="M515" s="1894">
        <v>57220</v>
      </c>
      <c r="N515" s="1894">
        <f t="shared" si="187"/>
        <v>74909</v>
      </c>
      <c r="O515" s="1894">
        <f t="shared" si="188"/>
        <v>0</v>
      </c>
      <c r="P515" s="1894">
        <v>400</v>
      </c>
      <c r="Q515" s="1894">
        <v>185</v>
      </c>
      <c r="R515" s="1894">
        <v>320</v>
      </c>
      <c r="S515" s="1894">
        <v>0.99729999999999996</v>
      </c>
      <c r="T515" s="1894">
        <v>40.909999999999997</v>
      </c>
      <c r="U515" s="1894">
        <v>52680</v>
      </c>
      <c r="V515" s="1894">
        <f t="shared" si="189"/>
        <v>82584</v>
      </c>
      <c r="W515" s="1894">
        <f t="shared" si="190"/>
        <v>0</v>
      </c>
      <c r="X515" s="1894">
        <v>400</v>
      </c>
      <c r="Y515" s="1894">
        <v>144</v>
      </c>
      <c r="Z515" s="1894">
        <v>320</v>
      </c>
      <c r="AA515" s="1894">
        <v>0.99729999999999996</v>
      </c>
      <c r="AB515" s="1894">
        <v>38.14</v>
      </c>
      <c r="AC515" s="1894">
        <v>42185</v>
      </c>
      <c r="AD515" s="1894">
        <f t="shared" si="191"/>
        <v>62208</v>
      </c>
      <c r="AE515" s="1894">
        <f t="shared" si="192"/>
        <v>0</v>
      </c>
      <c r="AF515" s="1894">
        <v>400</v>
      </c>
      <c r="AG515" s="1894">
        <v>153.6</v>
      </c>
      <c r="AH515" s="1894">
        <v>320</v>
      </c>
      <c r="AI515" s="1894">
        <v>0.99860000000000004</v>
      </c>
      <c r="AJ515" s="1894">
        <v>43.91</v>
      </c>
      <c r="AK515" s="1894">
        <v>50175</v>
      </c>
      <c r="AL515" s="1894">
        <f t="shared" si="212"/>
        <v>68567</v>
      </c>
      <c r="AM515" s="1894">
        <f t="shared" si="213"/>
        <v>0</v>
      </c>
      <c r="AN515" s="1894">
        <v>400</v>
      </c>
      <c r="AO515" s="1894">
        <v>58.8</v>
      </c>
      <c r="AP515" s="1894">
        <v>320</v>
      </c>
      <c r="AQ515" s="1894">
        <v>0.99729999999999996</v>
      </c>
      <c r="AR515" s="1894">
        <v>101.97</v>
      </c>
      <c r="AS515" s="1894">
        <v>44610</v>
      </c>
      <c r="AT515" s="1894">
        <f t="shared" si="193"/>
        <v>26248</v>
      </c>
      <c r="AU515" s="1894">
        <f t="shared" si="194"/>
        <v>18362</v>
      </c>
      <c r="AV515" s="1894">
        <v>400</v>
      </c>
      <c r="AW515" s="1894">
        <v>128.80000000000001</v>
      </c>
      <c r="AX515" s="1894">
        <v>320</v>
      </c>
      <c r="AY515" s="1894">
        <v>0.99590000000000001</v>
      </c>
      <c r="AZ515" s="1894">
        <v>49.87</v>
      </c>
      <c r="BA515" s="1894">
        <v>46245</v>
      </c>
      <c r="BB515" s="1894">
        <f t="shared" si="195"/>
        <v>55642</v>
      </c>
      <c r="BC515" s="1894">
        <f t="shared" si="196"/>
        <v>0</v>
      </c>
      <c r="BD515" s="1894">
        <v>400</v>
      </c>
      <c r="BE515" s="1894">
        <v>122.80000000000001</v>
      </c>
      <c r="BF515" s="1894">
        <v>320</v>
      </c>
      <c r="BG515" s="1894">
        <v>0.99370000000000003</v>
      </c>
      <c r="BH515" s="1894">
        <v>36.799999999999997</v>
      </c>
      <c r="BI515" s="1894">
        <v>33620</v>
      </c>
      <c r="BJ515" s="1894">
        <f t="shared" si="197"/>
        <v>54818</v>
      </c>
      <c r="BK515" s="1894">
        <f t="shared" si="198"/>
        <v>0</v>
      </c>
      <c r="BL515" s="1894">
        <v>400</v>
      </c>
      <c r="BM515" s="1894">
        <v>94</v>
      </c>
      <c r="BN515" s="1894">
        <v>320</v>
      </c>
      <c r="BO515" s="1894">
        <v>0.98870000000000002</v>
      </c>
      <c r="BP515" s="1894">
        <v>51.41</v>
      </c>
      <c r="BQ515" s="1894">
        <v>34795</v>
      </c>
      <c r="BR515" s="1894">
        <f t="shared" si="199"/>
        <v>40608</v>
      </c>
      <c r="BS515" s="1894">
        <f t="shared" si="200"/>
        <v>0</v>
      </c>
      <c r="BT515" s="1894">
        <v>400</v>
      </c>
      <c r="BU515" s="1894">
        <v>87.6</v>
      </c>
      <c r="BV515" s="1894">
        <v>320</v>
      </c>
      <c r="BW515" s="1894">
        <v>0.9899</v>
      </c>
      <c r="BX515" s="1894">
        <v>60.48</v>
      </c>
      <c r="BY515" s="1894">
        <v>39415</v>
      </c>
      <c r="BZ515" s="1894">
        <f t="shared" si="201"/>
        <v>39105</v>
      </c>
      <c r="CA515" s="1894">
        <f t="shared" si="202"/>
        <v>310</v>
      </c>
      <c r="CB515" s="1894">
        <v>400</v>
      </c>
      <c r="CC515" s="1894">
        <v>97.199999999999989</v>
      </c>
      <c r="CD515" s="1894">
        <v>320</v>
      </c>
      <c r="CE515" s="1894">
        <v>0.99260000000000004</v>
      </c>
      <c r="CF515" s="1894">
        <v>48.62</v>
      </c>
      <c r="CG515" s="1894">
        <v>35160</v>
      </c>
      <c r="CH515" s="1894">
        <f t="shared" si="203"/>
        <v>43390</v>
      </c>
      <c r="CI515" s="1894">
        <f t="shared" si="204"/>
        <v>0</v>
      </c>
      <c r="CJ515" s="1894">
        <v>400</v>
      </c>
      <c r="CK515" s="1894">
        <v>111.60000000000001</v>
      </c>
      <c r="CL515" s="1894">
        <v>320</v>
      </c>
      <c r="CM515" s="1894">
        <v>0.99609999999999999</v>
      </c>
      <c r="CN515" s="1894">
        <v>51.75</v>
      </c>
      <c r="CO515" s="1894">
        <v>38810</v>
      </c>
      <c r="CP515" s="1894">
        <f t="shared" si="205"/>
        <v>44997</v>
      </c>
      <c r="CQ515" s="1894">
        <f t="shared" si="206"/>
        <v>0</v>
      </c>
      <c r="CR515" s="1924">
        <v>400</v>
      </c>
      <c r="CS515" s="1924">
        <v>118</v>
      </c>
      <c r="CT515" s="1924">
        <v>320</v>
      </c>
      <c r="CU515" s="1924">
        <v>0.99760000000000004</v>
      </c>
      <c r="CV515" s="1924">
        <v>53.71</v>
      </c>
      <c r="CW515" s="1924">
        <v>47150</v>
      </c>
      <c r="CX515" s="1894">
        <f t="shared" si="207"/>
        <v>52675</v>
      </c>
      <c r="CY515" s="1894">
        <f t="shared" si="208"/>
        <v>0</v>
      </c>
    </row>
    <row r="516" spans="1:103">
      <c r="A516" s="982">
        <v>123000000082</v>
      </c>
      <c r="B516" s="1923">
        <f t="shared" si="209"/>
        <v>510</v>
      </c>
      <c r="C516" s="1895" t="s">
        <v>3388</v>
      </c>
      <c r="D516" s="1894" t="s">
        <v>524</v>
      </c>
      <c r="E516" s="1895" t="s">
        <v>737</v>
      </c>
      <c r="F516" s="1894" t="s">
        <v>259</v>
      </c>
      <c r="G516" s="1924">
        <v>400</v>
      </c>
      <c r="H516" s="1894">
        <v>400</v>
      </c>
      <c r="I516" s="1894">
        <v>202.2</v>
      </c>
      <c r="J516" s="1894">
        <v>320</v>
      </c>
      <c r="K516" s="1894">
        <v>0.91910000000000003</v>
      </c>
      <c r="L516" s="1894">
        <v>36.340000000000003</v>
      </c>
      <c r="M516" s="1894">
        <v>52905</v>
      </c>
      <c r="N516" s="1894">
        <f t="shared" si="187"/>
        <v>87350</v>
      </c>
      <c r="O516" s="1894">
        <f t="shared" si="188"/>
        <v>0</v>
      </c>
      <c r="P516" s="1894">
        <v>400</v>
      </c>
      <c r="Q516" s="1894">
        <v>185</v>
      </c>
      <c r="R516" s="1894">
        <v>320</v>
      </c>
      <c r="S516" s="1894">
        <v>0.9224</v>
      </c>
      <c r="T516" s="1894">
        <v>39.380000000000003</v>
      </c>
      <c r="U516" s="1894">
        <v>54207</v>
      </c>
      <c r="V516" s="1894">
        <f t="shared" si="189"/>
        <v>82584</v>
      </c>
      <c r="W516" s="1894">
        <f t="shared" si="190"/>
        <v>0</v>
      </c>
      <c r="X516" s="1894">
        <v>400</v>
      </c>
      <c r="Y516" s="1894">
        <v>197.28</v>
      </c>
      <c r="Z516" s="1894">
        <v>320</v>
      </c>
      <c r="AA516" s="1894">
        <v>0.91039999999999999</v>
      </c>
      <c r="AB516" s="1894">
        <v>39.65</v>
      </c>
      <c r="AC516" s="1894">
        <v>56322</v>
      </c>
      <c r="AD516" s="1894">
        <f t="shared" si="191"/>
        <v>85225</v>
      </c>
      <c r="AE516" s="1894">
        <f t="shared" si="192"/>
        <v>0</v>
      </c>
      <c r="AF516" s="1894">
        <v>400</v>
      </c>
      <c r="AG516" s="1894">
        <v>189.84</v>
      </c>
      <c r="AH516" s="1894">
        <v>320</v>
      </c>
      <c r="AI516" s="1894">
        <v>0.91249999999999998</v>
      </c>
      <c r="AJ516" s="1894">
        <v>42.25</v>
      </c>
      <c r="AK516" s="1894">
        <v>59673</v>
      </c>
      <c r="AL516" s="1894">
        <f t="shared" si="212"/>
        <v>84745</v>
      </c>
      <c r="AM516" s="1894">
        <f t="shared" si="213"/>
        <v>0</v>
      </c>
      <c r="AN516" s="1894">
        <v>400</v>
      </c>
      <c r="AO516" s="1894">
        <v>188.16</v>
      </c>
      <c r="AP516" s="1894">
        <v>320</v>
      </c>
      <c r="AQ516" s="1894">
        <v>0.89190000000000003</v>
      </c>
      <c r="AR516" s="1894">
        <v>34.33</v>
      </c>
      <c r="AS516" s="1894">
        <v>48054</v>
      </c>
      <c r="AT516" s="1894">
        <f t="shared" si="193"/>
        <v>83995</v>
      </c>
      <c r="AU516" s="1894">
        <f t="shared" si="194"/>
        <v>0</v>
      </c>
      <c r="AV516" s="1894">
        <v>400</v>
      </c>
      <c r="AW516" s="1894">
        <v>178.79999999999998</v>
      </c>
      <c r="AX516" s="1894">
        <v>320</v>
      </c>
      <c r="AY516" s="1894">
        <v>0.90190000000000003</v>
      </c>
      <c r="AZ516" s="1894">
        <v>37.94</v>
      </c>
      <c r="BA516" s="1894">
        <v>48846</v>
      </c>
      <c r="BB516" s="1894">
        <f t="shared" si="195"/>
        <v>77242</v>
      </c>
      <c r="BC516" s="1894">
        <f t="shared" si="196"/>
        <v>0</v>
      </c>
      <c r="BD516" s="1894">
        <v>400</v>
      </c>
      <c r="BE516" s="1894">
        <v>163.20000000000002</v>
      </c>
      <c r="BF516" s="1894">
        <v>320</v>
      </c>
      <c r="BG516" s="1894">
        <v>0.90980000000000005</v>
      </c>
      <c r="BH516" s="1894">
        <v>37.799999999999997</v>
      </c>
      <c r="BI516" s="1894">
        <v>44421</v>
      </c>
      <c r="BJ516" s="1894">
        <f t="shared" si="197"/>
        <v>72852</v>
      </c>
      <c r="BK516" s="1894">
        <f t="shared" si="198"/>
        <v>0</v>
      </c>
      <c r="BL516" s="1894">
        <v>400</v>
      </c>
      <c r="BM516" s="1894">
        <v>167.76000000000002</v>
      </c>
      <c r="BN516" s="1894">
        <v>320</v>
      </c>
      <c r="BO516" s="1894">
        <v>0.92059999999999997</v>
      </c>
      <c r="BP516" s="1894">
        <v>36.119999999999997</v>
      </c>
      <c r="BQ516" s="1894">
        <v>45087</v>
      </c>
      <c r="BR516" s="1894">
        <f t="shared" si="199"/>
        <v>72472</v>
      </c>
      <c r="BS516" s="1894">
        <f t="shared" si="200"/>
        <v>0</v>
      </c>
      <c r="BT516" s="1894">
        <v>400</v>
      </c>
      <c r="BU516" s="1894">
        <v>126</v>
      </c>
      <c r="BV516" s="1894">
        <v>320</v>
      </c>
      <c r="BW516" s="1894">
        <v>0.91500000000000004</v>
      </c>
      <c r="BX516" s="1894">
        <v>38.32</v>
      </c>
      <c r="BY516" s="1894">
        <v>35922</v>
      </c>
      <c r="BZ516" s="1894">
        <f t="shared" si="201"/>
        <v>56246</v>
      </c>
      <c r="CA516" s="1894">
        <f t="shared" si="202"/>
        <v>0</v>
      </c>
      <c r="CB516" s="1894">
        <v>400</v>
      </c>
      <c r="CC516" s="1894">
        <v>78</v>
      </c>
      <c r="CD516" s="1894">
        <v>320</v>
      </c>
      <c r="CE516" s="1894">
        <v>0.89329999999999998</v>
      </c>
      <c r="CF516" s="1894">
        <v>33.04</v>
      </c>
      <c r="CG516" s="1894">
        <v>19176</v>
      </c>
      <c r="CH516" s="1894">
        <f t="shared" si="203"/>
        <v>34819</v>
      </c>
      <c r="CI516" s="1894">
        <f t="shared" si="204"/>
        <v>0</v>
      </c>
      <c r="CJ516" s="1894">
        <v>400</v>
      </c>
      <c r="CK516" s="1894">
        <v>137.76</v>
      </c>
      <c r="CL516" s="1894">
        <v>320</v>
      </c>
      <c r="CM516" s="1894">
        <v>0.90159999999999996</v>
      </c>
      <c r="CN516" s="1894">
        <v>32.64</v>
      </c>
      <c r="CO516" s="1894">
        <v>30213</v>
      </c>
      <c r="CP516" s="1894">
        <f t="shared" si="205"/>
        <v>55545</v>
      </c>
      <c r="CQ516" s="1894">
        <f t="shared" si="206"/>
        <v>0</v>
      </c>
      <c r="CR516" s="1924">
        <v>400</v>
      </c>
      <c r="CS516" s="1924">
        <v>179.52</v>
      </c>
      <c r="CT516" s="1924">
        <v>320</v>
      </c>
      <c r="CU516" s="1924">
        <v>0.91</v>
      </c>
      <c r="CV516" s="1924">
        <v>33.47</v>
      </c>
      <c r="CW516" s="1924">
        <v>44703</v>
      </c>
      <c r="CX516" s="1894">
        <f t="shared" si="207"/>
        <v>80138</v>
      </c>
      <c r="CY516" s="1894">
        <f t="shared" si="208"/>
        <v>0</v>
      </c>
    </row>
    <row r="517" spans="1:103">
      <c r="A517" s="982">
        <v>123000000120</v>
      </c>
      <c r="B517" s="1923">
        <f t="shared" si="209"/>
        <v>511</v>
      </c>
      <c r="C517" s="1895" t="s">
        <v>3389</v>
      </c>
      <c r="D517" s="1894" t="s">
        <v>524</v>
      </c>
      <c r="E517" s="1895" t="s">
        <v>541</v>
      </c>
      <c r="F517" s="1894" t="s">
        <v>259</v>
      </c>
      <c r="G517" s="1924">
        <v>400</v>
      </c>
      <c r="H517" s="1894">
        <v>400</v>
      </c>
      <c r="I517" s="1894">
        <v>359.52</v>
      </c>
      <c r="J517" s="1894">
        <v>359.52</v>
      </c>
      <c r="K517" s="1894">
        <v>0.95620000000000005</v>
      </c>
      <c r="L517" s="1894">
        <v>47.51</v>
      </c>
      <c r="M517" s="1894">
        <v>139362</v>
      </c>
      <c r="N517" s="1894">
        <f t="shared" si="187"/>
        <v>155313</v>
      </c>
      <c r="O517" s="1894">
        <f t="shared" si="188"/>
        <v>0</v>
      </c>
      <c r="P517" s="1894">
        <v>400</v>
      </c>
      <c r="Q517" s="1894">
        <v>378.96</v>
      </c>
      <c r="R517" s="1894">
        <v>378.96</v>
      </c>
      <c r="S517" s="1894">
        <v>0.9677</v>
      </c>
      <c r="T517" s="1894">
        <v>50.33</v>
      </c>
      <c r="U517" s="1894">
        <v>141894</v>
      </c>
      <c r="V517" s="1894">
        <f t="shared" si="189"/>
        <v>169168</v>
      </c>
      <c r="W517" s="1894">
        <f t="shared" si="190"/>
        <v>0</v>
      </c>
      <c r="X517" s="1894">
        <v>400</v>
      </c>
      <c r="Y517" s="1894">
        <v>355.68</v>
      </c>
      <c r="Z517" s="1894">
        <v>355.68</v>
      </c>
      <c r="AA517" s="1894">
        <v>0.97260000000000002</v>
      </c>
      <c r="AB517" s="1894">
        <v>48.53</v>
      </c>
      <c r="AC517" s="1894">
        <v>124293</v>
      </c>
      <c r="AD517" s="1894">
        <f t="shared" si="191"/>
        <v>153654</v>
      </c>
      <c r="AE517" s="1894">
        <f t="shared" si="192"/>
        <v>0</v>
      </c>
      <c r="AF517" s="1894">
        <v>400</v>
      </c>
      <c r="AG517" s="1894">
        <v>368.4</v>
      </c>
      <c r="AH517" s="1894">
        <v>368.4</v>
      </c>
      <c r="AI517" s="1894">
        <v>0.96740000000000004</v>
      </c>
      <c r="AJ517" s="1894">
        <v>46.66</v>
      </c>
      <c r="AK517" s="1894">
        <v>127890</v>
      </c>
      <c r="AL517" s="1894">
        <f t="shared" si="212"/>
        <v>164454</v>
      </c>
      <c r="AM517" s="1894">
        <f t="shared" si="213"/>
        <v>0</v>
      </c>
      <c r="AN517" s="1894">
        <v>400</v>
      </c>
      <c r="AO517" s="1894">
        <v>378.72</v>
      </c>
      <c r="AP517" s="1894">
        <v>378.72</v>
      </c>
      <c r="AQ517" s="1894">
        <v>0.94840000000000002</v>
      </c>
      <c r="AR517" s="1894">
        <v>39.880000000000003</v>
      </c>
      <c r="AS517" s="1894">
        <v>112359</v>
      </c>
      <c r="AT517" s="1894">
        <f t="shared" si="193"/>
        <v>169061</v>
      </c>
      <c r="AU517" s="1894">
        <f t="shared" si="194"/>
        <v>0</v>
      </c>
      <c r="AV517" s="1894">
        <v>400</v>
      </c>
      <c r="AW517" s="1894">
        <v>387.36</v>
      </c>
      <c r="AX517" s="1894">
        <v>387.36</v>
      </c>
      <c r="AY517" s="1894">
        <v>0.95189999999999997</v>
      </c>
      <c r="AZ517" s="1894">
        <v>41.13</v>
      </c>
      <c r="BA517" s="1894">
        <v>110877</v>
      </c>
      <c r="BB517" s="1894">
        <f t="shared" si="195"/>
        <v>167340</v>
      </c>
      <c r="BC517" s="1894">
        <f t="shared" si="196"/>
        <v>0</v>
      </c>
      <c r="BD517" s="1894">
        <v>400</v>
      </c>
      <c r="BE517" s="1894">
        <v>365.28</v>
      </c>
      <c r="BF517" s="1894">
        <v>365.28</v>
      </c>
      <c r="BG517" s="1894">
        <v>0.96440000000000003</v>
      </c>
      <c r="BH517" s="1894">
        <v>34.79</v>
      </c>
      <c r="BI517" s="1894">
        <v>97596</v>
      </c>
      <c r="BJ517" s="1894">
        <f t="shared" si="197"/>
        <v>163061</v>
      </c>
      <c r="BK517" s="1894">
        <f t="shared" si="198"/>
        <v>0</v>
      </c>
      <c r="BL517" s="1894">
        <v>400</v>
      </c>
      <c r="BM517" s="1894">
        <v>367.2</v>
      </c>
      <c r="BN517" s="1894">
        <v>367.2</v>
      </c>
      <c r="BO517" s="1894">
        <v>0.96020000000000005</v>
      </c>
      <c r="BP517" s="1894">
        <v>44.36</v>
      </c>
      <c r="BQ517" s="1894">
        <v>117288</v>
      </c>
      <c r="BR517" s="1894">
        <f t="shared" si="199"/>
        <v>158630</v>
      </c>
      <c r="BS517" s="1894">
        <f t="shared" si="200"/>
        <v>0</v>
      </c>
      <c r="BT517" s="1894">
        <v>400</v>
      </c>
      <c r="BU517" s="1894">
        <v>382.56</v>
      </c>
      <c r="BV517" s="1894">
        <v>382.56</v>
      </c>
      <c r="BW517" s="1894">
        <v>0.96409999999999996</v>
      </c>
      <c r="BX517" s="1894">
        <v>56.65</v>
      </c>
      <c r="BY517" s="1894">
        <v>161250</v>
      </c>
      <c r="BZ517" s="1894">
        <f t="shared" si="201"/>
        <v>170775</v>
      </c>
      <c r="CA517" s="1894">
        <f t="shared" si="202"/>
        <v>0</v>
      </c>
      <c r="CB517" s="1894">
        <v>400</v>
      </c>
      <c r="CC517" s="1894">
        <v>355.92</v>
      </c>
      <c r="CD517" s="1894">
        <v>355.92</v>
      </c>
      <c r="CE517" s="1894">
        <v>0.95740000000000003</v>
      </c>
      <c r="CF517" s="1894">
        <v>43.62</v>
      </c>
      <c r="CG517" s="1894">
        <v>115503</v>
      </c>
      <c r="CH517" s="1894">
        <f t="shared" si="203"/>
        <v>158883</v>
      </c>
      <c r="CI517" s="1894">
        <f t="shared" si="204"/>
        <v>0</v>
      </c>
      <c r="CJ517" s="1894">
        <v>400</v>
      </c>
      <c r="CK517" s="1894">
        <v>366.24</v>
      </c>
      <c r="CL517" s="1894">
        <v>366.24</v>
      </c>
      <c r="CM517" s="1894">
        <v>0.9577</v>
      </c>
      <c r="CN517" s="1894">
        <v>38.1</v>
      </c>
      <c r="CO517" s="1894">
        <v>93765</v>
      </c>
      <c r="CP517" s="1894">
        <f t="shared" si="205"/>
        <v>147668</v>
      </c>
      <c r="CQ517" s="1894">
        <f t="shared" si="206"/>
        <v>0</v>
      </c>
      <c r="CR517" s="1924">
        <v>400</v>
      </c>
      <c r="CS517" s="1924">
        <v>353.04</v>
      </c>
      <c r="CT517" s="1924">
        <v>353.04</v>
      </c>
      <c r="CU517" s="1924">
        <v>0.96160000000000001</v>
      </c>
      <c r="CV517" s="1924">
        <v>34.909999999999997</v>
      </c>
      <c r="CW517" s="1924">
        <v>91707</v>
      </c>
      <c r="CX517" s="1894">
        <f t="shared" si="207"/>
        <v>157597</v>
      </c>
      <c r="CY517" s="1894">
        <f t="shared" si="208"/>
        <v>0</v>
      </c>
    </row>
    <row r="518" spans="1:103">
      <c r="A518" s="982">
        <v>125000000027</v>
      </c>
      <c r="B518" s="1923">
        <f t="shared" si="209"/>
        <v>512</v>
      </c>
      <c r="C518" s="1895" t="s">
        <v>3390</v>
      </c>
      <c r="D518" s="1894" t="s">
        <v>524</v>
      </c>
      <c r="E518" s="1895" t="s">
        <v>2966</v>
      </c>
      <c r="F518" s="1894" t="s">
        <v>259</v>
      </c>
      <c r="G518" s="1924">
        <v>400</v>
      </c>
      <c r="H518" s="1894">
        <v>400</v>
      </c>
      <c r="I518" s="1894">
        <v>30</v>
      </c>
      <c r="J518" s="1894">
        <v>400</v>
      </c>
      <c r="K518" s="1894">
        <v>0.86739999999999995</v>
      </c>
      <c r="L518" s="1894">
        <v>0</v>
      </c>
      <c r="M518" s="1894">
        <v>7560</v>
      </c>
      <c r="N518" s="1894">
        <f t="shared" si="187"/>
        <v>12960</v>
      </c>
      <c r="O518" s="1894">
        <f t="shared" si="188"/>
        <v>0</v>
      </c>
      <c r="P518" s="1894">
        <v>400</v>
      </c>
      <c r="Q518" s="1894">
        <v>48</v>
      </c>
      <c r="R518" s="1894">
        <v>400</v>
      </c>
      <c r="S518" s="1894">
        <v>0.85470000000000002</v>
      </c>
      <c r="T518" s="1894">
        <v>0</v>
      </c>
      <c r="U518" s="1894">
        <v>8760</v>
      </c>
      <c r="V518" s="1894">
        <f t="shared" si="189"/>
        <v>21427</v>
      </c>
      <c r="W518" s="1894">
        <f t="shared" si="190"/>
        <v>0</v>
      </c>
      <c r="X518" s="1894">
        <v>400</v>
      </c>
      <c r="Y518" s="1894">
        <v>64.320000000000007</v>
      </c>
      <c r="Z518" s="1894">
        <v>400</v>
      </c>
      <c r="AA518" s="1894">
        <v>0.92049999999999998</v>
      </c>
      <c r="AB518" s="1894">
        <v>0</v>
      </c>
      <c r="AC518" s="1894">
        <v>14646</v>
      </c>
      <c r="AD518" s="1894">
        <f t="shared" si="191"/>
        <v>27786</v>
      </c>
      <c r="AE518" s="1894">
        <f t="shared" si="192"/>
        <v>0</v>
      </c>
      <c r="AF518" s="1894">
        <v>400</v>
      </c>
      <c r="AG518" s="1894">
        <v>66</v>
      </c>
      <c r="AH518" s="1894">
        <v>400</v>
      </c>
      <c r="AI518" s="1894">
        <v>0.90010000000000001</v>
      </c>
      <c r="AJ518" s="1894">
        <v>0</v>
      </c>
      <c r="AK518" s="1894">
        <v>8979</v>
      </c>
      <c r="AL518" s="1894">
        <f t="shared" si="212"/>
        <v>29462</v>
      </c>
      <c r="AM518" s="1894">
        <f t="shared" si="213"/>
        <v>0</v>
      </c>
      <c r="AN518" s="1894">
        <v>400</v>
      </c>
      <c r="AO518" s="1894">
        <v>82.56</v>
      </c>
      <c r="AP518" s="1894">
        <v>400</v>
      </c>
      <c r="AQ518" s="1894">
        <v>0.90439999999999998</v>
      </c>
      <c r="AR518" s="1894">
        <v>0</v>
      </c>
      <c r="AS518" s="1894">
        <v>9105</v>
      </c>
      <c r="AT518" s="1894">
        <f t="shared" si="193"/>
        <v>36855</v>
      </c>
      <c r="AU518" s="1894">
        <f t="shared" si="194"/>
        <v>0</v>
      </c>
      <c r="AV518" s="1894">
        <v>400</v>
      </c>
      <c r="AW518" s="1894">
        <v>69.36</v>
      </c>
      <c r="AX518" s="1894">
        <v>400</v>
      </c>
      <c r="AY518" s="1894">
        <v>0.91800000000000004</v>
      </c>
      <c r="AZ518" s="1894">
        <v>0</v>
      </c>
      <c r="BA518" s="1894">
        <v>12852</v>
      </c>
      <c r="BB518" s="1894">
        <f t="shared" si="195"/>
        <v>29964</v>
      </c>
      <c r="BC518" s="1894">
        <f t="shared" si="196"/>
        <v>0</v>
      </c>
      <c r="BD518" s="1894">
        <v>400</v>
      </c>
      <c r="BE518" s="1894">
        <v>59.76</v>
      </c>
      <c r="BF518" s="1894">
        <v>400</v>
      </c>
      <c r="BG518" s="1894">
        <v>0.92689999999999995</v>
      </c>
      <c r="BH518" s="1894">
        <v>0</v>
      </c>
      <c r="BI518" s="1894">
        <v>7929</v>
      </c>
      <c r="BJ518" s="1894">
        <f t="shared" si="197"/>
        <v>26677</v>
      </c>
      <c r="BK518" s="1894">
        <f t="shared" si="198"/>
        <v>0</v>
      </c>
      <c r="BL518" s="1894">
        <v>400</v>
      </c>
      <c r="BM518" s="1894">
        <v>169.92000000000002</v>
      </c>
      <c r="BN518" s="1894">
        <v>400</v>
      </c>
      <c r="BO518" s="1894">
        <v>0.98750000000000004</v>
      </c>
      <c r="BP518" s="1894">
        <v>0</v>
      </c>
      <c r="BQ518" s="1894">
        <v>60273</v>
      </c>
      <c r="BR518" s="1894">
        <f t="shared" si="199"/>
        <v>73405</v>
      </c>
      <c r="BS518" s="1894">
        <f t="shared" si="200"/>
        <v>0</v>
      </c>
      <c r="BT518" s="1894">
        <v>400</v>
      </c>
      <c r="BU518" s="1894">
        <v>170.88</v>
      </c>
      <c r="BV518" s="1894">
        <v>400</v>
      </c>
      <c r="BW518" s="1894">
        <v>0.98670000000000002</v>
      </c>
      <c r="BX518" s="1894">
        <v>0</v>
      </c>
      <c r="BY518" s="1894">
        <v>72942</v>
      </c>
      <c r="BZ518" s="1894">
        <f t="shared" si="201"/>
        <v>76281</v>
      </c>
      <c r="CA518" s="1894">
        <f t="shared" si="202"/>
        <v>0</v>
      </c>
      <c r="CB518" s="1894">
        <v>400</v>
      </c>
      <c r="CC518" s="1894">
        <v>147.36000000000001</v>
      </c>
      <c r="CD518" s="1894">
        <v>400</v>
      </c>
      <c r="CE518" s="1894">
        <v>0.97270000000000001</v>
      </c>
      <c r="CF518" s="1894">
        <v>0</v>
      </c>
      <c r="CG518" s="1894">
        <v>30000</v>
      </c>
      <c r="CH518" s="1894">
        <f t="shared" si="203"/>
        <v>65782</v>
      </c>
      <c r="CI518" s="1894">
        <f t="shared" si="204"/>
        <v>0</v>
      </c>
      <c r="CJ518" s="1894">
        <v>400</v>
      </c>
      <c r="CK518" s="1894">
        <v>158.88</v>
      </c>
      <c r="CL518" s="1894">
        <v>400</v>
      </c>
      <c r="CM518" s="1894">
        <v>0.97250000000000003</v>
      </c>
      <c r="CN518" s="1894">
        <v>0</v>
      </c>
      <c r="CO518" s="1894">
        <v>32733</v>
      </c>
      <c r="CP518" s="1894">
        <f t="shared" si="205"/>
        <v>64060</v>
      </c>
      <c r="CQ518" s="1894">
        <f t="shared" si="206"/>
        <v>0</v>
      </c>
      <c r="CR518" s="1924">
        <v>400</v>
      </c>
      <c r="CS518" s="1924">
        <v>100.80000000000001</v>
      </c>
      <c r="CT518" s="1924">
        <v>400</v>
      </c>
      <c r="CU518" s="1924">
        <v>0.96399999999999997</v>
      </c>
      <c r="CV518" s="1924">
        <v>0</v>
      </c>
      <c r="CW518" s="1924">
        <v>28953</v>
      </c>
      <c r="CX518" s="1894">
        <f t="shared" si="207"/>
        <v>44997</v>
      </c>
      <c r="CY518" s="1894">
        <f t="shared" si="208"/>
        <v>0</v>
      </c>
    </row>
    <row r="519" spans="1:103">
      <c r="A519" s="982">
        <v>611000000099</v>
      </c>
      <c r="B519" s="1923">
        <f t="shared" si="209"/>
        <v>513</v>
      </c>
      <c r="C519" s="1895" t="s">
        <v>3391</v>
      </c>
      <c r="D519" s="1894" t="s">
        <v>524</v>
      </c>
      <c r="E519" s="1895" t="s">
        <v>3392</v>
      </c>
      <c r="F519" s="1894" t="s">
        <v>259</v>
      </c>
      <c r="G519" s="1924">
        <v>400</v>
      </c>
      <c r="H519" s="1894">
        <v>400</v>
      </c>
      <c r="I519" s="1894">
        <v>134.4</v>
      </c>
      <c r="J519" s="1894">
        <v>320</v>
      </c>
      <c r="K519" s="1894">
        <v>0.9506</v>
      </c>
      <c r="L519" s="1894">
        <v>25.63</v>
      </c>
      <c r="M519" s="1894">
        <v>24804</v>
      </c>
      <c r="N519" s="1894">
        <f t="shared" ref="N519:N582" si="214">+ROUND((24*30*0.6*I519),0)</f>
        <v>58061</v>
      </c>
      <c r="O519" s="1894">
        <f t="shared" ref="O519:O582" si="215">+MAX((M519-N519),0)</f>
        <v>0</v>
      </c>
      <c r="P519" s="1894">
        <v>400</v>
      </c>
      <c r="Q519" s="1894">
        <v>176.16000000000003</v>
      </c>
      <c r="R519" s="1894">
        <v>320</v>
      </c>
      <c r="S519" s="1894">
        <v>0.94779999999999998</v>
      </c>
      <c r="T519" s="1894">
        <v>20.190000000000001</v>
      </c>
      <c r="U519" s="1894">
        <v>26466</v>
      </c>
      <c r="V519" s="1894">
        <f t="shared" ref="V519:V582" si="216">+ROUND((24*31*0.6*Q519),0)</f>
        <v>78638</v>
      </c>
      <c r="W519" s="1894">
        <f t="shared" ref="W519:W582" si="217">+MAX((U519-V519),0)</f>
        <v>0</v>
      </c>
      <c r="X519" s="1894">
        <v>400</v>
      </c>
      <c r="Y519" s="1894">
        <v>202.07999999999998</v>
      </c>
      <c r="Z519" s="1894">
        <v>320</v>
      </c>
      <c r="AA519" s="1894">
        <v>0.94310000000000005</v>
      </c>
      <c r="AB519" s="1894">
        <v>23.96</v>
      </c>
      <c r="AC519" s="1894">
        <v>34854</v>
      </c>
      <c r="AD519" s="1894">
        <f t="shared" ref="AD519:AD582" si="218">+ROUND((24*30*0.6*Y519),0)</f>
        <v>87299</v>
      </c>
      <c r="AE519" s="1894">
        <f t="shared" ref="AE519:AE582" si="219">+MAX((AC519-AD519),0)</f>
        <v>0</v>
      </c>
      <c r="AF519" s="1894">
        <v>400</v>
      </c>
      <c r="AG519" s="1894">
        <v>213.6</v>
      </c>
      <c r="AH519" s="1894">
        <v>320</v>
      </c>
      <c r="AI519" s="1894">
        <v>0.93779999999999997</v>
      </c>
      <c r="AJ519" s="1894">
        <v>23.5</v>
      </c>
      <c r="AK519" s="1894">
        <v>37344</v>
      </c>
      <c r="AL519" s="1894">
        <f t="shared" si="212"/>
        <v>95351</v>
      </c>
      <c r="AM519" s="1894">
        <f t="shared" si="213"/>
        <v>0</v>
      </c>
      <c r="AN519" s="1894">
        <v>400</v>
      </c>
      <c r="AO519" s="1894">
        <v>114</v>
      </c>
      <c r="AP519" s="1894">
        <v>320</v>
      </c>
      <c r="AQ519" s="1894">
        <v>0.94069999999999998</v>
      </c>
      <c r="AR519" s="1894">
        <v>24.99</v>
      </c>
      <c r="AS519" s="1894">
        <v>42042</v>
      </c>
      <c r="AT519" s="1894">
        <f t="shared" ref="AT519:AT582" si="220">+ROUND((24*31*0.6*AO519),0)</f>
        <v>50890</v>
      </c>
      <c r="AU519" s="1894">
        <f t="shared" ref="AU519:AU582" si="221">+MAX((AS519-AT519),0)</f>
        <v>0</v>
      </c>
      <c r="AV519" s="1894">
        <v>400</v>
      </c>
      <c r="AW519" s="1894">
        <v>245.04</v>
      </c>
      <c r="AX519" s="1894">
        <v>320</v>
      </c>
      <c r="AY519" s="1894">
        <v>0.9254</v>
      </c>
      <c r="AZ519" s="1894">
        <v>25.35</v>
      </c>
      <c r="BA519" s="1894">
        <v>44721</v>
      </c>
      <c r="BB519" s="1894">
        <f t="shared" ref="BB519:BB582" si="222">+ROUND((24*30*0.6*AW519),0)</f>
        <v>105857</v>
      </c>
      <c r="BC519" s="1894">
        <f t="shared" ref="BC519:BC582" si="223">+MAX((BA519-BB519),0)</f>
        <v>0</v>
      </c>
      <c r="BD519" s="1894">
        <v>400</v>
      </c>
      <c r="BE519" s="1894">
        <v>222.71999999999997</v>
      </c>
      <c r="BF519" s="1894">
        <v>320</v>
      </c>
      <c r="BG519" s="1894">
        <v>0.93269999999999997</v>
      </c>
      <c r="BH519" s="1894">
        <v>19.72</v>
      </c>
      <c r="BI519" s="1894">
        <v>32685</v>
      </c>
      <c r="BJ519" s="1894">
        <f t="shared" ref="BJ519:BJ582" si="224">+ROUND((24*31*0.6*BE519),0)</f>
        <v>99422</v>
      </c>
      <c r="BK519" s="1894">
        <f t="shared" ref="BK519:BK582" si="225">+MAX((BI519-BJ519),0)</f>
        <v>0</v>
      </c>
      <c r="BL519" s="1894">
        <v>400</v>
      </c>
      <c r="BM519" s="1894">
        <v>178.55999999999997</v>
      </c>
      <c r="BN519" s="1894">
        <v>320</v>
      </c>
      <c r="BO519" s="1894">
        <v>0.94410000000000005</v>
      </c>
      <c r="BP519" s="1894">
        <v>23.4</v>
      </c>
      <c r="BQ519" s="1894">
        <v>30084</v>
      </c>
      <c r="BR519" s="1894">
        <f t="shared" ref="BR519:BR582" si="226">+ROUND((24*30*0.6*BM519),0)</f>
        <v>77138</v>
      </c>
      <c r="BS519" s="1894">
        <f t="shared" ref="BS519:BS582" si="227">+MAX((BQ519-BR519),0)</f>
        <v>0</v>
      </c>
      <c r="BT519" s="1894">
        <v>400</v>
      </c>
      <c r="BU519" s="1894">
        <v>167.76000000000002</v>
      </c>
      <c r="BV519" s="1894">
        <v>320</v>
      </c>
      <c r="BW519" s="1894">
        <v>0.95860000000000001</v>
      </c>
      <c r="BX519" s="1894">
        <v>17.149999999999999</v>
      </c>
      <c r="BY519" s="1894">
        <v>21411</v>
      </c>
      <c r="BZ519" s="1894">
        <f t="shared" ref="BZ519:BZ582" si="228">+ROUND((24*31*0.6*BU519),0)</f>
        <v>74888</v>
      </c>
      <c r="CA519" s="1894">
        <f t="shared" ref="CA519:CA582" si="229">+MAX((BY519-BZ519),0)</f>
        <v>0</v>
      </c>
      <c r="CB519" s="1894">
        <v>400</v>
      </c>
      <c r="CC519" s="1894">
        <v>174</v>
      </c>
      <c r="CD519" s="1894">
        <v>320</v>
      </c>
      <c r="CE519" s="1894">
        <v>0.96789999999999998</v>
      </c>
      <c r="CF519" s="1894">
        <v>16.12</v>
      </c>
      <c r="CG519" s="1894">
        <v>20868</v>
      </c>
      <c r="CH519" s="1894">
        <f t="shared" ref="CH519:CH582" si="230">+ROUND((24*31*0.6*CC519),0)</f>
        <v>77674</v>
      </c>
      <c r="CI519" s="1894">
        <f t="shared" ref="CI519:CI582" si="231">+MAX((CG519-CH519),0)</f>
        <v>0</v>
      </c>
      <c r="CJ519" s="1894">
        <v>400</v>
      </c>
      <c r="CK519" s="1894">
        <v>91.92</v>
      </c>
      <c r="CL519" s="1894">
        <v>320</v>
      </c>
      <c r="CM519" s="1894">
        <v>0.9758</v>
      </c>
      <c r="CN519" s="1894">
        <v>28.55</v>
      </c>
      <c r="CO519" s="1894">
        <v>17634</v>
      </c>
      <c r="CP519" s="1894">
        <f t="shared" ref="CP519:CP582" si="232">+ROUND((24*28*0.6*CK519),0)</f>
        <v>37062</v>
      </c>
      <c r="CQ519" s="1894">
        <f t="shared" ref="CQ519:CQ582" si="233">+MAX((CO519-CP519),0)</f>
        <v>0</v>
      </c>
      <c r="CR519" s="1924">
        <v>400</v>
      </c>
      <c r="CS519" s="1924">
        <v>100.56</v>
      </c>
      <c r="CT519" s="1924">
        <v>320</v>
      </c>
      <c r="CU519" s="1924">
        <v>0.98409999999999997</v>
      </c>
      <c r="CV519" s="1924">
        <v>18.23</v>
      </c>
      <c r="CW519" s="1924">
        <v>13638</v>
      </c>
      <c r="CX519" s="1894">
        <f t="shared" ref="CX519:CX582" si="234">+ROUND((24*31*0.6*CS519),0)</f>
        <v>44890</v>
      </c>
      <c r="CY519" s="1894">
        <f t="shared" ref="CY519:CY582" si="235">+MAX((CW519-CX519),0)</f>
        <v>0</v>
      </c>
    </row>
    <row r="520" spans="1:103">
      <c r="A520" s="982">
        <v>622000000169</v>
      </c>
      <c r="B520" s="1923">
        <f t="shared" ref="B520:B583" si="236">+B519+1</f>
        <v>514</v>
      </c>
      <c r="C520" s="1895" t="s">
        <v>3393</v>
      </c>
      <c r="D520" s="1894" t="s">
        <v>524</v>
      </c>
      <c r="E520" s="1895" t="s">
        <v>541</v>
      </c>
      <c r="F520" s="1894" t="s">
        <v>259</v>
      </c>
      <c r="G520" s="1924">
        <v>400</v>
      </c>
      <c r="H520" s="1894">
        <v>167</v>
      </c>
      <c r="I520" s="1894">
        <v>206</v>
      </c>
      <c r="J520" s="1894">
        <v>206</v>
      </c>
      <c r="K520" s="1894">
        <v>0.92269999999999996</v>
      </c>
      <c r="L520" s="1894">
        <v>22.59</v>
      </c>
      <c r="M520" s="1894">
        <v>37978</v>
      </c>
      <c r="N520" s="1894">
        <f t="shared" si="214"/>
        <v>88992</v>
      </c>
      <c r="O520" s="1894">
        <f t="shared" si="215"/>
        <v>0</v>
      </c>
      <c r="P520" s="1894">
        <v>400</v>
      </c>
      <c r="Q520" s="1894">
        <v>756</v>
      </c>
      <c r="R520" s="1894">
        <v>320</v>
      </c>
      <c r="S520" s="1894">
        <v>0.89949999999999997</v>
      </c>
      <c r="T520" s="1894">
        <v>14.65</v>
      </c>
      <c r="U520" s="1894">
        <v>29249</v>
      </c>
      <c r="V520" s="1894">
        <f t="shared" si="216"/>
        <v>337478</v>
      </c>
      <c r="W520" s="1894">
        <f t="shared" si="217"/>
        <v>0</v>
      </c>
      <c r="X520" s="1894">
        <v>400</v>
      </c>
      <c r="Y520" s="1894">
        <v>258.24</v>
      </c>
      <c r="Z520" s="1894">
        <v>320</v>
      </c>
      <c r="AA520" s="1894">
        <v>0.8165</v>
      </c>
      <c r="AB520" s="1894">
        <v>19.25</v>
      </c>
      <c r="AC520" s="1894">
        <v>35793</v>
      </c>
      <c r="AD520" s="1894">
        <f t="shared" si="218"/>
        <v>111560</v>
      </c>
      <c r="AE520" s="1894">
        <f t="shared" si="219"/>
        <v>0</v>
      </c>
      <c r="AF520" s="1894">
        <v>400</v>
      </c>
      <c r="AG520" s="1894">
        <v>242.4</v>
      </c>
      <c r="AH520" s="1894">
        <v>320</v>
      </c>
      <c r="AI520" s="1894">
        <v>0.77629999999999999</v>
      </c>
      <c r="AJ520" s="1894">
        <v>17.329999999999998</v>
      </c>
      <c r="AK520" s="1894">
        <v>31254</v>
      </c>
      <c r="AL520" s="1894">
        <f t="shared" si="212"/>
        <v>108207</v>
      </c>
      <c r="AM520" s="1894">
        <f t="shared" si="213"/>
        <v>0</v>
      </c>
      <c r="AN520" s="1894">
        <v>400</v>
      </c>
      <c r="AO520" s="1894">
        <v>266.88</v>
      </c>
      <c r="AP520" s="1894">
        <v>320</v>
      </c>
      <c r="AQ520" s="1894">
        <v>0.77580000000000005</v>
      </c>
      <c r="AR520" s="1894">
        <v>8.3000000000000007</v>
      </c>
      <c r="AS520" s="1894">
        <v>16479</v>
      </c>
      <c r="AT520" s="1894">
        <f t="shared" si="220"/>
        <v>119135</v>
      </c>
      <c r="AU520" s="1894">
        <f t="shared" si="221"/>
        <v>0</v>
      </c>
      <c r="AV520" s="1894">
        <v>400</v>
      </c>
      <c r="AW520" s="1894">
        <v>280.56</v>
      </c>
      <c r="AX520" s="1894">
        <v>320</v>
      </c>
      <c r="AY520" s="1894">
        <v>0.79330000000000001</v>
      </c>
      <c r="AZ520" s="1894">
        <v>12.68</v>
      </c>
      <c r="BA520" s="1894">
        <v>25620</v>
      </c>
      <c r="BB520" s="1894">
        <f t="shared" si="222"/>
        <v>121202</v>
      </c>
      <c r="BC520" s="1894">
        <f t="shared" si="223"/>
        <v>0</v>
      </c>
      <c r="BD520" s="1894">
        <v>400</v>
      </c>
      <c r="BE520" s="1894">
        <v>319.92</v>
      </c>
      <c r="BF520" s="1894">
        <v>320</v>
      </c>
      <c r="BG520" s="1894">
        <v>0.73540000000000005</v>
      </c>
      <c r="BH520" s="1894">
        <v>17.22</v>
      </c>
      <c r="BI520" s="1894">
        <v>40992</v>
      </c>
      <c r="BJ520" s="1894">
        <f t="shared" si="224"/>
        <v>142812</v>
      </c>
      <c r="BK520" s="1894">
        <f t="shared" si="225"/>
        <v>0</v>
      </c>
      <c r="BL520" s="1894">
        <v>400</v>
      </c>
      <c r="BM520" s="1894">
        <v>402.24</v>
      </c>
      <c r="BN520" s="1894">
        <v>402.24</v>
      </c>
      <c r="BO520" s="1894">
        <v>0.71630000000000005</v>
      </c>
      <c r="BP520" s="1894">
        <v>18.760000000000002</v>
      </c>
      <c r="BQ520" s="1894">
        <v>54324</v>
      </c>
      <c r="BR520" s="1894">
        <f t="shared" si="226"/>
        <v>173768</v>
      </c>
      <c r="BS520" s="1894">
        <f t="shared" si="227"/>
        <v>0</v>
      </c>
      <c r="BT520" s="1894">
        <v>400</v>
      </c>
      <c r="BU520" s="1894">
        <v>358.32</v>
      </c>
      <c r="BV520" s="1894">
        <v>358.32</v>
      </c>
      <c r="BW520" s="1894">
        <v>0.71960000000000002</v>
      </c>
      <c r="BX520" s="1894">
        <v>22.43</v>
      </c>
      <c r="BY520" s="1894">
        <v>59784</v>
      </c>
      <c r="BZ520" s="1894">
        <f t="shared" si="228"/>
        <v>159954</v>
      </c>
      <c r="CA520" s="1894">
        <f t="shared" si="229"/>
        <v>0</v>
      </c>
      <c r="CB520" s="1894">
        <v>400</v>
      </c>
      <c r="CC520" s="1894">
        <v>384.48</v>
      </c>
      <c r="CD520" s="1894">
        <v>384.48</v>
      </c>
      <c r="CE520" s="1894">
        <v>0.69799999999999995</v>
      </c>
      <c r="CF520" s="1894">
        <v>20.2</v>
      </c>
      <c r="CG520" s="1894">
        <v>57795</v>
      </c>
      <c r="CH520" s="1894">
        <f t="shared" si="230"/>
        <v>171632</v>
      </c>
      <c r="CI520" s="1894">
        <f t="shared" si="231"/>
        <v>0</v>
      </c>
      <c r="CJ520" s="1894">
        <v>400</v>
      </c>
      <c r="CK520" s="1894">
        <v>327.12</v>
      </c>
      <c r="CL520" s="1894">
        <v>327.12</v>
      </c>
      <c r="CM520" s="1894">
        <v>0.69969999999999999</v>
      </c>
      <c r="CN520" s="1894">
        <v>25.12</v>
      </c>
      <c r="CO520" s="1894">
        <v>55218</v>
      </c>
      <c r="CP520" s="1894">
        <f t="shared" si="232"/>
        <v>131895</v>
      </c>
      <c r="CQ520" s="1894">
        <f t="shared" si="233"/>
        <v>0</v>
      </c>
      <c r="CR520" s="1924">
        <v>400</v>
      </c>
      <c r="CS520" s="1924">
        <v>327.84</v>
      </c>
      <c r="CT520" s="1924">
        <v>327.84</v>
      </c>
      <c r="CU520" s="1924">
        <v>0.71360000000000001</v>
      </c>
      <c r="CV520" s="1924">
        <v>23.51</v>
      </c>
      <c r="CW520" s="1924">
        <v>57345</v>
      </c>
      <c r="CX520" s="1894">
        <f t="shared" si="234"/>
        <v>146348</v>
      </c>
      <c r="CY520" s="1894">
        <f t="shared" si="235"/>
        <v>0</v>
      </c>
    </row>
    <row r="521" spans="1:103">
      <c r="A521" s="982">
        <v>122000000085</v>
      </c>
      <c r="B521" s="1923">
        <f t="shared" si="236"/>
        <v>515</v>
      </c>
      <c r="C521" s="1895" t="s">
        <v>3504</v>
      </c>
      <c r="D521" s="1894" t="s">
        <v>2930</v>
      </c>
      <c r="E521" s="1895" t="s">
        <v>629</v>
      </c>
      <c r="F521" s="1894" t="s">
        <v>259</v>
      </c>
      <c r="G521" s="1894">
        <v>403</v>
      </c>
      <c r="H521" s="1894">
        <v>403</v>
      </c>
      <c r="I521" s="1894">
        <v>48.6</v>
      </c>
      <c r="J521" s="1894">
        <v>403</v>
      </c>
      <c r="K521" s="1894">
        <v>0.99860000000000004</v>
      </c>
      <c r="L521" s="1894">
        <v>0</v>
      </c>
      <c r="M521" s="1925">
        <v>12891</v>
      </c>
      <c r="N521" s="1894">
        <f t="shared" si="214"/>
        <v>20995</v>
      </c>
      <c r="O521" s="1894">
        <f t="shared" si="215"/>
        <v>0</v>
      </c>
      <c r="P521" s="1894">
        <v>403</v>
      </c>
      <c r="Q521" s="1894">
        <v>93</v>
      </c>
      <c r="R521" s="1894">
        <v>403</v>
      </c>
      <c r="S521" s="1894">
        <v>0.99970000000000003</v>
      </c>
      <c r="T521" s="1894">
        <v>0</v>
      </c>
      <c r="U521" s="1894">
        <v>12360</v>
      </c>
      <c r="V521" s="1894">
        <f t="shared" si="216"/>
        <v>41515</v>
      </c>
      <c r="W521" s="1894">
        <f t="shared" si="217"/>
        <v>0</v>
      </c>
      <c r="X521" s="1894">
        <v>403</v>
      </c>
      <c r="Y521" s="1894">
        <v>81.11999999999999</v>
      </c>
      <c r="Z521" s="1894">
        <v>403</v>
      </c>
      <c r="AA521" s="1894">
        <v>0.99970000000000003</v>
      </c>
      <c r="AB521" s="1894">
        <v>0</v>
      </c>
      <c r="AC521" s="1894">
        <v>11352</v>
      </c>
      <c r="AD521" s="1894">
        <f t="shared" si="218"/>
        <v>35044</v>
      </c>
      <c r="AE521" s="1894">
        <f t="shared" si="219"/>
        <v>0</v>
      </c>
      <c r="AF521" s="1894">
        <v>403</v>
      </c>
      <c r="AG521" s="1894">
        <v>26.88</v>
      </c>
      <c r="AH521" s="1894">
        <v>403</v>
      </c>
      <c r="AI521" s="1894">
        <v>0.99919999999999998</v>
      </c>
      <c r="AJ521" s="1894">
        <v>0</v>
      </c>
      <c r="AK521" s="1894">
        <v>11475</v>
      </c>
      <c r="AL521" s="1894">
        <v>11999</v>
      </c>
      <c r="AM521" s="1894">
        <v>0</v>
      </c>
      <c r="AN521" s="1894">
        <v>403</v>
      </c>
      <c r="AO521" s="1894">
        <v>17.52</v>
      </c>
      <c r="AP521" s="1894">
        <v>403</v>
      </c>
      <c r="AQ521" s="1894">
        <v>0.99909999999999999</v>
      </c>
      <c r="AR521" s="1894">
        <v>0</v>
      </c>
      <c r="AS521" s="1894">
        <v>11055</v>
      </c>
      <c r="AT521" s="1894">
        <f t="shared" si="220"/>
        <v>7821</v>
      </c>
      <c r="AU521" s="1894">
        <f t="shared" si="221"/>
        <v>3234</v>
      </c>
      <c r="AV521" s="1894">
        <v>403</v>
      </c>
      <c r="AW521" s="1894">
        <v>65.760000000000005</v>
      </c>
      <c r="AX521" s="1894">
        <v>403</v>
      </c>
      <c r="AY521" s="1894">
        <v>0.99939999999999996</v>
      </c>
      <c r="AZ521" s="1894">
        <v>0</v>
      </c>
      <c r="BA521" s="1894">
        <v>11214</v>
      </c>
      <c r="BB521" s="1894">
        <f t="shared" si="222"/>
        <v>28408</v>
      </c>
      <c r="BC521" s="1894">
        <f t="shared" si="223"/>
        <v>0</v>
      </c>
      <c r="BD521" s="1894">
        <v>403</v>
      </c>
      <c r="BE521" s="1894">
        <v>0</v>
      </c>
      <c r="BF521" s="1894">
        <v>403</v>
      </c>
      <c r="BG521" s="1894">
        <v>0.99960000000000004</v>
      </c>
      <c r="BH521" s="1894">
        <v>0</v>
      </c>
      <c r="BI521" s="1894">
        <v>8490</v>
      </c>
      <c r="BJ521" s="1894">
        <f t="shared" si="224"/>
        <v>0</v>
      </c>
      <c r="BK521" s="1894">
        <f t="shared" si="225"/>
        <v>8490</v>
      </c>
      <c r="BL521" s="1894">
        <v>403</v>
      </c>
      <c r="BM521" s="1894">
        <v>42.72</v>
      </c>
      <c r="BN521" s="1894">
        <v>403</v>
      </c>
      <c r="BO521" s="1894">
        <v>0.99880000000000002</v>
      </c>
      <c r="BP521" s="1894">
        <v>0</v>
      </c>
      <c r="BQ521" s="1894">
        <v>7569</v>
      </c>
      <c r="BR521" s="1894">
        <f t="shared" si="226"/>
        <v>18455</v>
      </c>
      <c r="BS521" s="1894">
        <f t="shared" si="227"/>
        <v>0</v>
      </c>
      <c r="BT521" s="1894">
        <v>403</v>
      </c>
      <c r="BU521" s="1894">
        <v>0</v>
      </c>
      <c r="BV521" s="1894">
        <v>0</v>
      </c>
      <c r="BW521" s="1894">
        <v>0</v>
      </c>
      <c r="BX521" s="1894">
        <v>0</v>
      </c>
      <c r="BY521" s="1894">
        <v>0</v>
      </c>
      <c r="BZ521" s="1894">
        <f t="shared" si="228"/>
        <v>0</v>
      </c>
      <c r="CA521" s="1894">
        <f t="shared" si="229"/>
        <v>0</v>
      </c>
      <c r="CB521" s="1894">
        <v>403</v>
      </c>
      <c r="CC521" s="1894">
        <v>0</v>
      </c>
      <c r="CD521" s="1894">
        <v>0</v>
      </c>
      <c r="CE521" s="1894">
        <v>0</v>
      </c>
      <c r="CF521" s="1894">
        <v>0</v>
      </c>
      <c r="CG521" s="1894">
        <v>0</v>
      </c>
      <c r="CH521" s="1894">
        <f t="shared" si="230"/>
        <v>0</v>
      </c>
      <c r="CI521" s="1894">
        <f t="shared" si="231"/>
        <v>0</v>
      </c>
      <c r="CJ521" s="1894">
        <v>0</v>
      </c>
      <c r="CK521" s="1894">
        <v>0</v>
      </c>
      <c r="CL521" s="1894">
        <v>0</v>
      </c>
      <c r="CM521" s="1894">
        <v>0</v>
      </c>
      <c r="CN521" s="1894">
        <v>0</v>
      </c>
      <c r="CO521" s="1894">
        <v>0</v>
      </c>
      <c r="CP521" s="1894">
        <f t="shared" si="232"/>
        <v>0</v>
      </c>
      <c r="CQ521" s="1894">
        <f t="shared" si="233"/>
        <v>0</v>
      </c>
      <c r="CR521" s="1894">
        <v>0</v>
      </c>
      <c r="CS521" s="1894">
        <v>0</v>
      </c>
      <c r="CT521" s="1894">
        <v>0</v>
      </c>
      <c r="CU521" s="1894">
        <v>0</v>
      </c>
      <c r="CV521" s="1894">
        <v>0</v>
      </c>
      <c r="CW521" s="1894">
        <v>0</v>
      </c>
      <c r="CX521" s="1894">
        <f t="shared" si="234"/>
        <v>0</v>
      </c>
      <c r="CY521" s="1894">
        <f t="shared" si="235"/>
        <v>0</v>
      </c>
    </row>
    <row r="522" spans="1:103">
      <c r="A522" s="982">
        <v>122000000096</v>
      </c>
      <c r="B522" s="1923">
        <f t="shared" si="236"/>
        <v>516</v>
      </c>
      <c r="C522" s="1895" t="s">
        <v>3394</v>
      </c>
      <c r="D522" s="1894" t="s">
        <v>524</v>
      </c>
      <c r="E522" s="1895" t="s">
        <v>737</v>
      </c>
      <c r="F522" s="1894" t="s">
        <v>259</v>
      </c>
      <c r="G522" s="1924">
        <v>406</v>
      </c>
      <c r="H522" s="1894">
        <v>406</v>
      </c>
      <c r="I522" s="1894">
        <v>283.20000000000005</v>
      </c>
      <c r="J522" s="1894">
        <v>324.8</v>
      </c>
      <c r="K522" s="1894">
        <v>0.99319999999999997</v>
      </c>
      <c r="L522" s="1894">
        <v>5.67</v>
      </c>
      <c r="M522" s="1894">
        <v>11552</v>
      </c>
      <c r="N522" s="1894">
        <f t="shared" si="214"/>
        <v>122342</v>
      </c>
      <c r="O522" s="1894">
        <f t="shared" si="215"/>
        <v>0</v>
      </c>
      <c r="P522" s="1894">
        <v>406</v>
      </c>
      <c r="Q522" s="1894">
        <v>273.60000000000002</v>
      </c>
      <c r="R522" s="1894">
        <v>324.8</v>
      </c>
      <c r="S522" s="1894">
        <v>0.99770000000000003</v>
      </c>
      <c r="T522" s="1894">
        <v>4.6500000000000004</v>
      </c>
      <c r="U522" s="1894">
        <v>9461</v>
      </c>
      <c r="V522" s="1894">
        <f t="shared" si="216"/>
        <v>122135</v>
      </c>
      <c r="W522" s="1894">
        <f t="shared" si="217"/>
        <v>0</v>
      </c>
      <c r="X522" s="1894">
        <v>406</v>
      </c>
      <c r="Y522" s="1894">
        <v>170.39999999999998</v>
      </c>
      <c r="Z522" s="1894">
        <v>324.8</v>
      </c>
      <c r="AA522" s="1894">
        <v>0.998</v>
      </c>
      <c r="AB522" s="1894">
        <v>8.14</v>
      </c>
      <c r="AC522" s="1894">
        <v>9984</v>
      </c>
      <c r="AD522" s="1894">
        <f t="shared" si="218"/>
        <v>73613</v>
      </c>
      <c r="AE522" s="1894">
        <f t="shared" si="219"/>
        <v>0</v>
      </c>
      <c r="AF522" s="1894">
        <v>406</v>
      </c>
      <c r="AG522" s="1894">
        <v>55.199999999999996</v>
      </c>
      <c r="AH522" s="1894">
        <v>324.8</v>
      </c>
      <c r="AI522" s="1894">
        <v>0.999</v>
      </c>
      <c r="AJ522" s="1894">
        <v>23.25</v>
      </c>
      <c r="AK522" s="1894">
        <v>9548</v>
      </c>
      <c r="AL522" s="1894">
        <f>+ROUND((24*31*0.6*AG522),0)</f>
        <v>24641</v>
      </c>
      <c r="AM522" s="1894">
        <f>+MAX((AK522-AL522),0)</f>
        <v>0</v>
      </c>
      <c r="AN522" s="1894">
        <v>406</v>
      </c>
      <c r="AO522" s="1894">
        <v>58.800000000000004</v>
      </c>
      <c r="AP522" s="1894">
        <v>324.8</v>
      </c>
      <c r="AQ522" s="1894">
        <v>0.99870000000000003</v>
      </c>
      <c r="AR522" s="1894">
        <v>21.57</v>
      </c>
      <c r="AS522" s="1894">
        <v>9133</v>
      </c>
      <c r="AT522" s="1894">
        <f t="shared" si="220"/>
        <v>26248</v>
      </c>
      <c r="AU522" s="1894">
        <f t="shared" si="221"/>
        <v>0</v>
      </c>
      <c r="AV522" s="1894">
        <v>406</v>
      </c>
      <c r="AW522" s="1894">
        <v>57.599999999999994</v>
      </c>
      <c r="AX522" s="1894">
        <v>324.8</v>
      </c>
      <c r="AY522" s="1894">
        <v>0.999</v>
      </c>
      <c r="AZ522" s="1894">
        <v>28.49</v>
      </c>
      <c r="BA522" s="1894">
        <v>12209</v>
      </c>
      <c r="BB522" s="1894">
        <f t="shared" si="222"/>
        <v>24883</v>
      </c>
      <c r="BC522" s="1894">
        <f t="shared" si="223"/>
        <v>0</v>
      </c>
      <c r="BD522" s="1894">
        <v>406</v>
      </c>
      <c r="BE522" s="1894">
        <v>38.400000000000006</v>
      </c>
      <c r="BF522" s="1894">
        <v>324.8</v>
      </c>
      <c r="BG522" s="1894">
        <v>0.99880000000000002</v>
      </c>
      <c r="BH522" s="1894">
        <v>41.4</v>
      </c>
      <c r="BI522" s="1894">
        <v>11828</v>
      </c>
      <c r="BJ522" s="1894">
        <f t="shared" si="224"/>
        <v>17142</v>
      </c>
      <c r="BK522" s="1894">
        <f t="shared" si="225"/>
        <v>0</v>
      </c>
      <c r="BL522" s="1894">
        <v>406</v>
      </c>
      <c r="BM522" s="1894">
        <v>30</v>
      </c>
      <c r="BN522" s="1894">
        <v>324.8</v>
      </c>
      <c r="BO522" s="1894">
        <v>0.99919999999999998</v>
      </c>
      <c r="BP522" s="1894">
        <v>44.79</v>
      </c>
      <c r="BQ522" s="1894">
        <v>9675</v>
      </c>
      <c r="BR522" s="1894">
        <f t="shared" si="226"/>
        <v>12960</v>
      </c>
      <c r="BS522" s="1894">
        <f t="shared" si="227"/>
        <v>0</v>
      </c>
      <c r="BT522" s="1894">
        <v>406</v>
      </c>
      <c r="BU522" s="1894">
        <v>28.32</v>
      </c>
      <c r="BV522" s="1894">
        <v>324.8</v>
      </c>
      <c r="BW522" s="1894">
        <v>0.99880000000000002</v>
      </c>
      <c r="BX522" s="1894">
        <v>44.26</v>
      </c>
      <c r="BY522" s="1894">
        <v>10668</v>
      </c>
      <c r="BZ522" s="1894">
        <f t="shared" si="228"/>
        <v>12642</v>
      </c>
      <c r="CA522" s="1894">
        <f t="shared" si="229"/>
        <v>0</v>
      </c>
      <c r="CB522" s="1894">
        <v>406</v>
      </c>
      <c r="CC522" s="1894">
        <v>29.759999999999998</v>
      </c>
      <c r="CD522" s="1894">
        <v>324.8</v>
      </c>
      <c r="CE522" s="1894">
        <v>1</v>
      </c>
      <c r="CF522" s="1894">
        <v>47.71</v>
      </c>
      <c r="CG522" s="1894">
        <v>10563</v>
      </c>
      <c r="CH522" s="1894">
        <f t="shared" si="230"/>
        <v>13285</v>
      </c>
      <c r="CI522" s="1894">
        <f t="shared" si="231"/>
        <v>0</v>
      </c>
      <c r="CJ522" s="1894">
        <v>406</v>
      </c>
      <c r="CK522" s="1894">
        <v>31.919999999999998</v>
      </c>
      <c r="CL522" s="1894">
        <v>324.8</v>
      </c>
      <c r="CM522" s="1894">
        <v>0.99870000000000003</v>
      </c>
      <c r="CN522" s="1894">
        <v>45.93</v>
      </c>
      <c r="CO522" s="1894">
        <v>9852</v>
      </c>
      <c r="CP522" s="1894">
        <f t="shared" si="232"/>
        <v>12870</v>
      </c>
      <c r="CQ522" s="1894">
        <f t="shared" si="233"/>
        <v>0</v>
      </c>
      <c r="CR522" s="1924">
        <v>406</v>
      </c>
      <c r="CS522" s="1924">
        <v>49.44</v>
      </c>
      <c r="CT522" s="1924">
        <v>324.8</v>
      </c>
      <c r="CU522" s="1924">
        <v>0.99890000000000001</v>
      </c>
      <c r="CV522" s="1924">
        <v>31.02</v>
      </c>
      <c r="CW522" s="1924">
        <v>11412</v>
      </c>
      <c r="CX522" s="1894">
        <f t="shared" si="234"/>
        <v>22070</v>
      </c>
      <c r="CY522" s="1894">
        <f t="shared" si="235"/>
        <v>0</v>
      </c>
    </row>
    <row r="523" spans="1:103">
      <c r="A523" s="982">
        <v>123000000096</v>
      </c>
      <c r="B523" s="1923">
        <f t="shared" si="236"/>
        <v>517</v>
      </c>
      <c r="C523" s="1895" t="s">
        <v>3395</v>
      </c>
      <c r="D523" s="1894" t="s">
        <v>524</v>
      </c>
      <c r="E523" s="1895" t="s">
        <v>541</v>
      </c>
      <c r="F523" s="1894" t="s">
        <v>259</v>
      </c>
      <c r="G523" s="1924">
        <v>420</v>
      </c>
      <c r="H523" s="1894">
        <v>420</v>
      </c>
      <c r="I523" s="1894">
        <v>366.59999999999997</v>
      </c>
      <c r="J523" s="1894">
        <v>366.6</v>
      </c>
      <c r="K523" s="1894">
        <v>0.94479999999999997</v>
      </c>
      <c r="L523" s="1894">
        <v>52.61</v>
      </c>
      <c r="M523" s="1894">
        <v>115720</v>
      </c>
      <c r="N523" s="1894">
        <f t="shared" si="214"/>
        <v>158371</v>
      </c>
      <c r="O523" s="1894">
        <f t="shared" si="215"/>
        <v>0</v>
      </c>
      <c r="P523" s="1894">
        <v>420</v>
      </c>
      <c r="Q523" s="1894">
        <v>384.6</v>
      </c>
      <c r="R523" s="1894">
        <v>384.6</v>
      </c>
      <c r="S523" s="1894">
        <v>0.89329999999999998</v>
      </c>
      <c r="T523" s="1894">
        <v>53.61</v>
      </c>
      <c r="U523" s="1894">
        <v>178130</v>
      </c>
      <c r="V523" s="1894">
        <f t="shared" si="216"/>
        <v>171685</v>
      </c>
      <c r="W523" s="1894">
        <f t="shared" si="217"/>
        <v>6445</v>
      </c>
      <c r="X523" s="1894">
        <v>420</v>
      </c>
      <c r="Y523" s="1894">
        <v>401.4</v>
      </c>
      <c r="Z523" s="1894">
        <v>401.4</v>
      </c>
      <c r="AA523" s="1894">
        <v>0.96230000000000004</v>
      </c>
      <c r="AB523" s="1894">
        <v>39.11</v>
      </c>
      <c r="AC523" s="1894">
        <v>113023</v>
      </c>
      <c r="AD523" s="1894">
        <f t="shared" si="218"/>
        <v>173405</v>
      </c>
      <c r="AE523" s="1894">
        <f t="shared" si="219"/>
        <v>0</v>
      </c>
      <c r="AF523" s="1894">
        <v>420</v>
      </c>
      <c r="AG523" s="1894">
        <v>348</v>
      </c>
      <c r="AH523" s="1894">
        <v>348</v>
      </c>
      <c r="AI523" s="1894">
        <v>0.96879999999999999</v>
      </c>
      <c r="AJ523" s="1894">
        <v>55.47</v>
      </c>
      <c r="AK523" s="1894">
        <v>143623</v>
      </c>
      <c r="AL523" s="1894">
        <f>+ROUND((24*31*0.6*AG523),0)</f>
        <v>155347</v>
      </c>
      <c r="AM523" s="1894">
        <f>+MAX((AK523-AL523),0)</f>
        <v>0</v>
      </c>
      <c r="AN523" s="1894">
        <v>420</v>
      </c>
      <c r="AO523" s="1894">
        <v>343</v>
      </c>
      <c r="AP523" s="1894">
        <v>343</v>
      </c>
      <c r="AQ523" s="1894">
        <v>0.95409999999999995</v>
      </c>
      <c r="AR523" s="1894">
        <v>46.92</v>
      </c>
      <c r="AS523" s="1894">
        <v>119743</v>
      </c>
      <c r="AT523" s="1894">
        <f t="shared" si="220"/>
        <v>153115</v>
      </c>
      <c r="AU523" s="1894">
        <f t="shared" si="221"/>
        <v>0</v>
      </c>
      <c r="AV523" s="1894">
        <v>420</v>
      </c>
      <c r="AW523" s="1894">
        <v>359.4</v>
      </c>
      <c r="AX523" s="1894">
        <v>359.4</v>
      </c>
      <c r="AY523" s="1894">
        <v>0.97989999999999999</v>
      </c>
      <c r="AZ523" s="1894">
        <v>32.479999999999997</v>
      </c>
      <c r="BA523" s="1894">
        <v>84045</v>
      </c>
      <c r="BB523" s="1894">
        <f t="shared" si="222"/>
        <v>155261</v>
      </c>
      <c r="BC523" s="1894">
        <f t="shared" si="223"/>
        <v>0</v>
      </c>
      <c r="BD523" s="1894">
        <v>420</v>
      </c>
      <c r="BE523" s="1894">
        <v>325.40000000000003</v>
      </c>
      <c r="BF523" s="1894">
        <v>336</v>
      </c>
      <c r="BG523" s="1894">
        <v>0.96660000000000001</v>
      </c>
      <c r="BH523" s="1894">
        <v>17.100000000000001</v>
      </c>
      <c r="BI523" s="1894">
        <v>41403</v>
      </c>
      <c r="BJ523" s="1894">
        <f t="shared" si="224"/>
        <v>145259</v>
      </c>
      <c r="BK523" s="1894">
        <f t="shared" si="225"/>
        <v>0</v>
      </c>
      <c r="BL523" s="1894">
        <v>420</v>
      </c>
      <c r="BM523" s="1894">
        <v>36.6</v>
      </c>
      <c r="BN523" s="1894">
        <v>336</v>
      </c>
      <c r="BO523" s="1894">
        <v>0.53190000000000004</v>
      </c>
      <c r="BP523" s="1894">
        <v>22.26</v>
      </c>
      <c r="BQ523" s="1894">
        <v>5865</v>
      </c>
      <c r="BR523" s="1894">
        <f t="shared" si="226"/>
        <v>15811</v>
      </c>
      <c r="BS523" s="1894">
        <f t="shared" si="227"/>
        <v>0</v>
      </c>
      <c r="BT523" s="1894">
        <v>420</v>
      </c>
      <c r="BU523" s="1894">
        <v>407</v>
      </c>
      <c r="BV523" s="1894">
        <v>407</v>
      </c>
      <c r="BW523" s="1894">
        <v>0.97360000000000002</v>
      </c>
      <c r="BX523" s="1894">
        <v>25.8</v>
      </c>
      <c r="BY523" s="1894">
        <v>78120</v>
      </c>
      <c r="BZ523" s="1894">
        <f t="shared" si="228"/>
        <v>181685</v>
      </c>
      <c r="CA523" s="1894">
        <f t="shared" si="229"/>
        <v>0</v>
      </c>
      <c r="CB523" s="1894">
        <v>420</v>
      </c>
      <c r="CC523" s="1894">
        <v>414.8</v>
      </c>
      <c r="CD523" s="1894">
        <v>414.8</v>
      </c>
      <c r="CE523" s="1894">
        <v>0.9768</v>
      </c>
      <c r="CF523" s="1894">
        <v>33.64</v>
      </c>
      <c r="CG523" s="1894">
        <v>103822</v>
      </c>
      <c r="CH523" s="1894">
        <f t="shared" si="230"/>
        <v>185167</v>
      </c>
      <c r="CI523" s="1894">
        <f t="shared" si="231"/>
        <v>0</v>
      </c>
      <c r="CJ523" s="1894">
        <v>420</v>
      </c>
      <c r="CK523" s="1894">
        <v>432.40000000000003</v>
      </c>
      <c r="CL523" s="1894">
        <v>432.4</v>
      </c>
      <c r="CM523" s="1894">
        <v>0.97699999999999998</v>
      </c>
      <c r="CN523" s="1894">
        <v>50.9</v>
      </c>
      <c r="CO523" s="1894">
        <v>147915</v>
      </c>
      <c r="CP523" s="1894">
        <f t="shared" si="232"/>
        <v>174344</v>
      </c>
      <c r="CQ523" s="1894">
        <f t="shared" si="233"/>
        <v>0</v>
      </c>
      <c r="CR523" s="1924">
        <v>420</v>
      </c>
      <c r="CS523" s="1924">
        <v>445.6</v>
      </c>
      <c r="CT523" s="1924">
        <v>445.6</v>
      </c>
      <c r="CU523" s="1924">
        <v>0.98</v>
      </c>
      <c r="CV523" s="1924">
        <v>54.07</v>
      </c>
      <c r="CW523" s="1924">
        <v>179263</v>
      </c>
      <c r="CX523" s="1894">
        <f t="shared" si="234"/>
        <v>198916</v>
      </c>
      <c r="CY523" s="1894">
        <f t="shared" si="235"/>
        <v>0</v>
      </c>
    </row>
    <row r="524" spans="1:103">
      <c r="A524" s="982">
        <v>124000000054</v>
      </c>
      <c r="B524" s="1923">
        <f t="shared" si="236"/>
        <v>518</v>
      </c>
      <c r="C524" s="1895" t="s">
        <v>3396</v>
      </c>
      <c r="D524" s="1894" t="s">
        <v>524</v>
      </c>
      <c r="E524" s="1895" t="s">
        <v>541</v>
      </c>
      <c r="F524" s="1894" t="s">
        <v>259</v>
      </c>
      <c r="G524" s="1924">
        <v>420</v>
      </c>
      <c r="H524" s="1894">
        <v>420</v>
      </c>
      <c r="I524" s="1894">
        <v>336</v>
      </c>
      <c r="J524" s="1894">
        <v>336</v>
      </c>
      <c r="K524" s="1894">
        <v>0.99950000000000006</v>
      </c>
      <c r="L524" s="1894">
        <v>76.489999999999995</v>
      </c>
      <c r="M524" s="1894">
        <v>185040</v>
      </c>
      <c r="N524" s="1894">
        <f t="shared" si="214"/>
        <v>145152</v>
      </c>
      <c r="O524" s="1894">
        <f t="shared" si="215"/>
        <v>39888</v>
      </c>
      <c r="P524" s="1894">
        <v>420</v>
      </c>
      <c r="Q524" s="1894">
        <v>360</v>
      </c>
      <c r="R524" s="1894">
        <v>360</v>
      </c>
      <c r="S524" s="1894">
        <v>0.99970000000000003</v>
      </c>
      <c r="T524" s="1894">
        <v>66.150000000000006</v>
      </c>
      <c r="U524" s="1894">
        <v>142880</v>
      </c>
      <c r="V524" s="1894">
        <f t="shared" si="216"/>
        <v>160704</v>
      </c>
      <c r="W524" s="1894">
        <f t="shared" si="217"/>
        <v>0</v>
      </c>
      <c r="X524" s="1894">
        <v>420</v>
      </c>
      <c r="Y524" s="1894">
        <v>315.2</v>
      </c>
      <c r="Z524" s="1894">
        <v>336</v>
      </c>
      <c r="AA524" s="1894">
        <v>0.99919999999999998</v>
      </c>
      <c r="AB524" s="1894">
        <v>70.959999999999994</v>
      </c>
      <c r="AC524" s="1894">
        <v>177140</v>
      </c>
      <c r="AD524" s="1894">
        <f t="shared" si="218"/>
        <v>136166</v>
      </c>
      <c r="AE524" s="1894">
        <f t="shared" si="219"/>
        <v>40974</v>
      </c>
      <c r="AF524" s="1894">
        <v>420</v>
      </c>
      <c r="AG524" s="1894">
        <v>299.20000000000005</v>
      </c>
      <c r="AH524" s="1894">
        <v>336</v>
      </c>
      <c r="AI524" s="1894">
        <v>0.99929999999999997</v>
      </c>
      <c r="AJ524" s="1894">
        <v>79.25</v>
      </c>
      <c r="AK524" s="1894">
        <v>165040</v>
      </c>
      <c r="AL524" s="1894">
        <f>+ROUND((24*31*0.6*AG524),0)</f>
        <v>133563</v>
      </c>
      <c r="AM524" s="1894">
        <f>+MAX((AK524-AL524),0)</f>
        <v>31477</v>
      </c>
      <c r="AN524" s="1894">
        <v>420</v>
      </c>
      <c r="AO524" s="1894">
        <v>315.2</v>
      </c>
      <c r="AP524" s="1894">
        <v>336</v>
      </c>
      <c r="AQ524" s="1894">
        <v>0.99939999999999996</v>
      </c>
      <c r="AR524" s="1894">
        <v>73.77</v>
      </c>
      <c r="AS524" s="1894">
        <v>167420</v>
      </c>
      <c r="AT524" s="1894">
        <f t="shared" si="220"/>
        <v>140705</v>
      </c>
      <c r="AU524" s="1894">
        <f t="shared" si="221"/>
        <v>26715</v>
      </c>
      <c r="AV524" s="1894">
        <v>420</v>
      </c>
      <c r="AW524" s="1894">
        <v>328</v>
      </c>
      <c r="AX524" s="1894">
        <v>336</v>
      </c>
      <c r="AY524" s="1894">
        <v>0.99939999999999996</v>
      </c>
      <c r="AZ524" s="1894">
        <v>76.599999999999994</v>
      </c>
      <c r="BA524" s="1894">
        <v>198980</v>
      </c>
      <c r="BB524" s="1894">
        <f t="shared" si="222"/>
        <v>141696</v>
      </c>
      <c r="BC524" s="1894">
        <f t="shared" si="223"/>
        <v>57284</v>
      </c>
      <c r="BD524" s="1894">
        <v>420</v>
      </c>
      <c r="BE524" s="1894">
        <v>396.8</v>
      </c>
      <c r="BF524" s="1894">
        <v>396.8</v>
      </c>
      <c r="BG524" s="1894">
        <v>0.99770000000000003</v>
      </c>
      <c r="BH524" s="1894">
        <v>67.14</v>
      </c>
      <c r="BI524" s="1894">
        <v>217380</v>
      </c>
      <c r="BJ524" s="1894">
        <f t="shared" si="224"/>
        <v>177132</v>
      </c>
      <c r="BK524" s="1894">
        <f t="shared" si="225"/>
        <v>40248</v>
      </c>
      <c r="BL524" s="1894">
        <v>420</v>
      </c>
      <c r="BM524" s="1894">
        <v>352</v>
      </c>
      <c r="BN524" s="1894">
        <v>352</v>
      </c>
      <c r="BO524" s="1894">
        <v>0.99980000000000002</v>
      </c>
      <c r="BP524" s="1894">
        <v>79.36</v>
      </c>
      <c r="BQ524" s="1894">
        <v>201120</v>
      </c>
      <c r="BR524" s="1894">
        <f t="shared" si="226"/>
        <v>152064</v>
      </c>
      <c r="BS524" s="1894">
        <f t="shared" si="227"/>
        <v>49056</v>
      </c>
      <c r="BT524" s="1894">
        <v>420</v>
      </c>
      <c r="BU524" s="1894">
        <v>339.2</v>
      </c>
      <c r="BV524" s="1894">
        <v>339.2</v>
      </c>
      <c r="BW524" s="1894">
        <v>0.999</v>
      </c>
      <c r="BX524" s="1894">
        <v>74.73</v>
      </c>
      <c r="BY524" s="1894">
        <v>188600</v>
      </c>
      <c r="BZ524" s="1894">
        <f t="shared" si="228"/>
        <v>151419</v>
      </c>
      <c r="CA524" s="1894">
        <f t="shared" si="229"/>
        <v>37181</v>
      </c>
      <c r="CB524" s="1894">
        <v>420</v>
      </c>
      <c r="CC524" s="1894">
        <v>355.2</v>
      </c>
      <c r="CD524" s="1894">
        <v>355.2</v>
      </c>
      <c r="CE524" s="1894">
        <v>0.99950000000000006</v>
      </c>
      <c r="CF524" s="1894">
        <v>63.34</v>
      </c>
      <c r="CG524" s="1894">
        <v>167380</v>
      </c>
      <c r="CH524" s="1894">
        <f t="shared" si="230"/>
        <v>158561</v>
      </c>
      <c r="CI524" s="1894">
        <f t="shared" si="231"/>
        <v>8819</v>
      </c>
      <c r="CJ524" s="1894">
        <v>420</v>
      </c>
      <c r="CK524" s="1894">
        <v>355.2</v>
      </c>
      <c r="CL524" s="1894">
        <v>355.2</v>
      </c>
      <c r="CM524" s="1894">
        <v>0.99939999999999996</v>
      </c>
      <c r="CN524" s="1894">
        <v>71.92</v>
      </c>
      <c r="CO524" s="1894">
        <v>171680</v>
      </c>
      <c r="CP524" s="1894">
        <f t="shared" si="232"/>
        <v>143217</v>
      </c>
      <c r="CQ524" s="1894">
        <f t="shared" si="233"/>
        <v>28463</v>
      </c>
      <c r="CR524" s="1924">
        <v>420</v>
      </c>
      <c r="CS524" s="1924">
        <v>339.2</v>
      </c>
      <c r="CT524" s="1924">
        <v>339.2</v>
      </c>
      <c r="CU524" s="1924">
        <v>0.99939999999999996</v>
      </c>
      <c r="CV524" s="1924">
        <v>60.71</v>
      </c>
      <c r="CW524" s="1924">
        <v>153220</v>
      </c>
      <c r="CX524" s="1894">
        <f t="shared" si="234"/>
        <v>151419</v>
      </c>
      <c r="CY524" s="1894">
        <f t="shared" si="235"/>
        <v>1801</v>
      </c>
    </row>
    <row r="525" spans="1:103">
      <c r="A525" s="982">
        <v>622000000025</v>
      </c>
      <c r="B525" s="1923">
        <f t="shared" si="236"/>
        <v>519</v>
      </c>
      <c r="C525" s="1895" t="s">
        <v>3397</v>
      </c>
      <c r="D525" s="1894" t="s">
        <v>524</v>
      </c>
      <c r="E525" s="1895" t="s">
        <v>636</v>
      </c>
      <c r="F525" s="1894" t="s">
        <v>259</v>
      </c>
      <c r="G525" s="1924">
        <v>422</v>
      </c>
      <c r="H525" s="1894">
        <v>422</v>
      </c>
      <c r="I525" s="1894">
        <v>72</v>
      </c>
      <c r="J525" s="1894">
        <v>337.6</v>
      </c>
      <c r="K525" s="1894">
        <v>0.9365</v>
      </c>
      <c r="L525" s="1894">
        <v>35.049999999999997</v>
      </c>
      <c r="M525" s="1894">
        <v>17565</v>
      </c>
      <c r="N525" s="1894">
        <f t="shared" si="214"/>
        <v>31104</v>
      </c>
      <c r="O525" s="1894">
        <f t="shared" si="215"/>
        <v>0</v>
      </c>
      <c r="P525" s="1894">
        <v>422</v>
      </c>
      <c r="Q525" s="1894">
        <v>84.2</v>
      </c>
      <c r="R525" s="1894">
        <v>337.6</v>
      </c>
      <c r="S525" s="1894">
        <v>0.84019999999999995</v>
      </c>
      <c r="T525" s="1894">
        <v>40.229999999999997</v>
      </c>
      <c r="U525" s="1894">
        <v>26015</v>
      </c>
      <c r="V525" s="1894">
        <f t="shared" si="216"/>
        <v>37587</v>
      </c>
      <c r="W525" s="1894">
        <f t="shared" si="217"/>
        <v>0</v>
      </c>
      <c r="X525" s="1894">
        <v>422</v>
      </c>
      <c r="Y525" s="1894">
        <v>85.6</v>
      </c>
      <c r="Z525" s="1894">
        <v>337.6</v>
      </c>
      <c r="AA525" s="1894">
        <v>0.85499999999999998</v>
      </c>
      <c r="AB525" s="1894">
        <v>35.67</v>
      </c>
      <c r="AC525" s="1894">
        <v>21987</v>
      </c>
      <c r="AD525" s="1894">
        <f t="shared" si="218"/>
        <v>36979</v>
      </c>
      <c r="AE525" s="1894">
        <f t="shared" si="219"/>
        <v>0</v>
      </c>
      <c r="AF525" s="1894">
        <v>422</v>
      </c>
      <c r="AG525" s="1894">
        <v>80.199999999999989</v>
      </c>
      <c r="AH525" s="1894">
        <v>337.6</v>
      </c>
      <c r="AI525" s="1894">
        <v>0.78979999999999995</v>
      </c>
      <c r="AJ525" s="1894">
        <v>34.909999999999997</v>
      </c>
      <c r="AK525" s="1894">
        <v>20828</v>
      </c>
      <c r="AL525" s="1894">
        <f>+ROUND((24*31*0.6*AG525),0)</f>
        <v>35801</v>
      </c>
      <c r="AM525" s="1894">
        <f>+MAX((AK525-AL525),0)</f>
        <v>0</v>
      </c>
      <c r="AN525" s="1894">
        <v>422</v>
      </c>
      <c r="AO525" s="1894">
        <v>80.199999999999989</v>
      </c>
      <c r="AP525" s="1894">
        <v>337.6</v>
      </c>
      <c r="AQ525" s="1894">
        <v>0.63280000000000003</v>
      </c>
      <c r="AR525" s="1894">
        <v>35.42</v>
      </c>
      <c r="AS525" s="1894">
        <v>21135</v>
      </c>
      <c r="AT525" s="1894">
        <f t="shared" si="220"/>
        <v>35801</v>
      </c>
      <c r="AU525" s="1894">
        <f t="shared" si="221"/>
        <v>0</v>
      </c>
      <c r="AV525" s="1894">
        <v>422</v>
      </c>
      <c r="AW525" s="1894">
        <v>59.6</v>
      </c>
      <c r="AX525" s="1894">
        <v>337.6</v>
      </c>
      <c r="AY525" s="1894">
        <v>0.77170000000000005</v>
      </c>
      <c r="AZ525" s="1894">
        <v>33.9</v>
      </c>
      <c r="BA525" s="1894">
        <v>14547</v>
      </c>
      <c r="BB525" s="1894">
        <f t="shared" si="222"/>
        <v>25747</v>
      </c>
      <c r="BC525" s="1894">
        <f t="shared" si="223"/>
        <v>0</v>
      </c>
      <c r="BD525" s="1894">
        <v>422</v>
      </c>
      <c r="BE525" s="1894">
        <v>77.8</v>
      </c>
      <c r="BF525" s="1894">
        <v>337.6</v>
      </c>
      <c r="BG525" s="1894">
        <v>0.72040000000000004</v>
      </c>
      <c r="BH525" s="1894">
        <v>33.659999999999997</v>
      </c>
      <c r="BI525" s="1894">
        <v>19485</v>
      </c>
      <c r="BJ525" s="1894">
        <f t="shared" si="224"/>
        <v>34730</v>
      </c>
      <c r="BK525" s="1894">
        <f t="shared" si="225"/>
        <v>0</v>
      </c>
      <c r="BL525" s="1894">
        <v>422</v>
      </c>
      <c r="BM525" s="1894">
        <v>88.2</v>
      </c>
      <c r="BN525" s="1894">
        <v>337.6</v>
      </c>
      <c r="BO525" s="1894">
        <v>0.83540000000000003</v>
      </c>
      <c r="BP525" s="1894">
        <v>33.229999999999997</v>
      </c>
      <c r="BQ525" s="1894">
        <v>21105</v>
      </c>
      <c r="BR525" s="1894">
        <f t="shared" si="226"/>
        <v>38102</v>
      </c>
      <c r="BS525" s="1894">
        <f t="shared" si="227"/>
        <v>0</v>
      </c>
      <c r="BT525" s="1894">
        <v>422</v>
      </c>
      <c r="BU525" s="1894">
        <v>114.8</v>
      </c>
      <c r="BV525" s="1894">
        <v>337.6</v>
      </c>
      <c r="BW525" s="1894">
        <v>0.65110000000000001</v>
      </c>
      <c r="BX525" s="1894">
        <v>43.91</v>
      </c>
      <c r="BY525" s="1894">
        <v>37503</v>
      </c>
      <c r="BZ525" s="1894">
        <f t="shared" si="228"/>
        <v>51247</v>
      </c>
      <c r="CA525" s="1894">
        <f t="shared" si="229"/>
        <v>0</v>
      </c>
      <c r="CB525" s="1894">
        <v>422</v>
      </c>
      <c r="CC525" s="1894">
        <v>92</v>
      </c>
      <c r="CD525" s="1894">
        <v>337.6</v>
      </c>
      <c r="CE525" s="1894">
        <v>0.60650000000000004</v>
      </c>
      <c r="CF525" s="1894">
        <v>54.52</v>
      </c>
      <c r="CG525" s="1894">
        <v>37315</v>
      </c>
      <c r="CH525" s="1894">
        <f t="shared" si="230"/>
        <v>41069</v>
      </c>
      <c r="CI525" s="1894">
        <f t="shared" si="231"/>
        <v>0</v>
      </c>
      <c r="CJ525" s="1894">
        <v>422</v>
      </c>
      <c r="CK525" s="1894">
        <v>102.2</v>
      </c>
      <c r="CL525" s="1894">
        <v>337.6</v>
      </c>
      <c r="CM525" s="1894">
        <v>0.60150000000000003</v>
      </c>
      <c r="CN525" s="1894">
        <v>48.52</v>
      </c>
      <c r="CO525" s="1894">
        <v>33320</v>
      </c>
      <c r="CP525" s="1894">
        <f t="shared" si="232"/>
        <v>41207</v>
      </c>
      <c r="CQ525" s="1894">
        <f t="shared" si="233"/>
        <v>0</v>
      </c>
      <c r="CR525" s="1924">
        <v>422</v>
      </c>
      <c r="CS525" s="1924">
        <v>96</v>
      </c>
      <c r="CT525" s="1924">
        <v>337.6</v>
      </c>
      <c r="CU525" s="1924">
        <v>0.57069999999999999</v>
      </c>
      <c r="CV525" s="1924">
        <v>47.93</v>
      </c>
      <c r="CW525" s="1924">
        <v>34237</v>
      </c>
      <c r="CX525" s="1894">
        <f t="shared" si="234"/>
        <v>42854</v>
      </c>
      <c r="CY525" s="1894">
        <f t="shared" si="235"/>
        <v>0</v>
      </c>
    </row>
    <row r="526" spans="1:103">
      <c r="A526" s="982">
        <v>421000000016</v>
      </c>
      <c r="B526" s="1923">
        <f t="shared" si="236"/>
        <v>520</v>
      </c>
      <c r="C526" s="1895" t="s">
        <v>3398</v>
      </c>
      <c r="D526" s="1894" t="s">
        <v>524</v>
      </c>
      <c r="E526" s="1895" t="s">
        <v>641</v>
      </c>
      <c r="F526" s="1894" t="s">
        <v>259</v>
      </c>
      <c r="G526" s="1924">
        <v>426</v>
      </c>
      <c r="H526" s="1894">
        <v>426</v>
      </c>
      <c r="I526" s="1894">
        <v>343.68</v>
      </c>
      <c r="J526" s="1894">
        <v>343.68</v>
      </c>
      <c r="K526" s="1894">
        <v>0.99160000000000004</v>
      </c>
      <c r="L526" s="1894">
        <v>42.62</v>
      </c>
      <c r="M526" s="1894">
        <v>105462</v>
      </c>
      <c r="N526" s="1894">
        <f t="shared" si="214"/>
        <v>148470</v>
      </c>
      <c r="O526" s="1894">
        <f t="shared" si="215"/>
        <v>0</v>
      </c>
      <c r="P526" s="1894">
        <v>426</v>
      </c>
      <c r="Q526" s="1894">
        <v>339.36</v>
      </c>
      <c r="R526" s="1894">
        <v>340.8</v>
      </c>
      <c r="S526" s="1894">
        <v>0.99160000000000004</v>
      </c>
      <c r="T526" s="1894">
        <v>35.49</v>
      </c>
      <c r="U526" s="1894">
        <v>89595</v>
      </c>
      <c r="V526" s="1894">
        <f t="shared" si="216"/>
        <v>151490</v>
      </c>
      <c r="W526" s="1894">
        <f t="shared" si="217"/>
        <v>0</v>
      </c>
      <c r="X526" s="1894">
        <v>426</v>
      </c>
      <c r="Y526" s="1894">
        <v>334.32</v>
      </c>
      <c r="Z526" s="1894">
        <v>340.8</v>
      </c>
      <c r="AA526" s="1894">
        <v>0.99219999999999997</v>
      </c>
      <c r="AB526" s="1894">
        <v>29.87</v>
      </c>
      <c r="AC526" s="1894">
        <v>71892</v>
      </c>
      <c r="AD526" s="1894">
        <f t="shared" si="218"/>
        <v>144426</v>
      </c>
      <c r="AE526" s="1894">
        <f t="shared" si="219"/>
        <v>0</v>
      </c>
      <c r="AF526" s="1894">
        <v>426</v>
      </c>
      <c r="AG526" s="1894">
        <v>328.32</v>
      </c>
      <c r="AH526" s="1894">
        <v>340.8</v>
      </c>
      <c r="AI526" s="1894">
        <v>0.99160000000000004</v>
      </c>
      <c r="AJ526" s="1894">
        <v>31.62</v>
      </c>
      <c r="AK526" s="1894">
        <v>77229</v>
      </c>
      <c r="AL526" s="1894">
        <f>+ROUND((24*31*0.6*AG526),0)</f>
        <v>146562</v>
      </c>
      <c r="AM526" s="1894">
        <f>+MAX((AK526-AL526),0)</f>
        <v>0</v>
      </c>
      <c r="AN526" s="1894">
        <v>426</v>
      </c>
      <c r="AO526" s="1894">
        <v>310.55999999999995</v>
      </c>
      <c r="AP526" s="1894">
        <v>340.8</v>
      </c>
      <c r="AQ526" s="1894">
        <v>0.98599999999999999</v>
      </c>
      <c r="AR526" s="1894">
        <v>21.77</v>
      </c>
      <c r="AS526" s="1894">
        <v>50301</v>
      </c>
      <c r="AT526" s="1894">
        <f t="shared" si="220"/>
        <v>138634</v>
      </c>
      <c r="AU526" s="1894">
        <f t="shared" si="221"/>
        <v>0</v>
      </c>
      <c r="AV526" s="1894">
        <v>426</v>
      </c>
      <c r="AW526" s="1894">
        <v>252.72</v>
      </c>
      <c r="AX526" s="1894">
        <v>340.8</v>
      </c>
      <c r="AY526" s="1894">
        <v>0.98509999999999998</v>
      </c>
      <c r="AZ526" s="1894">
        <v>20.49</v>
      </c>
      <c r="BA526" s="1894">
        <v>37281</v>
      </c>
      <c r="BB526" s="1894">
        <f t="shared" si="222"/>
        <v>109175</v>
      </c>
      <c r="BC526" s="1894">
        <f t="shared" si="223"/>
        <v>0</v>
      </c>
      <c r="BD526" s="1894">
        <v>426</v>
      </c>
      <c r="BE526" s="1894">
        <v>250.08</v>
      </c>
      <c r="BF526" s="1894">
        <v>340.8</v>
      </c>
      <c r="BG526" s="1894">
        <v>0.96889999999999998</v>
      </c>
      <c r="BH526" s="1894">
        <v>17.68</v>
      </c>
      <c r="BI526" s="1894">
        <v>32892</v>
      </c>
      <c r="BJ526" s="1894">
        <f t="shared" si="224"/>
        <v>111636</v>
      </c>
      <c r="BK526" s="1894">
        <f t="shared" si="225"/>
        <v>0</v>
      </c>
      <c r="BL526" s="1894">
        <v>426</v>
      </c>
      <c r="BM526" s="1894">
        <v>245.99999999999997</v>
      </c>
      <c r="BN526" s="1894">
        <v>340.8</v>
      </c>
      <c r="BO526" s="1894">
        <v>0.9304</v>
      </c>
      <c r="BP526" s="1894">
        <v>15.05</v>
      </c>
      <c r="BQ526" s="1894">
        <v>26664</v>
      </c>
      <c r="BR526" s="1894">
        <f t="shared" si="226"/>
        <v>106272</v>
      </c>
      <c r="BS526" s="1894">
        <f t="shared" si="227"/>
        <v>0</v>
      </c>
      <c r="BT526" s="1894">
        <v>426</v>
      </c>
      <c r="BU526" s="1894">
        <v>218.4</v>
      </c>
      <c r="BV526" s="1894">
        <v>340.8</v>
      </c>
      <c r="BW526" s="1894">
        <v>0.92549999999999999</v>
      </c>
      <c r="BX526" s="1894">
        <v>12.97</v>
      </c>
      <c r="BY526" s="1894">
        <v>21069</v>
      </c>
      <c r="BZ526" s="1894">
        <f t="shared" si="228"/>
        <v>97494</v>
      </c>
      <c r="CA526" s="1894">
        <f t="shared" si="229"/>
        <v>0</v>
      </c>
      <c r="CB526" s="1894">
        <v>426</v>
      </c>
      <c r="CC526" s="1894">
        <v>231.12</v>
      </c>
      <c r="CD526" s="1894">
        <v>340.8</v>
      </c>
      <c r="CE526" s="1894">
        <v>0.97199999999999998</v>
      </c>
      <c r="CF526" s="1894">
        <v>21.25</v>
      </c>
      <c r="CG526" s="1894">
        <v>36540</v>
      </c>
      <c r="CH526" s="1894">
        <f t="shared" si="230"/>
        <v>103172</v>
      </c>
      <c r="CI526" s="1894">
        <f t="shared" si="231"/>
        <v>0</v>
      </c>
      <c r="CJ526" s="1894">
        <v>426</v>
      </c>
      <c r="CK526" s="1894">
        <v>234.24</v>
      </c>
      <c r="CL526" s="1894">
        <v>340.8</v>
      </c>
      <c r="CM526" s="1894">
        <v>0.96609999999999996</v>
      </c>
      <c r="CN526" s="1894">
        <v>22.03</v>
      </c>
      <c r="CO526" s="1894">
        <v>34680</v>
      </c>
      <c r="CP526" s="1894">
        <f t="shared" si="232"/>
        <v>94446</v>
      </c>
      <c r="CQ526" s="1894">
        <f t="shared" si="233"/>
        <v>0</v>
      </c>
      <c r="CR526" s="1924">
        <v>426</v>
      </c>
      <c r="CS526" s="1924">
        <v>229.92</v>
      </c>
      <c r="CT526" s="1924">
        <v>340.8</v>
      </c>
      <c r="CU526" s="1924">
        <v>0.9617</v>
      </c>
      <c r="CV526" s="1924">
        <v>16.89</v>
      </c>
      <c r="CW526" s="1924">
        <v>28893</v>
      </c>
      <c r="CX526" s="1894">
        <f t="shared" si="234"/>
        <v>102636</v>
      </c>
      <c r="CY526" s="1894">
        <f t="shared" si="235"/>
        <v>0</v>
      </c>
    </row>
    <row r="527" spans="1:103">
      <c r="A527" s="982">
        <v>615000000039</v>
      </c>
      <c r="B527" s="1923">
        <f t="shared" si="236"/>
        <v>521</v>
      </c>
      <c r="C527" s="1895" t="s">
        <v>3646</v>
      </c>
      <c r="D527" s="1894" t="s">
        <v>2930</v>
      </c>
      <c r="E527" s="1895" t="s">
        <v>641</v>
      </c>
      <c r="F527" s="1894" t="s">
        <v>259</v>
      </c>
      <c r="G527" s="1894">
        <v>426</v>
      </c>
      <c r="H527" s="1894">
        <v>426</v>
      </c>
      <c r="I527" s="1894">
        <v>341.76</v>
      </c>
      <c r="J527" s="1894">
        <v>341.76</v>
      </c>
      <c r="K527" s="1894">
        <v>0.99429999999999996</v>
      </c>
      <c r="L527" s="1894">
        <v>39.78</v>
      </c>
      <c r="M527" s="1925">
        <v>97893</v>
      </c>
      <c r="N527" s="1894">
        <f t="shared" si="214"/>
        <v>147640</v>
      </c>
      <c r="O527" s="1894">
        <f t="shared" si="215"/>
        <v>0</v>
      </c>
      <c r="P527" s="1894">
        <v>426</v>
      </c>
      <c r="Q527" s="1894">
        <v>448.08</v>
      </c>
      <c r="R527" s="1894">
        <v>448.08</v>
      </c>
      <c r="S527" s="1894">
        <v>0.99560000000000004</v>
      </c>
      <c r="T527" s="1894">
        <v>34.71</v>
      </c>
      <c r="U527" s="1894">
        <v>115713</v>
      </c>
      <c r="V527" s="1894">
        <f t="shared" si="216"/>
        <v>200023</v>
      </c>
      <c r="W527" s="1894">
        <f t="shared" si="217"/>
        <v>0</v>
      </c>
      <c r="X527" s="1894">
        <v>426</v>
      </c>
      <c r="Y527" s="1894">
        <v>437.28000000000003</v>
      </c>
      <c r="Z527" s="1894">
        <v>437.28</v>
      </c>
      <c r="AA527" s="1894">
        <v>0.99570000000000003</v>
      </c>
      <c r="AB527" s="1894">
        <v>28.17</v>
      </c>
      <c r="AC527" s="1894">
        <v>88683</v>
      </c>
      <c r="AD527" s="1894">
        <f t="shared" si="218"/>
        <v>188905</v>
      </c>
      <c r="AE527" s="1894">
        <f t="shared" si="219"/>
        <v>0</v>
      </c>
      <c r="AF527" s="1894">
        <v>426</v>
      </c>
      <c r="AG527" s="1894">
        <v>341.52000000000004</v>
      </c>
      <c r="AH527" s="1894">
        <v>341.52</v>
      </c>
      <c r="AI527" s="1894">
        <v>0.99580000000000002</v>
      </c>
      <c r="AJ527" s="1894">
        <v>23.6</v>
      </c>
      <c r="AK527" s="1894">
        <v>59961</v>
      </c>
      <c r="AL527" s="1894">
        <v>152455</v>
      </c>
      <c r="AM527" s="1894">
        <v>0</v>
      </c>
      <c r="AN527" s="1894">
        <v>426</v>
      </c>
      <c r="AO527" s="1894">
        <v>299.04000000000002</v>
      </c>
      <c r="AP527" s="1894">
        <v>340.8</v>
      </c>
      <c r="AQ527" s="1894">
        <v>0.995</v>
      </c>
      <c r="AR527" s="1894">
        <v>24.32</v>
      </c>
      <c r="AS527" s="1894">
        <v>54105</v>
      </c>
      <c r="AT527" s="1894">
        <f t="shared" si="220"/>
        <v>133491</v>
      </c>
      <c r="AU527" s="1894">
        <f t="shared" si="221"/>
        <v>0</v>
      </c>
      <c r="AV527" s="1894">
        <v>426</v>
      </c>
      <c r="AW527" s="1894">
        <v>227.51999999999998</v>
      </c>
      <c r="AX527" s="1894">
        <v>340.8</v>
      </c>
      <c r="AY527" s="1894">
        <v>0.99470000000000003</v>
      </c>
      <c r="AZ527" s="1894">
        <v>28.12</v>
      </c>
      <c r="BA527" s="1894">
        <v>46062</v>
      </c>
      <c r="BB527" s="1894">
        <f t="shared" si="222"/>
        <v>98289</v>
      </c>
      <c r="BC527" s="1894">
        <f t="shared" si="223"/>
        <v>0</v>
      </c>
      <c r="BD527" s="1894">
        <v>426</v>
      </c>
      <c r="BE527" s="1894">
        <v>186.48000000000002</v>
      </c>
      <c r="BF527" s="1894">
        <v>340.8</v>
      </c>
      <c r="BG527" s="1894">
        <v>0.99399999999999999</v>
      </c>
      <c r="BH527" s="1894">
        <v>22.53</v>
      </c>
      <c r="BI527" s="1894">
        <v>35604</v>
      </c>
      <c r="BJ527" s="1894">
        <f t="shared" si="224"/>
        <v>83245</v>
      </c>
      <c r="BK527" s="1894">
        <f t="shared" si="225"/>
        <v>0</v>
      </c>
      <c r="BL527" s="1894">
        <v>426</v>
      </c>
      <c r="BM527" s="1894">
        <v>187.92</v>
      </c>
      <c r="BN527" s="1894">
        <v>340.8</v>
      </c>
      <c r="BO527" s="1894">
        <v>0.98899999999999999</v>
      </c>
      <c r="BP527" s="1894">
        <v>15.75</v>
      </c>
      <c r="BQ527" s="1894">
        <v>21312</v>
      </c>
      <c r="BR527" s="1894">
        <f t="shared" si="226"/>
        <v>81181</v>
      </c>
      <c r="BS527" s="1894">
        <f t="shared" si="227"/>
        <v>0</v>
      </c>
      <c r="BT527" s="1894">
        <v>426</v>
      </c>
      <c r="BU527" s="1894">
        <v>186.48000000000002</v>
      </c>
      <c r="BV527" s="1894">
        <v>340.8</v>
      </c>
      <c r="BW527" s="1894">
        <v>0.98850000000000005</v>
      </c>
      <c r="BX527" s="1894">
        <v>12.89</v>
      </c>
      <c r="BY527" s="1894">
        <v>17883</v>
      </c>
      <c r="BZ527" s="1894">
        <f t="shared" si="228"/>
        <v>83245</v>
      </c>
      <c r="CA527" s="1894">
        <f t="shared" si="229"/>
        <v>0</v>
      </c>
      <c r="CB527" s="1894">
        <v>426</v>
      </c>
      <c r="CC527" s="1894">
        <v>12</v>
      </c>
      <c r="CD527" s="1894">
        <v>340.8</v>
      </c>
      <c r="CE527" s="1894">
        <v>0.96989999999999998</v>
      </c>
      <c r="CF527" s="1894">
        <v>12.3</v>
      </c>
      <c r="CG527" s="1894">
        <v>1098</v>
      </c>
      <c r="CH527" s="1894">
        <f t="shared" si="230"/>
        <v>5357</v>
      </c>
      <c r="CI527" s="1894">
        <f t="shared" si="231"/>
        <v>0</v>
      </c>
      <c r="CJ527" s="1894">
        <v>0</v>
      </c>
      <c r="CK527" s="1894">
        <v>0</v>
      </c>
      <c r="CL527" s="1894">
        <v>0</v>
      </c>
      <c r="CM527" s="1894">
        <v>0</v>
      </c>
      <c r="CN527" s="1894">
        <v>0</v>
      </c>
      <c r="CO527" s="1894">
        <v>0</v>
      </c>
      <c r="CP527" s="1894">
        <f t="shared" si="232"/>
        <v>0</v>
      </c>
      <c r="CQ527" s="1894">
        <f t="shared" si="233"/>
        <v>0</v>
      </c>
      <c r="CR527" s="1894">
        <v>0</v>
      </c>
      <c r="CS527" s="1894">
        <v>0</v>
      </c>
      <c r="CT527" s="1894">
        <v>0</v>
      </c>
      <c r="CU527" s="1894">
        <v>0</v>
      </c>
      <c r="CV527" s="1894">
        <v>0</v>
      </c>
      <c r="CW527" s="1894">
        <v>0</v>
      </c>
      <c r="CX527" s="1894">
        <f t="shared" si="234"/>
        <v>0</v>
      </c>
      <c r="CY527" s="1894">
        <f t="shared" si="235"/>
        <v>0</v>
      </c>
    </row>
    <row r="528" spans="1:103">
      <c r="A528" s="982">
        <v>613000000012</v>
      </c>
      <c r="B528" s="1923">
        <f t="shared" si="236"/>
        <v>522</v>
      </c>
      <c r="C528" s="1895" t="s">
        <v>3399</v>
      </c>
      <c r="D528" s="1894" t="s">
        <v>524</v>
      </c>
      <c r="E528" s="1895" t="s">
        <v>541</v>
      </c>
      <c r="F528" s="1894" t="s">
        <v>259</v>
      </c>
      <c r="G528" s="1924">
        <v>434</v>
      </c>
      <c r="H528" s="1894">
        <v>434</v>
      </c>
      <c r="I528" s="1894">
        <v>240.23999999999998</v>
      </c>
      <c r="J528" s="1894">
        <v>347.2</v>
      </c>
      <c r="K528" s="1894">
        <v>0.98729999999999996</v>
      </c>
      <c r="L528" s="1894">
        <v>29.8</v>
      </c>
      <c r="M528" s="1894">
        <v>51546</v>
      </c>
      <c r="N528" s="1894">
        <f t="shared" si="214"/>
        <v>103784</v>
      </c>
      <c r="O528" s="1894">
        <f t="shared" si="215"/>
        <v>0</v>
      </c>
      <c r="P528" s="1894">
        <v>434</v>
      </c>
      <c r="Q528" s="1894">
        <v>161.52000000000001</v>
      </c>
      <c r="R528" s="1894">
        <v>347.2</v>
      </c>
      <c r="S528" s="1894">
        <v>0.99199999999999999</v>
      </c>
      <c r="T528" s="1894">
        <v>22.09</v>
      </c>
      <c r="U528" s="1894">
        <v>26547</v>
      </c>
      <c r="V528" s="1894">
        <f t="shared" si="216"/>
        <v>72103</v>
      </c>
      <c r="W528" s="1894">
        <f t="shared" si="217"/>
        <v>0</v>
      </c>
      <c r="X528" s="1894">
        <v>434</v>
      </c>
      <c r="Y528" s="1894">
        <v>215.76</v>
      </c>
      <c r="Z528" s="1894">
        <v>347.2</v>
      </c>
      <c r="AA528" s="1894">
        <v>0.77569999999999995</v>
      </c>
      <c r="AB528" s="1894">
        <v>25.1</v>
      </c>
      <c r="AC528" s="1894">
        <v>38994</v>
      </c>
      <c r="AD528" s="1894">
        <f t="shared" si="218"/>
        <v>93208</v>
      </c>
      <c r="AE528" s="1894">
        <f t="shared" si="219"/>
        <v>0</v>
      </c>
      <c r="AF528" s="1894">
        <v>434</v>
      </c>
      <c r="AG528" s="1894">
        <v>209.52</v>
      </c>
      <c r="AH528" s="1894">
        <v>347.2</v>
      </c>
      <c r="AI528" s="1894">
        <v>0.89459999999999995</v>
      </c>
      <c r="AJ528" s="1894">
        <v>36.130000000000003</v>
      </c>
      <c r="AK528" s="1894">
        <v>56319</v>
      </c>
      <c r="AL528" s="1894">
        <f t="shared" ref="AL528:AL575" si="237">+ROUND((24*31*0.6*AG528),0)</f>
        <v>93530</v>
      </c>
      <c r="AM528" s="1894">
        <f t="shared" ref="AM528:AM575" si="238">+MAX((AK528-AL528),0)</f>
        <v>0</v>
      </c>
      <c r="AN528" s="1894">
        <v>434</v>
      </c>
      <c r="AO528" s="1894">
        <v>153.84</v>
      </c>
      <c r="AP528" s="1894">
        <v>347.2</v>
      </c>
      <c r="AQ528" s="1894">
        <v>0.98929999999999996</v>
      </c>
      <c r="AR528" s="1894">
        <v>40.9</v>
      </c>
      <c r="AS528" s="1894">
        <v>46812</v>
      </c>
      <c r="AT528" s="1894">
        <f t="shared" si="220"/>
        <v>68674</v>
      </c>
      <c r="AU528" s="1894">
        <f t="shared" si="221"/>
        <v>0</v>
      </c>
      <c r="AV528" s="1894">
        <v>434</v>
      </c>
      <c r="AW528" s="1894">
        <v>14.4</v>
      </c>
      <c r="AX528" s="1894">
        <v>347.2</v>
      </c>
      <c r="AY528" s="1894">
        <v>0.84730000000000005</v>
      </c>
      <c r="AZ528" s="1894">
        <v>23.12</v>
      </c>
      <c r="BA528" s="1894">
        <v>2397</v>
      </c>
      <c r="BB528" s="1894">
        <f t="shared" si="222"/>
        <v>6221</v>
      </c>
      <c r="BC528" s="1894">
        <f t="shared" si="223"/>
        <v>0</v>
      </c>
      <c r="BD528" s="1894">
        <v>434</v>
      </c>
      <c r="BE528" s="1894">
        <v>11.76</v>
      </c>
      <c r="BF528" s="1894">
        <v>347.2</v>
      </c>
      <c r="BG528" s="1894">
        <v>0.80220000000000002</v>
      </c>
      <c r="BH528" s="1894">
        <v>17.32</v>
      </c>
      <c r="BI528" s="1894">
        <v>1320</v>
      </c>
      <c r="BJ528" s="1894">
        <f t="shared" si="224"/>
        <v>5250</v>
      </c>
      <c r="BK528" s="1894">
        <f t="shared" si="225"/>
        <v>0</v>
      </c>
      <c r="BL528" s="1894">
        <v>434</v>
      </c>
      <c r="BM528" s="1894">
        <v>62.16</v>
      </c>
      <c r="BN528" s="1894">
        <v>347.2</v>
      </c>
      <c r="BO528" s="1894">
        <v>0.85489999999999999</v>
      </c>
      <c r="BP528" s="1894">
        <v>1.51</v>
      </c>
      <c r="BQ528" s="1894">
        <v>765</v>
      </c>
      <c r="BR528" s="1894">
        <f t="shared" si="226"/>
        <v>26853</v>
      </c>
      <c r="BS528" s="1894">
        <f t="shared" si="227"/>
        <v>0</v>
      </c>
      <c r="BT528" s="1894">
        <v>434</v>
      </c>
      <c r="BU528" s="1894">
        <v>131.76</v>
      </c>
      <c r="BV528" s="1894">
        <v>347.2</v>
      </c>
      <c r="BW528" s="1894">
        <v>0.95209999999999995</v>
      </c>
      <c r="BX528" s="1894">
        <v>7.67</v>
      </c>
      <c r="BY528" s="1894">
        <v>7518</v>
      </c>
      <c r="BZ528" s="1894">
        <f t="shared" si="228"/>
        <v>58818</v>
      </c>
      <c r="CA528" s="1894">
        <f t="shared" si="229"/>
        <v>0</v>
      </c>
      <c r="CB528" s="1894">
        <v>434</v>
      </c>
      <c r="CC528" s="1894">
        <v>144</v>
      </c>
      <c r="CD528" s="1894">
        <v>347.2</v>
      </c>
      <c r="CE528" s="1894">
        <v>0.98660000000000003</v>
      </c>
      <c r="CF528" s="1894">
        <v>41.98</v>
      </c>
      <c r="CG528" s="1894">
        <v>44976</v>
      </c>
      <c r="CH528" s="1894">
        <f t="shared" si="230"/>
        <v>64282</v>
      </c>
      <c r="CI528" s="1894">
        <f t="shared" si="231"/>
        <v>0</v>
      </c>
      <c r="CJ528" s="1894">
        <v>434</v>
      </c>
      <c r="CK528" s="1894">
        <v>144</v>
      </c>
      <c r="CL528" s="1894">
        <v>347.2</v>
      </c>
      <c r="CM528" s="1894">
        <v>0.98709999999999998</v>
      </c>
      <c r="CN528" s="1894">
        <v>48.13</v>
      </c>
      <c r="CO528" s="1894">
        <v>46578</v>
      </c>
      <c r="CP528" s="1894">
        <f t="shared" si="232"/>
        <v>58061</v>
      </c>
      <c r="CQ528" s="1894">
        <f t="shared" si="233"/>
        <v>0</v>
      </c>
      <c r="CR528" s="1924">
        <v>434</v>
      </c>
      <c r="CS528" s="1924">
        <v>148.32</v>
      </c>
      <c r="CT528" s="1924">
        <v>347.2</v>
      </c>
      <c r="CU528" s="1924">
        <v>0.98829999999999996</v>
      </c>
      <c r="CV528" s="1924">
        <v>46.09</v>
      </c>
      <c r="CW528" s="1924">
        <v>50862</v>
      </c>
      <c r="CX528" s="1894">
        <f t="shared" si="234"/>
        <v>66210</v>
      </c>
      <c r="CY528" s="1894">
        <f t="shared" si="235"/>
        <v>0</v>
      </c>
    </row>
    <row r="529" spans="1:103">
      <c r="A529" s="982">
        <v>124000000039</v>
      </c>
      <c r="B529" s="1923">
        <f t="shared" si="236"/>
        <v>523</v>
      </c>
      <c r="C529" s="1895" t="s">
        <v>3400</v>
      </c>
      <c r="D529" s="1894" t="s">
        <v>524</v>
      </c>
      <c r="E529" s="1895" t="s">
        <v>541</v>
      </c>
      <c r="F529" s="1894" t="s">
        <v>259</v>
      </c>
      <c r="G529" s="1924">
        <v>440</v>
      </c>
      <c r="H529" s="1894">
        <v>440</v>
      </c>
      <c r="I529" s="1894">
        <v>473.76</v>
      </c>
      <c r="J529" s="1894">
        <v>473.76</v>
      </c>
      <c r="K529" s="1894">
        <v>0.96989999999999998</v>
      </c>
      <c r="L529" s="1894">
        <v>49.64</v>
      </c>
      <c r="M529" s="1894">
        <v>169313</v>
      </c>
      <c r="N529" s="1894">
        <f t="shared" si="214"/>
        <v>204664</v>
      </c>
      <c r="O529" s="1894">
        <f t="shared" si="215"/>
        <v>0</v>
      </c>
      <c r="P529" s="1894">
        <v>440</v>
      </c>
      <c r="Q529" s="1894">
        <v>466.2</v>
      </c>
      <c r="R529" s="1894">
        <v>466.2</v>
      </c>
      <c r="S529" s="1894">
        <v>0.96830000000000005</v>
      </c>
      <c r="T529" s="1894">
        <v>48.62</v>
      </c>
      <c r="U529" s="1894">
        <v>168633</v>
      </c>
      <c r="V529" s="1894">
        <f t="shared" si="216"/>
        <v>208112</v>
      </c>
      <c r="W529" s="1894">
        <f t="shared" si="217"/>
        <v>0</v>
      </c>
      <c r="X529" s="1894">
        <v>440</v>
      </c>
      <c r="Y529" s="1894">
        <v>470.88</v>
      </c>
      <c r="Z529" s="1894">
        <v>470.88</v>
      </c>
      <c r="AA529" s="1894">
        <v>0.96409999999999996</v>
      </c>
      <c r="AB529" s="1894">
        <v>48.06</v>
      </c>
      <c r="AC529" s="1894">
        <v>162945</v>
      </c>
      <c r="AD529" s="1894">
        <f t="shared" si="218"/>
        <v>203420</v>
      </c>
      <c r="AE529" s="1894">
        <f t="shared" si="219"/>
        <v>0</v>
      </c>
      <c r="AF529" s="1894">
        <v>440</v>
      </c>
      <c r="AG529" s="1894">
        <v>536.04</v>
      </c>
      <c r="AH529" s="1894">
        <v>536.04</v>
      </c>
      <c r="AI529" s="1894">
        <v>0.92720000000000002</v>
      </c>
      <c r="AJ529" s="1894">
        <v>46.81</v>
      </c>
      <c r="AK529" s="1894">
        <v>186669</v>
      </c>
      <c r="AL529" s="1894">
        <f t="shared" si="237"/>
        <v>239288</v>
      </c>
      <c r="AM529" s="1894">
        <f t="shared" si="238"/>
        <v>0</v>
      </c>
      <c r="AN529" s="1894">
        <v>440</v>
      </c>
      <c r="AO529" s="1894">
        <v>433.08000000000004</v>
      </c>
      <c r="AP529" s="1894">
        <v>433.08</v>
      </c>
      <c r="AQ529" s="1894">
        <v>0.97689999999999999</v>
      </c>
      <c r="AR529" s="1894">
        <v>39.06</v>
      </c>
      <c r="AS529" s="1894">
        <v>125865</v>
      </c>
      <c r="AT529" s="1894">
        <f t="shared" si="220"/>
        <v>193327</v>
      </c>
      <c r="AU529" s="1894">
        <f t="shared" si="221"/>
        <v>0</v>
      </c>
      <c r="AV529" s="1894">
        <v>440</v>
      </c>
      <c r="AW529" s="1894">
        <v>412.56</v>
      </c>
      <c r="AX529" s="1894">
        <v>412.56</v>
      </c>
      <c r="AY529" s="1894">
        <v>0.98929999999999996</v>
      </c>
      <c r="AZ529" s="1894">
        <v>26.13</v>
      </c>
      <c r="BA529" s="1894">
        <v>77630</v>
      </c>
      <c r="BB529" s="1894">
        <f t="shared" si="222"/>
        <v>178226</v>
      </c>
      <c r="BC529" s="1894">
        <f t="shared" si="223"/>
        <v>0</v>
      </c>
      <c r="BD529" s="1894">
        <v>440</v>
      </c>
      <c r="BE529" s="1894">
        <v>331.92</v>
      </c>
      <c r="BF529" s="1894">
        <v>352</v>
      </c>
      <c r="BG529" s="1894">
        <v>0.99470000000000003</v>
      </c>
      <c r="BH529" s="1894">
        <v>5.9</v>
      </c>
      <c r="BI529" s="1894">
        <v>14580</v>
      </c>
      <c r="BJ529" s="1894">
        <f t="shared" si="224"/>
        <v>148169</v>
      </c>
      <c r="BK529" s="1894">
        <f t="shared" si="225"/>
        <v>0</v>
      </c>
      <c r="BL529" s="1894">
        <v>440</v>
      </c>
      <c r="BM529" s="1894">
        <v>410.76</v>
      </c>
      <c r="BN529" s="1894">
        <v>410.76</v>
      </c>
      <c r="BO529" s="1894">
        <v>0.99060000000000004</v>
      </c>
      <c r="BP529" s="1894">
        <v>18.25</v>
      </c>
      <c r="BQ529" s="1894">
        <v>53964</v>
      </c>
      <c r="BR529" s="1894">
        <f t="shared" si="226"/>
        <v>177448</v>
      </c>
      <c r="BS529" s="1894">
        <f t="shared" si="227"/>
        <v>0</v>
      </c>
      <c r="BT529" s="1894">
        <v>440</v>
      </c>
      <c r="BU529" s="1894">
        <v>444.96</v>
      </c>
      <c r="BV529" s="1894">
        <v>444.96</v>
      </c>
      <c r="BW529" s="1894">
        <v>0.98939999999999995</v>
      </c>
      <c r="BX529" s="1894">
        <v>43.41</v>
      </c>
      <c r="BY529" s="1894">
        <v>143707</v>
      </c>
      <c r="BZ529" s="1894">
        <f t="shared" si="228"/>
        <v>198630</v>
      </c>
      <c r="CA529" s="1894">
        <f t="shared" si="229"/>
        <v>0</v>
      </c>
      <c r="CB529" s="1894">
        <v>440</v>
      </c>
      <c r="CC529" s="1894">
        <v>491.40000000000003</v>
      </c>
      <c r="CD529" s="1894">
        <v>491.4</v>
      </c>
      <c r="CE529" s="1894">
        <v>0.98599999999999999</v>
      </c>
      <c r="CF529" s="1894">
        <v>47.79</v>
      </c>
      <c r="CG529" s="1894">
        <v>174708</v>
      </c>
      <c r="CH529" s="1894">
        <f t="shared" si="230"/>
        <v>219361</v>
      </c>
      <c r="CI529" s="1894">
        <f t="shared" si="231"/>
        <v>0</v>
      </c>
      <c r="CJ529" s="1894">
        <v>440</v>
      </c>
      <c r="CK529" s="1894">
        <v>514.79999999999995</v>
      </c>
      <c r="CL529" s="1894">
        <v>514.79999999999995</v>
      </c>
      <c r="CM529" s="1894">
        <v>0.97699999999999998</v>
      </c>
      <c r="CN529" s="1894">
        <v>49.34</v>
      </c>
      <c r="CO529" s="1894">
        <v>170694</v>
      </c>
      <c r="CP529" s="1894">
        <f t="shared" si="232"/>
        <v>207567</v>
      </c>
      <c r="CQ529" s="1894">
        <f t="shared" si="233"/>
        <v>0</v>
      </c>
      <c r="CR529" s="1924">
        <v>440</v>
      </c>
      <c r="CS529" s="1924">
        <v>509.4</v>
      </c>
      <c r="CT529" s="1924">
        <v>509.4</v>
      </c>
      <c r="CU529" s="1924">
        <v>0.96760000000000002</v>
      </c>
      <c r="CV529" s="1924">
        <v>46.34</v>
      </c>
      <c r="CW529" s="1924">
        <v>175644</v>
      </c>
      <c r="CX529" s="1894">
        <f t="shared" si="234"/>
        <v>227396</v>
      </c>
      <c r="CY529" s="1894">
        <f t="shared" si="235"/>
        <v>0</v>
      </c>
    </row>
    <row r="530" spans="1:103">
      <c r="A530" s="982">
        <v>124000000062</v>
      </c>
      <c r="B530" s="1923">
        <f t="shared" si="236"/>
        <v>524</v>
      </c>
      <c r="C530" s="1895" t="s">
        <v>3401</v>
      </c>
      <c r="D530" s="1894" t="s">
        <v>524</v>
      </c>
      <c r="E530" s="1895" t="s">
        <v>541</v>
      </c>
      <c r="F530" s="1894" t="s">
        <v>259</v>
      </c>
      <c r="G530" s="1924">
        <v>445</v>
      </c>
      <c r="H530" s="1894">
        <v>445</v>
      </c>
      <c r="I530" s="1894">
        <v>166.20000000000002</v>
      </c>
      <c r="J530" s="1894">
        <v>356</v>
      </c>
      <c r="K530" s="1894">
        <v>0.96960000000000002</v>
      </c>
      <c r="L530" s="1894">
        <v>26.36</v>
      </c>
      <c r="M530" s="1894">
        <v>31545</v>
      </c>
      <c r="N530" s="1894">
        <f t="shared" si="214"/>
        <v>71798</v>
      </c>
      <c r="O530" s="1894">
        <f t="shared" si="215"/>
        <v>0</v>
      </c>
      <c r="P530" s="1894">
        <v>445</v>
      </c>
      <c r="Q530" s="1894">
        <v>209.39999999999998</v>
      </c>
      <c r="R530" s="1894">
        <v>356</v>
      </c>
      <c r="S530" s="1894">
        <v>0.97089999999999999</v>
      </c>
      <c r="T530" s="1894">
        <v>30.88</v>
      </c>
      <c r="U530" s="1894">
        <v>48108</v>
      </c>
      <c r="V530" s="1894">
        <f t="shared" si="216"/>
        <v>93476</v>
      </c>
      <c r="W530" s="1894">
        <f t="shared" si="217"/>
        <v>0</v>
      </c>
      <c r="X530" s="1894">
        <v>445</v>
      </c>
      <c r="Y530" s="1894">
        <v>155.4</v>
      </c>
      <c r="Z530" s="1894">
        <v>356</v>
      </c>
      <c r="AA530" s="1894">
        <v>0.97729999999999995</v>
      </c>
      <c r="AB530" s="1894">
        <v>24.12</v>
      </c>
      <c r="AC530" s="1894">
        <v>26982</v>
      </c>
      <c r="AD530" s="1894">
        <f t="shared" si="218"/>
        <v>67133</v>
      </c>
      <c r="AE530" s="1894">
        <f t="shared" si="219"/>
        <v>0</v>
      </c>
      <c r="AF530" s="1894">
        <v>445</v>
      </c>
      <c r="AG530" s="1894">
        <v>138</v>
      </c>
      <c r="AH530" s="1894">
        <v>356</v>
      </c>
      <c r="AI530" s="1894">
        <v>0.9919</v>
      </c>
      <c r="AJ530" s="1894">
        <v>21.13</v>
      </c>
      <c r="AK530" s="1894">
        <v>21693</v>
      </c>
      <c r="AL530" s="1894">
        <f t="shared" si="237"/>
        <v>61603</v>
      </c>
      <c r="AM530" s="1894">
        <f t="shared" si="238"/>
        <v>0</v>
      </c>
      <c r="AN530" s="1894">
        <v>445</v>
      </c>
      <c r="AO530" s="1894">
        <v>147.6</v>
      </c>
      <c r="AP530" s="1894">
        <v>356</v>
      </c>
      <c r="AQ530" s="1894">
        <v>0.97319999999999995</v>
      </c>
      <c r="AR530" s="1894">
        <v>14.18</v>
      </c>
      <c r="AS530" s="1894">
        <v>15576</v>
      </c>
      <c r="AT530" s="1894">
        <f t="shared" si="220"/>
        <v>65889</v>
      </c>
      <c r="AU530" s="1894">
        <f t="shared" si="221"/>
        <v>0</v>
      </c>
      <c r="AV530" s="1894">
        <v>445</v>
      </c>
      <c r="AW530" s="1894">
        <v>129.36000000000001</v>
      </c>
      <c r="AX530" s="1894">
        <v>356</v>
      </c>
      <c r="AY530" s="1894">
        <v>0.99919999999999998</v>
      </c>
      <c r="AZ530" s="1894">
        <v>15.54</v>
      </c>
      <c r="BA530" s="1894">
        <v>12543</v>
      </c>
      <c r="BB530" s="1894">
        <f t="shared" si="222"/>
        <v>55884</v>
      </c>
      <c r="BC530" s="1894">
        <f t="shared" si="223"/>
        <v>0</v>
      </c>
      <c r="BD530" s="1894">
        <v>445</v>
      </c>
      <c r="BE530" s="1894">
        <v>142.19999999999999</v>
      </c>
      <c r="BF530" s="1894">
        <v>356</v>
      </c>
      <c r="BG530" s="1894">
        <v>0.99880000000000002</v>
      </c>
      <c r="BH530" s="1894">
        <v>11.51</v>
      </c>
      <c r="BI530" s="1894">
        <v>13350</v>
      </c>
      <c r="BJ530" s="1894">
        <f t="shared" si="224"/>
        <v>63478</v>
      </c>
      <c r="BK530" s="1894">
        <f t="shared" si="225"/>
        <v>0</v>
      </c>
      <c r="BL530" s="1894">
        <v>445</v>
      </c>
      <c r="BM530" s="1894">
        <v>160.20000000000002</v>
      </c>
      <c r="BN530" s="1894">
        <v>356</v>
      </c>
      <c r="BO530" s="1894">
        <v>0.96109999999999995</v>
      </c>
      <c r="BP530" s="1894">
        <v>20.41</v>
      </c>
      <c r="BQ530" s="1894">
        <v>24327</v>
      </c>
      <c r="BR530" s="1894">
        <f t="shared" si="226"/>
        <v>69206</v>
      </c>
      <c r="BS530" s="1894">
        <f t="shared" si="227"/>
        <v>0</v>
      </c>
      <c r="BT530" s="1894">
        <v>445</v>
      </c>
      <c r="BU530" s="1894">
        <v>141.84</v>
      </c>
      <c r="BV530" s="1894">
        <v>356</v>
      </c>
      <c r="BW530" s="1894">
        <v>0.99890000000000001</v>
      </c>
      <c r="BX530" s="1894">
        <v>19.600000000000001</v>
      </c>
      <c r="BY530" s="1894">
        <v>20682</v>
      </c>
      <c r="BZ530" s="1894">
        <f t="shared" si="228"/>
        <v>63317</v>
      </c>
      <c r="CA530" s="1894">
        <f t="shared" si="229"/>
        <v>0</v>
      </c>
      <c r="CB530" s="1894">
        <v>445</v>
      </c>
      <c r="CC530" s="1894">
        <v>157.67999999999998</v>
      </c>
      <c r="CD530" s="1894">
        <v>356</v>
      </c>
      <c r="CE530" s="1894">
        <v>0.90759999999999996</v>
      </c>
      <c r="CF530" s="1894">
        <v>18.98</v>
      </c>
      <c r="CG530" s="1894">
        <v>22263</v>
      </c>
      <c r="CH530" s="1894">
        <f t="shared" si="230"/>
        <v>70388</v>
      </c>
      <c r="CI530" s="1894">
        <f t="shared" si="231"/>
        <v>0</v>
      </c>
      <c r="CJ530" s="1894">
        <v>445</v>
      </c>
      <c r="CK530" s="1894">
        <v>207.6</v>
      </c>
      <c r="CL530" s="1894">
        <v>356</v>
      </c>
      <c r="CM530" s="1894">
        <v>0.91090000000000004</v>
      </c>
      <c r="CN530" s="1894">
        <v>21.81</v>
      </c>
      <c r="CO530" s="1894">
        <v>30426</v>
      </c>
      <c r="CP530" s="1894">
        <f t="shared" si="232"/>
        <v>83704</v>
      </c>
      <c r="CQ530" s="1894">
        <f t="shared" si="233"/>
        <v>0</v>
      </c>
      <c r="CR530" s="1924">
        <v>445</v>
      </c>
      <c r="CS530" s="1924">
        <v>189.6</v>
      </c>
      <c r="CT530" s="1924">
        <v>356</v>
      </c>
      <c r="CU530" s="1924">
        <v>0.91579999999999995</v>
      </c>
      <c r="CV530" s="1924">
        <v>20.52</v>
      </c>
      <c r="CW530" s="1924">
        <v>28950</v>
      </c>
      <c r="CX530" s="1894">
        <f t="shared" si="234"/>
        <v>84637</v>
      </c>
      <c r="CY530" s="1894">
        <f t="shared" si="235"/>
        <v>0</v>
      </c>
    </row>
    <row r="531" spans="1:103">
      <c r="A531" s="982">
        <v>126000000041</v>
      </c>
      <c r="B531" s="1923">
        <f t="shared" si="236"/>
        <v>525</v>
      </c>
      <c r="C531" s="1895" t="s">
        <v>3402</v>
      </c>
      <c r="D531" s="1894" t="s">
        <v>524</v>
      </c>
      <c r="E531" s="1895" t="s">
        <v>541</v>
      </c>
      <c r="F531" s="1894" t="s">
        <v>259</v>
      </c>
      <c r="G531" s="1924">
        <v>445</v>
      </c>
      <c r="H531" s="1894">
        <v>445</v>
      </c>
      <c r="I531" s="1894">
        <v>195.84</v>
      </c>
      <c r="J531" s="1894">
        <v>356</v>
      </c>
      <c r="K531" s="1894">
        <v>0.99150000000000005</v>
      </c>
      <c r="L531" s="1894">
        <v>43.63</v>
      </c>
      <c r="M531" s="1894">
        <v>61524</v>
      </c>
      <c r="N531" s="1894">
        <f t="shared" si="214"/>
        <v>84603</v>
      </c>
      <c r="O531" s="1894">
        <f t="shared" si="215"/>
        <v>0</v>
      </c>
      <c r="P531" s="1894">
        <v>445</v>
      </c>
      <c r="Q531" s="1894">
        <v>181.68</v>
      </c>
      <c r="R531" s="1894">
        <v>356</v>
      </c>
      <c r="S531" s="1894">
        <v>0.99299999999999999</v>
      </c>
      <c r="T531" s="1894">
        <v>50.17</v>
      </c>
      <c r="U531" s="1894">
        <v>67821</v>
      </c>
      <c r="V531" s="1894">
        <f t="shared" si="216"/>
        <v>81102</v>
      </c>
      <c r="W531" s="1894">
        <f t="shared" si="217"/>
        <v>0</v>
      </c>
      <c r="X531" s="1894">
        <v>445</v>
      </c>
      <c r="Y531" s="1894">
        <v>179.28</v>
      </c>
      <c r="Z531" s="1894">
        <v>356</v>
      </c>
      <c r="AA531" s="1894">
        <v>0.99109999999999998</v>
      </c>
      <c r="AB531" s="1894">
        <v>39.950000000000003</v>
      </c>
      <c r="AC531" s="1894">
        <v>51567</v>
      </c>
      <c r="AD531" s="1894">
        <f t="shared" si="218"/>
        <v>77449</v>
      </c>
      <c r="AE531" s="1894">
        <f t="shared" si="219"/>
        <v>0</v>
      </c>
      <c r="AF531" s="1894">
        <v>445</v>
      </c>
      <c r="AG531" s="1894">
        <v>176.64</v>
      </c>
      <c r="AH531" s="1894">
        <v>356</v>
      </c>
      <c r="AI531" s="1894">
        <v>0.9919</v>
      </c>
      <c r="AJ531" s="1894">
        <v>47.69</v>
      </c>
      <c r="AK531" s="1894">
        <v>62679</v>
      </c>
      <c r="AL531" s="1894">
        <f t="shared" si="237"/>
        <v>78852</v>
      </c>
      <c r="AM531" s="1894">
        <f t="shared" si="238"/>
        <v>0</v>
      </c>
      <c r="AN531" s="1894">
        <v>445</v>
      </c>
      <c r="AO531" s="1894">
        <v>212.16000000000003</v>
      </c>
      <c r="AP531" s="1894">
        <v>356</v>
      </c>
      <c r="AQ531" s="1894">
        <v>0.9909</v>
      </c>
      <c r="AR531" s="1894">
        <v>39.14</v>
      </c>
      <c r="AS531" s="1894">
        <v>61776</v>
      </c>
      <c r="AT531" s="1894">
        <f t="shared" si="220"/>
        <v>94708</v>
      </c>
      <c r="AU531" s="1894">
        <f t="shared" si="221"/>
        <v>0</v>
      </c>
      <c r="AV531" s="1894">
        <v>445</v>
      </c>
      <c r="AW531" s="1894">
        <v>186.72</v>
      </c>
      <c r="AX531" s="1894">
        <v>356</v>
      </c>
      <c r="AY531" s="1894">
        <v>0.97589999999999999</v>
      </c>
      <c r="AZ531" s="1894">
        <v>26.98</v>
      </c>
      <c r="BA531" s="1894">
        <v>36270</v>
      </c>
      <c r="BB531" s="1894">
        <f t="shared" si="222"/>
        <v>80663</v>
      </c>
      <c r="BC531" s="1894">
        <f t="shared" si="223"/>
        <v>0</v>
      </c>
      <c r="BD531" s="1894">
        <v>445</v>
      </c>
      <c r="BE531" s="1894">
        <v>57.36</v>
      </c>
      <c r="BF531" s="1894">
        <v>356</v>
      </c>
      <c r="BG531" s="1894">
        <v>0.68389999999999995</v>
      </c>
      <c r="BH531" s="1894">
        <v>10.88</v>
      </c>
      <c r="BI531" s="1894">
        <v>4641</v>
      </c>
      <c r="BJ531" s="1894">
        <f t="shared" si="224"/>
        <v>25606</v>
      </c>
      <c r="BK531" s="1894">
        <f t="shared" si="225"/>
        <v>0</v>
      </c>
      <c r="BL531" s="1894">
        <v>445</v>
      </c>
      <c r="BM531" s="1894">
        <v>31.44</v>
      </c>
      <c r="BN531" s="1894">
        <v>356</v>
      </c>
      <c r="BO531" s="1894">
        <v>0.59640000000000004</v>
      </c>
      <c r="BP531" s="1894">
        <v>21.51</v>
      </c>
      <c r="BQ531" s="1894">
        <v>4869</v>
      </c>
      <c r="BR531" s="1894">
        <f t="shared" si="226"/>
        <v>13582</v>
      </c>
      <c r="BS531" s="1894">
        <f t="shared" si="227"/>
        <v>0</v>
      </c>
      <c r="BT531" s="1894">
        <v>445</v>
      </c>
      <c r="BU531" s="1894">
        <v>165.12</v>
      </c>
      <c r="BV531" s="1894">
        <v>356</v>
      </c>
      <c r="BW531" s="1894">
        <v>0.77569999999999995</v>
      </c>
      <c r="BX531" s="1894">
        <v>8.85</v>
      </c>
      <c r="BY531" s="1894">
        <v>10878</v>
      </c>
      <c r="BZ531" s="1894">
        <f t="shared" si="228"/>
        <v>73710</v>
      </c>
      <c r="CA531" s="1894">
        <f t="shared" si="229"/>
        <v>0</v>
      </c>
      <c r="CB531" s="1894">
        <v>445</v>
      </c>
      <c r="CC531" s="1894">
        <v>248.39999999999998</v>
      </c>
      <c r="CD531" s="1894">
        <v>356</v>
      </c>
      <c r="CE531" s="1894">
        <v>0.98480000000000001</v>
      </c>
      <c r="CF531" s="1894">
        <v>33.85</v>
      </c>
      <c r="CG531" s="1894">
        <v>62562</v>
      </c>
      <c r="CH531" s="1894">
        <f t="shared" si="230"/>
        <v>110886</v>
      </c>
      <c r="CI531" s="1894">
        <f t="shared" si="231"/>
        <v>0</v>
      </c>
      <c r="CJ531" s="1894">
        <v>445</v>
      </c>
      <c r="CK531" s="1894">
        <v>238.07999999999998</v>
      </c>
      <c r="CL531" s="1894">
        <v>356</v>
      </c>
      <c r="CM531" s="1894">
        <v>0.98609999999999998</v>
      </c>
      <c r="CN531" s="1894">
        <v>49.55</v>
      </c>
      <c r="CO531" s="1894">
        <v>79272</v>
      </c>
      <c r="CP531" s="1894">
        <f t="shared" si="232"/>
        <v>95994</v>
      </c>
      <c r="CQ531" s="1894">
        <f t="shared" si="233"/>
        <v>0</v>
      </c>
      <c r="CR531" s="1924">
        <v>445</v>
      </c>
      <c r="CS531" s="1924">
        <v>240.48</v>
      </c>
      <c r="CT531" s="1924">
        <v>356</v>
      </c>
      <c r="CU531" s="1924">
        <v>0.98499999999999999</v>
      </c>
      <c r="CV531" s="1924">
        <v>49.06</v>
      </c>
      <c r="CW531" s="1924">
        <v>87780</v>
      </c>
      <c r="CX531" s="1894">
        <f t="shared" si="234"/>
        <v>107350</v>
      </c>
      <c r="CY531" s="1894">
        <f t="shared" si="235"/>
        <v>0</v>
      </c>
    </row>
    <row r="532" spans="1:103">
      <c r="A532" s="982">
        <v>123000000002</v>
      </c>
      <c r="B532" s="1923">
        <f t="shared" si="236"/>
        <v>526</v>
      </c>
      <c r="C532" s="1895" t="s">
        <v>3403</v>
      </c>
      <c r="D532" s="1894" t="s">
        <v>524</v>
      </c>
      <c r="E532" s="1895" t="s">
        <v>541</v>
      </c>
      <c r="F532" s="1894" t="s">
        <v>259</v>
      </c>
      <c r="G532" s="1924">
        <v>450</v>
      </c>
      <c r="H532" s="1894">
        <v>450</v>
      </c>
      <c r="I532" s="1894">
        <v>425.99999999999994</v>
      </c>
      <c r="J532" s="1894">
        <v>426</v>
      </c>
      <c r="K532" s="1894">
        <v>0.98919999999999997</v>
      </c>
      <c r="L532" s="1894">
        <v>49.38</v>
      </c>
      <c r="M532" s="1894">
        <v>151455</v>
      </c>
      <c r="N532" s="1894">
        <f t="shared" si="214"/>
        <v>184032</v>
      </c>
      <c r="O532" s="1894">
        <f t="shared" si="215"/>
        <v>0</v>
      </c>
      <c r="P532" s="1894">
        <v>450</v>
      </c>
      <c r="Q532" s="1894">
        <v>435.59999999999997</v>
      </c>
      <c r="R532" s="1894">
        <v>435.6</v>
      </c>
      <c r="S532" s="1894">
        <v>0.98750000000000004</v>
      </c>
      <c r="T532" s="1894">
        <v>46.65</v>
      </c>
      <c r="U532" s="1894">
        <v>151185</v>
      </c>
      <c r="V532" s="1894">
        <f t="shared" si="216"/>
        <v>194452</v>
      </c>
      <c r="W532" s="1894">
        <f t="shared" si="217"/>
        <v>0</v>
      </c>
      <c r="X532" s="1894">
        <v>450</v>
      </c>
      <c r="Y532" s="1894">
        <v>438</v>
      </c>
      <c r="Z532" s="1894">
        <v>438</v>
      </c>
      <c r="AA532" s="1894">
        <v>0.93510000000000004</v>
      </c>
      <c r="AB532" s="1894">
        <v>48.24</v>
      </c>
      <c r="AC532" s="1894">
        <v>152115</v>
      </c>
      <c r="AD532" s="1894">
        <f t="shared" si="218"/>
        <v>189216</v>
      </c>
      <c r="AE532" s="1894">
        <f t="shared" si="219"/>
        <v>0</v>
      </c>
      <c r="AF532" s="1894">
        <v>450</v>
      </c>
      <c r="AG532" s="1894">
        <v>423.59999999999997</v>
      </c>
      <c r="AH532" s="1894">
        <v>423.6</v>
      </c>
      <c r="AI532" s="1894">
        <v>0.98860000000000003</v>
      </c>
      <c r="AJ532" s="1894">
        <v>54.82</v>
      </c>
      <c r="AK532" s="1894">
        <v>172755</v>
      </c>
      <c r="AL532" s="1894">
        <f t="shared" si="237"/>
        <v>189095</v>
      </c>
      <c r="AM532" s="1894">
        <f t="shared" si="238"/>
        <v>0</v>
      </c>
      <c r="AN532" s="1894">
        <v>450</v>
      </c>
      <c r="AO532" s="1894">
        <v>463.20000000000005</v>
      </c>
      <c r="AP532" s="1894">
        <v>463.2</v>
      </c>
      <c r="AQ532" s="1894">
        <v>0.9446</v>
      </c>
      <c r="AR532" s="1894">
        <v>24.75</v>
      </c>
      <c r="AS532" s="1894">
        <v>85305</v>
      </c>
      <c r="AT532" s="1894">
        <f t="shared" si="220"/>
        <v>206772</v>
      </c>
      <c r="AU532" s="1894">
        <f t="shared" si="221"/>
        <v>0</v>
      </c>
      <c r="AV532" s="1894">
        <v>450</v>
      </c>
      <c r="AW532" s="1894">
        <v>544.80000000000007</v>
      </c>
      <c r="AX532" s="1894">
        <v>544.79999999999995</v>
      </c>
      <c r="AY532" s="1894">
        <v>0.9798</v>
      </c>
      <c r="AZ532" s="1894">
        <v>28.45</v>
      </c>
      <c r="BA532" s="1894">
        <v>111615</v>
      </c>
      <c r="BB532" s="1894">
        <f t="shared" si="222"/>
        <v>235354</v>
      </c>
      <c r="BC532" s="1894">
        <f t="shared" si="223"/>
        <v>0</v>
      </c>
      <c r="BD532" s="1894">
        <v>450</v>
      </c>
      <c r="BE532" s="1894">
        <v>369.6</v>
      </c>
      <c r="BF532" s="1894">
        <v>369.6</v>
      </c>
      <c r="BG532" s="1894">
        <v>0.997</v>
      </c>
      <c r="BH532" s="1894">
        <v>33.79</v>
      </c>
      <c r="BI532" s="1894">
        <v>92910</v>
      </c>
      <c r="BJ532" s="1894">
        <f t="shared" si="224"/>
        <v>164989</v>
      </c>
      <c r="BK532" s="1894">
        <f t="shared" si="225"/>
        <v>0</v>
      </c>
      <c r="BL532" s="1894">
        <v>450</v>
      </c>
      <c r="BM532" s="1894">
        <v>205.20000000000002</v>
      </c>
      <c r="BN532" s="1894">
        <v>360</v>
      </c>
      <c r="BO532" s="1894">
        <v>0.77929999999999999</v>
      </c>
      <c r="BP532" s="1894">
        <v>16.059999999999999</v>
      </c>
      <c r="BQ532" s="1894">
        <v>23730</v>
      </c>
      <c r="BR532" s="1894">
        <f t="shared" si="226"/>
        <v>88646</v>
      </c>
      <c r="BS532" s="1894">
        <f t="shared" si="227"/>
        <v>0</v>
      </c>
      <c r="BT532" s="1894">
        <v>450</v>
      </c>
      <c r="BU532" s="1894">
        <v>391.2</v>
      </c>
      <c r="BV532" s="1894">
        <v>391.2</v>
      </c>
      <c r="BW532" s="1894">
        <v>0.99209999999999998</v>
      </c>
      <c r="BX532" s="1894">
        <v>31.67</v>
      </c>
      <c r="BY532" s="1894">
        <v>92190</v>
      </c>
      <c r="BZ532" s="1894">
        <f t="shared" si="228"/>
        <v>174632</v>
      </c>
      <c r="CA532" s="1894">
        <f t="shared" si="229"/>
        <v>0</v>
      </c>
      <c r="CB532" s="1894">
        <v>450</v>
      </c>
      <c r="CC532" s="1894">
        <v>418.8</v>
      </c>
      <c r="CD532" s="1894">
        <v>418.8</v>
      </c>
      <c r="CE532" s="1894">
        <v>0.98850000000000005</v>
      </c>
      <c r="CF532" s="1894">
        <v>49.71</v>
      </c>
      <c r="CG532" s="1894">
        <v>154875</v>
      </c>
      <c r="CH532" s="1894">
        <f t="shared" si="230"/>
        <v>186952</v>
      </c>
      <c r="CI532" s="1894">
        <f t="shared" si="231"/>
        <v>0</v>
      </c>
      <c r="CJ532" s="1894">
        <v>450</v>
      </c>
      <c r="CK532" s="1894">
        <v>416.40000000000003</v>
      </c>
      <c r="CL532" s="1894">
        <v>416.4</v>
      </c>
      <c r="CM532" s="1894">
        <v>0.99139999999999995</v>
      </c>
      <c r="CN532" s="1894">
        <v>44.39</v>
      </c>
      <c r="CO532" s="1894">
        <v>124200</v>
      </c>
      <c r="CP532" s="1894">
        <f t="shared" si="232"/>
        <v>167892</v>
      </c>
      <c r="CQ532" s="1894">
        <f t="shared" si="233"/>
        <v>0</v>
      </c>
      <c r="CR532" s="1924">
        <v>450</v>
      </c>
      <c r="CS532" s="1924">
        <v>412.8</v>
      </c>
      <c r="CT532" s="1924">
        <v>412.8</v>
      </c>
      <c r="CU532" s="1924">
        <v>0.99270000000000003</v>
      </c>
      <c r="CV532" s="1924">
        <v>43.51</v>
      </c>
      <c r="CW532" s="1924">
        <v>133620</v>
      </c>
      <c r="CX532" s="1894">
        <f t="shared" si="234"/>
        <v>184274</v>
      </c>
      <c r="CY532" s="1894">
        <f t="shared" si="235"/>
        <v>0</v>
      </c>
    </row>
    <row r="533" spans="1:103">
      <c r="A533" s="982">
        <v>123000000013</v>
      </c>
      <c r="B533" s="1923">
        <f t="shared" si="236"/>
        <v>527</v>
      </c>
      <c r="C533" s="1895" t="s">
        <v>3404</v>
      </c>
      <c r="D533" s="1894" t="s">
        <v>524</v>
      </c>
      <c r="E533" s="1895" t="s">
        <v>541</v>
      </c>
      <c r="F533" s="1894" t="s">
        <v>259</v>
      </c>
      <c r="G533" s="1924">
        <v>450</v>
      </c>
      <c r="H533" s="1894">
        <v>450</v>
      </c>
      <c r="I533" s="1894">
        <v>441.36</v>
      </c>
      <c r="J533" s="1894">
        <v>441.36</v>
      </c>
      <c r="K533" s="1894">
        <v>0.98909999999999998</v>
      </c>
      <c r="L533" s="1894">
        <v>48.2</v>
      </c>
      <c r="M533" s="1894">
        <v>153174</v>
      </c>
      <c r="N533" s="1894">
        <f t="shared" si="214"/>
        <v>190668</v>
      </c>
      <c r="O533" s="1894">
        <f t="shared" si="215"/>
        <v>0</v>
      </c>
      <c r="P533" s="1894">
        <v>450</v>
      </c>
      <c r="Q533" s="1894">
        <v>422.16</v>
      </c>
      <c r="R533" s="1894">
        <v>422.16</v>
      </c>
      <c r="S533" s="1894">
        <v>0.98680000000000001</v>
      </c>
      <c r="T533" s="1894">
        <v>45.25</v>
      </c>
      <c r="U533" s="1894">
        <v>142131</v>
      </c>
      <c r="V533" s="1894">
        <f t="shared" si="216"/>
        <v>188452</v>
      </c>
      <c r="W533" s="1894">
        <f t="shared" si="217"/>
        <v>0</v>
      </c>
      <c r="X533" s="1894">
        <v>450</v>
      </c>
      <c r="Y533" s="1894">
        <v>416.15999999999997</v>
      </c>
      <c r="Z533" s="1894">
        <v>416.16</v>
      </c>
      <c r="AA533" s="1894">
        <v>0.98670000000000002</v>
      </c>
      <c r="AB533" s="1894">
        <v>43.71</v>
      </c>
      <c r="AC533" s="1894">
        <v>130968</v>
      </c>
      <c r="AD533" s="1894">
        <f t="shared" si="218"/>
        <v>179781</v>
      </c>
      <c r="AE533" s="1894">
        <f t="shared" si="219"/>
        <v>0</v>
      </c>
      <c r="AF533" s="1894">
        <v>450</v>
      </c>
      <c r="AG533" s="1894">
        <v>387.84</v>
      </c>
      <c r="AH533" s="1894">
        <v>387.84</v>
      </c>
      <c r="AI533" s="1894">
        <v>0.98709999999999998</v>
      </c>
      <c r="AJ533" s="1894">
        <v>47.75</v>
      </c>
      <c r="AK533" s="1894">
        <v>137775</v>
      </c>
      <c r="AL533" s="1894">
        <f t="shared" si="237"/>
        <v>173132</v>
      </c>
      <c r="AM533" s="1894">
        <f t="shared" si="238"/>
        <v>0</v>
      </c>
      <c r="AN533" s="1894">
        <v>450</v>
      </c>
      <c r="AO533" s="1894">
        <v>435.11999999999995</v>
      </c>
      <c r="AP533" s="1894">
        <v>435.12</v>
      </c>
      <c r="AQ533" s="1894">
        <v>0.98619999999999997</v>
      </c>
      <c r="AR533" s="1894">
        <v>39.89</v>
      </c>
      <c r="AS533" s="1894">
        <v>129126</v>
      </c>
      <c r="AT533" s="1894">
        <f t="shared" si="220"/>
        <v>194238</v>
      </c>
      <c r="AU533" s="1894">
        <f t="shared" si="221"/>
        <v>0</v>
      </c>
      <c r="AV533" s="1894">
        <v>450</v>
      </c>
      <c r="AW533" s="1894">
        <v>420</v>
      </c>
      <c r="AX533" s="1894">
        <v>420</v>
      </c>
      <c r="AY533" s="1894">
        <v>0.98780000000000001</v>
      </c>
      <c r="AZ533" s="1894">
        <v>48.21</v>
      </c>
      <c r="BA533" s="1894">
        <v>145788</v>
      </c>
      <c r="BB533" s="1894">
        <f t="shared" si="222"/>
        <v>181440</v>
      </c>
      <c r="BC533" s="1894">
        <f t="shared" si="223"/>
        <v>0</v>
      </c>
      <c r="BD533" s="1894">
        <v>450</v>
      </c>
      <c r="BE533" s="1894">
        <v>406.08</v>
      </c>
      <c r="BF533" s="1894">
        <v>406.08</v>
      </c>
      <c r="BG533" s="1894">
        <v>0.98780000000000001</v>
      </c>
      <c r="BH533" s="1894">
        <v>51.35</v>
      </c>
      <c r="BI533" s="1894">
        <v>155154</v>
      </c>
      <c r="BJ533" s="1894">
        <f t="shared" si="224"/>
        <v>181274</v>
      </c>
      <c r="BK533" s="1894">
        <f t="shared" si="225"/>
        <v>0</v>
      </c>
      <c r="BL533" s="1894">
        <v>450</v>
      </c>
      <c r="BM533" s="1894">
        <v>403.44</v>
      </c>
      <c r="BN533" s="1894">
        <v>403.44</v>
      </c>
      <c r="BO533" s="1894">
        <v>0.98850000000000005</v>
      </c>
      <c r="BP533" s="1894">
        <v>51.3</v>
      </c>
      <c r="BQ533" s="1894">
        <v>149004</v>
      </c>
      <c r="BR533" s="1894">
        <f t="shared" si="226"/>
        <v>174286</v>
      </c>
      <c r="BS533" s="1894">
        <f t="shared" si="227"/>
        <v>0</v>
      </c>
      <c r="BT533" s="1894">
        <v>450</v>
      </c>
      <c r="BU533" s="1894">
        <v>406.32</v>
      </c>
      <c r="BV533" s="1894">
        <v>406.32</v>
      </c>
      <c r="BW533" s="1894">
        <v>0.98770000000000002</v>
      </c>
      <c r="BX533" s="1894">
        <v>49.83</v>
      </c>
      <c r="BY533" s="1894">
        <v>150645</v>
      </c>
      <c r="BZ533" s="1894">
        <f t="shared" si="228"/>
        <v>181381</v>
      </c>
      <c r="CA533" s="1894">
        <f t="shared" si="229"/>
        <v>0</v>
      </c>
      <c r="CB533" s="1894">
        <v>450</v>
      </c>
      <c r="CC533" s="1894">
        <v>404.88</v>
      </c>
      <c r="CD533" s="1894">
        <v>404.88</v>
      </c>
      <c r="CE533" s="1894">
        <v>0.9879</v>
      </c>
      <c r="CF533" s="1894">
        <v>46.69</v>
      </c>
      <c r="CG533" s="1894">
        <v>140649</v>
      </c>
      <c r="CH533" s="1894">
        <f t="shared" si="230"/>
        <v>180738</v>
      </c>
      <c r="CI533" s="1894">
        <f t="shared" si="231"/>
        <v>0</v>
      </c>
      <c r="CJ533" s="1894">
        <v>450</v>
      </c>
      <c r="CK533" s="1894">
        <v>354</v>
      </c>
      <c r="CL533" s="1894">
        <v>360</v>
      </c>
      <c r="CM533" s="1894">
        <v>0.98799999999999999</v>
      </c>
      <c r="CN533" s="1894">
        <v>57.13</v>
      </c>
      <c r="CO533" s="1894">
        <v>135912</v>
      </c>
      <c r="CP533" s="1894">
        <f t="shared" si="232"/>
        <v>142733</v>
      </c>
      <c r="CQ533" s="1894">
        <f t="shared" si="233"/>
        <v>0</v>
      </c>
      <c r="CR533" s="1924">
        <v>450</v>
      </c>
      <c r="CS533" s="1924">
        <v>363.84000000000003</v>
      </c>
      <c r="CT533" s="1924">
        <v>363.84</v>
      </c>
      <c r="CU533" s="1924">
        <v>0.98670000000000002</v>
      </c>
      <c r="CV533" s="1924">
        <v>54.75</v>
      </c>
      <c r="CW533" s="1924">
        <v>148215</v>
      </c>
      <c r="CX533" s="1894">
        <f t="shared" si="234"/>
        <v>162418</v>
      </c>
      <c r="CY533" s="1894">
        <f t="shared" si="235"/>
        <v>0</v>
      </c>
    </row>
    <row r="534" spans="1:103">
      <c r="A534" s="982">
        <v>124000000028</v>
      </c>
      <c r="B534" s="1923">
        <f t="shared" si="236"/>
        <v>528</v>
      </c>
      <c r="C534" s="1895" t="s">
        <v>3405</v>
      </c>
      <c r="D534" s="1894" t="s">
        <v>524</v>
      </c>
      <c r="E534" s="1895" t="s">
        <v>541</v>
      </c>
      <c r="F534" s="1894" t="s">
        <v>259</v>
      </c>
      <c r="G534" s="1924">
        <v>450</v>
      </c>
      <c r="H534" s="1894">
        <v>450</v>
      </c>
      <c r="I534" s="1894">
        <v>456</v>
      </c>
      <c r="J534" s="1894">
        <v>456</v>
      </c>
      <c r="K534" s="1894">
        <v>0.95330000000000004</v>
      </c>
      <c r="L534" s="1894">
        <v>40.700000000000003</v>
      </c>
      <c r="M534" s="1894">
        <v>138072</v>
      </c>
      <c r="N534" s="1894">
        <f t="shared" si="214"/>
        <v>196992</v>
      </c>
      <c r="O534" s="1894">
        <f t="shared" si="215"/>
        <v>0</v>
      </c>
      <c r="P534" s="1894">
        <v>450</v>
      </c>
      <c r="Q534" s="1894">
        <v>491.28</v>
      </c>
      <c r="R534" s="1894">
        <v>491.28</v>
      </c>
      <c r="S534" s="1894">
        <v>0.96009999999999995</v>
      </c>
      <c r="T534" s="1894">
        <v>42.31</v>
      </c>
      <c r="U534" s="1894">
        <v>169620</v>
      </c>
      <c r="V534" s="1894">
        <f t="shared" si="216"/>
        <v>219307</v>
      </c>
      <c r="W534" s="1894">
        <f t="shared" si="217"/>
        <v>0</v>
      </c>
      <c r="X534" s="1894">
        <v>450</v>
      </c>
      <c r="Y534" s="1894">
        <v>494.88</v>
      </c>
      <c r="Z534" s="1894">
        <v>494.88</v>
      </c>
      <c r="AA534" s="1894">
        <v>0.96450000000000002</v>
      </c>
      <c r="AB534" s="1894">
        <v>43.23</v>
      </c>
      <c r="AC534" s="1894">
        <v>154017</v>
      </c>
      <c r="AD534" s="1894">
        <f t="shared" si="218"/>
        <v>213788</v>
      </c>
      <c r="AE534" s="1894">
        <f t="shared" si="219"/>
        <v>0</v>
      </c>
      <c r="AF534" s="1894">
        <v>450</v>
      </c>
      <c r="AG534" s="1894">
        <v>486.96</v>
      </c>
      <c r="AH534" s="1894">
        <v>486.96</v>
      </c>
      <c r="AI534" s="1894">
        <v>0.96220000000000006</v>
      </c>
      <c r="AJ534" s="1894">
        <v>43.78</v>
      </c>
      <c r="AK534" s="1894">
        <v>158607</v>
      </c>
      <c r="AL534" s="1894">
        <f t="shared" si="237"/>
        <v>217379</v>
      </c>
      <c r="AM534" s="1894">
        <f t="shared" si="238"/>
        <v>0</v>
      </c>
      <c r="AN534" s="1894">
        <v>450</v>
      </c>
      <c r="AO534" s="1894">
        <v>487.68</v>
      </c>
      <c r="AP534" s="1894">
        <v>487.68</v>
      </c>
      <c r="AQ534" s="1894">
        <v>0.93149999999999999</v>
      </c>
      <c r="AR534" s="1894">
        <v>41.31</v>
      </c>
      <c r="AS534" s="1894">
        <v>149889</v>
      </c>
      <c r="AT534" s="1894">
        <f t="shared" si="220"/>
        <v>217700</v>
      </c>
      <c r="AU534" s="1894">
        <f t="shared" si="221"/>
        <v>0</v>
      </c>
      <c r="AV534" s="1894">
        <v>450</v>
      </c>
      <c r="AW534" s="1894">
        <v>496.8</v>
      </c>
      <c r="AX534" s="1894">
        <v>496.8</v>
      </c>
      <c r="AY534" s="1894">
        <v>0.91390000000000005</v>
      </c>
      <c r="AZ534" s="1894">
        <v>45.09</v>
      </c>
      <c r="BA534" s="1894">
        <v>155901</v>
      </c>
      <c r="BB534" s="1894">
        <f t="shared" si="222"/>
        <v>214618</v>
      </c>
      <c r="BC534" s="1894">
        <f t="shared" si="223"/>
        <v>0</v>
      </c>
      <c r="BD534" s="1894">
        <v>450</v>
      </c>
      <c r="BE534" s="1894">
        <v>501.12</v>
      </c>
      <c r="BF534" s="1894">
        <v>501.12</v>
      </c>
      <c r="BG534" s="1894">
        <v>0.91100000000000003</v>
      </c>
      <c r="BH534" s="1894">
        <v>43.86</v>
      </c>
      <c r="BI534" s="1894">
        <v>168816</v>
      </c>
      <c r="BJ534" s="1894">
        <f t="shared" si="224"/>
        <v>223700</v>
      </c>
      <c r="BK534" s="1894">
        <f t="shared" si="225"/>
        <v>0</v>
      </c>
      <c r="BL534" s="1894">
        <v>450</v>
      </c>
      <c r="BM534" s="1894">
        <v>500.88</v>
      </c>
      <c r="BN534" s="1894">
        <v>500.88</v>
      </c>
      <c r="BO534" s="1894">
        <v>0.89510000000000001</v>
      </c>
      <c r="BP534" s="1894">
        <v>45.68</v>
      </c>
      <c r="BQ534" s="1894">
        <v>164745</v>
      </c>
      <c r="BR534" s="1894">
        <f t="shared" si="226"/>
        <v>216380</v>
      </c>
      <c r="BS534" s="1894">
        <f t="shared" si="227"/>
        <v>0</v>
      </c>
      <c r="BT534" s="1894">
        <v>450</v>
      </c>
      <c r="BU534" s="1894">
        <v>526.08000000000004</v>
      </c>
      <c r="BV534" s="1894">
        <v>526.08000000000004</v>
      </c>
      <c r="BW534" s="1894">
        <v>0.9042</v>
      </c>
      <c r="BX534" s="1894">
        <v>49.74</v>
      </c>
      <c r="BY534" s="1894">
        <v>194697</v>
      </c>
      <c r="BZ534" s="1894">
        <f t="shared" si="228"/>
        <v>234842</v>
      </c>
      <c r="CA534" s="1894">
        <f t="shared" si="229"/>
        <v>0</v>
      </c>
      <c r="CB534" s="1894">
        <v>450</v>
      </c>
      <c r="CC534" s="1894">
        <v>523.91999999999996</v>
      </c>
      <c r="CD534" s="1894">
        <v>523.91999999999996</v>
      </c>
      <c r="CE534" s="1894">
        <v>0.89539999999999997</v>
      </c>
      <c r="CF534" s="1894">
        <v>47.04</v>
      </c>
      <c r="CG534" s="1894">
        <v>183372</v>
      </c>
      <c r="CH534" s="1894">
        <f t="shared" si="230"/>
        <v>233878</v>
      </c>
      <c r="CI534" s="1894">
        <f t="shared" si="231"/>
        <v>0</v>
      </c>
      <c r="CJ534" s="1894">
        <v>450</v>
      </c>
      <c r="CK534" s="1894">
        <v>500.4</v>
      </c>
      <c r="CL534" s="1894">
        <v>500.4</v>
      </c>
      <c r="CM534" s="1894">
        <v>0.90390000000000004</v>
      </c>
      <c r="CN534" s="1894">
        <v>53.72</v>
      </c>
      <c r="CO534" s="1894">
        <v>180630</v>
      </c>
      <c r="CP534" s="1894">
        <f t="shared" si="232"/>
        <v>201761</v>
      </c>
      <c r="CQ534" s="1894">
        <f t="shared" si="233"/>
        <v>0</v>
      </c>
      <c r="CR534" s="1924">
        <v>450</v>
      </c>
      <c r="CS534" s="1924">
        <v>510.24</v>
      </c>
      <c r="CT534" s="1924">
        <v>510.24</v>
      </c>
      <c r="CU534" s="1924">
        <v>0.90539999999999998</v>
      </c>
      <c r="CV534" s="1924">
        <v>50.34</v>
      </c>
      <c r="CW534" s="1924">
        <v>191085</v>
      </c>
      <c r="CX534" s="1894">
        <f t="shared" si="234"/>
        <v>227771</v>
      </c>
      <c r="CY534" s="1894">
        <f t="shared" si="235"/>
        <v>0</v>
      </c>
    </row>
    <row r="535" spans="1:103">
      <c r="A535" s="982">
        <v>622000000013</v>
      </c>
      <c r="B535" s="1923">
        <f t="shared" si="236"/>
        <v>529</v>
      </c>
      <c r="C535" s="1895" t="s">
        <v>3406</v>
      </c>
      <c r="D535" s="1894" t="s">
        <v>524</v>
      </c>
      <c r="E535" s="1895" t="s">
        <v>629</v>
      </c>
      <c r="F535" s="1894" t="s">
        <v>259</v>
      </c>
      <c r="G535" s="1924">
        <v>452.22</v>
      </c>
      <c r="H535" s="1894">
        <v>452.22</v>
      </c>
      <c r="I535" s="1894">
        <v>104</v>
      </c>
      <c r="J535" s="1894">
        <v>452.22</v>
      </c>
      <c r="K535" s="1894">
        <v>0.97960000000000003</v>
      </c>
      <c r="L535" s="1894">
        <v>0</v>
      </c>
      <c r="M535" s="1894">
        <v>48632</v>
      </c>
      <c r="N535" s="1894">
        <f t="shared" si="214"/>
        <v>44928</v>
      </c>
      <c r="O535" s="1894">
        <f t="shared" si="215"/>
        <v>3704</v>
      </c>
      <c r="P535" s="1894">
        <v>452.22</v>
      </c>
      <c r="Q535" s="1894">
        <v>102.4</v>
      </c>
      <c r="R535" s="1894">
        <v>452.22</v>
      </c>
      <c r="S535" s="1894">
        <v>0.97889999999999999</v>
      </c>
      <c r="T535" s="1894">
        <v>0</v>
      </c>
      <c r="U535" s="1894">
        <v>48510</v>
      </c>
      <c r="V535" s="1894">
        <f t="shared" si="216"/>
        <v>45711</v>
      </c>
      <c r="W535" s="1894">
        <f t="shared" si="217"/>
        <v>2799</v>
      </c>
      <c r="X535" s="1894">
        <v>452.22</v>
      </c>
      <c r="Y535" s="1894">
        <v>104</v>
      </c>
      <c r="Z535" s="1894">
        <v>452.22</v>
      </c>
      <c r="AA535" s="1894">
        <v>0.97809999999999997</v>
      </c>
      <c r="AB535" s="1894">
        <v>0</v>
      </c>
      <c r="AC535" s="1894">
        <v>46144</v>
      </c>
      <c r="AD535" s="1894">
        <f t="shared" si="218"/>
        <v>44928</v>
      </c>
      <c r="AE535" s="1894">
        <f t="shared" si="219"/>
        <v>1216</v>
      </c>
      <c r="AF535" s="1894">
        <v>452.22</v>
      </c>
      <c r="AG535" s="1894">
        <v>94.399999999999991</v>
      </c>
      <c r="AH535" s="1894">
        <v>452.22</v>
      </c>
      <c r="AI535" s="1894">
        <v>0.97850000000000004</v>
      </c>
      <c r="AJ535" s="1894">
        <v>0</v>
      </c>
      <c r="AK535" s="1894">
        <v>42442</v>
      </c>
      <c r="AL535" s="1894">
        <f t="shared" si="237"/>
        <v>42140</v>
      </c>
      <c r="AM535" s="1894">
        <f t="shared" si="238"/>
        <v>302</v>
      </c>
      <c r="AN535" s="1894">
        <v>452.22</v>
      </c>
      <c r="AO535" s="1894">
        <v>95.679999999999993</v>
      </c>
      <c r="AP535" s="1894">
        <v>452.22</v>
      </c>
      <c r="AQ535" s="1894">
        <v>0.97509999999999997</v>
      </c>
      <c r="AR535" s="1894">
        <v>0</v>
      </c>
      <c r="AS535" s="1894">
        <v>37418</v>
      </c>
      <c r="AT535" s="1894">
        <f t="shared" si="220"/>
        <v>42712</v>
      </c>
      <c r="AU535" s="1894">
        <f t="shared" si="221"/>
        <v>0</v>
      </c>
      <c r="AV535" s="1894">
        <v>452.22</v>
      </c>
      <c r="AW535" s="1894">
        <v>154.4</v>
      </c>
      <c r="AX535" s="1894">
        <v>452.22</v>
      </c>
      <c r="AY535" s="1894">
        <v>0.97240000000000004</v>
      </c>
      <c r="AZ535" s="1894">
        <v>0</v>
      </c>
      <c r="BA535" s="1894">
        <v>56841</v>
      </c>
      <c r="BB535" s="1894">
        <f t="shared" si="222"/>
        <v>66701</v>
      </c>
      <c r="BC535" s="1894">
        <f t="shared" si="223"/>
        <v>0</v>
      </c>
      <c r="BD535" s="1894">
        <v>452.22</v>
      </c>
      <c r="BE535" s="1894">
        <v>98.240000000000009</v>
      </c>
      <c r="BF535" s="1894">
        <v>452.22</v>
      </c>
      <c r="BG535" s="1894">
        <v>0.97040000000000004</v>
      </c>
      <c r="BH535" s="1894">
        <v>0</v>
      </c>
      <c r="BI535" s="1894">
        <v>45498</v>
      </c>
      <c r="BJ535" s="1894">
        <f t="shared" si="224"/>
        <v>43854</v>
      </c>
      <c r="BK535" s="1894">
        <f t="shared" si="225"/>
        <v>1644</v>
      </c>
      <c r="BL535" s="1894">
        <v>452.22</v>
      </c>
      <c r="BM535" s="1894">
        <v>111.52</v>
      </c>
      <c r="BN535" s="1894">
        <v>452.22</v>
      </c>
      <c r="BO535" s="1894">
        <v>0.97399999999999998</v>
      </c>
      <c r="BP535" s="1894">
        <v>0</v>
      </c>
      <c r="BQ535" s="1894">
        <v>44608</v>
      </c>
      <c r="BR535" s="1894">
        <f t="shared" si="226"/>
        <v>48177</v>
      </c>
      <c r="BS535" s="1894">
        <f t="shared" si="227"/>
        <v>0</v>
      </c>
      <c r="BT535" s="1894">
        <v>452.22</v>
      </c>
      <c r="BU535" s="1894">
        <v>114.16</v>
      </c>
      <c r="BV535" s="1894">
        <v>452.22</v>
      </c>
      <c r="BW535" s="1894">
        <v>0.98170000000000002</v>
      </c>
      <c r="BX535" s="1894">
        <v>0</v>
      </c>
      <c r="BY535" s="1894">
        <v>50249</v>
      </c>
      <c r="BZ535" s="1894">
        <f t="shared" si="228"/>
        <v>50961</v>
      </c>
      <c r="CA535" s="1894">
        <f t="shared" si="229"/>
        <v>0</v>
      </c>
      <c r="CB535" s="1894">
        <v>452.22</v>
      </c>
      <c r="CC535" s="1894">
        <v>111.28</v>
      </c>
      <c r="CD535" s="1894">
        <v>452.22</v>
      </c>
      <c r="CE535" s="1894">
        <v>0.98819999999999997</v>
      </c>
      <c r="CF535" s="1894">
        <v>0</v>
      </c>
      <c r="CG535" s="1894">
        <v>41794</v>
      </c>
      <c r="CH535" s="1894">
        <f t="shared" si="230"/>
        <v>49675</v>
      </c>
      <c r="CI535" s="1894">
        <f t="shared" si="231"/>
        <v>0</v>
      </c>
      <c r="CJ535" s="1894">
        <v>452.22</v>
      </c>
      <c r="CK535" s="1894">
        <v>103.36000000000001</v>
      </c>
      <c r="CL535" s="1894">
        <v>452.22</v>
      </c>
      <c r="CM535" s="1894">
        <v>0.98429999999999995</v>
      </c>
      <c r="CN535" s="1894">
        <v>0</v>
      </c>
      <c r="CO535" s="1894">
        <v>44149</v>
      </c>
      <c r="CP535" s="1894">
        <f t="shared" si="232"/>
        <v>41675</v>
      </c>
      <c r="CQ535" s="1894">
        <f t="shared" si="233"/>
        <v>2474</v>
      </c>
      <c r="CR535" s="1924">
        <v>452.22</v>
      </c>
      <c r="CS535" s="1924">
        <v>95.84</v>
      </c>
      <c r="CT535" s="1924">
        <v>452.22</v>
      </c>
      <c r="CU535" s="1924">
        <v>0.98099999999999998</v>
      </c>
      <c r="CV535" s="1924">
        <v>0</v>
      </c>
      <c r="CW535" s="1924">
        <v>40488</v>
      </c>
      <c r="CX535" s="1894">
        <f t="shared" si="234"/>
        <v>42783</v>
      </c>
      <c r="CY535" s="1894">
        <f t="shared" si="235"/>
        <v>0</v>
      </c>
    </row>
    <row r="536" spans="1:103">
      <c r="A536" s="982">
        <v>124000000052</v>
      </c>
      <c r="B536" s="1923">
        <f t="shared" si="236"/>
        <v>530</v>
      </c>
      <c r="C536" s="1895" t="s">
        <v>3407</v>
      </c>
      <c r="D536" s="1894" t="s">
        <v>524</v>
      </c>
      <c r="E536" s="1895" t="s">
        <v>737</v>
      </c>
      <c r="F536" s="1894" t="s">
        <v>259</v>
      </c>
      <c r="G536" s="1924">
        <v>458</v>
      </c>
      <c r="H536" s="1894">
        <v>458</v>
      </c>
      <c r="I536" s="1894">
        <v>216</v>
      </c>
      <c r="J536" s="1894">
        <v>366.4</v>
      </c>
      <c r="K536" s="1894">
        <v>1</v>
      </c>
      <c r="L536" s="1894">
        <v>57.51</v>
      </c>
      <c r="M536" s="1894">
        <v>83484</v>
      </c>
      <c r="N536" s="1894">
        <f t="shared" si="214"/>
        <v>93312</v>
      </c>
      <c r="O536" s="1894">
        <f t="shared" si="215"/>
        <v>0</v>
      </c>
      <c r="P536" s="1894">
        <v>458</v>
      </c>
      <c r="Q536" s="1894">
        <v>192</v>
      </c>
      <c r="R536" s="1894">
        <v>366.4</v>
      </c>
      <c r="S536" s="1894">
        <v>1</v>
      </c>
      <c r="T536" s="1894">
        <v>55.41</v>
      </c>
      <c r="U536" s="1894">
        <v>76596</v>
      </c>
      <c r="V536" s="1894">
        <f t="shared" si="216"/>
        <v>85709</v>
      </c>
      <c r="W536" s="1894">
        <f t="shared" si="217"/>
        <v>0</v>
      </c>
      <c r="X536" s="1894">
        <v>458</v>
      </c>
      <c r="Y536" s="1894">
        <v>259.2</v>
      </c>
      <c r="Z536" s="1894">
        <v>366.4</v>
      </c>
      <c r="AA536" s="1894">
        <v>0.99980000000000002</v>
      </c>
      <c r="AB536" s="1894">
        <v>44.79</v>
      </c>
      <c r="AC536" s="1894">
        <v>100302</v>
      </c>
      <c r="AD536" s="1894">
        <f t="shared" si="218"/>
        <v>111974</v>
      </c>
      <c r="AE536" s="1894">
        <f t="shared" si="219"/>
        <v>0</v>
      </c>
      <c r="AF536" s="1894">
        <v>458</v>
      </c>
      <c r="AG536" s="1894">
        <v>277.44</v>
      </c>
      <c r="AH536" s="1894">
        <v>366.4</v>
      </c>
      <c r="AI536" s="1894">
        <v>0.99990000000000001</v>
      </c>
      <c r="AJ536" s="1894">
        <v>46.77</v>
      </c>
      <c r="AK536" s="1894">
        <v>80964</v>
      </c>
      <c r="AL536" s="1894">
        <f t="shared" si="237"/>
        <v>123849</v>
      </c>
      <c r="AM536" s="1894">
        <f t="shared" si="238"/>
        <v>0</v>
      </c>
      <c r="AN536" s="1894">
        <v>458</v>
      </c>
      <c r="AO536" s="1894">
        <v>228</v>
      </c>
      <c r="AP536" s="1894">
        <v>366.4</v>
      </c>
      <c r="AQ536" s="1894">
        <v>0.98060000000000003</v>
      </c>
      <c r="AR536" s="1894">
        <v>58.5</v>
      </c>
      <c r="AS536" s="1894">
        <v>120288</v>
      </c>
      <c r="AT536" s="1894">
        <f t="shared" si="220"/>
        <v>101779</v>
      </c>
      <c r="AU536" s="1894">
        <f t="shared" si="221"/>
        <v>18509</v>
      </c>
      <c r="AV536" s="1894">
        <v>458</v>
      </c>
      <c r="AW536" s="1894">
        <v>277.92</v>
      </c>
      <c r="AX536" s="1894">
        <v>366.4</v>
      </c>
      <c r="AY536" s="1894">
        <v>0.9929</v>
      </c>
      <c r="AZ536" s="1894">
        <v>47.1</v>
      </c>
      <c r="BA536" s="1894">
        <v>91098</v>
      </c>
      <c r="BB536" s="1894">
        <f t="shared" si="222"/>
        <v>120061</v>
      </c>
      <c r="BC536" s="1894">
        <f t="shared" si="223"/>
        <v>0</v>
      </c>
      <c r="BD536" s="1894">
        <v>458</v>
      </c>
      <c r="BE536" s="1894">
        <v>200.16</v>
      </c>
      <c r="BF536" s="1894">
        <v>366.4</v>
      </c>
      <c r="BG536" s="1894">
        <v>0.98229999999999995</v>
      </c>
      <c r="BH536" s="1894">
        <v>47.56</v>
      </c>
      <c r="BI536" s="1894">
        <v>66261</v>
      </c>
      <c r="BJ536" s="1894">
        <f t="shared" si="224"/>
        <v>89351</v>
      </c>
      <c r="BK536" s="1894">
        <f t="shared" si="225"/>
        <v>0</v>
      </c>
      <c r="BL536" s="1894">
        <v>458</v>
      </c>
      <c r="BM536" s="1894">
        <v>133.19999999999999</v>
      </c>
      <c r="BN536" s="1894">
        <v>366.4</v>
      </c>
      <c r="BO536" s="1894">
        <v>0.97750000000000004</v>
      </c>
      <c r="BP536" s="1894">
        <v>68.27</v>
      </c>
      <c r="BQ536" s="1894">
        <v>65478</v>
      </c>
      <c r="BR536" s="1894">
        <f t="shared" si="226"/>
        <v>57542</v>
      </c>
      <c r="BS536" s="1894">
        <f t="shared" si="227"/>
        <v>7936</v>
      </c>
      <c r="BT536" s="1894">
        <v>458</v>
      </c>
      <c r="BU536" s="1894">
        <v>138.24</v>
      </c>
      <c r="BV536" s="1894">
        <v>366.4</v>
      </c>
      <c r="BW536" s="1894">
        <v>0.97950000000000004</v>
      </c>
      <c r="BX536" s="1894">
        <v>69.61</v>
      </c>
      <c r="BY536" s="1894">
        <v>83139</v>
      </c>
      <c r="BZ536" s="1894">
        <f t="shared" si="228"/>
        <v>61710</v>
      </c>
      <c r="CA536" s="1894">
        <f t="shared" si="229"/>
        <v>21429</v>
      </c>
      <c r="CB536" s="1894">
        <v>458</v>
      </c>
      <c r="CC536" s="1894">
        <v>159.84</v>
      </c>
      <c r="CD536" s="1894">
        <v>366.4</v>
      </c>
      <c r="CE536" s="1894">
        <v>0.98270000000000002</v>
      </c>
      <c r="CF536" s="1894">
        <v>60.4</v>
      </c>
      <c r="CG536" s="1894">
        <v>71829</v>
      </c>
      <c r="CH536" s="1894">
        <f t="shared" si="230"/>
        <v>71353</v>
      </c>
      <c r="CI536" s="1894">
        <f t="shared" si="231"/>
        <v>476</v>
      </c>
      <c r="CJ536" s="1894">
        <v>458</v>
      </c>
      <c r="CK536" s="1894">
        <v>166.32</v>
      </c>
      <c r="CL536" s="1894">
        <v>366.4</v>
      </c>
      <c r="CM536" s="1894">
        <v>0.97</v>
      </c>
      <c r="CN536" s="1894">
        <v>52.2</v>
      </c>
      <c r="CO536" s="1894">
        <v>58344</v>
      </c>
      <c r="CP536" s="1894">
        <f t="shared" si="232"/>
        <v>67060</v>
      </c>
      <c r="CQ536" s="1894">
        <f t="shared" si="233"/>
        <v>0</v>
      </c>
      <c r="CR536" s="1924">
        <v>458</v>
      </c>
      <c r="CS536" s="1924">
        <v>246.23999999999998</v>
      </c>
      <c r="CT536" s="1924">
        <v>366.4</v>
      </c>
      <c r="CU536" s="1924">
        <v>0.98329999999999995</v>
      </c>
      <c r="CV536" s="1924">
        <v>43.44</v>
      </c>
      <c r="CW536" s="1924">
        <v>79587</v>
      </c>
      <c r="CX536" s="1894">
        <f t="shared" si="234"/>
        <v>109922</v>
      </c>
      <c r="CY536" s="1894">
        <f t="shared" si="235"/>
        <v>0</v>
      </c>
    </row>
    <row r="537" spans="1:103">
      <c r="A537" s="982">
        <v>614000000005</v>
      </c>
      <c r="B537" s="1923">
        <f t="shared" si="236"/>
        <v>531</v>
      </c>
      <c r="C537" s="1895" t="s">
        <v>3408</v>
      </c>
      <c r="D537" s="1894" t="s">
        <v>524</v>
      </c>
      <c r="E537" s="1895" t="s">
        <v>737</v>
      </c>
      <c r="F537" s="1894" t="s">
        <v>259</v>
      </c>
      <c r="G537" s="1924">
        <v>465</v>
      </c>
      <c r="H537" s="1894">
        <v>0</v>
      </c>
      <c r="I537" s="1894">
        <v>0</v>
      </c>
      <c r="J537" s="1894">
        <v>0</v>
      </c>
      <c r="K537" s="1894">
        <v>0</v>
      </c>
      <c r="L537" s="1894">
        <v>0</v>
      </c>
      <c r="M537" s="1894">
        <v>0</v>
      </c>
      <c r="N537" s="1894">
        <f t="shared" si="214"/>
        <v>0</v>
      </c>
      <c r="O537" s="1894">
        <f t="shared" si="215"/>
        <v>0</v>
      </c>
      <c r="P537" s="1894">
        <v>0</v>
      </c>
      <c r="Q537" s="1894">
        <v>0</v>
      </c>
      <c r="R537" s="1894">
        <v>0</v>
      </c>
      <c r="S537" s="1894">
        <v>0</v>
      </c>
      <c r="T537" s="1894">
        <v>0</v>
      </c>
      <c r="U537" s="1894">
        <v>0</v>
      </c>
      <c r="V537" s="1894">
        <f t="shared" si="216"/>
        <v>0</v>
      </c>
      <c r="W537" s="1894">
        <f t="shared" si="217"/>
        <v>0</v>
      </c>
      <c r="X537" s="1894">
        <v>0</v>
      </c>
      <c r="Y537" s="1894">
        <v>0</v>
      </c>
      <c r="Z537" s="1894">
        <v>0</v>
      </c>
      <c r="AA537" s="1894">
        <v>0</v>
      </c>
      <c r="AB537" s="1894">
        <v>0</v>
      </c>
      <c r="AC537" s="1894">
        <v>0</v>
      </c>
      <c r="AD537" s="1894">
        <f t="shared" si="218"/>
        <v>0</v>
      </c>
      <c r="AE537" s="1894">
        <f t="shared" si="219"/>
        <v>0</v>
      </c>
      <c r="AF537" s="1894">
        <v>0</v>
      </c>
      <c r="AG537" s="1894">
        <v>0</v>
      </c>
      <c r="AH537" s="1894">
        <v>0</v>
      </c>
      <c r="AI537" s="1894">
        <v>0</v>
      </c>
      <c r="AJ537" s="1894">
        <v>0</v>
      </c>
      <c r="AK537" s="1894">
        <v>0</v>
      </c>
      <c r="AL537" s="1894">
        <f t="shared" si="237"/>
        <v>0</v>
      </c>
      <c r="AM537" s="1894">
        <f t="shared" si="238"/>
        <v>0</v>
      </c>
      <c r="AN537" s="1894">
        <v>0</v>
      </c>
      <c r="AO537" s="1894">
        <v>0</v>
      </c>
      <c r="AP537" s="1894">
        <v>0</v>
      </c>
      <c r="AQ537" s="1894">
        <v>0</v>
      </c>
      <c r="AR537" s="1894">
        <v>0</v>
      </c>
      <c r="AS537" s="1894">
        <v>0</v>
      </c>
      <c r="AT537" s="1894">
        <f t="shared" si="220"/>
        <v>0</v>
      </c>
      <c r="AU537" s="1894">
        <f t="shared" si="221"/>
        <v>0</v>
      </c>
      <c r="AV537" s="1894">
        <v>0</v>
      </c>
      <c r="AW537" s="1894">
        <v>0</v>
      </c>
      <c r="AX537" s="1894">
        <v>0</v>
      </c>
      <c r="AY537" s="1894">
        <v>0</v>
      </c>
      <c r="AZ537" s="1894">
        <v>0</v>
      </c>
      <c r="BA537" s="1894">
        <v>0</v>
      </c>
      <c r="BB537" s="1894">
        <f t="shared" si="222"/>
        <v>0</v>
      </c>
      <c r="BC537" s="1894">
        <f t="shared" si="223"/>
        <v>0</v>
      </c>
      <c r="BD537" s="1894">
        <v>0</v>
      </c>
      <c r="BE537" s="1894">
        <v>0</v>
      </c>
      <c r="BF537" s="1894">
        <v>0</v>
      </c>
      <c r="BG537" s="1894">
        <v>0</v>
      </c>
      <c r="BH537" s="1894">
        <v>0</v>
      </c>
      <c r="BI537" s="1894">
        <v>0</v>
      </c>
      <c r="BJ537" s="1894">
        <f t="shared" si="224"/>
        <v>0</v>
      </c>
      <c r="BK537" s="1894">
        <f t="shared" si="225"/>
        <v>0</v>
      </c>
      <c r="BL537" s="1894">
        <v>0</v>
      </c>
      <c r="BM537" s="1894">
        <v>0</v>
      </c>
      <c r="BN537" s="1894">
        <v>0</v>
      </c>
      <c r="BO537" s="1894">
        <v>0</v>
      </c>
      <c r="BP537" s="1894">
        <v>0</v>
      </c>
      <c r="BQ537" s="1894">
        <v>0</v>
      </c>
      <c r="BR537" s="1894">
        <f t="shared" si="226"/>
        <v>0</v>
      </c>
      <c r="BS537" s="1894">
        <f t="shared" si="227"/>
        <v>0</v>
      </c>
      <c r="BT537" s="1894">
        <v>465</v>
      </c>
      <c r="BU537" s="1894">
        <v>26.64</v>
      </c>
      <c r="BV537" s="1894">
        <v>372</v>
      </c>
      <c r="BW537" s="1894">
        <v>0.41360000000000002</v>
      </c>
      <c r="BX537" s="1894">
        <v>10.32</v>
      </c>
      <c r="BY537" s="1894">
        <v>660</v>
      </c>
      <c r="BZ537" s="1894">
        <f t="shared" si="228"/>
        <v>11892</v>
      </c>
      <c r="CA537" s="1894">
        <f t="shared" si="229"/>
        <v>0</v>
      </c>
      <c r="CB537" s="1894">
        <v>465</v>
      </c>
      <c r="CC537" s="1894">
        <v>88.56</v>
      </c>
      <c r="CD537" s="1894">
        <v>372</v>
      </c>
      <c r="CE537" s="1894">
        <v>0.64770000000000005</v>
      </c>
      <c r="CF537" s="1894">
        <v>4.25</v>
      </c>
      <c r="CG537" s="1894">
        <v>2802</v>
      </c>
      <c r="CH537" s="1894">
        <f t="shared" si="230"/>
        <v>39533</v>
      </c>
      <c r="CI537" s="1894">
        <f t="shared" si="231"/>
        <v>0</v>
      </c>
      <c r="CJ537" s="1894">
        <v>465</v>
      </c>
      <c r="CK537" s="1894">
        <v>46.08</v>
      </c>
      <c r="CL537" s="1894">
        <v>372</v>
      </c>
      <c r="CM537" s="1894">
        <v>0.87970000000000004</v>
      </c>
      <c r="CN537" s="1894">
        <v>7.97</v>
      </c>
      <c r="CO537" s="1894">
        <v>2469</v>
      </c>
      <c r="CP537" s="1894">
        <f t="shared" si="232"/>
        <v>18579</v>
      </c>
      <c r="CQ537" s="1894">
        <f t="shared" si="233"/>
        <v>0</v>
      </c>
      <c r="CR537" s="1924">
        <v>465</v>
      </c>
      <c r="CS537" s="1924">
        <v>244.07999999999998</v>
      </c>
      <c r="CT537" s="1924">
        <v>372</v>
      </c>
      <c r="CU537" s="1924">
        <v>0.85240000000000005</v>
      </c>
      <c r="CV537" s="1924">
        <v>2.4300000000000002</v>
      </c>
      <c r="CW537" s="1924">
        <v>4413</v>
      </c>
      <c r="CX537" s="1894">
        <f t="shared" si="234"/>
        <v>108957</v>
      </c>
      <c r="CY537" s="1894">
        <f t="shared" si="235"/>
        <v>0</v>
      </c>
    </row>
    <row r="538" spans="1:103">
      <c r="A538" s="982">
        <v>611000000095</v>
      </c>
      <c r="B538" s="1923">
        <f t="shared" si="236"/>
        <v>532</v>
      </c>
      <c r="C538" s="1895" t="s">
        <v>3409</v>
      </c>
      <c r="D538" s="1894" t="s">
        <v>524</v>
      </c>
      <c r="E538" s="1895" t="s">
        <v>541</v>
      </c>
      <c r="F538" s="1894" t="s">
        <v>259</v>
      </c>
      <c r="G538" s="1924">
        <v>465</v>
      </c>
      <c r="H538" s="1894">
        <v>850</v>
      </c>
      <c r="I538" s="1894">
        <v>451.2</v>
      </c>
      <c r="J538" s="1894">
        <v>680</v>
      </c>
      <c r="K538" s="1894">
        <v>0.99439999999999995</v>
      </c>
      <c r="L538" s="1894">
        <v>33.11</v>
      </c>
      <c r="M538" s="1894">
        <v>130458</v>
      </c>
      <c r="N538" s="1894">
        <f t="shared" si="214"/>
        <v>194918</v>
      </c>
      <c r="O538" s="1894">
        <f t="shared" si="215"/>
        <v>0</v>
      </c>
      <c r="P538" s="1894">
        <v>850</v>
      </c>
      <c r="Q538" s="1894">
        <v>485.28</v>
      </c>
      <c r="R538" s="1894">
        <v>680</v>
      </c>
      <c r="S538" s="1894">
        <v>0.99529999999999996</v>
      </c>
      <c r="T538" s="1894">
        <v>48.49</v>
      </c>
      <c r="U538" s="1894">
        <v>175086</v>
      </c>
      <c r="V538" s="1894">
        <f t="shared" si="216"/>
        <v>216629</v>
      </c>
      <c r="W538" s="1894">
        <f t="shared" si="217"/>
        <v>0</v>
      </c>
      <c r="X538" s="1894">
        <v>465</v>
      </c>
      <c r="Y538" s="1894">
        <v>628.79999999999995</v>
      </c>
      <c r="Z538" s="1894">
        <v>628.79999999999995</v>
      </c>
      <c r="AA538" s="1894">
        <v>0.99529999999999996</v>
      </c>
      <c r="AB538" s="1894">
        <v>34.369999999999997</v>
      </c>
      <c r="AC538" s="1894">
        <v>155604</v>
      </c>
      <c r="AD538" s="1894">
        <f t="shared" si="218"/>
        <v>271642</v>
      </c>
      <c r="AE538" s="1894">
        <f t="shared" si="219"/>
        <v>0</v>
      </c>
      <c r="AF538" s="1894">
        <v>465</v>
      </c>
      <c r="AG538" s="1894">
        <v>454.56</v>
      </c>
      <c r="AH538" s="1894">
        <v>454.56</v>
      </c>
      <c r="AI538" s="1894">
        <v>0.99280000000000002</v>
      </c>
      <c r="AJ538" s="1894">
        <v>37.39</v>
      </c>
      <c r="AK538" s="1894">
        <v>106056</v>
      </c>
      <c r="AL538" s="1894">
        <f t="shared" si="237"/>
        <v>202916</v>
      </c>
      <c r="AM538" s="1894">
        <f t="shared" si="238"/>
        <v>0</v>
      </c>
      <c r="AN538" s="1894">
        <v>465</v>
      </c>
      <c r="AO538" s="1894">
        <v>726.24</v>
      </c>
      <c r="AP538" s="1894">
        <v>726.24</v>
      </c>
      <c r="AQ538" s="1894">
        <v>0.97340000000000004</v>
      </c>
      <c r="AR538" s="1894">
        <v>23.45</v>
      </c>
      <c r="AS538" s="1894">
        <v>147162</v>
      </c>
      <c r="AT538" s="1894">
        <f t="shared" si="220"/>
        <v>324194</v>
      </c>
      <c r="AU538" s="1894">
        <f t="shared" si="221"/>
        <v>0</v>
      </c>
      <c r="AV538" s="1894">
        <v>465</v>
      </c>
      <c r="AW538" s="1894">
        <v>474.24</v>
      </c>
      <c r="AX538" s="1894">
        <v>474.24</v>
      </c>
      <c r="AY538" s="1894">
        <v>0.99829999999999997</v>
      </c>
      <c r="AZ538" s="1894">
        <v>12.02</v>
      </c>
      <c r="BA538" s="1894">
        <v>39678</v>
      </c>
      <c r="BB538" s="1894">
        <f t="shared" si="222"/>
        <v>204872</v>
      </c>
      <c r="BC538" s="1894">
        <f t="shared" si="223"/>
        <v>0</v>
      </c>
      <c r="BD538" s="1894">
        <v>465</v>
      </c>
      <c r="BE538" s="1894">
        <v>121.92</v>
      </c>
      <c r="BF538" s="1894">
        <v>372</v>
      </c>
      <c r="BG538" s="1894">
        <v>0.99160000000000004</v>
      </c>
      <c r="BH538" s="1894">
        <v>13.89</v>
      </c>
      <c r="BI538" s="1894">
        <v>13002</v>
      </c>
      <c r="BJ538" s="1894">
        <f t="shared" si="224"/>
        <v>54425</v>
      </c>
      <c r="BK538" s="1894">
        <f t="shared" si="225"/>
        <v>0</v>
      </c>
      <c r="BL538" s="1894">
        <v>465</v>
      </c>
      <c r="BM538" s="1894">
        <v>374.4</v>
      </c>
      <c r="BN538" s="1894">
        <v>374.4</v>
      </c>
      <c r="BO538" s="1894">
        <v>0.99490000000000001</v>
      </c>
      <c r="BP538" s="1894">
        <v>10.18</v>
      </c>
      <c r="BQ538" s="1894">
        <v>27444</v>
      </c>
      <c r="BR538" s="1894">
        <f t="shared" si="226"/>
        <v>161741</v>
      </c>
      <c r="BS538" s="1894">
        <f t="shared" si="227"/>
        <v>0</v>
      </c>
      <c r="BT538" s="1894">
        <v>465</v>
      </c>
      <c r="BU538" s="1894">
        <v>429.6</v>
      </c>
      <c r="BV538" s="1894">
        <v>429.6</v>
      </c>
      <c r="BW538" s="1894">
        <v>0.99790000000000001</v>
      </c>
      <c r="BX538" s="1894">
        <v>16.53</v>
      </c>
      <c r="BY538" s="1894">
        <v>52818</v>
      </c>
      <c r="BZ538" s="1894">
        <f t="shared" si="228"/>
        <v>191773</v>
      </c>
      <c r="CA538" s="1894">
        <f t="shared" si="229"/>
        <v>0</v>
      </c>
      <c r="CB538" s="1894">
        <v>465</v>
      </c>
      <c r="CC538" s="1894">
        <v>459.84</v>
      </c>
      <c r="CD538" s="1894">
        <v>459.84</v>
      </c>
      <c r="CE538" s="1894">
        <v>0.99839999999999995</v>
      </c>
      <c r="CF538" s="1894">
        <v>38.51</v>
      </c>
      <c r="CG538" s="1894">
        <v>131736</v>
      </c>
      <c r="CH538" s="1894">
        <f t="shared" si="230"/>
        <v>205273</v>
      </c>
      <c r="CI538" s="1894">
        <f t="shared" si="231"/>
        <v>0</v>
      </c>
      <c r="CJ538" s="1894">
        <v>465</v>
      </c>
      <c r="CK538" s="1894">
        <v>455.04</v>
      </c>
      <c r="CL538" s="1894">
        <v>455.04</v>
      </c>
      <c r="CM538" s="1894">
        <v>0.99850000000000005</v>
      </c>
      <c r="CN538" s="1894">
        <v>43.44</v>
      </c>
      <c r="CO538" s="1894">
        <v>132828</v>
      </c>
      <c r="CP538" s="1894">
        <f t="shared" si="232"/>
        <v>183472</v>
      </c>
      <c r="CQ538" s="1894">
        <f t="shared" si="233"/>
        <v>0</v>
      </c>
      <c r="CR538" s="1924">
        <v>465</v>
      </c>
      <c r="CS538" s="1924">
        <v>442.56</v>
      </c>
      <c r="CT538" s="1924">
        <v>442.56</v>
      </c>
      <c r="CU538" s="1924">
        <v>0.99709999999999999</v>
      </c>
      <c r="CV538" s="1924">
        <v>44.79</v>
      </c>
      <c r="CW538" s="1924">
        <v>147492</v>
      </c>
      <c r="CX538" s="1894">
        <f t="shared" si="234"/>
        <v>197559</v>
      </c>
      <c r="CY538" s="1894">
        <f t="shared" si="235"/>
        <v>0</v>
      </c>
    </row>
    <row r="539" spans="1:103">
      <c r="A539" s="982">
        <v>421000000002</v>
      </c>
      <c r="B539" s="1923">
        <f t="shared" si="236"/>
        <v>533</v>
      </c>
      <c r="C539" s="1895" t="s">
        <v>3410</v>
      </c>
      <c r="D539" s="1894" t="s">
        <v>524</v>
      </c>
      <c r="E539" s="1895" t="s">
        <v>737</v>
      </c>
      <c r="F539" s="1894" t="s">
        <v>259</v>
      </c>
      <c r="G539" s="1924">
        <v>467</v>
      </c>
      <c r="H539" s="1894">
        <v>467</v>
      </c>
      <c r="I539" s="1894">
        <v>76.8</v>
      </c>
      <c r="J539" s="1894">
        <v>373.6</v>
      </c>
      <c r="K539" s="1894">
        <v>0.83120000000000005</v>
      </c>
      <c r="L539" s="1894">
        <v>40.82</v>
      </c>
      <c r="M539" s="1894">
        <v>22572</v>
      </c>
      <c r="N539" s="1894">
        <f t="shared" si="214"/>
        <v>33178</v>
      </c>
      <c r="O539" s="1894">
        <f t="shared" si="215"/>
        <v>0</v>
      </c>
      <c r="P539" s="1894">
        <v>467</v>
      </c>
      <c r="Q539" s="1894">
        <v>73.2</v>
      </c>
      <c r="R539" s="1894">
        <v>373.6</v>
      </c>
      <c r="S539" s="1894">
        <v>0.81200000000000006</v>
      </c>
      <c r="T539" s="1894">
        <v>37.82</v>
      </c>
      <c r="U539" s="1894">
        <v>20595</v>
      </c>
      <c r="V539" s="1894">
        <f t="shared" si="216"/>
        <v>32676</v>
      </c>
      <c r="W539" s="1894">
        <f t="shared" si="217"/>
        <v>0</v>
      </c>
      <c r="X539" s="1894">
        <v>467</v>
      </c>
      <c r="Y539" s="1894">
        <v>68.88</v>
      </c>
      <c r="Z539" s="1894">
        <v>373.6</v>
      </c>
      <c r="AA539" s="1894">
        <v>0.79869999999999997</v>
      </c>
      <c r="AB539" s="1894">
        <v>37.47</v>
      </c>
      <c r="AC539" s="1894">
        <v>17961</v>
      </c>
      <c r="AD539" s="1894">
        <f t="shared" si="218"/>
        <v>29756</v>
      </c>
      <c r="AE539" s="1894">
        <f t="shared" si="219"/>
        <v>0</v>
      </c>
      <c r="AF539" s="1894">
        <v>467</v>
      </c>
      <c r="AG539" s="1894">
        <v>76.08</v>
      </c>
      <c r="AH539" s="1894">
        <v>373.6</v>
      </c>
      <c r="AI539" s="1894">
        <v>0.81950000000000001</v>
      </c>
      <c r="AJ539" s="1894">
        <v>40.119999999999997</v>
      </c>
      <c r="AK539" s="1894">
        <v>23442</v>
      </c>
      <c r="AL539" s="1894">
        <f t="shared" si="237"/>
        <v>33962</v>
      </c>
      <c r="AM539" s="1894">
        <f t="shared" si="238"/>
        <v>0</v>
      </c>
      <c r="AN539" s="1894">
        <v>467</v>
      </c>
      <c r="AO539" s="1894">
        <v>70.56</v>
      </c>
      <c r="AP539" s="1894">
        <v>373.6</v>
      </c>
      <c r="AQ539" s="1894">
        <v>0.77439999999999998</v>
      </c>
      <c r="AR539" s="1894">
        <v>36.61</v>
      </c>
      <c r="AS539" s="1894">
        <v>19218</v>
      </c>
      <c r="AT539" s="1894">
        <f t="shared" si="220"/>
        <v>31498</v>
      </c>
      <c r="AU539" s="1894">
        <f t="shared" si="221"/>
        <v>0</v>
      </c>
      <c r="AV539" s="1894">
        <v>467</v>
      </c>
      <c r="AW539" s="1894">
        <v>80.16</v>
      </c>
      <c r="AX539" s="1894">
        <v>373.6</v>
      </c>
      <c r="AY539" s="1894">
        <v>0.79269999999999996</v>
      </c>
      <c r="AZ539" s="1894">
        <v>37.01</v>
      </c>
      <c r="BA539" s="1894">
        <v>21363</v>
      </c>
      <c r="BB539" s="1894">
        <f t="shared" si="222"/>
        <v>34629</v>
      </c>
      <c r="BC539" s="1894">
        <f t="shared" si="223"/>
        <v>0</v>
      </c>
      <c r="BD539" s="1894">
        <v>467</v>
      </c>
      <c r="BE539" s="1894">
        <v>74.400000000000006</v>
      </c>
      <c r="BF539" s="1894">
        <v>373.6</v>
      </c>
      <c r="BG539" s="1894">
        <v>0.72</v>
      </c>
      <c r="BH539" s="1894">
        <v>34.229999999999997</v>
      </c>
      <c r="BI539" s="1894">
        <v>18948</v>
      </c>
      <c r="BJ539" s="1894">
        <f t="shared" si="224"/>
        <v>33212</v>
      </c>
      <c r="BK539" s="1894">
        <f t="shared" si="225"/>
        <v>0</v>
      </c>
      <c r="BL539" s="1894">
        <v>467</v>
      </c>
      <c r="BM539" s="1894">
        <v>50.64</v>
      </c>
      <c r="BN539" s="1894">
        <v>373.6</v>
      </c>
      <c r="BO539" s="1894">
        <v>0.68330000000000002</v>
      </c>
      <c r="BP539" s="1894">
        <v>56.13</v>
      </c>
      <c r="BQ539" s="1894">
        <v>20466</v>
      </c>
      <c r="BR539" s="1894">
        <f t="shared" si="226"/>
        <v>21876</v>
      </c>
      <c r="BS539" s="1894">
        <f t="shared" si="227"/>
        <v>0</v>
      </c>
      <c r="BT539" s="1894">
        <v>467</v>
      </c>
      <c r="BU539" s="1894">
        <v>45.6</v>
      </c>
      <c r="BV539" s="1894">
        <v>373.6</v>
      </c>
      <c r="BW539" s="1894">
        <v>0.6643</v>
      </c>
      <c r="BX539" s="1894">
        <v>60.48</v>
      </c>
      <c r="BY539" s="1894">
        <v>20520</v>
      </c>
      <c r="BZ539" s="1894">
        <f t="shared" si="228"/>
        <v>20356</v>
      </c>
      <c r="CA539" s="1894">
        <f t="shared" si="229"/>
        <v>164</v>
      </c>
      <c r="CB539" s="1894">
        <v>467</v>
      </c>
      <c r="CC539" s="1894">
        <v>45.36</v>
      </c>
      <c r="CD539" s="1894">
        <v>373.6</v>
      </c>
      <c r="CE539" s="1894">
        <v>0.70130000000000003</v>
      </c>
      <c r="CF539" s="1894">
        <v>58.01</v>
      </c>
      <c r="CG539" s="1894">
        <v>19578</v>
      </c>
      <c r="CH539" s="1894">
        <f t="shared" si="230"/>
        <v>20249</v>
      </c>
      <c r="CI539" s="1894">
        <f t="shared" si="231"/>
        <v>0</v>
      </c>
      <c r="CJ539" s="1894">
        <v>467</v>
      </c>
      <c r="CK539" s="1894">
        <v>45.36</v>
      </c>
      <c r="CL539" s="1894">
        <v>373.6</v>
      </c>
      <c r="CM539" s="1894">
        <v>0.75290000000000001</v>
      </c>
      <c r="CN539" s="1894">
        <v>57.28</v>
      </c>
      <c r="CO539" s="1894">
        <v>17460</v>
      </c>
      <c r="CP539" s="1894">
        <f t="shared" si="232"/>
        <v>18289</v>
      </c>
      <c r="CQ539" s="1894">
        <f t="shared" si="233"/>
        <v>0</v>
      </c>
      <c r="CR539" s="1924">
        <v>467</v>
      </c>
      <c r="CS539" s="1924">
        <v>53.28</v>
      </c>
      <c r="CT539" s="1924">
        <v>373.6</v>
      </c>
      <c r="CU539" s="1924">
        <v>0.78990000000000005</v>
      </c>
      <c r="CV539" s="1924">
        <v>49.77</v>
      </c>
      <c r="CW539" s="1924">
        <v>19728</v>
      </c>
      <c r="CX539" s="1894">
        <f t="shared" si="234"/>
        <v>23784</v>
      </c>
      <c r="CY539" s="1894">
        <f t="shared" si="235"/>
        <v>0</v>
      </c>
    </row>
    <row r="540" spans="1:103">
      <c r="A540" s="982">
        <v>127000000009</v>
      </c>
      <c r="B540" s="1923">
        <f t="shared" si="236"/>
        <v>534</v>
      </c>
      <c r="C540" s="1895" t="s">
        <v>3411</v>
      </c>
      <c r="D540" s="1894" t="s">
        <v>524</v>
      </c>
      <c r="E540" s="1895" t="s">
        <v>2966</v>
      </c>
      <c r="F540" s="1894" t="s">
        <v>259</v>
      </c>
      <c r="G540" s="1924">
        <v>470</v>
      </c>
      <c r="H540" s="1894">
        <v>470</v>
      </c>
      <c r="I540" s="1894">
        <v>211.2</v>
      </c>
      <c r="J540" s="1894">
        <v>470</v>
      </c>
      <c r="K540" s="1894">
        <v>0.77849999999999997</v>
      </c>
      <c r="L540" s="1894">
        <v>0</v>
      </c>
      <c r="M540" s="1894">
        <v>25098</v>
      </c>
      <c r="N540" s="1894">
        <f t="shared" si="214"/>
        <v>91238</v>
      </c>
      <c r="O540" s="1894">
        <f t="shared" si="215"/>
        <v>0</v>
      </c>
      <c r="P540" s="1894">
        <v>470</v>
      </c>
      <c r="Q540" s="1894">
        <v>358.8</v>
      </c>
      <c r="R540" s="1894">
        <v>470</v>
      </c>
      <c r="S540" s="1894">
        <v>0.6996</v>
      </c>
      <c r="T540" s="1894">
        <v>0</v>
      </c>
      <c r="U540" s="1894">
        <v>28812</v>
      </c>
      <c r="V540" s="1894">
        <f t="shared" si="216"/>
        <v>160168</v>
      </c>
      <c r="W540" s="1894">
        <f t="shared" si="217"/>
        <v>0</v>
      </c>
      <c r="X540" s="1894">
        <v>470</v>
      </c>
      <c r="Y540" s="1894">
        <v>661.68</v>
      </c>
      <c r="Z540" s="1894">
        <v>661.68</v>
      </c>
      <c r="AA540" s="1894">
        <v>0.66180000000000005</v>
      </c>
      <c r="AB540" s="1894">
        <v>0</v>
      </c>
      <c r="AC540" s="1894">
        <v>49800</v>
      </c>
      <c r="AD540" s="1894">
        <f t="shared" si="218"/>
        <v>285846</v>
      </c>
      <c r="AE540" s="1894">
        <f t="shared" si="219"/>
        <v>0</v>
      </c>
      <c r="AF540" s="1894">
        <v>470</v>
      </c>
      <c r="AG540" s="1894">
        <v>605.28</v>
      </c>
      <c r="AH540" s="1894">
        <v>605.28</v>
      </c>
      <c r="AI540" s="1894">
        <v>0.61080000000000001</v>
      </c>
      <c r="AJ540" s="1894">
        <v>0</v>
      </c>
      <c r="AK540" s="1894">
        <v>141129</v>
      </c>
      <c r="AL540" s="1894">
        <f t="shared" si="237"/>
        <v>270197</v>
      </c>
      <c r="AM540" s="1894">
        <f t="shared" si="238"/>
        <v>0</v>
      </c>
      <c r="AN540" s="1894">
        <v>470</v>
      </c>
      <c r="AO540" s="1894">
        <v>524.88</v>
      </c>
      <c r="AP540" s="1894">
        <v>524.88</v>
      </c>
      <c r="AQ540" s="1894">
        <v>0.68</v>
      </c>
      <c r="AR540" s="1894">
        <v>0</v>
      </c>
      <c r="AS540" s="1894">
        <v>101514</v>
      </c>
      <c r="AT540" s="1894">
        <f t="shared" si="220"/>
        <v>234306</v>
      </c>
      <c r="AU540" s="1894">
        <f t="shared" si="221"/>
        <v>0</v>
      </c>
      <c r="AV540" s="1894">
        <v>470</v>
      </c>
      <c r="AW540" s="1894">
        <v>495.59999999999997</v>
      </c>
      <c r="AX540" s="1894">
        <v>495.6</v>
      </c>
      <c r="AY540" s="1894">
        <v>0.67479999999999996</v>
      </c>
      <c r="AZ540" s="1894">
        <v>0</v>
      </c>
      <c r="BA540" s="1894">
        <v>120417</v>
      </c>
      <c r="BB540" s="1894">
        <f t="shared" si="222"/>
        <v>214099</v>
      </c>
      <c r="BC540" s="1894">
        <f t="shared" si="223"/>
        <v>0</v>
      </c>
      <c r="BD540" s="1894">
        <v>470</v>
      </c>
      <c r="BE540" s="1894">
        <v>399.35999999999996</v>
      </c>
      <c r="BF540" s="1894">
        <v>470</v>
      </c>
      <c r="BG540" s="1894">
        <v>0.66669999999999996</v>
      </c>
      <c r="BH540" s="1894">
        <v>0</v>
      </c>
      <c r="BI540" s="1894">
        <v>143808</v>
      </c>
      <c r="BJ540" s="1894">
        <f t="shared" si="224"/>
        <v>178274</v>
      </c>
      <c r="BK540" s="1894">
        <f t="shared" si="225"/>
        <v>0</v>
      </c>
      <c r="BL540" s="1894">
        <v>470</v>
      </c>
      <c r="BM540" s="1894">
        <v>307.92</v>
      </c>
      <c r="BN540" s="1894">
        <v>470</v>
      </c>
      <c r="BO540" s="1894">
        <v>0.66869999999999996</v>
      </c>
      <c r="BP540" s="1894">
        <v>0</v>
      </c>
      <c r="BQ540" s="1894">
        <v>96792</v>
      </c>
      <c r="BR540" s="1894">
        <f t="shared" si="226"/>
        <v>133021</v>
      </c>
      <c r="BS540" s="1894">
        <f t="shared" si="227"/>
        <v>0</v>
      </c>
      <c r="BT540" s="1894">
        <v>470</v>
      </c>
      <c r="BU540" s="1894">
        <v>56.4</v>
      </c>
      <c r="BV540" s="1894">
        <v>470</v>
      </c>
      <c r="BW540" s="1894">
        <v>0.68469999999999998</v>
      </c>
      <c r="BX540" s="1894">
        <v>0</v>
      </c>
      <c r="BY540" s="1894">
        <v>11619</v>
      </c>
      <c r="BZ540" s="1894">
        <f t="shared" si="228"/>
        <v>25177</v>
      </c>
      <c r="CA540" s="1894">
        <f t="shared" si="229"/>
        <v>0</v>
      </c>
      <c r="CB540" s="1894">
        <v>470</v>
      </c>
      <c r="CC540" s="1894">
        <v>15.120000000000001</v>
      </c>
      <c r="CD540" s="1894">
        <v>470</v>
      </c>
      <c r="CE540" s="1894">
        <v>0.67769999999999997</v>
      </c>
      <c r="CF540" s="1894">
        <v>0</v>
      </c>
      <c r="CG540" s="1894">
        <v>4953</v>
      </c>
      <c r="CH540" s="1894">
        <f t="shared" si="230"/>
        <v>6750</v>
      </c>
      <c r="CI540" s="1894">
        <f t="shared" si="231"/>
        <v>0</v>
      </c>
      <c r="CJ540" s="1894">
        <v>470</v>
      </c>
      <c r="CK540" s="1894">
        <v>183.84</v>
      </c>
      <c r="CL540" s="1894">
        <v>470</v>
      </c>
      <c r="CM540" s="1894">
        <v>0.754</v>
      </c>
      <c r="CN540" s="1894">
        <v>0</v>
      </c>
      <c r="CO540" s="1894">
        <v>34341</v>
      </c>
      <c r="CP540" s="1894">
        <f t="shared" si="232"/>
        <v>74124</v>
      </c>
      <c r="CQ540" s="1894">
        <f t="shared" si="233"/>
        <v>0</v>
      </c>
      <c r="CR540" s="1924">
        <v>470</v>
      </c>
      <c r="CS540" s="1924">
        <v>284.16000000000003</v>
      </c>
      <c r="CT540" s="1924">
        <v>470</v>
      </c>
      <c r="CU540" s="1924">
        <v>0.69840000000000002</v>
      </c>
      <c r="CV540" s="1924">
        <v>0</v>
      </c>
      <c r="CW540" s="1924">
        <v>69459</v>
      </c>
      <c r="CX540" s="1894">
        <f t="shared" si="234"/>
        <v>126849</v>
      </c>
      <c r="CY540" s="1894">
        <f t="shared" si="235"/>
        <v>0</v>
      </c>
    </row>
    <row r="541" spans="1:103">
      <c r="A541" s="982">
        <v>123000000080</v>
      </c>
      <c r="B541" s="1923">
        <f t="shared" si="236"/>
        <v>535</v>
      </c>
      <c r="C541" s="1895" t="s">
        <v>3412</v>
      </c>
      <c r="D541" s="1894" t="s">
        <v>524</v>
      </c>
      <c r="E541" s="1895" t="s">
        <v>541</v>
      </c>
      <c r="F541" s="1894" t="s">
        <v>259</v>
      </c>
      <c r="G541" s="1924">
        <v>475</v>
      </c>
      <c r="H541" s="1894">
        <v>475</v>
      </c>
      <c r="I541" s="1894">
        <v>456</v>
      </c>
      <c r="J541" s="1894">
        <v>456</v>
      </c>
      <c r="K541" s="1894">
        <v>0.91490000000000005</v>
      </c>
      <c r="L541" s="1894">
        <v>51.94</v>
      </c>
      <c r="M541" s="1894">
        <v>170514</v>
      </c>
      <c r="N541" s="1894">
        <f t="shared" si="214"/>
        <v>196992</v>
      </c>
      <c r="O541" s="1894">
        <f t="shared" si="215"/>
        <v>0</v>
      </c>
      <c r="P541" s="1894">
        <v>475</v>
      </c>
      <c r="Q541" s="1894">
        <v>340.79999999999995</v>
      </c>
      <c r="R541" s="1894">
        <v>380</v>
      </c>
      <c r="S541" s="1894">
        <v>0.90300000000000002</v>
      </c>
      <c r="T541" s="1894">
        <v>50.59</v>
      </c>
      <c r="U541" s="1894">
        <v>128268</v>
      </c>
      <c r="V541" s="1894">
        <f t="shared" si="216"/>
        <v>152133</v>
      </c>
      <c r="W541" s="1894">
        <f t="shared" si="217"/>
        <v>0</v>
      </c>
      <c r="X541" s="1894">
        <v>475</v>
      </c>
      <c r="Y541" s="1894">
        <v>402</v>
      </c>
      <c r="Z541" s="1894">
        <v>402</v>
      </c>
      <c r="AA541" s="1894">
        <v>0.9103</v>
      </c>
      <c r="AB541" s="1894">
        <v>42.92</v>
      </c>
      <c r="AC541" s="1894">
        <v>115950</v>
      </c>
      <c r="AD541" s="1894">
        <f t="shared" si="218"/>
        <v>173664</v>
      </c>
      <c r="AE541" s="1894">
        <f t="shared" si="219"/>
        <v>0</v>
      </c>
      <c r="AF541" s="1894">
        <v>475</v>
      </c>
      <c r="AG541" s="1894">
        <v>358.8</v>
      </c>
      <c r="AH541" s="1894">
        <v>380</v>
      </c>
      <c r="AI541" s="1894">
        <v>0.90129999999999999</v>
      </c>
      <c r="AJ541" s="1894">
        <v>45.92</v>
      </c>
      <c r="AK541" s="1894">
        <v>122586</v>
      </c>
      <c r="AL541" s="1894">
        <f t="shared" si="237"/>
        <v>160168</v>
      </c>
      <c r="AM541" s="1894">
        <f t="shared" si="238"/>
        <v>0</v>
      </c>
      <c r="AN541" s="1894">
        <v>475</v>
      </c>
      <c r="AO541" s="1894">
        <v>247.2</v>
      </c>
      <c r="AP541" s="1894">
        <v>380</v>
      </c>
      <c r="AQ541" s="1894">
        <v>0.90949999999999998</v>
      </c>
      <c r="AR541" s="1894">
        <v>89.05</v>
      </c>
      <c r="AS541" s="1894">
        <v>174348</v>
      </c>
      <c r="AT541" s="1894">
        <f t="shared" si="220"/>
        <v>110350</v>
      </c>
      <c r="AU541" s="1894">
        <f t="shared" si="221"/>
        <v>63998</v>
      </c>
      <c r="AV541" s="1894">
        <v>475</v>
      </c>
      <c r="AW541" s="1894">
        <v>330</v>
      </c>
      <c r="AX541" s="1894">
        <v>380</v>
      </c>
      <c r="AY541" s="1894">
        <v>0.89280000000000004</v>
      </c>
      <c r="AZ541" s="1894">
        <v>47.99</v>
      </c>
      <c r="BA541" s="1894">
        <v>110220</v>
      </c>
      <c r="BB541" s="1894">
        <f t="shared" si="222"/>
        <v>142560</v>
      </c>
      <c r="BC541" s="1894">
        <f t="shared" si="223"/>
        <v>0</v>
      </c>
      <c r="BD541" s="1894">
        <v>475</v>
      </c>
      <c r="BE541" s="1894">
        <v>406.8</v>
      </c>
      <c r="BF541" s="1894">
        <v>406.8</v>
      </c>
      <c r="BG541" s="1894">
        <v>0.8891</v>
      </c>
      <c r="BH541" s="1894">
        <v>46.83</v>
      </c>
      <c r="BI541" s="1894">
        <v>146298</v>
      </c>
      <c r="BJ541" s="1894">
        <f t="shared" si="224"/>
        <v>181596</v>
      </c>
      <c r="BK541" s="1894">
        <f t="shared" si="225"/>
        <v>0</v>
      </c>
      <c r="BL541" s="1894">
        <v>475</v>
      </c>
      <c r="BM541" s="1894">
        <v>337.20000000000005</v>
      </c>
      <c r="BN541" s="1894">
        <v>380</v>
      </c>
      <c r="BO541" s="1894">
        <v>0.88790000000000002</v>
      </c>
      <c r="BP541" s="1894">
        <v>42.82</v>
      </c>
      <c r="BQ541" s="1894">
        <v>103968</v>
      </c>
      <c r="BR541" s="1894">
        <f t="shared" si="226"/>
        <v>145670</v>
      </c>
      <c r="BS541" s="1894">
        <f t="shared" si="227"/>
        <v>0</v>
      </c>
      <c r="BT541" s="1894">
        <v>475</v>
      </c>
      <c r="BU541" s="1894">
        <v>427.2</v>
      </c>
      <c r="BV541" s="1894">
        <v>427.2</v>
      </c>
      <c r="BW541" s="1894">
        <v>0.89739999999999998</v>
      </c>
      <c r="BX541" s="1894">
        <v>53.64</v>
      </c>
      <c r="BY541" s="1894">
        <v>170490</v>
      </c>
      <c r="BZ541" s="1894">
        <f t="shared" si="228"/>
        <v>190702</v>
      </c>
      <c r="CA541" s="1894">
        <f t="shared" si="229"/>
        <v>0</v>
      </c>
      <c r="CB541" s="1894">
        <v>475</v>
      </c>
      <c r="CC541" s="1894">
        <v>438</v>
      </c>
      <c r="CD541" s="1894">
        <v>438</v>
      </c>
      <c r="CE541" s="1894">
        <v>0.90800000000000003</v>
      </c>
      <c r="CF541" s="1894">
        <v>64.39</v>
      </c>
      <c r="CG541" s="1894">
        <v>209814</v>
      </c>
      <c r="CH541" s="1894">
        <f t="shared" si="230"/>
        <v>195523</v>
      </c>
      <c r="CI541" s="1894">
        <f t="shared" si="231"/>
        <v>14291</v>
      </c>
      <c r="CJ541" s="1894">
        <v>475</v>
      </c>
      <c r="CK541" s="1894">
        <v>433.2</v>
      </c>
      <c r="CL541" s="1894">
        <v>433.2</v>
      </c>
      <c r="CM541" s="1894">
        <v>0.89749999999999996</v>
      </c>
      <c r="CN541" s="1894">
        <v>61.21</v>
      </c>
      <c r="CO541" s="1894">
        <v>178200</v>
      </c>
      <c r="CP541" s="1894">
        <f t="shared" si="232"/>
        <v>174666</v>
      </c>
      <c r="CQ541" s="1894">
        <f t="shared" si="233"/>
        <v>3534</v>
      </c>
      <c r="CR541" s="1924">
        <v>475</v>
      </c>
      <c r="CS541" s="1924">
        <v>448.8</v>
      </c>
      <c r="CT541" s="1924">
        <v>448.8</v>
      </c>
      <c r="CU541" s="1924">
        <v>0.90839999999999999</v>
      </c>
      <c r="CV541" s="1924">
        <v>66.790000000000006</v>
      </c>
      <c r="CW541" s="1924">
        <v>223008</v>
      </c>
      <c r="CX541" s="1894">
        <f t="shared" si="234"/>
        <v>200344</v>
      </c>
      <c r="CY541" s="1894">
        <f t="shared" si="235"/>
        <v>22664</v>
      </c>
    </row>
    <row r="542" spans="1:103">
      <c r="A542" s="982">
        <v>611000000052</v>
      </c>
      <c r="B542" s="1923">
        <f t="shared" si="236"/>
        <v>536</v>
      </c>
      <c r="C542" s="1895" t="s">
        <v>3413</v>
      </c>
      <c r="D542" s="1894" t="s">
        <v>524</v>
      </c>
      <c r="E542" s="1895" t="s">
        <v>541</v>
      </c>
      <c r="F542" s="1894" t="s">
        <v>259</v>
      </c>
      <c r="G542" s="1924">
        <v>475</v>
      </c>
      <c r="H542" s="1894">
        <v>475</v>
      </c>
      <c r="I542" s="1894">
        <v>426.72</v>
      </c>
      <c r="J542" s="1894">
        <v>426.72</v>
      </c>
      <c r="K542" s="1894">
        <v>0.99060000000000004</v>
      </c>
      <c r="L542" s="1894">
        <v>63.13</v>
      </c>
      <c r="M542" s="1894">
        <v>193956</v>
      </c>
      <c r="N542" s="1894">
        <f t="shared" si="214"/>
        <v>184343</v>
      </c>
      <c r="O542" s="1894">
        <f t="shared" si="215"/>
        <v>9613</v>
      </c>
      <c r="P542" s="1894">
        <v>475</v>
      </c>
      <c r="Q542" s="1894">
        <v>407.52000000000004</v>
      </c>
      <c r="R542" s="1894">
        <v>407.52</v>
      </c>
      <c r="S542" s="1894">
        <v>0.99650000000000005</v>
      </c>
      <c r="T542" s="1894">
        <v>63.33</v>
      </c>
      <c r="U542" s="1894">
        <v>192012</v>
      </c>
      <c r="V542" s="1894">
        <f t="shared" si="216"/>
        <v>181917</v>
      </c>
      <c r="W542" s="1894">
        <f t="shared" si="217"/>
        <v>10095</v>
      </c>
      <c r="X542" s="1894">
        <v>475</v>
      </c>
      <c r="Y542" s="1894">
        <v>394.56</v>
      </c>
      <c r="Z542" s="1894">
        <v>394.56</v>
      </c>
      <c r="AA542" s="1894">
        <v>0.99509999999999998</v>
      </c>
      <c r="AB542" s="1894">
        <v>56.67</v>
      </c>
      <c r="AC542" s="1894">
        <v>160980</v>
      </c>
      <c r="AD542" s="1894">
        <f t="shared" si="218"/>
        <v>170450</v>
      </c>
      <c r="AE542" s="1894">
        <f t="shared" si="219"/>
        <v>0</v>
      </c>
      <c r="AF542" s="1894">
        <v>475</v>
      </c>
      <c r="AG542" s="1894">
        <v>391.68</v>
      </c>
      <c r="AH542" s="1894">
        <v>391.68</v>
      </c>
      <c r="AI542" s="1894">
        <v>0.99439999999999995</v>
      </c>
      <c r="AJ542" s="1894">
        <v>61.15</v>
      </c>
      <c r="AK542" s="1894">
        <v>160956</v>
      </c>
      <c r="AL542" s="1894">
        <f t="shared" si="237"/>
        <v>174846</v>
      </c>
      <c r="AM542" s="1894">
        <f t="shared" si="238"/>
        <v>0</v>
      </c>
      <c r="AN542" s="1894">
        <v>475</v>
      </c>
      <c r="AO542" s="1894">
        <v>339.84000000000003</v>
      </c>
      <c r="AP542" s="1894">
        <v>380</v>
      </c>
      <c r="AQ542" s="1894">
        <v>0.99160000000000004</v>
      </c>
      <c r="AR542" s="1894">
        <v>75.64</v>
      </c>
      <c r="AS542" s="1894">
        <v>209766</v>
      </c>
      <c r="AT542" s="1894">
        <f t="shared" si="220"/>
        <v>151705</v>
      </c>
      <c r="AU542" s="1894">
        <f t="shared" si="221"/>
        <v>58061</v>
      </c>
      <c r="AV542" s="1894">
        <v>475</v>
      </c>
      <c r="AW542" s="1894">
        <v>387.84</v>
      </c>
      <c r="AX542" s="1894">
        <v>387.84</v>
      </c>
      <c r="AY542" s="1894">
        <v>0.99319999999999997</v>
      </c>
      <c r="AZ542" s="1894">
        <v>46.93</v>
      </c>
      <c r="BA542" s="1894">
        <v>131052</v>
      </c>
      <c r="BB542" s="1894">
        <f t="shared" si="222"/>
        <v>167547</v>
      </c>
      <c r="BC542" s="1894">
        <f t="shared" si="223"/>
        <v>0</v>
      </c>
      <c r="BD542" s="1894">
        <v>475</v>
      </c>
      <c r="BE542" s="1894">
        <v>402.72</v>
      </c>
      <c r="BF542" s="1894">
        <v>402.72</v>
      </c>
      <c r="BG542" s="1894">
        <v>0.99070000000000003</v>
      </c>
      <c r="BH542" s="1894">
        <v>50.95</v>
      </c>
      <c r="BI542" s="1894">
        <v>152646</v>
      </c>
      <c r="BJ542" s="1894">
        <f t="shared" si="224"/>
        <v>179774</v>
      </c>
      <c r="BK542" s="1894">
        <f t="shared" si="225"/>
        <v>0</v>
      </c>
      <c r="BL542" s="1894">
        <v>475</v>
      </c>
      <c r="BM542" s="1894">
        <v>408.96</v>
      </c>
      <c r="BN542" s="1894">
        <v>408.96</v>
      </c>
      <c r="BO542" s="1894">
        <v>0.9829</v>
      </c>
      <c r="BP542" s="1894">
        <v>34.42</v>
      </c>
      <c r="BQ542" s="1894">
        <v>101340</v>
      </c>
      <c r="BR542" s="1894">
        <f t="shared" si="226"/>
        <v>176671</v>
      </c>
      <c r="BS542" s="1894">
        <f t="shared" si="227"/>
        <v>0</v>
      </c>
      <c r="BT542" s="1894">
        <v>475</v>
      </c>
      <c r="BU542" s="1894">
        <v>397.92</v>
      </c>
      <c r="BV542" s="1894">
        <v>397.92</v>
      </c>
      <c r="BW542" s="1894">
        <v>0.97350000000000003</v>
      </c>
      <c r="BX542" s="1894">
        <v>38.46</v>
      </c>
      <c r="BY542" s="1894">
        <v>95502</v>
      </c>
      <c r="BZ542" s="1894">
        <f t="shared" si="228"/>
        <v>177631</v>
      </c>
      <c r="CA542" s="1894">
        <f t="shared" si="229"/>
        <v>0</v>
      </c>
      <c r="CB542" s="1894">
        <v>475</v>
      </c>
      <c r="CC542" s="1894">
        <v>389.76</v>
      </c>
      <c r="CD542" s="1894">
        <v>389.76</v>
      </c>
      <c r="CE542" s="1894">
        <v>0.9829</v>
      </c>
      <c r="CF542" s="1894">
        <v>72.09</v>
      </c>
      <c r="CG542" s="1894">
        <v>215778</v>
      </c>
      <c r="CH542" s="1894">
        <f t="shared" si="230"/>
        <v>173989</v>
      </c>
      <c r="CI542" s="1894">
        <f t="shared" si="231"/>
        <v>41789</v>
      </c>
      <c r="CJ542" s="1894">
        <v>475</v>
      </c>
      <c r="CK542" s="1894">
        <v>402.72</v>
      </c>
      <c r="CL542" s="1894">
        <v>402.72</v>
      </c>
      <c r="CM542" s="1894">
        <v>0.97860000000000003</v>
      </c>
      <c r="CN542" s="1894">
        <v>68.38</v>
      </c>
      <c r="CO542" s="1894">
        <v>211482</v>
      </c>
      <c r="CP542" s="1894">
        <f t="shared" si="232"/>
        <v>162377</v>
      </c>
      <c r="CQ542" s="1894">
        <f t="shared" si="233"/>
        <v>49105</v>
      </c>
      <c r="CR542" s="1924">
        <v>475</v>
      </c>
      <c r="CS542" s="1924">
        <v>406.56</v>
      </c>
      <c r="CT542" s="1924">
        <v>406.56</v>
      </c>
      <c r="CU542" s="1924">
        <v>0.98089999999999999</v>
      </c>
      <c r="CV542" s="1924">
        <v>65.16</v>
      </c>
      <c r="CW542" s="1924">
        <v>184392</v>
      </c>
      <c r="CX542" s="1894">
        <f t="shared" si="234"/>
        <v>181488</v>
      </c>
      <c r="CY542" s="1894">
        <f t="shared" si="235"/>
        <v>2904</v>
      </c>
    </row>
    <row r="543" spans="1:103">
      <c r="A543" s="982">
        <v>622000000192</v>
      </c>
      <c r="B543" s="1923">
        <f t="shared" si="236"/>
        <v>537</v>
      </c>
      <c r="C543" s="1895" t="s">
        <v>3414</v>
      </c>
      <c r="D543" s="1894" t="s">
        <v>524</v>
      </c>
      <c r="E543" s="1895" t="s">
        <v>730</v>
      </c>
      <c r="F543" s="1894" t="s">
        <v>259</v>
      </c>
      <c r="G543" s="1924">
        <v>478</v>
      </c>
      <c r="H543" s="1894">
        <v>478</v>
      </c>
      <c r="I543" s="1894">
        <v>401.76</v>
      </c>
      <c r="J543" s="1894">
        <v>401.76</v>
      </c>
      <c r="K543" s="1894">
        <v>0.88490000000000002</v>
      </c>
      <c r="L543" s="1894">
        <v>33.04</v>
      </c>
      <c r="M543" s="1894">
        <v>95586</v>
      </c>
      <c r="N543" s="1894">
        <f t="shared" si="214"/>
        <v>173560</v>
      </c>
      <c r="O543" s="1894">
        <f t="shared" si="215"/>
        <v>0</v>
      </c>
      <c r="P543" s="1894">
        <v>478</v>
      </c>
      <c r="Q543" s="1894">
        <v>415.44</v>
      </c>
      <c r="R543" s="1894">
        <v>415.44</v>
      </c>
      <c r="S543" s="1894">
        <v>0.9103</v>
      </c>
      <c r="T543" s="1894">
        <v>33.21</v>
      </c>
      <c r="U543" s="1894">
        <v>102651</v>
      </c>
      <c r="V543" s="1894">
        <f t="shared" si="216"/>
        <v>185452</v>
      </c>
      <c r="W543" s="1894">
        <f t="shared" si="217"/>
        <v>0</v>
      </c>
      <c r="X543" s="1894">
        <v>478</v>
      </c>
      <c r="Y543" s="1894">
        <v>407.52000000000004</v>
      </c>
      <c r="Z543" s="1894">
        <v>407.52</v>
      </c>
      <c r="AA543" s="1894">
        <v>0.96130000000000004</v>
      </c>
      <c r="AB543" s="1894">
        <v>29.86</v>
      </c>
      <c r="AC543" s="1894">
        <v>87606</v>
      </c>
      <c r="AD543" s="1894">
        <f t="shared" si="218"/>
        <v>176049</v>
      </c>
      <c r="AE543" s="1894">
        <f t="shared" si="219"/>
        <v>0</v>
      </c>
      <c r="AF543" s="1894">
        <v>478</v>
      </c>
      <c r="AG543" s="1894">
        <v>418.32000000000005</v>
      </c>
      <c r="AH543" s="1894">
        <v>418.32</v>
      </c>
      <c r="AI543" s="1894">
        <v>0.9365</v>
      </c>
      <c r="AJ543" s="1894">
        <v>24.61</v>
      </c>
      <c r="AK543" s="1894">
        <v>76581</v>
      </c>
      <c r="AL543" s="1894">
        <f t="shared" si="237"/>
        <v>186738</v>
      </c>
      <c r="AM543" s="1894">
        <f t="shared" si="238"/>
        <v>0</v>
      </c>
      <c r="AN543" s="1894">
        <v>478</v>
      </c>
      <c r="AO543" s="1894">
        <v>402</v>
      </c>
      <c r="AP543" s="1894">
        <v>402</v>
      </c>
      <c r="AQ543" s="1894">
        <v>0.94330000000000003</v>
      </c>
      <c r="AR543" s="1894">
        <v>25.8</v>
      </c>
      <c r="AS543" s="1894">
        <v>77172</v>
      </c>
      <c r="AT543" s="1894">
        <f t="shared" si="220"/>
        <v>179453</v>
      </c>
      <c r="AU543" s="1894">
        <f t="shared" si="221"/>
        <v>0</v>
      </c>
      <c r="AV543" s="1894">
        <v>478</v>
      </c>
      <c r="AW543" s="1894">
        <v>397.67999999999995</v>
      </c>
      <c r="AX543" s="1894">
        <v>397.68</v>
      </c>
      <c r="AY543" s="1894">
        <v>0.97</v>
      </c>
      <c r="AZ543" s="1894">
        <v>25.6</v>
      </c>
      <c r="BA543" s="1894">
        <v>73296</v>
      </c>
      <c r="BB543" s="1894">
        <f t="shared" si="222"/>
        <v>171798</v>
      </c>
      <c r="BC543" s="1894">
        <f t="shared" si="223"/>
        <v>0</v>
      </c>
      <c r="BD543" s="1894">
        <v>478</v>
      </c>
      <c r="BE543" s="1894">
        <v>385.92</v>
      </c>
      <c r="BF543" s="1894">
        <v>385.92</v>
      </c>
      <c r="BG543" s="1894">
        <v>0.95050000000000001</v>
      </c>
      <c r="BH543" s="1894">
        <v>32.76</v>
      </c>
      <c r="BI543" s="1894">
        <v>94059</v>
      </c>
      <c r="BJ543" s="1894">
        <f t="shared" si="224"/>
        <v>172275</v>
      </c>
      <c r="BK543" s="1894">
        <f t="shared" si="225"/>
        <v>0</v>
      </c>
      <c r="BL543" s="1894">
        <v>478</v>
      </c>
      <c r="BM543" s="1894">
        <v>415.2</v>
      </c>
      <c r="BN543" s="1894">
        <v>415.2</v>
      </c>
      <c r="BO543" s="1894">
        <v>0.94910000000000005</v>
      </c>
      <c r="BP543" s="1894">
        <v>31.12</v>
      </c>
      <c r="BQ543" s="1894">
        <v>93036</v>
      </c>
      <c r="BR543" s="1894">
        <f t="shared" si="226"/>
        <v>179366</v>
      </c>
      <c r="BS543" s="1894">
        <f t="shared" si="227"/>
        <v>0</v>
      </c>
      <c r="BT543" s="1894">
        <v>478</v>
      </c>
      <c r="BU543" s="1894">
        <v>403.44</v>
      </c>
      <c r="BV543" s="1894">
        <v>403.44</v>
      </c>
      <c r="BW543" s="1894">
        <v>0.94340000000000002</v>
      </c>
      <c r="BX543" s="1894">
        <v>31.62</v>
      </c>
      <c r="BY543" s="1894">
        <v>94914</v>
      </c>
      <c r="BZ543" s="1894">
        <f t="shared" si="228"/>
        <v>180096</v>
      </c>
      <c r="CA543" s="1894">
        <f t="shared" si="229"/>
        <v>0</v>
      </c>
      <c r="CB543" s="1894">
        <v>478</v>
      </c>
      <c r="CC543" s="1894">
        <v>402.72</v>
      </c>
      <c r="CD543" s="1894">
        <v>402.72</v>
      </c>
      <c r="CE543" s="1894">
        <v>0.92930000000000001</v>
      </c>
      <c r="CF543" s="1894">
        <v>35.659999999999997</v>
      </c>
      <c r="CG543" s="1894">
        <v>106839</v>
      </c>
      <c r="CH543" s="1894">
        <f t="shared" si="230"/>
        <v>179774</v>
      </c>
      <c r="CI543" s="1894">
        <f t="shared" si="231"/>
        <v>0</v>
      </c>
      <c r="CJ543" s="1894">
        <v>478</v>
      </c>
      <c r="CK543" s="1894">
        <v>413.28</v>
      </c>
      <c r="CL543" s="1894">
        <v>413.28</v>
      </c>
      <c r="CM543" s="1894">
        <v>0.94840000000000002</v>
      </c>
      <c r="CN543" s="1894">
        <v>33.56</v>
      </c>
      <c r="CO543" s="1894">
        <v>93201</v>
      </c>
      <c r="CP543" s="1894">
        <f t="shared" si="232"/>
        <v>166634</v>
      </c>
      <c r="CQ543" s="1894">
        <f t="shared" si="233"/>
        <v>0</v>
      </c>
      <c r="CR543" s="1924">
        <v>478</v>
      </c>
      <c r="CS543" s="1924">
        <v>438.48</v>
      </c>
      <c r="CT543" s="1924">
        <v>438.48</v>
      </c>
      <c r="CU543" s="1924">
        <v>0.95640000000000003</v>
      </c>
      <c r="CV543" s="1924">
        <v>28.93</v>
      </c>
      <c r="CW543" s="1924">
        <v>94392</v>
      </c>
      <c r="CX543" s="1894">
        <f t="shared" si="234"/>
        <v>195737</v>
      </c>
      <c r="CY543" s="1894">
        <f t="shared" si="235"/>
        <v>0</v>
      </c>
    </row>
    <row r="544" spans="1:103">
      <c r="A544" s="982">
        <v>613000000017</v>
      </c>
      <c r="B544" s="1923">
        <f t="shared" si="236"/>
        <v>538</v>
      </c>
      <c r="C544" s="1895" t="s">
        <v>3415</v>
      </c>
      <c r="D544" s="1894" t="s">
        <v>524</v>
      </c>
      <c r="E544" s="1895" t="s">
        <v>541</v>
      </c>
      <c r="F544" s="1894" t="s">
        <v>259</v>
      </c>
      <c r="G544" s="1924">
        <v>489</v>
      </c>
      <c r="H544" s="1894">
        <v>489</v>
      </c>
      <c r="I544" s="1894">
        <v>249.36</v>
      </c>
      <c r="J544" s="1894">
        <v>391.2</v>
      </c>
      <c r="K544" s="1894">
        <v>0.98399999999999999</v>
      </c>
      <c r="L544" s="1894">
        <v>62.85</v>
      </c>
      <c r="M544" s="1894">
        <v>120372</v>
      </c>
      <c r="N544" s="1894">
        <f t="shared" si="214"/>
        <v>107724</v>
      </c>
      <c r="O544" s="1894">
        <f t="shared" si="215"/>
        <v>12648</v>
      </c>
      <c r="P544" s="1894">
        <v>489</v>
      </c>
      <c r="Q544" s="1894">
        <v>247.92000000000002</v>
      </c>
      <c r="R544" s="1894">
        <v>391.2</v>
      </c>
      <c r="S544" s="1894">
        <v>0.9849</v>
      </c>
      <c r="T544" s="1894">
        <v>29.63</v>
      </c>
      <c r="U544" s="1894">
        <v>58170</v>
      </c>
      <c r="V544" s="1894">
        <f t="shared" si="216"/>
        <v>110671</v>
      </c>
      <c r="W544" s="1894">
        <f t="shared" si="217"/>
        <v>0</v>
      </c>
      <c r="X544" s="1894">
        <v>489</v>
      </c>
      <c r="Y544" s="1894">
        <v>246.72</v>
      </c>
      <c r="Z544" s="1894">
        <v>391.2</v>
      </c>
      <c r="AA544" s="1894">
        <v>0.98309999999999997</v>
      </c>
      <c r="AB544" s="1894">
        <v>20.88</v>
      </c>
      <c r="AC544" s="1894">
        <v>34623</v>
      </c>
      <c r="AD544" s="1894">
        <f t="shared" si="218"/>
        <v>106583</v>
      </c>
      <c r="AE544" s="1894">
        <f t="shared" si="219"/>
        <v>0</v>
      </c>
      <c r="AF544" s="1894">
        <v>489</v>
      </c>
      <c r="AG544" s="1894">
        <v>247.2</v>
      </c>
      <c r="AH544" s="1894">
        <v>391.2</v>
      </c>
      <c r="AI544" s="1894">
        <v>0.98299999999999998</v>
      </c>
      <c r="AJ544" s="1894">
        <v>48.03</v>
      </c>
      <c r="AK544" s="1894">
        <v>88335</v>
      </c>
      <c r="AL544" s="1894">
        <f t="shared" si="237"/>
        <v>110350</v>
      </c>
      <c r="AM544" s="1894">
        <f t="shared" si="238"/>
        <v>0</v>
      </c>
      <c r="AN544" s="1894">
        <v>489</v>
      </c>
      <c r="AO544" s="1894">
        <v>238.56</v>
      </c>
      <c r="AP544" s="1894">
        <v>391.2</v>
      </c>
      <c r="AQ544" s="1894">
        <v>0.98560000000000003</v>
      </c>
      <c r="AR544" s="1894">
        <v>22.31</v>
      </c>
      <c r="AS544" s="1894">
        <v>42153</v>
      </c>
      <c r="AT544" s="1894">
        <f t="shared" si="220"/>
        <v>106493</v>
      </c>
      <c r="AU544" s="1894">
        <f t="shared" si="221"/>
        <v>0</v>
      </c>
      <c r="AV544" s="1894">
        <v>489</v>
      </c>
      <c r="AW544" s="1894">
        <v>74.16</v>
      </c>
      <c r="AX544" s="1894">
        <v>391.2</v>
      </c>
      <c r="AY544" s="1894">
        <v>0.96679999999999999</v>
      </c>
      <c r="AZ544" s="1894">
        <v>1.27</v>
      </c>
      <c r="BA544" s="1894">
        <v>633</v>
      </c>
      <c r="BB544" s="1894">
        <f t="shared" si="222"/>
        <v>32037</v>
      </c>
      <c r="BC544" s="1894">
        <f t="shared" si="223"/>
        <v>0</v>
      </c>
      <c r="BD544" s="1894">
        <v>489</v>
      </c>
      <c r="BE544" s="1894">
        <v>8.8800000000000008</v>
      </c>
      <c r="BF544" s="1894">
        <v>391.2</v>
      </c>
      <c r="BG544" s="1894">
        <v>0.99539999999999995</v>
      </c>
      <c r="BH544" s="1894">
        <v>19.440000000000001</v>
      </c>
      <c r="BI544" s="1894">
        <v>1326</v>
      </c>
      <c r="BJ544" s="1894">
        <f t="shared" si="224"/>
        <v>3964</v>
      </c>
      <c r="BK544" s="1894">
        <f t="shared" si="225"/>
        <v>0</v>
      </c>
      <c r="BL544" s="1894">
        <v>489</v>
      </c>
      <c r="BM544" s="1894">
        <v>7.6800000000000006</v>
      </c>
      <c r="BN544" s="1894">
        <v>391.2</v>
      </c>
      <c r="BO544" s="1894">
        <v>0.99660000000000004</v>
      </c>
      <c r="BP544" s="1894">
        <v>17.899999999999999</v>
      </c>
      <c r="BQ544" s="1894">
        <v>891</v>
      </c>
      <c r="BR544" s="1894">
        <f t="shared" si="226"/>
        <v>3318</v>
      </c>
      <c r="BS544" s="1894">
        <f t="shared" si="227"/>
        <v>0</v>
      </c>
      <c r="BT544" s="1894">
        <v>489</v>
      </c>
      <c r="BU544" s="1894">
        <v>63.120000000000005</v>
      </c>
      <c r="BV544" s="1894">
        <v>391.2</v>
      </c>
      <c r="BW544" s="1894">
        <v>0.98650000000000004</v>
      </c>
      <c r="BX544" s="1894">
        <v>2.95</v>
      </c>
      <c r="BY544" s="1894">
        <v>1563</v>
      </c>
      <c r="BZ544" s="1894">
        <f t="shared" si="228"/>
        <v>28177</v>
      </c>
      <c r="CA544" s="1894">
        <f t="shared" si="229"/>
        <v>0</v>
      </c>
      <c r="CB544" s="1894">
        <v>489</v>
      </c>
      <c r="CC544" s="1894">
        <v>226.8</v>
      </c>
      <c r="CD544" s="1894">
        <v>391.2</v>
      </c>
      <c r="CE544" s="1894">
        <v>0.98819999999999997</v>
      </c>
      <c r="CF544" s="1894">
        <v>25.47</v>
      </c>
      <c r="CG544" s="1894">
        <v>42975</v>
      </c>
      <c r="CH544" s="1894">
        <f t="shared" si="230"/>
        <v>101244</v>
      </c>
      <c r="CI544" s="1894">
        <f t="shared" si="231"/>
        <v>0</v>
      </c>
      <c r="CJ544" s="1894">
        <v>489</v>
      </c>
      <c r="CK544" s="1894">
        <v>234.96</v>
      </c>
      <c r="CL544" s="1894">
        <v>391.2</v>
      </c>
      <c r="CM544" s="1894">
        <v>0.98629999999999995</v>
      </c>
      <c r="CN544" s="1894">
        <v>69.150000000000006</v>
      </c>
      <c r="CO544" s="1894">
        <v>109179</v>
      </c>
      <c r="CP544" s="1894">
        <f t="shared" si="232"/>
        <v>94736</v>
      </c>
      <c r="CQ544" s="1894">
        <f t="shared" si="233"/>
        <v>14443</v>
      </c>
      <c r="CR544" s="1924">
        <v>489</v>
      </c>
      <c r="CS544" s="1924">
        <v>256.32</v>
      </c>
      <c r="CT544" s="1924">
        <v>391.2</v>
      </c>
      <c r="CU544" s="1924">
        <v>0.97889999999999999</v>
      </c>
      <c r="CV544" s="1924">
        <v>64.36</v>
      </c>
      <c r="CW544" s="1924">
        <v>122736</v>
      </c>
      <c r="CX544" s="1894">
        <f t="shared" si="234"/>
        <v>114421</v>
      </c>
      <c r="CY544" s="1894">
        <f t="shared" si="235"/>
        <v>8315</v>
      </c>
    </row>
    <row r="545" spans="1:103">
      <c r="A545" s="982">
        <v>622000000077</v>
      </c>
      <c r="B545" s="1923">
        <f t="shared" si="236"/>
        <v>539</v>
      </c>
      <c r="C545" s="1895" t="s">
        <v>3416</v>
      </c>
      <c r="D545" s="1894" t="s">
        <v>524</v>
      </c>
      <c r="E545" s="1895" t="s">
        <v>541</v>
      </c>
      <c r="F545" s="1894" t="s">
        <v>259</v>
      </c>
      <c r="G545" s="1924">
        <v>490</v>
      </c>
      <c r="H545" s="1894">
        <v>490</v>
      </c>
      <c r="I545" s="1894">
        <v>83.039999999999992</v>
      </c>
      <c r="J545" s="1894">
        <v>392</v>
      </c>
      <c r="K545" s="1894">
        <v>0.30070000000000002</v>
      </c>
      <c r="L545" s="1894">
        <v>42.45</v>
      </c>
      <c r="M545" s="1894">
        <v>23688</v>
      </c>
      <c r="N545" s="1894">
        <f t="shared" si="214"/>
        <v>35873</v>
      </c>
      <c r="O545" s="1894">
        <f t="shared" si="215"/>
        <v>0</v>
      </c>
      <c r="P545" s="1894">
        <v>490</v>
      </c>
      <c r="Q545" s="1894">
        <v>210.72</v>
      </c>
      <c r="R545" s="1894">
        <v>392</v>
      </c>
      <c r="S545" s="1894">
        <v>0.29949999999999999</v>
      </c>
      <c r="T545" s="1894">
        <v>20.27</v>
      </c>
      <c r="U545" s="1894">
        <v>31779</v>
      </c>
      <c r="V545" s="1894">
        <f t="shared" si="216"/>
        <v>94065</v>
      </c>
      <c r="W545" s="1894">
        <f t="shared" si="217"/>
        <v>0</v>
      </c>
      <c r="X545" s="1894">
        <v>490</v>
      </c>
      <c r="Y545" s="1894">
        <v>449.52</v>
      </c>
      <c r="Z545" s="1894">
        <v>449.52</v>
      </c>
      <c r="AA545" s="1894">
        <v>0.62209999999999999</v>
      </c>
      <c r="AB545" s="1894">
        <v>39.92</v>
      </c>
      <c r="AC545" s="1894">
        <v>133512</v>
      </c>
      <c r="AD545" s="1894">
        <f t="shared" si="218"/>
        <v>194193</v>
      </c>
      <c r="AE545" s="1894">
        <f t="shared" si="219"/>
        <v>0</v>
      </c>
      <c r="AF545" s="1894">
        <v>490</v>
      </c>
      <c r="AG545" s="1894">
        <v>473.04</v>
      </c>
      <c r="AH545" s="1894">
        <v>473.04</v>
      </c>
      <c r="AI545" s="1894">
        <v>0.67700000000000005</v>
      </c>
      <c r="AJ545" s="1894">
        <v>49.8</v>
      </c>
      <c r="AK545" s="1894">
        <v>175278</v>
      </c>
      <c r="AL545" s="1894">
        <f t="shared" si="237"/>
        <v>211165</v>
      </c>
      <c r="AM545" s="1894">
        <f t="shared" si="238"/>
        <v>0</v>
      </c>
      <c r="AN545" s="1894">
        <v>490</v>
      </c>
      <c r="AO545" s="1894">
        <v>497.28</v>
      </c>
      <c r="AP545" s="1894">
        <v>497.28</v>
      </c>
      <c r="AQ545" s="1894">
        <v>0.71389999999999998</v>
      </c>
      <c r="AR545" s="1894">
        <v>48.9</v>
      </c>
      <c r="AS545" s="1894">
        <v>169245</v>
      </c>
      <c r="AT545" s="1894">
        <f t="shared" si="220"/>
        <v>221986</v>
      </c>
      <c r="AU545" s="1894">
        <f t="shared" si="221"/>
        <v>0</v>
      </c>
      <c r="AV545" s="1894">
        <v>490</v>
      </c>
      <c r="AW545" s="1894">
        <v>553.20000000000005</v>
      </c>
      <c r="AX545" s="1894">
        <v>553.20000000000005</v>
      </c>
      <c r="AY545" s="1894">
        <v>0.72560000000000002</v>
      </c>
      <c r="AZ545" s="1894">
        <v>66.03</v>
      </c>
      <c r="BA545" s="1894">
        <v>263019</v>
      </c>
      <c r="BB545" s="1894">
        <f t="shared" si="222"/>
        <v>238982</v>
      </c>
      <c r="BC545" s="1894">
        <f t="shared" si="223"/>
        <v>24037</v>
      </c>
      <c r="BD545" s="1894">
        <v>490</v>
      </c>
      <c r="BE545" s="1894">
        <v>510.24</v>
      </c>
      <c r="BF545" s="1894">
        <v>510.24</v>
      </c>
      <c r="BG545" s="1894">
        <v>0.8528</v>
      </c>
      <c r="BH545" s="1894">
        <v>53.64</v>
      </c>
      <c r="BI545" s="1894">
        <v>216777</v>
      </c>
      <c r="BJ545" s="1894">
        <f t="shared" si="224"/>
        <v>227771</v>
      </c>
      <c r="BK545" s="1894">
        <f t="shared" si="225"/>
        <v>0</v>
      </c>
      <c r="BL545" s="1894">
        <v>490</v>
      </c>
      <c r="BM545" s="1894">
        <v>451.92</v>
      </c>
      <c r="BN545" s="1894">
        <v>451.92</v>
      </c>
      <c r="BO545" s="1894">
        <v>0.94</v>
      </c>
      <c r="BP545" s="1894">
        <v>57.8</v>
      </c>
      <c r="BQ545" s="1894">
        <v>188076</v>
      </c>
      <c r="BR545" s="1894">
        <f t="shared" si="226"/>
        <v>195229</v>
      </c>
      <c r="BS545" s="1894">
        <f t="shared" si="227"/>
        <v>0</v>
      </c>
      <c r="BT545" s="1894">
        <v>490</v>
      </c>
      <c r="BU545" s="1894">
        <v>402.24</v>
      </c>
      <c r="BV545" s="1894">
        <v>402.24</v>
      </c>
      <c r="BW545" s="1894">
        <v>0.92669999999999997</v>
      </c>
      <c r="BX545" s="1894">
        <v>59.66</v>
      </c>
      <c r="BY545" s="1894">
        <v>178539</v>
      </c>
      <c r="BZ545" s="1894">
        <f t="shared" si="228"/>
        <v>179560</v>
      </c>
      <c r="CA545" s="1894">
        <f t="shared" si="229"/>
        <v>0</v>
      </c>
      <c r="CB545" s="1894">
        <v>490</v>
      </c>
      <c r="CC545" s="1894">
        <v>425.52000000000004</v>
      </c>
      <c r="CD545" s="1894">
        <v>425.52</v>
      </c>
      <c r="CE545" s="1894">
        <v>0.89990000000000003</v>
      </c>
      <c r="CF545" s="1894">
        <v>53.61</v>
      </c>
      <c r="CG545" s="1894">
        <v>169725</v>
      </c>
      <c r="CH545" s="1894">
        <f t="shared" si="230"/>
        <v>189952</v>
      </c>
      <c r="CI545" s="1894">
        <f t="shared" si="231"/>
        <v>0</v>
      </c>
      <c r="CJ545" s="1894">
        <v>490</v>
      </c>
      <c r="CK545" s="1894">
        <v>409.44</v>
      </c>
      <c r="CL545" s="1894">
        <v>409.44</v>
      </c>
      <c r="CM545" s="1894">
        <v>0.89610000000000001</v>
      </c>
      <c r="CN545" s="1894">
        <v>50.2</v>
      </c>
      <c r="CO545" s="1894">
        <v>143043</v>
      </c>
      <c r="CP545" s="1894">
        <f t="shared" si="232"/>
        <v>165086</v>
      </c>
      <c r="CQ545" s="1894">
        <f t="shared" si="233"/>
        <v>0</v>
      </c>
      <c r="CR545" s="1924">
        <v>490</v>
      </c>
      <c r="CS545" s="1924">
        <v>332.15999999999997</v>
      </c>
      <c r="CT545" s="1924">
        <v>392</v>
      </c>
      <c r="CU545" s="1924">
        <v>0.95350000000000001</v>
      </c>
      <c r="CV545" s="1924">
        <v>53.03</v>
      </c>
      <c r="CW545" s="1924">
        <v>131052</v>
      </c>
      <c r="CX545" s="1894">
        <f t="shared" si="234"/>
        <v>148276</v>
      </c>
      <c r="CY545" s="1894">
        <f t="shared" si="235"/>
        <v>0</v>
      </c>
    </row>
    <row r="546" spans="1:103">
      <c r="A546" s="982">
        <v>622000000174</v>
      </c>
      <c r="B546" s="1923">
        <f t="shared" si="236"/>
        <v>540</v>
      </c>
      <c r="C546" s="1895" t="s">
        <v>3417</v>
      </c>
      <c r="D546" s="1894" t="s">
        <v>524</v>
      </c>
      <c r="E546" s="1895" t="s">
        <v>541</v>
      </c>
      <c r="F546" s="1894" t="s">
        <v>259</v>
      </c>
      <c r="G546" s="1924">
        <v>490</v>
      </c>
      <c r="H546" s="1894">
        <v>490</v>
      </c>
      <c r="I546" s="1894">
        <v>232</v>
      </c>
      <c r="J546" s="1894">
        <v>392</v>
      </c>
      <c r="K546" s="1894">
        <v>0.96879999999999999</v>
      </c>
      <c r="L546" s="1894">
        <v>29.31</v>
      </c>
      <c r="M546" s="1894">
        <v>48965</v>
      </c>
      <c r="N546" s="1894">
        <f t="shared" si="214"/>
        <v>100224</v>
      </c>
      <c r="O546" s="1894">
        <f t="shared" si="215"/>
        <v>0</v>
      </c>
      <c r="P546" s="1894">
        <v>490</v>
      </c>
      <c r="Q546" s="1894">
        <v>246</v>
      </c>
      <c r="R546" s="1894">
        <v>392</v>
      </c>
      <c r="S546" s="1894">
        <v>0.95030000000000003</v>
      </c>
      <c r="T546" s="1894">
        <v>27.16</v>
      </c>
      <c r="U546" s="1894">
        <v>49705</v>
      </c>
      <c r="V546" s="1894">
        <f t="shared" si="216"/>
        <v>109814</v>
      </c>
      <c r="W546" s="1894">
        <f t="shared" si="217"/>
        <v>0</v>
      </c>
      <c r="X546" s="1894">
        <v>490</v>
      </c>
      <c r="Y546" s="1894">
        <v>34</v>
      </c>
      <c r="Z546" s="1894">
        <v>392</v>
      </c>
      <c r="AA546" s="1894">
        <v>0.64229999999999998</v>
      </c>
      <c r="AB546" s="1894">
        <v>49.86</v>
      </c>
      <c r="AC546" s="1894">
        <v>12205</v>
      </c>
      <c r="AD546" s="1894">
        <f t="shared" si="218"/>
        <v>14688</v>
      </c>
      <c r="AE546" s="1894">
        <f t="shared" si="219"/>
        <v>0</v>
      </c>
      <c r="AF546" s="1894">
        <v>490</v>
      </c>
      <c r="AG546" s="1894">
        <v>94</v>
      </c>
      <c r="AH546" s="1894">
        <v>392</v>
      </c>
      <c r="AI546" s="1894">
        <v>0.7087</v>
      </c>
      <c r="AJ546" s="1894">
        <v>17.260000000000002</v>
      </c>
      <c r="AK546" s="1894">
        <v>12070</v>
      </c>
      <c r="AL546" s="1894">
        <f t="shared" si="237"/>
        <v>41962</v>
      </c>
      <c r="AM546" s="1894">
        <f t="shared" si="238"/>
        <v>0</v>
      </c>
      <c r="AN546" s="1894">
        <v>490</v>
      </c>
      <c r="AO546" s="1894">
        <v>202.8</v>
      </c>
      <c r="AP546" s="1894">
        <v>392</v>
      </c>
      <c r="AQ546" s="1894">
        <v>0.57279999999999998</v>
      </c>
      <c r="AR546" s="1894">
        <v>7.76</v>
      </c>
      <c r="AS546" s="1894">
        <v>10570</v>
      </c>
      <c r="AT546" s="1894">
        <f t="shared" si="220"/>
        <v>90530</v>
      </c>
      <c r="AU546" s="1894">
        <f t="shared" si="221"/>
        <v>0</v>
      </c>
      <c r="AV546" s="1894">
        <v>490</v>
      </c>
      <c r="AW546" s="1894">
        <v>249.6</v>
      </c>
      <c r="AX546" s="1894">
        <v>392</v>
      </c>
      <c r="AY546" s="1894">
        <v>0.85250000000000004</v>
      </c>
      <c r="AZ546" s="1894">
        <v>18.45</v>
      </c>
      <c r="BA546" s="1894">
        <v>28730</v>
      </c>
      <c r="BB546" s="1894">
        <f t="shared" si="222"/>
        <v>107827</v>
      </c>
      <c r="BC546" s="1894">
        <f t="shared" si="223"/>
        <v>0</v>
      </c>
      <c r="BD546" s="1894">
        <v>490</v>
      </c>
      <c r="BE546" s="1894">
        <v>276</v>
      </c>
      <c r="BF546" s="1894">
        <v>392</v>
      </c>
      <c r="BG546" s="1894">
        <v>0.82399999999999995</v>
      </c>
      <c r="BH546" s="1894">
        <v>17.850000000000001</v>
      </c>
      <c r="BI546" s="1894">
        <v>44925</v>
      </c>
      <c r="BJ546" s="1894">
        <f t="shared" si="224"/>
        <v>123206</v>
      </c>
      <c r="BK546" s="1894">
        <f t="shared" si="225"/>
        <v>0</v>
      </c>
      <c r="BL546" s="1894">
        <v>490</v>
      </c>
      <c r="BM546" s="1894">
        <v>235</v>
      </c>
      <c r="BN546" s="1894">
        <v>392</v>
      </c>
      <c r="BO546" s="1894">
        <v>0.84209999999999996</v>
      </c>
      <c r="BP546" s="1894">
        <v>18.95</v>
      </c>
      <c r="BQ546" s="1894">
        <v>32065</v>
      </c>
      <c r="BR546" s="1894">
        <f t="shared" si="226"/>
        <v>101520</v>
      </c>
      <c r="BS546" s="1894">
        <f t="shared" si="227"/>
        <v>0</v>
      </c>
      <c r="BT546" s="1894">
        <v>490</v>
      </c>
      <c r="BU546" s="1894">
        <v>234</v>
      </c>
      <c r="BV546" s="1894">
        <v>392</v>
      </c>
      <c r="BW546" s="1894">
        <v>0.82520000000000004</v>
      </c>
      <c r="BX546" s="1894">
        <v>23.06</v>
      </c>
      <c r="BY546" s="1894">
        <v>40140</v>
      </c>
      <c r="BZ546" s="1894">
        <f t="shared" si="228"/>
        <v>104458</v>
      </c>
      <c r="CA546" s="1894">
        <f t="shared" si="229"/>
        <v>0</v>
      </c>
      <c r="CB546" s="1894">
        <v>490</v>
      </c>
      <c r="CC546" s="1894">
        <v>222</v>
      </c>
      <c r="CD546" s="1894">
        <v>392</v>
      </c>
      <c r="CE546" s="1894">
        <v>0.82789999999999997</v>
      </c>
      <c r="CF546" s="1894">
        <v>23</v>
      </c>
      <c r="CG546" s="1894">
        <v>37985</v>
      </c>
      <c r="CH546" s="1894">
        <f t="shared" si="230"/>
        <v>99101</v>
      </c>
      <c r="CI546" s="1894">
        <f t="shared" si="231"/>
        <v>0</v>
      </c>
      <c r="CJ546" s="1894">
        <v>490</v>
      </c>
      <c r="CK546" s="1894">
        <v>256.40000000000003</v>
      </c>
      <c r="CL546" s="1894">
        <v>392</v>
      </c>
      <c r="CM546" s="1894">
        <v>0.87770000000000004</v>
      </c>
      <c r="CN546" s="1894">
        <v>24.88</v>
      </c>
      <c r="CO546" s="1894">
        <v>42865</v>
      </c>
      <c r="CP546" s="1894">
        <f t="shared" si="232"/>
        <v>103380</v>
      </c>
      <c r="CQ546" s="1894">
        <f t="shared" si="233"/>
        <v>0</v>
      </c>
      <c r="CR546" s="1924">
        <v>490</v>
      </c>
      <c r="CS546" s="1924">
        <v>218.79999999999998</v>
      </c>
      <c r="CT546" s="1924">
        <v>392</v>
      </c>
      <c r="CU546" s="1924">
        <v>0.63890000000000002</v>
      </c>
      <c r="CV546" s="1924">
        <v>10.8</v>
      </c>
      <c r="CW546" s="1924">
        <v>17575</v>
      </c>
      <c r="CX546" s="1894">
        <f t="shared" si="234"/>
        <v>97672</v>
      </c>
      <c r="CY546" s="1894">
        <f t="shared" si="235"/>
        <v>0</v>
      </c>
    </row>
    <row r="547" spans="1:103">
      <c r="A547" s="982">
        <v>621000000025</v>
      </c>
      <c r="B547" s="1923">
        <f t="shared" si="236"/>
        <v>541</v>
      </c>
      <c r="C547" s="1895" t="s">
        <v>3418</v>
      </c>
      <c r="D547" s="1894" t="s">
        <v>524</v>
      </c>
      <c r="E547" s="1895" t="s">
        <v>541</v>
      </c>
      <c r="F547" s="1894" t="s">
        <v>259</v>
      </c>
      <c r="G547" s="1924">
        <v>495</v>
      </c>
      <c r="H547" s="1894">
        <v>495</v>
      </c>
      <c r="I547" s="1894">
        <v>377.52</v>
      </c>
      <c r="J547" s="1894">
        <v>396</v>
      </c>
      <c r="K547" s="1894">
        <v>0.9536</v>
      </c>
      <c r="L547" s="1894">
        <v>58.97</v>
      </c>
      <c r="M547" s="1894">
        <v>160299</v>
      </c>
      <c r="N547" s="1894">
        <f t="shared" si="214"/>
        <v>163089</v>
      </c>
      <c r="O547" s="1894">
        <f t="shared" si="215"/>
        <v>0</v>
      </c>
      <c r="P547" s="1894">
        <v>495</v>
      </c>
      <c r="Q547" s="1894">
        <v>371.76000000000005</v>
      </c>
      <c r="R547" s="1894">
        <v>396</v>
      </c>
      <c r="S547" s="1894">
        <v>0.95220000000000005</v>
      </c>
      <c r="T547" s="1894">
        <v>59.84</v>
      </c>
      <c r="U547" s="1894">
        <v>165513</v>
      </c>
      <c r="V547" s="1894">
        <f t="shared" si="216"/>
        <v>165954</v>
      </c>
      <c r="W547" s="1894">
        <f t="shared" si="217"/>
        <v>0</v>
      </c>
      <c r="X547" s="1894">
        <v>495</v>
      </c>
      <c r="Y547" s="1894">
        <v>393.6</v>
      </c>
      <c r="Z547" s="1894">
        <v>396</v>
      </c>
      <c r="AA547" s="1894">
        <v>0.94550000000000001</v>
      </c>
      <c r="AB547" s="1894">
        <v>59.99</v>
      </c>
      <c r="AC547" s="1894">
        <v>170013</v>
      </c>
      <c r="AD547" s="1894">
        <f t="shared" si="218"/>
        <v>170035</v>
      </c>
      <c r="AE547" s="1894">
        <f t="shared" si="219"/>
        <v>0</v>
      </c>
      <c r="AF547" s="1894">
        <v>495</v>
      </c>
      <c r="AG547" s="1894">
        <v>388.55999999999995</v>
      </c>
      <c r="AH547" s="1894">
        <v>396</v>
      </c>
      <c r="AI547" s="1894">
        <v>0.92820000000000003</v>
      </c>
      <c r="AJ547" s="1894">
        <v>50.92</v>
      </c>
      <c r="AK547" s="1894">
        <v>147198</v>
      </c>
      <c r="AL547" s="1894">
        <f t="shared" si="237"/>
        <v>173453</v>
      </c>
      <c r="AM547" s="1894">
        <f t="shared" si="238"/>
        <v>0</v>
      </c>
      <c r="AN547" s="1894">
        <v>495</v>
      </c>
      <c r="AO547" s="1894">
        <v>374.88</v>
      </c>
      <c r="AP547" s="1894">
        <v>396</v>
      </c>
      <c r="AQ547" s="1894">
        <v>0.93049999999999999</v>
      </c>
      <c r="AR547" s="1894">
        <v>40.54</v>
      </c>
      <c r="AS547" s="1894">
        <v>109416</v>
      </c>
      <c r="AT547" s="1894">
        <f t="shared" si="220"/>
        <v>167346</v>
      </c>
      <c r="AU547" s="1894">
        <f t="shared" si="221"/>
        <v>0</v>
      </c>
      <c r="AV547" s="1894">
        <v>495</v>
      </c>
      <c r="AW547" s="1894">
        <v>357.36</v>
      </c>
      <c r="AX547" s="1894">
        <v>396</v>
      </c>
      <c r="AY547" s="1894">
        <v>0.93779999999999997</v>
      </c>
      <c r="AZ547" s="1894">
        <v>27.16</v>
      </c>
      <c r="BA547" s="1894">
        <v>72201</v>
      </c>
      <c r="BB547" s="1894">
        <f t="shared" si="222"/>
        <v>154380</v>
      </c>
      <c r="BC547" s="1894">
        <f t="shared" si="223"/>
        <v>0</v>
      </c>
      <c r="BD547" s="1894">
        <v>495</v>
      </c>
      <c r="BE547" s="1894">
        <v>356.4</v>
      </c>
      <c r="BF547" s="1894">
        <v>396</v>
      </c>
      <c r="BG547" s="1894">
        <v>0.92049999999999998</v>
      </c>
      <c r="BH547" s="1894">
        <v>21.63</v>
      </c>
      <c r="BI547" s="1894">
        <v>57360</v>
      </c>
      <c r="BJ547" s="1894">
        <f t="shared" si="224"/>
        <v>159097</v>
      </c>
      <c r="BK547" s="1894">
        <f t="shared" si="225"/>
        <v>0</v>
      </c>
      <c r="BL547" s="1894">
        <v>495</v>
      </c>
      <c r="BM547" s="1894">
        <v>362.16</v>
      </c>
      <c r="BN547" s="1894">
        <v>396</v>
      </c>
      <c r="BO547" s="1894">
        <v>0.94259999999999999</v>
      </c>
      <c r="BP547" s="1894">
        <v>34.119999999999997</v>
      </c>
      <c r="BQ547" s="1894">
        <v>88962</v>
      </c>
      <c r="BR547" s="1894">
        <f t="shared" si="226"/>
        <v>156453</v>
      </c>
      <c r="BS547" s="1894">
        <f t="shared" si="227"/>
        <v>0</v>
      </c>
      <c r="BT547" s="1894">
        <v>495</v>
      </c>
      <c r="BU547" s="1894">
        <v>356.64000000000004</v>
      </c>
      <c r="BV547" s="1894">
        <v>396</v>
      </c>
      <c r="BW547" s="1894">
        <v>0.90869999999999995</v>
      </c>
      <c r="BX547" s="1894">
        <v>17.75</v>
      </c>
      <c r="BY547" s="1894">
        <v>47097</v>
      </c>
      <c r="BZ547" s="1894">
        <f t="shared" si="228"/>
        <v>159204</v>
      </c>
      <c r="CA547" s="1894">
        <f t="shared" si="229"/>
        <v>0</v>
      </c>
      <c r="CB547" s="1894">
        <v>495</v>
      </c>
      <c r="CC547" s="1894">
        <v>377.03999999999996</v>
      </c>
      <c r="CD547" s="1894">
        <v>396</v>
      </c>
      <c r="CE547" s="1894">
        <v>0.95279999999999998</v>
      </c>
      <c r="CF547" s="1894">
        <v>50.52</v>
      </c>
      <c r="CG547" s="1894">
        <v>141726</v>
      </c>
      <c r="CH547" s="1894">
        <f t="shared" si="230"/>
        <v>168311</v>
      </c>
      <c r="CI547" s="1894">
        <f t="shared" si="231"/>
        <v>0</v>
      </c>
      <c r="CJ547" s="1894">
        <v>495</v>
      </c>
      <c r="CK547" s="1894">
        <v>369.6</v>
      </c>
      <c r="CL547" s="1894">
        <v>396</v>
      </c>
      <c r="CM547" s="1894">
        <v>0.94379999999999997</v>
      </c>
      <c r="CN547" s="1894">
        <v>62.61</v>
      </c>
      <c r="CO547" s="1894">
        <v>155496</v>
      </c>
      <c r="CP547" s="1894">
        <f t="shared" si="232"/>
        <v>149023</v>
      </c>
      <c r="CQ547" s="1894">
        <f t="shared" si="233"/>
        <v>6473</v>
      </c>
      <c r="CR547" s="1924">
        <v>495</v>
      </c>
      <c r="CS547" s="1924">
        <v>375.6</v>
      </c>
      <c r="CT547" s="1924">
        <v>396</v>
      </c>
      <c r="CU547" s="1924">
        <v>0.93169999999999997</v>
      </c>
      <c r="CV547" s="1924">
        <v>51.98</v>
      </c>
      <c r="CW547" s="1924">
        <v>145245</v>
      </c>
      <c r="CX547" s="1894">
        <f t="shared" si="234"/>
        <v>167668</v>
      </c>
      <c r="CY547" s="1894">
        <f t="shared" si="235"/>
        <v>0</v>
      </c>
    </row>
    <row r="548" spans="1:103">
      <c r="A548" s="982">
        <v>125000000045</v>
      </c>
      <c r="B548" s="1923">
        <f t="shared" si="236"/>
        <v>542</v>
      </c>
      <c r="C548" s="1895" t="s">
        <v>3419</v>
      </c>
      <c r="D548" s="1894" t="s">
        <v>524</v>
      </c>
      <c r="E548" s="1895" t="s">
        <v>541</v>
      </c>
      <c r="F548" s="1894" t="s">
        <v>259</v>
      </c>
      <c r="G548" s="1924">
        <v>500</v>
      </c>
      <c r="H548" s="1894">
        <v>500</v>
      </c>
      <c r="I548" s="1894">
        <v>661.68</v>
      </c>
      <c r="J548" s="1894">
        <v>661.68</v>
      </c>
      <c r="K548" s="1894">
        <v>0.99709999999999999</v>
      </c>
      <c r="L548" s="1894">
        <v>60.15</v>
      </c>
      <c r="M548" s="1894">
        <v>286581</v>
      </c>
      <c r="N548" s="1894">
        <f t="shared" si="214"/>
        <v>285846</v>
      </c>
      <c r="O548" s="1894">
        <f t="shared" si="215"/>
        <v>735</v>
      </c>
      <c r="P548" s="1894">
        <v>500</v>
      </c>
      <c r="Q548" s="1894">
        <v>687.36</v>
      </c>
      <c r="R548" s="1894">
        <v>687.36</v>
      </c>
      <c r="S548" s="1894">
        <v>0.99880000000000002</v>
      </c>
      <c r="T548" s="1894">
        <v>60.4</v>
      </c>
      <c r="U548" s="1894">
        <v>308877</v>
      </c>
      <c r="V548" s="1894">
        <f t="shared" si="216"/>
        <v>306838</v>
      </c>
      <c r="W548" s="1894">
        <f t="shared" si="217"/>
        <v>2039</v>
      </c>
      <c r="X548" s="1894">
        <v>500</v>
      </c>
      <c r="Y548" s="1894">
        <v>724.56000000000006</v>
      </c>
      <c r="Z548" s="1894">
        <v>724.56</v>
      </c>
      <c r="AA548" s="1894">
        <v>0.99570000000000003</v>
      </c>
      <c r="AB548" s="1894">
        <v>57.6</v>
      </c>
      <c r="AC548" s="1894">
        <v>280446</v>
      </c>
      <c r="AD548" s="1894">
        <f t="shared" si="218"/>
        <v>313010</v>
      </c>
      <c r="AE548" s="1894">
        <f t="shared" si="219"/>
        <v>0</v>
      </c>
      <c r="AF548" s="1894">
        <v>500</v>
      </c>
      <c r="AG548" s="1894">
        <v>743.5200000000001</v>
      </c>
      <c r="AH548" s="1894">
        <v>743.52</v>
      </c>
      <c r="AI548" s="1894">
        <v>0.99760000000000004</v>
      </c>
      <c r="AJ548" s="1894">
        <v>72.59</v>
      </c>
      <c r="AK548" s="1894">
        <v>427440</v>
      </c>
      <c r="AL548" s="1894">
        <f t="shared" si="237"/>
        <v>331907</v>
      </c>
      <c r="AM548" s="1894">
        <f t="shared" si="238"/>
        <v>95533</v>
      </c>
      <c r="AN548" s="1894">
        <v>500</v>
      </c>
      <c r="AO548" s="1894">
        <v>734.4</v>
      </c>
      <c r="AP548" s="1894">
        <v>734.4</v>
      </c>
      <c r="AQ548" s="1894">
        <v>0.99819999999999998</v>
      </c>
      <c r="AR548" s="1894">
        <v>66.400000000000006</v>
      </c>
      <c r="AS548" s="1894">
        <v>362820</v>
      </c>
      <c r="AT548" s="1894">
        <f t="shared" si="220"/>
        <v>327836</v>
      </c>
      <c r="AU548" s="1894">
        <f t="shared" si="221"/>
        <v>34984</v>
      </c>
      <c r="AV548" s="1894">
        <v>500</v>
      </c>
      <c r="AW548" s="1894">
        <v>746.16</v>
      </c>
      <c r="AX548" s="1894">
        <v>746.16</v>
      </c>
      <c r="AY548" s="1894">
        <v>0.99970000000000003</v>
      </c>
      <c r="AZ548" s="1894">
        <v>69.48</v>
      </c>
      <c r="BA548" s="1894">
        <v>373281</v>
      </c>
      <c r="BB548" s="1894">
        <f t="shared" si="222"/>
        <v>322341</v>
      </c>
      <c r="BC548" s="1894">
        <f t="shared" si="223"/>
        <v>50940</v>
      </c>
      <c r="BD548" s="1894">
        <v>500</v>
      </c>
      <c r="BE548" s="1894">
        <v>812.40000000000009</v>
      </c>
      <c r="BF548" s="1894">
        <v>812.4</v>
      </c>
      <c r="BG548" s="1894">
        <v>0.98750000000000004</v>
      </c>
      <c r="BH548" s="1894">
        <v>71.31</v>
      </c>
      <c r="BI548" s="1894">
        <v>431028</v>
      </c>
      <c r="BJ548" s="1894">
        <f t="shared" si="224"/>
        <v>362655</v>
      </c>
      <c r="BK548" s="1894">
        <f t="shared" si="225"/>
        <v>68373</v>
      </c>
      <c r="BL548" s="1894">
        <v>500</v>
      </c>
      <c r="BM548" s="1894">
        <v>744</v>
      </c>
      <c r="BN548" s="1894">
        <v>744</v>
      </c>
      <c r="BO548" s="1894">
        <v>0.99480000000000002</v>
      </c>
      <c r="BP548" s="1894">
        <v>64.59</v>
      </c>
      <c r="BQ548" s="1894">
        <v>346017</v>
      </c>
      <c r="BR548" s="1894">
        <f t="shared" si="226"/>
        <v>321408</v>
      </c>
      <c r="BS548" s="1894">
        <f t="shared" si="227"/>
        <v>24609</v>
      </c>
      <c r="BT548" s="1894">
        <v>500</v>
      </c>
      <c r="BU548" s="1894">
        <v>762</v>
      </c>
      <c r="BV548" s="1894">
        <v>762</v>
      </c>
      <c r="BW548" s="1894">
        <v>0.99170000000000003</v>
      </c>
      <c r="BX548" s="1894">
        <v>76.45</v>
      </c>
      <c r="BY548" s="1894">
        <v>433392</v>
      </c>
      <c r="BZ548" s="1894">
        <f t="shared" si="228"/>
        <v>340157</v>
      </c>
      <c r="CA548" s="1894">
        <f t="shared" si="229"/>
        <v>93235</v>
      </c>
      <c r="CB548" s="1894">
        <v>500</v>
      </c>
      <c r="CC548" s="1894">
        <v>734.16</v>
      </c>
      <c r="CD548" s="1894">
        <v>734.16</v>
      </c>
      <c r="CE548" s="1894">
        <v>0.99970000000000003</v>
      </c>
      <c r="CF548" s="1894">
        <v>71.069999999999993</v>
      </c>
      <c r="CG548" s="1894">
        <v>388188</v>
      </c>
      <c r="CH548" s="1894">
        <f t="shared" si="230"/>
        <v>327729</v>
      </c>
      <c r="CI548" s="1894">
        <f t="shared" si="231"/>
        <v>60459</v>
      </c>
      <c r="CJ548" s="1894">
        <v>500</v>
      </c>
      <c r="CK548" s="1894">
        <v>749.5200000000001</v>
      </c>
      <c r="CL548" s="1894">
        <v>749.52</v>
      </c>
      <c r="CM548" s="1894">
        <v>0.99890000000000001</v>
      </c>
      <c r="CN548" s="1894">
        <v>76.42</v>
      </c>
      <c r="CO548" s="1894">
        <v>384918</v>
      </c>
      <c r="CP548" s="1894">
        <f t="shared" si="232"/>
        <v>302206</v>
      </c>
      <c r="CQ548" s="1894">
        <f t="shared" si="233"/>
        <v>82712</v>
      </c>
      <c r="CR548" s="1924">
        <v>500</v>
      </c>
      <c r="CS548" s="1924">
        <v>818.64</v>
      </c>
      <c r="CT548" s="1924">
        <v>818.64</v>
      </c>
      <c r="CU548" s="1924">
        <v>0.999</v>
      </c>
      <c r="CV548" s="1924">
        <v>67.73</v>
      </c>
      <c r="CW548" s="1924">
        <v>412539</v>
      </c>
      <c r="CX548" s="1894">
        <f t="shared" si="234"/>
        <v>365441</v>
      </c>
      <c r="CY548" s="1894">
        <f t="shared" si="235"/>
        <v>47098</v>
      </c>
    </row>
    <row r="549" spans="1:103">
      <c r="A549" s="982">
        <v>121000000002</v>
      </c>
      <c r="B549" s="1923">
        <f t="shared" si="236"/>
        <v>543</v>
      </c>
      <c r="C549" s="1895" t="s">
        <v>3420</v>
      </c>
      <c r="D549" s="1894" t="s">
        <v>524</v>
      </c>
      <c r="E549" s="1895" t="s">
        <v>636</v>
      </c>
      <c r="F549" s="1894" t="s">
        <v>259</v>
      </c>
      <c r="G549" s="1924">
        <v>500</v>
      </c>
      <c r="H549" s="1894">
        <v>500</v>
      </c>
      <c r="I549" s="1894">
        <v>207.12</v>
      </c>
      <c r="J549" s="1894">
        <v>400</v>
      </c>
      <c r="K549" s="1894">
        <v>0.96499999999999997</v>
      </c>
      <c r="L549" s="1894">
        <v>46.4</v>
      </c>
      <c r="M549" s="1894">
        <v>69192</v>
      </c>
      <c r="N549" s="1894">
        <f t="shared" si="214"/>
        <v>89476</v>
      </c>
      <c r="O549" s="1894">
        <f t="shared" si="215"/>
        <v>0</v>
      </c>
      <c r="P549" s="1894">
        <v>500</v>
      </c>
      <c r="Q549" s="1894">
        <v>250.56</v>
      </c>
      <c r="R549" s="1894">
        <v>400</v>
      </c>
      <c r="S549" s="1894">
        <v>0.96440000000000003</v>
      </c>
      <c r="T549" s="1894">
        <v>42.26</v>
      </c>
      <c r="U549" s="1894">
        <v>78774</v>
      </c>
      <c r="V549" s="1894">
        <f t="shared" si="216"/>
        <v>111850</v>
      </c>
      <c r="W549" s="1894">
        <f t="shared" si="217"/>
        <v>0</v>
      </c>
      <c r="X549" s="1894">
        <v>500</v>
      </c>
      <c r="Y549" s="1894">
        <v>306.96000000000004</v>
      </c>
      <c r="Z549" s="1894">
        <v>400</v>
      </c>
      <c r="AA549" s="1894">
        <v>0.96309999999999996</v>
      </c>
      <c r="AB549" s="1894">
        <v>35.85</v>
      </c>
      <c r="AC549" s="1894">
        <v>79242</v>
      </c>
      <c r="AD549" s="1894">
        <f t="shared" si="218"/>
        <v>132607</v>
      </c>
      <c r="AE549" s="1894">
        <f t="shared" si="219"/>
        <v>0</v>
      </c>
      <c r="AF549" s="1894">
        <v>500</v>
      </c>
      <c r="AG549" s="1894">
        <v>176.39999999999998</v>
      </c>
      <c r="AH549" s="1894">
        <v>400</v>
      </c>
      <c r="AI549" s="1894">
        <v>0.96950000000000003</v>
      </c>
      <c r="AJ549" s="1894">
        <v>51.13</v>
      </c>
      <c r="AK549" s="1894">
        <v>67104</v>
      </c>
      <c r="AL549" s="1894">
        <f t="shared" si="237"/>
        <v>78745</v>
      </c>
      <c r="AM549" s="1894">
        <f t="shared" si="238"/>
        <v>0</v>
      </c>
      <c r="AN549" s="1894">
        <v>500</v>
      </c>
      <c r="AO549" s="1894">
        <v>189.6</v>
      </c>
      <c r="AP549" s="1894">
        <v>400</v>
      </c>
      <c r="AQ549" s="1894">
        <v>0.96460000000000001</v>
      </c>
      <c r="AR549" s="1894">
        <v>48.8</v>
      </c>
      <c r="AS549" s="1894">
        <v>68832</v>
      </c>
      <c r="AT549" s="1894">
        <f t="shared" si="220"/>
        <v>84637</v>
      </c>
      <c r="AU549" s="1894">
        <f t="shared" si="221"/>
        <v>0</v>
      </c>
      <c r="AV549" s="1894">
        <v>500</v>
      </c>
      <c r="AW549" s="1894">
        <v>203.04</v>
      </c>
      <c r="AX549" s="1894">
        <v>400</v>
      </c>
      <c r="AY549" s="1894">
        <v>0.96889999999999998</v>
      </c>
      <c r="AZ549" s="1894">
        <v>49.45</v>
      </c>
      <c r="BA549" s="1894">
        <v>72297</v>
      </c>
      <c r="BB549" s="1894">
        <f t="shared" si="222"/>
        <v>87713</v>
      </c>
      <c r="BC549" s="1894">
        <f t="shared" si="223"/>
        <v>0</v>
      </c>
      <c r="BD549" s="1894">
        <v>500</v>
      </c>
      <c r="BE549" s="1894">
        <v>275.52</v>
      </c>
      <c r="BF549" s="1894">
        <v>400</v>
      </c>
      <c r="BG549" s="1894">
        <v>0.95960000000000001</v>
      </c>
      <c r="BH549" s="1894">
        <v>37.1</v>
      </c>
      <c r="BI549" s="1894">
        <v>76053</v>
      </c>
      <c r="BJ549" s="1894">
        <f t="shared" si="224"/>
        <v>122992</v>
      </c>
      <c r="BK549" s="1894">
        <f t="shared" si="225"/>
        <v>0</v>
      </c>
      <c r="BL549" s="1894">
        <v>500</v>
      </c>
      <c r="BM549" s="1894">
        <v>219.35999999999999</v>
      </c>
      <c r="BN549" s="1894">
        <v>400</v>
      </c>
      <c r="BO549" s="1894">
        <v>0.92400000000000004</v>
      </c>
      <c r="BP549" s="1894">
        <v>39.83</v>
      </c>
      <c r="BQ549" s="1894">
        <v>62901</v>
      </c>
      <c r="BR549" s="1894">
        <f t="shared" si="226"/>
        <v>94764</v>
      </c>
      <c r="BS549" s="1894">
        <f t="shared" si="227"/>
        <v>0</v>
      </c>
      <c r="BT549" s="1894">
        <v>500</v>
      </c>
      <c r="BU549" s="1894">
        <v>167.04</v>
      </c>
      <c r="BV549" s="1894">
        <v>400</v>
      </c>
      <c r="BW549" s="1894">
        <v>0.9022</v>
      </c>
      <c r="BX549" s="1894">
        <v>44.18</v>
      </c>
      <c r="BY549" s="1894">
        <v>54906</v>
      </c>
      <c r="BZ549" s="1894">
        <f t="shared" si="228"/>
        <v>74567</v>
      </c>
      <c r="CA549" s="1894">
        <f t="shared" si="229"/>
        <v>0</v>
      </c>
      <c r="CB549" s="1894">
        <v>500</v>
      </c>
      <c r="CC549" s="1894">
        <v>149.28</v>
      </c>
      <c r="CD549" s="1894">
        <v>400</v>
      </c>
      <c r="CE549" s="1894">
        <v>0.93130000000000002</v>
      </c>
      <c r="CF549" s="1894">
        <v>47.51</v>
      </c>
      <c r="CG549" s="1894">
        <v>52767</v>
      </c>
      <c r="CH549" s="1894">
        <f t="shared" si="230"/>
        <v>66639</v>
      </c>
      <c r="CI549" s="1894">
        <f t="shared" si="231"/>
        <v>0</v>
      </c>
      <c r="CJ549" s="1894">
        <v>500</v>
      </c>
      <c r="CK549" s="1894">
        <v>153.6</v>
      </c>
      <c r="CL549" s="1894">
        <v>400</v>
      </c>
      <c r="CM549" s="1894">
        <v>0.91549999999999998</v>
      </c>
      <c r="CN549" s="1894">
        <v>51.14</v>
      </c>
      <c r="CO549" s="1894">
        <v>52785</v>
      </c>
      <c r="CP549" s="1894">
        <f t="shared" si="232"/>
        <v>61932</v>
      </c>
      <c r="CQ549" s="1894">
        <f t="shared" si="233"/>
        <v>0</v>
      </c>
      <c r="CR549" s="1924">
        <v>500</v>
      </c>
      <c r="CS549" s="1924">
        <v>155.27999999999997</v>
      </c>
      <c r="CT549" s="1924">
        <v>400</v>
      </c>
      <c r="CU549" s="1924">
        <v>0.96760000000000002</v>
      </c>
      <c r="CV549" s="1924">
        <v>50.06</v>
      </c>
      <c r="CW549" s="1924">
        <v>57828</v>
      </c>
      <c r="CX549" s="1894">
        <f t="shared" si="234"/>
        <v>69317</v>
      </c>
      <c r="CY549" s="1894">
        <f t="shared" si="235"/>
        <v>0</v>
      </c>
    </row>
    <row r="550" spans="1:103">
      <c r="A550" s="982">
        <v>122000000002</v>
      </c>
      <c r="B550" s="1923">
        <f t="shared" si="236"/>
        <v>544</v>
      </c>
      <c r="C550" s="1895" t="s">
        <v>3421</v>
      </c>
      <c r="D550" s="1894" t="s">
        <v>524</v>
      </c>
      <c r="E550" s="1895" t="s">
        <v>541</v>
      </c>
      <c r="F550" s="1894" t="s">
        <v>259</v>
      </c>
      <c r="G550" s="1924">
        <v>500</v>
      </c>
      <c r="H550" s="1894">
        <v>500</v>
      </c>
      <c r="I550" s="1894">
        <v>252</v>
      </c>
      <c r="J550" s="1894">
        <v>400</v>
      </c>
      <c r="K550" s="1894">
        <v>0.75749999999999995</v>
      </c>
      <c r="L550" s="1894">
        <v>22.57</v>
      </c>
      <c r="M550" s="1894">
        <v>36852</v>
      </c>
      <c r="N550" s="1894">
        <f t="shared" si="214"/>
        <v>108864</v>
      </c>
      <c r="O550" s="1894">
        <f t="shared" si="215"/>
        <v>0</v>
      </c>
      <c r="P550" s="1894">
        <v>500</v>
      </c>
      <c r="Q550" s="1894">
        <v>240</v>
      </c>
      <c r="R550" s="1894">
        <v>400</v>
      </c>
      <c r="S550" s="1894">
        <v>0.75490000000000002</v>
      </c>
      <c r="T550" s="1894">
        <v>23.73</v>
      </c>
      <c r="U550" s="1894">
        <v>45108</v>
      </c>
      <c r="V550" s="1894">
        <f t="shared" si="216"/>
        <v>107136</v>
      </c>
      <c r="W550" s="1894">
        <f t="shared" si="217"/>
        <v>0</v>
      </c>
      <c r="X550" s="1894">
        <v>500</v>
      </c>
      <c r="Y550" s="1894">
        <v>244.79999999999998</v>
      </c>
      <c r="Z550" s="1894">
        <v>400</v>
      </c>
      <c r="AA550" s="1894">
        <v>0.74619999999999997</v>
      </c>
      <c r="AB550" s="1894">
        <v>23.03</v>
      </c>
      <c r="AC550" s="1894">
        <v>41946</v>
      </c>
      <c r="AD550" s="1894">
        <f t="shared" si="218"/>
        <v>105754</v>
      </c>
      <c r="AE550" s="1894">
        <f t="shared" si="219"/>
        <v>0</v>
      </c>
      <c r="AF550" s="1894">
        <v>500</v>
      </c>
      <c r="AG550" s="1894">
        <v>244.32</v>
      </c>
      <c r="AH550" s="1894">
        <v>400</v>
      </c>
      <c r="AI550" s="1894">
        <v>0.73960000000000004</v>
      </c>
      <c r="AJ550" s="1894">
        <v>21.13</v>
      </c>
      <c r="AK550" s="1894">
        <v>38412</v>
      </c>
      <c r="AL550" s="1894">
        <f t="shared" si="237"/>
        <v>109064</v>
      </c>
      <c r="AM550" s="1894">
        <f t="shared" si="238"/>
        <v>0</v>
      </c>
      <c r="AN550" s="1894">
        <v>500</v>
      </c>
      <c r="AO550" s="1894">
        <v>35.520000000000003</v>
      </c>
      <c r="AP550" s="1894">
        <v>400</v>
      </c>
      <c r="AQ550" s="1894">
        <v>0.79269999999999996</v>
      </c>
      <c r="AR550" s="1894">
        <v>174.44</v>
      </c>
      <c r="AS550" s="1894">
        <v>46098</v>
      </c>
      <c r="AT550" s="1894">
        <f t="shared" si="220"/>
        <v>15856</v>
      </c>
      <c r="AU550" s="1894">
        <f t="shared" si="221"/>
        <v>30242</v>
      </c>
      <c r="AV550" s="1894">
        <v>500</v>
      </c>
      <c r="AW550" s="1894">
        <v>264.95999999999998</v>
      </c>
      <c r="AX550" s="1894">
        <v>400</v>
      </c>
      <c r="AY550" s="1894">
        <v>0.79020000000000001</v>
      </c>
      <c r="AZ550" s="1894">
        <v>23.06</v>
      </c>
      <c r="BA550" s="1894">
        <v>43986</v>
      </c>
      <c r="BB550" s="1894">
        <f t="shared" si="222"/>
        <v>114463</v>
      </c>
      <c r="BC550" s="1894">
        <f t="shared" si="223"/>
        <v>0</v>
      </c>
      <c r="BD550" s="1894">
        <v>500</v>
      </c>
      <c r="BE550" s="1894">
        <v>228.48000000000002</v>
      </c>
      <c r="BF550" s="1894">
        <v>400</v>
      </c>
      <c r="BG550" s="1894">
        <v>0.75139999999999996</v>
      </c>
      <c r="BH550" s="1894">
        <v>22.79</v>
      </c>
      <c r="BI550" s="1894">
        <v>38742</v>
      </c>
      <c r="BJ550" s="1894">
        <f t="shared" si="224"/>
        <v>101993</v>
      </c>
      <c r="BK550" s="1894">
        <f t="shared" si="225"/>
        <v>0</v>
      </c>
      <c r="BL550" s="1894">
        <v>500</v>
      </c>
      <c r="BM550" s="1894">
        <v>232.32</v>
      </c>
      <c r="BN550" s="1894">
        <v>400</v>
      </c>
      <c r="BO550" s="1894">
        <v>0.75890000000000002</v>
      </c>
      <c r="BP550" s="1894">
        <v>20.47</v>
      </c>
      <c r="BQ550" s="1894">
        <v>33102</v>
      </c>
      <c r="BR550" s="1894">
        <f t="shared" si="226"/>
        <v>100362</v>
      </c>
      <c r="BS550" s="1894">
        <f t="shared" si="227"/>
        <v>0</v>
      </c>
      <c r="BT550" s="1894">
        <v>500</v>
      </c>
      <c r="BU550" s="1894">
        <v>184.8</v>
      </c>
      <c r="BV550" s="1894">
        <v>400</v>
      </c>
      <c r="BW550" s="1894">
        <v>0.72770000000000001</v>
      </c>
      <c r="BX550" s="1894">
        <v>23.13</v>
      </c>
      <c r="BY550" s="1894">
        <v>32832</v>
      </c>
      <c r="BZ550" s="1894">
        <f t="shared" si="228"/>
        <v>82495</v>
      </c>
      <c r="CA550" s="1894">
        <f t="shared" si="229"/>
        <v>0</v>
      </c>
      <c r="CB550" s="1894">
        <v>500</v>
      </c>
      <c r="CC550" s="1894">
        <v>180</v>
      </c>
      <c r="CD550" s="1894">
        <v>400</v>
      </c>
      <c r="CE550" s="1894">
        <v>0.65820000000000001</v>
      </c>
      <c r="CF550" s="1894">
        <v>21.55</v>
      </c>
      <c r="CG550" s="1894">
        <v>28866</v>
      </c>
      <c r="CH550" s="1894">
        <f t="shared" si="230"/>
        <v>80352</v>
      </c>
      <c r="CI550" s="1894">
        <f t="shared" si="231"/>
        <v>0</v>
      </c>
      <c r="CJ550" s="1894">
        <v>500</v>
      </c>
      <c r="CK550" s="1894">
        <v>85.44</v>
      </c>
      <c r="CL550" s="1894">
        <v>400</v>
      </c>
      <c r="CM550" s="1894">
        <v>0.62709999999999999</v>
      </c>
      <c r="CN550" s="1894">
        <v>41.54</v>
      </c>
      <c r="CO550" s="1894">
        <v>23850</v>
      </c>
      <c r="CP550" s="1894">
        <f t="shared" si="232"/>
        <v>34449</v>
      </c>
      <c r="CQ550" s="1894">
        <f t="shared" si="233"/>
        <v>0</v>
      </c>
      <c r="CR550" s="1924">
        <v>500</v>
      </c>
      <c r="CS550" s="1924">
        <v>77.28</v>
      </c>
      <c r="CT550" s="1924">
        <v>400</v>
      </c>
      <c r="CU550" s="1924">
        <v>0.52759999999999996</v>
      </c>
      <c r="CV550" s="1924">
        <v>14.73</v>
      </c>
      <c r="CW550" s="1924">
        <v>8472</v>
      </c>
      <c r="CX550" s="1894">
        <f t="shared" si="234"/>
        <v>34498</v>
      </c>
      <c r="CY550" s="1894">
        <f t="shared" si="235"/>
        <v>0</v>
      </c>
    </row>
    <row r="551" spans="1:103">
      <c r="A551" s="982">
        <v>124000000004</v>
      </c>
      <c r="B551" s="1923">
        <f t="shared" si="236"/>
        <v>545</v>
      </c>
      <c r="C551" s="1895" t="s">
        <v>3422</v>
      </c>
      <c r="D551" s="1894" t="s">
        <v>524</v>
      </c>
      <c r="E551" s="1895" t="s">
        <v>541</v>
      </c>
      <c r="F551" s="1894" t="s">
        <v>259</v>
      </c>
      <c r="G551" s="1924">
        <v>500</v>
      </c>
      <c r="H551" s="1894">
        <v>500</v>
      </c>
      <c r="I551" s="1894">
        <v>402</v>
      </c>
      <c r="J551" s="1894">
        <v>402</v>
      </c>
      <c r="K551" s="1894">
        <v>0.96150000000000002</v>
      </c>
      <c r="L551" s="1894">
        <v>31.95</v>
      </c>
      <c r="M551" s="1894">
        <v>95556</v>
      </c>
      <c r="N551" s="1894">
        <f t="shared" si="214"/>
        <v>173664</v>
      </c>
      <c r="O551" s="1894">
        <f t="shared" si="215"/>
        <v>0</v>
      </c>
      <c r="P551" s="1894">
        <v>500</v>
      </c>
      <c r="Q551" s="1894">
        <v>468.96</v>
      </c>
      <c r="R551" s="1894">
        <v>468.96</v>
      </c>
      <c r="S551" s="1894">
        <v>0.95340000000000003</v>
      </c>
      <c r="T551" s="1894">
        <v>29.3</v>
      </c>
      <c r="U551" s="1894">
        <v>112104</v>
      </c>
      <c r="V551" s="1894">
        <f t="shared" si="216"/>
        <v>209344</v>
      </c>
      <c r="W551" s="1894">
        <f t="shared" si="217"/>
        <v>0</v>
      </c>
      <c r="X551" s="1894">
        <v>500</v>
      </c>
      <c r="Y551" s="1894">
        <v>462</v>
      </c>
      <c r="Z551" s="1894">
        <v>462</v>
      </c>
      <c r="AA551" s="1894">
        <v>0.93689999999999996</v>
      </c>
      <c r="AB551" s="1894">
        <v>34.020000000000003</v>
      </c>
      <c r="AC551" s="1894">
        <v>113178</v>
      </c>
      <c r="AD551" s="1894">
        <f t="shared" si="218"/>
        <v>199584</v>
      </c>
      <c r="AE551" s="1894">
        <f t="shared" si="219"/>
        <v>0</v>
      </c>
      <c r="AF551" s="1894">
        <v>500</v>
      </c>
      <c r="AG551" s="1894">
        <v>451.92</v>
      </c>
      <c r="AH551" s="1894">
        <v>451.92</v>
      </c>
      <c r="AI551" s="1894">
        <v>0.9355</v>
      </c>
      <c r="AJ551" s="1894">
        <v>38.39</v>
      </c>
      <c r="AK551" s="1894">
        <v>129090</v>
      </c>
      <c r="AL551" s="1894">
        <f t="shared" si="237"/>
        <v>201737</v>
      </c>
      <c r="AM551" s="1894">
        <f t="shared" si="238"/>
        <v>0</v>
      </c>
      <c r="AN551" s="1894">
        <v>500</v>
      </c>
      <c r="AO551" s="1894">
        <v>461.28</v>
      </c>
      <c r="AP551" s="1894">
        <v>461.28</v>
      </c>
      <c r="AQ551" s="1894">
        <v>0.95440000000000003</v>
      </c>
      <c r="AR551" s="1894">
        <v>33.9</v>
      </c>
      <c r="AS551" s="1894">
        <v>116346</v>
      </c>
      <c r="AT551" s="1894">
        <f t="shared" si="220"/>
        <v>205915</v>
      </c>
      <c r="AU551" s="1894">
        <f t="shared" si="221"/>
        <v>0</v>
      </c>
      <c r="AV551" s="1894">
        <v>500</v>
      </c>
      <c r="AW551" s="1894">
        <v>510.24</v>
      </c>
      <c r="AX551" s="1894">
        <v>510.24</v>
      </c>
      <c r="AY551" s="1894">
        <v>0.9587</v>
      </c>
      <c r="AZ551" s="1894">
        <v>33.89</v>
      </c>
      <c r="BA551" s="1894">
        <v>120369</v>
      </c>
      <c r="BB551" s="1894">
        <f t="shared" si="222"/>
        <v>220424</v>
      </c>
      <c r="BC551" s="1894">
        <f t="shared" si="223"/>
        <v>0</v>
      </c>
      <c r="BD551" s="1894">
        <v>500</v>
      </c>
      <c r="BE551" s="1894">
        <v>413.04</v>
      </c>
      <c r="BF551" s="1894">
        <v>413.04</v>
      </c>
      <c r="BG551" s="1894">
        <v>0.94930000000000003</v>
      </c>
      <c r="BH551" s="1894">
        <v>43.68</v>
      </c>
      <c r="BI551" s="1894">
        <v>121233</v>
      </c>
      <c r="BJ551" s="1894">
        <f t="shared" si="224"/>
        <v>184381</v>
      </c>
      <c r="BK551" s="1894">
        <f t="shared" si="225"/>
        <v>0</v>
      </c>
      <c r="BL551" s="1894">
        <v>500</v>
      </c>
      <c r="BM551" s="1894">
        <v>440.16</v>
      </c>
      <c r="BN551" s="1894">
        <v>440.16</v>
      </c>
      <c r="BO551" s="1894">
        <v>0.9385</v>
      </c>
      <c r="BP551" s="1894">
        <v>38.340000000000003</v>
      </c>
      <c r="BQ551" s="1894">
        <v>137712</v>
      </c>
      <c r="BR551" s="1894">
        <f t="shared" si="226"/>
        <v>190149</v>
      </c>
      <c r="BS551" s="1894">
        <f t="shared" si="227"/>
        <v>0</v>
      </c>
      <c r="BT551" s="1894">
        <v>500</v>
      </c>
      <c r="BU551" s="1894">
        <v>482.4</v>
      </c>
      <c r="BV551" s="1894">
        <v>482.4</v>
      </c>
      <c r="BW551" s="1894">
        <v>0.95220000000000005</v>
      </c>
      <c r="BX551" s="1894">
        <v>25.45</v>
      </c>
      <c r="BY551" s="1894">
        <v>91356</v>
      </c>
      <c r="BZ551" s="1894">
        <f t="shared" si="228"/>
        <v>215343</v>
      </c>
      <c r="CA551" s="1894">
        <f t="shared" si="229"/>
        <v>0</v>
      </c>
      <c r="CB551" s="1894">
        <v>500</v>
      </c>
      <c r="CC551" s="1894">
        <v>450</v>
      </c>
      <c r="CD551" s="1894">
        <v>450</v>
      </c>
      <c r="CE551" s="1894">
        <v>0.94769999999999999</v>
      </c>
      <c r="CF551" s="1894">
        <v>28.75</v>
      </c>
      <c r="CG551" s="1894">
        <v>96252</v>
      </c>
      <c r="CH551" s="1894">
        <f t="shared" si="230"/>
        <v>200880</v>
      </c>
      <c r="CI551" s="1894">
        <f t="shared" si="231"/>
        <v>0</v>
      </c>
      <c r="CJ551" s="1894">
        <v>500</v>
      </c>
      <c r="CK551" s="1894">
        <v>390</v>
      </c>
      <c r="CL551" s="1894">
        <v>432.48</v>
      </c>
      <c r="CM551" s="1894">
        <v>0.95520000000000005</v>
      </c>
      <c r="CN551" s="1894">
        <v>36.909999999999997</v>
      </c>
      <c r="CO551" s="1894">
        <v>95766</v>
      </c>
      <c r="CP551" s="1894">
        <f t="shared" si="232"/>
        <v>157248</v>
      </c>
      <c r="CQ551" s="1894">
        <f t="shared" si="233"/>
        <v>0</v>
      </c>
      <c r="CR551" s="1924">
        <v>500</v>
      </c>
      <c r="CS551" s="1924">
        <v>443.03999999999996</v>
      </c>
      <c r="CT551" s="1924">
        <v>443.04</v>
      </c>
      <c r="CU551" s="1924">
        <v>0.95099999999999996</v>
      </c>
      <c r="CV551" s="1924">
        <v>35</v>
      </c>
      <c r="CW551" s="1924">
        <v>104208</v>
      </c>
      <c r="CX551" s="1894">
        <f t="shared" si="234"/>
        <v>197773</v>
      </c>
      <c r="CY551" s="1894">
        <f t="shared" si="235"/>
        <v>0</v>
      </c>
    </row>
    <row r="552" spans="1:103">
      <c r="A552" s="982">
        <v>622000000011</v>
      </c>
      <c r="B552" s="1923">
        <f t="shared" si="236"/>
        <v>546</v>
      </c>
      <c r="C552" s="1895" t="s">
        <v>3423</v>
      </c>
      <c r="D552" s="1894" t="s">
        <v>524</v>
      </c>
      <c r="E552" s="1895" t="s">
        <v>629</v>
      </c>
      <c r="F552" s="1894" t="s">
        <v>259</v>
      </c>
      <c r="G552" s="1924">
        <v>500</v>
      </c>
      <c r="H552" s="1894">
        <v>500</v>
      </c>
      <c r="I552" s="1894">
        <v>214</v>
      </c>
      <c r="J552" s="1894">
        <v>500</v>
      </c>
      <c r="K552" s="1894">
        <v>0.99009999999999998</v>
      </c>
      <c r="L552" s="1894">
        <v>0</v>
      </c>
      <c r="M552" s="1894">
        <v>91610</v>
      </c>
      <c r="N552" s="1894">
        <f t="shared" si="214"/>
        <v>92448</v>
      </c>
      <c r="O552" s="1894">
        <f t="shared" si="215"/>
        <v>0</v>
      </c>
      <c r="P552" s="1894">
        <v>500</v>
      </c>
      <c r="Q552" s="1894">
        <v>220.79999999999998</v>
      </c>
      <c r="R552" s="1894">
        <v>500</v>
      </c>
      <c r="S552" s="1894">
        <v>0.98180000000000001</v>
      </c>
      <c r="T552" s="1894">
        <v>0</v>
      </c>
      <c r="U552" s="1894">
        <v>97390</v>
      </c>
      <c r="V552" s="1894">
        <f t="shared" si="216"/>
        <v>98565</v>
      </c>
      <c r="W552" s="1894">
        <f t="shared" si="217"/>
        <v>0</v>
      </c>
      <c r="X552" s="1894">
        <v>500</v>
      </c>
      <c r="Y552" s="1894">
        <v>227.20000000000002</v>
      </c>
      <c r="Z552" s="1894">
        <v>500</v>
      </c>
      <c r="AA552" s="1894">
        <v>0.98340000000000005</v>
      </c>
      <c r="AB552" s="1894">
        <v>0</v>
      </c>
      <c r="AC552" s="1894">
        <v>95550</v>
      </c>
      <c r="AD552" s="1894">
        <f t="shared" si="218"/>
        <v>98150</v>
      </c>
      <c r="AE552" s="1894">
        <f t="shared" si="219"/>
        <v>0</v>
      </c>
      <c r="AF552" s="1894">
        <v>500</v>
      </c>
      <c r="AG552" s="1894">
        <v>230.4</v>
      </c>
      <c r="AH552" s="1894">
        <v>500</v>
      </c>
      <c r="AI552" s="1894">
        <v>0.97789999999999999</v>
      </c>
      <c r="AJ552" s="1894">
        <v>0</v>
      </c>
      <c r="AK552" s="1894">
        <v>88625</v>
      </c>
      <c r="AL552" s="1894">
        <f t="shared" si="237"/>
        <v>102851</v>
      </c>
      <c r="AM552" s="1894">
        <f t="shared" si="238"/>
        <v>0</v>
      </c>
      <c r="AN552" s="1894">
        <v>500</v>
      </c>
      <c r="AO552" s="1894">
        <v>221.6</v>
      </c>
      <c r="AP552" s="1894">
        <v>500</v>
      </c>
      <c r="AQ552" s="1894">
        <v>0.97040000000000004</v>
      </c>
      <c r="AR552" s="1894">
        <v>0</v>
      </c>
      <c r="AS552" s="1894">
        <v>83490</v>
      </c>
      <c r="AT552" s="1894">
        <f t="shared" si="220"/>
        <v>98922</v>
      </c>
      <c r="AU552" s="1894">
        <f t="shared" si="221"/>
        <v>0</v>
      </c>
      <c r="AV552" s="1894">
        <v>500</v>
      </c>
      <c r="AW552" s="1894">
        <v>226</v>
      </c>
      <c r="AX552" s="1894">
        <v>500</v>
      </c>
      <c r="AY552" s="1894">
        <v>0.97519999999999996</v>
      </c>
      <c r="AZ552" s="1894">
        <v>0</v>
      </c>
      <c r="BA552" s="1894">
        <v>85150</v>
      </c>
      <c r="BB552" s="1894">
        <f t="shared" si="222"/>
        <v>97632</v>
      </c>
      <c r="BC552" s="1894">
        <f t="shared" si="223"/>
        <v>0</v>
      </c>
      <c r="BD552" s="1894">
        <v>500</v>
      </c>
      <c r="BE552" s="1894">
        <v>215.2</v>
      </c>
      <c r="BF552" s="1894">
        <v>500</v>
      </c>
      <c r="BG552" s="1894">
        <v>0.96989999999999998</v>
      </c>
      <c r="BH552" s="1894">
        <v>0</v>
      </c>
      <c r="BI552" s="1894">
        <v>87580</v>
      </c>
      <c r="BJ552" s="1894">
        <f t="shared" si="224"/>
        <v>96065</v>
      </c>
      <c r="BK552" s="1894">
        <f t="shared" si="225"/>
        <v>0</v>
      </c>
      <c r="BL552" s="1894">
        <v>500</v>
      </c>
      <c r="BM552" s="1894">
        <v>192.39999999999998</v>
      </c>
      <c r="BN552" s="1894">
        <v>500</v>
      </c>
      <c r="BO552" s="1894">
        <v>0.98629999999999995</v>
      </c>
      <c r="BP552" s="1894">
        <v>0</v>
      </c>
      <c r="BQ552" s="1894">
        <v>78195</v>
      </c>
      <c r="BR552" s="1894">
        <f t="shared" si="226"/>
        <v>83117</v>
      </c>
      <c r="BS552" s="1894">
        <f t="shared" si="227"/>
        <v>0</v>
      </c>
      <c r="BT552" s="1894">
        <v>500</v>
      </c>
      <c r="BU552" s="1894">
        <v>226.8</v>
      </c>
      <c r="BV552" s="1894">
        <v>500</v>
      </c>
      <c r="BW552" s="1894">
        <v>0.9778</v>
      </c>
      <c r="BX552" s="1894">
        <v>0</v>
      </c>
      <c r="BY552" s="1894">
        <v>87400</v>
      </c>
      <c r="BZ552" s="1894">
        <f t="shared" si="228"/>
        <v>101244</v>
      </c>
      <c r="CA552" s="1894">
        <f t="shared" si="229"/>
        <v>0</v>
      </c>
      <c r="CB552" s="1894">
        <v>500</v>
      </c>
      <c r="CC552" s="1894">
        <v>206.4</v>
      </c>
      <c r="CD552" s="1894">
        <v>500</v>
      </c>
      <c r="CE552" s="1894">
        <v>0.97219999999999995</v>
      </c>
      <c r="CF552" s="1894">
        <v>0</v>
      </c>
      <c r="CG552" s="1894">
        <v>87515</v>
      </c>
      <c r="CH552" s="1894">
        <f t="shared" si="230"/>
        <v>92137</v>
      </c>
      <c r="CI552" s="1894">
        <f t="shared" si="231"/>
        <v>0</v>
      </c>
      <c r="CJ552" s="1894">
        <v>500</v>
      </c>
      <c r="CK552" s="1894">
        <v>203.6</v>
      </c>
      <c r="CL552" s="1894">
        <v>500</v>
      </c>
      <c r="CM552" s="1894">
        <v>0.96809999999999996</v>
      </c>
      <c r="CN552" s="1894">
        <v>0</v>
      </c>
      <c r="CO552" s="1894">
        <v>76495</v>
      </c>
      <c r="CP552" s="1894">
        <f t="shared" si="232"/>
        <v>82092</v>
      </c>
      <c r="CQ552" s="1894">
        <f t="shared" si="233"/>
        <v>0</v>
      </c>
      <c r="CR552" s="1924">
        <v>500</v>
      </c>
      <c r="CS552" s="1924">
        <v>216</v>
      </c>
      <c r="CT552" s="1924">
        <v>500</v>
      </c>
      <c r="CU552" s="1924">
        <v>0.96640000000000004</v>
      </c>
      <c r="CV552" s="1924">
        <v>0</v>
      </c>
      <c r="CW552" s="1924">
        <v>80420</v>
      </c>
      <c r="CX552" s="1894">
        <f t="shared" si="234"/>
        <v>96422</v>
      </c>
      <c r="CY552" s="1894">
        <f t="shared" si="235"/>
        <v>0</v>
      </c>
    </row>
    <row r="553" spans="1:103">
      <c r="A553" s="982">
        <v>622000000140</v>
      </c>
      <c r="B553" s="1923">
        <f t="shared" si="236"/>
        <v>547</v>
      </c>
      <c r="C553" s="1895" t="s">
        <v>3424</v>
      </c>
      <c r="D553" s="1894" t="s">
        <v>524</v>
      </c>
      <c r="E553" s="1895" t="s">
        <v>541</v>
      </c>
      <c r="F553" s="1894" t="s">
        <v>259</v>
      </c>
      <c r="G553" s="1924">
        <v>500</v>
      </c>
      <c r="H553" s="1894">
        <v>500</v>
      </c>
      <c r="I553" s="1894">
        <v>76.8</v>
      </c>
      <c r="J553" s="1894">
        <v>400</v>
      </c>
      <c r="K553" s="1894">
        <v>0.98129999999999995</v>
      </c>
      <c r="L553" s="1894">
        <v>44.23</v>
      </c>
      <c r="M553" s="1894">
        <v>28536</v>
      </c>
      <c r="N553" s="1894">
        <f t="shared" si="214"/>
        <v>33178</v>
      </c>
      <c r="O553" s="1894">
        <f t="shared" si="215"/>
        <v>0</v>
      </c>
      <c r="P553" s="1894">
        <v>500</v>
      </c>
      <c r="Q553" s="1894">
        <v>84.86999999999999</v>
      </c>
      <c r="R553" s="1894">
        <v>400</v>
      </c>
      <c r="S553" s="1894">
        <v>0.97929999999999995</v>
      </c>
      <c r="T553" s="1894">
        <v>45.54</v>
      </c>
      <c r="U553" s="1894">
        <v>28754</v>
      </c>
      <c r="V553" s="1894">
        <f t="shared" si="216"/>
        <v>37886</v>
      </c>
      <c r="W553" s="1894">
        <f t="shared" si="217"/>
        <v>0</v>
      </c>
      <c r="X553" s="1894">
        <v>500</v>
      </c>
      <c r="Y553" s="1894">
        <v>78.39</v>
      </c>
      <c r="Z553" s="1894">
        <v>400</v>
      </c>
      <c r="AA553" s="1894">
        <v>0.97030000000000005</v>
      </c>
      <c r="AB553" s="1894">
        <v>47.89</v>
      </c>
      <c r="AC553" s="1894">
        <v>27032</v>
      </c>
      <c r="AD553" s="1894">
        <f t="shared" si="218"/>
        <v>33864</v>
      </c>
      <c r="AE553" s="1894">
        <f t="shared" si="219"/>
        <v>0</v>
      </c>
      <c r="AF553" s="1894">
        <v>500</v>
      </c>
      <c r="AG553" s="1894">
        <v>54.96</v>
      </c>
      <c r="AH553" s="1894">
        <v>400</v>
      </c>
      <c r="AI553" s="1894">
        <v>0.95140000000000002</v>
      </c>
      <c r="AJ553" s="1894">
        <v>53.61</v>
      </c>
      <c r="AK553" s="1894">
        <v>17679</v>
      </c>
      <c r="AL553" s="1894">
        <f t="shared" si="237"/>
        <v>24534</v>
      </c>
      <c r="AM553" s="1894">
        <f t="shared" si="238"/>
        <v>0</v>
      </c>
      <c r="AN553" s="1894">
        <v>500</v>
      </c>
      <c r="AO553" s="1894">
        <v>68.400000000000006</v>
      </c>
      <c r="AP553" s="1894">
        <v>400</v>
      </c>
      <c r="AQ553" s="1894">
        <v>0.96609999999999996</v>
      </c>
      <c r="AR553" s="1894">
        <v>54.79</v>
      </c>
      <c r="AS553" s="1894">
        <v>26982</v>
      </c>
      <c r="AT553" s="1894">
        <f t="shared" si="220"/>
        <v>30534</v>
      </c>
      <c r="AU553" s="1894">
        <f t="shared" si="221"/>
        <v>0</v>
      </c>
      <c r="AV553" s="1894">
        <v>500</v>
      </c>
      <c r="AW553" s="1894">
        <v>62.16</v>
      </c>
      <c r="AX553" s="1894">
        <v>400</v>
      </c>
      <c r="AY553" s="1894">
        <v>0.98560000000000003</v>
      </c>
      <c r="AZ553" s="1894">
        <v>60.94</v>
      </c>
      <c r="BA553" s="1894">
        <v>30000</v>
      </c>
      <c r="BB553" s="1894">
        <f t="shared" si="222"/>
        <v>26853</v>
      </c>
      <c r="BC553" s="1894">
        <f t="shared" si="223"/>
        <v>3147</v>
      </c>
      <c r="BD553" s="1894">
        <v>500</v>
      </c>
      <c r="BE553" s="1894">
        <v>62.16</v>
      </c>
      <c r="BF553" s="1894">
        <v>400</v>
      </c>
      <c r="BG553" s="1894">
        <v>0.98170000000000002</v>
      </c>
      <c r="BH553" s="1894">
        <v>62.01</v>
      </c>
      <c r="BI553" s="1894">
        <v>32376</v>
      </c>
      <c r="BJ553" s="1894">
        <f t="shared" si="224"/>
        <v>27748</v>
      </c>
      <c r="BK553" s="1894">
        <f t="shared" si="225"/>
        <v>4628</v>
      </c>
      <c r="BL553" s="1894">
        <v>500</v>
      </c>
      <c r="BM553" s="1894">
        <v>88.56</v>
      </c>
      <c r="BN553" s="1894">
        <v>400</v>
      </c>
      <c r="BO553" s="1894">
        <v>0.98</v>
      </c>
      <c r="BP553" s="1894">
        <v>43.81</v>
      </c>
      <c r="BQ553" s="1894">
        <v>23277</v>
      </c>
      <c r="BR553" s="1894">
        <f t="shared" si="226"/>
        <v>38258</v>
      </c>
      <c r="BS553" s="1894">
        <f t="shared" si="227"/>
        <v>0</v>
      </c>
      <c r="BT553" s="1894">
        <v>500</v>
      </c>
      <c r="BU553" s="1894">
        <v>81.36</v>
      </c>
      <c r="BV553" s="1894">
        <v>400</v>
      </c>
      <c r="BW553" s="1894">
        <v>0.97529999999999994</v>
      </c>
      <c r="BX553" s="1894">
        <v>56.01</v>
      </c>
      <c r="BY553" s="1894">
        <v>31716</v>
      </c>
      <c r="BZ553" s="1894">
        <f t="shared" si="228"/>
        <v>36319</v>
      </c>
      <c r="CA553" s="1894">
        <f t="shared" si="229"/>
        <v>0</v>
      </c>
      <c r="CB553" s="1894">
        <v>500</v>
      </c>
      <c r="CC553" s="1894">
        <v>78.12</v>
      </c>
      <c r="CD553" s="1894">
        <v>400</v>
      </c>
      <c r="CE553" s="1894">
        <v>0.98380000000000001</v>
      </c>
      <c r="CF553" s="1894">
        <v>54.99</v>
      </c>
      <c r="CG553" s="1894">
        <v>31959</v>
      </c>
      <c r="CH553" s="1894">
        <f t="shared" si="230"/>
        <v>34873</v>
      </c>
      <c r="CI553" s="1894">
        <f t="shared" si="231"/>
        <v>0</v>
      </c>
      <c r="CJ553" s="1894">
        <v>500</v>
      </c>
      <c r="CK553" s="1894">
        <v>91.8</v>
      </c>
      <c r="CL553" s="1894">
        <v>400</v>
      </c>
      <c r="CM553" s="1894">
        <v>0.92490000000000006</v>
      </c>
      <c r="CN553" s="1894">
        <v>51.63</v>
      </c>
      <c r="CO553" s="1894">
        <v>34128</v>
      </c>
      <c r="CP553" s="1894">
        <f t="shared" si="232"/>
        <v>37014</v>
      </c>
      <c r="CQ553" s="1894">
        <f t="shared" si="233"/>
        <v>0</v>
      </c>
      <c r="CR553" s="1924">
        <v>500</v>
      </c>
      <c r="CS553" s="1924">
        <v>93.24</v>
      </c>
      <c r="CT553" s="1924">
        <v>400</v>
      </c>
      <c r="CU553" s="1924">
        <v>0.88149999999999995</v>
      </c>
      <c r="CV553" s="1924">
        <v>68.12</v>
      </c>
      <c r="CW553" s="1924">
        <v>44208</v>
      </c>
      <c r="CX553" s="1894">
        <f t="shared" si="234"/>
        <v>41622</v>
      </c>
      <c r="CY553" s="1894">
        <f t="shared" si="235"/>
        <v>2586</v>
      </c>
    </row>
    <row r="554" spans="1:103">
      <c r="A554" s="982">
        <v>613000000006</v>
      </c>
      <c r="B554" s="1923">
        <f t="shared" si="236"/>
        <v>548</v>
      </c>
      <c r="C554" s="1895" t="s">
        <v>3425</v>
      </c>
      <c r="D554" s="1894" t="s">
        <v>524</v>
      </c>
      <c r="E554" s="1895" t="s">
        <v>541</v>
      </c>
      <c r="F554" s="1894" t="s">
        <v>259</v>
      </c>
      <c r="G554" s="1924">
        <v>500</v>
      </c>
      <c r="H554" s="1894">
        <v>500</v>
      </c>
      <c r="I554" s="1894">
        <v>381.36</v>
      </c>
      <c r="J554" s="1894">
        <v>400</v>
      </c>
      <c r="K554" s="1894">
        <v>0.79049999999999998</v>
      </c>
      <c r="L554" s="1894">
        <v>19.690000000000001</v>
      </c>
      <c r="M554" s="1894">
        <v>54060</v>
      </c>
      <c r="N554" s="1894">
        <f t="shared" si="214"/>
        <v>164748</v>
      </c>
      <c r="O554" s="1894">
        <f t="shared" si="215"/>
        <v>0</v>
      </c>
      <c r="P554" s="1894">
        <v>500</v>
      </c>
      <c r="Q554" s="1894">
        <v>596.4</v>
      </c>
      <c r="R554" s="1894">
        <v>596.4</v>
      </c>
      <c r="S554" s="1894">
        <v>0.88239999999999996</v>
      </c>
      <c r="T554" s="1894">
        <v>15.57</v>
      </c>
      <c r="U554" s="1894">
        <v>69075</v>
      </c>
      <c r="V554" s="1894">
        <f t="shared" si="216"/>
        <v>266233</v>
      </c>
      <c r="W554" s="1894">
        <f t="shared" si="217"/>
        <v>0</v>
      </c>
      <c r="X554" s="1894">
        <v>500</v>
      </c>
      <c r="Y554" s="1894">
        <v>374.4</v>
      </c>
      <c r="Z554" s="1894">
        <v>400</v>
      </c>
      <c r="AA554" s="1894">
        <v>0.95430000000000004</v>
      </c>
      <c r="AB554" s="1894">
        <v>27.32</v>
      </c>
      <c r="AC554" s="1894">
        <v>68733</v>
      </c>
      <c r="AD554" s="1894">
        <f t="shared" si="218"/>
        <v>161741</v>
      </c>
      <c r="AE554" s="1894">
        <f t="shared" si="219"/>
        <v>0</v>
      </c>
      <c r="AF554" s="1894">
        <v>500</v>
      </c>
      <c r="AG554" s="1894">
        <v>402</v>
      </c>
      <c r="AH554" s="1894">
        <v>402</v>
      </c>
      <c r="AI554" s="1894">
        <v>0.9425</v>
      </c>
      <c r="AJ554" s="1894">
        <v>31.79</v>
      </c>
      <c r="AK554" s="1894">
        <v>96021</v>
      </c>
      <c r="AL554" s="1894">
        <f t="shared" si="237"/>
        <v>179453</v>
      </c>
      <c r="AM554" s="1894">
        <f t="shared" si="238"/>
        <v>0</v>
      </c>
      <c r="AN554" s="1894">
        <v>500</v>
      </c>
      <c r="AO554" s="1894">
        <v>475.92</v>
      </c>
      <c r="AP554" s="1894">
        <v>475.92</v>
      </c>
      <c r="AQ554" s="1894">
        <v>0.82850000000000001</v>
      </c>
      <c r="AR554" s="1894">
        <v>44.21</v>
      </c>
      <c r="AS554" s="1894">
        <v>151515</v>
      </c>
      <c r="AT554" s="1894">
        <f t="shared" si="220"/>
        <v>212451</v>
      </c>
      <c r="AU554" s="1894">
        <f t="shared" si="221"/>
        <v>0</v>
      </c>
      <c r="AV554" s="1894">
        <v>500</v>
      </c>
      <c r="AW554" s="1894">
        <v>509.52</v>
      </c>
      <c r="AX554" s="1894">
        <v>509.52</v>
      </c>
      <c r="AY554" s="1894">
        <v>0.91169999999999995</v>
      </c>
      <c r="AZ554" s="1894">
        <v>36.409999999999997</v>
      </c>
      <c r="BA554" s="1894">
        <v>151386</v>
      </c>
      <c r="BB554" s="1894">
        <f t="shared" si="222"/>
        <v>220113</v>
      </c>
      <c r="BC554" s="1894">
        <f t="shared" si="223"/>
        <v>0</v>
      </c>
      <c r="BD554" s="1894">
        <v>500</v>
      </c>
      <c r="BE554" s="1894">
        <v>444.23999999999995</v>
      </c>
      <c r="BF554" s="1894">
        <v>444.24</v>
      </c>
      <c r="BG554" s="1894">
        <v>0.87570000000000003</v>
      </c>
      <c r="BH554" s="1894">
        <v>40.26</v>
      </c>
      <c r="BI554" s="1894">
        <v>133068</v>
      </c>
      <c r="BJ554" s="1894">
        <f t="shared" si="224"/>
        <v>198309</v>
      </c>
      <c r="BK554" s="1894">
        <f t="shared" si="225"/>
        <v>0</v>
      </c>
      <c r="BL554" s="1894">
        <v>500</v>
      </c>
      <c r="BM554" s="1894">
        <v>506.4</v>
      </c>
      <c r="BN554" s="1894">
        <v>506.4</v>
      </c>
      <c r="BO554" s="1894">
        <v>0.84609999999999996</v>
      </c>
      <c r="BP554" s="1894">
        <v>43.17</v>
      </c>
      <c r="BQ554" s="1894">
        <v>157395</v>
      </c>
      <c r="BR554" s="1894">
        <f t="shared" si="226"/>
        <v>218765</v>
      </c>
      <c r="BS554" s="1894">
        <f t="shared" si="227"/>
        <v>0</v>
      </c>
      <c r="BT554" s="1894">
        <v>500</v>
      </c>
      <c r="BU554" s="1894">
        <v>472.8</v>
      </c>
      <c r="BV554" s="1894">
        <v>472.8</v>
      </c>
      <c r="BW554" s="1894">
        <v>0.83779999999999999</v>
      </c>
      <c r="BX554" s="1894">
        <v>42.24</v>
      </c>
      <c r="BY554" s="1894">
        <v>115023</v>
      </c>
      <c r="BZ554" s="1894">
        <f t="shared" si="228"/>
        <v>211058</v>
      </c>
      <c r="CA554" s="1894">
        <f t="shared" si="229"/>
        <v>0</v>
      </c>
      <c r="CB554" s="1894">
        <v>500</v>
      </c>
      <c r="CC554" s="1894">
        <v>555.12</v>
      </c>
      <c r="CD554" s="1894">
        <v>555.12</v>
      </c>
      <c r="CE554" s="1894">
        <v>0.82010000000000005</v>
      </c>
      <c r="CF554" s="1894">
        <v>41.47</v>
      </c>
      <c r="CG554" s="1894">
        <v>209958</v>
      </c>
      <c r="CH554" s="1894">
        <f t="shared" si="230"/>
        <v>247806</v>
      </c>
      <c r="CI554" s="1894">
        <f t="shared" si="231"/>
        <v>0</v>
      </c>
      <c r="CJ554" s="1894">
        <v>500</v>
      </c>
      <c r="CK554" s="1894">
        <v>558.48</v>
      </c>
      <c r="CL554" s="1894">
        <v>558.48</v>
      </c>
      <c r="CM554" s="1894">
        <v>0.81779999999999997</v>
      </c>
      <c r="CN554" s="1894">
        <v>42.17</v>
      </c>
      <c r="CO554" s="1894">
        <v>158265</v>
      </c>
      <c r="CP554" s="1894">
        <f t="shared" si="232"/>
        <v>225179</v>
      </c>
      <c r="CQ554" s="1894">
        <f t="shared" si="233"/>
        <v>0</v>
      </c>
      <c r="CR554" s="1924">
        <v>500</v>
      </c>
      <c r="CS554" s="1924">
        <v>575.28</v>
      </c>
      <c r="CT554" s="1924">
        <v>575.28</v>
      </c>
      <c r="CU554" s="1924">
        <v>0.85029999999999994</v>
      </c>
      <c r="CV554" s="1924">
        <v>40.18</v>
      </c>
      <c r="CW554" s="1924">
        <v>171972</v>
      </c>
      <c r="CX554" s="1894">
        <f t="shared" si="234"/>
        <v>256805</v>
      </c>
      <c r="CY554" s="1894">
        <f t="shared" si="235"/>
        <v>0</v>
      </c>
    </row>
    <row r="555" spans="1:103">
      <c r="A555" s="982">
        <v>621000000041</v>
      </c>
      <c r="B555" s="1923">
        <f t="shared" si="236"/>
        <v>549</v>
      </c>
      <c r="C555" s="1895" t="s">
        <v>3426</v>
      </c>
      <c r="D555" s="1894" t="s">
        <v>524</v>
      </c>
      <c r="E555" s="1895" t="s">
        <v>636</v>
      </c>
      <c r="F555" s="1894" t="s">
        <v>259</v>
      </c>
      <c r="G555" s="1924">
        <v>500</v>
      </c>
      <c r="H555" s="1894">
        <v>500</v>
      </c>
      <c r="I555" s="1894">
        <v>180.95999999999998</v>
      </c>
      <c r="J555" s="1894">
        <v>400</v>
      </c>
      <c r="K555" s="1894">
        <v>0.9738</v>
      </c>
      <c r="L555" s="1894">
        <v>28.75</v>
      </c>
      <c r="M555" s="1894">
        <v>37455</v>
      </c>
      <c r="N555" s="1894">
        <f t="shared" si="214"/>
        <v>78175</v>
      </c>
      <c r="O555" s="1894">
        <f t="shared" si="215"/>
        <v>0</v>
      </c>
      <c r="P555" s="1894">
        <v>500</v>
      </c>
      <c r="Q555" s="1894">
        <v>168.48</v>
      </c>
      <c r="R555" s="1894">
        <v>400</v>
      </c>
      <c r="S555" s="1894">
        <v>0.96870000000000001</v>
      </c>
      <c r="T555" s="1894">
        <v>29.71</v>
      </c>
      <c r="U555" s="1894">
        <v>37245</v>
      </c>
      <c r="V555" s="1894">
        <f t="shared" si="216"/>
        <v>75209</v>
      </c>
      <c r="W555" s="1894">
        <f t="shared" si="217"/>
        <v>0</v>
      </c>
      <c r="X555" s="1894">
        <v>500</v>
      </c>
      <c r="Y555" s="1894">
        <v>177.84</v>
      </c>
      <c r="Z555" s="1894">
        <v>400</v>
      </c>
      <c r="AA555" s="1894">
        <v>0.96619999999999995</v>
      </c>
      <c r="AB555" s="1894">
        <v>23.32</v>
      </c>
      <c r="AC555" s="1894">
        <v>29856</v>
      </c>
      <c r="AD555" s="1894">
        <f t="shared" si="218"/>
        <v>76827</v>
      </c>
      <c r="AE555" s="1894">
        <f t="shared" si="219"/>
        <v>0</v>
      </c>
      <c r="AF555" s="1894">
        <v>500</v>
      </c>
      <c r="AG555" s="1894">
        <v>189.84</v>
      </c>
      <c r="AH555" s="1894">
        <v>400</v>
      </c>
      <c r="AI555" s="1894">
        <v>0.96330000000000005</v>
      </c>
      <c r="AJ555" s="1894">
        <v>18.78</v>
      </c>
      <c r="AK555" s="1894">
        <v>26523</v>
      </c>
      <c r="AL555" s="1894">
        <f t="shared" si="237"/>
        <v>84745</v>
      </c>
      <c r="AM555" s="1894">
        <f t="shared" si="238"/>
        <v>0</v>
      </c>
      <c r="AN555" s="1894">
        <v>500</v>
      </c>
      <c r="AO555" s="1894">
        <v>130.56</v>
      </c>
      <c r="AP555" s="1894">
        <v>400</v>
      </c>
      <c r="AQ555" s="1894">
        <v>0.96679999999999999</v>
      </c>
      <c r="AR555" s="1894">
        <v>31.84</v>
      </c>
      <c r="AS555" s="1894">
        <v>30924</v>
      </c>
      <c r="AT555" s="1894">
        <f t="shared" si="220"/>
        <v>58282</v>
      </c>
      <c r="AU555" s="1894">
        <f t="shared" si="221"/>
        <v>0</v>
      </c>
      <c r="AV555" s="1894">
        <v>500</v>
      </c>
      <c r="AW555" s="1894">
        <v>182.64000000000001</v>
      </c>
      <c r="AX555" s="1894">
        <v>400</v>
      </c>
      <c r="AY555" s="1894">
        <v>0.97909999999999997</v>
      </c>
      <c r="AZ555" s="1894">
        <v>30.6</v>
      </c>
      <c r="BA555" s="1894">
        <v>40236</v>
      </c>
      <c r="BB555" s="1894">
        <f t="shared" si="222"/>
        <v>78900</v>
      </c>
      <c r="BC555" s="1894">
        <f t="shared" si="223"/>
        <v>0</v>
      </c>
      <c r="BD555" s="1894">
        <v>500</v>
      </c>
      <c r="BE555" s="1894">
        <v>192.96</v>
      </c>
      <c r="BF555" s="1894">
        <v>400</v>
      </c>
      <c r="BG555" s="1894">
        <v>0.97840000000000005</v>
      </c>
      <c r="BH555" s="1894">
        <v>34.96</v>
      </c>
      <c r="BI555" s="1894">
        <v>50193</v>
      </c>
      <c r="BJ555" s="1894">
        <f t="shared" si="224"/>
        <v>86137</v>
      </c>
      <c r="BK555" s="1894">
        <f t="shared" si="225"/>
        <v>0</v>
      </c>
      <c r="BL555" s="1894">
        <v>500</v>
      </c>
      <c r="BM555" s="1894">
        <v>161.28</v>
      </c>
      <c r="BN555" s="1894">
        <v>400</v>
      </c>
      <c r="BO555" s="1894">
        <v>0.97719999999999996</v>
      </c>
      <c r="BP555" s="1894">
        <v>31.41</v>
      </c>
      <c r="BQ555" s="1894">
        <v>36474</v>
      </c>
      <c r="BR555" s="1894">
        <f t="shared" si="226"/>
        <v>69673</v>
      </c>
      <c r="BS555" s="1894">
        <f t="shared" si="227"/>
        <v>0</v>
      </c>
      <c r="BT555" s="1894">
        <v>500</v>
      </c>
      <c r="BU555" s="1894">
        <v>175.92000000000002</v>
      </c>
      <c r="BV555" s="1894">
        <v>400</v>
      </c>
      <c r="BW555" s="1894">
        <v>0.9859</v>
      </c>
      <c r="BX555" s="1894">
        <v>25.71</v>
      </c>
      <c r="BY555" s="1894">
        <v>33651</v>
      </c>
      <c r="BZ555" s="1894">
        <f t="shared" si="228"/>
        <v>78531</v>
      </c>
      <c r="CA555" s="1894">
        <f t="shared" si="229"/>
        <v>0</v>
      </c>
      <c r="CB555" s="1894">
        <v>500</v>
      </c>
      <c r="CC555" s="1894">
        <v>180.72000000000003</v>
      </c>
      <c r="CD555" s="1894">
        <v>400</v>
      </c>
      <c r="CE555" s="1894">
        <v>0.9244</v>
      </c>
      <c r="CF555" s="1894">
        <v>25.51</v>
      </c>
      <c r="CG555" s="1894">
        <v>34293</v>
      </c>
      <c r="CH555" s="1894">
        <f t="shared" si="230"/>
        <v>80673</v>
      </c>
      <c r="CI555" s="1894">
        <f t="shared" si="231"/>
        <v>0</v>
      </c>
      <c r="CJ555" s="1894">
        <v>500</v>
      </c>
      <c r="CK555" s="1894">
        <v>224.4</v>
      </c>
      <c r="CL555" s="1894">
        <v>400</v>
      </c>
      <c r="CM555" s="1894">
        <v>0.98029999999999995</v>
      </c>
      <c r="CN555" s="1894">
        <v>24.15</v>
      </c>
      <c r="CO555" s="1894">
        <v>36423</v>
      </c>
      <c r="CP555" s="1894">
        <f t="shared" si="232"/>
        <v>90478</v>
      </c>
      <c r="CQ555" s="1894">
        <f t="shared" si="233"/>
        <v>0</v>
      </c>
      <c r="CR555" s="1924">
        <v>500</v>
      </c>
      <c r="CS555" s="1924">
        <v>294.72000000000003</v>
      </c>
      <c r="CT555" s="1924">
        <v>400</v>
      </c>
      <c r="CU555" s="1924">
        <v>0.98040000000000005</v>
      </c>
      <c r="CV555" s="1924">
        <v>23.95</v>
      </c>
      <c r="CW555" s="1924">
        <v>52515</v>
      </c>
      <c r="CX555" s="1894">
        <f t="shared" si="234"/>
        <v>131563</v>
      </c>
      <c r="CY555" s="1894">
        <f t="shared" si="235"/>
        <v>0</v>
      </c>
    </row>
    <row r="556" spans="1:103">
      <c r="A556" s="982">
        <v>622000000178</v>
      </c>
      <c r="B556" s="1923">
        <f t="shared" si="236"/>
        <v>550</v>
      </c>
      <c r="C556" s="1895" t="s">
        <v>587</v>
      </c>
      <c r="D556" s="1894" t="s">
        <v>524</v>
      </c>
      <c r="E556" s="1895" t="s">
        <v>629</v>
      </c>
      <c r="F556" s="1894" t="s">
        <v>259</v>
      </c>
      <c r="G556" s="1924">
        <v>500</v>
      </c>
      <c r="H556" s="1894">
        <v>500</v>
      </c>
      <c r="I556" s="1894">
        <v>250.4</v>
      </c>
      <c r="J556" s="1894">
        <v>500</v>
      </c>
      <c r="K556" s="1894">
        <v>0.95879999999999999</v>
      </c>
      <c r="L556" s="1894">
        <v>0</v>
      </c>
      <c r="M556" s="1894">
        <v>69230</v>
      </c>
      <c r="N556" s="1894">
        <f t="shared" si="214"/>
        <v>108173</v>
      </c>
      <c r="O556" s="1894">
        <f t="shared" si="215"/>
        <v>0</v>
      </c>
      <c r="P556" s="1894">
        <v>500</v>
      </c>
      <c r="Q556" s="1894">
        <v>182.4</v>
      </c>
      <c r="R556" s="1894">
        <v>500</v>
      </c>
      <c r="S556" s="1894">
        <v>0.94499999999999995</v>
      </c>
      <c r="T556" s="1894">
        <v>0</v>
      </c>
      <c r="U556" s="1894">
        <v>70560</v>
      </c>
      <c r="V556" s="1894">
        <f t="shared" si="216"/>
        <v>81423</v>
      </c>
      <c r="W556" s="1894">
        <f t="shared" si="217"/>
        <v>0</v>
      </c>
      <c r="X556" s="1894">
        <v>500</v>
      </c>
      <c r="Y556" s="1894">
        <v>211.2</v>
      </c>
      <c r="Z556" s="1894">
        <v>500</v>
      </c>
      <c r="AA556" s="1894">
        <v>0.94179999999999997</v>
      </c>
      <c r="AB556" s="1894">
        <v>0</v>
      </c>
      <c r="AC556" s="1894">
        <v>68740</v>
      </c>
      <c r="AD556" s="1894">
        <f t="shared" si="218"/>
        <v>91238</v>
      </c>
      <c r="AE556" s="1894">
        <f t="shared" si="219"/>
        <v>0</v>
      </c>
      <c r="AF556" s="1894">
        <v>500</v>
      </c>
      <c r="AG556" s="1894">
        <v>149.60000000000002</v>
      </c>
      <c r="AH556" s="1894">
        <v>500</v>
      </c>
      <c r="AI556" s="1894">
        <v>0.9294</v>
      </c>
      <c r="AJ556" s="1894">
        <v>0</v>
      </c>
      <c r="AK556" s="1894">
        <v>52450</v>
      </c>
      <c r="AL556" s="1894">
        <f t="shared" si="237"/>
        <v>66781</v>
      </c>
      <c r="AM556" s="1894">
        <f t="shared" si="238"/>
        <v>0</v>
      </c>
      <c r="AN556" s="1894">
        <v>500</v>
      </c>
      <c r="AO556" s="1894">
        <v>194.39999999999998</v>
      </c>
      <c r="AP556" s="1894">
        <v>500</v>
      </c>
      <c r="AQ556" s="1894">
        <v>0.92659999999999998</v>
      </c>
      <c r="AR556" s="1894">
        <v>0</v>
      </c>
      <c r="AS556" s="1894">
        <v>52220</v>
      </c>
      <c r="AT556" s="1894">
        <f t="shared" si="220"/>
        <v>86780</v>
      </c>
      <c r="AU556" s="1894">
        <f t="shared" si="221"/>
        <v>0</v>
      </c>
      <c r="AV556" s="1894">
        <v>500</v>
      </c>
      <c r="AW556" s="1894">
        <v>356.8</v>
      </c>
      <c r="AX556" s="1894">
        <v>500</v>
      </c>
      <c r="AY556" s="1894">
        <v>0.9274</v>
      </c>
      <c r="AZ556" s="1894">
        <v>0</v>
      </c>
      <c r="BA556" s="1894">
        <v>53240</v>
      </c>
      <c r="BB556" s="1894">
        <f t="shared" si="222"/>
        <v>154138</v>
      </c>
      <c r="BC556" s="1894">
        <f t="shared" si="223"/>
        <v>0</v>
      </c>
      <c r="BD556" s="1894">
        <v>500</v>
      </c>
      <c r="BE556" s="1894">
        <v>155.20000000000002</v>
      </c>
      <c r="BF556" s="1894">
        <v>500</v>
      </c>
      <c r="BG556" s="1894">
        <v>0.94089999999999996</v>
      </c>
      <c r="BH556" s="1894">
        <v>0</v>
      </c>
      <c r="BI556" s="1894">
        <v>45230</v>
      </c>
      <c r="BJ556" s="1894">
        <f t="shared" si="224"/>
        <v>69281</v>
      </c>
      <c r="BK556" s="1894">
        <f t="shared" si="225"/>
        <v>0</v>
      </c>
      <c r="BL556" s="1894">
        <v>500</v>
      </c>
      <c r="BM556" s="1894">
        <v>165.6</v>
      </c>
      <c r="BN556" s="1894">
        <v>500</v>
      </c>
      <c r="BO556" s="1894">
        <v>0.9415</v>
      </c>
      <c r="BP556" s="1894">
        <v>0</v>
      </c>
      <c r="BQ556" s="1894">
        <v>44500</v>
      </c>
      <c r="BR556" s="1894">
        <f t="shared" si="226"/>
        <v>71539</v>
      </c>
      <c r="BS556" s="1894">
        <f t="shared" si="227"/>
        <v>0</v>
      </c>
      <c r="BT556" s="1894">
        <v>500</v>
      </c>
      <c r="BU556" s="1894">
        <v>189.6</v>
      </c>
      <c r="BV556" s="1894">
        <v>500</v>
      </c>
      <c r="BW556" s="1894">
        <v>0.94620000000000004</v>
      </c>
      <c r="BX556" s="1894">
        <v>0</v>
      </c>
      <c r="BY556" s="1894">
        <v>51310</v>
      </c>
      <c r="BZ556" s="1894">
        <f t="shared" si="228"/>
        <v>84637</v>
      </c>
      <c r="CA556" s="1894">
        <f t="shared" si="229"/>
        <v>0</v>
      </c>
      <c r="CB556" s="1894">
        <v>500</v>
      </c>
      <c r="CC556" s="1894">
        <v>182.4</v>
      </c>
      <c r="CD556" s="1894">
        <v>500</v>
      </c>
      <c r="CE556" s="1894">
        <v>0.96399999999999997</v>
      </c>
      <c r="CF556" s="1894">
        <v>0</v>
      </c>
      <c r="CG556" s="1894">
        <v>48950</v>
      </c>
      <c r="CH556" s="1894">
        <f t="shared" si="230"/>
        <v>81423</v>
      </c>
      <c r="CI556" s="1894">
        <f t="shared" si="231"/>
        <v>0</v>
      </c>
      <c r="CJ556" s="1894">
        <v>500</v>
      </c>
      <c r="CK556" s="1894">
        <v>181.60000000000002</v>
      </c>
      <c r="CL556" s="1894">
        <v>500</v>
      </c>
      <c r="CM556" s="1894">
        <v>0.95209999999999995</v>
      </c>
      <c r="CN556" s="1894">
        <v>0</v>
      </c>
      <c r="CO556" s="1894">
        <v>42650</v>
      </c>
      <c r="CP556" s="1894">
        <f t="shared" si="232"/>
        <v>73221</v>
      </c>
      <c r="CQ556" s="1894">
        <f t="shared" si="233"/>
        <v>0</v>
      </c>
      <c r="CR556" s="1924">
        <v>500</v>
      </c>
      <c r="CS556" s="1924">
        <v>164.8</v>
      </c>
      <c r="CT556" s="1924">
        <v>500</v>
      </c>
      <c r="CU556" s="1924">
        <v>0.9476</v>
      </c>
      <c r="CV556" s="1924">
        <v>0</v>
      </c>
      <c r="CW556" s="1924">
        <v>47150</v>
      </c>
      <c r="CX556" s="1894">
        <f t="shared" si="234"/>
        <v>73567</v>
      </c>
      <c r="CY556" s="1894">
        <f t="shared" si="235"/>
        <v>0</v>
      </c>
    </row>
    <row r="557" spans="1:103">
      <c r="A557" s="982">
        <v>123000000090</v>
      </c>
      <c r="B557" s="1923">
        <f t="shared" si="236"/>
        <v>551</v>
      </c>
      <c r="C557" s="1895" t="s">
        <v>3427</v>
      </c>
      <c r="D557" s="1894" t="s">
        <v>524</v>
      </c>
      <c r="E557" s="1895" t="s">
        <v>541</v>
      </c>
      <c r="F557" s="1894" t="s">
        <v>259</v>
      </c>
      <c r="G557" s="1924">
        <v>506</v>
      </c>
      <c r="H557" s="1894">
        <v>506</v>
      </c>
      <c r="I557" s="1894">
        <v>501.36</v>
      </c>
      <c r="J557" s="1894">
        <v>501.36</v>
      </c>
      <c r="K557" s="1894">
        <v>0.99560000000000004</v>
      </c>
      <c r="L557" s="1894">
        <v>62</v>
      </c>
      <c r="M557" s="1894">
        <v>246201</v>
      </c>
      <c r="N557" s="1894">
        <f t="shared" si="214"/>
        <v>216588</v>
      </c>
      <c r="O557" s="1894">
        <f t="shared" si="215"/>
        <v>29613</v>
      </c>
      <c r="P557" s="1894">
        <v>506</v>
      </c>
      <c r="Q557" s="1894">
        <v>443.03999999999996</v>
      </c>
      <c r="R557" s="1894">
        <v>443.04</v>
      </c>
      <c r="S557" s="1894">
        <v>0.99529999999999996</v>
      </c>
      <c r="T557" s="1894">
        <v>66.760000000000005</v>
      </c>
      <c r="U557" s="1894">
        <v>177462</v>
      </c>
      <c r="V557" s="1894">
        <f t="shared" si="216"/>
        <v>197773</v>
      </c>
      <c r="W557" s="1894">
        <f t="shared" si="217"/>
        <v>0</v>
      </c>
      <c r="X557" s="1894">
        <v>506</v>
      </c>
      <c r="Y557" s="1894">
        <v>477.84</v>
      </c>
      <c r="Z557" s="1894">
        <v>477.84</v>
      </c>
      <c r="AA557" s="1894">
        <v>0.99490000000000001</v>
      </c>
      <c r="AB557" s="1894">
        <v>64.849999999999994</v>
      </c>
      <c r="AC557" s="1894">
        <v>267738</v>
      </c>
      <c r="AD557" s="1894">
        <f t="shared" si="218"/>
        <v>206427</v>
      </c>
      <c r="AE557" s="1894">
        <f t="shared" si="219"/>
        <v>61311</v>
      </c>
      <c r="AF557" s="1894">
        <v>506</v>
      </c>
      <c r="AG557" s="1894">
        <v>454.8</v>
      </c>
      <c r="AH557" s="1894">
        <v>454.8</v>
      </c>
      <c r="AI557" s="1894">
        <v>0.99360000000000004</v>
      </c>
      <c r="AJ557" s="1894">
        <v>38.840000000000003</v>
      </c>
      <c r="AK557" s="1894">
        <v>131424</v>
      </c>
      <c r="AL557" s="1894">
        <f t="shared" si="237"/>
        <v>203023</v>
      </c>
      <c r="AM557" s="1894">
        <f t="shared" si="238"/>
        <v>0</v>
      </c>
      <c r="AN557" s="1894">
        <v>506</v>
      </c>
      <c r="AO557" s="1894">
        <v>473.52</v>
      </c>
      <c r="AP557" s="1894">
        <v>473.52</v>
      </c>
      <c r="AQ557" s="1894">
        <v>0.99580000000000002</v>
      </c>
      <c r="AR557" s="1894">
        <v>70.91</v>
      </c>
      <c r="AS557" s="1894">
        <v>249810</v>
      </c>
      <c r="AT557" s="1894">
        <f t="shared" si="220"/>
        <v>211379</v>
      </c>
      <c r="AU557" s="1894">
        <f t="shared" si="221"/>
        <v>38431</v>
      </c>
      <c r="AV557" s="1894">
        <v>506</v>
      </c>
      <c r="AW557" s="1894">
        <v>509.04</v>
      </c>
      <c r="AX557" s="1894">
        <v>509.04</v>
      </c>
      <c r="AY557" s="1894">
        <v>0.99560000000000004</v>
      </c>
      <c r="AZ557" s="1894">
        <v>59.12</v>
      </c>
      <c r="BA557" s="1894">
        <v>216690</v>
      </c>
      <c r="BB557" s="1894">
        <f t="shared" si="222"/>
        <v>219905</v>
      </c>
      <c r="BC557" s="1894">
        <f t="shared" si="223"/>
        <v>0</v>
      </c>
      <c r="BD557" s="1894">
        <v>506</v>
      </c>
      <c r="BE557" s="1894">
        <v>517.91999999999996</v>
      </c>
      <c r="BF557" s="1894">
        <v>517.91999999999996</v>
      </c>
      <c r="BG557" s="1894">
        <v>0.99390000000000001</v>
      </c>
      <c r="BH557" s="1894">
        <v>39.44</v>
      </c>
      <c r="BI557" s="1894">
        <v>151959</v>
      </c>
      <c r="BJ557" s="1894">
        <f t="shared" si="224"/>
        <v>231199</v>
      </c>
      <c r="BK557" s="1894">
        <f t="shared" si="225"/>
        <v>0</v>
      </c>
      <c r="BL557" s="1894">
        <v>506</v>
      </c>
      <c r="BM557" s="1894">
        <v>498.96</v>
      </c>
      <c r="BN557" s="1894">
        <v>498.96</v>
      </c>
      <c r="BO557" s="1894">
        <v>0.99660000000000004</v>
      </c>
      <c r="BP557" s="1894">
        <v>56.34</v>
      </c>
      <c r="BQ557" s="1894">
        <v>168660</v>
      </c>
      <c r="BR557" s="1894">
        <f t="shared" si="226"/>
        <v>215551</v>
      </c>
      <c r="BS557" s="1894">
        <f t="shared" si="227"/>
        <v>0</v>
      </c>
      <c r="BT557" s="1894">
        <v>506</v>
      </c>
      <c r="BU557" s="1894">
        <v>499.44</v>
      </c>
      <c r="BV557" s="1894">
        <v>499.44</v>
      </c>
      <c r="BW557" s="1894">
        <v>0.99629999999999996</v>
      </c>
      <c r="BX557" s="1894">
        <v>73.67</v>
      </c>
      <c r="BY557" s="1894">
        <v>282564</v>
      </c>
      <c r="BZ557" s="1894">
        <f t="shared" si="228"/>
        <v>222950</v>
      </c>
      <c r="CA557" s="1894">
        <f t="shared" si="229"/>
        <v>59614</v>
      </c>
      <c r="CB557" s="1894">
        <v>506</v>
      </c>
      <c r="CC557" s="1894">
        <v>498</v>
      </c>
      <c r="CD557" s="1894">
        <v>498</v>
      </c>
      <c r="CE557" s="1894">
        <v>0.99490000000000001</v>
      </c>
      <c r="CF557" s="1894">
        <v>68.430000000000007</v>
      </c>
      <c r="CG557" s="1894">
        <v>245352</v>
      </c>
      <c r="CH557" s="1894">
        <f t="shared" si="230"/>
        <v>222307</v>
      </c>
      <c r="CI557" s="1894">
        <f t="shared" si="231"/>
        <v>23045</v>
      </c>
      <c r="CJ557" s="1894">
        <v>506</v>
      </c>
      <c r="CK557" s="1894">
        <v>511.2</v>
      </c>
      <c r="CL557" s="1894">
        <v>511.2</v>
      </c>
      <c r="CM557" s="1894">
        <v>0.99519999999999997</v>
      </c>
      <c r="CN557" s="1894">
        <v>72.38</v>
      </c>
      <c r="CO557" s="1894">
        <v>239763</v>
      </c>
      <c r="CP557" s="1894">
        <f t="shared" si="232"/>
        <v>206116</v>
      </c>
      <c r="CQ557" s="1894">
        <f t="shared" si="233"/>
        <v>33647</v>
      </c>
      <c r="CR557" s="1924">
        <v>506</v>
      </c>
      <c r="CS557" s="1924">
        <v>478.56</v>
      </c>
      <c r="CT557" s="1924">
        <v>478.56</v>
      </c>
      <c r="CU557" s="1924">
        <v>0.99529999999999996</v>
      </c>
      <c r="CV557" s="1924">
        <v>73.2</v>
      </c>
      <c r="CW557" s="1924">
        <v>260637</v>
      </c>
      <c r="CX557" s="1894">
        <f t="shared" si="234"/>
        <v>213629</v>
      </c>
      <c r="CY557" s="1894">
        <f t="shared" si="235"/>
        <v>47008</v>
      </c>
    </row>
    <row r="558" spans="1:103">
      <c r="A558" s="982">
        <v>622000000043</v>
      </c>
      <c r="B558" s="1923">
        <f t="shared" si="236"/>
        <v>552</v>
      </c>
      <c r="C558" s="1895" t="s">
        <v>3428</v>
      </c>
      <c r="D558" s="1894" t="s">
        <v>524</v>
      </c>
      <c r="E558" s="1895" t="s">
        <v>541</v>
      </c>
      <c r="F558" s="1894" t="s">
        <v>259</v>
      </c>
      <c r="G558" s="1924">
        <v>536</v>
      </c>
      <c r="H558" s="1894">
        <v>536</v>
      </c>
      <c r="I558" s="1894">
        <v>62.4</v>
      </c>
      <c r="J558" s="1894">
        <v>428.8</v>
      </c>
      <c r="K558" s="1894">
        <v>0.98160000000000003</v>
      </c>
      <c r="L558" s="1894">
        <v>34.479999999999997</v>
      </c>
      <c r="M558" s="1894">
        <v>17040</v>
      </c>
      <c r="N558" s="1894">
        <f t="shared" si="214"/>
        <v>26957</v>
      </c>
      <c r="O558" s="1894">
        <f t="shared" si="215"/>
        <v>0</v>
      </c>
      <c r="P558" s="1894">
        <v>536</v>
      </c>
      <c r="Q558" s="1894">
        <v>56.4</v>
      </c>
      <c r="R558" s="1894">
        <v>428.8</v>
      </c>
      <c r="S558" s="1894">
        <v>0.98770000000000002</v>
      </c>
      <c r="T558" s="1894">
        <v>34.979999999999997</v>
      </c>
      <c r="U558" s="1894">
        <v>12786</v>
      </c>
      <c r="V558" s="1894">
        <f t="shared" si="216"/>
        <v>25177</v>
      </c>
      <c r="W558" s="1894">
        <f t="shared" si="217"/>
        <v>0</v>
      </c>
      <c r="X558" s="1894">
        <v>536</v>
      </c>
      <c r="Y558" s="1894">
        <v>58.800000000000004</v>
      </c>
      <c r="Z558" s="1894">
        <v>428.8</v>
      </c>
      <c r="AA558" s="1894">
        <v>0.98709999999999998</v>
      </c>
      <c r="AB558" s="1894">
        <v>32.03</v>
      </c>
      <c r="AC558" s="1894">
        <v>14916</v>
      </c>
      <c r="AD558" s="1894">
        <f t="shared" si="218"/>
        <v>25402</v>
      </c>
      <c r="AE558" s="1894">
        <f t="shared" si="219"/>
        <v>0</v>
      </c>
      <c r="AF558" s="1894">
        <v>536</v>
      </c>
      <c r="AG558" s="1894">
        <v>61.199999999999996</v>
      </c>
      <c r="AH558" s="1894">
        <v>428.8</v>
      </c>
      <c r="AI558" s="1894">
        <v>0.99070000000000003</v>
      </c>
      <c r="AJ558" s="1894">
        <v>31.56</v>
      </c>
      <c r="AK558" s="1894">
        <v>16224</v>
      </c>
      <c r="AL558" s="1894">
        <f t="shared" si="237"/>
        <v>27320</v>
      </c>
      <c r="AM558" s="1894">
        <f t="shared" si="238"/>
        <v>0</v>
      </c>
      <c r="AN558" s="1894">
        <v>536</v>
      </c>
      <c r="AO558" s="1894">
        <v>57.6</v>
      </c>
      <c r="AP558" s="1894">
        <v>428.8</v>
      </c>
      <c r="AQ558" s="1894">
        <v>0.99</v>
      </c>
      <c r="AR558" s="1894">
        <v>30.82</v>
      </c>
      <c r="AS558" s="1894">
        <v>11502</v>
      </c>
      <c r="AT558" s="1894">
        <f t="shared" si="220"/>
        <v>25713</v>
      </c>
      <c r="AU558" s="1894">
        <f t="shared" si="221"/>
        <v>0</v>
      </c>
      <c r="AV558" s="1894">
        <v>536</v>
      </c>
      <c r="AW558" s="1894">
        <v>57.6</v>
      </c>
      <c r="AX558" s="1894">
        <v>428.8</v>
      </c>
      <c r="AY558" s="1894">
        <v>0.99539999999999995</v>
      </c>
      <c r="AZ558" s="1894">
        <v>39.33</v>
      </c>
      <c r="BA558" s="1894">
        <v>18486</v>
      </c>
      <c r="BB558" s="1894">
        <f t="shared" si="222"/>
        <v>24883</v>
      </c>
      <c r="BC558" s="1894">
        <f t="shared" si="223"/>
        <v>0</v>
      </c>
      <c r="BD558" s="1894">
        <v>536</v>
      </c>
      <c r="BE558" s="1894">
        <v>66</v>
      </c>
      <c r="BF558" s="1894">
        <v>428.8</v>
      </c>
      <c r="BG558" s="1894">
        <v>0.99519999999999997</v>
      </c>
      <c r="BH558" s="1894">
        <v>38.4</v>
      </c>
      <c r="BI558" s="1894">
        <v>18858</v>
      </c>
      <c r="BJ558" s="1894">
        <f t="shared" si="224"/>
        <v>29462</v>
      </c>
      <c r="BK558" s="1894">
        <f t="shared" si="225"/>
        <v>0</v>
      </c>
      <c r="BL558" s="1894">
        <v>536</v>
      </c>
      <c r="BM558" s="1894">
        <v>66</v>
      </c>
      <c r="BN558" s="1894">
        <v>428.8</v>
      </c>
      <c r="BO558" s="1894">
        <v>0.99570000000000003</v>
      </c>
      <c r="BP558" s="1894">
        <v>38.04</v>
      </c>
      <c r="BQ558" s="1894">
        <v>15666</v>
      </c>
      <c r="BR558" s="1894">
        <f t="shared" si="226"/>
        <v>28512</v>
      </c>
      <c r="BS558" s="1894">
        <f t="shared" si="227"/>
        <v>0</v>
      </c>
      <c r="BT558" s="1894">
        <v>536</v>
      </c>
      <c r="BU558" s="1894">
        <v>60</v>
      </c>
      <c r="BV558" s="1894">
        <v>428.8</v>
      </c>
      <c r="BW558" s="1894">
        <v>0.99480000000000002</v>
      </c>
      <c r="BX558" s="1894">
        <v>46.86</v>
      </c>
      <c r="BY558" s="1894">
        <v>22266</v>
      </c>
      <c r="BZ558" s="1894">
        <f t="shared" si="228"/>
        <v>26784</v>
      </c>
      <c r="CA558" s="1894">
        <f t="shared" si="229"/>
        <v>0</v>
      </c>
      <c r="CB558" s="1894">
        <v>536</v>
      </c>
      <c r="CC558" s="1894">
        <v>67.2</v>
      </c>
      <c r="CD558" s="1894">
        <v>428.8</v>
      </c>
      <c r="CE558" s="1894">
        <v>0.99690000000000001</v>
      </c>
      <c r="CF558" s="1894">
        <v>40.82</v>
      </c>
      <c r="CG558" s="1894">
        <v>19752</v>
      </c>
      <c r="CH558" s="1894">
        <f t="shared" si="230"/>
        <v>29998</v>
      </c>
      <c r="CI558" s="1894">
        <f t="shared" si="231"/>
        <v>0</v>
      </c>
      <c r="CJ558" s="1894">
        <v>536</v>
      </c>
      <c r="CK558" s="1894">
        <v>61.199999999999996</v>
      </c>
      <c r="CL558" s="1894">
        <v>428.8</v>
      </c>
      <c r="CM558" s="1894">
        <v>0.99719999999999998</v>
      </c>
      <c r="CN558" s="1894">
        <v>42.6</v>
      </c>
      <c r="CO558" s="1894">
        <v>20649</v>
      </c>
      <c r="CP558" s="1894">
        <f t="shared" si="232"/>
        <v>24676</v>
      </c>
      <c r="CQ558" s="1894">
        <f t="shared" si="233"/>
        <v>0</v>
      </c>
      <c r="CR558" s="1924">
        <v>536</v>
      </c>
      <c r="CS558" s="1924">
        <v>65.039999999999992</v>
      </c>
      <c r="CT558" s="1924">
        <v>428.8</v>
      </c>
      <c r="CU558" s="1924">
        <v>0.99529999999999996</v>
      </c>
      <c r="CV558" s="1924">
        <v>37.4</v>
      </c>
      <c r="CW558" s="1924">
        <v>18099</v>
      </c>
      <c r="CX558" s="1894">
        <f t="shared" si="234"/>
        <v>29034</v>
      </c>
      <c r="CY558" s="1894">
        <f t="shared" si="235"/>
        <v>0</v>
      </c>
    </row>
    <row r="559" spans="1:103">
      <c r="A559" s="982">
        <v>421000000015</v>
      </c>
      <c r="B559" s="1923">
        <f t="shared" si="236"/>
        <v>553</v>
      </c>
      <c r="C559" s="1895" t="s">
        <v>3429</v>
      </c>
      <c r="D559" s="1894" t="s">
        <v>524</v>
      </c>
      <c r="E559" s="1895" t="s">
        <v>730</v>
      </c>
      <c r="F559" s="1894" t="s">
        <v>259</v>
      </c>
      <c r="G559" s="1924">
        <v>554</v>
      </c>
      <c r="H559" s="1894">
        <v>554</v>
      </c>
      <c r="I559" s="1894">
        <v>250.4</v>
      </c>
      <c r="J559" s="1894">
        <v>443.2</v>
      </c>
      <c r="K559" s="1894">
        <v>0.84199999999999997</v>
      </c>
      <c r="L559" s="1894">
        <v>10.27</v>
      </c>
      <c r="M559" s="1894">
        <v>19125</v>
      </c>
      <c r="N559" s="1894">
        <f t="shared" si="214"/>
        <v>108173</v>
      </c>
      <c r="O559" s="1894">
        <f t="shared" si="215"/>
        <v>0</v>
      </c>
      <c r="P559" s="1894">
        <v>554</v>
      </c>
      <c r="Q559" s="1894">
        <v>220.79999999999998</v>
      </c>
      <c r="R559" s="1894">
        <v>443.2</v>
      </c>
      <c r="S559" s="1894">
        <v>0.84889999999999999</v>
      </c>
      <c r="T559" s="1894">
        <v>5.8</v>
      </c>
      <c r="U559" s="1894">
        <v>7680</v>
      </c>
      <c r="V559" s="1894">
        <f t="shared" si="216"/>
        <v>98565</v>
      </c>
      <c r="W559" s="1894">
        <f t="shared" si="217"/>
        <v>0</v>
      </c>
      <c r="X559" s="1894">
        <v>554</v>
      </c>
      <c r="Y559" s="1894">
        <v>236</v>
      </c>
      <c r="Z559" s="1894">
        <v>443.2</v>
      </c>
      <c r="AA559" s="1894">
        <v>0.84109999999999996</v>
      </c>
      <c r="AB559" s="1894">
        <v>11.49</v>
      </c>
      <c r="AC559" s="1894">
        <v>24080</v>
      </c>
      <c r="AD559" s="1894">
        <f t="shared" si="218"/>
        <v>101952</v>
      </c>
      <c r="AE559" s="1894">
        <f t="shared" si="219"/>
        <v>0</v>
      </c>
      <c r="AF559" s="1894">
        <v>554</v>
      </c>
      <c r="AG559" s="1894">
        <v>260.40000000000003</v>
      </c>
      <c r="AH559" s="1894">
        <v>443.2</v>
      </c>
      <c r="AI559" s="1894">
        <v>0.87160000000000004</v>
      </c>
      <c r="AJ559" s="1894">
        <v>7.12</v>
      </c>
      <c r="AK559" s="1894">
        <v>13790</v>
      </c>
      <c r="AL559" s="1894">
        <f t="shared" si="237"/>
        <v>116243</v>
      </c>
      <c r="AM559" s="1894">
        <f t="shared" si="238"/>
        <v>0</v>
      </c>
      <c r="AN559" s="1894">
        <v>554</v>
      </c>
      <c r="AO559" s="1894">
        <v>221.20000000000002</v>
      </c>
      <c r="AP559" s="1894">
        <v>443.2</v>
      </c>
      <c r="AQ559" s="1894">
        <v>0.85760000000000003</v>
      </c>
      <c r="AR559" s="1894">
        <v>11.29</v>
      </c>
      <c r="AS559" s="1894">
        <v>18580</v>
      </c>
      <c r="AT559" s="1894">
        <f t="shared" si="220"/>
        <v>98744</v>
      </c>
      <c r="AU559" s="1894">
        <f t="shared" si="221"/>
        <v>0</v>
      </c>
      <c r="AV559" s="1894">
        <v>554</v>
      </c>
      <c r="AW559" s="1894">
        <v>220</v>
      </c>
      <c r="AX559" s="1894">
        <v>443.2</v>
      </c>
      <c r="AY559" s="1894">
        <v>0.81889999999999996</v>
      </c>
      <c r="AZ559" s="1894">
        <v>7.99</v>
      </c>
      <c r="BA559" s="1894">
        <v>12650</v>
      </c>
      <c r="BB559" s="1894">
        <f t="shared" si="222"/>
        <v>95040</v>
      </c>
      <c r="BC559" s="1894">
        <f t="shared" si="223"/>
        <v>0</v>
      </c>
      <c r="BD559" s="1894">
        <v>554</v>
      </c>
      <c r="BE559" s="1894">
        <v>214</v>
      </c>
      <c r="BF559" s="1894">
        <v>443.2</v>
      </c>
      <c r="BG559" s="1894">
        <v>0.7923</v>
      </c>
      <c r="BH559" s="1894">
        <v>11.24</v>
      </c>
      <c r="BI559" s="1894">
        <v>17890</v>
      </c>
      <c r="BJ559" s="1894">
        <f t="shared" si="224"/>
        <v>95530</v>
      </c>
      <c r="BK559" s="1894">
        <f t="shared" si="225"/>
        <v>0</v>
      </c>
      <c r="BL559" s="1894">
        <v>554</v>
      </c>
      <c r="BM559" s="1894">
        <v>235.6</v>
      </c>
      <c r="BN559" s="1894">
        <v>443.2</v>
      </c>
      <c r="BO559" s="1894">
        <v>0.76629999999999998</v>
      </c>
      <c r="BP559" s="1894">
        <v>28.7</v>
      </c>
      <c r="BQ559" s="1894">
        <v>48680</v>
      </c>
      <c r="BR559" s="1894">
        <f t="shared" si="226"/>
        <v>101779</v>
      </c>
      <c r="BS559" s="1894">
        <f t="shared" si="227"/>
        <v>0</v>
      </c>
      <c r="BT559" s="1894">
        <v>554</v>
      </c>
      <c r="BU559" s="1894">
        <v>224.8</v>
      </c>
      <c r="BV559" s="1894">
        <v>443.2</v>
      </c>
      <c r="BW559" s="1894">
        <v>0.76160000000000005</v>
      </c>
      <c r="BX559" s="1894">
        <v>20.8</v>
      </c>
      <c r="BY559" s="1894">
        <v>34795</v>
      </c>
      <c r="BZ559" s="1894">
        <f t="shared" si="228"/>
        <v>100351</v>
      </c>
      <c r="CA559" s="1894">
        <f t="shared" si="229"/>
        <v>0</v>
      </c>
      <c r="CB559" s="1894">
        <v>554</v>
      </c>
      <c r="CC559" s="1894">
        <v>212.79999999999998</v>
      </c>
      <c r="CD559" s="1894">
        <v>443.2</v>
      </c>
      <c r="CE559" s="1894">
        <v>0.80110000000000003</v>
      </c>
      <c r="CF559" s="1894">
        <v>8.0500000000000007</v>
      </c>
      <c r="CG559" s="1894">
        <v>12750</v>
      </c>
      <c r="CH559" s="1894">
        <f t="shared" si="230"/>
        <v>94994</v>
      </c>
      <c r="CI559" s="1894">
        <f t="shared" si="231"/>
        <v>0</v>
      </c>
      <c r="CJ559" s="1894">
        <v>554</v>
      </c>
      <c r="CK559" s="1894">
        <v>218.4</v>
      </c>
      <c r="CL559" s="1894">
        <v>443.2</v>
      </c>
      <c r="CM559" s="1894">
        <v>0.80459999999999998</v>
      </c>
      <c r="CN559" s="1894">
        <v>10.93</v>
      </c>
      <c r="CO559" s="1894">
        <v>16045</v>
      </c>
      <c r="CP559" s="1894">
        <f t="shared" si="232"/>
        <v>88059</v>
      </c>
      <c r="CQ559" s="1894">
        <f t="shared" si="233"/>
        <v>0</v>
      </c>
      <c r="CR559" s="1924">
        <v>554</v>
      </c>
      <c r="CS559" s="1924">
        <v>222.8</v>
      </c>
      <c r="CT559" s="1924">
        <v>443.2</v>
      </c>
      <c r="CU559" s="1924">
        <v>0.82210000000000005</v>
      </c>
      <c r="CV559" s="1924">
        <v>9.94</v>
      </c>
      <c r="CW559" s="1924">
        <v>16475</v>
      </c>
      <c r="CX559" s="1894">
        <f t="shared" si="234"/>
        <v>99458</v>
      </c>
      <c r="CY559" s="1894">
        <f t="shared" si="235"/>
        <v>0</v>
      </c>
    </row>
    <row r="560" spans="1:103">
      <c r="A560" s="982">
        <v>621000000057</v>
      </c>
      <c r="B560" s="1923">
        <f t="shared" si="236"/>
        <v>554</v>
      </c>
      <c r="C560" s="1895" t="s">
        <v>3430</v>
      </c>
      <c r="D560" s="1894" t="s">
        <v>524</v>
      </c>
      <c r="E560" s="1895" t="s">
        <v>541</v>
      </c>
      <c r="F560" s="1894" t="s">
        <v>259</v>
      </c>
      <c r="G560" s="1924">
        <v>555</v>
      </c>
      <c r="H560" s="1894">
        <v>555</v>
      </c>
      <c r="I560" s="1894">
        <v>262.08000000000004</v>
      </c>
      <c r="J560" s="1894">
        <v>444</v>
      </c>
      <c r="K560" s="1894">
        <v>0.89680000000000004</v>
      </c>
      <c r="L560" s="1894">
        <v>5.92</v>
      </c>
      <c r="M560" s="1894">
        <v>11169</v>
      </c>
      <c r="N560" s="1894">
        <f t="shared" si="214"/>
        <v>113219</v>
      </c>
      <c r="O560" s="1894">
        <f t="shared" si="215"/>
        <v>0</v>
      </c>
      <c r="P560" s="1894">
        <v>555</v>
      </c>
      <c r="Q560" s="1894">
        <v>102.24000000000001</v>
      </c>
      <c r="R560" s="1894">
        <v>444</v>
      </c>
      <c r="S560" s="1894">
        <v>0.88339999999999996</v>
      </c>
      <c r="T560" s="1894">
        <v>12.9</v>
      </c>
      <c r="U560" s="1894">
        <v>9810</v>
      </c>
      <c r="V560" s="1894">
        <f t="shared" si="216"/>
        <v>45640</v>
      </c>
      <c r="W560" s="1894">
        <f t="shared" si="217"/>
        <v>0</v>
      </c>
      <c r="X560" s="1894">
        <v>555</v>
      </c>
      <c r="Y560" s="1894">
        <v>192.96</v>
      </c>
      <c r="Z560" s="1894">
        <v>444</v>
      </c>
      <c r="AA560" s="1894">
        <v>0.83950000000000002</v>
      </c>
      <c r="AB560" s="1894">
        <v>5.77</v>
      </c>
      <c r="AC560" s="1894">
        <v>8019</v>
      </c>
      <c r="AD560" s="1894">
        <f t="shared" si="218"/>
        <v>83359</v>
      </c>
      <c r="AE560" s="1894">
        <f t="shared" si="219"/>
        <v>0</v>
      </c>
      <c r="AF560" s="1894">
        <v>555</v>
      </c>
      <c r="AG560" s="1894">
        <v>191.51999999999998</v>
      </c>
      <c r="AH560" s="1894">
        <v>444</v>
      </c>
      <c r="AI560" s="1894">
        <v>0.86439999999999995</v>
      </c>
      <c r="AJ560" s="1894">
        <v>5.92</v>
      </c>
      <c r="AK560" s="1894">
        <v>8433</v>
      </c>
      <c r="AL560" s="1894">
        <f t="shared" si="237"/>
        <v>85495</v>
      </c>
      <c r="AM560" s="1894">
        <f t="shared" si="238"/>
        <v>0</v>
      </c>
      <c r="AN560" s="1894">
        <v>555</v>
      </c>
      <c r="AO560" s="1894">
        <v>218.16</v>
      </c>
      <c r="AP560" s="1894">
        <v>444</v>
      </c>
      <c r="AQ560" s="1894">
        <v>0.81830000000000003</v>
      </c>
      <c r="AR560" s="1894">
        <v>6.66</v>
      </c>
      <c r="AS560" s="1894">
        <v>10107</v>
      </c>
      <c r="AT560" s="1894">
        <f t="shared" si="220"/>
        <v>97387</v>
      </c>
      <c r="AU560" s="1894">
        <f t="shared" si="221"/>
        <v>0</v>
      </c>
      <c r="AV560" s="1894">
        <v>555</v>
      </c>
      <c r="AW560" s="1894">
        <v>308.15999999999997</v>
      </c>
      <c r="AX560" s="1894">
        <v>444</v>
      </c>
      <c r="AY560" s="1894">
        <v>0.81669999999999998</v>
      </c>
      <c r="AZ560" s="1894">
        <v>11.46</v>
      </c>
      <c r="BA560" s="1894">
        <v>27117</v>
      </c>
      <c r="BB560" s="1894">
        <f t="shared" si="222"/>
        <v>133125</v>
      </c>
      <c r="BC560" s="1894">
        <f t="shared" si="223"/>
        <v>0</v>
      </c>
      <c r="BD560" s="1894">
        <v>555</v>
      </c>
      <c r="BE560" s="1894">
        <v>216.72</v>
      </c>
      <c r="BF560" s="1894">
        <v>444</v>
      </c>
      <c r="BG560" s="1894">
        <v>0.85229999999999995</v>
      </c>
      <c r="BH560" s="1894">
        <v>4.5</v>
      </c>
      <c r="BI560" s="1894">
        <v>7254</v>
      </c>
      <c r="BJ560" s="1894">
        <f t="shared" si="224"/>
        <v>96744</v>
      </c>
      <c r="BK560" s="1894">
        <f t="shared" si="225"/>
        <v>0</v>
      </c>
      <c r="BL560" s="1894">
        <v>555</v>
      </c>
      <c r="BM560" s="1894">
        <v>198.72</v>
      </c>
      <c r="BN560" s="1894">
        <v>444</v>
      </c>
      <c r="BO560" s="1894">
        <v>0.71020000000000005</v>
      </c>
      <c r="BP560" s="1894">
        <v>6.69</v>
      </c>
      <c r="BQ560" s="1894">
        <v>9567</v>
      </c>
      <c r="BR560" s="1894">
        <f t="shared" si="226"/>
        <v>85847</v>
      </c>
      <c r="BS560" s="1894">
        <f t="shared" si="227"/>
        <v>0</v>
      </c>
      <c r="BT560" s="1894">
        <v>555</v>
      </c>
      <c r="BU560" s="1894">
        <v>316.08</v>
      </c>
      <c r="BV560" s="1894">
        <v>444</v>
      </c>
      <c r="BW560" s="1894">
        <v>0.7298</v>
      </c>
      <c r="BX560" s="1894">
        <v>8.77</v>
      </c>
      <c r="BY560" s="1894">
        <v>20619</v>
      </c>
      <c r="BZ560" s="1894">
        <f t="shared" si="228"/>
        <v>141098</v>
      </c>
      <c r="CA560" s="1894">
        <f t="shared" si="229"/>
        <v>0</v>
      </c>
      <c r="CB560" s="1894">
        <v>555</v>
      </c>
      <c r="CC560" s="1894">
        <v>246.24</v>
      </c>
      <c r="CD560" s="1894">
        <v>444</v>
      </c>
      <c r="CE560" s="1894">
        <v>0.75619999999999998</v>
      </c>
      <c r="CF560" s="1894">
        <v>8.65</v>
      </c>
      <c r="CG560" s="1894">
        <v>15840</v>
      </c>
      <c r="CH560" s="1894">
        <f t="shared" si="230"/>
        <v>109922</v>
      </c>
      <c r="CI560" s="1894">
        <f t="shared" si="231"/>
        <v>0</v>
      </c>
      <c r="CJ560" s="1894">
        <v>555</v>
      </c>
      <c r="CK560" s="1894">
        <v>299.52</v>
      </c>
      <c r="CL560" s="1894">
        <v>444</v>
      </c>
      <c r="CM560" s="1894">
        <v>0.78879999999999995</v>
      </c>
      <c r="CN560" s="1894">
        <v>11.12</v>
      </c>
      <c r="CO560" s="1894">
        <v>22374</v>
      </c>
      <c r="CP560" s="1894">
        <f t="shared" si="232"/>
        <v>120766</v>
      </c>
      <c r="CQ560" s="1894">
        <f t="shared" si="233"/>
        <v>0</v>
      </c>
      <c r="CR560" s="1924">
        <v>555</v>
      </c>
      <c r="CS560" s="1924">
        <v>334.8</v>
      </c>
      <c r="CT560" s="1924">
        <v>444</v>
      </c>
      <c r="CU560" s="1924">
        <v>0.76680000000000004</v>
      </c>
      <c r="CV560" s="1924">
        <v>10.15</v>
      </c>
      <c r="CW560" s="1924">
        <v>25281</v>
      </c>
      <c r="CX560" s="1894">
        <f t="shared" si="234"/>
        <v>149455</v>
      </c>
      <c r="CY560" s="1894">
        <f t="shared" si="235"/>
        <v>0</v>
      </c>
    </row>
    <row r="561" spans="1:103">
      <c r="A561" s="982">
        <v>613000000037</v>
      </c>
      <c r="B561" s="1923">
        <f t="shared" si="236"/>
        <v>555</v>
      </c>
      <c r="C561" s="1895" t="s">
        <v>3431</v>
      </c>
      <c r="D561" s="1894" t="s">
        <v>524</v>
      </c>
      <c r="E561" s="1895" t="s">
        <v>541</v>
      </c>
      <c r="F561" s="1894" t="s">
        <v>259</v>
      </c>
      <c r="G561" s="1924">
        <v>555</v>
      </c>
      <c r="H561" s="1894">
        <v>555</v>
      </c>
      <c r="I561" s="1894">
        <v>282.72000000000003</v>
      </c>
      <c r="J561" s="1894">
        <v>444</v>
      </c>
      <c r="K561" s="1894">
        <v>0.99909999999999999</v>
      </c>
      <c r="L561" s="1894">
        <v>40.51</v>
      </c>
      <c r="M561" s="1894">
        <v>87954</v>
      </c>
      <c r="N561" s="1894">
        <f t="shared" si="214"/>
        <v>122135</v>
      </c>
      <c r="O561" s="1894">
        <f t="shared" si="215"/>
        <v>0</v>
      </c>
      <c r="P561" s="1894">
        <v>555</v>
      </c>
      <c r="Q561" s="1894">
        <v>324</v>
      </c>
      <c r="R561" s="1894">
        <v>444</v>
      </c>
      <c r="S561" s="1894">
        <v>0.9123</v>
      </c>
      <c r="T561" s="1894">
        <v>33.520000000000003</v>
      </c>
      <c r="U561" s="1894">
        <v>86016</v>
      </c>
      <c r="V561" s="1894">
        <f t="shared" si="216"/>
        <v>144634</v>
      </c>
      <c r="W561" s="1894">
        <f t="shared" si="217"/>
        <v>0</v>
      </c>
      <c r="X561" s="1894">
        <v>555</v>
      </c>
      <c r="Y561" s="1894">
        <v>236.64</v>
      </c>
      <c r="Z561" s="1894">
        <v>444</v>
      </c>
      <c r="AA561" s="1894">
        <v>0.99880000000000002</v>
      </c>
      <c r="AB561" s="1894">
        <v>15.87</v>
      </c>
      <c r="AC561" s="1894">
        <v>30648</v>
      </c>
      <c r="AD561" s="1894">
        <f t="shared" si="218"/>
        <v>102228</v>
      </c>
      <c r="AE561" s="1894">
        <f t="shared" si="219"/>
        <v>0</v>
      </c>
      <c r="AF561" s="1894">
        <v>555</v>
      </c>
      <c r="AG561" s="1894">
        <v>251.52</v>
      </c>
      <c r="AH561" s="1894">
        <v>444</v>
      </c>
      <c r="AI561" s="1894">
        <v>0.99880000000000002</v>
      </c>
      <c r="AJ561" s="1894">
        <v>6.93</v>
      </c>
      <c r="AK561" s="1894">
        <v>10452</v>
      </c>
      <c r="AL561" s="1894">
        <f t="shared" si="237"/>
        <v>112279</v>
      </c>
      <c r="AM561" s="1894">
        <f t="shared" si="238"/>
        <v>0</v>
      </c>
      <c r="AN561" s="1894">
        <v>555</v>
      </c>
      <c r="AO561" s="1894">
        <v>63.36</v>
      </c>
      <c r="AP561" s="1894">
        <v>444</v>
      </c>
      <c r="AQ561" s="1894">
        <v>1</v>
      </c>
      <c r="AR561" s="1894">
        <v>16.97</v>
      </c>
      <c r="AS561" s="1894">
        <v>7740</v>
      </c>
      <c r="AT561" s="1894">
        <f t="shared" si="220"/>
        <v>28284</v>
      </c>
      <c r="AU561" s="1894">
        <f t="shared" si="221"/>
        <v>0</v>
      </c>
      <c r="AV561" s="1894">
        <v>555</v>
      </c>
      <c r="AW561" s="1894">
        <v>73.44</v>
      </c>
      <c r="AX561" s="1894">
        <v>444</v>
      </c>
      <c r="AY561" s="1894">
        <v>1</v>
      </c>
      <c r="AZ561" s="1894">
        <v>7.71</v>
      </c>
      <c r="BA561" s="1894">
        <v>4620</v>
      </c>
      <c r="BB561" s="1894">
        <f t="shared" si="222"/>
        <v>31726</v>
      </c>
      <c r="BC561" s="1894">
        <f t="shared" si="223"/>
        <v>0</v>
      </c>
      <c r="BD561" s="1894">
        <v>555</v>
      </c>
      <c r="BE561" s="1894">
        <v>172.32</v>
      </c>
      <c r="BF561" s="1894">
        <v>444</v>
      </c>
      <c r="BG561" s="1894">
        <v>0.99619999999999997</v>
      </c>
      <c r="BH561" s="1894">
        <v>2.37</v>
      </c>
      <c r="BI561" s="1894">
        <v>3240</v>
      </c>
      <c r="BJ561" s="1894">
        <f t="shared" si="224"/>
        <v>76924</v>
      </c>
      <c r="BK561" s="1894">
        <f t="shared" si="225"/>
        <v>0</v>
      </c>
      <c r="BL561" s="1894">
        <v>555</v>
      </c>
      <c r="BM561" s="1894">
        <v>57.120000000000005</v>
      </c>
      <c r="BN561" s="1894">
        <v>444</v>
      </c>
      <c r="BO561" s="1894">
        <v>1</v>
      </c>
      <c r="BP561" s="1894">
        <v>22.36</v>
      </c>
      <c r="BQ561" s="1894">
        <v>7662</v>
      </c>
      <c r="BR561" s="1894">
        <f t="shared" si="226"/>
        <v>24676</v>
      </c>
      <c r="BS561" s="1894">
        <f t="shared" si="227"/>
        <v>0</v>
      </c>
      <c r="BT561" s="1894">
        <v>555</v>
      </c>
      <c r="BU561" s="1894">
        <v>326.40000000000003</v>
      </c>
      <c r="BV561" s="1894">
        <v>444</v>
      </c>
      <c r="BW561" s="1894">
        <v>0.99919999999999998</v>
      </c>
      <c r="BX561" s="1894">
        <v>17.77</v>
      </c>
      <c r="BY561" s="1894">
        <v>47328</v>
      </c>
      <c r="BZ561" s="1894">
        <f t="shared" si="228"/>
        <v>145705</v>
      </c>
      <c r="CA561" s="1894">
        <f t="shared" si="229"/>
        <v>0</v>
      </c>
      <c r="CB561" s="1894">
        <v>555</v>
      </c>
      <c r="CC561" s="1894">
        <v>269.76</v>
      </c>
      <c r="CD561" s="1894">
        <v>444</v>
      </c>
      <c r="CE561" s="1894">
        <v>0.999</v>
      </c>
      <c r="CF561" s="1894">
        <v>18.09</v>
      </c>
      <c r="CG561" s="1894">
        <v>39828</v>
      </c>
      <c r="CH561" s="1894">
        <f t="shared" si="230"/>
        <v>120421</v>
      </c>
      <c r="CI561" s="1894">
        <f t="shared" si="231"/>
        <v>0</v>
      </c>
      <c r="CJ561" s="1894">
        <v>555</v>
      </c>
      <c r="CK561" s="1894">
        <v>283.68</v>
      </c>
      <c r="CL561" s="1894">
        <v>444</v>
      </c>
      <c r="CM561" s="1894">
        <v>0.99919999999999998</v>
      </c>
      <c r="CN561" s="1894">
        <v>17.809999999999999</v>
      </c>
      <c r="CO561" s="1894">
        <v>33960</v>
      </c>
      <c r="CP561" s="1894">
        <f t="shared" si="232"/>
        <v>114380</v>
      </c>
      <c r="CQ561" s="1894">
        <f t="shared" si="233"/>
        <v>0</v>
      </c>
      <c r="CR561" s="1924">
        <v>555</v>
      </c>
      <c r="CS561" s="1924">
        <v>156.47999999999999</v>
      </c>
      <c r="CT561" s="1924">
        <v>444</v>
      </c>
      <c r="CU561" s="1924">
        <v>0.98970000000000002</v>
      </c>
      <c r="CV561" s="1924">
        <v>4.01</v>
      </c>
      <c r="CW561" s="1924">
        <v>4668</v>
      </c>
      <c r="CX561" s="1894">
        <f t="shared" si="234"/>
        <v>69853</v>
      </c>
      <c r="CY561" s="1894">
        <f t="shared" si="235"/>
        <v>0</v>
      </c>
    </row>
    <row r="562" spans="1:103">
      <c r="A562" s="982">
        <v>615000000058</v>
      </c>
      <c r="B562" s="1923">
        <f t="shared" si="236"/>
        <v>556</v>
      </c>
      <c r="C562" s="1895" t="s">
        <v>3432</v>
      </c>
      <c r="D562" s="1894" t="s">
        <v>524</v>
      </c>
      <c r="E562" s="1895" t="s">
        <v>541</v>
      </c>
      <c r="F562" s="1894" t="s">
        <v>259</v>
      </c>
      <c r="G562" s="1924">
        <v>555</v>
      </c>
      <c r="H562" s="1894">
        <v>0</v>
      </c>
      <c r="I562" s="1894">
        <v>0</v>
      </c>
      <c r="J562" s="1894">
        <v>0</v>
      </c>
      <c r="K562" s="1894">
        <v>0</v>
      </c>
      <c r="L562" s="1894">
        <v>0</v>
      </c>
      <c r="M562" s="1894">
        <v>0</v>
      </c>
      <c r="N562" s="1894">
        <f t="shared" si="214"/>
        <v>0</v>
      </c>
      <c r="O562" s="1894">
        <f t="shared" si="215"/>
        <v>0</v>
      </c>
      <c r="P562" s="1894">
        <v>0</v>
      </c>
      <c r="Q562" s="1894">
        <v>0</v>
      </c>
      <c r="R562" s="1894">
        <v>0</v>
      </c>
      <c r="S562" s="1894">
        <v>0</v>
      </c>
      <c r="T562" s="1894">
        <v>0</v>
      </c>
      <c r="U562" s="1894">
        <v>0</v>
      </c>
      <c r="V562" s="1894">
        <f t="shared" si="216"/>
        <v>0</v>
      </c>
      <c r="W562" s="1894">
        <f t="shared" si="217"/>
        <v>0</v>
      </c>
      <c r="X562" s="1894">
        <v>0</v>
      </c>
      <c r="Y562" s="1894">
        <v>0</v>
      </c>
      <c r="Z562" s="1894">
        <v>0</v>
      </c>
      <c r="AA562" s="1894">
        <v>0</v>
      </c>
      <c r="AB562" s="1894">
        <v>0</v>
      </c>
      <c r="AC562" s="1894">
        <v>0</v>
      </c>
      <c r="AD562" s="1894">
        <f t="shared" si="218"/>
        <v>0</v>
      </c>
      <c r="AE562" s="1894">
        <f t="shared" si="219"/>
        <v>0</v>
      </c>
      <c r="AF562" s="1894">
        <v>0</v>
      </c>
      <c r="AG562" s="1894">
        <v>0</v>
      </c>
      <c r="AH562" s="1894">
        <v>0</v>
      </c>
      <c r="AI562" s="1894">
        <v>0</v>
      </c>
      <c r="AJ562" s="1894">
        <v>0</v>
      </c>
      <c r="AK562" s="1894">
        <v>0</v>
      </c>
      <c r="AL562" s="1894">
        <f t="shared" si="237"/>
        <v>0</v>
      </c>
      <c r="AM562" s="1894">
        <f t="shared" si="238"/>
        <v>0</v>
      </c>
      <c r="AN562" s="1894">
        <v>0</v>
      </c>
      <c r="AO562" s="1894">
        <v>0</v>
      </c>
      <c r="AP562" s="1894">
        <v>0</v>
      </c>
      <c r="AQ562" s="1894">
        <v>0</v>
      </c>
      <c r="AR562" s="1894">
        <v>0</v>
      </c>
      <c r="AS562" s="1894">
        <v>0</v>
      </c>
      <c r="AT562" s="1894">
        <f t="shared" si="220"/>
        <v>0</v>
      </c>
      <c r="AU562" s="1894">
        <f t="shared" si="221"/>
        <v>0</v>
      </c>
      <c r="AV562" s="1894">
        <v>0</v>
      </c>
      <c r="AW562" s="1894">
        <v>0</v>
      </c>
      <c r="AX562" s="1894">
        <v>0</v>
      </c>
      <c r="AY562" s="1894">
        <v>0</v>
      </c>
      <c r="AZ562" s="1894">
        <v>0</v>
      </c>
      <c r="BA562" s="1894">
        <v>0</v>
      </c>
      <c r="BB562" s="1894">
        <f t="shared" si="222"/>
        <v>0</v>
      </c>
      <c r="BC562" s="1894">
        <f t="shared" si="223"/>
        <v>0</v>
      </c>
      <c r="BD562" s="1894">
        <v>0</v>
      </c>
      <c r="BE562" s="1894">
        <v>0</v>
      </c>
      <c r="BF562" s="1894">
        <v>0</v>
      </c>
      <c r="BG562" s="1894">
        <v>0</v>
      </c>
      <c r="BH562" s="1894">
        <v>0</v>
      </c>
      <c r="BI562" s="1894">
        <v>0</v>
      </c>
      <c r="BJ562" s="1894">
        <f t="shared" si="224"/>
        <v>0</v>
      </c>
      <c r="BK562" s="1894">
        <f t="shared" si="225"/>
        <v>0</v>
      </c>
      <c r="BL562" s="1894">
        <v>555</v>
      </c>
      <c r="BM562" s="1894">
        <v>1.9200000000000002</v>
      </c>
      <c r="BN562" s="1894">
        <v>444</v>
      </c>
      <c r="BO562" s="1894">
        <v>0.8</v>
      </c>
      <c r="BP562" s="1894">
        <v>65.099999999999994</v>
      </c>
      <c r="BQ562" s="1894">
        <v>30</v>
      </c>
      <c r="BR562" s="1894">
        <f t="shared" si="226"/>
        <v>829</v>
      </c>
      <c r="BS562" s="1894">
        <f t="shared" si="227"/>
        <v>0</v>
      </c>
      <c r="BT562" s="1894">
        <v>555</v>
      </c>
      <c r="BU562" s="1894">
        <v>244.79999999999998</v>
      </c>
      <c r="BV562" s="1894">
        <v>444</v>
      </c>
      <c r="BW562" s="1894">
        <v>0.99570000000000003</v>
      </c>
      <c r="BX562" s="1894">
        <v>14.13</v>
      </c>
      <c r="BY562" s="1894">
        <v>29061</v>
      </c>
      <c r="BZ562" s="1894">
        <f t="shared" si="228"/>
        <v>109279</v>
      </c>
      <c r="CA562" s="1894">
        <f t="shared" si="229"/>
        <v>0</v>
      </c>
      <c r="CB562" s="1894">
        <v>555</v>
      </c>
      <c r="CC562" s="1894">
        <v>271.44</v>
      </c>
      <c r="CD562" s="1894">
        <v>444</v>
      </c>
      <c r="CE562" s="1894">
        <v>0.997</v>
      </c>
      <c r="CF562" s="1894">
        <v>11.17</v>
      </c>
      <c r="CG562" s="1894">
        <v>22560</v>
      </c>
      <c r="CH562" s="1894">
        <f t="shared" si="230"/>
        <v>121171</v>
      </c>
      <c r="CI562" s="1894">
        <f t="shared" si="231"/>
        <v>0</v>
      </c>
      <c r="CJ562" s="1894">
        <v>555</v>
      </c>
      <c r="CK562" s="1894">
        <v>275.27999999999997</v>
      </c>
      <c r="CL562" s="1894">
        <v>444</v>
      </c>
      <c r="CM562" s="1894">
        <v>0.99680000000000002</v>
      </c>
      <c r="CN562" s="1894">
        <v>14.84</v>
      </c>
      <c r="CO562" s="1894">
        <v>27459</v>
      </c>
      <c r="CP562" s="1894">
        <f t="shared" si="232"/>
        <v>110993</v>
      </c>
      <c r="CQ562" s="1894">
        <f t="shared" si="233"/>
        <v>0</v>
      </c>
      <c r="CR562" s="1924">
        <v>555</v>
      </c>
      <c r="CS562" s="1924">
        <v>352.79999999999995</v>
      </c>
      <c r="CT562" s="1924">
        <v>444</v>
      </c>
      <c r="CU562" s="1924">
        <v>0.93600000000000005</v>
      </c>
      <c r="CV562" s="1924">
        <v>12.81</v>
      </c>
      <c r="CW562" s="1924">
        <v>33615</v>
      </c>
      <c r="CX562" s="1894">
        <f t="shared" si="234"/>
        <v>157490</v>
      </c>
      <c r="CY562" s="1894">
        <f t="shared" si="235"/>
        <v>0</v>
      </c>
    </row>
    <row r="563" spans="1:103">
      <c r="A563" s="982">
        <v>615000000053</v>
      </c>
      <c r="B563" s="1923">
        <f t="shared" si="236"/>
        <v>557</v>
      </c>
      <c r="C563" s="1895" t="s">
        <v>3433</v>
      </c>
      <c r="D563" s="1894" t="s">
        <v>524</v>
      </c>
      <c r="E563" s="1895" t="s">
        <v>541</v>
      </c>
      <c r="F563" s="1894" t="s">
        <v>259</v>
      </c>
      <c r="G563" s="1924">
        <v>555</v>
      </c>
      <c r="H563" s="1894">
        <v>0</v>
      </c>
      <c r="I563" s="1894">
        <v>0</v>
      </c>
      <c r="J563" s="1894">
        <v>0</v>
      </c>
      <c r="K563" s="1894">
        <v>0</v>
      </c>
      <c r="L563" s="1894">
        <v>0</v>
      </c>
      <c r="M563" s="1894">
        <v>0</v>
      </c>
      <c r="N563" s="1894">
        <f t="shared" si="214"/>
        <v>0</v>
      </c>
      <c r="O563" s="1894">
        <f t="shared" si="215"/>
        <v>0</v>
      </c>
      <c r="P563" s="1894">
        <v>0</v>
      </c>
      <c r="Q563" s="1894">
        <v>0</v>
      </c>
      <c r="R563" s="1894">
        <v>0</v>
      </c>
      <c r="S563" s="1894">
        <v>0</v>
      </c>
      <c r="T563" s="1894">
        <v>0</v>
      </c>
      <c r="U563" s="1894">
        <v>0</v>
      </c>
      <c r="V563" s="1894">
        <f t="shared" si="216"/>
        <v>0</v>
      </c>
      <c r="W563" s="1894">
        <f t="shared" si="217"/>
        <v>0</v>
      </c>
      <c r="X563" s="1894">
        <v>555</v>
      </c>
      <c r="Y563" s="1894">
        <v>407.28</v>
      </c>
      <c r="Z563" s="1894">
        <v>444</v>
      </c>
      <c r="AA563" s="1894">
        <v>0.71789999999999998</v>
      </c>
      <c r="AB563" s="1894">
        <v>25.51</v>
      </c>
      <c r="AC563" s="1894">
        <v>49866</v>
      </c>
      <c r="AD563" s="1894">
        <f t="shared" si="218"/>
        <v>175945</v>
      </c>
      <c r="AE563" s="1894">
        <f t="shared" si="219"/>
        <v>0</v>
      </c>
      <c r="AF563" s="1894">
        <v>555</v>
      </c>
      <c r="AG563" s="1894">
        <v>404.15999999999997</v>
      </c>
      <c r="AH563" s="1894">
        <v>444</v>
      </c>
      <c r="AI563" s="1894">
        <v>0.71130000000000004</v>
      </c>
      <c r="AJ563" s="1894">
        <v>43.47</v>
      </c>
      <c r="AK563" s="1894">
        <v>130713</v>
      </c>
      <c r="AL563" s="1894">
        <f t="shared" si="237"/>
        <v>180417</v>
      </c>
      <c r="AM563" s="1894">
        <f t="shared" si="238"/>
        <v>0</v>
      </c>
      <c r="AN563" s="1894">
        <v>555</v>
      </c>
      <c r="AO563" s="1894">
        <v>401.52</v>
      </c>
      <c r="AP563" s="1894">
        <v>444</v>
      </c>
      <c r="AQ563" s="1894">
        <v>0.70340000000000003</v>
      </c>
      <c r="AR563" s="1894">
        <v>29.84</v>
      </c>
      <c r="AS563" s="1894">
        <v>89151</v>
      </c>
      <c r="AT563" s="1894">
        <f t="shared" si="220"/>
        <v>179239</v>
      </c>
      <c r="AU563" s="1894">
        <f t="shared" si="221"/>
        <v>0</v>
      </c>
      <c r="AV563" s="1894">
        <v>555</v>
      </c>
      <c r="AW563" s="1894">
        <v>38.4</v>
      </c>
      <c r="AX563" s="1894">
        <v>444</v>
      </c>
      <c r="AY563" s="1894">
        <v>0.79239999999999999</v>
      </c>
      <c r="AZ563" s="1894">
        <v>11.19</v>
      </c>
      <c r="BA563" s="1894">
        <v>3093</v>
      </c>
      <c r="BB563" s="1894">
        <f t="shared" si="222"/>
        <v>16589</v>
      </c>
      <c r="BC563" s="1894">
        <f t="shared" si="223"/>
        <v>0</v>
      </c>
      <c r="BD563" s="1894">
        <v>555</v>
      </c>
      <c r="BE563" s="1894">
        <v>276.95999999999998</v>
      </c>
      <c r="BF563" s="1894">
        <v>444</v>
      </c>
      <c r="BG563" s="1894">
        <v>0.98029999999999995</v>
      </c>
      <c r="BH563" s="1894">
        <v>31.41</v>
      </c>
      <c r="BI563" s="1894">
        <v>64719</v>
      </c>
      <c r="BJ563" s="1894">
        <f t="shared" si="224"/>
        <v>123635</v>
      </c>
      <c r="BK563" s="1894">
        <f t="shared" si="225"/>
        <v>0</v>
      </c>
      <c r="BL563" s="1894">
        <v>555</v>
      </c>
      <c r="BM563" s="1894">
        <v>314.40000000000003</v>
      </c>
      <c r="BN563" s="1894">
        <v>444</v>
      </c>
      <c r="BO563" s="1894">
        <v>0.98050000000000004</v>
      </c>
      <c r="BP563" s="1894">
        <v>41.52</v>
      </c>
      <c r="BQ563" s="1894">
        <v>93981</v>
      </c>
      <c r="BR563" s="1894">
        <f t="shared" si="226"/>
        <v>135821</v>
      </c>
      <c r="BS563" s="1894">
        <f t="shared" si="227"/>
        <v>0</v>
      </c>
      <c r="BT563" s="1894">
        <v>555</v>
      </c>
      <c r="BU563" s="1894">
        <v>312.71999999999997</v>
      </c>
      <c r="BV563" s="1894">
        <v>444</v>
      </c>
      <c r="BW563" s="1894">
        <v>0.9738</v>
      </c>
      <c r="BX563" s="1894">
        <v>35.15</v>
      </c>
      <c r="BY563" s="1894">
        <v>81783</v>
      </c>
      <c r="BZ563" s="1894">
        <f t="shared" si="228"/>
        <v>139598</v>
      </c>
      <c r="CA563" s="1894">
        <f t="shared" si="229"/>
        <v>0</v>
      </c>
      <c r="CB563" s="1894">
        <v>555</v>
      </c>
      <c r="CC563" s="1894">
        <v>313.68</v>
      </c>
      <c r="CD563" s="1894">
        <v>444</v>
      </c>
      <c r="CE563" s="1894">
        <v>0.97519999999999996</v>
      </c>
      <c r="CF563" s="1894">
        <v>32.119999999999997</v>
      </c>
      <c r="CG563" s="1894">
        <v>74955</v>
      </c>
      <c r="CH563" s="1894">
        <f t="shared" si="230"/>
        <v>140027</v>
      </c>
      <c r="CI563" s="1894">
        <f t="shared" si="231"/>
        <v>0</v>
      </c>
      <c r="CJ563" s="1894">
        <v>555</v>
      </c>
      <c r="CK563" s="1894">
        <v>301.92</v>
      </c>
      <c r="CL563" s="1894">
        <v>444</v>
      </c>
      <c r="CM563" s="1894">
        <v>0.97809999999999997</v>
      </c>
      <c r="CN563" s="1894">
        <v>34.9</v>
      </c>
      <c r="CO563" s="1894">
        <v>70800</v>
      </c>
      <c r="CP563" s="1894">
        <f t="shared" si="232"/>
        <v>121734</v>
      </c>
      <c r="CQ563" s="1894">
        <f t="shared" si="233"/>
        <v>0</v>
      </c>
      <c r="CR563" s="1924">
        <v>555</v>
      </c>
      <c r="CS563" s="1924">
        <v>287.04000000000002</v>
      </c>
      <c r="CT563" s="1924">
        <v>444</v>
      </c>
      <c r="CU563" s="1924">
        <v>0.97540000000000004</v>
      </c>
      <c r="CV563" s="1924">
        <v>34.880000000000003</v>
      </c>
      <c r="CW563" s="1924">
        <v>74481</v>
      </c>
      <c r="CX563" s="1894">
        <f t="shared" si="234"/>
        <v>128135</v>
      </c>
      <c r="CY563" s="1894">
        <f t="shared" si="235"/>
        <v>0</v>
      </c>
    </row>
    <row r="564" spans="1:103">
      <c r="A564" s="982">
        <v>611000000105</v>
      </c>
      <c r="B564" s="1923">
        <f t="shared" si="236"/>
        <v>558</v>
      </c>
      <c r="C564" s="1895" t="s">
        <v>3434</v>
      </c>
      <c r="D564" s="1894" t="s">
        <v>524</v>
      </c>
      <c r="E564" s="1895" t="s">
        <v>629</v>
      </c>
      <c r="F564" s="1894" t="s">
        <v>259</v>
      </c>
      <c r="G564" s="1924">
        <v>555</v>
      </c>
      <c r="H564" s="1894">
        <v>555</v>
      </c>
      <c r="I564" s="1894">
        <v>126.24000000000001</v>
      </c>
      <c r="J564" s="1894">
        <v>555</v>
      </c>
      <c r="K564" s="1894">
        <v>0.99919999999999998</v>
      </c>
      <c r="L564" s="1894">
        <v>0</v>
      </c>
      <c r="M564" s="1894">
        <v>39684</v>
      </c>
      <c r="N564" s="1894">
        <f t="shared" si="214"/>
        <v>54536</v>
      </c>
      <c r="O564" s="1894">
        <f t="shared" si="215"/>
        <v>0</v>
      </c>
      <c r="P564" s="1894">
        <v>555</v>
      </c>
      <c r="Q564" s="1894">
        <v>106.08000000000001</v>
      </c>
      <c r="R564" s="1894">
        <v>555</v>
      </c>
      <c r="S564" s="1894">
        <v>0.99929999999999997</v>
      </c>
      <c r="T564" s="1894">
        <v>0</v>
      </c>
      <c r="U564" s="1894">
        <v>35916</v>
      </c>
      <c r="V564" s="1894">
        <f t="shared" si="216"/>
        <v>47354</v>
      </c>
      <c r="W564" s="1894">
        <f t="shared" si="217"/>
        <v>0</v>
      </c>
      <c r="X564" s="1894">
        <v>555</v>
      </c>
      <c r="Y564" s="1894">
        <v>112.32000000000001</v>
      </c>
      <c r="Z564" s="1894">
        <v>555</v>
      </c>
      <c r="AA564" s="1894">
        <v>0.99919999999999998</v>
      </c>
      <c r="AB564" s="1894">
        <v>0</v>
      </c>
      <c r="AC564" s="1894">
        <v>34170</v>
      </c>
      <c r="AD564" s="1894">
        <f t="shared" si="218"/>
        <v>48522</v>
      </c>
      <c r="AE564" s="1894">
        <f t="shared" si="219"/>
        <v>0</v>
      </c>
      <c r="AF564" s="1894">
        <v>555</v>
      </c>
      <c r="AG564" s="1894">
        <v>100.80000000000001</v>
      </c>
      <c r="AH564" s="1894">
        <v>555</v>
      </c>
      <c r="AI564" s="1894">
        <v>0.99960000000000004</v>
      </c>
      <c r="AJ564" s="1894">
        <v>0</v>
      </c>
      <c r="AK564" s="1894">
        <v>31734</v>
      </c>
      <c r="AL564" s="1894">
        <f t="shared" si="237"/>
        <v>44997</v>
      </c>
      <c r="AM564" s="1894">
        <f t="shared" si="238"/>
        <v>0</v>
      </c>
      <c r="AN564" s="1894">
        <v>555</v>
      </c>
      <c r="AO564" s="1894">
        <v>99.839999999999989</v>
      </c>
      <c r="AP564" s="1894">
        <v>555</v>
      </c>
      <c r="AQ564" s="1894">
        <v>0.99960000000000004</v>
      </c>
      <c r="AR564" s="1894">
        <v>0</v>
      </c>
      <c r="AS564" s="1894">
        <v>31050</v>
      </c>
      <c r="AT564" s="1894">
        <f t="shared" si="220"/>
        <v>44569</v>
      </c>
      <c r="AU564" s="1894">
        <f t="shared" si="221"/>
        <v>0</v>
      </c>
      <c r="AV564" s="1894">
        <v>555</v>
      </c>
      <c r="AW564" s="1894">
        <v>102.24</v>
      </c>
      <c r="AX564" s="1894">
        <v>555</v>
      </c>
      <c r="AY564" s="1894">
        <v>0.99970000000000003</v>
      </c>
      <c r="AZ564" s="1894">
        <v>0</v>
      </c>
      <c r="BA564" s="1894">
        <v>29004</v>
      </c>
      <c r="BB564" s="1894">
        <f t="shared" si="222"/>
        <v>44168</v>
      </c>
      <c r="BC564" s="1894">
        <f t="shared" si="223"/>
        <v>0</v>
      </c>
      <c r="BD564" s="1894">
        <v>555</v>
      </c>
      <c r="BE564" s="1894">
        <v>78.239999999999995</v>
      </c>
      <c r="BF564" s="1894">
        <v>555</v>
      </c>
      <c r="BG564" s="1894">
        <v>0.99970000000000003</v>
      </c>
      <c r="BH564" s="1894">
        <v>0</v>
      </c>
      <c r="BI564" s="1894">
        <v>26178</v>
      </c>
      <c r="BJ564" s="1894">
        <f t="shared" si="224"/>
        <v>34926</v>
      </c>
      <c r="BK564" s="1894">
        <f t="shared" si="225"/>
        <v>0</v>
      </c>
      <c r="BL564" s="1894">
        <v>555</v>
      </c>
      <c r="BM564" s="1894">
        <v>192</v>
      </c>
      <c r="BN564" s="1894">
        <v>555</v>
      </c>
      <c r="BO564" s="1894">
        <v>0.99929999999999997</v>
      </c>
      <c r="BP564" s="1894">
        <v>0</v>
      </c>
      <c r="BQ564" s="1894">
        <v>19194</v>
      </c>
      <c r="BR564" s="1894">
        <f t="shared" si="226"/>
        <v>82944</v>
      </c>
      <c r="BS564" s="1894">
        <f t="shared" si="227"/>
        <v>0</v>
      </c>
      <c r="BT564" s="1894">
        <v>555</v>
      </c>
      <c r="BU564" s="1894">
        <v>76.320000000000007</v>
      </c>
      <c r="BV564" s="1894">
        <v>555</v>
      </c>
      <c r="BW564" s="1894">
        <v>1.0003</v>
      </c>
      <c r="BX564" s="1894">
        <v>0</v>
      </c>
      <c r="BY564" s="1894">
        <v>18396</v>
      </c>
      <c r="BZ564" s="1894">
        <f t="shared" si="228"/>
        <v>34069</v>
      </c>
      <c r="CA564" s="1894">
        <f t="shared" si="229"/>
        <v>0</v>
      </c>
      <c r="CB564" s="1894">
        <v>555</v>
      </c>
      <c r="CC564" s="1894">
        <v>84.48</v>
      </c>
      <c r="CD564" s="1894">
        <v>555</v>
      </c>
      <c r="CE564" s="1894">
        <v>1</v>
      </c>
      <c r="CF564" s="1894">
        <v>0</v>
      </c>
      <c r="CG564" s="1894">
        <v>18726</v>
      </c>
      <c r="CH564" s="1894">
        <f t="shared" si="230"/>
        <v>37712</v>
      </c>
      <c r="CI564" s="1894">
        <f t="shared" si="231"/>
        <v>0</v>
      </c>
      <c r="CJ564" s="1894">
        <v>555</v>
      </c>
      <c r="CK564" s="1894">
        <v>76.8</v>
      </c>
      <c r="CL564" s="1894">
        <v>555</v>
      </c>
      <c r="CM564" s="1894">
        <v>1</v>
      </c>
      <c r="CN564" s="1894">
        <v>0</v>
      </c>
      <c r="CO564" s="1894">
        <v>17922</v>
      </c>
      <c r="CP564" s="1894">
        <f t="shared" si="232"/>
        <v>30966</v>
      </c>
      <c r="CQ564" s="1894">
        <f t="shared" si="233"/>
        <v>0</v>
      </c>
      <c r="CR564" s="1924">
        <v>555</v>
      </c>
      <c r="CS564" s="1924">
        <v>67.2</v>
      </c>
      <c r="CT564" s="1924">
        <v>555</v>
      </c>
      <c r="CU564" s="1924">
        <v>1</v>
      </c>
      <c r="CV564" s="1924">
        <v>0</v>
      </c>
      <c r="CW564" s="1924">
        <v>22860</v>
      </c>
      <c r="CX564" s="1894">
        <f t="shared" si="234"/>
        <v>29998</v>
      </c>
      <c r="CY564" s="1894">
        <f t="shared" si="235"/>
        <v>0</v>
      </c>
    </row>
    <row r="565" spans="1:103">
      <c r="A565" s="982">
        <v>615000000041</v>
      </c>
      <c r="B565" s="1923">
        <f t="shared" si="236"/>
        <v>559</v>
      </c>
      <c r="C565" s="1895" t="s">
        <v>3435</v>
      </c>
      <c r="D565" s="1894" t="s">
        <v>524</v>
      </c>
      <c r="E565" s="1895" t="s">
        <v>541</v>
      </c>
      <c r="F565" s="1894" t="s">
        <v>259</v>
      </c>
      <c r="G565" s="1924">
        <v>555</v>
      </c>
      <c r="H565" s="1894">
        <v>555</v>
      </c>
      <c r="I565" s="1894">
        <v>295.68</v>
      </c>
      <c r="J565" s="1894">
        <v>444</v>
      </c>
      <c r="K565" s="1894">
        <v>0.92530000000000001</v>
      </c>
      <c r="L565" s="1894">
        <v>13.13</v>
      </c>
      <c r="M565" s="1894">
        <v>27954</v>
      </c>
      <c r="N565" s="1894">
        <f t="shared" si="214"/>
        <v>127734</v>
      </c>
      <c r="O565" s="1894">
        <f t="shared" si="215"/>
        <v>0</v>
      </c>
      <c r="P565" s="1894">
        <v>555</v>
      </c>
      <c r="Q565" s="1894">
        <v>289.44</v>
      </c>
      <c r="R565" s="1894">
        <v>444</v>
      </c>
      <c r="S565" s="1894">
        <v>0.93240000000000001</v>
      </c>
      <c r="T565" s="1894">
        <v>16.05</v>
      </c>
      <c r="U565" s="1894">
        <v>34560</v>
      </c>
      <c r="V565" s="1894">
        <f t="shared" si="216"/>
        <v>129206</v>
      </c>
      <c r="W565" s="1894">
        <f t="shared" si="217"/>
        <v>0</v>
      </c>
      <c r="X565" s="1894">
        <v>555</v>
      </c>
      <c r="Y565" s="1894">
        <v>310.08000000000004</v>
      </c>
      <c r="Z565" s="1894">
        <v>444</v>
      </c>
      <c r="AA565" s="1894">
        <v>0.92079999999999995</v>
      </c>
      <c r="AB565" s="1894">
        <v>6.11</v>
      </c>
      <c r="AC565" s="1894">
        <v>13644</v>
      </c>
      <c r="AD565" s="1894">
        <f t="shared" si="218"/>
        <v>133955</v>
      </c>
      <c r="AE565" s="1894">
        <f t="shared" si="219"/>
        <v>0</v>
      </c>
      <c r="AF565" s="1894">
        <v>555</v>
      </c>
      <c r="AG565" s="1894">
        <v>268.32</v>
      </c>
      <c r="AH565" s="1894">
        <v>444</v>
      </c>
      <c r="AI565" s="1894">
        <v>0.91139999999999999</v>
      </c>
      <c r="AJ565" s="1894">
        <v>1.73</v>
      </c>
      <c r="AK565" s="1894">
        <v>3456</v>
      </c>
      <c r="AL565" s="1894">
        <f t="shared" si="237"/>
        <v>119778</v>
      </c>
      <c r="AM565" s="1894">
        <f t="shared" si="238"/>
        <v>0</v>
      </c>
      <c r="AN565" s="1894">
        <v>555</v>
      </c>
      <c r="AO565" s="1894">
        <v>329.28</v>
      </c>
      <c r="AP565" s="1894">
        <v>444</v>
      </c>
      <c r="AQ565" s="1894">
        <v>0.83760000000000001</v>
      </c>
      <c r="AR565" s="1894">
        <v>4.07</v>
      </c>
      <c r="AS565" s="1894">
        <v>9978</v>
      </c>
      <c r="AT565" s="1894">
        <f t="shared" si="220"/>
        <v>146991</v>
      </c>
      <c r="AU565" s="1894">
        <f t="shared" si="221"/>
        <v>0</v>
      </c>
      <c r="AV565" s="1894">
        <v>555</v>
      </c>
      <c r="AW565" s="1894">
        <v>9.1199999999999992</v>
      </c>
      <c r="AX565" s="1894">
        <v>444</v>
      </c>
      <c r="AY565" s="1894">
        <v>0.99570000000000003</v>
      </c>
      <c r="AZ565" s="1894">
        <v>21.66</v>
      </c>
      <c r="BA565" s="1894">
        <v>1422</v>
      </c>
      <c r="BB565" s="1894">
        <f t="shared" si="222"/>
        <v>3940</v>
      </c>
      <c r="BC565" s="1894">
        <f t="shared" si="223"/>
        <v>0</v>
      </c>
      <c r="BD565" s="1894">
        <v>555</v>
      </c>
      <c r="BE565" s="1894">
        <v>285.12</v>
      </c>
      <c r="BF565" s="1894">
        <v>444</v>
      </c>
      <c r="BG565" s="1894">
        <v>0.94640000000000002</v>
      </c>
      <c r="BH565" s="1894">
        <v>3.22</v>
      </c>
      <c r="BI565" s="1894">
        <v>6834</v>
      </c>
      <c r="BJ565" s="1894">
        <f t="shared" si="224"/>
        <v>127278</v>
      </c>
      <c r="BK565" s="1894">
        <f t="shared" si="225"/>
        <v>0</v>
      </c>
      <c r="BL565" s="1894">
        <v>555</v>
      </c>
      <c r="BM565" s="1894">
        <v>284.16000000000003</v>
      </c>
      <c r="BN565" s="1894">
        <v>444</v>
      </c>
      <c r="BO565" s="1894">
        <v>0.94089999999999996</v>
      </c>
      <c r="BP565" s="1894">
        <v>4.82</v>
      </c>
      <c r="BQ565" s="1894">
        <v>9858</v>
      </c>
      <c r="BR565" s="1894">
        <f t="shared" si="226"/>
        <v>122757</v>
      </c>
      <c r="BS565" s="1894">
        <f t="shared" si="227"/>
        <v>0</v>
      </c>
      <c r="BT565" s="1894">
        <v>555</v>
      </c>
      <c r="BU565" s="1894">
        <v>312.95999999999998</v>
      </c>
      <c r="BV565" s="1894">
        <v>444</v>
      </c>
      <c r="BW565" s="1894">
        <v>0.91879999999999995</v>
      </c>
      <c r="BX565" s="1894">
        <v>15.94</v>
      </c>
      <c r="BY565" s="1894">
        <v>37110</v>
      </c>
      <c r="BZ565" s="1894">
        <f t="shared" si="228"/>
        <v>139705</v>
      </c>
      <c r="CA565" s="1894">
        <f t="shared" si="229"/>
        <v>0</v>
      </c>
      <c r="CB565" s="1894">
        <v>555</v>
      </c>
      <c r="CC565" s="1894">
        <v>344.16</v>
      </c>
      <c r="CD565" s="1894">
        <v>444</v>
      </c>
      <c r="CE565" s="1894">
        <v>0.91759999999999997</v>
      </c>
      <c r="CF565" s="1894">
        <v>12.51</v>
      </c>
      <c r="CG565" s="1894">
        <v>32040</v>
      </c>
      <c r="CH565" s="1894">
        <f t="shared" si="230"/>
        <v>153633</v>
      </c>
      <c r="CI565" s="1894">
        <f t="shared" si="231"/>
        <v>0</v>
      </c>
      <c r="CJ565" s="1894">
        <v>555</v>
      </c>
      <c r="CK565" s="1894">
        <v>337.44</v>
      </c>
      <c r="CL565" s="1894">
        <v>444</v>
      </c>
      <c r="CM565" s="1894">
        <v>0.90990000000000004</v>
      </c>
      <c r="CN565" s="1894">
        <v>16.190000000000001</v>
      </c>
      <c r="CO565" s="1894">
        <v>36708</v>
      </c>
      <c r="CP565" s="1894">
        <f t="shared" si="232"/>
        <v>136056</v>
      </c>
      <c r="CQ565" s="1894">
        <f t="shared" si="233"/>
        <v>0</v>
      </c>
      <c r="CR565" s="1924">
        <v>555</v>
      </c>
      <c r="CS565" s="1924">
        <v>310.55999999999995</v>
      </c>
      <c r="CT565" s="1924">
        <v>444</v>
      </c>
      <c r="CU565" s="1924">
        <v>0.9123</v>
      </c>
      <c r="CV565" s="1924">
        <v>18.07</v>
      </c>
      <c r="CW565" s="1924">
        <v>37704</v>
      </c>
      <c r="CX565" s="1894">
        <f t="shared" si="234"/>
        <v>138634</v>
      </c>
      <c r="CY565" s="1894">
        <f t="shared" si="235"/>
        <v>0</v>
      </c>
    </row>
    <row r="566" spans="1:103">
      <c r="A566" s="982">
        <v>128000000005</v>
      </c>
      <c r="B566" s="1923">
        <f t="shared" si="236"/>
        <v>560</v>
      </c>
      <c r="C566" s="1895" t="s">
        <v>3436</v>
      </c>
      <c r="D566" s="1894" t="s">
        <v>524</v>
      </c>
      <c r="E566" s="1895" t="s">
        <v>623</v>
      </c>
      <c r="F566" s="1894" t="s">
        <v>259</v>
      </c>
      <c r="G566" s="1924">
        <v>555</v>
      </c>
      <c r="H566" s="1894">
        <v>555</v>
      </c>
      <c r="I566" s="1894">
        <v>597.12</v>
      </c>
      <c r="J566" s="1894">
        <v>597.12</v>
      </c>
      <c r="K566" s="1894">
        <v>0.81310000000000004</v>
      </c>
      <c r="L566" s="1894">
        <v>0</v>
      </c>
      <c r="M566" s="1894">
        <v>79878</v>
      </c>
      <c r="N566" s="1894">
        <f t="shared" si="214"/>
        <v>257956</v>
      </c>
      <c r="O566" s="1894">
        <f t="shared" si="215"/>
        <v>0</v>
      </c>
      <c r="P566" s="1894">
        <v>555</v>
      </c>
      <c r="Q566" s="1894">
        <v>565.44000000000005</v>
      </c>
      <c r="R566" s="1894">
        <v>565.44000000000005</v>
      </c>
      <c r="S566" s="1894">
        <v>0.80969999999999998</v>
      </c>
      <c r="T566" s="1894">
        <v>0</v>
      </c>
      <c r="U566" s="1894">
        <v>223386</v>
      </c>
      <c r="V566" s="1894">
        <f t="shared" si="216"/>
        <v>252412</v>
      </c>
      <c r="W566" s="1894">
        <f t="shared" si="217"/>
        <v>0</v>
      </c>
      <c r="X566" s="1894">
        <v>555</v>
      </c>
      <c r="Y566" s="1894">
        <v>615.36</v>
      </c>
      <c r="Z566" s="1894">
        <v>615.36</v>
      </c>
      <c r="AA566" s="1894">
        <v>0.81330000000000002</v>
      </c>
      <c r="AB566" s="1894">
        <v>0</v>
      </c>
      <c r="AC566" s="1894">
        <v>203898</v>
      </c>
      <c r="AD566" s="1894">
        <f t="shared" si="218"/>
        <v>265836</v>
      </c>
      <c r="AE566" s="1894">
        <f t="shared" si="219"/>
        <v>0</v>
      </c>
      <c r="AF566" s="1894">
        <v>555</v>
      </c>
      <c r="AG566" s="1894">
        <v>634.56000000000006</v>
      </c>
      <c r="AH566" s="1894">
        <v>634.55999999999995</v>
      </c>
      <c r="AI566" s="1894">
        <v>0.80220000000000002</v>
      </c>
      <c r="AJ566" s="1894">
        <v>0</v>
      </c>
      <c r="AK566" s="1894">
        <v>195684</v>
      </c>
      <c r="AL566" s="1894">
        <f t="shared" si="237"/>
        <v>283268</v>
      </c>
      <c r="AM566" s="1894">
        <f t="shared" si="238"/>
        <v>0</v>
      </c>
      <c r="AN566" s="1894">
        <v>555</v>
      </c>
      <c r="AO566" s="1894">
        <v>611.04</v>
      </c>
      <c r="AP566" s="1894">
        <v>611.04</v>
      </c>
      <c r="AQ566" s="1894">
        <v>0.81010000000000004</v>
      </c>
      <c r="AR566" s="1894">
        <v>0</v>
      </c>
      <c r="AS566" s="1894">
        <v>193020</v>
      </c>
      <c r="AT566" s="1894">
        <f t="shared" si="220"/>
        <v>272768</v>
      </c>
      <c r="AU566" s="1894">
        <f t="shared" si="221"/>
        <v>0</v>
      </c>
      <c r="AV566" s="1894">
        <v>555</v>
      </c>
      <c r="AW566" s="1894">
        <v>852.48</v>
      </c>
      <c r="AX566" s="1894">
        <v>852.48</v>
      </c>
      <c r="AY566" s="1894">
        <v>0.81240000000000001</v>
      </c>
      <c r="AZ566" s="1894">
        <v>0</v>
      </c>
      <c r="BA566" s="1894">
        <v>177156</v>
      </c>
      <c r="BB566" s="1894">
        <f t="shared" si="222"/>
        <v>368271</v>
      </c>
      <c r="BC566" s="1894">
        <f t="shared" si="223"/>
        <v>0</v>
      </c>
      <c r="BD566" s="1894">
        <v>555</v>
      </c>
      <c r="BE566" s="1894">
        <v>842.4</v>
      </c>
      <c r="BF566" s="1894">
        <v>842.4</v>
      </c>
      <c r="BG566" s="1894">
        <v>0.80400000000000005</v>
      </c>
      <c r="BH566" s="1894">
        <v>0</v>
      </c>
      <c r="BI566" s="1894">
        <v>223884</v>
      </c>
      <c r="BJ566" s="1894">
        <f t="shared" si="224"/>
        <v>376047</v>
      </c>
      <c r="BK566" s="1894">
        <f t="shared" si="225"/>
        <v>0</v>
      </c>
      <c r="BL566" s="1894">
        <v>555</v>
      </c>
      <c r="BM566" s="1894">
        <v>738.24</v>
      </c>
      <c r="BN566" s="1894">
        <v>738.24</v>
      </c>
      <c r="BO566" s="1894">
        <v>0.79249999999999998</v>
      </c>
      <c r="BP566" s="1894">
        <v>0</v>
      </c>
      <c r="BQ566" s="1894">
        <v>116658</v>
      </c>
      <c r="BR566" s="1894">
        <f t="shared" si="226"/>
        <v>318920</v>
      </c>
      <c r="BS566" s="1894">
        <f t="shared" si="227"/>
        <v>0</v>
      </c>
      <c r="BT566" s="1894">
        <v>555</v>
      </c>
      <c r="BU566" s="1894">
        <v>410.40000000000003</v>
      </c>
      <c r="BV566" s="1894">
        <v>555</v>
      </c>
      <c r="BW566" s="1894">
        <v>0.76939999999999997</v>
      </c>
      <c r="BX566" s="1894">
        <v>0</v>
      </c>
      <c r="BY566" s="1894">
        <v>57612</v>
      </c>
      <c r="BZ566" s="1894">
        <f t="shared" si="228"/>
        <v>183203</v>
      </c>
      <c r="CA566" s="1894">
        <f t="shared" si="229"/>
        <v>0</v>
      </c>
      <c r="CB566" s="1894">
        <v>555</v>
      </c>
      <c r="CC566" s="1894">
        <v>504.96000000000004</v>
      </c>
      <c r="CD566" s="1894">
        <v>555</v>
      </c>
      <c r="CE566" s="1894">
        <v>0.77639999999999998</v>
      </c>
      <c r="CF566" s="1894">
        <v>0</v>
      </c>
      <c r="CG566" s="1894">
        <v>50028</v>
      </c>
      <c r="CH566" s="1894">
        <f t="shared" si="230"/>
        <v>225414</v>
      </c>
      <c r="CI566" s="1894">
        <f t="shared" si="231"/>
        <v>0</v>
      </c>
      <c r="CJ566" s="1894">
        <v>555</v>
      </c>
      <c r="CK566" s="1894">
        <v>588</v>
      </c>
      <c r="CL566" s="1894">
        <v>588</v>
      </c>
      <c r="CM566" s="1894">
        <v>0.79120000000000001</v>
      </c>
      <c r="CN566" s="1894">
        <v>0</v>
      </c>
      <c r="CO566" s="1894">
        <v>85002</v>
      </c>
      <c r="CP566" s="1894">
        <f t="shared" si="232"/>
        <v>237082</v>
      </c>
      <c r="CQ566" s="1894">
        <f t="shared" si="233"/>
        <v>0</v>
      </c>
      <c r="CR566" s="1924">
        <v>555</v>
      </c>
      <c r="CS566" s="1924">
        <v>637.44000000000005</v>
      </c>
      <c r="CT566" s="1924">
        <v>637.44000000000005</v>
      </c>
      <c r="CU566" s="1924">
        <v>0.79920000000000002</v>
      </c>
      <c r="CV566" s="1924">
        <v>0</v>
      </c>
      <c r="CW566" s="1924">
        <v>105372</v>
      </c>
      <c r="CX566" s="1894">
        <f t="shared" si="234"/>
        <v>284553</v>
      </c>
      <c r="CY566" s="1894">
        <f t="shared" si="235"/>
        <v>0</v>
      </c>
    </row>
    <row r="567" spans="1:103">
      <c r="A567" s="982">
        <v>123000000118</v>
      </c>
      <c r="B567" s="1923">
        <f t="shared" si="236"/>
        <v>561</v>
      </c>
      <c r="C567" s="1895" t="s">
        <v>3437</v>
      </c>
      <c r="D567" s="1894" t="s">
        <v>524</v>
      </c>
      <c r="E567" s="1895" t="s">
        <v>541</v>
      </c>
      <c r="F567" s="1894" t="s">
        <v>259</v>
      </c>
      <c r="G567" s="1924">
        <v>555</v>
      </c>
      <c r="H567" s="1894">
        <v>555</v>
      </c>
      <c r="I567" s="1894">
        <v>301.44</v>
      </c>
      <c r="J567" s="1894">
        <v>444</v>
      </c>
      <c r="K567" s="1894">
        <v>0.73550000000000004</v>
      </c>
      <c r="L567" s="1894">
        <v>30.3</v>
      </c>
      <c r="M567" s="1894">
        <v>74520</v>
      </c>
      <c r="N567" s="1894">
        <f t="shared" si="214"/>
        <v>130222</v>
      </c>
      <c r="O567" s="1894">
        <f t="shared" si="215"/>
        <v>0</v>
      </c>
      <c r="P567" s="1894">
        <v>555</v>
      </c>
      <c r="Q567" s="1894">
        <v>301.44</v>
      </c>
      <c r="R567" s="1894">
        <v>444</v>
      </c>
      <c r="S567" s="1894">
        <v>0.7802</v>
      </c>
      <c r="T567" s="1894">
        <v>32.39</v>
      </c>
      <c r="U567" s="1894">
        <v>72636</v>
      </c>
      <c r="V567" s="1894">
        <f t="shared" si="216"/>
        <v>134563</v>
      </c>
      <c r="W567" s="1894">
        <f t="shared" si="217"/>
        <v>0</v>
      </c>
      <c r="X567" s="1894">
        <v>555</v>
      </c>
      <c r="Y567" s="1894">
        <v>362.88</v>
      </c>
      <c r="Z567" s="1894">
        <v>444</v>
      </c>
      <c r="AA567" s="1894">
        <v>0.80179999999999996</v>
      </c>
      <c r="AB567" s="1894">
        <v>33.49</v>
      </c>
      <c r="AC567" s="1894">
        <v>87492</v>
      </c>
      <c r="AD567" s="1894">
        <f t="shared" si="218"/>
        <v>156764</v>
      </c>
      <c r="AE567" s="1894">
        <f t="shared" si="219"/>
        <v>0</v>
      </c>
      <c r="AF567" s="1894">
        <v>555</v>
      </c>
      <c r="AG567" s="1894">
        <v>364.8</v>
      </c>
      <c r="AH567" s="1894">
        <v>444</v>
      </c>
      <c r="AI567" s="1894">
        <v>0.74550000000000005</v>
      </c>
      <c r="AJ567" s="1894">
        <v>26.54</v>
      </c>
      <c r="AK567" s="1894">
        <v>72036</v>
      </c>
      <c r="AL567" s="1894">
        <f t="shared" si="237"/>
        <v>162847</v>
      </c>
      <c r="AM567" s="1894">
        <f t="shared" si="238"/>
        <v>0</v>
      </c>
      <c r="AN567" s="1894">
        <v>555</v>
      </c>
      <c r="AO567" s="1894">
        <v>306.71999999999997</v>
      </c>
      <c r="AP567" s="1894">
        <v>444</v>
      </c>
      <c r="AQ567" s="1894">
        <v>0.79800000000000004</v>
      </c>
      <c r="AR567" s="1894">
        <v>26.96</v>
      </c>
      <c r="AS567" s="1894">
        <v>61518</v>
      </c>
      <c r="AT567" s="1894">
        <f t="shared" si="220"/>
        <v>136920</v>
      </c>
      <c r="AU567" s="1894">
        <f t="shared" si="221"/>
        <v>0</v>
      </c>
      <c r="AV567" s="1894">
        <v>555</v>
      </c>
      <c r="AW567" s="1894">
        <v>285.59999999999997</v>
      </c>
      <c r="AX567" s="1894">
        <v>444</v>
      </c>
      <c r="AY567" s="1894">
        <v>0.92959999999999998</v>
      </c>
      <c r="AZ567" s="1894">
        <v>26.18</v>
      </c>
      <c r="BA567" s="1894">
        <v>53838</v>
      </c>
      <c r="BB567" s="1894">
        <f t="shared" si="222"/>
        <v>123379</v>
      </c>
      <c r="BC567" s="1894">
        <f t="shared" si="223"/>
        <v>0</v>
      </c>
      <c r="BD567" s="1894">
        <v>555</v>
      </c>
      <c r="BE567" s="1894">
        <v>275.52</v>
      </c>
      <c r="BF567" s="1894">
        <v>444</v>
      </c>
      <c r="BG567" s="1894">
        <v>0.9194</v>
      </c>
      <c r="BH567" s="1894">
        <v>25.18</v>
      </c>
      <c r="BI567" s="1894">
        <v>51624</v>
      </c>
      <c r="BJ567" s="1894">
        <f t="shared" si="224"/>
        <v>122992</v>
      </c>
      <c r="BK567" s="1894">
        <f t="shared" si="225"/>
        <v>0</v>
      </c>
      <c r="BL567" s="1894">
        <v>555</v>
      </c>
      <c r="BM567" s="1894">
        <v>329.76</v>
      </c>
      <c r="BN567" s="1894">
        <v>444</v>
      </c>
      <c r="BO567" s="1894">
        <v>0.93100000000000005</v>
      </c>
      <c r="BP567" s="1894">
        <v>30.73</v>
      </c>
      <c r="BQ567" s="1894">
        <v>72966</v>
      </c>
      <c r="BR567" s="1894">
        <f t="shared" si="226"/>
        <v>142456</v>
      </c>
      <c r="BS567" s="1894">
        <f t="shared" si="227"/>
        <v>0</v>
      </c>
      <c r="BT567" s="1894">
        <v>555</v>
      </c>
      <c r="BU567" s="1894">
        <v>224.64000000000001</v>
      </c>
      <c r="BV567" s="1894">
        <v>444</v>
      </c>
      <c r="BW567" s="1894">
        <v>0.80679999999999996</v>
      </c>
      <c r="BX567" s="1894">
        <v>22.02</v>
      </c>
      <c r="BY567" s="1894">
        <v>36810</v>
      </c>
      <c r="BZ567" s="1894">
        <f t="shared" si="228"/>
        <v>100279</v>
      </c>
      <c r="CA567" s="1894">
        <f t="shared" si="229"/>
        <v>0</v>
      </c>
      <c r="CB567" s="1894">
        <v>555</v>
      </c>
      <c r="CC567" s="1894">
        <v>241.44</v>
      </c>
      <c r="CD567" s="1894">
        <v>444</v>
      </c>
      <c r="CE567" s="1894">
        <v>0.85950000000000004</v>
      </c>
      <c r="CF567" s="1894">
        <v>22.79</v>
      </c>
      <c r="CG567" s="1894">
        <v>40938</v>
      </c>
      <c r="CH567" s="1894">
        <f t="shared" si="230"/>
        <v>107779</v>
      </c>
      <c r="CI567" s="1894">
        <f t="shared" si="231"/>
        <v>0</v>
      </c>
      <c r="CJ567" s="1894">
        <v>555</v>
      </c>
      <c r="CK567" s="1894">
        <v>187.68</v>
      </c>
      <c r="CL567" s="1894">
        <v>444</v>
      </c>
      <c r="CM567" s="1894">
        <v>0.89480000000000004</v>
      </c>
      <c r="CN567" s="1894">
        <v>30.91</v>
      </c>
      <c r="CO567" s="1894">
        <v>38982</v>
      </c>
      <c r="CP567" s="1894">
        <f t="shared" si="232"/>
        <v>75673</v>
      </c>
      <c r="CQ567" s="1894">
        <f t="shared" si="233"/>
        <v>0</v>
      </c>
      <c r="CR567" s="1924">
        <v>555</v>
      </c>
      <c r="CS567" s="1924">
        <v>222.24</v>
      </c>
      <c r="CT567" s="1924">
        <v>444</v>
      </c>
      <c r="CU567" s="1924">
        <v>0.92010000000000003</v>
      </c>
      <c r="CV567" s="1924">
        <v>29.54</v>
      </c>
      <c r="CW567" s="1924">
        <v>48840</v>
      </c>
      <c r="CX567" s="1894">
        <f t="shared" si="234"/>
        <v>99208</v>
      </c>
      <c r="CY567" s="1894">
        <f t="shared" si="235"/>
        <v>0</v>
      </c>
    </row>
    <row r="568" spans="1:103">
      <c r="A568" s="982">
        <v>125000000028</v>
      </c>
      <c r="B568" s="1923">
        <f t="shared" si="236"/>
        <v>562</v>
      </c>
      <c r="C568" s="1895" t="s">
        <v>3438</v>
      </c>
      <c r="D568" s="1894" t="s">
        <v>524</v>
      </c>
      <c r="E568" s="1895" t="s">
        <v>541</v>
      </c>
      <c r="F568" s="1894" t="s">
        <v>259</v>
      </c>
      <c r="G568" s="1924">
        <v>555</v>
      </c>
      <c r="H568" s="1894">
        <v>555</v>
      </c>
      <c r="I568" s="1894">
        <v>402</v>
      </c>
      <c r="J568" s="1894">
        <v>444</v>
      </c>
      <c r="K568" s="1894">
        <v>0.95669999999999999</v>
      </c>
      <c r="L568" s="1894">
        <v>53.36</v>
      </c>
      <c r="M568" s="1894">
        <v>154455</v>
      </c>
      <c r="N568" s="1894">
        <f t="shared" si="214"/>
        <v>173664</v>
      </c>
      <c r="O568" s="1894">
        <f t="shared" si="215"/>
        <v>0</v>
      </c>
      <c r="P568" s="1894">
        <v>555</v>
      </c>
      <c r="Q568" s="1894">
        <v>439.2</v>
      </c>
      <c r="R568" s="1894">
        <v>444</v>
      </c>
      <c r="S568" s="1894">
        <v>0.95720000000000005</v>
      </c>
      <c r="T568" s="1894">
        <v>53.42</v>
      </c>
      <c r="U568" s="1894">
        <v>174555</v>
      </c>
      <c r="V568" s="1894">
        <f t="shared" si="216"/>
        <v>196059</v>
      </c>
      <c r="W568" s="1894">
        <f t="shared" si="217"/>
        <v>0</v>
      </c>
      <c r="X568" s="1894">
        <v>555</v>
      </c>
      <c r="Y568" s="1894">
        <v>444</v>
      </c>
      <c r="Z568" s="1894">
        <v>444</v>
      </c>
      <c r="AA568" s="1894">
        <v>0.95709999999999995</v>
      </c>
      <c r="AB568" s="1894">
        <v>57.11</v>
      </c>
      <c r="AC568" s="1894">
        <v>182580</v>
      </c>
      <c r="AD568" s="1894">
        <f t="shared" si="218"/>
        <v>191808</v>
      </c>
      <c r="AE568" s="1894">
        <f t="shared" si="219"/>
        <v>0</v>
      </c>
      <c r="AF568" s="1894">
        <v>555</v>
      </c>
      <c r="AG568" s="1894">
        <v>446.4</v>
      </c>
      <c r="AH568" s="1894">
        <v>446.4</v>
      </c>
      <c r="AI568" s="1894">
        <v>0.95679999999999998</v>
      </c>
      <c r="AJ568" s="1894">
        <v>59.43</v>
      </c>
      <c r="AK568" s="1894">
        <v>197385</v>
      </c>
      <c r="AL568" s="1894">
        <f t="shared" si="237"/>
        <v>199273</v>
      </c>
      <c r="AM568" s="1894">
        <f t="shared" si="238"/>
        <v>0</v>
      </c>
      <c r="AN568" s="1894">
        <v>555</v>
      </c>
      <c r="AO568" s="1894">
        <v>428.40000000000003</v>
      </c>
      <c r="AP568" s="1894">
        <v>444</v>
      </c>
      <c r="AQ568" s="1894">
        <v>0.95069999999999999</v>
      </c>
      <c r="AR568" s="1894">
        <v>46.87</v>
      </c>
      <c r="AS568" s="1894">
        <v>149400</v>
      </c>
      <c r="AT568" s="1894">
        <f t="shared" si="220"/>
        <v>191238</v>
      </c>
      <c r="AU568" s="1894">
        <f t="shared" si="221"/>
        <v>0</v>
      </c>
      <c r="AV568" s="1894">
        <v>555</v>
      </c>
      <c r="AW568" s="1894">
        <v>444</v>
      </c>
      <c r="AX568" s="1894">
        <v>444</v>
      </c>
      <c r="AY568" s="1894">
        <v>0.95240000000000002</v>
      </c>
      <c r="AZ568" s="1894">
        <v>42.94</v>
      </c>
      <c r="BA568" s="1894">
        <v>137280</v>
      </c>
      <c r="BB568" s="1894">
        <f t="shared" si="222"/>
        <v>191808</v>
      </c>
      <c r="BC568" s="1894">
        <f t="shared" si="223"/>
        <v>0</v>
      </c>
      <c r="BD568" s="1894">
        <v>555</v>
      </c>
      <c r="BE568" s="1894">
        <v>331.2</v>
      </c>
      <c r="BF568" s="1894">
        <v>444</v>
      </c>
      <c r="BG568" s="1894">
        <v>0.79949999999999999</v>
      </c>
      <c r="BH568" s="1894">
        <v>5.16</v>
      </c>
      <c r="BI568" s="1894">
        <v>12720</v>
      </c>
      <c r="BJ568" s="1894">
        <f t="shared" si="224"/>
        <v>147848</v>
      </c>
      <c r="BK568" s="1894">
        <f t="shared" si="225"/>
        <v>0</v>
      </c>
      <c r="BL568" s="1894">
        <v>555</v>
      </c>
      <c r="BM568" s="1894">
        <v>225.60000000000002</v>
      </c>
      <c r="BN568" s="1894">
        <v>444</v>
      </c>
      <c r="BO568" s="1894">
        <v>0.68240000000000001</v>
      </c>
      <c r="BP568" s="1894">
        <v>6.25</v>
      </c>
      <c r="BQ568" s="1894">
        <v>10155</v>
      </c>
      <c r="BR568" s="1894">
        <f t="shared" si="226"/>
        <v>97459</v>
      </c>
      <c r="BS568" s="1894">
        <f t="shared" si="227"/>
        <v>0</v>
      </c>
      <c r="BT568" s="1894">
        <v>555</v>
      </c>
      <c r="BU568" s="1894">
        <v>382.79999999999995</v>
      </c>
      <c r="BV568" s="1894">
        <v>444</v>
      </c>
      <c r="BW568" s="1894">
        <v>0.94389999999999996</v>
      </c>
      <c r="BX568" s="1894">
        <v>18.5</v>
      </c>
      <c r="BY568" s="1894">
        <v>52680</v>
      </c>
      <c r="BZ568" s="1894">
        <f t="shared" si="228"/>
        <v>170882</v>
      </c>
      <c r="CA568" s="1894">
        <f t="shared" si="229"/>
        <v>0</v>
      </c>
      <c r="CB568" s="1894">
        <v>555</v>
      </c>
      <c r="CC568" s="1894">
        <v>436.8</v>
      </c>
      <c r="CD568" s="1894">
        <v>444</v>
      </c>
      <c r="CE568" s="1894">
        <v>0.95689999999999997</v>
      </c>
      <c r="CF568" s="1894">
        <v>48.87</v>
      </c>
      <c r="CG568" s="1894">
        <v>158820</v>
      </c>
      <c r="CH568" s="1894">
        <f t="shared" si="230"/>
        <v>194988</v>
      </c>
      <c r="CI568" s="1894">
        <f t="shared" si="231"/>
        <v>0</v>
      </c>
      <c r="CJ568" s="1894">
        <v>555</v>
      </c>
      <c r="CK568" s="1894">
        <v>420.00000000000006</v>
      </c>
      <c r="CL568" s="1894">
        <v>444</v>
      </c>
      <c r="CM568" s="1894">
        <v>0.98550000000000004</v>
      </c>
      <c r="CN568" s="1894">
        <v>62.4</v>
      </c>
      <c r="CO568" s="1894">
        <v>176115</v>
      </c>
      <c r="CP568" s="1894">
        <f t="shared" si="232"/>
        <v>169344</v>
      </c>
      <c r="CQ568" s="1894">
        <f t="shared" si="233"/>
        <v>6771</v>
      </c>
      <c r="CR568" s="1924">
        <v>555</v>
      </c>
      <c r="CS568" s="1924">
        <v>423.59999999999997</v>
      </c>
      <c r="CT568" s="1924">
        <v>444</v>
      </c>
      <c r="CU568" s="1924">
        <v>0.98540000000000005</v>
      </c>
      <c r="CV568" s="1924">
        <v>51.92</v>
      </c>
      <c r="CW568" s="1924">
        <v>163635</v>
      </c>
      <c r="CX568" s="1894">
        <f t="shared" si="234"/>
        <v>189095</v>
      </c>
      <c r="CY568" s="1894">
        <f t="shared" si="235"/>
        <v>0</v>
      </c>
    </row>
    <row r="569" spans="1:103">
      <c r="A569" s="982">
        <v>128000000002</v>
      </c>
      <c r="B569" s="1923">
        <f t="shared" si="236"/>
        <v>563</v>
      </c>
      <c r="C569" s="1895" t="s">
        <v>3439</v>
      </c>
      <c r="D569" s="1894" t="s">
        <v>524</v>
      </c>
      <c r="E569" s="1895" t="s">
        <v>541</v>
      </c>
      <c r="F569" s="1894" t="s">
        <v>259</v>
      </c>
      <c r="G569" s="1924">
        <v>555</v>
      </c>
      <c r="H569" s="1894">
        <v>555</v>
      </c>
      <c r="I569" s="1894">
        <v>276</v>
      </c>
      <c r="J569" s="1894">
        <v>444</v>
      </c>
      <c r="K569" s="1894">
        <v>0.99770000000000003</v>
      </c>
      <c r="L569" s="1894">
        <v>41.02</v>
      </c>
      <c r="M569" s="1894">
        <v>81522</v>
      </c>
      <c r="N569" s="1894">
        <f t="shared" si="214"/>
        <v>119232</v>
      </c>
      <c r="O569" s="1894">
        <f t="shared" si="215"/>
        <v>0</v>
      </c>
      <c r="P569" s="1894">
        <v>555</v>
      </c>
      <c r="Q569" s="1894">
        <v>276</v>
      </c>
      <c r="R569" s="1894">
        <v>444</v>
      </c>
      <c r="S569" s="1894">
        <v>0.999</v>
      </c>
      <c r="T569" s="1894">
        <v>41.5</v>
      </c>
      <c r="U569" s="1894">
        <v>85224</v>
      </c>
      <c r="V569" s="1894">
        <f t="shared" si="216"/>
        <v>123206</v>
      </c>
      <c r="W569" s="1894">
        <f t="shared" si="217"/>
        <v>0</v>
      </c>
      <c r="X569" s="1894">
        <v>555</v>
      </c>
      <c r="Y569" s="1894">
        <v>233.28</v>
      </c>
      <c r="Z569" s="1894">
        <v>444</v>
      </c>
      <c r="AA569" s="1894">
        <v>0.99919999999999998</v>
      </c>
      <c r="AB569" s="1894">
        <v>41.45</v>
      </c>
      <c r="AC569" s="1894">
        <v>69618</v>
      </c>
      <c r="AD569" s="1894">
        <f t="shared" si="218"/>
        <v>100777</v>
      </c>
      <c r="AE569" s="1894">
        <f t="shared" si="219"/>
        <v>0</v>
      </c>
      <c r="AF569" s="1894">
        <v>555</v>
      </c>
      <c r="AG569" s="1894">
        <v>228.96</v>
      </c>
      <c r="AH569" s="1894">
        <v>444</v>
      </c>
      <c r="AI569" s="1894">
        <v>0.99780000000000002</v>
      </c>
      <c r="AJ569" s="1894">
        <v>47.29</v>
      </c>
      <c r="AK569" s="1894">
        <v>80556</v>
      </c>
      <c r="AL569" s="1894">
        <f t="shared" si="237"/>
        <v>102208</v>
      </c>
      <c r="AM569" s="1894">
        <f t="shared" si="238"/>
        <v>0</v>
      </c>
      <c r="AN569" s="1894">
        <v>555</v>
      </c>
      <c r="AO569" s="1894">
        <v>171.36</v>
      </c>
      <c r="AP569" s="1894">
        <v>444</v>
      </c>
      <c r="AQ569" s="1894">
        <v>0.997</v>
      </c>
      <c r="AR569" s="1894">
        <v>41.38</v>
      </c>
      <c r="AS569" s="1894">
        <v>52752</v>
      </c>
      <c r="AT569" s="1894">
        <f t="shared" si="220"/>
        <v>76495</v>
      </c>
      <c r="AU569" s="1894">
        <f t="shared" si="221"/>
        <v>0</v>
      </c>
      <c r="AV569" s="1894">
        <v>555</v>
      </c>
      <c r="AW569" s="1894">
        <v>207.36</v>
      </c>
      <c r="AX569" s="1894">
        <v>444</v>
      </c>
      <c r="AY569" s="1894">
        <v>0.99939999999999996</v>
      </c>
      <c r="AZ569" s="1894">
        <v>36.090000000000003</v>
      </c>
      <c r="BA569" s="1894">
        <v>53886</v>
      </c>
      <c r="BB569" s="1894">
        <f t="shared" si="222"/>
        <v>89580</v>
      </c>
      <c r="BC569" s="1894">
        <f t="shared" si="223"/>
        <v>0</v>
      </c>
      <c r="BD569" s="1894">
        <v>555</v>
      </c>
      <c r="BE569" s="1894">
        <v>211.68</v>
      </c>
      <c r="BF569" s="1894">
        <v>444</v>
      </c>
      <c r="BG569" s="1894">
        <v>0.99680000000000002</v>
      </c>
      <c r="BH569" s="1894">
        <v>40.57</v>
      </c>
      <c r="BI569" s="1894">
        <v>63888</v>
      </c>
      <c r="BJ569" s="1894">
        <f t="shared" si="224"/>
        <v>94494</v>
      </c>
      <c r="BK569" s="1894">
        <f t="shared" si="225"/>
        <v>0</v>
      </c>
      <c r="BL569" s="1894">
        <v>555</v>
      </c>
      <c r="BM569" s="1894">
        <v>247.2</v>
      </c>
      <c r="BN569" s="1894">
        <v>444</v>
      </c>
      <c r="BO569" s="1894">
        <v>0.99719999999999998</v>
      </c>
      <c r="BP569" s="1894">
        <v>48.17</v>
      </c>
      <c r="BQ569" s="1894">
        <v>85728</v>
      </c>
      <c r="BR569" s="1894">
        <f t="shared" si="226"/>
        <v>106790</v>
      </c>
      <c r="BS569" s="1894">
        <f t="shared" si="227"/>
        <v>0</v>
      </c>
      <c r="BT569" s="1894">
        <v>555</v>
      </c>
      <c r="BU569" s="1894">
        <v>358.56</v>
      </c>
      <c r="BV569" s="1894">
        <v>444</v>
      </c>
      <c r="BW569" s="1894">
        <v>0.997</v>
      </c>
      <c r="BX569" s="1894">
        <v>49.55</v>
      </c>
      <c r="BY569" s="1894">
        <v>132174</v>
      </c>
      <c r="BZ569" s="1894">
        <f t="shared" si="228"/>
        <v>160061</v>
      </c>
      <c r="CA569" s="1894">
        <f t="shared" si="229"/>
        <v>0</v>
      </c>
      <c r="CB569" s="1894">
        <v>555</v>
      </c>
      <c r="CC569" s="1894">
        <v>357.11999999999995</v>
      </c>
      <c r="CD569" s="1894">
        <v>444</v>
      </c>
      <c r="CE569" s="1894">
        <v>0.99919999999999998</v>
      </c>
      <c r="CF569" s="1894">
        <v>47.63</v>
      </c>
      <c r="CG569" s="1894">
        <v>126558</v>
      </c>
      <c r="CH569" s="1894">
        <f t="shared" si="230"/>
        <v>159418</v>
      </c>
      <c r="CI569" s="1894">
        <f t="shared" si="231"/>
        <v>0</v>
      </c>
      <c r="CJ569" s="1894">
        <v>555</v>
      </c>
      <c r="CK569" s="1894">
        <v>381.12</v>
      </c>
      <c r="CL569" s="1894">
        <v>444</v>
      </c>
      <c r="CM569" s="1894">
        <v>0.99870000000000003</v>
      </c>
      <c r="CN569" s="1894">
        <v>58.81</v>
      </c>
      <c r="CO569" s="1894">
        <v>150630</v>
      </c>
      <c r="CP569" s="1894">
        <f t="shared" si="232"/>
        <v>153668</v>
      </c>
      <c r="CQ569" s="1894">
        <f t="shared" si="233"/>
        <v>0</v>
      </c>
      <c r="CR569" s="1924">
        <v>555</v>
      </c>
      <c r="CS569" s="1924">
        <v>350.88</v>
      </c>
      <c r="CT569" s="1924">
        <v>444</v>
      </c>
      <c r="CU569" s="1924">
        <v>0.99919999999999998</v>
      </c>
      <c r="CV569" s="1924">
        <v>62.15</v>
      </c>
      <c r="CW569" s="1924">
        <v>162258</v>
      </c>
      <c r="CX569" s="1894">
        <f t="shared" si="234"/>
        <v>156633</v>
      </c>
      <c r="CY569" s="1894">
        <f t="shared" si="235"/>
        <v>5625</v>
      </c>
    </row>
    <row r="570" spans="1:103">
      <c r="A570" s="982">
        <v>611000000004</v>
      </c>
      <c r="B570" s="1923">
        <f t="shared" si="236"/>
        <v>564</v>
      </c>
      <c r="C570" s="1895" t="s">
        <v>727</v>
      </c>
      <c r="D570" s="1894" t="s">
        <v>524</v>
      </c>
      <c r="E570" s="1895" t="s">
        <v>595</v>
      </c>
      <c r="F570" s="1894" t="s">
        <v>259</v>
      </c>
      <c r="G570" s="1924">
        <v>555</v>
      </c>
      <c r="H570" s="1894">
        <v>555</v>
      </c>
      <c r="I570" s="1894">
        <v>9084</v>
      </c>
      <c r="J570" s="1894">
        <v>9084</v>
      </c>
      <c r="K570" s="1894">
        <v>0.93440000000000001</v>
      </c>
      <c r="L570" s="1894">
        <v>65.290000000000006</v>
      </c>
      <c r="M570" s="1894">
        <v>4270320</v>
      </c>
      <c r="N570" s="1894">
        <f t="shared" si="214"/>
        <v>3924288</v>
      </c>
      <c r="O570" s="1894">
        <f t="shared" si="215"/>
        <v>346032</v>
      </c>
      <c r="P570" s="1894">
        <v>555</v>
      </c>
      <c r="Q570" s="1894">
        <v>8049.6</v>
      </c>
      <c r="R570" s="1894">
        <v>8606.4</v>
      </c>
      <c r="S570" s="1894">
        <v>0.93430000000000002</v>
      </c>
      <c r="T570" s="1894">
        <v>60.45</v>
      </c>
      <c r="U570" s="1894">
        <v>3870960</v>
      </c>
      <c r="V570" s="1894">
        <f t="shared" si="216"/>
        <v>3593341</v>
      </c>
      <c r="W570" s="1894">
        <f t="shared" si="217"/>
        <v>277619</v>
      </c>
      <c r="X570" s="1894">
        <v>555</v>
      </c>
      <c r="Y570" s="1894">
        <v>3648</v>
      </c>
      <c r="Z570" s="1894">
        <v>3648</v>
      </c>
      <c r="AA570" s="1894">
        <v>0.93700000000000006</v>
      </c>
      <c r="AB570" s="1894">
        <v>72.39</v>
      </c>
      <c r="AC570" s="1894">
        <v>1901460</v>
      </c>
      <c r="AD570" s="1894">
        <f t="shared" si="218"/>
        <v>1575936</v>
      </c>
      <c r="AE570" s="1894">
        <f t="shared" si="219"/>
        <v>325524</v>
      </c>
      <c r="AF570" s="1894">
        <v>555</v>
      </c>
      <c r="AG570" s="1894">
        <v>3888</v>
      </c>
      <c r="AH570" s="1894">
        <v>3888</v>
      </c>
      <c r="AI570" s="1894">
        <v>0.88390000000000002</v>
      </c>
      <c r="AJ570" s="1894">
        <v>23.92</v>
      </c>
      <c r="AK570" s="1894">
        <v>624960</v>
      </c>
      <c r="AL570" s="1894">
        <f t="shared" si="237"/>
        <v>1735603</v>
      </c>
      <c r="AM570" s="1894">
        <f t="shared" si="238"/>
        <v>0</v>
      </c>
      <c r="AN570" s="1894">
        <v>555</v>
      </c>
      <c r="AO570" s="1894">
        <v>432</v>
      </c>
      <c r="AP570" s="1894">
        <v>444</v>
      </c>
      <c r="AQ570" s="1894">
        <v>0.67410000000000003</v>
      </c>
      <c r="AR570" s="1894">
        <v>66.180000000000007</v>
      </c>
      <c r="AS570" s="1894">
        <v>233280</v>
      </c>
      <c r="AT570" s="1894">
        <f t="shared" si="220"/>
        <v>192845</v>
      </c>
      <c r="AU570" s="1894">
        <f t="shared" si="221"/>
        <v>40435</v>
      </c>
      <c r="AV570" s="1894">
        <v>555</v>
      </c>
      <c r="AW570" s="1894">
        <v>444</v>
      </c>
      <c r="AX570" s="1894">
        <v>480</v>
      </c>
      <c r="AY570" s="1894">
        <v>0.67759999999999998</v>
      </c>
      <c r="AZ570" s="1894">
        <v>56.88</v>
      </c>
      <c r="BA570" s="1894">
        <v>196560</v>
      </c>
      <c r="BB570" s="1894">
        <f t="shared" si="222"/>
        <v>191808</v>
      </c>
      <c r="BC570" s="1894">
        <f t="shared" si="223"/>
        <v>4752</v>
      </c>
      <c r="BD570" s="1894">
        <v>555</v>
      </c>
      <c r="BE570" s="1894">
        <v>444</v>
      </c>
      <c r="BF570" s="1894">
        <v>444</v>
      </c>
      <c r="BG570" s="1894">
        <v>0.62709999999999999</v>
      </c>
      <c r="BH570" s="1894">
        <v>24.36</v>
      </c>
      <c r="BI570" s="1894">
        <v>80460</v>
      </c>
      <c r="BJ570" s="1894">
        <f t="shared" si="224"/>
        <v>198202</v>
      </c>
      <c r="BK570" s="1894">
        <f t="shared" si="225"/>
        <v>0</v>
      </c>
      <c r="BL570" s="1894">
        <v>555</v>
      </c>
      <c r="BM570" s="1894">
        <v>264</v>
      </c>
      <c r="BN570" s="1894">
        <v>444</v>
      </c>
      <c r="BO570" s="1894">
        <v>0.61480000000000001</v>
      </c>
      <c r="BP570" s="1894">
        <v>86.3</v>
      </c>
      <c r="BQ570" s="1894">
        <v>164040</v>
      </c>
      <c r="BR570" s="1894">
        <f t="shared" si="226"/>
        <v>114048</v>
      </c>
      <c r="BS570" s="1894">
        <f t="shared" si="227"/>
        <v>49992</v>
      </c>
      <c r="BT570" s="1894">
        <v>555</v>
      </c>
      <c r="BU570" s="1894">
        <v>312</v>
      </c>
      <c r="BV570" s="1894">
        <v>444</v>
      </c>
      <c r="BW570" s="1894">
        <v>0.60429999999999995</v>
      </c>
      <c r="BX570" s="1894">
        <v>39.99</v>
      </c>
      <c r="BY570" s="1894">
        <v>92820</v>
      </c>
      <c r="BZ570" s="1894">
        <f t="shared" si="228"/>
        <v>139277</v>
      </c>
      <c r="CA570" s="1894">
        <f t="shared" si="229"/>
        <v>0</v>
      </c>
      <c r="CB570" s="1894">
        <v>555</v>
      </c>
      <c r="CC570" s="1894">
        <v>300</v>
      </c>
      <c r="CD570" s="1894">
        <v>444</v>
      </c>
      <c r="CE570" s="1894">
        <v>0.60440000000000005</v>
      </c>
      <c r="CF570" s="1894">
        <v>45.54</v>
      </c>
      <c r="CG570" s="1894">
        <v>101640</v>
      </c>
      <c r="CH570" s="1894">
        <f t="shared" si="230"/>
        <v>133920</v>
      </c>
      <c r="CI570" s="1894">
        <f t="shared" si="231"/>
        <v>0</v>
      </c>
      <c r="CJ570" s="1894">
        <v>555</v>
      </c>
      <c r="CK570" s="1894">
        <v>288</v>
      </c>
      <c r="CL570" s="1894">
        <v>444</v>
      </c>
      <c r="CM570" s="1894">
        <v>0.60740000000000005</v>
      </c>
      <c r="CN570" s="1894">
        <v>49.2</v>
      </c>
      <c r="CO570" s="1894">
        <v>95220</v>
      </c>
      <c r="CP570" s="1894">
        <f t="shared" si="232"/>
        <v>116122</v>
      </c>
      <c r="CQ570" s="1894">
        <f t="shared" si="233"/>
        <v>0</v>
      </c>
      <c r="CR570" s="1924">
        <v>555</v>
      </c>
      <c r="CS570" s="1924">
        <v>300</v>
      </c>
      <c r="CT570" s="1924">
        <v>444</v>
      </c>
      <c r="CU570" s="1924">
        <v>0.65429999999999999</v>
      </c>
      <c r="CV570" s="1924">
        <v>51.1</v>
      </c>
      <c r="CW570" s="1924">
        <v>114060</v>
      </c>
      <c r="CX570" s="1894">
        <f t="shared" si="234"/>
        <v>133920</v>
      </c>
      <c r="CY570" s="1894">
        <f t="shared" si="235"/>
        <v>0</v>
      </c>
    </row>
    <row r="571" spans="1:103">
      <c r="A571" s="982">
        <v>611000000069</v>
      </c>
      <c r="B571" s="1923">
        <f t="shared" si="236"/>
        <v>565</v>
      </c>
      <c r="C571" s="1895" t="s">
        <v>3440</v>
      </c>
      <c r="D571" s="1894" t="s">
        <v>524</v>
      </c>
      <c r="E571" s="1895" t="s">
        <v>629</v>
      </c>
      <c r="F571" s="1894" t="s">
        <v>259</v>
      </c>
      <c r="G571" s="1924">
        <v>555</v>
      </c>
      <c r="H571" s="1894">
        <v>555</v>
      </c>
      <c r="I571" s="1894">
        <v>24.72</v>
      </c>
      <c r="J571" s="1894">
        <v>555</v>
      </c>
      <c r="K571" s="1894">
        <v>0.97209999999999996</v>
      </c>
      <c r="L571" s="1894">
        <v>0</v>
      </c>
      <c r="M571" s="1894">
        <v>9465</v>
      </c>
      <c r="N571" s="1894">
        <f t="shared" si="214"/>
        <v>10679</v>
      </c>
      <c r="O571" s="1894">
        <f t="shared" si="215"/>
        <v>0</v>
      </c>
      <c r="P571" s="1894">
        <v>555</v>
      </c>
      <c r="Q571" s="1894">
        <v>96.6</v>
      </c>
      <c r="R571" s="1894">
        <v>555</v>
      </c>
      <c r="S571" s="1894">
        <v>0.96850000000000003</v>
      </c>
      <c r="T571" s="1894">
        <v>0</v>
      </c>
      <c r="U571" s="1894">
        <v>33840</v>
      </c>
      <c r="V571" s="1894">
        <f t="shared" si="216"/>
        <v>43122</v>
      </c>
      <c r="W571" s="1894">
        <f t="shared" si="217"/>
        <v>0</v>
      </c>
      <c r="X571" s="1894">
        <v>555</v>
      </c>
      <c r="Y571" s="1894">
        <v>105.6</v>
      </c>
      <c r="Z571" s="1894">
        <v>555</v>
      </c>
      <c r="AA571" s="1894">
        <v>0.9667</v>
      </c>
      <c r="AB571" s="1894">
        <v>0</v>
      </c>
      <c r="AC571" s="1894">
        <v>31095</v>
      </c>
      <c r="AD571" s="1894">
        <f t="shared" si="218"/>
        <v>45619</v>
      </c>
      <c r="AE571" s="1894">
        <f t="shared" si="219"/>
        <v>0</v>
      </c>
      <c r="AF571" s="1894">
        <v>555</v>
      </c>
      <c r="AG571" s="1894">
        <v>78</v>
      </c>
      <c r="AH571" s="1894">
        <v>555</v>
      </c>
      <c r="AI571" s="1894">
        <v>0.95</v>
      </c>
      <c r="AJ571" s="1894">
        <v>0</v>
      </c>
      <c r="AK571" s="1894">
        <v>25830</v>
      </c>
      <c r="AL571" s="1894">
        <f t="shared" si="237"/>
        <v>34819</v>
      </c>
      <c r="AM571" s="1894">
        <f t="shared" si="238"/>
        <v>0</v>
      </c>
      <c r="AN571" s="1894">
        <v>555</v>
      </c>
      <c r="AO571" s="1894">
        <v>78</v>
      </c>
      <c r="AP571" s="1894">
        <v>555</v>
      </c>
      <c r="AQ571" s="1894">
        <v>0.94750000000000001</v>
      </c>
      <c r="AR571" s="1894">
        <v>0</v>
      </c>
      <c r="AS571" s="1894">
        <v>26595</v>
      </c>
      <c r="AT571" s="1894">
        <f t="shared" si="220"/>
        <v>34819</v>
      </c>
      <c r="AU571" s="1894">
        <f t="shared" si="221"/>
        <v>0</v>
      </c>
      <c r="AV571" s="1894">
        <v>555</v>
      </c>
      <c r="AW571" s="1894">
        <v>84</v>
      </c>
      <c r="AX571" s="1894">
        <v>555</v>
      </c>
      <c r="AY571" s="1894">
        <v>0.96030000000000004</v>
      </c>
      <c r="AZ571" s="1894">
        <v>0</v>
      </c>
      <c r="BA571" s="1894">
        <v>27225</v>
      </c>
      <c r="BB571" s="1894">
        <f t="shared" si="222"/>
        <v>36288</v>
      </c>
      <c r="BC571" s="1894">
        <f t="shared" si="223"/>
        <v>0</v>
      </c>
      <c r="BD571" s="1894">
        <v>555</v>
      </c>
      <c r="BE571" s="1894">
        <v>69.599999999999994</v>
      </c>
      <c r="BF571" s="1894">
        <v>555</v>
      </c>
      <c r="BG571" s="1894">
        <v>0.96660000000000001</v>
      </c>
      <c r="BH571" s="1894">
        <v>0</v>
      </c>
      <c r="BI571" s="1894">
        <v>23370</v>
      </c>
      <c r="BJ571" s="1894">
        <f t="shared" si="224"/>
        <v>31069</v>
      </c>
      <c r="BK571" s="1894">
        <f t="shared" si="225"/>
        <v>0</v>
      </c>
      <c r="BL571" s="1894">
        <v>555</v>
      </c>
      <c r="BM571" s="1894">
        <v>174</v>
      </c>
      <c r="BN571" s="1894">
        <v>555</v>
      </c>
      <c r="BO571" s="1894">
        <v>0.94540000000000002</v>
      </c>
      <c r="BP571" s="1894">
        <v>0</v>
      </c>
      <c r="BQ571" s="1894">
        <v>20340</v>
      </c>
      <c r="BR571" s="1894">
        <f t="shared" si="226"/>
        <v>75168</v>
      </c>
      <c r="BS571" s="1894">
        <f t="shared" si="227"/>
        <v>0</v>
      </c>
      <c r="BT571" s="1894">
        <v>555</v>
      </c>
      <c r="BU571" s="1894">
        <v>61.2</v>
      </c>
      <c r="BV571" s="1894">
        <v>555</v>
      </c>
      <c r="BW571" s="1894">
        <v>0.88880000000000003</v>
      </c>
      <c r="BX571" s="1894">
        <v>0</v>
      </c>
      <c r="BY571" s="1894">
        <v>20775</v>
      </c>
      <c r="BZ571" s="1894">
        <f t="shared" si="228"/>
        <v>27320</v>
      </c>
      <c r="CA571" s="1894">
        <f t="shared" si="229"/>
        <v>0</v>
      </c>
      <c r="CB571" s="1894">
        <v>555</v>
      </c>
      <c r="CC571" s="1894">
        <v>54</v>
      </c>
      <c r="CD571" s="1894">
        <v>555</v>
      </c>
      <c r="CE571" s="1894">
        <v>0.91690000000000005</v>
      </c>
      <c r="CF571" s="1894">
        <v>0</v>
      </c>
      <c r="CG571" s="1894">
        <v>19680</v>
      </c>
      <c r="CH571" s="1894">
        <f t="shared" si="230"/>
        <v>24106</v>
      </c>
      <c r="CI571" s="1894">
        <f t="shared" si="231"/>
        <v>0</v>
      </c>
      <c r="CJ571" s="1894">
        <v>555</v>
      </c>
      <c r="CK571" s="1894">
        <v>55.2</v>
      </c>
      <c r="CL571" s="1894">
        <v>555</v>
      </c>
      <c r="CM571" s="1894">
        <v>0.92479999999999996</v>
      </c>
      <c r="CN571" s="1894">
        <v>0</v>
      </c>
      <c r="CO571" s="1894">
        <v>17970</v>
      </c>
      <c r="CP571" s="1894">
        <f t="shared" si="232"/>
        <v>22257</v>
      </c>
      <c r="CQ571" s="1894">
        <f t="shared" si="233"/>
        <v>0</v>
      </c>
      <c r="CR571" s="1924">
        <v>555</v>
      </c>
      <c r="CS571" s="1924">
        <v>60</v>
      </c>
      <c r="CT571" s="1924">
        <v>555</v>
      </c>
      <c r="CU571" s="1924">
        <v>0.94630000000000003</v>
      </c>
      <c r="CV571" s="1924">
        <v>0</v>
      </c>
      <c r="CW571" s="1924">
        <v>23205</v>
      </c>
      <c r="CX571" s="1894">
        <f t="shared" si="234"/>
        <v>26784</v>
      </c>
      <c r="CY571" s="1894">
        <f t="shared" si="235"/>
        <v>0</v>
      </c>
    </row>
    <row r="572" spans="1:103">
      <c r="A572" s="982">
        <v>611000000101</v>
      </c>
      <c r="B572" s="1923">
        <f t="shared" si="236"/>
        <v>566</v>
      </c>
      <c r="C572" s="1895" t="s">
        <v>3441</v>
      </c>
      <c r="D572" s="1894" t="s">
        <v>524</v>
      </c>
      <c r="E572" s="1895" t="s">
        <v>636</v>
      </c>
      <c r="F572" s="1894" t="s">
        <v>259</v>
      </c>
      <c r="G572" s="1924">
        <v>555</v>
      </c>
      <c r="H572" s="1894">
        <v>555</v>
      </c>
      <c r="I572" s="1894">
        <v>272.64000000000004</v>
      </c>
      <c r="J572" s="1894">
        <v>444</v>
      </c>
      <c r="K572" s="1894">
        <v>0.99919999999999998</v>
      </c>
      <c r="L572" s="1894">
        <v>31.5</v>
      </c>
      <c r="M572" s="1894">
        <v>61836</v>
      </c>
      <c r="N572" s="1894">
        <f t="shared" si="214"/>
        <v>117780</v>
      </c>
      <c r="O572" s="1894">
        <f t="shared" si="215"/>
        <v>0</v>
      </c>
      <c r="P572" s="1894">
        <v>555</v>
      </c>
      <c r="Q572" s="1894">
        <v>255.84</v>
      </c>
      <c r="R572" s="1894">
        <v>444</v>
      </c>
      <c r="S572" s="1894">
        <v>0.99939999999999996</v>
      </c>
      <c r="T572" s="1894">
        <v>29.3</v>
      </c>
      <c r="U572" s="1894">
        <v>55770</v>
      </c>
      <c r="V572" s="1894">
        <f t="shared" si="216"/>
        <v>114207</v>
      </c>
      <c r="W572" s="1894">
        <f t="shared" si="217"/>
        <v>0</v>
      </c>
      <c r="X572" s="1894">
        <v>555</v>
      </c>
      <c r="Y572" s="1894">
        <v>244.79999999999998</v>
      </c>
      <c r="Z572" s="1894">
        <v>444</v>
      </c>
      <c r="AA572" s="1894">
        <v>0.99780000000000002</v>
      </c>
      <c r="AB572" s="1894">
        <v>32</v>
      </c>
      <c r="AC572" s="1894">
        <v>56394</v>
      </c>
      <c r="AD572" s="1894">
        <f t="shared" si="218"/>
        <v>105754</v>
      </c>
      <c r="AE572" s="1894">
        <f t="shared" si="219"/>
        <v>0</v>
      </c>
      <c r="AF572" s="1894">
        <v>555</v>
      </c>
      <c r="AG572" s="1894">
        <v>188.16</v>
      </c>
      <c r="AH572" s="1894">
        <v>444</v>
      </c>
      <c r="AI572" s="1894">
        <v>0.99639999999999995</v>
      </c>
      <c r="AJ572" s="1894">
        <v>33.659999999999997</v>
      </c>
      <c r="AK572" s="1894">
        <v>47118</v>
      </c>
      <c r="AL572" s="1894">
        <f t="shared" si="237"/>
        <v>83995</v>
      </c>
      <c r="AM572" s="1894">
        <f t="shared" si="238"/>
        <v>0</v>
      </c>
      <c r="AN572" s="1894">
        <v>555</v>
      </c>
      <c r="AO572" s="1894">
        <v>206.39999999999998</v>
      </c>
      <c r="AP572" s="1894">
        <v>444</v>
      </c>
      <c r="AQ572" s="1894">
        <v>0.99470000000000003</v>
      </c>
      <c r="AR572" s="1894">
        <v>34.340000000000003</v>
      </c>
      <c r="AS572" s="1894">
        <v>52728</v>
      </c>
      <c r="AT572" s="1894">
        <f t="shared" si="220"/>
        <v>92137</v>
      </c>
      <c r="AU572" s="1894">
        <f t="shared" si="221"/>
        <v>0</v>
      </c>
      <c r="AV572" s="1894">
        <v>555</v>
      </c>
      <c r="AW572" s="1894">
        <v>234.24</v>
      </c>
      <c r="AX572" s="1894">
        <v>444</v>
      </c>
      <c r="AY572" s="1894">
        <v>0.995</v>
      </c>
      <c r="AZ572" s="1894">
        <v>35.18</v>
      </c>
      <c r="BA572" s="1894">
        <v>59334</v>
      </c>
      <c r="BB572" s="1894">
        <f t="shared" si="222"/>
        <v>101192</v>
      </c>
      <c r="BC572" s="1894">
        <f t="shared" si="223"/>
        <v>0</v>
      </c>
      <c r="BD572" s="1894">
        <v>555</v>
      </c>
      <c r="BE572" s="1894">
        <v>272.16000000000003</v>
      </c>
      <c r="BF572" s="1894">
        <v>444</v>
      </c>
      <c r="BG572" s="1894">
        <v>0.98680000000000001</v>
      </c>
      <c r="BH572" s="1894">
        <v>31.66</v>
      </c>
      <c r="BI572" s="1894">
        <v>64116</v>
      </c>
      <c r="BJ572" s="1894">
        <f t="shared" si="224"/>
        <v>121492</v>
      </c>
      <c r="BK572" s="1894">
        <f t="shared" si="225"/>
        <v>0</v>
      </c>
      <c r="BL572" s="1894">
        <v>555</v>
      </c>
      <c r="BM572" s="1894">
        <v>214.08</v>
      </c>
      <c r="BN572" s="1894">
        <v>444</v>
      </c>
      <c r="BO572" s="1894">
        <v>0.98770000000000002</v>
      </c>
      <c r="BP572" s="1894">
        <v>39.21</v>
      </c>
      <c r="BQ572" s="1894">
        <v>60444</v>
      </c>
      <c r="BR572" s="1894">
        <f t="shared" si="226"/>
        <v>92483</v>
      </c>
      <c r="BS572" s="1894">
        <f t="shared" si="227"/>
        <v>0</v>
      </c>
      <c r="BT572" s="1894">
        <v>555</v>
      </c>
      <c r="BU572" s="1894">
        <v>239.04</v>
      </c>
      <c r="BV572" s="1894">
        <v>444</v>
      </c>
      <c r="BW572" s="1894">
        <v>0.99399999999999999</v>
      </c>
      <c r="BX572" s="1894">
        <v>33.29</v>
      </c>
      <c r="BY572" s="1894">
        <v>59202</v>
      </c>
      <c r="BZ572" s="1894">
        <f t="shared" si="228"/>
        <v>106707</v>
      </c>
      <c r="CA572" s="1894">
        <f t="shared" si="229"/>
        <v>0</v>
      </c>
      <c r="CB572" s="1894">
        <v>555</v>
      </c>
      <c r="CC572" s="1894">
        <v>234.24</v>
      </c>
      <c r="CD572" s="1894">
        <v>444</v>
      </c>
      <c r="CE572" s="1894">
        <v>0.98919999999999997</v>
      </c>
      <c r="CF572" s="1894">
        <v>34.14</v>
      </c>
      <c r="CG572" s="1894">
        <v>59490</v>
      </c>
      <c r="CH572" s="1894">
        <f t="shared" si="230"/>
        <v>104565</v>
      </c>
      <c r="CI572" s="1894">
        <f t="shared" si="231"/>
        <v>0</v>
      </c>
      <c r="CJ572" s="1894">
        <v>555</v>
      </c>
      <c r="CK572" s="1894">
        <v>284.16000000000003</v>
      </c>
      <c r="CL572" s="1894">
        <v>444</v>
      </c>
      <c r="CM572" s="1894">
        <v>0.98670000000000002</v>
      </c>
      <c r="CN572" s="1894">
        <v>34.42</v>
      </c>
      <c r="CO572" s="1894">
        <v>65736</v>
      </c>
      <c r="CP572" s="1894">
        <f t="shared" si="232"/>
        <v>114573</v>
      </c>
      <c r="CQ572" s="1894">
        <f t="shared" si="233"/>
        <v>0</v>
      </c>
      <c r="CR572" s="1924">
        <v>555</v>
      </c>
      <c r="CS572" s="1924">
        <v>249.6</v>
      </c>
      <c r="CT572" s="1924">
        <v>444</v>
      </c>
      <c r="CU572" s="1924">
        <v>0.99570000000000003</v>
      </c>
      <c r="CV572" s="1924">
        <v>43.43</v>
      </c>
      <c r="CW572" s="1924">
        <v>80658</v>
      </c>
      <c r="CX572" s="1894">
        <f t="shared" si="234"/>
        <v>111421</v>
      </c>
      <c r="CY572" s="1894">
        <f t="shared" si="235"/>
        <v>0</v>
      </c>
    </row>
    <row r="573" spans="1:103">
      <c r="A573" s="982">
        <v>615000000023</v>
      </c>
      <c r="B573" s="1923">
        <f t="shared" si="236"/>
        <v>567</v>
      </c>
      <c r="C573" s="1895" t="s">
        <v>3442</v>
      </c>
      <c r="D573" s="1894" t="s">
        <v>524</v>
      </c>
      <c r="E573" s="1895" t="s">
        <v>541</v>
      </c>
      <c r="F573" s="1894" t="s">
        <v>259</v>
      </c>
      <c r="G573" s="1924">
        <v>555</v>
      </c>
      <c r="H573" s="1894">
        <v>555</v>
      </c>
      <c r="I573" s="1894">
        <v>316.8</v>
      </c>
      <c r="J573" s="1894">
        <v>444</v>
      </c>
      <c r="K573" s="1894">
        <v>0.99470000000000003</v>
      </c>
      <c r="L573" s="1894">
        <v>40.729999999999997</v>
      </c>
      <c r="M573" s="1894">
        <v>92904</v>
      </c>
      <c r="N573" s="1894">
        <f t="shared" si="214"/>
        <v>136858</v>
      </c>
      <c r="O573" s="1894">
        <f t="shared" si="215"/>
        <v>0</v>
      </c>
      <c r="P573" s="1894">
        <v>555</v>
      </c>
      <c r="Q573" s="1894">
        <v>287.52</v>
      </c>
      <c r="R573" s="1894">
        <v>444</v>
      </c>
      <c r="S573" s="1894">
        <v>0.9909</v>
      </c>
      <c r="T573" s="1894">
        <v>35.49</v>
      </c>
      <c r="U573" s="1894">
        <v>75927</v>
      </c>
      <c r="V573" s="1894">
        <f t="shared" si="216"/>
        <v>128349</v>
      </c>
      <c r="W573" s="1894">
        <f t="shared" si="217"/>
        <v>0</v>
      </c>
      <c r="X573" s="1894">
        <v>555</v>
      </c>
      <c r="Y573" s="1894">
        <v>315.12</v>
      </c>
      <c r="Z573" s="1894">
        <v>444</v>
      </c>
      <c r="AA573" s="1894">
        <v>0.97509999999999997</v>
      </c>
      <c r="AB573" s="1894">
        <v>23.64</v>
      </c>
      <c r="AC573" s="1894">
        <v>53631</v>
      </c>
      <c r="AD573" s="1894">
        <f t="shared" si="218"/>
        <v>136132</v>
      </c>
      <c r="AE573" s="1894">
        <f t="shared" si="219"/>
        <v>0</v>
      </c>
      <c r="AF573" s="1894">
        <v>555</v>
      </c>
      <c r="AG573" s="1894">
        <v>289.2</v>
      </c>
      <c r="AH573" s="1894">
        <v>444</v>
      </c>
      <c r="AI573" s="1894">
        <v>0.90980000000000005</v>
      </c>
      <c r="AJ573" s="1894">
        <v>8.0399999999999991</v>
      </c>
      <c r="AK573" s="1894">
        <v>17301</v>
      </c>
      <c r="AL573" s="1894">
        <f t="shared" si="237"/>
        <v>129099</v>
      </c>
      <c r="AM573" s="1894">
        <f t="shared" si="238"/>
        <v>0</v>
      </c>
      <c r="AN573" s="1894">
        <v>555</v>
      </c>
      <c r="AO573" s="1894">
        <v>315.60000000000002</v>
      </c>
      <c r="AP573" s="1894">
        <v>444</v>
      </c>
      <c r="AQ573" s="1894">
        <v>0.97670000000000001</v>
      </c>
      <c r="AR573" s="1894">
        <v>13.4</v>
      </c>
      <c r="AS573" s="1894">
        <v>31464</v>
      </c>
      <c r="AT573" s="1894">
        <f t="shared" si="220"/>
        <v>140884</v>
      </c>
      <c r="AU573" s="1894">
        <f t="shared" si="221"/>
        <v>0</v>
      </c>
      <c r="AV573" s="1894">
        <v>555</v>
      </c>
      <c r="AW573" s="1894">
        <v>240.72</v>
      </c>
      <c r="AX573" s="1894">
        <v>444</v>
      </c>
      <c r="AY573" s="1894">
        <v>0.92200000000000004</v>
      </c>
      <c r="AZ573" s="1894">
        <v>3.38</v>
      </c>
      <c r="BA573" s="1894">
        <v>5853</v>
      </c>
      <c r="BB573" s="1894">
        <f t="shared" si="222"/>
        <v>103991</v>
      </c>
      <c r="BC573" s="1894">
        <f t="shared" si="223"/>
        <v>0</v>
      </c>
      <c r="BD573" s="1894">
        <v>555</v>
      </c>
      <c r="BE573" s="1894">
        <v>304.56000000000006</v>
      </c>
      <c r="BF573" s="1894">
        <v>444</v>
      </c>
      <c r="BG573" s="1894">
        <v>0.98019999999999996</v>
      </c>
      <c r="BH573" s="1894">
        <v>27.61</v>
      </c>
      <c r="BI573" s="1894">
        <v>62571</v>
      </c>
      <c r="BJ573" s="1894">
        <f t="shared" si="224"/>
        <v>135956</v>
      </c>
      <c r="BK573" s="1894">
        <f t="shared" si="225"/>
        <v>0</v>
      </c>
      <c r="BL573" s="1894">
        <v>555</v>
      </c>
      <c r="BM573" s="1894">
        <v>308.88</v>
      </c>
      <c r="BN573" s="1894">
        <v>444</v>
      </c>
      <c r="BO573" s="1894">
        <v>0.9829</v>
      </c>
      <c r="BP573" s="1894">
        <v>37.57</v>
      </c>
      <c r="BQ573" s="1894">
        <v>83553</v>
      </c>
      <c r="BR573" s="1894">
        <f t="shared" si="226"/>
        <v>133436</v>
      </c>
      <c r="BS573" s="1894">
        <f t="shared" si="227"/>
        <v>0</v>
      </c>
      <c r="BT573" s="1894">
        <v>555</v>
      </c>
      <c r="BU573" s="1894">
        <v>279.12</v>
      </c>
      <c r="BV573" s="1894">
        <v>444</v>
      </c>
      <c r="BW573" s="1894">
        <v>0.97599999999999998</v>
      </c>
      <c r="BX573" s="1894">
        <v>28.58</v>
      </c>
      <c r="BY573" s="1894">
        <v>59349</v>
      </c>
      <c r="BZ573" s="1894">
        <f t="shared" si="228"/>
        <v>124599</v>
      </c>
      <c r="CA573" s="1894">
        <f t="shared" si="229"/>
        <v>0</v>
      </c>
      <c r="CB573" s="1894">
        <v>555</v>
      </c>
      <c r="CC573" s="1894">
        <v>270.47999999999996</v>
      </c>
      <c r="CD573" s="1894">
        <v>444</v>
      </c>
      <c r="CE573" s="1894">
        <v>0.9839</v>
      </c>
      <c r="CF573" s="1894">
        <v>34.340000000000003</v>
      </c>
      <c r="CG573" s="1894">
        <v>69099</v>
      </c>
      <c r="CH573" s="1894">
        <f t="shared" si="230"/>
        <v>120742</v>
      </c>
      <c r="CI573" s="1894">
        <f t="shared" si="231"/>
        <v>0</v>
      </c>
      <c r="CJ573" s="1894">
        <v>555</v>
      </c>
      <c r="CK573" s="1894">
        <v>277.2</v>
      </c>
      <c r="CL573" s="1894">
        <v>444</v>
      </c>
      <c r="CM573" s="1894">
        <v>0.98850000000000005</v>
      </c>
      <c r="CN573" s="1894">
        <v>41.78</v>
      </c>
      <c r="CO573" s="1894">
        <v>77829</v>
      </c>
      <c r="CP573" s="1894">
        <f t="shared" si="232"/>
        <v>111767</v>
      </c>
      <c r="CQ573" s="1894">
        <f t="shared" si="233"/>
        <v>0</v>
      </c>
      <c r="CR573" s="1924">
        <v>555</v>
      </c>
      <c r="CS573" s="1924">
        <v>278.40000000000003</v>
      </c>
      <c r="CT573" s="1924">
        <v>444</v>
      </c>
      <c r="CU573" s="1924">
        <v>0.9889</v>
      </c>
      <c r="CV573" s="1924">
        <v>43.45</v>
      </c>
      <c r="CW573" s="1924">
        <v>89991</v>
      </c>
      <c r="CX573" s="1894">
        <f t="shared" si="234"/>
        <v>124278</v>
      </c>
      <c r="CY573" s="1894">
        <f t="shared" si="235"/>
        <v>0</v>
      </c>
    </row>
    <row r="574" spans="1:103">
      <c r="A574" s="982">
        <v>615000000030</v>
      </c>
      <c r="B574" s="1923">
        <f t="shared" si="236"/>
        <v>568</v>
      </c>
      <c r="C574" s="1895" t="s">
        <v>3443</v>
      </c>
      <c r="D574" s="1894" t="s">
        <v>524</v>
      </c>
      <c r="E574" s="1895" t="s">
        <v>541</v>
      </c>
      <c r="F574" s="1894" t="s">
        <v>259</v>
      </c>
      <c r="G574" s="1924">
        <v>555</v>
      </c>
      <c r="H574" s="1894">
        <v>555</v>
      </c>
      <c r="I574" s="1894">
        <v>189.6</v>
      </c>
      <c r="J574" s="1894">
        <v>444</v>
      </c>
      <c r="K574" s="1894">
        <v>0.65969999999999995</v>
      </c>
      <c r="L574" s="1894">
        <v>15.66</v>
      </c>
      <c r="M574" s="1894">
        <v>21372</v>
      </c>
      <c r="N574" s="1894">
        <f t="shared" si="214"/>
        <v>81907</v>
      </c>
      <c r="O574" s="1894">
        <f t="shared" si="215"/>
        <v>0</v>
      </c>
      <c r="P574" s="1894">
        <v>555</v>
      </c>
      <c r="Q574" s="1894">
        <v>200.16</v>
      </c>
      <c r="R574" s="1894">
        <v>444</v>
      </c>
      <c r="S574" s="1894">
        <v>0.6421</v>
      </c>
      <c r="T574" s="1894">
        <v>19.64</v>
      </c>
      <c r="U574" s="1894">
        <v>29244</v>
      </c>
      <c r="V574" s="1894">
        <f t="shared" si="216"/>
        <v>89351</v>
      </c>
      <c r="W574" s="1894">
        <f t="shared" si="217"/>
        <v>0</v>
      </c>
      <c r="X574" s="1894">
        <v>555</v>
      </c>
      <c r="Y574" s="1894">
        <v>210.23999999999998</v>
      </c>
      <c r="Z574" s="1894">
        <v>444</v>
      </c>
      <c r="AA574" s="1894">
        <v>0.63039999999999996</v>
      </c>
      <c r="AB574" s="1894">
        <v>13.99</v>
      </c>
      <c r="AC574" s="1894">
        <v>21174</v>
      </c>
      <c r="AD574" s="1894">
        <f t="shared" si="218"/>
        <v>90824</v>
      </c>
      <c r="AE574" s="1894">
        <f t="shared" si="219"/>
        <v>0</v>
      </c>
      <c r="AF574" s="1894">
        <v>555</v>
      </c>
      <c r="AG574" s="1894">
        <v>200.64</v>
      </c>
      <c r="AH574" s="1894">
        <v>444</v>
      </c>
      <c r="AI574" s="1894">
        <v>0.61680000000000001</v>
      </c>
      <c r="AJ574" s="1894">
        <v>14.58</v>
      </c>
      <c r="AK574" s="1894">
        <v>12636</v>
      </c>
      <c r="AL574" s="1894">
        <f t="shared" si="237"/>
        <v>89566</v>
      </c>
      <c r="AM574" s="1894">
        <f t="shared" si="238"/>
        <v>0</v>
      </c>
      <c r="AN574" s="1894">
        <v>555</v>
      </c>
      <c r="AO574" s="1894">
        <v>225</v>
      </c>
      <c r="AP574" s="1894">
        <v>444</v>
      </c>
      <c r="AQ574" s="1894">
        <v>0.62870000000000004</v>
      </c>
      <c r="AR574" s="1894">
        <v>5.68</v>
      </c>
      <c r="AS574" s="1894">
        <v>13491</v>
      </c>
      <c r="AT574" s="1894">
        <f t="shared" si="220"/>
        <v>100440</v>
      </c>
      <c r="AU574" s="1894">
        <f t="shared" si="221"/>
        <v>0</v>
      </c>
      <c r="AV574" s="1894">
        <v>555</v>
      </c>
      <c r="AW574" s="1894">
        <v>208.07999999999998</v>
      </c>
      <c r="AX574" s="1894">
        <v>444</v>
      </c>
      <c r="AY574" s="1894">
        <v>0.57289999999999996</v>
      </c>
      <c r="AZ574" s="1894">
        <v>19.88</v>
      </c>
      <c r="BA574" s="1894">
        <v>29781</v>
      </c>
      <c r="BB574" s="1894">
        <f t="shared" si="222"/>
        <v>89891</v>
      </c>
      <c r="BC574" s="1894">
        <f t="shared" si="223"/>
        <v>0</v>
      </c>
      <c r="BD574" s="1894">
        <v>555</v>
      </c>
      <c r="BE574" s="1894">
        <v>224.28</v>
      </c>
      <c r="BF574" s="1894">
        <v>444</v>
      </c>
      <c r="BG574" s="1894">
        <v>0.5696</v>
      </c>
      <c r="BH574" s="1894">
        <v>14.44</v>
      </c>
      <c r="BI574" s="1894">
        <v>24088</v>
      </c>
      <c r="BJ574" s="1894">
        <f t="shared" si="224"/>
        <v>100119</v>
      </c>
      <c r="BK574" s="1894">
        <f t="shared" si="225"/>
        <v>0</v>
      </c>
      <c r="BL574" s="1894">
        <v>555</v>
      </c>
      <c r="BM574" s="1894">
        <v>217.44</v>
      </c>
      <c r="BN574" s="1894">
        <v>444</v>
      </c>
      <c r="BO574" s="1894">
        <v>0.62419999999999998</v>
      </c>
      <c r="BP574" s="1894">
        <v>13.08</v>
      </c>
      <c r="BQ574" s="1894">
        <v>20480</v>
      </c>
      <c r="BR574" s="1894">
        <f t="shared" si="226"/>
        <v>93934</v>
      </c>
      <c r="BS574" s="1894">
        <f t="shared" si="227"/>
        <v>0</v>
      </c>
      <c r="BT574" s="1894">
        <v>555</v>
      </c>
      <c r="BU574" s="1894">
        <v>195.83999999999997</v>
      </c>
      <c r="BV574" s="1894">
        <v>444</v>
      </c>
      <c r="BW574" s="1894">
        <v>0.6704</v>
      </c>
      <c r="BX574" s="1894">
        <v>8.89</v>
      </c>
      <c r="BY574" s="1894">
        <v>12946</v>
      </c>
      <c r="BZ574" s="1894">
        <f t="shared" si="228"/>
        <v>87423</v>
      </c>
      <c r="CA574" s="1894">
        <f t="shared" si="229"/>
        <v>0</v>
      </c>
      <c r="CB574" s="1894">
        <v>555</v>
      </c>
      <c r="CC574" s="1894">
        <v>8.2799999999999994</v>
      </c>
      <c r="CD574" s="1894">
        <v>444</v>
      </c>
      <c r="CE574" s="1894">
        <v>1.0003</v>
      </c>
      <c r="CF574" s="1894">
        <v>43.16</v>
      </c>
      <c r="CG574" s="1894">
        <v>2659</v>
      </c>
      <c r="CH574" s="1894">
        <f t="shared" si="230"/>
        <v>3696</v>
      </c>
      <c r="CI574" s="1894">
        <f t="shared" si="231"/>
        <v>0</v>
      </c>
      <c r="CJ574" s="1894">
        <v>555</v>
      </c>
      <c r="CK574" s="1894">
        <v>104.4</v>
      </c>
      <c r="CL574" s="1894">
        <v>444</v>
      </c>
      <c r="CM574" s="1894">
        <v>0.97499999999999998</v>
      </c>
      <c r="CN574" s="1894">
        <v>4.0599999999999996</v>
      </c>
      <c r="CO574" s="1894">
        <v>2848</v>
      </c>
      <c r="CP574" s="1894">
        <f t="shared" si="232"/>
        <v>42094</v>
      </c>
      <c r="CQ574" s="1894">
        <f t="shared" si="233"/>
        <v>0</v>
      </c>
      <c r="CR574" s="1924">
        <v>555</v>
      </c>
      <c r="CS574" s="1924">
        <v>200.88</v>
      </c>
      <c r="CT574" s="1924">
        <v>444</v>
      </c>
      <c r="CU574" s="1924">
        <v>0.89880000000000004</v>
      </c>
      <c r="CV574" s="1924">
        <v>2.65</v>
      </c>
      <c r="CW574" s="1924">
        <v>3955</v>
      </c>
      <c r="CX574" s="1894">
        <f t="shared" si="234"/>
        <v>89673</v>
      </c>
      <c r="CY574" s="1894">
        <f t="shared" si="235"/>
        <v>0</v>
      </c>
    </row>
    <row r="575" spans="1:103">
      <c r="A575" s="982">
        <v>615000000031</v>
      </c>
      <c r="B575" s="1923">
        <f t="shared" si="236"/>
        <v>569</v>
      </c>
      <c r="C575" s="1895" t="s">
        <v>3444</v>
      </c>
      <c r="D575" s="1894" t="s">
        <v>524</v>
      </c>
      <c r="E575" s="1895" t="s">
        <v>541</v>
      </c>
      <c r="F575" s="1894" t="s">
        <v>259</v>
      </c>
      <c r="G575" s="1924">
        <v>555</v>
      </c>
      <c r="H575" s="1894">
        <v>555</v>
      </c>
      <c r="I575" s="1894">
        <v>176.64</v>
      </c>
      <c r="J575" s="1894">
        <v>444</v>
      </c>
      <c r="K575" s="1894">
        <v>0.98419999999999996</v>
      </c>
      <c r="L575" s="1894">
        <v>10.3</v>
      </c>
      <c r="M575" s="1894">
        <v>13104</v>
      </c>
      <c r="N575" s="1894">
        <f t="shared" si="214"/>
        <v>76308</v>
      </c>
      <c r="O575" s="1894">
        <f t="shared" si="215"/>
        <v>0</v>
      </c>
      <c r="P575" s="1894">
        <v>555</v>
      </c>
      <c r="Q575" s="1894">
        <v>159.36000000000001</v>
      </c>
      <c r="R575" s="1894">
        <v>444</v>
      </c>
      <c r="S575" s="1894">
        <v>0.94889999999999997</v>
      </c>
      <c r="T575" s="1894">
        <v>15.72</v>
      </c>
      <c r="U575" s="1894">
        <v>18639</v>
      </c>
      <c r="V575" s="1894">
        <f t="shared" si="216"/>
        <v>71138</v>
      </c>
      <c r="W575" s="1894">
        <f t="shared" si="217"/>
        <v>0</v>
      </c>
      <c r="X575" s="1894">
        <v>555</v>
      </c>
      <c r="Y575" s="1894">
        <v>206.16</v>
      </c>
      <c r="Z575" s="1894">
        <v>444</v>
      </c>
      <c r="AA575" s="1894">
        <v>0.81289999999999996</v>
      </c>
      <c r="AB575" s="1894">
        <v>11.66</v>
      </c>
      <c r="AC575" s="1894">
        <v>17304</v>
      </c>
      <c r="AD575" s="1894">
        <f t="shared" si="218"/>
        <v>89061</v>
      </c>
      <c r="AE575" s="1894">
        <f t="shared" si="219"/>
        <v>0</v>
      </c>
      <c r="AF575" s="1894">
        <v>555</v>
      </c>
      <c r="AG575" s="1894">
        <v>154.32</v>
      </c>
      <c r="AH575" s="1894">
        <v>444</v>
      </c>
      <c r="AI575" s="1894">
        <v>0.66739999999999999</v>
      </c>
      <c r="AJ575" s="1894">
        <v>9.8000000000000007</v>
      </c>
      <c r="AK575" s="1894">
        <v>11250</v>
      </c>
      <c r="AL575" s="1894">
        <f t="shared" si="237"/>
        <v>68888</v>
      </c>
      <c r="AM575" s="1894">
        <f t="shared" si="238"/>
        <v>0</v>
      </c>
      <c r="AN575" s="1894">
        <v>555</v>
      </c>
      <c r="AO575" s="1894">
        <v>122.64</v>
      </c>
      <c r="AP575" s="1894">
        <v>444</v>
      </c>
      <c r="AQ575" s="1894">
        <v>0.79669999999999996</v>
      </c>
      <c r="AR575" s="1894">
        <v>5.91</v>
      </c>
      <c r="AS575" s="1894">
        <v>5388</v>
      </c>
      <c r="AT575" s="1894">
        <f t="shared" si="220"/>
        <v>54746</v>
      </c>
      <c r="AU575" s="1894">
        <f t="shared" si="221"/>
        <v>0</v>
      </c>
      <c r="AV575" s="1894">
        <v>555</v>
      </c>
      <c r="AW575" s="1894">
        <v>12</v>
      </c>
      <c r="AX575" s="1894">
        <v>444</v>
      </c>
      <c r="AY575" s="1894">
        <v>0.99809999999999999</v>
      </c>
      <c r="AZ575" s="1894">
        <v>55.45</v>
      </c>
      <c r="BA575" s="1894">
        <v>4791</v>
      </c>
      <c r="BB575" s="1894">
        <f t="shared" si="222"/>
        <v>5184</v>
      </c>
      <c r="BC575" s="1894">
        <f t="shared" si="223"/>
        <v>0</v>
      </c>
      <c r="BD575" s="1894">
        <v>555</v>
      </c>
      <c r="BE575" s="1894">
        <v>73.92</v>
      </c>
      <c r="BF575" s="1894">
        <v>444</v>
      </c>
      <c r="BG575" s="1894">
        <v>0.99229999999999996</v>
      </c>
      <c r="BH575" s="1894">
        <v>11.34</v>
      </c>
      <c r="BI575" s="1894">
        <v>6237</v>
      </c>
      <c r="BJ575" s="1894">
        <f t="shared" si="224"/>
        <v>32998</v>
      </c>
      <c r="BK575" s="1894">
        <f t="shared" si="225"/>
        <v>0</v>
      </c>
      <c r="BL575" s="1894">
        <v>555</v>
      </c>
      <c r="BM575" s="1894">
        <v>12.24</v>
      </c>
      <c r="BN575" s="1894">
        <v>444</v>
      </c>
      <c r="BO575" s="1894">
        <v>0.89510000000000001</v>
      </c>
      <c r="BP575" s="1894">
        <v>75.03</v>
      </c>
      <c r="BQ575" s="1894">
        <v>6612</v>
      </c>
      <c r="BR575" s="1894">
        <f t="shared" si="226"/>
        <v>5288</v>
      </c>
      <c r="BS575" s="1894">
        <f t="shared" si="227"/>
        <v>1324</v>
      </c>
      <c r="BT575" s="1894">
        <v>555</v>
      </c>
      <c r="BU575" s="1894">
        <v>197.76</v>
      </c>
      <c r="BV575" s="1894">
        <v>444</v>
      </c>
      <c r="BW575" s="1894">
        <v>0.72550000000000003</v>
      </c>
      <c r="BX575" s="1894">
        <v>5.54</v>
      </c>
      <c r="BY575" s="1894">
        <v>8154</v>
      </c>
      <c r="BZ575" s="1894">
        <f t="shared" si="228"/>
        <v>88280</v>
      </c>
      <c r="CA575" s="1894">
        <f t="shared" si="229"/>
        <v>0</v>
      </c>
      <c r="CB575" s="1894">
        <v>555</v>
      </c>
      <c r="CC575" s="1894">
        <v>221.28</v>
      </c>
      <c r="CD575" s="1894">
        <v>444</v>
      </c>
      <c r="CE575" s="1894">
        <v>0.62329999999999997</v>
      </c>
      <c r="CF575" s="1894">
        <v>18.32</v>
      </c>
      <c r="CG575" s="1894">
        <v>30168</v>
      </c>
      <c r="CH575" s="1894">
        <f t="shared" si="230"/>
        <v>98779</v>
      </c>
      <c r="CI575" s="1894">
        <f t="shared" si="231"/>
        <v>0</v>
      </c>
      <c r="CJ575" s="1894">
        <v>555</v>
      </c>
      <c r="CK575" s="1894">
        <v>241.44</v>
      </c>
      <c r="CL575" s="1894">
        <v>444</v>
      </c>
      <c r="CM575" s="1894">
        <v>0.59289999999999998</v>
      </c>
      <c r="CN575" s="1894">
        <v>15.91</v>
      </c>
      <c r="CO575" s="1894">
        <v>25812</v>
      </c>
      <c r="CP575" s="1894">
        <f t="shared" si="232"/>
        <v>97349</v>
      </c>
      <c r="CQ575" s="1894">
        <f t="shared" si="233"/>
        <v>0</v>
      </c>
      <c r="CR575" s="1924">
        <v>555</v>
      </c>
      <c r="CS575" s="1924">
        <v>120.72</v>
      </c>
      <c r="CT575" s="1924">
        <v>444</v>
      </c>
      <c r="CU575" s="1924">
        <v>0.63490000000000002</v>
      </c>
      <c r="CV575" s="1924">
        <v>13.32</v>
      </c>
      <c r="CW575" s="1924">
        <v>11967</v>
      </c>
      <c r="CX575" s="1894">
        <f t="shared" si="234"/>
        <v>53889</v>
      </c>
      <c r="CY575" s="1894">
        <f t="shared" si="235"/>
        <v>0</v>
      </c>
    </row>
    <row r="576" spans="1:103">
      <c r="A576" s="982">
        <v>611000000091</v>
      </c>
      <c r="B576" s="1923">
        <f t="shared" si="236"/>
        <v>570</v>
      </c>
      <c r="C576" s="1895" t="s">
        <v>3647</v>
      </c>
      <c r="D576" s="1894" t="s">
        <v>2930</v>
      </c>
      <c r="E576" s="1895" t="s">
        <v>541</v>
      </c>
      <c r="F576" s="1894" t="s">
        <v>259</v>
      </c>
      <c r="G576" s="1894">
        <v>555</v>
      </c>
      <c r="H576" s="1894">
        <v>555</v>
      </c>
      <c r="I576" s="1894">
        <v>254</v>
      </c>
      <c r="J576" s="1894">
        <v>444</v>
      </c>
      <c r="K576" s="1894">
        <v>0.99</v>
      </c>
      <c r="L576" s="1894">
        <v>30.07</v>
      </c>
      <c r="M576" s="1925">
        <v>54990</v>
      </c>
      <c r="N576" s="1894">
        <f t="shared" si="214"/>
        <v>109728</v>
      </c>
      <c r="O576" s="1894">
        <f t="shared" si="215"/>
        <v>0</v>
      </c>
      <c r="P576" s="1894">
        <v>555</v>
      </c>
      <c r="Q576" s="1894">
        <v>261.2</v>
      </c>
      <c r="R576" s="1894">
        <v>444</v>
      </c>
      <c r="S576" s="1894">
        <v>0.98950000000000005</v>
      </c>
      <c r="T576" s="1894">
        <v>33.17</v>
      </c>
      <c r="U576" s="1894">
        <v>64455</v>
      </c>
      <c r="V576" s="1894">
        <f t="shared" si="216"/>
        <v>116600</v>
      </c>
      <c r="W576" s="1894">
        <f t="shared" si="217"/>
        <v>0</v>
      </c>
      <c r="X576" s="1894">
        <v>555</v>
      </c>
      <c r="Y576" s="1894">
        <v>235.6</v>
      </c>
      <c r="Z576" s="1894">
        <v>444</v>
      </c>
      <c r="AA576" s="1894">
        <v>0.98629999999999995</v>
      </c>
      <c r="AB576" s="1894">
        <v>26.93</v>
      </c>
      <c r="AC576" s="1894">
        <v>45675</v>
      </c>
      <c r="AD576" s="1894">
        <f t="shared" si="218"/>
        <v>101779</v>
      </c>
      <c r="AE576" s="1894">
        <f t="shared" si="219"/>
        <v>0</v>
      </c>
      <c r="AF576" s="1894">
        <v>555</v>
      </c>
      <c r="AG576" s="1894">
        <v>240</v>
      </c>
      <c r="AH576" s="1894">
        <v>444</v>
      </c>
      <c r="AI576" s="1894">
        <v>0.98409999999999997</v>
      </c>
      <c r="AJ576" s="1894">
        <v>28.01</v>
      </c>
      <c r="AK576" s="1894">
        <v>40335</v>
      </c>
      <c r="AL576" s="1894">
        <v>107136</v>
      </c>
      <c r="AM576" s="1894">
        <v>0</v>
      </c>
      <c r="AN576" s="1894">
        <v>555</v>
      </c>
      <c r="AO576" s="1894">
        <v>254</v>
      </c>
      <c r="AP576" s="1894">
        <v>444</v>
      </c>
      <c r="AQ576" s="1894">
        <v>0.98570000000000002</v>
      </c>
      <c r="AR576" s="1894">
        <v>23.73</v>
      </c>
      <c r="AS576" s="1894">
        <v>52070</v>
      </c>
      <c r="AT576" s="1894">
        <f t="shared" si="220"/>
        <v>113386</v>
      </c>
      <c r="AU576" s="1894">
        <f t="shared" si="221"/>
        <v>0</v>
      </c>
      <c r="AV576" s="1894">
        <v>555</v>
      </c>
      <c r="AW576" s="1894">
        <v>234.8</v>
      </c>
      <c r="AX576" s="1894">
        <v>444</v>
      </c>
      <c r="AY576" s="1894">
        <v>0.97850000000000004</v>
      </c>
      <c r="AZ576" s="1894">
        <v>20.25</v>
      </c>
      <c r="BA576" s="1894">
        <v>35375</v>
      </c>
      <c r="BB576" s="1894">
        <f t="shared" si="222"/>
        <v>101434</v>
      </c>
      <c r="BC576" s="1894">
        <f t="shared" si="223"/>
        <v>0</v>
      </c>
      <c r="BD576" s="1894">
        <v>555</v>
      </c>
      <c r="BE576" s="1894">
        <v>10</v>
      </c>
      <c r="BF576" s="1894">
        <v>444</v>
      </c>
      <c r="BG576" s="1894">
        <v>0.66490000000000005</v>
      </c>
      <c r="BH576" s="1894">
        <v>19.73</v>
      </c>
      <c r="BI576" s="1894">
        <v>985</v>
      </c>
      <c r="BJ576" s="1894">
        <f t="shared" si="224"/>
        <v>4464</v>
      </c>
      <c r="BK576" s="1894">
        <f t="shared" si="225"/>
        <v>0</v>
      </c>
      <c r="BL576" s="1894">
        <v>555</v>
      </c>
      <c r="BM576" s="1894">
        <v>1.2</v>
      </c>
      <c r="BN576" s="1894">
        <v>444</v>
      </c>
      <c r="BO576" s="1894">
        <v>0.66659999999999997</v>
      </c>
      <c r="BP576" s="1894">
        <v>32.549999999999997</v>
      </c>
      <c r="BQ576" s="1894">
        <v>150</v>
      </c>
      <c r="BR576" s="1894">
        <f t="shared" si="226"/>
        <v>518</v>
      </c>
      <c r="BS576" s="1894">
        <f t="shared" si="227"/>
        <v>0</v>
      </c>
      <c r="BT576" s="1894">
        <v>555</v>
      </c>
      <c r="BU576" s="1894">
        <v>10</v>
      </c>
      <c r="BV576" s="1894">
        <v>444</v>
      </c>
      <c r="BW576" s="1894">
        <v>0</v>
      </c>
      <c r="BX576" s="1894">
        <v>0</v>
      </c>
      <c r="BY576" s="1894">
        <v>0</v>
      </c>
      <c r="BZ576" s="1894">
        <f t="shared" si="228"/>
        <v>4464</v>
      </c>
      <c r="CA576" s="1894">
        <f t="shared" si="229"/>
        <v>0</v>
      </c>
      <c r="CB576" s="1894">
        <v>555</v>
      </c>
      <c r="CC576" s="1894">
        <v>0</v>
      </c>
      <c r="CD576" s="1894">
        <v>444</v>
      </c>
      <c r="CE576" s="1894">
        <v>0</v>
      </c>
      <c r="CF576" s="1894">
        <v>0</v>
      </c>
      <c r="CG576" s="1894">
        <v>0</v>
      </c>
      <c r="CH576" s="1894">
        <f t="shared" si="230"/>
        <v>0</v>
      </c>
      <c r="CI576" s="1894">
        <f t="shared" si="231"/>
        <v>0</v>
      </c>
      <c r="CJ576" s="1894">
        <v>555</v>
      </c>
      <c r="CK576" s="1894">
        <v>0</v>
      </c>
      <c r="CL576" s="1894">
        <v>444</v>
      </c>
      <c r="CM576" s="1894">
        <v>0</v>
      </c>
      <c r="CN576" s="1894">
        <v>0</v>
      </c>
      <c r="CO576" s="1894">
        <v>0</v>
      </c>
      <c r="CP576" s="1894">
        <f t="shared" si="232"/>
        <v>0</v>
      </c>
      <c r="CQ576" s="1894">
        <f t="shared" si="233"/>
        <v>0</v>
      </c>
      <c r="CR576" s="1894">
        <v>0</v>
      </c>
      <c r="CS576" s="1894">
        <v>0</v>
      </c>
      <c r="CT576" s="1894">
        <v>0</v>
      </c>
      <c r="CU576" s="1894">
        <v>0</v>
      </c>
      <c r="CV576" s="1894">
        <v>0</v>
      </c>
      <c r="CW576" s="1894">
        <v>0</v>
      </c>
      <c r="CX576" s="1894">
        <f t="shared" si="234"/>
        <v>0</v>
      </c>
      <c r="CY576" s="1894">
        <f t="shared" si="235"/>
        <v>0</v>
      </c>
    </row>
    <row r="577" spans="1:103">
      <c r="A577" s="982">
        <v>622000000009</v>
      </c>
      <c r="B577" s="1923">
        <f t="shared" si="236"/>
        <v>571</v>
      </c>
      <c r="C577" s="1895" t="s">
        <v>3445</v>
      </c>
      <c r="D577" s="1894" t="s">
        <v>524</v>
      </c>
      <c r="E577" s="1895" t="s">
        <v>629</v>
      </c>
      <c r="F577" s="1894" t="s">
        <v>259</v>
      </c>
      <c r="G577" s="1924">
        <v>555.55999999999995</v>
      </c>
      <c r="H577" s="1894">
        <v>555.55999999999995</v>
      </c>
      <c r="I577" s="1894">
        <v>323.76</v>
      </c>
      <c r="J577" s="1894">
        <v>555.55999999999995</v>
      </c>
      <c r="K577" s="1894">
        <v>0.93759999999999999</v>
      </c>
      <c r="L577" s="1894">
        <v>0</v>
      </c>
      <c r="M577" s="1894">
        <v>136167</v>
      </c>
      <c r="N577" s="1894">
        <f t="shared" si="214"/>
        <v>139864</v>
      </c>
      <c r="O577" s="1894">
        <f t="shared" si="215"/>
        <v>0</v>
      </c>
      <c r="P577" s="1894">
        <v>555.55999999999995</v>
      </c>
      <c r="Q577" s="1894">
        <v>325.67999999999995</v>
      </c>
      <c r="R577" s="1894">
        <v>555.55999999999995</v>
      </c>
      <c r="S577" s="1894">
        <v>0.93910000000000005</v>
      </c>
      <c r="T577" s="1894">
        <v>0</v>
      </c>
      <c r="U577" s="1894">
        <v>146121</v>
      </c>
      <c r="V577" s="1894">
        <f t="shared" si="216"/>
        <v>145384</v>
      </c>
      <c r="W577" s="1894">
        <f t="shared" si="217"/>
        <v>737</v>
      </c>
      <c r="X577" s="1894">
        <v>555.55999999999995</v>
      </c>
      <c r="Y577" s="1894">
        <v>334.32</v>
      </c>
      <c r="Z577" s="1894">
        <v>555.55999999999995</v>
      </c>
      <c r="AA577" s="1894">
        <v>0.93759999999999999</v>
      </c>
      <c r="AB577" s="1894">
        <v>0</v>
      </c>
      <c r="AC577" s="1894">
        <v>139542</v>
      </c>
      <c r="AD577" s="1894">
        <f t="shared" si="218"/>
        <v>144426</v>
      </c>
      <c r="AE577" s="1894">
        <f t="shared" si="219"/>
        <v>0</v>
      </c>
      <c r="AF577" s="1894">
        <v>555.55999999999995</v>
      </c>
      <c r="AG577" s="1894">
        <v>321.35999999999996</v>
      </c>
      <c r="AH577" s="1894">
        <v>555.55999999999995</v>
      </c>
      <c r="AI577" s="1894">
        <v>0.93979999999999997</v>
      </c>
      <c r="AJ577" s="1894">
        <v>0</v>
      </c>
      <c r="AK577" s="1894">
        <v>133503</v>
      </c>
      <c r="AL577" s="1894">
        <f t="shared" ref="AL577:AL640" si="239">+ROUND((24*31*0.6*AG577),0)</f>
        <v>143455</v>
      </c>
      <c r="AM577" s="1894">
        <f t="shared" ref="AM577:AM640" si="240">+MAX((AK577-AL577),0)</f>
        <v>0</v>
      </c>
      <c r="AN577" s="1894">
        <v>555.55999999999995</v>
      </c>
      <c r="AO577" s="1894">
        <v>354.96000000000004</v>
      </c>
      <c r="AP577" s="1894">
        <v>555.55999999999995</v>
      </c>
      <c r="AQ577" s="1894">
        <v>0.93030000000000002</v>
      </c>
      <c r="AR577" s="1894">
        <v>0</v>
      </c>
      <c r="AS577" s="1894">
        <v>144204</v>
      </c>
      <c r="AT577" s="1894">
        <f t="shared" si="220"/>
        <v>158454</v>
      </c>
      <c r="AU577" s="1894">
        <f t="shared" si="221"/>
        <v>0</v>
      </c>
      <c r="AV577" s="1894">
        <v>555.55999999999995</v>
      </c>
      <c r="AW577" s="1894">
        <v>360</v>
      </c>
      <c r="AX577" s="1894">
        <v>555.55999999999995</v>
      </c>
      <c r="AY577" s="1894">
        <v>0.93169999999999997</v>
      </c>
      <c r="AZ577" s="1894">
        <v>0</v>
      </c>
      <c r="BA577" s="1894">
        <v>140547</v>
      </c>
      <c r="BB577" s="1894">
        <f t="shared" si="222"/>
        <v>155520</v>
      </c>
      <c r="BC577" s="1894">
        <f t="shared" si="223"/>
        <v>0</v>
      </c>
      <c r="BD577" s="1894">
        <v>555.55999999999995</v>
      </c>
      <c r="BE577" s="1894">
        <v>326.40000000000003</v>
      </c>
      <c r="BF577" s="1894">
        <v>555.55999999999995</v>
      </c>
      <c r="BG577" s="1894">
        <v>0.94230000000000003</v>
      </c>
      <c r="BH577" s="1894">
        <v>0</v>
      </c>
      <c r="BI577" s="1894">
        <v>143940</v>
      </c>
      <c r="BJ577" s="1894">
        <f t="shared" si="224"/>
        <v>145705</v>
      </c>
      <c r="BK577" s="1894">
        <f t="shared" si="225"/>
        <v>0</v>
      </c>
      <c r="BL577" s="1894">
        <v>555.55999999999995</v>
      </c>
      <c r="BM577" s="1894">
        <v>335.04</v>
      </c>
      <c r="BN577" s="1894">
        <v>555.55999999999995</v>
      </c>
      <c r="BO577" s="1894">
        <v>0.94979999999999998</v>
      </c>
      <c r="BP577" s="1894">
        <v>0</v>
      </c>
      <c r="BQ577" s="1894">
        <v>134442</v>
      </c>
      <c r="BR577" s="1894">
        <f t="shared" si="226"/>
        <v>144737</v>
      </c>
      <c r="BS577" s="1894">
        <f t="shared" si="227"/>
        <v>0</v>
      </c>
      <c r="BT577" s="1894">
        <v>555.55999999999995</v>
      </c>
      <c r="BU577" s="1894">
        <v>372.48</v>
      </c>
      <c r="BV577" s="1894">
        <v>555.55999999999995</v>
      </c>
      <c r="BW577" s="1894">
        <v>0.95279999999999998</v>
      </c>
      <c r="BX577" s="1894">
        <v>0</v>
      </c>
      <c r="BY577" s="1894">
        <v>152988</v>
      </c>
      <c r="BZ577" s="1894">
        <f t="shared" si="228"/>
        <v>166275</v>
      </c>
      <c r="CA577" s="1894">
        <f t="shared" si="229"/>
        <v>0</v>
      </c>
      <c r="CB577" s="1894">
        <v>555.55999999999995</v>
      </c>
      <c r="CC577" s="1894">
        <v>374.16</v>
      </c>
      <c r="CD577" s="1894">
        <v>555.55999999999995</v>
      </c>
      <c r="CE577" s="1894">
        <v>0.96109999999999995</v>
      </c>
      <c r="CF577" s="1894">
        <v>0</v>
      </c>
      <c r="CG577" s="1894">
        <v>143073</v>
      </c>
      <c r="CH577" s="1894">
        <f t="shared" si="230"/>
        <v>167025</v>
      </c>
      <c r="CI577" s="1894">
        <f t="shared" si="231"/>
        <v>0</v>
      </c>
      <c r="CJ577" s="1894">
        <v>555.55999999999995</v>
      </c>
      <c r="CK577" s="1894">
        <v>317.52</v>
      </c>
      <c r="CL577" s="1894">
        <v>555.55999999999995</v>
      </c>
      <c r="CM577" s="1894">
        <v>0.94910000000000005</v>
      </c>
      <c r="CN577" s="1894">
        <v>0</v>
      </c>
      <c r="CO577" s="1894">
        <v>118317</v>
      </c>
      <c r="CP577" s="1894">
        <f t="shared" si="232"/>
        <v>128024</v>
      </c>
      <c r="CQ577" s="1894">
        <f t="shared" si="233"/>
        <v>0</v>
      </c>
      <c r="CR577" s="1924">
        <v>555.55999999999995</v>
      </c>
      <c r="CS577" s="1924">
        <v>319.20000000000005</v>
      </c>
      <c r="CT577" s="1924">
        <v>555.55999999999995</v>
      </c>
      <c r="CU577" s="1924">
        <v>0.94569999999999999</v>
      </c>
      <c r="CV577" s="1924">
        <v>0</v>
      </c>
      <c r="CW577" s="1924">
        <v>127041</v>
      </c>
      <c r="CX577" s="1894">
        <f t="shared" si="234"/>
        <v>142491</v>
      </c>
      <c r="CY577" s="1894">
        <f t="shared" si="235"/>
        <v>0</v>
      </c>
    </row>
    <row r="578" spans="1:103">
      <c r="A578" s="982">
        <v>123000000137</v>
      </c>
      <c r="B578" s="1923">
        <f t="shared" si="236"/>
        <v>572</v>
      </c>
      <c r="C578" s="1895" t="s">
        <v>3446</v>
      </c>
      <c r="D578" s="1894" t="s">
        <v>524</v>
      </c>
      <c r="E578" s="1895" t="s">
        <v>541</v>
      </c>
      <c r="F578" s="1894" t="s">
        <v>259</v>
      </c>
      <c r="G578" s="1924">
        <v>556</v>
      </c>
      <c r="H578" s="1894">
        <v>0</v>
      </c>
      <c r="I578" s="1894">
        <v>0</v>
      </c>
      <c r="J578" s="1894">
        <v>0</v>
      </c>
      <c r="K578" s="1894">
        <v>0</v>
      </c>
      <c r="L578" s="1894">
        <v>0</v>
      </c>
      <c r="M578" s="1894">
        <v>0</v>
      </c>
      <c r="N578" s="1894">
        <f t="shared" si="214"/>
        <v>0</v>
      </c>
      <c r="O578" s="1894">
        <f t="shared" si="215"/>
        <v>0</v>
      </c>
      <c r="P578" s="1894">
        <v>0</v>
      </c>
      <c r="Q578" s="1894">
        <v>0</v>
      </c>
      <c r="R578" s="1894">
        <v>0</v>
      </c>
      <c r="S578" s="1894">
        <v>0</v>
      </c>
      <c r="T578" s="1894">
        <v>0</v>
      </c>
      <c r="U578" s="1894">
        <v>0</v>
      </c>
      <c r="V578" s="1894">
        <f t="shared" si="216"/>
        <v>0</v>
      </c>
      <c r="W578" s="1894">
        <f t="shared" si="217"/>
        <v>0</v>
      </c>
      <c r="X578" s="1894">
        <v>0</v>
      </c>
      <c r="Y578" s="1894">
        <v>0</v>
      </c>
      <c r="Z578" s="1894">
        <v>0</v>
      </c>
      <c r="AA578" s="1894">
        <v>0</v>
      </c>
      <c r="AB578" s="1894">
        <v>0</v>
      </c>
      <c r="AC578" s="1894">
        <v>0</v>
      </c>
      <c r="AD578" s="1894">
        <f t="shared" si="218"/>
        <v>0</v>
      </c>
      <c r="AE578" s="1894">
        <f t="shared" si="219"/>
        <v>0</v>
      </c>
      <c r="AF578" s="1894">
        <v>0</v>
      </c>
      <c r="AG578" s="1894">
        <v>0</v>
      </c>
      <c r="AH578" s="1894">
        <v>0</v>
      </c>
      <c r="AI578" s="1894">
        <v>0</v>
      </c>
      <c r="AJ578" s="1894">
        <v>0</v>
      </c>
      <c r="AK578" s="1894">
        <v>0</v>
      </c>
      <c r="AL578" s="1894">
        <f t="shared" si="239"/>
        <v>0</v>
      </c>
      <c r="AM578" s="1894">
        <f t="shared" si="240"/>
        <v>0</v>
      </c>
      <c r="AN578" s="1894">
        <v>0</v>
      </c>
      <c r="AO578" s="1894">
        <v>0</v>
      </c>
      <c r="AP578" s="1894">
        <v>0</v>
      </c>
      <c r="AQ578" s="1894">
        <v>0</v>
      </c>
      <c r="AR578" s="1894">
        <v>0</v>
      </c>
      <c r="AS578" s="1894">
        <v>0</v>
      </c>
      <c r="AT578" s="1894">
        <f t="shared" si="220"/>
        <v>0</v>
      </c>
      <c r="AU578" s="1894">
        <f t="shared" si="221"/>
        <v>0</v>
      </c>
      <c r="AV578" s="1894">
        <v>0</v>
      </c>
      <c r="AW578" s="1894">
        <v>0</v>
      </c>
      <c r="AX578" s="1894">
        <v>0</v>
      </c>
      <c r="AY578" s="1894">
        <v>0</v>
      </c>
      <c r="AZ578" s="1894">
        <v>0</v>
      </c>
      <c r="BA578" s="1894">
        <v>0</v>
      </c>
      <c r="BB578" s="1894">
        <f t="shared" si="222"/>
        <v>0</v>
      </c>
      <c r="BC578" s="1894">
        <f t="shared" si="223"/>
        <v>0</v>
      </c>
      <c r="BD578" s="1894">
        <v>556</v>
      </c>
      <c r="BE578" s="1894">
        <v>288</v>
      </c>
      <c r="BF578" s="1894">
        <v>444.8</v>
      </c>
      <c r="BG578" s="1894">
        <v>0.42899999999999999</v>
      </c>
      <c r="BH578" s="1894">
        <v>4.8600000000000003</v>
      </c>
      <c r="BI578" s="1894">
        <v>7050</v>
      </c>
      <c r="BJ578" s="1894">
        <f t="shared" si="224"/>
        <v>128563</v>
      </c>
      <c r="BK578" s="1894">
        <f t="shared" si="225"/>
        <v>0</v>
      </c>
      <c r="BL578" s="1894">
        <v>556</v>
      </c>
      <c r="BM578" s="1894">
        <v>471.2</v>
      </c>
      <c r="BN578" s="1894">
        <v>471.2</v>
      </c>
      <c r="BO578" s="1894">
        <v>0.75939999999999996</v>
      </c>
      <c r="BP578" s="1894">
        <v>13.38</v>
      </c>
      <c r="BQ578" s="1894">
        <v>51455</v>
      </c>
      <c r="BR578" s="1894">
        <f t="shared" si="226"/>
        <v>203558</v>
      </c>
      <c r="BS578" s="1894">
        <f t="shared" si="227"/>
        <v>0</v>
      </c>
      <c r="BT578" s="1894">
        <v>556</v>
      </c>
      <c r="BU578" s="1894">
        <v>460.8</v>
      </c>
      <c r="BV578" s="1894">
        <v>460.8</v>
      </c>
      <c r="BW578" s="1894">
        <v>0.80289999999999995</v>
      </c>
      <c r="BX578" s="1894">
        <v>16.37</v>
      </c>
      <c r="BY578" s="1894">
        <v>56115</v>
      </c>
      <c r="BZ578" s="1894">
        <f t="shared" si="228"/>
        <v>205701</v>
      </c>
      <c r="CA578" s="1894">
        <f t="shared" si="229"/>
        <v>0</v>
      </c>
      <c r="CB578" s="1894">
        <v>556</v>
      </c>
      <c r="CC578" s="1894">
        <v>472</v>
      </c>
      <c r="CD578" s="1894">
        <v>472</v>
      </c>
      <c r="CE578" s="1894">
        <v>0.79479999999999995</v>
      </c>
      <c r="CF578" s="1894">
        <v>13.29</v>
      </c>
      <c r="CG578" s="1894">
        <v>46680</v>
      </c>
      <c r="CH578" s="1894">
        <f t="shared" si="230"/>
        <v>210701</v>
      </c>
      <c r="CI578" s="1894">
        <f t="shared" si="231"/>
        <v>0</v>
      </c>
      <c r="CJ578" s="1894">
        <v>556</v>
      </c>
      <c r="CK578" s="1894">
        <v>467.6</v>
      </c>
      <c r="CL578" s="1894">
        <v>467.6</v>
      </c>
      <c r="CM578" s="1894">
        <v>0.81710000000000005</v>
      </c>
      <c r="CN578" s="1894">
        <v>14.75</v>
      </c>
      <c r="CO578" s="1894">
        <v>46345</v>
      </c>
      <c r="CP578" s="1894">
        <f t="shared" si="232"/>
        <v>188536</v>
      </c>
      <c r="CQ578" s="1894">
        <f t="shared" si="233"/>
        <v>0</v>
      </c>
      <c r="CR578" s="1924">
        <v>556</v>
      </c>
      <c r="CS578" s="1924">
        <v>465.2</v>
      </c>
      <c r="CT578" s="1924">
        <v>465.2</v>
      </c>
      <c r="CU578" s="1924">
        <v>0.87180000000000002</v>
      </c>
      <c r="CV578" s="1924">
        <v>16.25</v>
      </c>
      <c r="CW578" s="1924">
        <v>56255</v>
      </c>
      <c r="CX578" s="1894">
        <f t="shared" si="234"/>
        <v>207665</v>
      </c>
      <c r="CY578" s="1894">
        <f t="shared" si="235"/>
        <v>0</v>
      </c>
    </row>
    <row r="579" spans="1:103">
      <c r="A579" s="982">
        <v>121000000092</v>
      </c>
      <c r="B579" s="1923">
        <f t="shared" si="236"/>
        <v>573</v>
      </c>
      <c r="C579" s="1895" t="s">
        <v>3447</v>
      </c>
      <c r="D579" s="1894" t="s">
        <v>524</v>
      </c>
      <c r="E579" s="1895" t="s">
        <v>2966</v>
      </c>
      <c r="F579" s="1894" t="s">
        <v>259</v>
      </c>
      <c r="G579" s="1924">
        <v>556</v>
      </c>
      <c r="H579" s="1894">
        <v>556</v>
      </c>
      <c r="I579" s="1894">
        <v>180.95999999999998</v>
      </c>
      <c r="J579" s="1894">
        <v>556</v>
      </c>
      <c r="K579" s="1894">
        <v>0.90429999999999999</v>
      </c>
      <c r="L579" s="1894">
        <v>0</v>
      </c>
      <c r="M579" s="1894">
        <v>18936</v>
      </c>
      <c r="N579" s="1894">
        <f t="shared" si="214"/>
        <v>78175</v>
      </c>
      <c r="O579" s="1894">
        <f t="shared" si="215"/>
        <v>0</v>
      </c>
      <c r="P579" s="1894">
        <v>556</v>
      </c>
      <c r="Q579" s="1894">
        <v>168.00000000000003</v>
      </c>
      <c r="R579" s="1894">
        <v>556</v>
      </c>
      <c r="S579" s="1894">
        <v>0.89529999999999998</v>
      </c>
      <c r="T579" s="1894">
        <v>0</v>
      </c>
      <c r="U579" s="1894">
        <v>28488</v>
      </c>
      <c r="V579" s="1894">
        <f t="shared" si="216"/>
        <v>74995</v>
      </c>
      <c r="W579" s="1894">
        <f t="shared" si="217"/>
        <v>0</v>
      </c>
      <c r="X579" s="1894">
        <v>556</v>
      </c>
      <c r="Y579" s="1894">
        <v>121.92</v>
      </c>
      <c r="Z579" s="1894">
        <v>556</v>
      </c>
      <c r="AA579" s="1894">
        <v>0.89900000000000002</v>
      </c>
      <c r="AB579" s="1894">
        <v>0</v>
      </c>
      <c r="AC579" s="1894">
        <v>20274</v>
      </c>
      <c r="AD579" s="1894">
        <f t="shared" si="218"/>
        <v>52669</v>
      </c>
      <c r="AE579" s="1894">
        <f t="shared" si="219"/>
        <v>0</v>
      </c>
      <c r="AF579" s="1894">
        <v>556</v>
      </c>
      <c r="AG579" s="1894">
        <v>68.64</v>
      </c>
      <c r="AH579" s="1894">
        <v>556</v>
      </c>
      <c r="AI579" s="1894">
        <v>0.90069999999999995</v>
      </c>
      <c r="AJ579" s="1894">
        <v>0</v>
      </c>
      <c r="AK579" s="1894">
        <v>15408</v>
      </c>
      <c r="AL579" s="1894">
        <f t="shared" si="239"/>
        <v>30641</v>
      </c>
      <c r="AM579" s="1894">
        <f t="shared" si="240"/>
        <v>0</v>
      </c>
      <c r="AN579" s="1894">
        <v>556</v>
      </c>
      <c r="AO579" s="1894">
        <v>55.679999999999993</v>
      </c>
      <c r="AP579" s="1894">
        <v>556</v>
      </c>
      <c r="AQ579" s="1894">
        <v>0.90329999999999999</v>
      </c>
      <c r="AR579" s="1894">
        <v>0</v>
      </c>
      <c r="AS579" s="1894">
        <v>11418</v>
      </c>
      <c r="AT579" s="1894">
        <f t="shared" si="220"/>
        <v>24856</v>
      </c>
      <c r="AU579" s="1894">
        <f t="shared" si="221"/>
        <v>0</v>
      </c>
      <c r="AV579" s="1894">
        <v>556</v>
      </c>
      <c r="AW579" s="1894">
        <v>108.96000000000001</v>
      </c>
      <c r="AX579" s="1894">
        <v>556</v>
      </c>
      <c r="AY579" s="1894">
        <v>0.89370000000000005</v>
      </c>
      <c r="AZ579" s="1894">
        <v>0</v>
      </c>
      <c r="BA579" s="1894">
        <v>17118</v>
      </c>
      <c r="BB579" s="1894">
        <f t="shared" si="222"/>
        <v>47071</v>
      </c>
      <c r="BC579" s="1894">
        <f t="shared" si="223"/>
        <v>0</v>
      </c>
      <c r="BD579" s="1894">
        <v>556</v>
      </c>
      <c r="BE579" s="1894">
        <v>88.8</v>
      </c>
      <c r="BF579" s="1894">
        <v>556</v>
      </c>
      <c r="BG579" s="1894">
        <v>0.88190000000000002</v>
      </c>
      <c r="BH579" s="1894">
        <v>0</v>
      </c>
      <c r="BI579" s="1894">
        <v>22878</v>
      </c>
      <c r="BJ579" s="1894">
        <f t="shared" si="224"/>
        <v>39640</v>
      </c>
      <c r="BK579" s="1894">
        <f t="shared" si="225"/>
        <v>0</v>
      </c>
      <c r="BL579" s="1894">
        <v>556</v>
      </c>
      <c r="BM579" s="1894">
        <v>86.399999999999991</v>
      </c>
      <c r="BN579" s="1894">
        <v>556</v>
      </c>
      <c r="BO579" s="1894">
        <v>0.8589</v>
      </c>
      <c r="BP579" s="1894">
        <v>0</v>
      </c>
      <c r="BQ579" s="1894">
        <v>15696</v>
      </c>
      <c r="BR579" s="1894">
        <f t="shared" si="226"/>
        <v>37325</v>
      </c>
      <c r="BS579" s="1894">
        <f t="shared" si="227"/>
        <v>0</v>
      </c>
      <c r="BT579" s="1894">
        <v>556</v>
      </c>
      <c r="BU579" s="1894">
        <v>30.720000000000002</v>
      </c>
      <c r="BV579" s="1894">
        <v>556</v>
      </c>
      <c r="BW579" s="1894">
        <v>0.87980000000000003</v>
      </c>
      <c r="BX579" s="1894">
        <v>0</v>
      </c>
      <c r="BY579" s="1894">
        <v>4596</v>
      </c>
      <c r="BZ579" s="1894">
        <f t="shared" si="228"/>
        <v>13713</v>
      </c>
      <c r="CA579" s="1894">
        <f t="shared" si="229"/>
        <v>0</v>
      </c>
      <c r="CB579" s="1894">
        <v>556</v>
      </c>
      <c r="CC579" s="1894">
        <v>3.36</v>
      </c>
      <c r="CD579" s="1894">
        <v>556</v>
      </c>
      <c r="CE579" s="1894">
        <v>1</v>
      </c>
      <c r="CF579" s="1894">
        <v>0</v>
      </c>
      <c r="CG579" s="1894">
        <v>1164</v>
      </c>
      <c r="CH579" s="1894">
        <f t="shared" si="230"/>
        <v>1500</v>
      </c>
      <c r="CI579" s="1894">
        <f t="shared" si="231"/>
        <v>0</v>
      </c>
      <c r="CJ579" s="1894">
        <v>556</v>
      </c>
      <c r="CK579" s="1894">
        <v>47.04</v>
      </c>
      <c r="CL579" s="1894">
        <v>556</v>
      </c>
      <c r="CM579" s="1894">
        <v>0.90859999999999996</v>
      </c>
      <c r="CN579" s="1894">
        <v>0</v>
      </c>
      <c r="CO579" s="1894">
        <v>7752</v>
      </c>
      <c r="CP579" s="1894">
        <f t="shared" si="232"/>
        <v>18967</v>
      </c>
      <c r="CQ579" s="1894">
        <f t="shared" si="233"/>
        <v>0</v>
      </c>
      <c r="CR579" s="1924">
        <v>556</v>
      </c>
      <c r="CS579" s="1924">
        <v>110.88</v>
      </c>
      <c r="CT579" s="1924">
        <v>556</v>
      </c>
      <c r="CU579" s="1924">
        <v>0.88009999999999999</v>
      </c>
      <c r="CV579" s="1924">
        <v>0</v>
      </c>
      <c r="CW579" s="1924">
        <v>19818</v>
      </c>
      <c r="CX579" s="1894">
        <f t="shared" si="234"/>
        <v>49497</v>
      </c>
      <c r="CY579" s="1894">
        <f t="shared" si="235"/>
        <v>0</v>
      </c>
    </row>
    <row r="580" spans="1:103">
      <c r="A580" s="982">
        <v>126000000052</v>
      </c>
      <c r="B580" s="1923">
        <f t="shared" si="236"/>
        <v>574</v>
      </c>
      <c r="C580" s="1895" t="s">
        <v>3448</v>
      </c>
      <c r="D580" s="1894" t="s">
        <v>524</v>
      </c>
      <c r="E580" s="1895" t="s">
        <v>541</v>
      </c>
      <c r="F580" s="1894" t="s">
        <v>259</v>
      </c>
      <c r="G580" s="1924">
        <v>556</v>
      </c>
      <c r="H580" s="1894">
        <v>556</v>
      </c>
      <c r="I580" s="1894">
        <v>30.240000000000002</v>
      </c>
      <c r="J580" s="1894">
        <v>444.8</v>
      </c>
      <c r="K580" s="1894">
        <v>0.85</v>
      </c>
      <c r="L580" s="1894">
        <v>8.75</v>
      </c>
      <c r="M580" s="1894">
        <v>1080</v>
      </c>
      <c r="N580" s="1894">
        <f t="shared" si="214"/>
        <v>13064</v>
      </c>
      <c r="O580" s="1894">
        <f t="shared" si="215"/>
        <v>0</v>
      </c>
      <c r="P580" s="1894">
        <v>556</v>
      </c>
      <c r="Q580" s="1894">
        <v>99.839999999999989</v>
      </c>
      <c r="R580" s="1894">
        <v>444.8</v>
      </c>
      <c r="S580" s="1894">
        <v>0.95579999999999998</v>
      </c>
      <c r="T580" s="1894">
        <v>8.23</v>
      </c>
      <c r="U580" s="1894">
        <v>6114</v>
      </c>
      <c r="V580" s="1894">
        <f t="shared" si="216"/>
        <v>44569</v>
      </c>
      <c r="W580" s="1894">
        <f t="shared" si="217"/>
        <v>0</v>
      </c>
      <c r="X580" s="1894">
        <v>556</v>
      </c>
      <c r="Y580" s="1894">
        <v>228</v>
      </c>
      <c r="Z580" s="1894">
        <v>444.8</v>
      </c>
      <c r="AA580" s="1894">
        <v>0.98809999999999998</v>
      </c>
      <c r="AB580" s="1894">
        <v>10.46</v>
      </c>
      <c r="AC580" s="1894">
        <v>17166</v>
      </c>
      <c r="AD580" s="1894">
        <f t="shared" si="218"/>
        <v>98496</v>
      </c>
      <c r="AE580" s="1894">
        <f t="shared" si="219"/>
        <v>0</v>
      </c>
      <c r="AF580" s="1894">
        <v>556</v>
      </c>
      <c r="AG580" s="1894">
        <v>231.84</v>
      </c>
      <c r="AH580" s="1894">
        <v>444.8</v>
      </c>
      <c r="AI580" s="1894">
        <v>0.99639999999999995</v>
      </c>
      <c r="AJ580" s="1894">
        <v>13.88</v>
      </c>
      <c r="AK580" s="1894">
        <v>23946</v>
      </c>
      <c r="AL580" s="1894">
        <f t="shared" si="239"/>
        <v>103493</v>
      </c>
      <c r="AM580" s="1894">
        <f t="shared" si="240"/>
        <v>0</v>
      </c>
      <c r="AN580" s="1894">
        <v>556</v>
      </c>
      <c r="AO580" s="1894">
        <v>299.04000000000002</v>
      </c>
      <c r="AP580" s="1894">
        <v>444.8</v>
      </c>
      <c r="AQ580" s="1894">
        <v>0.99050000000000005</v>
      </c>
      <c r="AR580" s="1894">
        <v>12.31</v>
      </c>
      <c r="AS580" s="1894">
        <v>27378</v>
      </c>
      <c r="AT580" s="1894">
        <f t="shared" si="220"/>
        <v>133491</v>
      </c>
      <c r="AU580" s="1894">
        <f t="shared" si="221"/>
        <v>0</v>
      </c>
      <c r="AV580" s="1894">
        <v>556</v>
      </c>
      <c r="AW580" s="1894">
        <v>232.8</v>
      </c>
      <c r="AX580" s="1894">
        <v>444.8</v>
      </c>
      <c r="AY580" s="1894">
        <v>0.99770000000000003</v>
      </c>
      <c r="AZ580" s="1894">
        <v>14.4</v>
      </c>
      <c r="BA580" s="1894">
        <v>24144</v>
      </c>
      <c r="BB580" s="1894">
        <f t="shared" si="222"/>
        <v>100570</v>
      </c>
      <c r="BC580" s="1894">
        <f t="shared" si="223"/>
        <v>0</v>
      </c>
      <c r="BD580" s="1894">
        <v>556</v>
      </c>
      <c r="BE580" s="1894">
        <v>208.79999999999998</v>
      </c>
      <c r="BF580" s="1894">
        <v>444.8</v>
      </c>
      <c r="BG580" s="1894">
        <v>0.99860000000000004</v>
      </c>
      <c r="BH580" s="1894">
        <v>23.29</v>
      </c>
      <c r="BI580" s="1894">
        <v>36180</v>
      </c>
      <c r="BJ580" s="1894">
        <f t="shared" si="224"/>
        <v>93208</v>
      </c>
      <c r="BK580" s="1894">
        <f t="shared" si="225"/>
        <v>0</v>
      </c>
      <c r="BL580" s="1894">
        <v>556</v>
      </c>
      <c r="BM580" s="1894">
        <v>244.79999999999998</v>
      </c>
      <c r="BN580" s="1894">
        <v>444.8</v>
      </c>
      <c r="BO580" s="1894">
        <v>0.99970000000000003</v>
      </c>
      <c r="BP580" s="1894">
        <v>37.479999999999997</v>
      </c>
      <c r="BQ580" s="1894">
        <v>66054</v>
      </c>
      <c r="BR580" s="1894">
        <f t="shared" si="226"/>
        <v>105754</v>
      </c>
      <c r="BS580" s="1894">
        <f t="shared" si="227"/>
        <v>0</v>
      </c>
      <c r="BT580" s="1894">
        <v>556</v>
      </c>
      <c r="BU580" s="1894">
        <v>250.56</v>
      </c>
      <c r="BV580" s="1894">
        <v>444.8</v>
      </c>
      <c r="BW580" s="1894">
        <v>0.99990000000000001</v>
      </c>
      <c r="BX580" s="1894">
        <v>36.6</v>
      </c>
      <c r="BY580" s="1894">
        <v>68226</v>
      </c>
      <c r="BZ580" s="1894">
        <f t="shared" si="228"/>
        <v>111850</v>
      </c>
      <c r="CA580" s="1894">
        <f t="shared" si="229"/>
        <v>0</v>
      </c>
      <c r="CB580" s="1894">
        <v>556</v>
      </c>
      <c r="CC580" s="1894">
        <v>243.36</v>
      </c>
      <c r="CD580" s="1894">
        <v>444.8</v>
      </c>
      <c r="CE580" s="1894">
        <v>0.99970000000000003</v>
      </c>
      <c r="CF580" s="1894">
        <v>34.58</v>
      </c>
      <c r="CG580" s="1894">
        <v>62610</v>
      </c>
      <c r="CH580" s="1894">
        <f t="shared" si="230"/>
        <v>108636</v>
      </c>
      <c r="CI580" s="1894">
        <f t="shared" si="231"/>
        <v>0</v>
      </c>
      <c r="CJ580" s="1894">
        <v>556</v>
      </c>
      <c r="CK580" s="1894">
        <v>237.12</v>
      </c>
      <c r="CL580" s="1894">
        <v>444.8</v>
      </c>
      <c r="CM580" s="1894">
        <v>0.99490000000000001</v>
      </c>
      <c r="CN580" s="1894">
        <v>38.119999999999997</v>
      </c>
      <c r="CO580" s="1894">
        <v>60744</v>
      </c>
      <c r="CP580" s="1894">
        <f t="shared" si="232"/>
        <v>95607</v>
      </c>
      <c r="CQ580" s="1894">
        <f t="shared" si="233"/>
        <v>0</v>
      </c>
      <c r="CR580" s="1924">
        <v>556</v>
      </c>
      <c r="CS580" s="1924">
        <v>227.51999999999998</v>
      </c>
      <c r="CT580" s="1924">
        <v>444.8</v>
      </c>
      <c r="CU580" s="1924">
        <v>0.99960000000000004</v>
      </c>
      <c r="CV580" s="1924">
        <v>38.229999999999997</v>
      </c>
      <c r="CW580" s="1924">
        <v>64722</v>
      </c>
      <c r="CX580" s="1894">
        <f t="shared" si="234"/>
        <v>101565</v>
      </c>
      <c r="CY580" s="1894">
        <f t="shared" si="235"/>
        <v>0</v>
      </c>
    </row>
    <row r="581" spans="1:103">
      <c r="A581" s="982">
        <v>126000000050</v>
      </c>
      <c r="B581" s="1923">
        <f t="shared" si="236"/>
        <v>575</v>
      </c>
      <c r="C581" s="1895" t="s">
        <v>3449</v>
      </c>
      <c r="D581" s="1894" t="s">
        <v>524</v>
      </c>
      <c r="E581" s="1895" t="s">
        <v>541</v>
      </c>
      <c r="F581" s="1894" t="s">
        <v>259</v>
      </c>
      <c r="G581" s="1924">
        <v>556</v>
      </c>
      <c r="H581" s="1894">
        <v>556</v>
      </c>
      <c r="I581" s="1894">
        <v>359.04</v>
      </c>
      <c r="J581" s="1894">
        <v>444.8</v>
      </c>
      <c r="K581" s="1894">
        <v>0.97599999999999998</v>
      </c>
      <c r="L581" s="1894">
        <v>3.82</v>
      </c>
      <c r="M581" s="1894">
        <v>9882</v>
      </c>
      <c r="N581" s="1894">
        <f t="shared" si="214"/>
        <v>155105</v>
      </c>
      <c r="O581" s="1894">
        <f t="shared" si="215"/>
        <v>0</v>
      </c>
      <c r="P581" s="1894">
        <v>556</v>
      </c>
      <c r="Q581" s="1894">
        <v>427.2</v>
      </c>
      <c r="R581" s="1894">
        <v>444.8</v>
      </c>
      <c r="S581" s="1894">
        <v>0.94369999999999998</v>
      </c>
      <c r="T581" s="1894">
        <v>6.84</v>
      </c>
      <c r="U581" s="1894">
        <v>21744</v>
      </c>
      <c r="V581" s="1894">
        <f t="shared" si="216"/>
        <v>190702</v>
      </c>
      <c r="W581" s="1894">
        <f t="shared" si="217"/>
        <v>0</v>
      </c>
      <c r="X581" s="1894">
        <v>556</v>
      </c>
      <c r="Y581" s="1894">
        <v>308.88</v>
      </c>
      <c r="Z581" s="1894">
        <v>444.8</v>
      </c>
      <c r="AA581" s="1894">
        <v>0.97299999999999998</v>
      </c>
      <c r="AB581" s="1894">
        <v>2.65</v>
      </c>
      <c r="AC581" s="1894">
        <v>5904</v>
      </c>
      <c r="AD581" s="1894">
        <f t="shared" si="218"/>
        <v>133436</v>
      </c>
      <c r="AE581" s="1894">
        <f t="shared" si="219"/>
        <v>0</v>
      </c>
      <c r="AF581" s="1894">
        <v>556</v>
      </c>
      <c r="AG581" s="1894">
        <v>19.2</v>
      </c>
      <c r="AH581" s="1894">
        <v>444.8</v>
      </c>
      <c r="AI581" s="1894">
        <v>1</v>
      </c>
      <c r="AJ581" s="1894">
        <v>15.77</v>
      </c>
      <c r="AK581" s="1894">
        <v>2253</v>
      </c>
      <c r="AL581" s="1894">
        <f t="shared" si="239"/>
        <v>8571</v>
      </c>
      <c r="AM581" s="1894">
        <f t="shared" si="240"/>
        <v>0</v>
      </c>
      <c r="AN581" s="1894">
        <v>556</v>
      </c>
      <c r="AO581" s="1894">
        <v>237.60000000000002</v>
      </c>
      <c r="AP581" s="1894">
        <v>444.8</v>
      </c>
      <c r="AQ581" s="1894">
        <v>0.98270000000000002</v>
      </c>
      <c r="AR581" s="1894">
        <v>6.09</v>
      </c>
      <c r="AS581" s="1894">
        <v>10767</v>
      </c>
      <c r="AT581" s="1894">
        <f t="shared" si="220"/>
        <v>106065</v>
      </c>
      <c r="AU581" s="1894">
        <f t="shared" si="221"/>
        <v>0</v>
      </c>
      <c r="AV581" s="1894">
        <v>556</v>
      </c>
      <c r="AW581" s="1894">
        <v>30.240000000000002</v>
      </c>
      <c r="AX581" s="1894">
        <v>444.8</v>
      </c>
      <c r="AY581" s="1894">
        <v>0.97919999999999996</v>
      </c>
      <c r="AZ581" s="1894">
        <v>15.97</v>
      </c>
      <c r="BA581" s="1894">
        <v>3477</v>
      </c>
      <c r="BB581" s="1894">
        <f t="shared" si="222"/>
        <v>13064</v>
      </c>
      <c r="BC581" s="1894">
        <f t="shared" si="223"/>
        <v>0</v>
      </c>
      <c r="BD581" s="1894">
        <v>556</v>
      </c>
      <c r="BE581" s="1894">
        <v>117.83999999999999</v>
      </c>
      <c r="BF581" s="1894">
        <v>444.8</v>
      </c>
      <c r="BG581" s="1894">
        <v>0.96340000000000003</v>
      </c>
      <c r="BH581" s="1894">
        <v>4.22</v>
      </c>
      <c r="BI581" s="1894">
        <v>3696</v>
      </c>
      <c r="BJ581" s="1894">
        <f t="shared" si="224"/>
        <v>52604</v>
      </c>
      <c r="BK581" s="1894">
        <f t="shared" si="225"/>
        <v>0</v>
      </c>
      <c r="BL581" s="1894">
        <v>556</v>
      </c>
      <c r="BM581" s="1894">
        <v>26.88</v>
      </c>
      <c r="BN581" s="1894">
        <v>444.8</v>
      </c>
      <c r="BO581" s="1894">
        <v>0.97760000000000002</v>
      </c>
      <c r="BP581" s="1894">
        <v>17.98</v>
      </c>
      <c r="BQ581" s="1894">
        <v>3363</v>
      </c>
      <c r="BR581" s="1894">
        <f t="shared" si="226"/>
        <v>11612</v>
      </c>
      <c r="BS581" s="1894">
        <f t="shared" si="227"/>
        <v>0</v>
      </c>
      <c r="BT581" s="1894">
        <v>556</v>
      </c>
      <c r="BU581" s="1894">
        <v>350.4</v>
      </c>
      <c r="BV581" s="1894">
        <v>444.8</v>
      </c>
      <c r="BW581" s="1894">
        <v>0.99319999999999997</v>
      </c>
      <c r="BX581" s="1894">
        <v>12.36</v>
      </c>
      <c r="BY581" s="1894">
        <v>33270</v>
      </c>
      <c r="BZ581" s="1894">
        <f t="shared" si="228"/>
        <v>156419</v>
      </c>
      <c r="CA581" s="1894">
        <f t="shared" si="229"/>
        <v>0</v>
      </c>
      <c r="CB581" s="1894">
        <v>556</v>
      </c>
      <c r="CC581" s="1894">
        <v>356.4</v>
      </c>
      <c r="CD581" s="1894">
        <v>444.8</v>
      </c>
      <c r="CE581" s="1894">
        <v>0.997</v>
      </c>
      <c r="CF581" s="1894">
        <v>24.67</v>
      </c>
      <c r="CG581" s="1894">
        <v>65403</v>
      </c>
      <c r="CH581" s="1894">
        <f t="shared" si="230"/>
        <v>159097</v>
      </c>
      <c r="CI581" s="1894">
        <f t="shared" si="231"/>
        <v>0</v>
      </c>
      <c r="CJ581" s="1894">
        <v>556</v>
      </c>
      <c r="CK581" s="1894">
        <v>342.24</v>
      </c>
      <c r="CL581" s="1894">
        <v>444.8</v>
      </c>
      <c r="CM581" s="1894">
        <v>0.99629999999999996</v>
      </c>
      <c r="CN581" s="1894">
        <v>49.97</v>
      </c>
      <c r="CO581" s="1894">
        <v>114930</v>
      </c>
      <c r="CP581" s="1894">
        <f t="shared" si="232"/>
        <v>137991</v>
      </c>
      <c r="CQ581" s="1894">
        <f t="shared" si="233"/>
        <v>0</v>
      </c>
      <c r="CR581" s="1924">
        <v>556</v>
      </c>
      <c r="CS581" s="1924">
        <v>365.28000000000003</v>
      </c>
      <c r="CT581" s="1924">
        <v>444.8</v>
      </c>
      <c r="CU581" s="1924">
        <v>0.99260000000000004</v>
      </c>
      <c r="CV581" s="1924">
        <v>49.98</v>
      </c>
      <c r="CW581" s="1924">
        <v>135828</v>
      </c>
      <c r="CX581" s="1894">
        <f t="shared" si="234"/>
        <v>163061</v>
      </c>
      <c r="CY581" s="1894">
        <f t="shared" si="235"/>
        <v>0</v>
      </c>
    </row>
    <row r="582" spans="1:103">
      <c r="A582" s="982">
        <v>121000000053</v>
      </c>
      <c r="B582" s="1923">
        <f t="shared" si="236"/>
        <v>576</v>
      </c>
      <c r="C582" s="1895" t="s">
        <v>3450</v>
      </c>
      <c r="D582" s="1894" t="s">
        <v>524</v>
      </c>
      <c r="E582" s="1895" t="s">
        <v>541</v>
      </c>
      <c r="F582" s="1894" t="s">
        <v>259</v>
      </c>
      <c r="G582" s="1924">
        <v>556</v>
      </c>
      <c r="H582" s="1894">
        <v>556</v>
      </c>
      <c r="I582" s="1894">
        <v>467.76</v>
      </c>
      <c r="J582" s="1894">
        <v>467.76</v>
      </c>
      <c r="K582" s="1894">
        <v>0.97060000000000002</v>
      </c>
      <c r="L582" s="1894">
        <v>38.479999999999997</v>
      </c>
      <c r="M582" s="1894">
        <v>129603</v>
      </c>
      <c r="N582" s="1894">
        <f t="shared" si="214"/>
        <v>202072</v>
      </c>
      <c r="O582" s="1894">
        <f t="shared" si="215"/>
        <v>0</v>
      </c>
      <c r="P582" s="1894">
        <v>556</v>
      </c>
      <c r="Q582" s="1894">
        <v>476.15999999999997</v>
      </c>
      <c r="R582" s="1894">
        <v>476.16</v>
      </c>
      <c r="S582" s="1894">
        <v>0.96160000000000001</v>
      </c>
      <c r="T582" s="1894">
        <v>51.58</v>
      </c>
      <c r="U582" s="1894">
        <v>182730</v>
      </c>
      <c r="V582" s="1894">
        <f t="shared" si="216"/>
        <v>212558</v>
      </c>
      <c r="W582" s="1894">
        <f t="shared" si="217"/>
        <v>0</v>
      </c>
      <c r="X582" s="1894">
        <v>556</v>
      </c>
      <c r="Y582" s="1894">
        <v>457.92</v>
      </c>
      <c r="Z582" s="1894">
        <v>457.92</v>
      </c>
      <c r="AA582" s="1894">
        <v>0.96209999999999996</v>
      </c>
      <c r="AB582" s="1894">
        <v>43.37</v>
      </c>
      <c r="AC582" s="1894">
        <v>142977</v>
      </c>
      <c r="AD582" s="1894">
        <f t="shared" si="218"/>
        <v>197821</v>
      </c>
      <c r="AE582" s="1894">
        <f t="shared" si="219"/>
        <v>0</v>
      </c>
      <c r="AF582" s="1894">
        <v>556</v>
      </c>
      <c r="AG582" s="1894">
        <v>466.56</v>
      </c>
      <c r="AH582" s="1894">
        <v>466.56</v>
      </c>
      <c r="AI582" s="1894">
        <v>0.97030000000000005</v>
      </c>
      <c r="AJ582" s="1894">
        <v>29.45</v>
      </c>
      <c r="AK582" s="1894">
        <v>102231</v>
      </c>
      <c r="AL582" s="1894">
        <f t="shared" si="239"/>
        <v>208272</v>
      </c>
      <c r="AM582" s="1894">
        <f t="shared" si="240"/>
        <v>0</v>
      </c>
      <c r="AN582" s="1894">
        <v>556</v>
      </c>
      <c r="AO582" s="1894">
        <v>451.2</v>
      </c>
      <c r="AP582" s="1894">
        <v>451.2</v>
      </c>
      <c r="AQ582" s="1894">
        <v>0.96440000000000003</v>
      </c>
      <c r="AR582" s="1894">
        <v>40.17</v>
      </c>
      <c r="AS582" s="1894">
        <v>134832</v>
      </c>
      <c r="AT582" s="1894">
        <f t="shared" si="220"/>
        <v>201416</v>
      </c>
      <c r="AU582" s="1894">
        <f t="shared" si="221"/>
        <v>0</v>
      </c>
      <c r="AV582" s="1894">
        <v>556</v>
      </c>
      <c r="AW582" s="1894">
        <v>460.8</v>
      </c>
      <c r="AX582" s="1894">
        <v>460.8</v>
      </c>
      <c r="AY582" s="1894">
        <v>0.96189999999999998</v>
      </c>
      <c r="AZ582" s="1894">
        <v>43.86</v>
      </c>
      <c r="BA582" s="1894">
        <v>145503</v>
      </c>
      <c r="BB582" s="1894">
        <f t="shared" si="222"/>
        <v>199066</v>
      </c>
      <c r="BC582" s="1894">
        <f t="shared" si="223"/>
        <v>0</v>
      </c>
      <c r="BD582" s="1894">
        <v>556</v>
      </c>
      <c r="BE582" s="1894">
        <v>382.32</v>
      </c>
      <c r="BF582" s="1894">
        <v>444.8</v>
      </c>
      <c r="BG582" s="1894">
        <v>0.97619999999999996</v>
      </c>
      <c r="BH582" s="1894">
        <v>32.36</v>
      </c>
      <c r="BI582" s="1894">
        <v>92046</v>
      </c>
      <c r="BJ582" s="1894">
        <f t="shared" si="224"/>
        <v>170668</v>
      </c>
      <c r="BK582" s="1894">
        <f t="shared" si="225"/>
        <v>0</v>
      </c>
      <c r="BL582" s="1894">
        <v>556</v>
      </c>
      <c r="BM582" s="1894">
        <v>138.96</v>
      </c>
      <c r="BN582" s="1894">
        <v>444.8</v>
      </c>
      <c r="BO582" s="1894">
        <v>0.80700000000000005</v>
      </c>
      <c r="BP582" s="1894">
        <v>4.9400000000000004</v>
      </c>
      <c r="BQ582" s="1894">
        <v>4944</v>
      </c>
      <c r="BR582" s="1894">
        <f t="shared" si="226"/>
        <v>60031</v>
      </c>
      <c r="BS582" s="1894">
        <f t="shared" si="227"/>
        <v>0</v>
      </c>
      <c r="BT582" s="1894">
        <v>556</v>
      </c>
      <c r="BU582" s="1894">
        <v>126.47999999999999</v>
      </c>
      <c r="BV582" s="1894">
        <v>444.8</v>
      </c>
      <c r="BW582" s="1894">
        <v>0.87470000000000003</v>
      </c>
      <c r="BX582" s="1894">
        <v>4.8099999999999996</v>
      </c>
      <c r="BY582" s="1894">
        <v>4527</v>
      </c>
      <c r="BZ582" s="1894">
        <f t="shared" si="228"/>
        <v>56461</v>
      </c>
      <c r="CA582" s="1894">
        <f t="shared" si="229"/>
        <v>0</v>
      </c>
      <c r="CB582" s="1894">
        <v>556</v>
      </c>
      <c r="CC582" s="1894">
        <v>350.64000000000004</v>
      </c>
      <c r="CD582" s="1894">
        <v>444.8</v>
      </c>
      <c r="CE582" s="1894">
        <v>0.97199999999999998</v>
      </c>
      <c r="CF582" s="1894">
        <v>33.28</v>
      </c>
      <c r="CG582" s="1894">
        <v>86829</v>
      </c>
      <c r="CH582" s="1894">
        <f t="shared" si="230"/>
        <v>156526</v>
      </c>
      <c r="CI582" s="1894">
        <f t="shared" si="231"/>
        <v>0</v>
      </c>
      <c r="CJ582" s="1894">
        <v>556</v>
      </c>
      <c r="CK582" s="1894">
        <v>399.12</v>
      </c>
      <c r="CL582" s="1894">
        <v>444.8</v>
      </c>
      <c r="CM582" s="1894">
        <v>0.95250000000000001</v>
      </c>
      <c r="CN582" s="1894">
        <v>51.46</v>
      </c>
      <c r="CO582" s="1894">
        <v>138012</v>
      </c>
      <c r="CP582" s="1894">
        <f t="shared" si="232"/>
        <v>160925</v>
      </c>
      <c r="CQ582" s="1894">
        <f t="shared" si="233"/>
        <v>0</v>
      </c>
      <c r="CR582" s="1924">
        <v>556</v>
      </c>
      <c r="CS582" s="1924">
        <v>425.76</v>
      </c>
      <c r="CT582" s="1924">
        <v>444.8</v>
      </c>
      <c r="CU582" s="1924">
        <v>0.92869999999999997</v>
      </c>
      <c r="CV582" s="1924">
        <v>53.61</v>
      </c>
      <c r="CW582" s="1924">
        <v>169818</v>
      </c>
      <c r="CX582" s="1894">
        <f t="shared" si="234"/>
        <v>190059</v>
      </c>
      <c r="CY582" s="1894">
        <f t="shared" si="235"/>
        <v>0</v>
      </c>
    </row>
    <row r="583" spans="1:103">
      <c r="A583" s="982">
        <v>121000000070</v>
      </c>
      <c r="B583" s="1923">
        <f t="shared" si="236"/>
        <v>577</v>
      </c>
      <c r="C583" s="1895" t="s">
        <v>3451</v>
      </c>
      <c r="D583" s="1894" t="s">
        <v>524</v>
      </c>
      <c r="E583" s="1895" t="s">
        <v>636</v>
      </c>
      <c r="F583" s="1894" t="s">
        <v>259</v>
      </c>
      <c r="G583" s="1924">
        <v>556</v>
      </c>
      <c r="H583" s="1894">
        <v>556</v>
      </c>
      <c r="I583" s="1894">
        <v>0</v>
      </c>
      <c r="J583" s="1894">
        <v>444.8</v>
      </c>
      <c r="K583" s="1894">
        <v>0</v>
      </c>
      <c r="L583" s="1894">
        <v>0</v>
      </c>
      <c r="M583" s="1894">
        <v>0</v>
      </c>
      <c r="N583" s="1894">
        <f t="shared" ref="N583:N646" si="241">+ROUND((24*30*0.6*I583),0)</f>
        <v>0</v>
      </c>
      <c r="O583" s="1894">
        <f t="shared" ref="O583:O646" si="242">+MAX((M583-N583),0)</f>
        <v>0</v>
      </c>
      <c r="P583" s="1894">
        <v>556</v>
      </c>
      <c r="Q583" s="1894">
        <v>0</v>
      </c>
      <c r="R583" s="1894">
        <v>444.8</v>
      </c>
      <c r="S583" s="1894">
        <v>0</v>
      </c>
      <c r="T583" s="1894">
        <v>0</v>
      </c>
      <c r="U583" s="1894">
        <v>0</v>
      </c>
      <c r="V583" s="1894">
        <f t="shared" ref="V583:V646" si="243">+ROUND((24*31*0.6*Q583),0)</f>
        <v>0</v>
      </c>
      <c r="W583" s="1894">
        <f t="shared" ref="W583:W646" si="244">+MAX((U583-V583),0)</f>
        <v>0</v>
      </c>
      <c r="X583" s="1894">
        <v>556</v>
      </c>
      <c r="Y583" s="1894">
        <v>110.39999999999999</v>
      </c>
      <c r="Z583" s="1894">
        <v>444.8</v>
      </c>
      <c r="AA583" s="1894">
        <v>0.28320000000000001</v>
      </c>
      <c r="AB583" s="1894">
        <v>3.52</v>
      </c>
      <c r="AC583" s="1894">
        <v>2796</v>
      </c>
      <c r="AD583" s="1894">
        <f t="shared" ref="AD583:AD646" si="245">+ROUND((24*30*0.6*Y583),0)</f>
        <v>47693</v>
      </c>
      <c r="AE583" s="1894">
        <f t="shared" ref="AE583:AE646" si="246">+MAX((AC583-AD583),0)</f>
        <v>0</v>
      </c>
      <c r="AF583" s="1894">
        <v>556</v>
      </c>
      <c r="AG583" s="1894">
        <v>14.4</v>
      </c>
      <c r="AH583" s="1894">
        <v>444.8</v>
      </c>
      <c r="AI583" s="1894">
        <v>0.64800000000000002</v>
      </c>
      <c r="AJ583" s="1894">
        <v>17.03</v>
      </c>
      <c r="AK583" s="1894">
        <v>1824</v>
      </c>
      <c r="AL583" s="1894">
        <f t="shared" si="239"/>
        <v>6428</v>
      </c>
      <c r="AM583" s="1894">
        <f t="shared" si="240"/>
        <v>0</v>
      </c>
      <c r="AN583" s="1894">
        <v>556</v>
      </c>
      <c r="AO583" s="1894">
        <v>17.760000000000002</v>
      </c>
      <c r="AP583" s="1894">
        <v>444.8</v>
      </c>
      <c r="AQ583" s="1894">
        <v>0.53349999999999997</v>
      </c>
      <c r="AR583" s="1894">
        <v>18.829999999999998</v>
      </c>
      <c r="AS583" s="1894">
        <v>2328</v>
      </c>
      <c r="AT583" s="1894">
        <f t="shared" ref="AT583:AT646" si="247">+ROUND((24*31*0.6*AO583),0)</f>
        <v>7928</v>
      </c>
      <c r="AU583" s="1894">
        <f t="shared" ref="AU583:AU646" si="248">+MAX((AS583-AT583),0)</f>
        <v>0</v>
      </c>
      <c r="AV583" s="1894">
        <v>556</v>
      </c>
      <c r="AW583" s="1894">
        <v>14.16</v>
      </c>
      <c r="AX583" s="1894">
        <v>444.8</v>
      </c>
      <c r="AY583" s="1894">
        <v>0.64770000000000005</v>
      </c>
      <c r="AZ583" s="1894">
        <v>20.440000000000001</v>
      </c>
      <c r="BA583" s="1894">
        <v>2223</v>
      </c>
      <c r="BB583" s="1894">
        <f t="shared" ref="BB583:BB646" si="249">+ROUND((24*30*0.6*AW583),0)</f>
        <v>6117</v>
      </c>
      <c r="BC583" s="1894">
        <f t="shared" ref="BC583:BC646" si="250">+MAX((BA583-BB583),0)</f>
        <v>0</v>
      </c>
      <c r="BD583" s="1894">
        <v>556</v>
      </c>
      <c r="BE583" s="1894">
        <v>19.439999999999998</v>
      </c>
      <c r="BF583" s="1894">
        <v>444.8</v>
      </c>
      <c r="BG583" s="1894">
        <v>0.47960000000000003</v>
      </c>
      <c r="BH583" s="1894">
        <v>21.92</v>
      </c>
      <c r="BI583" s="1894">
        <v>3171</v>
      </c>
      <c r="BJ583" s="1894">
        <f t="shared" ref="BJ583:BJ646" si="251">+ROUND((24*31*0.6*BE583),0)</f>
        <v>8678</v>
      </c>
      <c r="BK583" s="1894">
        <f t="shared" ref="BK583:BK646" si="252">+MAX((BI583-BJ583),0)</f>
        <v>0</v>
      </c>
      <c r="BL583" s="1894">
        <v>556</v>
      </c>
      <c r="BM583" s="1894">
        <v>20.16</v>
      </c>
      <c r="BN583" s="1894">
        <v>444.8</v>
      </c>
      <c r="BO583" s="1894">
        <v>0.28939999999999999</v>
      </c>
      <c r="BP583" s="1894">
        <v>31.27</v>
      </c>
      <c r="BQ583" s="1894">
        <v>4539</v>
      </c>
      <c r="BR583" s="1894">
        <f t="shared" ref="BR583:BR646" si="253">+ROUND((24*30*0.6*BM583),0)</f>
        <v>8709</v>
      </c>
      <c r="BS583" s="1894">
        <f t="shared" ref="BS583:BS646" si="254">+MAX((BQ583-BR583),0)</f>
        <v>0</v>
      </c>
      <c r="BT583" s="1894">
        <v>556</v>
      </c>
      <c r="BU583" s="1894">
        <v>20.88</v>
      </c>
      <c r="BV583" s="1894">
        <v>444.8</v>
      </c>
      <c r="BW583" s="1894">
        <v>0.22700000000000001</v>
      </c>
      <c r="BX583" s="1894">
        <v>39.9</v>
      </c>
      <c r="BY583" s="1894">
        <v>6198</v>
      </c>
      <c r="BZ583" s="1894">
        <f t="shared" ref="BZ583:BZ646" si="255">+ROUND((24*31*0.6*BU583),0)</f>
        <v>9321</v>
      </c>
      <c r="CA583" s="1894">
        <f t="shared" ref="CA583:CA646" si="256">+MAX((BY583-BZ583),0)</f>
        <v>0</v>
      </c>
      <c r="CB583" s="1894">
        <v>556</v>
      </c>
      <c r="CC583" s="1894">
        <v>18</v>
      </c>
      <c r="CD583" s="1894">
        <v>444.8</v>
      </c>
      <c r="CE583" s="1894">
        <v>0.26429999999999998</v>
      </c>
      <c r="CF583" s="1894">
        <v>35.08</v>
      </c>
      <c r="CG583" s="1894">
        <v>4698</v>
      </c>
      <c r="CH583" s="1894">
        <f t="shared" ref="CH583:CH646" si="257">+ROUND((24*31*0.6*CC583),0)</f>
        <v>8035</v>
      </c>
      <c r="CI583" s="1894">
        <f t="shared" ref="CI583:CI646" si="258">+MAX((CG583-CH583),0)</f>
        <v>0</v>
      </c>
      <c r="CJ583" s="1894">
        <v>556</v>
      </c>
      <c r="CK583" s="1894">
        <v>16.559999999999999</v>
      </c>
      <c r="CL583" s="1894">
        <v>444.8</v>
      </c>
      <c r="CM583" s="1894">
        <v>0.39069999999999999</v>
      </c>
      <c r="CN583" s="1894">
        <v>28.49</v>
      </c>
      <c r="CO583" s="1894">
        <v>3171</v>
      </c>
      <c r="CP583" s="1894">
        <f t="shared" ref="CP583:CP646" si="259">+ROUND((24*28*0.6*CK583),0)</f>
        <v>6677</v>
      </c>
      <c r="CQ583" s="1894">
        <f t="shared" ref="CQ583:CQ646" si="260">+MAX((CO583-CP583),0)</f>
        <v>0</v>
      </c>
      <c r="CR583" s="1924">
        <v>556</v>
      </c>
      <c r="CS583" s="1924">
        <v>16.8</v>
      </c>
      <c r="CT583" s="1924">
        <v>444.8</v>
      </c>
      <c r="CU583" s="1924">
        <v>0.51929999999999998</v>
      </c>
      <c r="CV583" s="1924">
        <v>19.829999999999998</v>
      </c>
      <c r="CW583" s="1924">
        <v>2478</v>
      </c>
      <c r="CX583" s="1894">
        <f t="shared" ref="CX583:CX646" si="261">+ROUND((24*31*0.6*CS583),0)</f>
        <v>7500</v>
      </c>
      <c r="CY583" s="1894">
        <f t="shared" ref="CY583:CY646" si="262">+MAX((CW583-CX583),0)</f>
        <v>0</v>
      </c>
    </row>
    <row r="584" spans="1:103">
      <c r="A584" s="982">
        <v>125000000036</v>
      </c>
      <c r="B584" s="1923">
        <f t="shared" ref="B584:B647" si="263">+B583+1</f>
        <v>578</v>
      </c>
      <c r="C584" s="1895" t="s">
        <v>3452</v>
      </c>
      <c r="D584" s="1894" t="s">
        <v>2930</v>
      </c>
      <c r="E584" s="1895" t="s">
        <v>541</v>
      </c>
      <c r="F584" s="1894" t="s">
        <v>259</v>
      </c>
      <c r="G584" s="1924">
        <v>556</v>
      </c>
      <c r="H584" s="1894">
        <v>556</v>
      </c>
      <c r="I584" s="1894"/>
      <c r="J584" s="1894">
        <v>444.8</v>
      </c>
      <c r="K584" s="1894">
        <v>0</v>
      </c>
      <c r="L584" s="1894">
        <v>0</v>
      </c>
      <c r="M584" s="1894">
        <v>0</v>
      </c>
      <c r="N584" s="1894">
        <f t="shared" si="241"/>
        <v>0</v>
      </c>
      <c r="O584" s="1894">
        <f t="shared" si="242"/>
        <v>0</v>
      </c>
      <c r="P584" s="1894">
        <v>556</v>
      </c>
      <c r="Q584" s="1894">
        <v>0</v>
      </c>
      <c r="R584" s="1894">
        <v>444.8</v>
      </c>
      <c r="S584" s="1894">
        <v>0</v>
      </c>
      <c r="T584" s="1894">
        <v>0</v>
      </c>
      <c r="U584" s="1894">
        <v>0</v>
      </c>
      <c r="V584" s="1894">
        <f t="shared" si="243"/>
        <v>0</v>
      </c>
      <c r="W584" s="1894">
        <f t="shared" si="244"/>
        <v>0</v>
      </c>
      <c r="X584" s="1894">
        <v>556</v>
      </c>
      <c r="Y584" s="1894">
        <v>0</v>
      </c>
      <c r="Z584" s="1894">
        <v>444.8</v>
      </c>
      <c r="AA584" s="1894">
        <v>0</v>
      </c>
      <c r="AB584" s="1894">
        <v>0</v>
      </c>
      <c r="AC584" s="1894">
        <v>0</v>
      </c>
      <c r="AD584" s="1894">
        <f t="shared" si="245"/>
        <v>0</v>
      </c>
      <c r="AE584" s="1894">
        <f t="shared" si="246"/>
        <v>0</v>
      </c>
      <c r="AF584" s="1894">
        <v>556</v>
      </c>
      <c r="AG584" s="1894">
        <v>0</v>
      </c>
      <c r="AH584" s="1894">
        <v>444.8</v>
      </c>
      <c r="AI584" s="1894">
        <v>0</v>
      </c>
      <c r="AJ584" s="1894">
        <v>0</v>
      </c>
      <c r="AK584" s="1894">
        <v>0</v>
      </c>
      <c r="AL584" s="1894">
        <f t="shared" si="239"/>
        <v>0</v>
      </c>
      <c r="AM584" s="1894">
        <f t="shared" si="240"/>
        <v>0</v>
      </c>
      <c r="AN584" s="1894">
        <v>556</v>
      </c>
      <c r="AO584" s="1894">
        <v>0</v>
      </c>
      <c r="AP584" s="1894">
        <v>444.8</v>
      </c>
      <c r="AQ584" s="1894">
        <v>0</v>
      </c>
      <c r="AR584" s="1894">
        <v>0</v>
      </c>
      <c r="AS584" s="1894">
        <v>0</v>
      </c>
      <c r="AT584" s="1894">
        <f t="shared" si="247"/>
        <v>0</v>
      </c>
      <c r="AU584" s="1894">
        <f t="shared" si="248"/>
        <v>0</v>
      </c>
      <c r="AV584" s="1894">
        <v>556</v>
      </c>
      <c r="AW584" s="1894">
        <v>0</v>
      </c>
      <c r="AX584" s="1894">
        <v>444.8</v>
      </c>
      <c r="AY584" s="1894">
        <v>0</v>
      </c>
      <c r="AZ584" s="1894">
        <v>0</v>
      </c>
      <c r="BA584" s="1894">
        <v>0</v>
      </c>
      <c r="BB584" s="1894">
        <f t="shared" si="249"/>
        <v>0</v>
      </c>
      <c r="BC584" s="1894">
        <f t="shared" si="250"/>
        <v>0</v>
      </c>
      <c r="BD584" s="1894">
        <v>556</v>
      </c>
      <c r="BE584" s="1894">
        <v>0</v>
      </c>
      <c r="BF584" s="1894">
        <v>444.8</v>
      </c>
      <c r="BG584" s="1894">
        <v>0</v>
      </c>
      <c r="BH584" s="1894">
        <v>0</v>
      </c>
      <c r="BI584" s="1894">
        <v>0</v>
      </c>
      <c r="BJ584" s="1894">
        <f t="shared" si="251"/>
        <v>0</v>
      </c>
      <c r="BK584" s="1894">
        <f t="shared" si="252"/>
        <v>0</v>
      </c>
      <c r="BL584" s="1894">
        <v>556</v>
      </c>
      <c r="BM584" s="1894">
        <v>0</v>
      </c>
      <c r="BN584" s="1894">
        <v>444.8</v>
      </c>
      <c r="BO584" s="1894">
        <v>0</v>
      </c>
      <c r="BP584" s="1894">
        <v>0</v>
      </c>
      <c r="BQ584" s="1894">
        <v>0</v>
      </c>
      <c r="BR584" s="1894">
        <f t="shared" si="253"/>
        <v>0</v>
      </c>
      <c r="BS584" s="1894">
        <f t="shared" si="254"/>
        <v>0</v>
      </c>
      <c r="BT584" s="1894">
        <v>556</v>
      </c>
      <c r="BU584" s="1894">
        <v>0</v>
      </c>
      <c r="BV584" s="1894">
        <v>444.8</v>
      </c>
      <c r="BW584" s="1894">
        <v>0</v>
      </c>
      <c r="BX584" s="1894">
        <v>0</v>
      </c>
      <c r="BY584" s="1894">
        <v>0</v>
      </c>
      <c r="BZ584" s="1894">
        <f t="shared" si="255"/>
        <v>0</v>
      </c>
      <c r="CA584" s="1894">
        <f t="shared" si="256"/>
        <v>0</v>
      </c>
      <c r="CB584" s="1894">
        <v>556</v>
      </c>
      <c r="CC584" s="1894">
        <v>0</v>
      </c>
      <c r="CD584" s="1894">
        <v>444.8</v>
      </c>
      <c r="CE584" s="1894">
        <v>0</v>
      </c>
      <c r="CF584" s="1894">
        <v>0</v>
      </c>
      <c r="CG584" s="1894">
        <v>0</v>
      </c>
      <c r="CH584" s="1894">
        <f t="shared" si="257"/>
        <v>0</v>
      </c>
      <c r="CI584" s="1894">
        <f t="shared" si="258"/>
        <v>0</v>
      </c>
      <c r="CJ584" s="1894">
        <v>556</v>
      </c>
      <c r="CK584" s="1894">
        <v>0</v>
      </c>
      <c r="CL584" s="1894">
        <v>444.8</v>
      </c>
      <c r="CM584" s="1894">
        <v>0</v>
      </c>
      <c r="CN584" s="1894">
        <v>0</v>
      </c>
      <c r="CO584" s="1894">
        <v>0</v>
      </c>
      <c r="CP584" s="1894">
        <f t="shared" si="259"/>
        <v>0</v>
      </c>
      <c r="CQ584" s="1894">
        <f t="shared" si="260"/>
        <v>0</v>
      </c>
      <c r="CR584" s="1924">
        <v>556</v>
      </c>
      <c r="CS584" s="1924">
        <v>0</v>
      </c>
      <c r="CT584" s="1924">
        <v>444.8</v>
      </c>
      <c r="CU584" s="1924">
        <v>0</v>
      </c>
      <c r="CV584" s="1924">
        <v>0</v>
      </c>
      <c r="CW584" s="1924">
        <v>0</v>
      </c>
      <c r="CX584" s="1894">
        <f t="shared" si="261"/>
        <v>0</v>
      </c>
      <c r="CY584" s="1894">
        <f t="shared" si="262"/>
        <v>0</v>
      </c>
    </row>
    <row r="585" spans="1:103">
      <c r="A585" s="982">
        <v>121000000101</v>
      </c>
      <c r="B585" s="1923">
        <f t="shared" si="263"/>
        <v>579</v>
      </c>
      <c r="C585" s="1895" t="s">
        <v>3453</v>
      </c>
      <c r="D585" s="1894" t="s">
        <v>524</v>
      </c>
      <c r="E585" s="1895" t="s">
        <v>636</v>
      </c>
      <c r="F585" s="1894" t="s">
        <v>259</v>
      </c>
      <c r="G585" s="1924">
        <v>560</v>
      </c>
      <c r="H585" s="1894">
        <v>0</v>
      </c>
      <c r="I585" s="1894">
        <v>0</v>
      </c>
      <c r="J585" s="1894">
        <v>0</v>
      </c>
      <c r="K585" s="1894">
        <v>0</v>
      </c>
      <c r="L585" s="1894">
        <v>0</v>
      </c>
      <c r="M585" s="1894">
        <v>0</v>
      </c>
      <c r="N585" s="1894">
        <f t="shared" si="241"/>
        <v>0</v>
      </c>
      <c r="O585" s="1894">
        <f t="shared" si="242"/>
        <v>0</v>
      </c>
      <c r="P585" s="1894">
        <v>0</v>
      </c>
      <c r="Q585" s="1894">
        <v>0</v>
      </c>
      <c r="R585" s="1894">
        <v>0</v>
      </c>
      <c r="S585" s="1894">
        <v>0</v>
      </c>
      <c r="T585" s="1894">
        <v>0</v>
      </c>
      <c r="U585" s="1894">
        <v>0</v>
      </c>
      <c r="V585" s="1894">
        <f t="shared" si="243"/>
        <v>0</v>
      </c>
      <c r="W585" s="1894">
        <f t="shared" si="244"/>
        <v>0</v>
      </c>
      <c r="X585" s="1894">
        <v>0</v>
      </c>
      <c r="Y585" s="1894">
        <v>0</v>
      </c>
      <c r="Z585" s="1894">
        <v>0</v>
      </c>
      <c r="AA585" s="1894">
        <v>0</v>
      </c>
      <c r="AB585" s="1894">
        <v>0</v>
      </c>
      <c r="AC585" s="1894">
        <v>0</v>
      </c>
      <c r="AD585" s="1894">
        <f t="shared" si="245"/>
        <v>0</v>
      </c>
      <c r="AE585" s="1894">
        <f t="shared" si="246"/>
        <v>0</v>
      </c>
      <c r="AF585" s="1894">
        <v>0</v>
      </c>
      <c r="AG585" s="1894">
        <v>0</v>
      </c>
      <c r="AH585" s="1894">
        <v>0</v>
      </c>
      <c r="AI585" s="1894">
        <v>0</v>
      </c>
      <c r="AJ585" s="1894">
        <v>0</v>
      </c>
      <c r="AK585" s="1894">
        <v>0</v>
      </c>
      <c r="AL585" s="1894">
        <f t="shared" si="239"/>
        <v>0</v>
      </c>
      <c r="AM585" s="1894">
        <f t="shared" si="240"/>
        <v>0</v>
      </c>
      <c r="AN585" s="1894">
        <v>0</v>
      </c>
      <c r="AO585" s="1894">
        <v>0</v>
      </c>
      <c r="AP585" s="1894">
        <v>0</v>
      </c>
      <c r="AQ585" s="1894">
        <v>0</v>
      </c>
      <c r="AR585" s="1894">
        <v>0</v>
      </c>
      <c r="AS585" s="1894">
        <v>0</v>
      </c>
      <c r="AT585" s="1894">
        <f t="shared" si="247"/>
        <v>0</v>
      </c>
      <c r="AU585" s="1894">
        <f t="shared" si="248"/>
        <v>0</v>
      </c>
      <c r="AV585" s="1894">
        <v>0</v>
      </c>
      <c r="AW585" s="1894">
        <v>0</v>
      </c>
      <c r="AX585" s="1894">
        <v>0</v>
      </c>
      <c r="AY585" s="1894">
        <v>0</v>
      </c>
      <c r="AZ585" s="1894">
        <v>0</v>
      </c>
      <c r="BA585" s="1894">
        <v>0</v>
      </c>
      <c r="BB585" s="1894">
        <f t="shared" si="249"/>
        <v>0</v>
      </c>
      <c r="BC585" s="1894">
        <f t="shared" si="250"/>
        <v>0</v>
      </c>
      <c r="BD585" s="1894">
        <v>0</v>
      </c>
      <c r="BE585" s="1894">
        <v>0</v>
      </c>
      <c r="BF585" s="1894">
        <v>0</v>
      </c>
      <c r="BG585" s="1894">
        <v>0</v>
      </c>
      <c r="BH585" s="1894">
        <v>0</v>
      </c>
      <c r="BI585" s="1894">
        <v>0</v>
      </c>
      <c r="BJ585" s="1894">
        <f t="shared" si="251"/>
        <v>0</v>
      </c>
      <c r="BK585" s="1894">
        <f t="shared" si="252"/>
        <v>0</v>
      </c>
      <c r="BL585" s="1894">
        <v>0</v>
      </c>
      <c r="BM585" s="1894">
        <v>0</v>
      </c>
      <c r="BN585" s="1894">
        <v>0</v>
      </c>
      <c r="BO585" s="1894">
        <v>0</v>
      </c>
      <c r="BP585" s="1894">
        <v>0</v>
      </c>
      <c r="BQ585" s="1894">
        <v>0</v>
      </c>
      <c r="BR585" s="1894">
        <f t="shared" si="253"/>
        <v>0</v>
      </c>
      <c r="BS585" s="1894">
        <f t="shared" si="254"/>
        <v>0</v>
      </c>
      <c r="BT585" s="1894">
        <v>0</v>
      </c>
      <c r="BU585" s="1894">
        <v>0</v>
      </c>
      <c r="BV585" s="1894">
        <v>0</v>
      </c>
      <c r="BW585" s="1894">
        <v>0</v>
      </c>
      <c r="BX585" s="1894">
        <v>0</v>
      </c>
      <c r="BY585" s="1894">
        <v>0</v>
      </c>
      <c r="BZ585" s="1894">
        <f t="shared" si="255"/>
        <v>0</v>
      </c>
      <c r="CA585" s="1894">
        <f t="shared" si="256"/>
        <v>0</v>
      </c>
      <c r="CB585" s="1894">
        <v>560</v>
      </c>
      <c r="CC585" s="1894">
        <v>3.8400000000000003</v>
      </c>
      <c r="CD585" s="1894">
        <v>448</v>
      </c>
      <c r="CE585" s="1894">
        <v>0.85709999999999997</v>
      </c>
      <c r="CF585" s="1894">
        <v>53.86</v>
      </c>
      <c r="CG585" s="1894">
        <v>546</v>
      </c>
      <c r="CH585" s="1894">
        <f t="shared" si="257"/>
        <v>1714</v>
      </c>
      <c r="CI585" s="1894">
        <f t="shared" si="258"/>
        <v>0</v>
      </c>
      <c r="CJ585" s="1894">
        <v>560</v>
      </c>
      <c r="CK585" s="1894">
        <v>11.52</v>
      </c>
      <c r="CL585" s="1894">
        <v>448</v>
      </c>
      <c r="CM585" s="1894">
        <v>0.72119999999999995</v>
      </c>
      <c r="CN585" s="1894">
        <v>35.03</v>
      </c>
      <c r="CO585" s="1894">
        <v>2712</v>
      </c>
      <c r="CP585" s="1894">
        <f t="shared" si="259"/>
        <v>4645</v>
      </c>
      <c r="CQ585" s="1894">
        <f t="shared" si="260"/>
        <v>0</v>
      </c>
      <c r="CR585" s="1924">
        <v>560</v>
      </c>
      <c r="CS585" s="1924">
        <v>10.56</v>
      </c>
      <c r="CT585" s="1924">
        <v>448</v>
      </c>
      <c r="CU585" s="1924">
        <v>0.89159999999999995</v>
      </c>
      <c r="CV585" s="1924">
        <v>30.32</v>
      </c>
      <c r="CW585" s="1924">
        <v>2382</v>
      </c>
      <c r="CX585" s="1894">
        <f t="shared" si="261"/>
        <v>4714</v>
      </c>
      <c r="CY585" s="1894">
        <f t="shared" si="262"/>
        <v>0</v>
      </c>
    </row>
    <row r="586" spans="1:103">
      <c r="A586" s="982">
        <v>121000000044</v>
      </c>
      <c r="B586" s="1923">
        <f t="shared" si="263"/>
        <v>580</v>
      </c>
      <c r="C586" s="1895" t="s">
        <v>3454</v>
      </c>
      <c r="D586" s="1894" t="s">
        <v>524</v>
      </c>
      <c r="E586" s="1895" t="s">
        <v>541</v>
      </c>
      <c r="F586" s="1894" t="s">
        <v>259</v>
      </c>
      <c r="G586" s="1924">
        <v>560</v>
      </c>
      <c r="H586" s="1894">
        <v>560</v>
      </c>
      <c r="I586" s="1894">
        <v>308.64</v>
      </c>
      <c r="J586" s="1894">
        <v>448</v>
      </c>
      <c r="K586" s="1894">
        <v>0.99709999999999999</v>
      </c>
      <c r="L586" s="1894">
        <v>36.619999999999997</v>
      </c>
      <c r="M586" s="1894">
        <v>81378</v>
      </c>
      <c r="N586" s="1894">
        <f t="shared" si="241"/>
        <v>133332</v>
      </c>
      <c r="O586" s="1894">
        <f t="shared" si="242"/>
        <v>0</v>
      </c>
      <c r="P586" s="1894">
        <v>560</v>
      </c>
      <c r="Q586" s="1894">
        <v>383.03999999999996</v>
      </c>
      <c r="R586" s="1894">
        <v>448</v>
      </c>
      <c r="S586" s="1894">
        <v>0.97650000000000003</v>
      </c>
      <c r="T586" s="1894">
        <v>32.57</v>
      </c>
      <c r="U586" s="1894">
        <v>92817</v>
      </c>
      <c r="V586" s="1894">
        <f t="shared" si="243"/>
        <v>170989</v>
      </c>
      <c r="W586" s="1894">
        <f t="shared" si="244"/>
        <v>0</v>
      </c>
      <c r="X586" s="1894">
        <v>560</v>
      </c>
      <c r="Y586" s="1894">
        <v>352.08</v>
      </c>
      <c r="Z586" s="1894">
        <v>448</v>
      </c>
      <c r="AA586" s="1894">
        <v>0.99429999999999996</v>
      </c>
      <c r="AB586" s="1894">
        <v>26.68</v>
      </c>
      <c r="AC586" s="1894">
        <v>67626</v>
      </c>
      <c r="AD586" s="1894">
        <f t="shared" si="245"/>
        <v>152099</v>
      </c>
      <c r="AE586" s="1894">
        <f t="shared" si="246"/>
        <v>0</v>
      </c>
      <c r="AF586" s="1894">
        <v>560</v>
      </c>
      <c r="AG586" s="1894">
        <v>295.2</v>
      </c>
      <c r="AH586" s="1894">
        <v>448</v>
      </c>
      <c r="AI586" s="1894">
        <v>0.99629999999999996</v>
      </c>
      <c r="AJ586" s="1894">
        <v>21.02</v>
      </c>
      <c r="AK586" s="1894">
        <v>46158</v>
      </c>
      <c r="AL586" s="1894">
        <f t="shared" si="239"/>
        <v>131777</v>
      </c>
      <c r="AM586" s="1894">
        <f t="shared" si="240"/>
        <v>0</v>
      </c>
      <c r="AN586" s="1894">
        <v>560</v>
      </c>
      <c r="AO586" s="1894">
        <v>244.79999999999998</v>
      </c>
      <c r="AP586" s="1894">
        <v>448</v>
      </c>
      <c r="AQ586" s="1894">
        <v>0.97309999999999997</v>
      </c>
      <c r="AR586" s="1894">
        <v>39.99</v>
      </c>
      <c r="AS586" s="1894">
        <v>72840</v>
      </c>
      <c r="AT586" s="1894">
        <f t="shared" si="247"/>
        <v>109279</v>
      </c>
      <c r="AU586" s="1894">
        <f t="shared" si="248"/>
        <v>0</v>
      </c>
      <c r="AV586" s="1894">
        <v>560</v>
      </c>
      <c r="AW586" s="1894">
        <v>290.64</v>
      </c>
      <c r="AX586" s="1894">
        <v>448</v>
      </c>
      <c r="AY586" s="1894">
        <v>0.86319999999999997</v>
      </c>
      <c r="AZ586" s="1894">
        <v>44.68</v>
      </c>
      <c r="BA586" s="1894">
        <v>93495</v>
      </c>
      <c r="BB586" s="1894">
        <f t="shared" si="249"/>
        <v>125556</v>
      </c>
      <c r="BC586" s="1894">
        <f t="shared" si="250"/>
        <v>0</v>
      </c>
      <c r="BD586" s="1894">
        <v>560</v>
      </c>
      <c r="BE586" s="1894">
        <v>286.08</v>
      </c>
      <c r="BF586" s="1894">
        <v>448</v>
      </c>
      <c r="BG586" s="1894">
        <v>0.85319999999999996</v>
      </c>
      <c r="BH586" s="1894">
        <v>28.75</v>
      </c>
      <c r="BI586" s="1894">
        <v>61188</v>
      </c>
      <c r="BJ586" s="1894">
        <f t="shared" si="251"/>
        <v>127706</v>
      </c>
      <c r="BK586" s="1894">
        <f t="shared" si="252"/>
        <v>0</v>
      </c>
      <c r="BL586" s="1894">
        <v>560</v>
      </c>
      <c r="BM586" s="1894">
        <v>72.959999999999994</v>
      </c>
      <c r="BN586" s="1894">
        <v>448</v>
      </c>
      <c r="BO586" s="1894">
        <v>0.99350000000000005</v>
      </c>
      <c r="BP586" s="1894">
        <v>5.32</v>
      </c>
      <c r="BQ586" s="1894">
        <v>2793</v>
      </c>
      <c r="BR586" s="1894">
        <f t="shared" si="253"/>
        <v>31519</v>
      </c>
      <c r="BS586" s="1894">
        <f t="shared" si="254"/>
        <v>0</v>
      </c>
      <c r="BT586" s="1894">
        <v>560</v>
      </c>
      <c r="BU586" s="1894">
        <v>9.6</v>
      </c>
      <c r="BV586" s="1894">
        <v>448</v>
      </c>
      <c r="BW586" s="1894">
        <v>0.9829</v>
      </c>
      <c r="BX586" s="1894">
        <v>29.57</v>
      </c>
      <c r="BY586" s="1894">
        <v>2112</v>
      </c>
      <c r="BZ586" s="1894">
        <f t="shared" si="255"/>
        <v>4285</v>
      </c>
      <c r="CA586" s="1894">
        <f t="shared" si="256"/>
        <v>0</v>
      </c>
      <c r="CB586" s="1894">
        <v>560</v>
      </c>
      <c r="CC586" s="1894">
        <v>193.20000000000002</v>
      </c>
      <c r="CD586" s="1894">
        <v>448</v>
      </c>
      <c r="CE586" s="1894">
        <v>0.99750000000000005</v>
      </c>
      <c r="CF586" s="1894">
        <v>34.380000000000003</v>
      </c>
      <c r="CG586" s="1894">
        <v>49419</v>
      </c>
      <c r="CH586" s="1894">
        <f t="shared" si="257"/>
        <v>86244</v>
      </c>
      <c r="CI586" s="1894">
        <f t="shared" si="258"/>
        <v>0</v>
      </c>
      <c r="CJ586" s="1894">
        <v>560</v>
      </c>
      <c r="CK586" s="1894">
        <v>196.07999999999998</v>
      </c>
      <c r="CL586" s="1894">
        <v>448</v>
      </c>
      <c r="CM586" s="1894">
        <v>0.99970000000000003</v>
      </c>
      <c r="CN586" s="1894">
        <v>33.83</v>
      </c>
      <c r="CO586" s="1894">
        <v>44574</v>
      </c>
      <c r="CP586" s="1894">
        <f t="shared" si="259"/>
        <v>79059</v>
      </c>
      <c r="CQ586" s="1894">
        <f t="shared" si="260"/>
        <v>0</v>
      </c>
      <c r="CR586" s="1924">
        <v>560</v>
      </c>
      <c r="CS586" s="1924">
        <v>196.8</v>
      </c>
      <c r="CT586" s="1924">
        <v>448</v>
      </c>
      <c r="CU586" s="1924">
        <v>0.99970000000000003</v>
      </c>
      <c r="CV586" s="1924">
        <v>37.159999999999997</v>
      </c>
      <c r="CW586" s="1924">
        <v>54408</v>
      </c>
      <c r="CX586" s="1894">
        <f t="shared" si="261"/>
        <v>87852</v>
      </c>
      <c r="CY586" s="1894">
        <f t="shared" si="262"/>
        <v>0</v>
      </c>
    </row>
    <row r="587" spans="1:103">
      <c r="A587" s="982">
        <v>123000000107</v>
      </c>
      <c r="B587" s="1923">
        <f t="shared" si="263"/>
        <v>581</v>
      </c>
      <c r="C587" s="1895" t="s">
        <v>3455</v>
      </c>
      <c r="D587" s="1894" t="s">
        <v>524</v>
      </c>
      <c r="E587" s="1895" t="s">
        <v>623</v>
      </c>
      <c r="F587" s="1894" t="s">
        <v>259</v>
      </c>
      <c r="G587" s="1924">
        <v>560</v>
      </c>
      <c r="H587" s="1894">
        <v>560</v>
      </c>
      <c r="I587" s="1894">
        <v>356.40000000000003</v>
      </c>
      <c r="J587" s="1894">
        <v>560</v>
      </c>
      <c r="K587" s="1894">
        <v>0.99760000000000004</v>
      </c>
      <c r="L587" s="1894">
        <v>0</v>
      </c>
      <c r="M587" s="1894">
        <v>89829</v>
      </c>
      <c r="N587" s="1894">
        <f t="shared" si="241"/>
        <v>153965</v>
      </c>
      <c r="O587" s="1894">
        <f t="shared" si="242"/>
        <v>0</v>
      </c>
      <c r="P587" s="1894">
        <v>560</v>
      </c>
      <c r="Q587" s="1894">
        <v>272.88</v>
      </c>
      <c r="R587" s="1894">
        <v>560</v>
      </c>
      <c r="S587" s="1894">
        <v>0.99360000000000004</v>
      </c>
      <c r="T587" s="1894">
        <v>0</v>
      </c>
      <c r="U587" s="1894">
        <v>59805</v>
      </c>
      <c r="V587" s="1894">
        <f t="shared" si="243"/>
        <v>121814</v>
      </c>
      <c r="W587" s="1894">
        <f t="shared" si="244"/>
        <v>0</v>
      </c>
      <c r="X587" s="1894">
        <v>560</v>
      </c>
      <c r="Y587" s="1894">
        <v>239.76000000000002</v>
      </c>
      <c r="Z587" s="1894">
        <v>560</v>
      </c>
      <c r="AA587" s="1894">
        <v>0.98980000000000001</v>
      </c>
      <c r="AB587" s="1894">
        <v>0</v>
      </c>
      <c r="AC587" s="1894">
        <v>43497</v>
      </c>
      <c r="AD587" s="1894">
        <f t="shared" si="245"/>
        <v>103576</v>
      </c>
      <c r="AE587" s="1894">
        <f t="shared" si="246"/>
        <v>0</v>
      </c>
      <c r="AF587" s="1894">
        <v>560</v>
      </c>
      <c r="AG587" s="1894">
        <v>215.28</v>
      </c>
      <c r="AH587" s="1894">
        <v>560</v>
      </c>
      <c r="AI587" s="1894">
        <v>0.96230000000000004</v>
      </c>
      <c r="AJ587" s="1894">
        <v>0</v>
      </c>
      <c r="AK587" s="1894">
        <v>25326</v>
      </c>
      <c r="AL587" s="1894">
        <f t="shared" si="239"/>
        <v>96101</v>
      </c>
      <c r="AM587" s="1894">
        <f t="shared" si="240"/>
        <v>0</v>
      </c>
      <c r="AN587" s="1894">
        <v>560</v>
      </c>
      <c r="AO587" s="1894">
        <v>164.16</v>
      </c>
      <c r="AP587" s="1894">
        <v>560</v>
      </c>
      <c r="AQ587" s="1894">
        <v>0.96509999999999996</v>
      </c>
      <c r="AR587" s="1894">
        <v>0</v>
      </c>
      <c r="AS587" s="1894">
        <v>24795</v>
      </c>
      <c r="AT587" s="1894">
        <f t="shared" si="247"/>
        <v>73281</v>
      </c>
      <c r="AU587" s="1894">
        <f t="shared" si="248"/>
        <v>0</v>
      </c>
      <c r="AV587" s="1894">
        <v>560</v>
      </c>
      <c r="AW587" s="1894">
        <v>241.20000000000002</v>
      </c>
      <c r="AX587" s="1894">
        <v>560</v>
      </c>
      <c r="AY587" s="1894">
        <v>0.99270000000000003</v>
      </c>
      <c r="AZ587" s="1894">
        <v>0</v>
      </c>
      <c r="BA587" s="1894">
        <v>44784</v>
      </c>
      <c r="BB587" s="1894">
        <f t="shared" si="249"/>
        <v>104198</v>
      </c>
      <c r="BC587" s="1894">
        <f t="shared" si="250"/>
        <v>0</v>
      </c>
      <c r="BD587" s="1894">
        <v>560</v>
      </c>
      <c r="BE587" s="1894">
        <v>257.04000000000002</v>
      </c>
      <c r="BF587" s="1894">
        <v>560</v>
      </c>
      <c r="BG587" s="1894">
        <v>0.99760000000000004</v>
      </c>
      <c r="BH587" s="1894">
        <v>0</v>
      </c>
      <c r="BI587" s="1894">
        <v>64881</v>
      </c>
      <c r="BJ587" s="1894">
        <f t="shared" si="251"/>
        <v>114743</v>
      </c>
      <c r="BK587" s="1894">
        <f t="shared" si="252"/>
        <v>0</v>
      </c>
      <c r="BL587" s="1894">
        <v>560</v>
      </c>
      <c r="BM587" s="1894">
        <v>293.04000000000002</v>
      </c>
      <c r="BN587" s="1894">
        <v>560</v>
      </c>
      <c r="BO587" s="1894">
        <v>0.99539999999999995</v>
      </c>
      <c r="BP587" s="1894">
        <v>0</v>
      </c>
      <c r="BQ587" s="1894">
        <v>68913</v>
      </c>
      <c r="BR587" s="1894">
        <f t="shared" si="253"/>
        <v>126593</v>
      </c>
      <c r="BS587" s="1894">
        <f t="shared" si="254"/>
        <v>0</v>
      </c>
      <c r="BT587" s="1894">
        <v>560</v>
      </c>
      <c r="BU587" s="1894">
        <v>268.56</v>
      </c>
      <c r="BV587" s="1894">
        <v>560</v>
      </c>
      <c r="BW587" s="1894">
        <v>0.98460000000000003</v>
      </c>
      <c r="BX587" s="1894">
        <v>0</v>
      </c>
      <c r="BY587" s="1894">
        <v>48177</v>
      </c>
      <c r="BZ587" s="1894">
        <f t="shared" si="255"/>
        <v>119885</v>
      </c>
      <c r="CA587" s="1894">
        <f t="shared" si="256"/>
        <v>0</v>
      </c>
      <c r="CB587" s="1894">
        <v>560</v>
      </c>
      <c r="CC587" s="1894">
        <v>239.76000000000002</v>
      </c>
      <c r="CD587" s="1894">
        <v>560</v>
      </c>
      <c r="CE587" s="1894">
        <v>0.99639999999999995</v>
      </c>
      <c r="CF587" s="1894">
        <v>0</v>
      </c>
      <c r="CG587" s="1894">
        <v>50022</v>
      </c>
      <c r="CH587" s="1894">
        <f t="shared" si="257"/>
        <v>107029</v>
      </c>
      <c r="CI587" s="1894">
        <f t="shared" si="258"/>
        <v>0</v>
      </c>
      <c r="CJ587" s="1894">
        <v>560</v>
      </c>
      <c r="CK587" s="1894">
        <v>269.28000000000003</v>
      </c>
      <c r="CL587" s="1894">
        <v>560</v>
      </c>
      <c r="CM587" s="1894">
        <v>0.99770000000000003</v>
      </c>
      <c r="CN587" s="1894">
        <v>0</v>
      </c>
      <c r="CO587" s="1894">
        <v>47052</v>
      </c>
      <c r="CP587" s="1894">
        <f t="shared" si="259"/>
        <v>108574</v>
      </c>
      <c r="CQ587" s="1894">
        <f t="shared" si="260"/>
        <v>0</v>
      </c>
      <c r="CR587" s="1924">
        <v>560</v>
      </c>
      <c r="CS587" s="1924">
        <v>304.56</v>
      </c>
      <c r="CT587" s="1924">
        <v>560</v>
      </c>
      <c r="CU587" s="1924">
        <v>0.998</v>
      </c>
      <c r="CV587" s="1924">
        <v>0</v>
      </c>
      <c r="CW587" s="1924">
        <v>60714</v>
      </c>
      <c r="CX587" s="1894">
        <f t="shared" si="261"/>
        <v>135956</v>
      </c>
      <c r="CY587" s="1894">
        <f t="shared" si="262"/>
        <v>0</v>
      </c>
    </row>
    <row r="588" spans="1:103">
      <c r="A588" s="982">
        <v>125000000002</v>
      </c>
      <c r="B588" s="1923">
        <f t="shared" si="263"/>
        <v>582</v>
      </c>
      <c r="C588" s="1895" t="s">
        <v>3456</v>
      </c>
      <c r="D588" s="1894" t="s">
        <v>524</v>
      </c>
      <c r="E588" s="1895" t="s">
        <v>636</v>
      </c>
      <c r="F588" s="1894" t="s">
        <v>259</v>
      </c>
      <c r="G588" s="1924">
        <v>560</v>
      </c>
      <c r="H588" s="1894">
        <v>560</v>
      </c>
      <c r="I588" s="1894">
        <v>454.20000000000005</v>
      </c>
      <c r="J588" s="1894">
        <v>454.2</v>
      </c>
      <c r="K588" s="1894">
        <v>0.98480000000000001</v>
      </c>
      <c r="L588" s="1894">
        <v>70.59</v>
      </c>
      <c r="M588" s="1894">
        <v>230843</v>
      </c>
      <c r="N588" s="1894">
        <f t="shared" si="241"/>
        <v>196214</v>
      </c>
      <c r="O588" s="1894">
        <f t="shared" si="242"/>
        <v>34629</v>
      </c>
      <c r="P588" s="1894">
        <v>560</v>
      </c>
      <c r="Q588" s="1894">
        <v>471</v>
      </c>
      <c r="R588" s="1894">
        <v>471</v>
      </c>
      <c r="S588" s="1894">
        <v>0.98040000000000005</v>
      </c>
      <c r="T588" s="1894">
        <v>67.92</v>
      </c>
      <c r="U588" s="1894">
        <v>238005</v>
      </c>
      <c r="V588" s="1894">
        <f t="shared" si="243"/>
        <v>210254</v>
      </c>
      <c r="W588" s="1894">
        <f t="shared" si="244"/>
        <v>27751</v>
      </c>
      <c r="X588" s="1894">
        <v>560</v>
      </c>
      <c r="Y588" s="1894">
        <v>452.4</v>
      </c>
      <c r="Z588" s="1894">
        <v>452.4</v>
      </c>
      <c r="AA588" s="1894">
        <v>0.98199999999999998</v>
      </c>
      <c r="AB588" s="1894">
        <v>66.94</v>
      </c>
      <c r="AC588" s="1894">
        <v>218040</v>
      </c>
      <c r="AD588" s="1894">
        <f t="shared" si="245"/>
        <v>195437</v>
      </c>
      <c r="AE588" s="1894">
        <f t="shared" si="246"/>
        <v>22603</v>
      </c>
      <c r="AF588" s="1894">
        <v>560</v>
      </c>
      <c r="AG588" s="1894">
        <v>438</v>
      </c>
      <c r="AH588" s="1894">
        <v>448</v>
      </c>
      <c r="AI588" s="1894">
        <v>0.9677</v>
      </c>
      <c r="AJ588" s="1894">
        <v>59.03</v>
      </c>
      <c r="AK588" s="1894">
        <v>186158</v>
      </c>
      <c r="AL588" s="1894">
        <f t="shared" si="239"/>
        <v>195523</v>
      </c>
      <c r="AM588" s="1894">
        <f t="shared" si="240"/>
        <v>0</v>
      </c>
      <c r="AN588" s="1894">
        <v>560</v>
      </c>
      <c r="AO588" s="1894">
        <v>21</v>
      </c>
      <c r="AP588" s="1894">
        <v>448</v>
      </c>
      <c r="AQ588" s="1894">
        <v>0.9073</v>
      </c>
      <c r="AR588" s="1894">
        <v>400.67</v>
      </c>
      <c r="AS588" s="1894">
        <v>64620</v>
      </c>
      <c r="AT588" s="1894">
        <f t="shared" si="247"/>
        <v>9374</v>
      </c>
      <c r="AU588" s="1894">
        <f t="shared" si="248"/>
        <v>55246</v>
      </c>
      <c r="AV588" s="1894">
        <v>560</v>
      </c>
      <c r="AW588" s="1894">
        <v>376.79999999999995</v>
      </c>
      <c r="AX588" s="1894">
        <v>448</v>
      </c>
      <c r="AY588" s="1894">
        <v>0.91020000000000001</v>
      </c>
      <c r="AZ588" s="1894">
        <v>22.27</v>
      </c>
      <c r="BA588" s="1894">
        <v>60412</v>
      </c>
      <c r="BB588" s="1894">
        <f t="shared" si="249"/>
        <v>162778</v>
      </c>
      <c r="BC588" s="1894">
        <f t="shared" si="250"/>
        <v>0</v>
      </c>
      <c r="BD588" s="1894">
        <v>560</v>
      </c>
      <c r="BE588" s="1894">
        <v>384</v>
      </c>
      <c r="BF588" s="1894">
        <v>448</v>
      </c>
      <c r="BG588" s="1894">
        <v>0.91710000000000003</v>
      </c>
      <c r="BH588" s="1894">
        <v>29.82</v>
      </c>
      <c r="BI588" s="1894">
        <v>82440</v>
      </c>
      <c r="BJ588" s="1894">
        <f t="shared" si="251"/>
        <v>171418</v>
      </c>
      <c r="BK588" s="1894">
        <f t="shared" si="252"/>
        <v>0</v>
      </c>
      <c r="BL588" s="1894">
        <v>560</v>
      </c>
      <c r="BM588" s="1894">
        <v>389.4</v>
      </c>
      <c r="BN588" s="1894">
        <v>448</v>
      </c>
      <c r="BO588" s="1894">
        <v>0.90669999999999995</v>
      </c>
      <c r="BP588" s="1894">
        <v>32.31</v>
      </c>
      <c r="BQ588" s="1894">
        <v>93592</v>
      </c>
      <c r="BR588" s="1894">
        <f t="shared" si="253"/>
        <v>168221</v>
      </c>
      <c r="BS588" s="1894">
        <f t="shared" si="254"/>
        <v>0</v>
      </c>
      <c r="BT588" s="1894">
        <v>560</v>
      </c>
      <c r="BU588" s="1894">
        <v>418.8</v>
      </c>
      <c r="BV588" s="1894">
        <v>448</v>
      </c>
      <c r="BW588" s="1894">
        <v>0.93769999999999998</v>
      </c>
      <c r="BX588" s="1894">
        <v>45.13</v>
      </c>
      <c r="BY588" s="1894">
        <v>140633</v>
      </c>
      <c r="BZ588" s="1894">
        <f t="shared" si="255"/>
        <v>186952</v>
      </c>
      <c r="CA588" s="1894">
        <f t="shared" si="256"/>
        <v>0</v>
      </c>
      <c r="CB588" s="1894">
        <v>560</v>
      </c>
      <c r="CC588" s="1894">
        <v>453.6</v>
      </c>
      <c r="CD588" s="1894">
        <v>453.6</v>
      </c>
      <c r="CE588" s="1894">
        <v>0.95989999999999998</v>
      </c>
      <c r="CF588" s="1894">
        <v>63.88</v>
      </c>
      <c r="CG588" s="1894">
        <v>215580</v>
      </c>
      <c r="CH588" s="1894">
        <f t="shared" si="257"/>
        <v>202487</v>
      </c>
      <c r="CI588" s="1894">
        <f t="shared" si="258"/>
        <v>13093</v>
      </c>
      <c r="CJ588" s="1894">
        <v>560</v>
      </c>
      <c r="CK588" s="1894">
        <v>465</v>
      </c>
      <c r="CL588" s="1894">
        <v>465</v>
      </c>
      <c r="CM588" s="1894">
        <v>0.96860000000000002</v>
      </c>
      <c r="CN588" s="1894">
        <v>69.849999999999994</v>
      </c>
      <c r="CO588" s="1894">
        <v>218265</v>
      </c>
      <c r="CP588" s="1894">
        <f t="shared" si="259"/>
        <v>187488</v>
      </c>
      <c r="CQ588" s="1894">
        <f t="shared" si="260"/>
        <v>30777</v>
      </c>
      <c r="CR588" s="1924">
        <v>560</v>
      </c>
      <c r="CS588" s="1924">
        <v>466.79999999999995</v>
      </c>
      <c r="CT588" s="1924">
        <v>466.8</v>
      </c>
      <c r="CU588" s="1924">
        <v>0.96970000000000001</v>
      </c>
      <c r="CV588" s="1924">
        <v>72.900000000000006</v>
      </c>
      <c r="CW588" s="1924">
        <v>253178</v>
      </c>
      <c r="CX588" s="1894">
        <f t="shared" si="261"/>
        <v>208380</v>
      </c>
      <c r="CY588" s="1894">
        <f t="shared" si="262"/>
        <v>44798</v>
      </c>
    </row>
    <row r="589" spans="1:103">
      <c r="A589" s="982">
        <v>611000000084</v>
      </c>
      <c r="B589" s="1923">
        <f t="shared" si="263"/>
        <v>583</v>
      </c>
      <c r="C589" s="1895" t="s">
        <v>3457</v>
      </c>
      <c r="D589" s="1894" t="s">
        <v>524</v>
      </c>
      <c r="E589" s="1895" t="s">
        <v>541</v>
      </c>
      <c r="F589" s="1894" t="s">
        <v>259</v>
      </c>
      <c r="G589" s="1924">
        <v>560</v>
      </c>
      <c r="H589" s="1894">
        <v>560</v>
      </c>
      <c r="I589" s="1894">
        <v>591.84</v>
      </c>
      <c r="J589" s="1894">
        <v>591.84</v>
      </c>
      <c r="K589" s="1894">
        <v>0.97360000000000002</v>
      </c>
      <c r="L589" s="1894">
        <v>28.41</v>
      </c>
      <c r="M589" s="1894">
        <v>121062</v>
      </c>
      <c r="N589" s="1894">
        <f t="shared" si="241"/>
        <v>255675</v>
      </c>
      <c r="O589" s="1894">
        <f t="shared" si="242"/>
        <v>0</v>
      </c>
      <c r="P589" s="1894">
        <v>560</v>
      </c>
      <c r="Q589" s="1894">
        <v>380.16</v>
      </c>
      <c r="R589" s="1894">
        <v>448</v>
      </c>
      <c r="S589" s="1894">
        <v>0.98560000000000003</v>
      </c>
      <c r="T589" s="1894">
        <v>43.77</v>
      </c>
      <c r="U589" s="1894">
        <v>123804</v>
      </c>
      <c r="V589" s="1894">
        <f t="shared" si="243"/>
        <v>169703</v>
      </c>
      <c r="W589" s="1894">
        <f t="shared" si="244"/>
        <v>0</v>
      </c>
      <c r="X589" s="1894">
        <v>560</v>
      </c>
      <c r="Y589" s="1894">
        <v>335.04</v>
      </c>
      <c r="Z589" s="1894">
        <v>448</v>
      </c>
      <c r="AA589" s="1894">
        <v>0.95950000000000002</v>
      </c>
      <c r="AB589" s="1894">
        <v>24.4</v>
      </c>
      <c r="AC589" s="1894">
        <v>58860</v>
      </c>
      <c r="AD589" s="1894">
        <f t="shared" si="245"/>
        <v>144737</v>
      </c>
      <c r="AE589" s="1894">
        <f t="shared" si="246"/>
        <v>0</v>
      </c>
      <c r="AF589" s="1894">
        <v>560</v>
      </c>
      <c r="AG589" s="1894">
        <v>321.60000000000002</v>
      </c>
      <c r="AH589" s="1894">
        <v>448</v>
      </c>
      <c r="AI589" s="1894">
        <v>0.95430000000000004</v>
      </c>
      <c r="AJ589" s="1894">
        <v>13.28</v>
      </c>
      <c r="AK589" s="1894">
        <v>31782</v>
      </c>
      <c r="AL589" s="1894">
        <f t="shared" si="239"/>
        <v>143562</v>
      </c>
      <c r="AM589" s="1894">
        <f t="shared" si="240"/>
        <v>0</v>
      </c>
      <c r="AN589" s="1894">
        <v>560</v>
      </c>
      <c r="AO589" s="1894">
        <v>350.4</v>
      </c>
      <c r="AP589" s="1894">
        <v>448</v>
      </c>
      <c r="AQ589" s="1894">
        <v>0.98760000000000003</v>
      </c>
      <c r="AR589" s="1894">
        <v>39.229999999999997</v>
      </c>
      <c r="AS589" s="1894">
        <v>102282</v>
      </c>
      <c r="AT589" s="1894">
        <f t="shared" si="247"/>
        <v>156419</v>
      </c>
      <c r="AU589" s="1894">
        <f t="shared" si="248"/>
        <v>0</v>
      </c>
      <c r="AV589" s="1894">
        <v>560</v>
      </c>
      <c r="AW589" s="1894">
        <v>548.64</v>
      </c>
      <c r="AX589" s="1894">
        <v>548.64</v>
      </c>
      <c r="AY589" s="1894">
        <v>0.95379999999999998</v>
      </c>
      <c r="AZ589" s="1894">
        <v>26.41</v>
      </c>
      <c r="BA589" s="1894">
        <v>104322</v>
      </c>
      <c r="BB589" s="1894">
        <f t="shared" si="249"/>
        <v>237012</v>
      </c>
      <c r="BC589" s="1894">
        <f t="shared" si="250"/>
        <v>0</v>
      </c>
      <c r="BD589" s="1894">
        <v>560</v>
      </c>
      <c r="BE589" s="1894">
        <v>400.32</v>
      </c>
      <c r="BF589" s="1894">
        <v>448</v>
      </c>
      <c r="BG589" s="1894">
        <v>0.98660000000000003</v>
      </c>
      <c r="BH589" s="1894">
        <v>37.049999999999997</v>
      </c>
      <c r="BI589" s="1894">
        <v>110352</v>
      </c>
      <c r="BJ589" s="1894">
        <f t="shared" si="251"/>
        <v>178703</v>
      </c>
      <c r="BK589" s="1894">
        <f t="shared" si="252"/>
        <v>0</v>
      </c>
      <c r="BL589" s="1894">
        <v>560</v>
      </c>
      <c r="BM589" s="1894">
        <v>487.20000000000005</v>
      </c>
      <c r="BN589" s="1894">
        <v>487.2</v>
      </c>
      <c r="BO589" s="1894">
        <v>0.9869</v>
      </c>
      <c r="BP589" s="1894">
        <v>38.409999999999997</v>
      </c>
      <c r="BQ589" s="1894">
        <v>134724</v>
      </c>
      <c r="BR589" s="1894">
        <f t="shared" si="253"/>
        <v>210470</v>
      </c>
      <c r="BS589" s="1894">
        <f t="shared" si="254"/>
        <v>0</v>
      </c>
      <c r="BT589" s="1894">
        <v>560</v>
      </c>
      <c r="BU589" s="1894">
        <v>682.56</v>
      </c>
      <c r="BV589" s="1894">
        <v>682.56</v>
      </c>
      <c r="BW589" s="1894">
        <v>0.9708</v>
      </c>
      <c r="BX589" s="1894">
        <v>28.74</v>
      </c>
      <c r="BY589" s="1894">
        <v>145962</v>
      </c>
      <c r="BZ589" s="1894">
        <f t="shared" si="255"/>
        <v>304695</v>
      </c>
      <c r="CA589" s="1894">
        <f t="shared" si="256"/>
        <v>0</v>
      </c>
      <c r="CB589" s="1894">
        <v>560</v>
      </c>
      <c r="CC589" s="1894">
        <v>363.84000000000003</v>
      </c>
      <c r="CD589" s="1894">
        <v>448</v>
      </c>
      <c r="CE589" s="1894">
        <v>0.99309999999999998</v>
      </c>
      <c r="CF589" s="1894">
        <v>44.86</v>
      </c>
      <c r="CG589" s="1894">
        <v>121428</v>
      </c>
      <c r="CH589" s="1894">
        <f t="shared" si="257"/>
        <v>162418</v>
      </c>
      <c r="CI589" s="1894">
        <f t="shared" si="258"/>
        <v>0</v>
      </c>
      <c r="CJ589" s="1894">
        <v>560</v>
      </c>
      <c r="CK589" s="1894">
        <v>369.6</v>
      </c>
      <c r="CL589" s="1894">
        <v>448</v>
      </c>
      <c r="CM589" s="1894">
        <v>0.99080000000000001</v>
      </c>
      <c r="CN589" s="1894">
        <v>46.64</v>
      </c>
      <c r="CO589" s="1894">
        <v>115848</v>
      </c>
      <c r="CP589" s="1894">
        <f t="shared" si="259"/>
        <v>149023</v>
      </c>
      <c r="CQ589" s="1894">
        <f t="shared" si="260"/>
        <v>0</v>
      </c>
      <c r="CR589" s="1924">
        <v>560</v>
      </c>
      <c r="CS589" s="1924">
        <v>512.64</v>
      </c>
      <c r="CT589" s="1924">
        <v>512.64</v>
      </c>
      <c r="CU589" s="1924">
        <v>0.99039999999999995</v>
      </c>
      <c r="CV589" s="1924">
        <v>35.81</v>
      </c>
      <c r="CW589" s="1924">
        <v>136566</v>
      </c>
      <c r="CX589" s="1894">
        <f t="shared" si="261"/>
        <v>228842</v>
      </c>
      <c r="CY589" s="1894">
        <f t="shared" si="262"/>
        <v>0</v>
      </c>
    </row>
    <row r="590" spans="1:103">
      <c r="A590" s="982">
        <v>126000000024</v>
      </c>
      <c r="B590" s="1923">
        <f t="shared" si="263"/>
        <v>584</v>
      </c>
      <c r="C590" s="1895" t="s">
        <v>3458</v>
      </c>
      <c r="D590" s="1894" t="s">
        <v>524</v>
      </c>
      <c r="E590" s="1895" t="s">
        <v>541</v>
      </c>
      <c r="F590" s="1894" t="s">
        <v>259</v>
      </c>
      <c r="G590" s="1924">
        <v>561</v>
      </c>
      <c r="H590" s="1894">
        <v>561</v>
      </c>
      <c r="I590" s="1894">
        <v>304.8</v>
      </c>
      <c r="J590" s="1894">
        <v>448.8</v>
      </c>
      <c r="K590" s="1894">
        <v>0.98680000000000001</v>
      </c>
      <c r="L590" s="1894">
        <v>50.3</v>
      </c>
      <c r="M590" s="1894">
        <v>110388</v>
      </c>
      <c r="N590" s="1894">
        <f t="shared" si="241"/>
        <v>131674</v>
      </c>
      <c r="O590" s="1894">
        <f t="shared" si="242"/>
        <v>0</v>
      </c>
      <c r="P590" s="1894">
        <v>561</v>
      </c>
      <c r="Q590" s="1894">
        <v>288</v>
      </c>
      <c r="R590" s="1894">
        <v>448.8</v>
      </c>
      <c r="S590" s="1894">
        <v>0.98240000000000005</v>
      </c>
      <c r="T590" s="1894">
        <v>56.85</v>
      </c>
      <c r="U590" s="1894">
        <v>121806</v>
      </c>
      <c r="V590" s="1894">
        <f t="shared" si="243"/>
        <v>128563</v>
      </c>
      <c r="W590" s="1894">
        <f t="shared" si="244"/>
        <v>0</v>
      </c>
      <c r="X590" s="1894">
        <v>561</v>
      </c>
      <c r="Y590" s="1894">
        <v>284.16000000000003</v>
      </c>
      <c r="Z590" s="1894">
        <v>448.8</v>
      </c>
      <c r="AA590" s="1894">
        <v>0.98160000000000003</v>
      </c>
      <c r="AB590" s="1894">
        <v>39.72</v>
      </c>
      <c r="AC590" s="1894">
        <v>81258</v>
      </c>
      <c r="AD590" s="1894">
        <f t="shared" si="245"/>
        <v>122757</v>
      </c>
      <c r="AE590" s="1894">
        <f t="shared" si="246"/>
        <v>0</v>
      </c>
      <c r="AF590" s="1894">
        <v>561</v>
      </c>
      <c r="AG590" s="1894">
        <v>280.8</v>
      </c>
      <c r="AH590" s="1894">
        <v>448.8</v>
      </c>
      <c r="AI590" s="1894">
        <v>0.98209999999999997</v>
      </c>
      <c r="AJ590" s="1894">
        <v>45.97</v>
      </c>
      <c r="AK590" s="1894">
        <v>96036</v>
      </c>
      <c r="AL590" s="1894">
        <f t="shared" si="239"/>
        <v>125349</v>
      </c>
      <c r="AM590" s="1894">
        <f t="shared" si="240"/>
        <v>0</v>
      </c>
      <c r="AN590" s="1894">
        <v>561</v>
      </c>
      <c r="AO590" s="1894">
        <v>259.68</v>
      </c>
      <c r="AP590" s="1894">
        <v>448.8</v>
      </c>
      <c r="AQ590" s="1894">
        <v>0.98070000000000002</v>
      </c>
      <c r="AR590" s="1894">
        <v>45.19</v>
      </c>
      <c r="AS590" s="1894">
        <v>87300</v>
      </c>
      <c r="AT590" s="1894">
        <f t="shared" si="247"/>
        <v>115921</v>
      </c>
      <c r="AU590" s="1894">
        <f t="shared" si="248"/>
        <v>0</v>
      </c>
      <c r="AV590" s="1894">
        <v>561</v>
      </c>
      <c r="AW590" s="1894">
        <v>248.16000000000003</v>
      </c>
      <c r="AX590" s="1894">
        <v>448.8</v>
      </c>
      <c r="AY590" s="1894">
        <v>0.97840000000000005</v>
      </c>
      <c r="AZ590" s="1894">
        <v>27.45</v>
      </c>
      <c r="BA590" s="1894">
        <v>49038</v>
      </c>
      <c r="BB590" s="1894">
        <f t="shared" si="249"/>
        <v>107205</v>
      </c>
      <c r="BC590" s="1894">
        <f t="shared" si="250"/>
        <v>0</v>
      </c>
      <c r="BD590" s="1894">
        <v>561</v>
      </c>
      <c r="BE590" s="1894">
        <v>206.39999999999998</v>
      </c>
      <c r="BF590" s="1894">
        <v>448.8</v>
      </c>
      <c r="BG590" s="1894">
        <v>0.69620000000000004</v>
      </c>
      <c r="BH590" s="1894">
        <v>2.95</v>
      </c>
      <c r="BI590" s="1894">
        <v>4524</v>
      </c>
      <c r="BJ590" s="1894">
        <f t="shared" si="251"/>
        <v>92137</v>
      </c>
      <c r="BK590" s="1894">
        <f t="shared" si="252"/>
        <v>0</v>
      </c>
      <c r="BL590" s="1894">
        <v>561</v>
      </c>
      <c r="BM590" s="1894">
        <v>22.08</v>
      </c>
      <c r="BN590" s="1894">
        <v>448.8</v>
      </c>
      <c r="BO590" s="1894">
        <v>0.51649999999999996</v>
      </c>
      <c r="BP590" s="1894">
        <v>31.93</v>
      </c>
      <c r="BQ590" s="1894">
        <v>5076</v>
      </c>
      <c r="BR590" s="1894">
        <f t="shared" si="253"/>
        <v>9539</v>
      </c>
      <c r="BS590" s="1894">
        <f t="shared" si="254"/>
        <v>0</v>
      </c>
      <c r="BT590" s="1894">
        <v>561</v>
      </c>
      <c r="BU590" s="1894">
        <v>215.52</v>
      </c>
      <c r="BV590" s="1894">
        <v>448.8</v>
      </c>
      <c r="BW590" s="1894">
        <v>0.84519999999999995</v>
      </c>
      <c r="BX590" s="1894">
        <v>10.11</v>
      </c>
      <c r="BY590" s="1894">
        <v>16212</v>
      </c>
      <c r="BZ590" s="1894">
        <f t="shared" si="255"/>
        <v>96208</v>
      </c>
      <c r="CA590" s="1894">
        <f t="shared" si="256"/>
        <v>0</v>
      </c>
      <c r="CB590" s="1894">
        <v>561</v>
      </c>
      <c r="CC590" s="1894">
        <v>252</v>
      </c>
      <c r="CD590" s="1894">
        <v>448.8</v>
      </c>
      <c r="CE590" s="1894">
        <v>0.98399999999999999</v>
      </c>
      <c r="CF590" s="1894">
        <v>36.96</v>
      </c>
      <c r="CG590" s="1894">
        <v>69288</v>
      </c>
      <c r="CH590" s="1894">
        <f t="shared" si="257"/>
        <v>112493</v>
      </c>
      <c r="CI590" s="1894">
        <f t="shared" si="258"/>
        <v>0</v>
      </c>
      <c r="CJ590" s="1894">
        <v>561</v>
      </c>
      <c r="CK590" s="1894">
        <v>254.4</v>
      </c>
      <c r="CL590" s="1894">
        <v>448.8</v>
      </c>
      <c r="CM590" s="1894">
        <v>0.98329999999999995</v>
      </c>
      <c r="CN590" s="1894">
        <v>56.44</v>
      </c>
      <c r="CO590" s="1894">
        <v>96486</v>
      </c>
      <c r="CP590" s="1894">
        <f t="shared" si="259"/>
        <v>102574</v>
      </c>
      <c r="CQ590" s="1894">
        <f t="shared" si="260"/>
        <v>0</v>
      </c>
      <c r="CR590" s="1924">
        <v>561</v>
      </c>
      <c r="CS590" s="1924">
        <v>283.2</v>
      </c>
      <c r="CT590" s="1924">
        <v>448.8</v>
      </c>
      <c r="CU590" s="1924">
        <v>0.98070000000000002</v>
      </c>
      <c r="CV590" s="1924">
        <v>52.43</v>
      </c>
      <c r="CW590" s="1924">
        <v>110460</v>
      </c>
      <c r="CX590" s="1894">
        <f t="shared" si="261"/>
        <v>126420</v>
      </c>
      <c r="CY590" s="1894">
        <f t="shared" si="262"/>
        <v>0</v>
      </c>
    </row>
    <row r="591" spans="1:103">
      <c r="A591" s="982">
        <v>121000000087</v>
      </c>
      <c r="B591" s="1923">
        <f t="shared" si="263"/>
        <v>585</v>
      </c>
      <c r="C591" s="1895" t="s">
        <v>3459</v>
      </c>
      <c r="D591" s="1894" t="s">
        <v>524</v>
      </c>
      <c r="E591" s="1895" t="s">
        <v>541</v>
      </c>
      <c r="F591" s="1894" t="s">
        <v>259</v>
      </c>
      <c r="G591" s="1924">
        <v>562</v>
      </c>
      <c r="H591" s="1894">
        <v>562</v>
      </c>
      <c r="I591" s="1894">
        <v>274.08</v>
      </c>
      <c r="J591" s="1894">
        <v>449.6</v>
      </c>
      <c r="K591" s="1894">
        <v>0.99450000000000005</v>
      </c>
      <c r="L591" s="1894">
        <v>50.5</v>
      </c>
      <c r="M591" s="1894">
        <v>99648</v>
      </c>
      <c r="N591" s="1894">
        <f t="shared" si="241"/>
        <v>118403</v>
      </c>
      <c r="O591" s="1894">
        <f t="shared" si="242"/>
        <v>0</v>
      </c>
      <c r="P591" s="1894">
        <v>562</v>
      </c>
      <c r="Q591" s="1894">
        <v>358.08</v>
      </c>
      <c r="R591" s="1894">
        <v>449.6</v>
      </c>
      <c r="S591" s="1894">
        <v>0.8649</v>
      </c>
      <c r="T591" s="1894">
        <v>45.13</v>
      </c>
      <c r="U591" s="1894">
        <v>120240</v>
      </c>
      <c r="V591" s="1894">
        <f t="shared" si="243"/>
        <v>159847</v>
      </c>
      <c r="W591" s="1894">
        <f t="shared" si="244"/>
        <v>0</v>
      </c>
      <c r="X591" s="1894">
        <v>562</v>
      </c>
      <c r="Y591" s="1894">
        <v>283.68</v>
      </c>
      <c r="Z591" s="1894">
        <v>449.6</v>
      </c>
      <c r="AA591" s="1894">
        <v>0.99560000000000004</v>
      </c>
      <c r="AB591" s="1894">
        <v>52.49</v>
      </c>
      <c r="AC591" s="1894">
        <v>107220</v>
      </c>
      <c r="AD591" s="1894">
        <f t="shared" si="245"/>
        <v>122550</v>
      </c>
      <c r="AE591" s="1894">
        <f t="shared" si="246"/>
        <v>0</v>
      </c>
      <c r="AF591" s="1894">
        <v>562</v>
      </c>
      <c r="AG591" s="1894">
        <v>323.04000000000002</v>
      </c>
      <c r="AH591" s="1894">
        <v>449.6</v>
      </c>
      <c r="AI591" s="1894">
        <v>0.99760000000000004</v>
      </c>
      <c r="AJ591" s="1894">
        <v>45.7</v>
      </c>
      <c r="AK591" s="1894">
        <v>109842</v>
      </c>
      <c r="AL591" s="1894">
        <f t="shared" si="239"/>
        <v>144205</v>
      </c>
      <c r="AM591" s="1894">
        <f t="shared" si="240"/>
        <v>0</v>
      </c>
      <c r="AN591" s="1894">
        <v>562</v>
      </c>
      <c r="AO591" s="1894">
        <v>336.00000000000006</v>
      </c>
      <c r="AP591" s="1894">
        <v>449.6</v>
      </c>
      <c r="AQ591" s="1894">
        <v>0.99690000000000001</v>
      </c>
      <c r="AR591" s="1894">
        <v>47.58</v>
      </c>
      <c r="AS591" s="1894">
        <v>118950</v>
      </c>
      <c r="AT591" s="1894">
        <f t="shared" si="247"/>
        <v>149990</v>
      </c>
      <c r="AU591" s="1894">
        <f t="shared" si="248"/>
        <v>0</v>
      </c>
      <c r="AV591" s="1894">
        <v>562</v>
      </c>
      <c r="AW591" s="1894">
        <v>345.12</v>
      </c>
      <c r="AX591" s="1894">
        <v>449.6</v>
      </c>
      <c r="AY591" s="1894">
        <v>0.997</v>
      </c>
      <c r="AZ591" s="1894">
        <v>41.25</v>
      </c>
      <c r="BA591" s="1894">
        <v>102492</v>
      </c>
      <c r="BB591" s="1894">
        <f t="shared" si="249"/>
        <v>149092</v>
      </c>
      <c r="BC591" s="1894">
        <f t="shared" si="250"/>
        <v>0</v>
      </c>
      <c r="BD591" s="1894">
        <v>562</v>
      </c>
      <c r="BE591" s="1894">
        <v>307.2</v>
      </c>
      <c r="BF591" s="1894">
        <v>449.6</v>
      </c>
      <c r="BG591" s="1894">
        <v>0.99829999999999997</v>
      </c>
      <c r="BH591" s="1894">
        <v>45.22</v>
      </c>
      <c r="BI591" s="1894">
        <v>103350</v>
      </c>
      <c r="BJ591" s="1894">
        <f t="shared" si="251"/>
        <v>137134</v>
      </c>
      <c r="BK591" s="1894">
        <f t="shared" si="252"/>
        <v>0</v>
      </c>
      <c r="BL591" s="1894">
        <v>562</v>
      </c>
      <c r="BM591" s="1894">
        <v>320.64</v>
      </c>
      <c r="BN591" s="1894">
        <v>449.6</v>
      </c>
      <c r="BO591" s="1894">
        <v>0.99739999999999995</v>
      </c>
      <c r="BP591" s="1894">
        <v>12.21</v>
      </c>
      <c r="BQ591" s="1894">
        <v>28188</v>
      </c>
      <c r="BR591" s="1894">
        <f t="shared" si="253"/>
        <v>138516</v>
      </c>
      <c r="BS591" s="1894">
        <f t="shared" si="254"/>
        <v>0</v>
      </c>
      <c r="BT591" s="1894">
        <v>562</v>
      </c>
      <c r="BU591" s="1894">
        <v>34.56</v>
      </c>
      <c r="BV591" s="1894">
        <v>449.6</v>
      </c>
      <c r="BW591" s="1894">
        <v>0.98750000000000004</v>
      </c>
      <c r="BX591" s="1894">
        <v>15.03</v>
      </c>
      <c r="BY591" s="1894">
        <v>3864</v>
      </c>
      <c r="BZ591" s="1894">
        <f t="shared" si="255"/>
        <v>15428</v>
      </c>
      <c r="CA591" s="1894">
        <f t="shared" si="256"/>
        <v>0</v>
      </c>
      <c r="CB591" s="1894">
        <v>562</v>
      </c>
      <c r="CC591" s="1894">
        <v>294.24</v>
      </c>
      <c r="CD591" s="1894">
        <v>449.6</v>
      </c>
      <c r="CE591" s="1894">
        <v>0.99409999999999998</v>
      </c>
      <c r="CF591" s="1894">
        <v>30</v>
      </c>
      <c r="CG591" s="1894">
        <v>65664</v>
      </c>
      <c r="CH591" s="1894">
        <f t="shared" si="257"/>
        <v>131349</v>
      </c>
      <c r="CI591" s="1894">
        <f t="shared" si="258"/>
        <v>0</v>
      </c>
      <c r="CJ591" s="1894">
        <v>562</v>
      </c>
      <c r="CK591" s="1894">
        <v>362.88</v>
      </c>
      <c r="CL591" s="1894">
        <v>449.6</v>
      </c>
      <c r="CM591" s="1894">
        <v>0.99790000000000001</v>
      </c>
      <c r="CN591" s="1894">
        <v>35.08</v>
      </c>
      <c r="CO591" s="1894">
        <v>85554</v>
      </c>
      <c r="CP591" s="1894">
        <f t="shared" si="259"/>
        <v>146313</v>
      </c>
      <c r="CQ591" s="1894">
        <f t="shared" si="260"/>
        <v>0</v>
      </c>
      <c r="CR591" s="1924">
        <v>562</v>
      </c>
      <c r="CS591" s="1924">
        <v>331.67999999999995</v>
      </c>
      <c r="CT591" s="1924">
        <v>449.6</v>
      </c>
      <c r="CU591" s="1924">
        <v>0.99939999999999996</v>
      </c>
      <c r="CV591" s="1924">
        <v>37.25</v>
      </c>
      <c r="CW591" s="1924">
        <v>91920</v>
      </c>
      <c r="CX591" s="1894">
        <f t="shared" si="261"/>
        <v>148062</v>
      </c>
      <c r="CY591" s="1894">
        <f t="shared" si="262"/>
        <v>0</v>
      </c>
    </row>
    <row r="592" spans="1:103">
      <c r="A592" s="982">
        <v>123000000142</v>
      </c>
      <c r="B592" s="1923">
        <f t="shared" si="263"/>
        <v>586</v>
      </c>
      <c r="C592" s="1895" t="s">
        <v>3460</v>
      </c>
      <c r="D592" s="1894" t="s">
        <v>524</v>
      </c>
      <c r="E592" s="1895" t="s">
        <v>636</v>
      </c>
      <c r="F592" s="1894" t="s">
        <v>259</v>
      </c>
      <c r="G592" s="1924">
        <v>562</v>
      </c>
      <c r="H592" s="1894">
        <v>0</v>
      </c>
      <c r="I592" s="1894">
        <v>0</v>
      </c>
      <c r="J592" s="1894">
        <v>0</v>
      </c>
      <c r="K592" s="1894">
        <v>0</v>
      </c>
      <c r="L592" s="1894">
        <v>0</v>
      </c>
      <c r="M592" s="1894">
        <v>0</v>
      </c>
      <c r="N592" s="1894">
        <f t="shared" si="241"/>
        <v>0</v>
      </c>
      <c r="O592" s="1894">
        <f t="shared" si="242"/>
        <v>0</v>
      </c>
      <c r="P592" s="1894">
        <v>0</v>
      </c>
      <c r="Q592" s="1894">
        <v>0</v>
      </c>
      <c r="R592" s="1894">
        <v>0</v>
      </c>
      <c r="S592" s="1894">
        <v>0</v>
      </c>
      <c r="T592" s="1894">
        <v>0</v>
      </c>
      <c r="U592" s="1894">
        <v>0</v>
      </c>
      <c r="V592" s="1894">
        <f t="shared" si="243"/>
        <v>0</v>
      </c>
      <c r="W592" s="1894">
        <f t="shared" si="244"/>
        <v>0</v>
      </c>
      <c r="X592" s="1894">
        <v>0</v>
      </c>
      <c r="Y592" s="1894">
        <v>0</v>
      </c>
      <c r="Z592" s="1894">
        <v>0</v>
      </c>
      <c r="AA592" s="1894">
        <v>0</v>
      </c>
      <c r="AB592" s="1894">
        <v>0</v>
      </c>
      <c r="AC592" s="1894">
        <v>0</v>
      </c>
      <c r="AD592" s="1894">
        <f t="shared" si="245"/>
        <v>0</v>
      </c>
      <c r="AE592" s="1894">
        <f t="shared" si="246"/>
        <v>0</v>
      </c>
      <c r="AF592" s="1894">
        <v>0</v>
      </c>
      <c r="AG592" s="1894">
        <v>0</v>
      </c>
      <c r="AH592" s="1894">
        <v>0</v>
      </c>
      <c r="AI592" s="1894">
        <v>0</v>
      </c>
      <c r="AJ592" s="1894">
        <v>0</v>
      </c>
      <c r="AK592" s="1894">
        <v>0</v>
      </c>
      <c r="AL592" s="1894">
        <f t="shared" si="239"/>
        <v>0</v>
      </c>
      <c r="AM592" s="1894">
        <f t="shared" si="240"/>
        <v>0</v>
      </c>
      <c r="AN592" s="1894">
        <v>0</v>
      </c>
      <c r="AO592" s="1894">
        <v>0</v>
      </c>
      <c r="AP592" s="1894">
        <v>0</v>
      </c>
      <c r="AQ592" s="1894">
        <v>0</v>
      </c>
      <c r="AR592" s="1894">
        <v>0</v>
      </c>
      <c r="AS592" s="1894">
        <v>0</v>
      </c>
      <c r="AT592" s="1894">
        <f t="shared" si="247"/>
        <v>0</v>
      </c>
      <c r="AU592" s="1894">
        <f t="shared" si="248"/>
        <v>0</v>
      </c>
      <c r="AV592" s="1894">
        <v>0</v>
      </c>
      <c r="AW592" s="1894">
        <v>0</v>
      </c>
      <c r="AX592" s="1894">
        <v>0</v>
      </c>
      <c r="AY592" s="1894">
        <v>0</v>
      </c>
      <c r="AZ592" s="1894">
        <v>0</v>
      </c>
      <c r="BA592" s="1894">
        <v>0</v>
      </c>
      <c r="BB592" s="1894">
        <f t="shared" si="249"/>
        <v>0</v>
      </c>
      <c r="BC592" s="1894">
        <f t="shared" si="250"/>
        <v>0</v>
      </c>
      <c r="BD592" s="1894">
        <v>0</v>
      </c>
      <c r="BE592" s="1894">
        <v>0</v>
      </c>
      <c r="BF592" s="1894">
        <v>0</v>
      </c>
      <c r="BG592" s="1894">
        <v>0</v>
      </c>
      <c r="BH592" s="1894">
        <v>0</v>
      </c>
      <c r="BI592" s="1894">
        <v>0</v>
      </c>
      <c r="BJ592" s="1894">
        <f t="shared" si="251"/>
        <v>0</v>
      </c>
      <c r="BK592" s="1894">
        <f t="shared" si="252"/>
        <v>0</v>
      </c>
      <c r="BL592" s="1894">
        <v>0</v>
      </c>
      <c r="BM592" s="1894">
        <v>0</v>
      </c>
      <c r="BN592" s="1894">
        <v>0</v>
      </c>
      <c r="BO592" s="1894">
        <v>0</v>
      </c>
      <c r="BP592" s="1894">
        <v>0</v>
      </c>
      <c r="BQ592" s="1894">
        <v>0</v>
      </c>
      <c r="BR592" s="1894">
        <f t="shared" si="253"/>
        <v>0</v>
      </c>
      <c r="BS592" s="1894">
        <f t="shared" si="254"/>
        <v>0</v>
      </c>
      <c r="BT592" s="1894">
        <v>0</v>
      </c>
      <c r="BU592" s="1894">
        <v>0</v>
      </c>
      <c r="BV592" s="1894">
        <v>0</v>
      </c>
      <c r="BW592" s="1894">
        <v>0</v>
      </c>
      <c r="BX592" s="1894">
        <v>0</v>
      </c>
      <c r="BY592" s="1894">
        <v>0</v>
      </c>
      <c r="BZ592" s="1894">
        <f t="shared" si="255"/>
        <v>0</v>
      </c>
      <c r="CA592" s="1894">
        <f t="shared" si="256"/>
        <v>0</v>
      </c>
      <c r="CB592" s="1894">
        <v>0</v>
      </c>
      <c r="CC592" s="1894">
        <v>0</v>
      </c>
      <c r="CD592" s="1894">
        <v>0</v>
      </c>
      <c r="CE592" s="1894">
        <v>0</v>
      </c>
      <c r="CF592" s="1894">
        <v>0</v>
      </c>
      <c r="CG592" s="1894">
        <v>0</v>
      </c>
      <c r="CH592" s="1894">
        <f t="shared" si="257"/>
        <v>0</v>
      </c>
      <c r="CI592" s="1894">
        <f t="shared" si="258"/>
        <v>0</v>
      </c>
      <c r="CJ592" s="1894">
        <v>562</v>
      </c>
      <c r="CK592" s="1894">
        <v>150</v>
      </c>
      <c r="CL592" s="1894">
        <v>449.6</v>
      </c>
      <c r="CM592" s="1894">
        <v>0.95909999999999995</v>
      </c>
      <c r="CN592" s="1894">
        <v>3.9</v>
      </c>
      <c r="CO592" s="1894">
        <v>4770</v>
      </c>
      <c r="CP592" s="1894">
        <f t="shared" si="259"/>
        <v>60480</v>
      </c>
      <c r="CQ592" s="1894">
        <f t="shared" si="260"/>
        <v>0</v>
      </c>
      <c r="CR592" s="1924">
        <v>562</v>
      </c>
      <c r="CS592" s="1924">
        <v>280.8</v>
      </c>
      <c r="CT592" s="1924">
        <v>449.6</v>
      </c>
      <c r="CU592" s="1924">
        <v>0.91390000000000005</v>
      </c>
      <c r="CV592" s="1924">
        <v>14.1</v>
      </c>
      <c r="CW592" s="1924">
        <v>29460</v>
      </c>
      <c r="CX592" s="1894">
        <f t="shared" si="261"/>
        <v>125349</v>
      </c>
      <c r="CY592" s="1894">
        <f t="shared" si="262"/>
        <v>0</v>
      </c>
    </row>
    <row r="593" spans="1:103">
      <c r="A593" s="982">
        <v>615000000051</v>
      </c>
      <c r="B593" s="1923">
        <f t="shared" si="263"/>
        <v>587</v>
      </c>
      <c r="C593" s="1895" t="s">
        <v>3461</v>
      </c>
      <c r="D593" s="1894" t="s">
        <v>524</v>
      </c>
      <c r="E593" s="1895" t="s">
        <v>541</v>
      </c>
      <c r="F593" s="1894" t="s">
        <v>259</v>
      </c>
      <c r="G593" s="1924">
        <v>562</v>
      </c>
      <c r="H593" s="1894">
        <v>562</v>
      </c>
      <c r="I593" s="1894">
        <v>358.56</v>
      </c>
      <c r="J593" s="1894">
        <v>449.6</v>
      </c>
      <c r="K593" s="1894">
        <v>0.65810000000000002</v>
      </c>
      <c r="L593" s="1894">
        <v>31.19</v>
      </c>
      <c r="M593" s="1894">
        <v>80514</v>
      </c>
      <c r="N593" s="1894">
        <f t="shared" si="241"/>
        <v>154898</v>
      </c>
      <c r="O593" s="1894">
        <f t="shared" si="242"/>
        <v>0</v>
      </c>
      <c r="P593" s="1894">
        <v>562</v>
      </c>
      <c r="Q593" s="1894">
        <v>383.52</v>
      </c>
      <c r="R593" s="1894">
        <v>449.6</v>
      </c>
      <c r="S593" s="1894">
        <v>0.61929999999999996</v>
      </c>
      <c r="T593" s="1894">
        <v>15.26</v>
      </c>
      <c r="U593" s="1894">
        <v>43548</v>
      </c>
      <c r="V593" s="1894">
        <f t="shared" si="243"/>
        <v>171203</v>
      </c>
      <c r="W593" s="1894">
        <f t="shared" si="244"/>
        <v>0</v>
      </c>
      <c r="X593" s="1894">
        <v>562</v>
      </c>
      <c r="Y593" s="1894">
        <v>273.60000000000002</v>
      </c>
      <c r="Z593" s="1894">
        <v>449.6</v>
      </c>
      <c r="AA593" s="1894">
        <v>0.35809999999999997</v>
      </c>
      <c r="AB593" s="1894">
        <v>3.52</v>
      </c>
      <c r="AC593" s="1894">
        <v>6936</v>
      </c>
      <c r="AD593" s="1894">
        <f t="shared" si="245"/>
        <v>118195</v>
      </c>
      <c r="AE593" s="1894">
        <f t="shared" si="246"/>
        <v>0</v>
      </c>
      <c r="AF593" s="1894">
        <v>562</v>
      </c>
      <c r="AG593" s="1894">
        <v>381.6</v>
      </c>
      <c r="AH593" s="1894">
        <v>449.6</v>
      </c>
      <c r="AI593" s="1894">
        <v>0.67320000000000002</v>
      </c>
      <c r="AJ593" s="1894">
        <v>25.17</v>
      </c>
      <c r="AK593" s="1894">
        <v>71466</v>
      </c>
      <c r="AL593" s="1894">
        <f t="shared" si="239"/>
        <v>170346</v>
      </c>
      <c r="AM593" s="1894">
        <f t="shared" si="240"/>
        <v>0</v>
      </c>
      <c r="AN593" s="1894">
        <v>562</v>
      </c>
      <c r="AO593" s="1894">
        <v>383.52</v>
      </c>
      <c r="AP593" s="1894">
        <v>449.6</v>
      </c>
      <c r="AQ593" s="1894">
        <v>0.68369999999999997</v>
      </c>
      <c r="AR593" s="1894">
        <v>35.92</v>
      </c>
      <c r="AS593" s="1894">
        <v>102504</v>
      </c>
      <c r="AT593" s="1894">
        <f t="shared" si="247"/>
        <v>171203</v>
      </c>
      <c r="AU593" s="1894">
        <f t="shared" si="248"/>
        <v>0</v>
      </c>
      <c r="AV593" s="1894">
        <v>562</v>
      </c>
      <c r="AW593" s="1894">
        <v>412.79999999999995</v>
      </c>
      <c r="AX593" s="1894">
        <v>449.6</v>
      </c>
      <c r="AY593" s="1894">
        <v>0.69350000000000001</v>
      </c>
      <c r="AZ593" s="1894">
        <v>24.71</v>
      </c>
      <c r="BA593" s="1894">
        <v>73452</v>
      </c>
      <c r="BB593" s="1894">
        <f t="shared" si="249"/>
        <v>178330</v>
      </c>
      <c r="BC593" s="1894">
        <f t="shared" si="250"/>
        <v>0</v>
      </c>
      <c r="BD593" s="1894">
        <v>562</v>
      </c>
      <c r="BE593" s="1894">
        <v>416.64</v>
      </c>
      <c r="BF593" s="1894">
        <v>449.6</v>
      </c>
      <c r="BG593" s="1894">
        <v>0.67079999999999995</v>
      </c>
      <c r="BH593" s="1894">
        <v>27.25</v>
      </c>
      <c r="BI593" s="1894">
        <v>84480</v>
      </c>
      <c r="BJ593" s="1894">
        <f t="shared" si="251"/>
        <v>185988</v>
      </c>
      <c r="BK593" s="1894">
        <f t="shared" si="252"/>
        <v>0</v>
      </c>
      <c r="BL593" s="1894">
        <v>562</v>
      </c>
      <c r="BM593" s="1894">
        <v>396</v>
      </c>
      <c r="BN593" s="1894">
        <v>449.6</v>
      </c>
      <c r="BO593" s="1894">
        <v>0.63790000000000002</v>
      </c>
      <c r="BP593" s="1894">
        <v>30.32</v>
      </c>
      <c r="BQ593" s="1894">
        <v>86436</v>
      </c>
      <c r="BR593" s="1894">
        <f t="shared" si="253"/>
        <v>171072</v>
      </c>
      <c r="BS593" s="1894">
        <f t="shared" si="254"/>
        <v>0</v>
      </c>
      <c r="BT593" s="1894">
        <v>562</v>
      </c>
      <c r="BU593" s="1894">
        <v>392.15999999999997</v>
      </c>
      <c r="BV593" s="1894">
        <v>449.6</v>
      </c>
      <c r="BW593" s="1894">
        <v>0.64590000000000003</v>
      </c>
      <c r="BX593" s="1894">
        <v>12.59</v>
      </c>
      <c r="BY593" s="1894">
        <v>36726</v>
      </c>
      <c r="BZ593" s="1894">
        <f t="shared" si="255"/>
        <v>175060</v>
      </c>
      <c r="CA593" s="1894">
        <f t="shared" si="256"/>
        <v>0</v>
      </c>
      <c r="CB593" s="1894">
        <v>562</v>
      </c>
      <c r="CC593" s="1894">
        <v>400.32</v>
      </c>
      <c r="CD593" s="1894">
        <v>449.6</v>
      </c>
      <c r="CE593" s="1894">
        <v>0.70250000000000001</v>
      </c>
      <c r="CF593" s="1894">
        <v>39.43</v>
      </c>
      <c r="CG593" s="1894">
        <v>117426</v>
      </c>
      <c r="CH593" s="1894">
        <f t="shared" si="257"/>
        <v>178703</v>
      </c>
      <c r="CI593" s="1894">
        <f t="shared" si="258"/>
        <v>0</v>
      </c>
      <c r="CJ593" s="1894">
        <v>562</v>
      </c>
      <c r="CK593" s="1894">
        <v>425.76</v>
      </c>
      <c r="CL593" s="1894">
        <v>449.6</v>
      </c>
      <c r="CM593" s="1894">
        <v>0.71020000000000005</v>
      </c>
      <c r="CN593" s="1894">
        <v>45.44</v>
      </c>
      <c r="CO593" s="1894">
        <v>130002</v>
      </c>
      <c r="CP593" s="1894">
        <f t="shared" si="259"/>
        <v>171666</v>
      </c>
      <c r="CQ593" s="1894">
        <f t="shared" si="260"/>
        <v>0</v>
      </c>
      <c r="CR593" s="1924">
        <v>562</v>
      </c>
      <c r="CS593" s="1924">
        <v>402.24</v>
      </c>
      <c r="CT593" s="1924">
        <v>449.6</v>
      </c>
      <c r="CU593" s="1924">
        <v>0.69610000000000005</v>
      </c>
      <c r="CV593" s="1924">
        <v>37.03</v>
      </c>
      <c r="CW593" s="1924">
        <v>110814</v>
      </c>
      <c r="CX593" s="1894">
        <f t="shared" si="261"/>
        <v>179560</v>
      </c>
      <c r="CY593" s="1894">
        <f t="shared" si="262"/>
        <v>0</v>
      </c>
    </row>
    <row r="594" spans="1:103">
      <c r="A594" s="982">
        <v>127000000006</v>
      </c>
      <c r="B594" s="1923">
        <f t="shared" si="263"/>
        <v>588</v>
      </c>
      <c r="C594" s="1895" t="s">
        <v>3462</v>
      </c>
      <c r="D594" s="1894" t="s">
        <v>524</v>
      </c>
      <c r="E594" s="1895" t="s">
        <v>2966</v>
      </c>
      <c r="F594" s="1894" t="s">
        <v>259</v>
      </c>
      <c r="G594" s="1924">
        <v>562</v>
      </c>
      <c r="H594" s="1894">
        <v>562</v>
      </c>
      <c r="I594" s="1894">
        <v>19.8</v>
      </c>
      <c r="J594" s="1894">
        <v>562</v>
      </c>
      <c r="K594" s="1894">
        <v>0.57650000000000001</v>
      </c>
      <c r="L594" s="1894">
        <v>0</v>
      </c>
      <c r="M594" s="1894">
        <v>4215</v>
      </c>
      <c r="N594" s="1894">
        <f t="shared" si="241"/>
        <v>8554</v>
      </c>
      <c r="O594" s="1894">
        <f t="shared" si="242"/>
        <v>0</v>
      </c>
      <c r="P594" s="1894">
        <v>562</v>
      </c>
      <c r="Q594" s="1894">
        <v>55.199999999999996</v>
      </c>
      <c r="R594" s="1894">
        <v>562</v>
      </c>
      <c r="S594" s="1894">
        <v>0.69220000000000004</v>
      </c>
      <c r="T594" s="1894">
        <v>0</v>
      </c>
      <c r="U594" s="1894">
        <v>7506</v>
      </c>
      <c r="V594" s="1894">
        <f t="shared" si="243"/>
        <v>24641</v>
      </c>
      <c r="W594" s="1894">
        <f t="shared" si="244"/>
        <v>0</v>
      </c>
      <c r="X594" s="1894">
        <v>562</v>
      </c>
      <c r="Y594" s="1894">
        <v>152.4</v>
      </c>
      <c r="Z594" s="1894">
        <v>562</v>
      </c>
      <c r="AA594" s="1894">
        <v>0.66439999999999999</v>
      </c>
      <c r="AB594" s="1894">
        <v>0</v>
      </c>
      <c r="AC594" s="1894">
        <v>15342</v>
      </c>
      <c r="AD594" s="1894">
        <f t="shared" si="245"/>
        <v>65837</v>
      </c>
      <c r="AE594" s="1894">
        <f t="shared" si="246"/>
        <v>0</v>
      </c>
      <c r="AF594" s="1894">
        <v>562</v>
      </c>
      <c r="AG594" s="1894">
        <v>238.8</v>
      </c>
      <c r="AH594" s="1894">
        <v>562</v>
      </c>
      <c r="AI594" s="1894">
        <v>0.55940000000000001</v>
      </c>
      <c r="AJ594" s="1894">
        <v>0</v>
      </c>
      <c r="AK594" s="1894">
        <v>32376</v>
      </c>
      <c r="AL594" s="1894">
        <f t="shared" si="239"/>
        <v>106600</v>
      </c>
      <c r="AM594" s="1894">
        <f t="shared" si="240"/>
        <v>0</v>
      </c>
      <c r="AN594" s="1894">
        <v>562</v>
      </c>
      <c r="AO594" s="1894">
        <v>245.52</v>
      </c>
      <c r="AP594" s="1894">
        <v>562</v>
      </c>
      <c r="AQ594" s="1894">
        <v>0.52480000000000004</v>
      </c>
      <c r="AR594" s="1894">
        <v>0</v>
      </c>
      <c r="AS594" s="1894">
        <v>36435</v>
      </c>
      <c r="AT594" s="1894">
        <f t="shared" si="247"/>
        <v>109600</v>
      </c>
      <c r="AU594" s="1894">
        <f t="shared" si="248"/>
        <v>0</v>
      </c>
      <c r="AV594" s="1894">
        <v>562</v>
      </c>
      <c r="AW594" s="1894">
        <v>234.48</v>
      </c>
      <c r="AX594" s="1894">
        <v>562</v>
      </c>
      <c r="AY594" s="1894">
        <v>0.59099999999999997</v>
      </c>
      <c r="AZ594" s="1894">
        <v>0</v>
      </c>
      <c r="BA594" s="1894">
        <v>49794</v>
      </c>
      <c r="BB594" s="1894">
        <f t="shared" si="249"/>
        <v>101295</v>
      </c>
      <c r="BC594" s="1894">
        <f t="shared" si="250"/>
        <v>0</v>
      </c>
      <c r="BD594" s="1894">
        <v>562</v>
      </c>
      <c r="BE594" s="1894">
        <v>259.44</v>
      </c>
      <c r="BF594" s="1894">
        <v>562</v>
      </c>
      <c r="BG594" s="1894">
        <v>0.55289999999999995</v>
      </c>
      <c r="BH594" s="1894">
        <v>0</v>
      </c>
      <c r="BI594" s="1894">
        <v>79347</v>
      </c>
      <c r="BJ594" s="1894">
        <f t="shared" si="251"/>
        <v>115814</v>
      </c>
      <c r="BK594" s="1894">
        <f t="shared" si="252"/>
        <v>0</v>
      </c>
      <c r="BL594" s="1894">
        <v>562</v>
      </c>
      <c r="BM594" s="1894">
        <v>319.92</v>
      </c>
      <c r="BN594" s="1894">
        <v>562</v>
      </c>
      <c r="BO594" s="1894">
        <v>0.443</v>
      </c>
      <c r="BP594" s="1894">
        <v>0</v>
      </c>
      <c r="BQ594" s="1894">
        <v>130278</v>
      </c>
      <c r="BR594" s="1894">
        <f t="shared" si="253"/>
        <v>138205</v>
      </c>
      <c r="BS594" s="1894">
        <f t="shared" si="254"/>
        <v>0</v>
      </c>
      <c r="BT594" s="1894">
        <v>562</v>
      </c>
      <c r="BU594" s="1894">
        <v>243.84</v>
      </c>
      <c r="BV594" s="1894">
        <v>562</v>
      </c>
      <c r="BW594" s="1894">
        <v>0.24829999999999999</v>
      </c>
      <c r="BX594" s="1894">
        <v>0</v>
      </c>
      <c r="BY594" s="1894">
        <v>69264</v>
      </c>
      <c r="BZ594" s="1894">
        <f t="shared" si="255"/>
        <v>108850</v>
      </c>
      <c r="CA594" s="1894">
        <f t="shared" si="256"/>
        <v>0</v>
      </c>
      <c r="CB594" s="1894">
        <v>562</v>
      </c>
      <c r="CC594" s="1894">
        <v>37.92</v>
      </c>
      <c r="CD594" s="1894">
        <v>562</v>
      </c>
      <c r="CE594" s="1894">
        <v>0.60840000000000005</v>
      </c>
      <c r="CF594" s="1894">
        <v>0</v>
      </c>
      <c r="CG594" s="1894">
        <v>8589</v>
      </c>
      <c r="CH594" s="1894">
        <f t="shared" si="257"/>
        <v>16927</v>
      </c>
      <c r="CI594" s="1894">
        <f t="shared" si="258"/>
        <v>0</v>
      </c>
      <c r="CJ594" s="1894">
        <v>562</v>
      </c>
      <c r="CK594" s="1894">
        <v>69.600000000000009</v>
      </c>
      <c r="CL594" s="1894">
        <v>562</v>
      </c>
      <c r="CM594" s="1894">
        <v>0.7319</v>
      </c>
      <c r="CN594" s="1894">
        <v>0</v>
      </c>
      <c r="CO594" s="1894">
        <v>7800</v>
      </c>
      <c r="CP594" s="1894">
        <f t="shared" si="259"/>
        <v>28063</v>
      </c>
      <c r="CQ594" s="1894">
        <f t="shared" si="260"/>
        <v>0</v>
      </c>
      <c r="CR594" s="1924">
        <v>562</v>
      </c>
      <c r="CS594" s="1924">
        <v>87.12</v>
      </c>
      <c r="CT594" s="1924">
        <v>562</v>
      </c>
      <c r="CU594" s="1924">
        <v>0.77859999999999996</v>
      </c>
      <c r="CV594" s="1924">
        <v>0</v>
      </c>
      <c r="CW594" s="1924">
        <v>12768</v>
      </c>
      <c r="CX594" s="1894">
        <f t="shared" si="261"/>
        <v>38890</v>
      </c>
      <c r="CY594" s="1894">
        <f t="shared" si="262"/>
        <v>0</v>
      </c>
    </row>
    <row r="595" spans="1:103">
      <c r="A595" s="982">
        <v>621000000012</v>
      </c>
      <c r="B595" s="1923">
        <f t="shared" si="263"/>
        <v>589</v>
      </c>
      <c r="C595" s="1895" t="s">
        <v>3463</v>
      </c>
      <c r="D595" s="1894" t="s">
        <v>524</v>
      </c>
      <c r="E595" s="1895" t="s">
        <v>541</v>
      </c>
      <c r="F595" s="1894" t="s">
        <v>259</v>
      </c>
      <c r="G595" s="1924">
        <v>570</v>
      </c>
      <c r="H595" s="1894">
        <v>570</v>
      </c>
      <c r="I595" s="1894">
        <v>449.76000000000005</v>
      </c>
      <c r="J595" s="1894">
        <v>456</v>
      </c>
      <c r="K595" s="1894">
        <v>0.96899999999999997</v>
      </c>
      <c r="L595" s="1894">
        <v>60.79</v>
      </c>
      <c r="M595" s="1894">
        <v>196848</v>
      </c>
      <c r="N595" s="1894">
        <f t="shared" si="241"/>
        <v>194296</v>
      </c>
      <c r="O595" s="1894">
        <f t="shared" si="242"/>
        <v>2552</v>
      </c>
      <c r="P595" s="1894">
        <v>570</v>
      </c>
      <c r="Q595" s="1894">
        <v>438</v>
      </c>
      <c r="R595" s="1894">
        <v>456</v>
      </c>
      <c r="S595" s="1894">
        <v>0.96550000000000002</v>
      </c>
      <c r="T595" s="1894">
        <v>61.79</v>
      </c>
      <c r="U595" s="1894">
        <v>201369</v>
      </c>
      <c r="V595" s="1894">
        <f t="shared" si="243"/>
        <v>195523</v>
      </c>
      <c r="W595" s="1894">
        <f t="shared" si="244"/>
        <v>5846</v>
      </c>
      <c r="X595" s="1894">
        <v>570</v>
      </c>
      <c r="Y595" s="1894">
        <v>455.28000000000003</v>
      </c>
      <c r="Z595" s="1894">
        <v>456</v>
      </c>
      <c r="AA595" s="1894">
        <v>0.9617</v>
      </c>
      <c r="AB595" s="1894">
        <v>54.94</v>
      </c>
      <c r="AC595" s="1894">
        <v>180081</v>
      </c>
      <c r="AD595" s="1894">
        <f t="shared" si="245"/>
        <v>196681</v>
      </c>
      <c r="AE595" s="1894">
        <f t="shared" si="246"/>
        <v>0</v>
      </c>
      <c r="AF595" s="1894">
        <v>570</v>
      </c>
      <c r="AG595" s="1894">
        <v>511.2</v>
      </c>
      <c r="AH595" s="1894">
        <v>511.2</v>
      </c>
      <c r="AI595" s="1894">
        <v>0.95369999999999999</v>
      </c>
      <c r="AJ595" s="1894">
        <v>53.45</v>
      </c>
      <c r="AK595" s="1894">
        <v>190173</v>
      </c>
      <c r="AL595" s="1894">
        <f t="shared" si="239"/>
        <v>228200</v>
      </c>
      <c r="AM595" s="1894">
        <f t="shared" si="240"/>
        <v>0</v>
      </c>
      <c r="AN595" s="1894">
        <v>570</v>
      </c>
      <c r="AO595" s="1894">
        <v>351.12</v>
      </c>
      <c r="AP595" s="1894">
        <v>456</v>
      </c>
      <c r="AQ595" s="1894">
        <v>0.96650000000000003</v>
      </c>
      <c r="AR595" s="1894">
        <v>60.42</v>
      </c>
      <c r="AS595" s="1894">
        <v>168027</v>
      </c>
      <c r="AT595" s="1894">
        <f t="shared" si="247"/>
        <v>156740</v>
      </c>
      <c r="AU595" s="1894">
        <f t="shared" si="248"/>
        <v>11287</v>
      </c>
      <c r="AV595" s="1894">
        <v>570</v>
      </c>
      <c r="AW595" s="1894">
        <v>400.56</v>
      </c>
      <c r="AX595" s="1894">
        <v>456</v>
      </c>
      <c r="AY595" s="1894">
        <v>0.97230000000000005</v>
      </c>
      <c r="AZ595" s="1894">
        <v>43.85</v>
      </c>
      <c r="BA595" s="1894">
        <v>126453</v>
      </c>
      <c r="BB595" s="1894">
        <f t="shared" si="249"/>
        <v>173042</v>
      </c>
      <c r="BC595" s="1894">
        <f t="shared" si="250"/>
        <v>0</v>
      </c>
      <c r="BD595" s="1894">
        <v>570</v>
      </c>
      <c r="BE595" s="1894">
        <v>438.96000000000004</v>
      </c>
      <c r="BF595" s="1894">
        <v>456</v>
      </c>
      <c r="BG595" s="1894">
        <v>0.97150000000000003</v>
      </c>
      <c r="BH595" s="1894">
        <v>45.24</v>
      </c>
      <c r="BI595" s="1894">
        <v>147744</v>
      </c>
      <c r="BJ595" s="1894">
        <f t="shared" si="251"/>
        <v>195952</v>
      </c>
      <c r="BK595" s="1894">
        <f t="shared" si="252"/>
        <v>0</v>
      </c>
      <c r="BL595" s="1894">
        <v>570</v>
      </c>
      <c r="BM595" s="1894">
        <v>486.47999999999996</v>
      </c>
      <c r="BN595" s="1894">
        <v>486.48</v>
      </c>
      <c r="BO595" s="1894">
        <v>0.95540000000000003</v>
      </c>
      <c r="BP595" s="1894">
        <v>48.87</v>
      </c>
      <c r="BQ595" s="1894">
        <v>171162</v>
      </c>
      <c r="BR595" s="1894">
        <f t="shared" si="253"/>
        <v>210159</v>
      </c>
      <c r="BS595" s="1894">
        <f t="shared" si="254"/>
        <v>0</v>
      </c>
      <c r="BT595" s="1894">
        <v>570</v>
      </c>
      <c r="BU595" s="1894">
        <v>582.96</v>
      </c>
      <c r="BV595" s="1894">
        <v>582.96</v>
      </c>
      <c r="BW595" s="1894">
        <v>0.93579999999999997</v>
      </c>
      <c r="BX595" s="1894">
        <v>54.14</v>
      </c>
      <c r="BY595" s="1894">
        <v>234816</v>
      </c>
      <c r="BZ595" s="1894">
        <f t="shared" si="255"/>
        <v>260233</v>
      </c>
      <c r="CA595" s="1894">
        <f t="shared" si="256"/>
        <v>0</v>
      </c>
      <c r="CB595" s="1894">
        <v>570</v>
      </c>
      <c r="CC595" s="1894">
        <v>563.52</v>
      </c>
      <c r="CD595" s="1894">
        <v>563.52</v>
      </c>
      <c r="CE595" s="1894">
        <v>0.97309999999999997</v>
      </c>
      <c r="CF595" s="1894">
        <v>62.81</v>
      </c>
      <c r="CG595" s="1894">
        <v>263331</v>
      </c>
      <c r="CH595" s="1894">
        <f t="shared" si="257"/>
        <v>251555</v>
      </c>
      <c r="CI595" s="1894">
        <f t="shared" si="258"/>
        <v>11776</v>
      </c>
      <c r="CJ595" s="1894">
        <v>570</v>
      </c>
      <c r="CK595" s="1894">
        <v>520.08000000000004</v>
      </c>
      <c r="CL595" s="1894">
        <v>520.08000000000004</v>
      </c>
      <c r="CM595" s="1894">
        <v>0.97589999999999999</v>
      </c>
      <c r="CN595" s="1894">
        <v>53.67</v>
      </c>
      <c r="CO595" s="1894">
        <v>187557</v>
      </c>
      <c r="CP595" s="1894">
        <f t="shared" si="259"/>
        <v>209696</v>
      </c>
      <c r="CQ595" s="1894">
        <f t="shared" si="260"/>
        <v>0</v>
      </c>
      <c r="CR595" s="1924">
        <v>570</v>
      </c>
      <c r="CS595" s="1924">
        <v>460.32</v>
      </c>
      <c r="CT595" s="1924">
        <v>460.32</v>
      </c>
      <c r="CU595" s="1924">
        <v>0.98460000000000003</v>
      </c>
      <c r="CV595" s="1924">
        <v>53.42</v>
      </c>
      <c r="CW595" s="1924">
        <v>182943</v>
      </c>
      <c r="CX595" s="1894">
        <f t="shared" si="261"/>
        <v>205487</v>
      </c>
      <c r="CY595" s="1894">
        <f t="shared" si="262"/>
        <v>0</v>
      </c>
    </row>
    <row r="596" spans="1:103">
      <c r="A596" s="982">
        <v>121000000049</v>
      </c>
      <c r="B596" s="1923">
        <f t="shared" si="263"/>
        <v>590</v>
      </c>
      <c r="C596" s="1895" t="s">
        <v>3464</v>
      </c>
      <c r="D596" s="1894" t="s">
        <v>524</v>
      </c>
      <c r="E596" s="1895" t="s">
        <v>2966</v>
      </c>
      <c r="F596" s="1894" t="s">
        <v>259</v>
      </c>
      <c r="G596" s="1924">
        <v>576</v>
      </c>
      <c r="H596" s="1894">
        <v>576</v>
      </c>
      <c r="I596" s="1894">
        <v>110.39999999999999</v>
      </c>
      <c r="J596" s="1894">
        <v>576</v>
      </c>
      <c r="K596" s="1894">
        <v>0.95850000000000002</v>
      </c>
      <c r="L596" s="1894">
        <v>0</v>
      </c>
      <c r="M596" s="1894">
        <v>10505</v>
      </c>
      <c r="N596" s="1894">
        <f t="shared" si="241"/>
        <v>47693</v>
      </c>
      <c r="O596" s="1894">
        <f t="shared" si="242"/>
        <v>0</v>
      </c>
      <c r="P596" s="1894">
        <v>576</v>
      </c>
      <c r="Q596" s="1894">
        <v>92.399999999999991</v>
      </c>
      <c r="R596" s="1894">
        <v>576</v>
      </c>
      <c r="S596" s="1894">
        <v>0.96550000000000002</v>
      </c>
      <c r="T596" s="1894">
        <v>0</v>
      </c>
      <c r="U596" s="1894">
        <v>10170</v>
      </c>
      <c r="V596" s="1894">
        <f t="shared" si="243"/>
        <v>41247</v>
      </c>
      <c r="W596" s="1894">
        <f t="shared" si="244"/>
        <v>0</v>
      </c>
      <c r="X596" s="1894">
        <v>576</v>
      </c>
      <c r="Y596" s="1894">
        <v>86.8</v>
      </c>
      <c r="Z596" s="1894">
        <v>576</v>
      </c>
      <c r="AA596" s="1894">
        <v>0.97009999999999996</v>
      </c>
      <c r="AB596" s="1894">
        <v>0</v>
      </c>
      <c r="AC596" s="1894">
        <v>6705</v>
      </c>
      <c r="AD596" s="1894">
        <f t="shared" si="245"/>
        <v>37498</v>
      </c>
      <c r="AE596" s="1894">
        <f t="shared" si="246"/>
        <v>0</v>
      </c>
      <c r="AF596" s="1894">
        <v>576</v>
      </c>
      <c r="AG596" s="1894">
        <v>76</v>
      </c>
      <c r="AH596" s="1894">
        <v>576</v>
      </c>
      <c r="AI596" s="1894">
        <v>0.9899</v>
      </c>
      <c r="AJ596" s="1894">
        <v>0</v>
      </c>
      <c r="AK596" s="1894">
        <v>8975</v>
      </c>
      <c r="AL596" s="1894">
        <f t="shared" si="239"/>
        <v>33926</v>
      </c>
      <c r="AM596" s="1894">
        <f t="shared" si="240"/>
        <v>0</v>
      </c>
      <c r="AN596" s="1894">
        <v>576</v>
      </c>
      <c r="AO596" s="1894">
        <v>257.2</v>
      </c>
      <c r="AP596" s="1894">
        <v>576</v>
      </c>
      <c r="AQ596" s="1894">
        <v>0.93269999999999997</v>
      </c>
      <c r="AR596" s="1894">
        <v>0</v>
      </c>
      <c r="AS596" s="1894">
        <v>14795</v>
      </c>
      <c r="AT596" s="1894">
        <f t="shared" si="247"/>
        <v>114814</v>
      </c>
      <c r="AU596" s="1894">
        <f t="shared" si="248"/>
        <v>0</v>
      </c>
      <c r="AV596" s="1894">
        <v>576</v>
      </c>
      <c r="AW596" s="1894">
        <v>64.8</v>
      </c>
      <c r="AX596" s="1894">
        <v>576</v>
      </c>
      <c r="AY596" s="1894">
        <v>0.90349999999999997</v>
      </c>
      <c r="AZ596" s="1894">
        <v>0</v>
      </c>
      <c r="BA596" s="1894">
        <v>13215</v>
      </c>
      <c r="BB596" s="1894">
        <f t="shared" si="249"/>
        <v>27994</v>
      </c>
      <c r="BC596" s="1894">
        <f t="shared" si="250"/>
        <v>0</v>
      </c>
      <c r="BD596" s="1894">
        <v>576</v>
      </c>
      <c r="BE596" s="1894">
        <v>75.599999999999994</v>
      </c>
      <c r="BF596" s="1894">
        <v>576</v>
      </c>
      <c r="BG596" s="1894">
        <v>0.85980000000000001</v>
      </c>
      <c r="BH596" s="1894">
        <v>0</v>
      </c>
      <c r="BI596" s="1894">
        <v>8810</v>
      </c>
      <c r="BJ596" s="1894">
        <f t="shared" si="251"/>
        <v>33748</v>
      </c>
      <c r="BK596" s="1894">
        <f t="shared" si="252"/>
        <v>0</v>
      </c>
      <c r="BL596" s="1894">
        <v>576</v>
      </c>
      <c r="BM596" s="1894">
        <v>114</v>
      </c>
      <c r="BN596" s="1894">
        <v>576</v>
      </c>
      <c r="BO596" s="1894">
        <v>0.79610000000000003</v>
      </c>
      <c r="BP596" s="1894">
        <v>0</v>
      </c>
      <c r="BQ596" s="1894">
        <v>24455</v>
      </c>
      <c r="BR596" s="1894">
        <f t="shared" si="253"/>
        <v>49248</v>
      </c>
      <c r="BS596" s="1894">
        <f t="shared" si="254"/>
        <v>0</v>
      </c>
      <c r="BT596" s="1894">
        <v>576</v>
      </c>
      <c r="BU596" s="1894">
        <v>106.80000000000001</v>
      </c>
      <c r="BV596" s="1894">
        <v>576</v>
      </c>
      <c r="BW596" s="1894">
        <v>0.80600000000000005</v>
      </c>
      <c r="BX596" s="1894">
        <v>0</v>
      </c>
      <c r="BY596" s="1894">
        <v>21550</v>
      </c>
      <c r="BZ596" s="1894">
        <f t="shared" si="255"/>
        <v>47676</v>
      </c>
      <c r="CA596" s="1894">
        <f t="shared" si="256"/>
        <v>0</v>
      </c>
      <c r="CB596" s="1894">
        <v>576</v>
      </c>
      <c r="CC596" s="1894">
        <v>85.2</v>
      </c>
      <c r="CD596" s="1894">
        <v>576</v>
      </c>
      <c r="CE596" s="1894">
        <v>0.93869999999999998</v>
      </c>
      <c r="CF596" s="1894">
        <v>0</v>
      </c>
      <c r="CG596" s="1894">
        <v>15270</v>
      </c>
      <c r="CH596" s="1894">
        <f t="shared" si="257"/>
        <v>38033</v>
      </c>
      <c r="CI596" s="1894">
        <f t="shared" si="258"/>
        <v>0</v>
      </c>
      <c r="CJ596" s="1894">
        <v>576</v>
      </c>
      <c r="CK596" s="1894">
        <v>45.6</v>
      </c>
      <c r="CL596" s="1894">
        <v>576</v>
      </c>
      <c r="CM596" s="1894">
        <v>0.97960000000000003</v>
      </c>
      <c r="CN596" s="1894">
        <v>0</v>
      </c>
      <c r="CO596" s="1894">
        <v>11795</v>
      </c>
      <c r="CP596" s="1894">
        <f t="shared" si="259"/>
        <v>18386</v>
      </c>
      <c r="CQ596" s="1894">
        <f t="shared" si="260"/>
        <v>0</v>
      </c>
      <c r="CR596" s="1924">
        <v>576</v>
      </c>
      <c r="CS596" s="1924">
        <v>41.6</v>
      </c>
      <c r="CT596" s="1924">
        <v>576</v>
      </c>
      <c r="CU596" s="1924">
        <v>0.9919</v>
      </c>
      <c r="CV596" s="1924">
        <v>0</v>
      </c>
      <c r="CW596" s="1924">
        <v>9905</v>
      </c>
      <c r="CX596" s="1894">
        <f t="shared" si="261"/>
        <v>18570</v>
      </c>
      <c r="CY596" s="1894">
        <f t="shared" si="262"/>
        <v>0</v>
      </c>
    </row>
    <row r="597" spans="1:103">
      <c r="A597" s="982">
        <v>622000000176</v>
      </c>
      <c r="B597" s="1923">
        <f t="shared" si="263"/>
        <v>591</v>
      </c>
      <c r="C597" s="1895" t="s">
        <v>3465</v>
      </c>
      <c r="D597" s="1894" t="s">
        <v>524</v>
      </c>
      <c r="E597" s="1895" t="s">
        <v>636</v>
      </c>
      <c r="F597" s="1894" t="s">
        <v>259</v>
      </c>
      <c r="G597" s="1924">
        <v>585</v>
      </c>
      <c r="H597" s="1894">
        <v>585</v>
      </c>
      <c r="I597" s="1894">
        <v>332</v>
      </c>
      <c r="J597" s="1894">
        <v>468</v>
      </c>
      <c r="K597" s="1894">
        <v>0.9002</v>
      </c>
      <c r="L597" s="1894">
        <v>21.82</v>
      </c>
      <c r="M597" s="1894">
        <v>52160</v>
      </c>
      <c r="N597" s="1894">
        <f t="shared" si="241"/>
        <v>143424</v>
      </c>
      <c r="O597" s="1894">
        <f t="shared" si="242"/>
        <v>0</v>
      </c>
      <c r="P597" s="1894">
        <v>585</v>
      </c>
      <c r="Q597" s="1894">
        <v>337.6</v>
      </c>
      <c r="R597" s="1894">
        <v>468</v>
      </c>
      <c r="S597" s="1894">
        <v>0.87219999999999998</v>
      </c>
      <c r="T597" s="1894">
        <v>8.5299999999999994</v>
      </c>
      <c r="U597" s="1894">
        <v>21415</v>
      </c>
      <c r="V597" s="1894">
        <f t="shared" si="243"/>
        <v>150705</v>
      </c>
      <c r="W597" s="1894">
        <f t="shared" si="244"/>
        <v>0</v>
      </c>
      <c r="X597" s="1894">
        <v>585</v>
      </c>
      <c r="Y597" s="1894">
        <v>337.6</v>
      </c>
      <c r="Z597" s="1894">
        <v>468</v>
      </c>
      <c r="AA597" s="1894">
        <v>0.87429999999999997</v>
      </c>
      <c r="AB597" s="1894">
        <v>20.98</v>
      </c>
      <c r="AC597" s="1894">
        <v>51005</v>
      </c>
      <c r="AD597" s="1894">
        <f t="shared" si="245"/>
        <v>145843</v>
      </c>
      <c r="AE597" s="1894">
        <f t="shared" si="246"/>
        <v>0</v>
      </c>
      <c r="AF597" s="1894">
        <v>585</v>
      </c>
      <c r="AG597" s="1894">
        <v>343.6</v>
      </c>
      <c r="AH597" s="1894">
        <v>468</v>
      </c>
      <c r="AI597" s="1894">
        <v>0.88</v>
      </c>
      <c r="AJ597" s="1894">
        <v>49.71</v>
      </c>
      <c r="AK597" s="1894">
        <v>127080</v>
      </c>
      <c r="AL597" s="1894">
        <f t="shared" si="239"/>
        <v>153383</v>
      </c>
      <c r="AM597" s="1894">
        <f t="shared" si="240"/>
        <v>0</v>
      </c>
      <c r="AN597" s="1894">
        <v>585</v>
      </c>
      <c r="AO597" s="1894">
        <v>358</v>
      </c>
      <c r="AP597" s="1894">
        <v>468</v>
      </c>
      <c r="AQ597" s="1894">
        <v>0.87029999999999996</v>
      </c>
      <c r="AR597" s="1894">
        <v>45.16</v>
      </c>
      <c r="AS597" s="1894">
        <v>120285</v>
      </c>
      <c r="AT597" s="1894">
        <f t="shared" si="247"/>
        <v>159811</v>
      </c>
      <c r="AU597" s="1894">
        <f t="shared" si="248"/>
        <v>0</v>
      </c>
      <c r="AV597" s="1894">
        <v>585</v>
      </c>
      <c r="AW597" s="1894">
        <v>343.2</v>
      </c>
      <c r="AX597" s="1894">
        <v>468</v>
      </c>
      <c r="AY597" s="1894">
        <v>0.87960000000000005</v>
      </c>
      <c r="AZ597" s="1894">
        <v>54.14</v>
      </c>
      <c r="BA597" s="1894">
        <v>133790</v>
      </c>
      <c r="BB597" s="1894">
        <f t="shared" si="249"/>
        <v>148262</v>
      </c>
      <c r="BC597" s="1894">
        <f t="shared" si="250"/>
        <v>0</v>
      </c>
      <c r="BD597" s="1894">
        <v>585</v>
      </c>
      <c r="BE597" s="1894">
        <v>351.2</v>
      </c>
      <c r="BF597" s="1894">
        <v>468</v>
      </c>
      <c r="BG597" s="1894">
        <v>0.871</v>
      </c>
      <c r="BH597" s="1894">
        <v>41.42</v>
      </c>
      <c r="BI597" s="1894">
        <v>108220</v>
      </c>
      <c r="BJ597" s="1894">
        <f t="shared" si="251"/>
        <v>156776</v>
      </c>
      <c r="BK597" s="1894">
        <f t="shared" si="252"/>
        <v>0</v>
      </c>
      <c r="BL597" s="1894">
        <v>585</v>
      </c>
      <c r="BM597" s="1894">
        <v>9.6</v>
      </c>
      <c r="BN597" s="1894">
        <v>468</v>
      </c>
      <c r="BO597" s="1894">
        <v>0.62649999999999995</v>
      </c>
      <c r="BP597" s="1894">
        <v>57.15</v>
      </c>
      <c r="BQ597" s="1894">
        <v>3950</v>
      </c>
      <c r="BR597" s="1894">
        <f t="shared" si="253"/>
        <v>4147</v>
      </c>
      <c r="BS597" s="1894">
        <f t="shared" si="254"/>
        <v>0</v>
      </c>
      <c r="BT597" s="1894">
        <v>585</v>
      </c>
      <c r="BU597" s="1894">
        <v>350</v>
      </c>
      <c r="BV597" s="1894">
        <v>468</v>
      </c>
      <c r="BW597" s="1894">
        <v>0.83240000000000003</v>
      </c>
      <c r="BX597" s="1894">
        <v>10.24</v>
      </c>
      <c r="BY597" s="1894">
        <v>26675</v>
      </c>
      <c r="BZ597" s="1894">
        <f t="shared" si="255"/>
        <v>156240</v>
      </c>
      <c r="CA597" s="1894">
        <f t="shared" si="256"/>
        <v>0</v>
      </c>
      <c r="CB597" s="1894">
        <v>585</v>
      </c>
      <c r="CC597" s="1894">
        <v>358.4</v>
      </c>
      <c r="CD597" s="1894">
        <v>468</v>
      </c>
      <c r="CE597" s="1894">
        <v>0.86460000000000004</v>
      </c>
      <c r="CF597" s="1894">
        <v>23.83</v>
      </c>
      <c r="CG597" s="1894">
        <v>63530</v>
      </c>
      <c r="CH597" s="1894">
        <f t="shared" si="257"/>
        <v>159990</v>
      </c>
      <c r="CI597" s="1894">
        <f t="shared" si="258"/>
        <v>0</v>
      </c>
      <c r="CJ597" s="1894">
        <v>585</v>
      </c>
      <c r="CK597" s="1894">
        <v>363.20000000000005</v>
      </c>
      <c r="CL597" s="1894">
        <v>468</v>
      </c>
      <c r="CM597" s="1894">
        <v>0.86180000000000001</v>
      </c>
      <c r="CN597" s="1894">
        <v>26.34</v>
      </c>
      <c r="CO597" s="1894">
        <v>64290</v>
      </c>
      <c r="CP597" s="1894">
        <f t="shared" si="259"/>
        <v>146442</v>
      </c>
      <c r="CQ597" s="1894">
        <f t="shared" si="260"/>
        <v>0</v>
      </c>
      <c r="CR597" s="1924">
        <v>585</v>
      </c>
      <c r="CS597" s="1924">
        <v>457.2</v>
      </c>
      <c r="CT597" s="1924">
        <v>468</v>
      </c>
      <c r="CU597" s="1924">
        <v>0.872</v>
      </c>
      <c r="CV597" s="1924">
        <v>17.14</v>
      </c>
      <c r="CW597" s="1924">
        <v>58305</v>
      </c>
      <c r="CX597" s="1894">
        <f t="shared" si="261"/>
        <v>204094</v>
      </c>
      <c r="CY597" s="1894">
        <f t="shared" si="262"/>
        <v>0</v>
      </c>
    </row>
    <row r="598" spans="1:103">
      <c r="A598" s="982">
        <v>122000000080</v>
      </c>
      <c r="B598" s="1923">
        <f t="shared" si="263"/>
        <v>592</v>
      </c>
      <c r="C598" s="1895" t="s">
        <v>3466</v>
      </c>
      <c r="D598" s="1894" t="s">
        <v>524</v>
      </c>
      <c r="E598" s="1895" t="s">
        <v>737</v>
      </c>
      <c r="F598" s="1894" t="s">
        <v>259</v>
      </c>
      <c r="G598" s="1924">
        <v>589</v>
      </c>
      <c r="H598" s="1894">
        <v>589</v>
      </c>
      <c r="I598" s="1894">
        <v>648.95999999999992</v>
      </c>
      <c r="J598" s="1894">
        <v>648.96</v>
      </c>
      <c r="K598" s="1894">
        <v>0.98280000000000001</v>
      </c>
      <c r="L598" s="1894">
        <v>51.52</v>
      </c>
      <c r="M598" s="1894">
        <v>240750</v>
      </c>
      <c r="N598" s="1894">
        <f t="shared" si="241"/>
        <v>280351</v>
      </c>
      <c r="O598" s="1894">
        <f t="shared" si="242"/>
        <v>0</v>
      </c>
      <c r="P598" s="1894">
        <v>589</v>
      </c>
      <c r="Q598" s="1894">
        <v>668.16</v>
      </c>
      <c r="R598" s="1894">
        <v>668.16</v>
      </c>
      <c r="S598" s="1894">
        <v>0.98670000000000002</v>
      </c>
      <c r="T598" s="1894">
        <v>50.76</v>
      </c>
      <c r="U598" s="1894">
        <v>252324</v>
      </c>
      <c r="V598" s="1894">
        <f t="shared" si="243"/>
        <v>298267</v>
      </c>
      <c r="W598" s="1894">
        <f t="shared" si="244"/>
        <v>0</v>
      </c>
      <c r="X598" s="1894">
        <v>589</v>
      </c>
      <c r="Y598" s="1894">
        <v>681.12</v>
      </c>
      <c r="Z598" s="1894">
        <v>681.12</v>
      </c>
      <c r="AA598" s="1894">
        <v>0.98870000000000002</v>
      </c>
      <c r="AB598" s="1894">
        <v>48.55</v>
      </c>
      <c r="AC598" s="1894">
        <v>238116</v>
      </c>
      <c r="AD598" s="1894">
        <f t="shared" si="245"/>
        <v>294244</v>
      </c>
      <c r="AE598" s="1894">
        <f t="shared" si="246"/>
        <v>0</v>
      </c>
      <c r="AF598" s="1894">
        <v>589</v>
      </c>
      <c r="AG598" s="1894">
        <v>571.67999999999995</v>
      </c>
      <c r="AH598" s="1894">
        <v>571.67999999999995</v>
      </c>
      <c r="AI598" s="1894">
        <v>0.98829999999999996</v>
      </c>
      <c r="AJ598" s="1894">
        <v>51.84</v>
      </c>
      <c r="AK598" s="1894">
        <v>220512</v>
      </c>
      <c r="AL598" s="1894">
        <f t="shared" si="239"/>
        <v>255198</v>
      </c>
      <c r="AM598" s="1894">
        <f t="shared" si="240"/>
        <v>0</v>
      </c>
      <c r="AN598" s="1894">
        <v>589</v>
      </c>
      <c r="AO598" s="1894">
        <v>620.64</v>
      </c>
      <c r="AP598" s="1894">
        <v>620.64</v>
      </c>
      <c r="AQ598" s="1894">
        <v>0.98640000000000005</v>
      </c>
      <c r="AR598" s="1894">
        <v>49.04</v>
      </c>
      <c r="AS598" s="1894">
        <v>226452</v>
      </c>
      <c r="AT598" s="1894">
        <f t="shared" si="247"/>
        <v>277054</v>
      </c>
      <c r="AU598" s="1894">
        <f t="shared" si="248"/>
        <v>0</v>
      </c>
      <c r="AV598" s="1894">
        <v>589</v>
      </c>
      <c r="AW598" s="1894">
        <v>683.04000000000008</v>
      </c>
      <c r="AX598" s="1894">
        <v>683.04</v>
      </c>
      <c r="AY598" s="1894">
        <v>0.98860000000000003</v>
      </c>
      <c r="AZ598" s="1894">
        <v>46.53</v>
      </c>
      <c r="BA598" s="1894">
        <v>228828</v>
      </c>
      <c r="BB598" s="1894">
        <f t="shared" si="249"/>
        <v>295073</v>
      </c>
      <c r="BC598" s="1894">
        <f t="shared" si="250"/>
        <v>0</v>
      </c>
      <c r="BD598" s="1894">
        <v>589</v>
      </c>
      <c r="BE598" s="1894">
        <v>585.12</v>
      </c>
      <c r="BF598" s="1894">
        <v>585.12</v>
      </c>
      <c r="BG598" s="1894">
        <v>0.98560000000000003</v>
      </c>
      <c r="BH598" s="1894">
        <v>46.47</v>
      </c>
      <c r="BI598" s="1894">
        <v>202278</v>
      </c>
      <c r="BJ598" s="1894">
        <f t="shared" si="251"/>
        <v>261198</v>
      </c>
      <c r="BK598" s="1894">
        <f t="shared" si="252"/>
        <v>0</v>
      </c>
      <c r="BL598" s="1894">
        <v>589</v>
      </c>
      <c r="BM598" s="1894">
        <v>410.88</v>
      </c>
      <c r="BN598" s="1894">
        <v>471.2</v>
      </c>
      <c r="BO598" s="1894">
        <v>0.97599999999999998</v>
      </c>
      <c r="BP598" s="1894">
        <v>51.97</v>
      </c>
      <c r="BQ598" s="1894">
        <v>153732</v>
      </c>
      <c r="BR598" s="1894">
        <f t="shared" si="253"/>
        <v>177500</v>
      </c>
      <c r="BS598" s="1894">
        <f t="shared" si="254"/>
        <v>0</v>
      </c>
      <c r="BT598" s="1894">
        <v>589</v>
      </c>
      <c r="BU598" s="1894">
        <v>337.44</v>
      </c>
      <c r="BV598" s="1894">
        <v>471.2</v>
      </c>
      <c r="BW598" s="1894">
        <v>0.96650000000000003</v>
      </c>
      <c r="BX598" s="1894">
        <v>49.74</v>
      </c>
      <c r="BY598" s="1894">
        <v>124884</v>
      </c>
      <c r="BZ598" s="1894">
        <f t="shared" si="255"/>
        <v>150633</v>
      </c>
      <c r="CA598" s="1894">
        <f t="shared" si="256"/>
        <v>0</v>
      </c>
      <c r="CB598" s="1894">
        <v>589</v>
      </c>
      <c r="CC598" s="1894">
        <v>292.32</v>
      </c>
      <c r="CD598" s="1894">
        <v>471.2</v>
      </c>
      <c r="CE598" s="1894">
        <v>0.97130000000000005</v>
      </c>
      <c r="CF598" s="1894">
        <v>59.12</v>
      </c>
      <c r="CG598" s="1894">
        <v>124428</v>
      </c>
      <c r="CH598" s="1894">
        <f t="shared" si="257"/>
        <v>130492</v>
      </c>
      <c r="CI598" s="1894">
        <f t="shared" si="258"/>
        <v>0</v>
      </c>
      <c r="CJ598" s="1894">
        <v>589</v>
      </c>
      <c r="CK598" s="1894">
        <v>364.8</v>
      </c>
      <c r="CL598" s="1894">
        <v>471.2</v>
      </c>
      <c r="CM598" s="1894">
        <v>0.97919999999999996</v>
      </c>
      <c r="CN598" s="1894">
        <v>44.89</v>
      </c>
      <c r="CO598" s="1894">
        <v>113976</v>
      </c>
      <c r="CP598" s="1894">
        <f t="shared" si="259"/>
        <v>147087</v>
      </c>
      <c r="CQ598" s="1894">
        <f t="shared" si="260"/>
        <v>0</v>
      </c>
      <c r="CR598" s="1924">
        <v>589</v>
      </c>
      <c r="CS598" s="1924">
        <v>468.96</v>
      </c>
      <c r="CT598" s="1924">
        <v>471.2</v>
      </c>
      <c r="CU598" s="1924">
        <v>0.95650000000000002</v>
      </c>
      <c r="CV598" s="1924">
        <v>63.05</v>
      </c>
      <c r="CW598" s="1924">
        <v>219990</v>
      </c>
      <c r="CX598" s="1894">
        <f t="shared" si="261"/>
        <v>209344</v>
      </c>
      <c r="CY598" s="1894">
        <f t="shared" si="262"/>
        <v>10646</v>
      </c>
    </row>
    <row r="599" spans="1:103">
      <c r="A599" s="982">
        <v>122000000058</v>
      </c>
      <c r="B599" s="1923">
        <f t="shared" si="263"/>
        <v>593</v>
      </c>
      <c r="C599" s="1895" t="s">
        <v>3467</v>
      </c>
      <c r="D599" s="1894" t="s">
        <v>524</v>
      </c>
      <c r="E599" s="1895" t="s">
        <v>541</v>
      </c>
      <c r="F599" s="1894" t="s">
        <v>259</v>
      </c>
      <c r="G599" s="1924">
        <v>600</v>
      </c>
      <c r="H599" s="1894">
        <v>600</v>
      </c>
      <c r="I599" s="1894">
        <v>380</v>
      </c>
      <c r="J599" s="1894">
        <v>480</v>
      </c>
      <c r="K599" s="1894">
        <v>0.99280000000000002</v>
      </c>
      <c r="L599" s="1894">
        <v>39.54</v>
      </c>
      <c r="M599" s="1894">
        <v>111800</v>
      </c>
      <c r="N599" s="1894">
        <f t="shared" si="241"/>
        <v>164160</v>
      </c>
      <c r="O599" s="1894">
        <f t="shared" si="242"/>
        <v>0</v>
      </c>
      <c r="P599" s="1894">
        <v>600</v>
      </c>
      <c r="Q599" s="1894">
        <v>340</v>
      </c>
      <c r="R599" s="1894">
        <v>480</v>
      </c>
      <c r="S599" s="1894">
        <v>0.99119999999999997</v>
      </c>
      <c r="T599" s="1894">
        <v>34.89</v>
      </c>
      <c r="U599" s="1894">
        <v>91100</v>
      </c>
      <c r="V599" s="1894">
        <f t="shared" si="243"/>
        <v>151776</v>
      </c>
      <c r="W599" s="1894">
        <f t="shared" si="244"/>
        <v>0</v>
      </c>
      <c r="X599" s="1894">
        <v>600</v>
      </c>
      <c r="Y599" s="1894">
        <v>260</v>
      </c>
      <c r="Z599" s="1894">
        <v>480</v>
      </c>
      <c r="AA599" s="1894">
        <v>0.99409999999999998</v>
      </c>
      <c r="AB599" s="1894">
        <v>49.77</v>
      </c>
      <c r="AC599" s="1894">
        <v>102490</v>
      </c>
      <c r="AD599" s="1894">
        <f t="shared" si="245"/>
        <v>112320</v>
      </c>
      <c r="AE599" s="1894">
        <f t="shared" si="246"/>
        <v>0</v>
      </c>
      <c r="AF599" s="1894">
        <v>600</v>
      </c>
      <c r="AG599" s="1894">
        <v>424.4</v>
      </c>
      <c r="AH599" s="1894">
        <v>480</v>
      </c>
      <c r="AI599" s="1894">
        <v>0.99529999999999996</v>
      </c>
      <c r="AJ599" s="1894">
        <v>39.729999999999997</v>
      </c>
      <c r="AK599" s="1894">
        <v>125440</v>
      </c>
      <c r="AL599" s="1894">
        <f t="shared" si="239"/>
        <v>189452</v>
      </c>
      <c r="AM599" s="1894">
        <f t="shared" si="240"/>
        <v>0</v>
      </c>
      <c r="AN599" s="1894">
        <v>600</v>
      </c>
      <c r="AO599" s="1894">
        <v>239.2</v>
      </c>
      <c r="AP599" s="1894">
        <v>480</v>
      </c>
      <c r="AQ599" s="1894">
        <v>0.99299999999999999</v>
      </c>
      <c r="AR599" s="1894">
        <v>70.87</v>
      </c>
      <c r="AS599" s="1894">
        <v>126120</v>
      </c>
      <c r="AT599" s="1894">
        <f t="shared" si="247"/>
        <v>106779</v>
      </c>
      <c r="AU599" s="1894">
        <f t="shared" si="248"/>
        <v>19341</v>
      </c>
      <c r="AV599" s="1894">
        <v>600</v>
      </c>
      <c r="AW599" s="1894">
        <v>426.8</v>
      </c>
      <c r="AX599" s="1894">
        <v>480</v>
      </c>
      <c r="AY599" s="1894">
        <v>0.99319999999999997</v>
      </c>
      <c r="AZ599" s="1894">
        <v>37.76</v>
      </c>
      <c r="BA599" s="1894">
        <v>116035</v>
      </c>
      <c r="BB599" s="1894">
        <f t="shared" si="249"/>
        <v>184378</v>
      </c>
      <c r="BC599" s="1894">
        <f t="shared" si="250"/>
        <v>0</v>
      </c>
      <c r="BD599" s="1894">
        <v>600</v>
      </c>
      <c r="BE599" s="1894">
        <v>389.2</v>
      </c>
      <c r="BF599" s="1894">
        <v>480</v>
      </c>
      <c r="BG599" s="1894">
        <v>0.99070000000000003</v>
      </c>
      <c r="BH599" s="1894">
        <v>42.15</v>
      </c>
      <c r="BI599" s="1894">
        <v>122060</v>
      </c>
      <c r="BJ599" s="1894">
        <f t="shared" si="251"/>
        <v>173739</v>
      </c>
      <c r="BK599" s="1894">
        <f t="shared" si="252"/>
        <v>0</v>
      </c>
      <c r="BL599" s="1894">
        <v>600</v>
      </c>
      <c r="BM599" s="1894">
        <v>429.20000000000005</v>
      </c>
      <c r="BN599" s="1894">
        <v>480</v>
      </c>
      <c r="BO599" s="1894">
        <v>0.99509999999999998</v>
      </c>
      <c r="BP599" s="1894">
        <v>45.59</v>
      </c>
      <c r="BQ599" s="1894">
        <v>140895</v>
      </c>
      <c r="BR599" s="1894">
        <f t="shared" si="253"/>
        <v>185414</v>
      </c>
      <c r="BS599" s="1894">
        <f t="shared" si="254"/>
        <v>0</v>
      </c>
      <c r="BT599" s="1894">
        <v>600</v>
      </c>
      <c r="BU599" s="1894">
        <v>417.2</v>
      </c>
      <c r="BV599" s="1894">
        <v>480</v>
      </c>
      <c r="BW599" s="1894">
        <v>0.99519999999999997</v>
      </c>
      <c r="BX599" s="1894">
        <v>46.15</v>
      </c>
      <c r="BY599" s="1894">
        <v>143245</v>
      </c>
      <c r="BZ599" s="1894">
        <f t="shared" si="255"/>
        <v>186238</v>
      </c>
      <c r="CA599" s="1894">
        <f t="shared" si="256"/>
        <v>0</v>
      </c>
      <c r="CB599" s="1894">
        <v>600</v>
      </c>
      <c r="CC599" s="1894">
        <v>445.2</v>
      </c>
      <c r="CD599" s="1894">
        <v>480</v>
      </c>
      <c r="CE599" s="1894">
        <v>0.99519999999999997</v>
      </c>
      <c r="CF599" s="1894">
        <v>41.08</v>
      </c>
      <c r="CG599" s="1894">
        <v>136065</v>
      </c>
      <c r="CH599" s="1894">
        <f t="shared" si="257"/>
        <v>198737</v>
      </c>
      <c r="CI599" s="1894">
        <f t="shared" si="258"/>
        <v>0</v>
      </c>
      <c r="CJ599" s="1894">
        <v>600</v>
      </c>
      <c r="CK599" s="1894">
        <v>460</v>
      </c>
      <c r="CL599" s="1894">
        <v>480</v>
      </c>
      <c r="CM599" s="1894">
        <v>0.99609999999999999</v>
      </c>
      <c r="CN599" s="1894">
        <v>47.49</v>
      </c>
      <c r="CO599" s="1894">
        <v>146790</v>
      </c>
      <c r="CP599" s="1894">
        <f t="shared" si="259"/>
        <v>185472</v>
      </c>
      <c r="CQ599" s="1894">
        <f t="shared" si="260"/>
        <v>0</v>
      </c>
      <c r="CR599" s="1924">
        <v>600</v>
      </c>
      <c r="CS599" s="1924">
        <v>459.2</v>
      </c>
      <c r="CT599" s="1924">
        <v>480</v>
      </c>
      <c r="CU599" s="1924">
        <v>0.99529999999999996</v>
      </c>
      <c r="CV599" s="1924">
        <v>45.03</v>
      </c>
      <c r="CW599" s="1924">
        <v>153840</v>
      </c>
      <c r="CX599" s="1894">
        <f t="shared" si="261"/>
        <v>204987</v>
      </c>
      <c r="CY599" s="1894">
        <f t="shared" si="262"/>
        <v>0</v>
      </c>
    </row>
    <row r="600" spans="1:103">
      <c r="A600" s="982">
        <v>123000000005</v>
      </c>
      <c r="B600" s="1923">
        <f t="shared" si="263"/>
        <v>594</v>
      </c>
      <c r="C600" s="1895" t="s">
        <v>3468</v>
      </c>
      <c r="D600" s="1894" t="s">
        <v>524</v>
      </c>
      <c r="E600" s="1895" t="s">
        <v>541</v>
      </c>
      <c r="F600" s="1894" t="s">
        <v>259</v>
      </c>
      <c r="G600" s="1924">
        <v>600</v>
      </c>
      <c r="H600" s="1894">
        <v>600</v>
      </c>
      <c r="I600" s="1894">
        <v>501.59999999999997</v>
      </c>
      <c r="J600" s="1894">
        <v>501.6</v>
      </c>
      <c r="K600" s="1894">
        <v>0.996</v>
      </c>
      <c r="L600" s="1894">
        <v>71.52</v>
      </c>
      <c r="M600" s="1894">
        <v>258312</v>
      </c>
      <c r="N600" s="1894">
        <f t="shared" si="241"/>
        <v>216691</v>
      </c>
      <c r="O600" s="1894">
        <f t="shared" si="242"/>
        <v>41621</v>
      </c>
      <c r="P600" s="1894">
        <v>600</v>
      </c>
      <c r="Q600" s="1894">
        <v>525.12</v>
      </c>
      <c r="R600" s="1894">
        <v>525.12</v>
      </c>
      <c r="S600" s="1894">
        <v>0.99619999999999997</v>
      </c>
      <c r="T600" s="1894">
        <v>67.2</v>
      </c>
      <c r="U600" s="1894">
        <v>262536</v>
      </c>
      <c r="V600" s="1894">
        <f t="shared" si="243"/>
        <v>234414</v>
      </c>
      <c r="W600" s="1894">
        <f t="shared" si="244"/>
        <v>28122</v>
      </c>
      <c r="X600" s="1894">
        <v>600</v>
      </c>
      <c r="Y600" s="1894">
        <v>530.88</v>
      </c>
      <c r="Z600" s="1894">
        <v>530.88</v>
      </c>
      <c r="AA600" s="1894">
        <v>0.99329999999999996</v>
      </c>
      <c r="AB600" s="1894">
        <v>72.89</v>
      </c>
      <c r="AC600" s="1894">
        <v>278610</v>
      </c>
      <c r="AD600" s="1894">
        <f t="shared" si="245"/>
        <v>229340</v>
      </c>
      <c r="AE600" s="1894">
        <f t="shared" si="246"/>
        <v>49270</v>
      </c>
      <c r="AF600" s="1894">
        <v>600</v>
      </c>
      <c r="AG600" s="1894">
        <v>585.12</v>
      </c>
      <c r="AH600" s="1894">
        <v>585.12</v>
      </c>
      <c r="AI600" s="1894">
        <v>0.99409999999999998</v>
      </c>
      <c r="AJ600" s="1894">
        <v>65.150000000000006</v>
      </c>
      <c r="AK600" s="1894">
        <v>283638</v>
      </c>
      <c r="AL600" s="1894">
        <f t="shared" si="239"/>
        <v>261198</v>
      </c>
      <c r="AM600" s="1894">
        <f t="shared" si="240"/>
        <v>22440</v>
      </c>
      <c r="AN600" s="1894">
        <v>600</v>
      </c>
      <c r="AO600" s="1894">
        <v>576.48</v>
      </c>
      <c r="AP600" s="1894">
        <v>576.48</v>
      </c>
      <c r="AQ600" s="1894">
        <v>0.99380000000000002</v>
      </c>
      <c r="AR600" s="1894">
        <v>67.97</v>
      </c>
      <c r="AS600" s="1894">
        <v>291534</v>
      </c>
      <c r="AT600" s="1894">
        <f t="shared" si="247"/>
        <v>257341</v>
      </c>
      <c r="AU600" s="1894">
        <f t="shared" si="248"/>
        <v>34193</v>
      </c>
      <c r="AV600" s="1894">
        <v>600</v>
      </c>
      <c r="AW600" s="1894">
        <v>572.16</v>
      </c>
      <c r="AX600" s="1894">
        <v>572.16</v>
      </c>
      <c r="AY600" s="1894">
        <v>0.99339999999999995</v>
      </c>
      <c r="AZ600" s="1894">
        <v>67.69</v>
      </c>
      <c r="BA600" s="1894">
        <v>278862</v>
      </c>
      <c r="BB600" s="1894">
        <f t="shared" si="249"/>
        <v>247173</v>
      </c>
      <c r="BC600" s="1894">
        <f t="shared" si="250"/>
        <v>31689</v>
      </c>
      <c r="BD600" s="1894">
        <v>600</v>
      </c>
      <c r="BE600" s="1894">
        <v>563.04</v>
      </c>
      <c r="BF600" s="1894">
        <v>563.04</v>
      </c>
      <c r="BG600" s="1894">
        <v>0.99490000000000001</v>
      </c>
      <c r="BH600" s="1894">
        <v>62.56</v>
      </c>
      <c r="BI600" s="1894">
        <v>262044</v>
      </c>
      <c r="BJ600" s="1894">
        <f t="shared" si="251"/>
        <v>251341</v>
      </c>
      <c r="BK600" s="1894">
        <f t="shared" si="252"/>
        <v>10703</v>
      </c>
      <c r="BL600" s="1894">
        <v>600</v>
      </c>
      <c r="BM600" s="1894">
        <v>531.36</v>
      </c>
      <c r="BN600" s="1894">
        <v>531.36</v>
      </c>
      <c r="BO600" s="1894">
        <v>0.99480000000000002</v>
      </c>
      <c r="BP600" s="1894">
        <v>60.84</v>
      </c>
      <c r="BQ600" s="1894">
        <v>232746</v>
      </c>
      <c r="BR600" s="1894">
        <f t="shared" si="253"/>
        <v>229548</v>
      </c>
      <c r="BS600" s="1894">
        <f t="shared" si="254"/>
        <v>3198</v>
      </c>
      <c r="BT600" s="1894">
        <v>600</v>
      </c>
      <c r="BU600" s="1894">
        <v>529.43999999999994</v>
      </c>
      <c r="BV600" s="1894">
        <v>529.44000000000005</v>
      </c>
      <c r="BW600" s="1894">
        <v>0.99580000000000002</v>
      </c>
      <c r="BX600" s="1894">
        <v>61.94</v>
      </c>
      <c r="BY600" s="1894">
        <v>243966</v>
      </c>
      <c r="BZ600" s="1894">
        <f t="shared" si="255"/>
        <v>236342</v>
      </c>
      <c r="CA600" s="1894">
        <f t="shared" si="256"/>
        <v>7624</v>
      </c>
      <c r="CB600" s="1894">
        <v>600</v>
      </c>
      <c r="CC600" s="1894">
        <v>506.4</v>
      </c>
      <c r="CD600" s="1894">
        <v>506.4</v>
      </c>
      <c r="CE600" s="1894">
        <v>0.99690000000000001</v>
      </c>
      <c r="CF600" s="1894">
        <v>57.8</v>
      </c>
      <c r="CG600" s="1894">
        <v>217758</v>
      </c>
      <c r="CH600" s="1894">
        <f t="shared" si="257"/>
        <v>226057</v>
      </c>
      <c r="CI600" s="1894">
        <f t="shared" si="258"/>
        <v>0</v>
      </c>
      <c r="CJ600" s="1894">
        <v>600</v>
      </c>
      <c r="CK600" s="1894">
        <v>518.88</v>
      </c>
      <c r="CL600" s="1894">
        <v>518.88</v>
      </c>
      <c r="CM600" s="1894">
        <v>0.99550000000000005</v>
      </c>
      <c r="CN600" s="1894">
        <v>64.010000000000005</v>
      </c>
      <c r="CO600" s="1894">
        <v>223182</v>
      </c>
      <c r="CP600" s="1894">
        <f t="shared" si="259"/>
        <v>209212</v>
      </c>
      <c r="CQ600" s="1894">
        <f t="shared" si="260"/>
        <v>13970</v>
      </c>
      <c r="CR600" s="1924">
        <v>600</v>
      </c>
      <c r="CS600" s="1924">
        <v>530.88</v>
      </c>
      <c r="CT600" s="1924">
        <v>530.88</v>
      </c>
      <c r="CU600" s="1924">
        <v>0.99399999999999999</v>
      </c>
      <c r="CV600" s="1924">
        <v>64.349999999999994</v>
      </c>
      <c r="CW600" s="1924">
        <v>254154</v>
      </c>
      <c r="CX600" s="1894">
        <f t="shared" si="261"/>
        <v>236985</v>
      </c>
      <c r="CY600" s="1894">
        <f t="shared" si="262"/>
        <v>17169</v>
      </c>
    </row>
    <row r="601" spans="1:103">
      <c r="A601" s="982">
        <v>123000000025</v>
      </c>
      <c r="B601" s="1923">
        <f t="shared" si="263"/>
        <v>595</v>
      </c>
      <c r="C601" s="1895" t="s">
        <v>3469</v>
      </c>
      <c r="D601" s="1894" t="s">
        <v>524</v>
      </c>
      <c r="E601" s="1895" t="s">
        <v>541</v>
      </c>
      <c r="F601" s="1894" t="s">
        <v>259</v>
      </c>
      <c r="G601" s="1924">
        <v>600</v>
      </c>
      <c r="H601" s="1894">
        <v>600</v>
      </c>
      <c r="I601" s="1894">
        <v>534</v>
      </c>
      <c r="J601" s="1894">
        <v>534</v>
      </c>
      <c r="K601" s="1894">
        <v>0.99439999999999995</v>
      </c>
      <c r="L601" s="1894">
        <v>50.58</v>
      </c>
      <c r="M601" s="1894">
        <v>194460</v>
      </c>
      <c r="N601" s="1894">
        <f t="shared" si="241"/>
        <v>230688</v>
      </c>
      <c r="O601" s="1894">
        <f t="shared" si="242"/>
        <v>0</v>
      </c>
      <c r="P601" s="1894">
        <v>600</v>
      </c>
      <c r="Q601" s="1894">
        <v>442.8</v>
      </c>
      <c r="R601" s="1894">
        <v>480</v>
      </c>
      <c r="S601" s="1894">
        <v>0.995</v>
      </c>
      <c r="T601" s="1894">
        <v>62</v>
      </c>
      <c r="U601" s="1894">
        <v>204240</v>
      </c>
      <c r="V601" s="1894">
        <f t="shared" si="243"/>
        <v>197666</v>
      </c>
      <c r="W601" s="1894">
        <f t="shared" si="244"/>
        <v>6574</v>
      </c>
      <c r="X601" s="1894">
        <v>600</v>
      </c>
      <c r="Y601" s="1894">
        <v>496.8</v>
      </c>
      <c r="Z601" s="1894">
        <v>496.8</v>
      </c>
      <c r="AA601" s="1894">
        <v>0.99450000000000005</v>
      </c>
      <c r="AB601" s="1894">
        <v>25.52</v>
      </c>
      <c r="AC601" s="1894">
        <v>85185</v>
      </c>
      <c r="AD601" s="1894">
        <f t="shared" si="245"/>
        <v>214618</v>
      </c>
      <c r="AE601" s="1894">
        <f t="shared" si="246"/>
        <v>0</v>
      </c>
      <c r="AF601" s="1894">
        <v>600</v>
      </c>
      <c r="AG601" s="1894">
        <v>586.79999999999995</v>
      </c>
      <c r="AH601" s="1894">
        <v>586.79999999999995</v>
      </c>
      <c r="AI601" s="1894">
        <v>0.99280000000000002</v>
      </c>
      <c r="AJ601" s="1894">
        <v>44.32</v>
      </c>
      <c r="AK601" s="1894">
        <v>205980</v>
      </c>
      <c r="AL601" s="1894">
        <f t="shared" si="239"/>
        <v>261948</v>
      </c>
      <c r="AM601" s="1894">
        <f t="shared" si="240"/>
        <v>0</v>
      </c>
      <c r="AN601" s="1894">
        <v>600</v>
      </c>
      <c r="AO601" s="1894">
        <v>576</v>
      </c>
      <c r="AP601" s="1894">
        <v>576</v>
      </c>
      <c r="AQ601" s="1894">
        <v>0.99490000000000001</v>
      </c>
      <c r="AR601" s="1894">
        <v>36.14</v>
      </c>
      <c r="AS601" s="1894">
        <v>154890</v>
      </c>
      <c r="AT601" s="1894">
        <f t="shared" si="247"/>
        <v>257126</v>
      </c>
      <c r="AU601" s="1894">
        <f t="shared" si="248"/>
        <v>0</v>
      </c>
      <c r="AV601" s="1894">
        <v>600</v>
      </c>
      <c r="AW601" s="1894">
        <v>496.8</v>
      </c>
      <c r="AX601" s="1894">
        <v>496.8</v>
      </c>
      <c r="AY601" s="1894">
        <v>0.99570000000000003</v>
      </c>
      <c r="AZ601" s="1894">
        <v>44.92</v>
      </c>
      <c r="BA601" s="1894">
        <v>160680</v>
      </c>
      <c r="BB601" s="1894">
        <f t="shared" si="249"/>
        <v>214618</v>
      </c>
      <c r="BC601" s="1894">
        <f t="shared" si="250"/>
        <v>0</v>
      </c>
      <c r="BD601" s="1894">
        <v>600</v>
      </c>
      <c r="BE601" s="1894">
        <v>600</v>
      </c>
      <c r="BF601" s="1894">
        <v>600</v>
      </c>
      <c r="BG601" s="1894">
        <v>0.995</v>
      </c>
      <c r="BH601" s="1894">
        <v>29.47</v>
      </c>
      <c r="BI601" s="1894">
        <v>131550</v>
      </c>
      <c r="BJ601" s="1894">
        <f t="shared" si="251"/>
        <v>267840</v>
      </c>
      <c r="BK601" s="1894">
        <f t="shared" si="252"/>
        <v>0</v>
      </c>
      <c r="BL601" s="1894">
        <v>600</v>
      </c>
      <c r="BM601" s="1894">
        <v>385.19999999999993</v>
      </c>
      <c r="BN601" s="1894">
        <v>480</v>
      </c>
      <c r="BO601" s="1894">
        <v>0.99829999999999997</v>
      </c>
      <c r="BP601" s="1894">
        <v>23.54</v>
      </c>
      <c r="BQ601" s="1894">
        <v>65280</v>
      </c>
      <c r="BR601" s="1894">
        <f t="shared" si="253"/>
        <v>166406</v>
      </c>
      <c r="BS601" s="1894">
        <f t="shared" si="254"/>
        <v>0</v>
      </c>
      <c r="BT601" s="1894">
        <v>600</v>
      </c>
      <c r="BU601" s="1894">
        <v>462</v>
      </c>
      <c r="BV601" s="1894">
        <v>480</v>
      </c>
      <c r="BW601" s="1894">
        <v>0.99580000000000002</v>
      </c>
      <c r="BX601" s="1894">
        <v>32.47</v>
      </c>
      <c r="BY601" s="1894">
        <v>111615</v>
      </c>
      <c r="BZ601" s="1894">
        <f t="shared" si="255"/>
        <v>206237</v>
      </c>
      <c r="CA601" s="1894">
        <f t="shared" si="256"/>
        <v>0</v>
      </c>
      <c r="CB601" s="1894">
        <v>600</v>
      </c>
      <c r="CC601" s="1894">
        <v>571.20000000000005</v>
      </c>
      <c r="CD601" s="1894">
        <v>571.20000000000005</v>
      </c>
      <c r="CE601" s="1894">
        <v>0.99480000000000002</v>
      </c>
      <c r="CF601" s="1894">
        <v>42.95</v>
      </c>
      <c r="CG601" s="1894">
        <v>182505</v>
      </c>
      <c r="CH601" s="1894">
        <f t="shared" si="257"/>
        <v>254984</v>
      </c>
      <c r="CI601" s="1894">
        <f t="shared" si="258"/>
        <v>0</v>
      </c>
      <c r="CJ601" s="1894">
        <v>600</v>
      </c>
      <c r="CK601" s="1894">
        <v>487.2</v>
      </c>
      <c r="CL601" s="1894">
        <v>487.2</v>
      </c>
      <c r="CM601" s="1894">
        <v>0.99360000000000004</v>
      </c>
      <c r="CN601" s="1894">
        <v>45.82</v>
      </c>
      <c r="CO601" s="1894">
        <v>150030</v>
      </c>
      <c r="CP601" s="1894">
        <f t="shared" si="259"/>
        <v>196439</v>
      </c>
      <c r="CQ601" s="1894">
        <f t="shared" si="260"/>
        <v>0</v>
      </c>
      <c r="CR601" s="1924">
        <v>600</v>
      </c>
      <c r="CS601" s="1924">
        <v>397.2</v>
      </c>
      <c r="CT601" s="1924">
        <v>480</v>
      </c>
      <c r="CU601" s="1924">
        <v>0.99739999999999995</v>
      </c>
      <c r="CV601" s="1924">
        <v>55.49</v>
      </c>
      <c r="CW601" s="1924">
        <v>163980</v>
      </c>
      <c r="CX601" s="1894">
        <f t="shared" si="261"/>
        <v>177310</v>
      </c>
      <c r="CY601" s="1894">
        <f t="shared" si="262"/>
        <v>0</v>
      </c>
    </row>
    <row r="602" spans="1:103">
      <c r="A602" s="982">
        <v>611000000007</v>
      </c>
      <c r="B602" s="1923">
        <f t="shared" si="263"/>
        <v>596</v>
      </c>
      <c r="C602" s="1895" t="s">
        <v>3470</v>
      </c>
      <c r="D602" s="1894" t="s">
        <v>524</v>
      </c>
      <c r="E602" s="1895" t="s">
        <v>629</v>
      </c>
      <c r="F602" s="1894" t="s">
        <v>259</v>
      </c>
      <c r="G602" s="1924">
        <v>600</v>
      </c>
      <c r="H602" s="1894">
        <v>600</v>
      </c>
      <c r="I602" s="1894">
        <v>163.67999999999998</v>
      </c>
      <c r="J602" s="1894">
        <v>600</v>
      </c>
      <c r="K602" s="1894">
        <v>0.8841</v>
      </c>
      <c r="L602" s="1894">
        <v>0</v>
      </c>
      <c r="M602" s="1894">
        <v>63762</v>
      </c>
      <c r="N602" s="1894">
        <f t="shared" si="241"/>
        <v>70710</v>
      </c>
      <c r="O602" s="1894">
        <f t="shared" si="242"/>
        <v>0</v>
      </c>
      <c r="P602" s="1894">
        <v>600</v>
      </c>
      <c r="Q602" s="1894">
        <v>147.36000000000001</v>
      </c>
      <c r="R602" s="1894">
        <v>600</v>
      </c>
      <c r="S602" s="1894">
        <v>0.87260000000000004</v>
      </c>
      <c r="T602" s="1894">
        <v>0</v>
      </c>
      <c r="U602" s="1894">
        <v>62748</v>
      </c>
      <c r="V602" s="1894">
        <f t="shared" si="243"/>
        <v>65782</v>
      </c>
      <c r="W602" s="1894">
        <f t="shared" si="244"/>
        <v>0</v>
      </c>
      <c r="X602" s="1894">
        <v>600</v>
      </c>
      <c r="Y602" s="1894">
        <v>144.96</v>
      </c>
      <c r="Z602" s="1894">
        <v>600</v>
      </c>
      <c r="AA602" s="1894">
        <v>0.86309999999999998</v>
      </c>
      <c r="AB602" s="1894">
        <v>0</v>
      </c>
      <c r="AC602" s="1894">
        <v>56232</v>
      </c>
      <c r="AD602" s="1894">
        <f t="shared" si="245"/>
        <v>62623</v>
      </c>
      <c r="AE602" s="1894">
        <f t="shared" si="246"/>
        <v>0</v>
      </c>
      <c r="AF602" s="1894">
        <v>600</v>
      </c>
      <c r="AG602" s="1894">
        <v>128.64000000000001</v>
      </c>
      <c r="AH602" s="1894">
        <v>600</v>
      </c>
      <c r="AI602" s="1894">
        <v>0.83889999999999998</v>
      </c>
      <c r="AJ602" s="1894">
        <v>0</v>
      </c>
      <c r="AK602" s="1894">
        <v>4656</v>
      </c>
      <c r="AL602" s="1894">
        <f t="shared" si="239"/>
        <v>57425</v>
      </c>
      <c r="AM602" s="1894">
        <f t="shared" si="240"/>
        <v>0</v>
      </c>
      <c r="AN602" s="1894">
        <v>600</v>
      </c>
      <c r="AO602" s="1894">
        <v>0</v>
      </c>
      <c r="AP602" s="1894">
        <v>600</v>
      </c>
      <c r="AQ602" s="1894">
        <v>0</v>
      </c>
      <c r="AR602" s="1894">
        <v>0</v>
      </c>
      <c r="AS602" s="1894">
        <v>0</v>
      </c>
      <c r="AT602" s="1894">
        <f t="shared" si="247"/>
        <v>0</v>
      </c>
      <c r="AU602" s="1894">
        <f t="shared" si="248"/>
        <v>0</v>
      </c>
      <c r="AV602" s="1894">
        <v>600</v>
      </c>
      <c r="AW602" s="1894">
        <v>131.52000000000001</v>
      </c>
      <c r="AX602" s="1894">
        <v>600</v>
      </c>
      <c r="AY602" s="1894">
        <v>0.84489999999999998</v>
      </c>
      <c r="AZ602" s="1894">
        <v>0</v>
      </c>
      <c r="BA602" s="1894">
        <v>17880</v>
      </c>
      <c r="BB602" s="1894">
        <f t="shared" si="249"/>
        <v>56817</v>
      </c>
      <c r="BC602" s="1894">
        <f t="shared" si="250"/>
        <v>0</v>
      </c>
      <c r="BD602" s="1894">
        <v>600</v>
      </c>
      <c r="BE602" s="1894">
        <v>129.12</v>
      </c>
      <c r="BF602" s="1894">
        <v>600</v>
      </c>
      <c r="BG602" s="1894">
        <v>0.77139999999999997</v>
      </c>
      <c r="BH602" s="1894">
        <v>0</v>
      </c>
      <c r="BI602" s="1894">
        <v>52032</v>
      </c>
      <c r="BJ602" s="1894">
        <f t="shared" si="251"/>
        <v>57639</v>
      </c>
      <c r="BK602" s="1894">
        <f t="shared" si="252"/>
        <v>0</v>
      </c>
      <c r="BL602" s="1894">
        <v>600</v>
      </c>
      <c r="BM602" s="1894">
        <v>136.80000000000001</v>
      </c>
      <c r="BN602" s="1894">
        <v>600</v>
      </c>
      <c r="BO602" s="1894">
        <v>0.72470000000000001</v>
      </c>
      <c r="BP602" s="1894">
        <v>0</v>
      </c>
      <c r="BQ602" s="1894">
        <v>56826</v>
      </c>
      <c r="BR602" s="1894">
        <f t="shared" si="253"/>
        <v>59098</v>
      </c>
      <c r="BS602" s="1894">
        <f t="shared" si="254"/>
        <v>0</v>
      </c>
      <c r="BT602" s="1894">
        <v>600</v>
      </c>
      <c r="BU602" s="1894">
        <v>211.2</v>
      </c>
      <c r="BV602" s="1894">
        <v>600</v>
      </c>
      <c r="BW602" s="1894">
        <v>0.70350000000000001</v>
      </c>
      <c r="BX602" s="1894">
        <v>0</v>
      </c>
      <c r="BY602" s="1894">
        <v>51330</v>
      </c>
      <c r="BZ602" s="1894">
        <f t="shared" si="255"/>
        <v>94280</v>
      </c>
      <c r="CA602" s="1894">
        <f t="shared" si="256"/>
        <v>0</v>
      </c>
      <c r="CB602" s="1894">
        <v>600</v>
      </c>
      <c r="CC602" s="1894">
        <v>129.6</v>
      </c>
      <c r="CD602" s="1894">
        <v>600</v>
      </c>
      <c r="CE602" s="1894">
        <v>0.76180000000000003</v>
      </c>
      <c r="CF602" s="1894">
        <v>0</v>
      </c>
      <c r="CG602" s="1894">
        <v>44766</v>
      </c>
      <c r="CH602" s="1894">
        <f t="shared" si="257"/>
        <v>57853</v>
      </c>
      <c r="CI602" s="1894">
        <f t="shared" si="258"/>
        <v>0</v>
      </c>
      <c r="CJ602" s="1894">
        <v>600</v>
      </c>
      <c r="CK602" s="1894">
        <v>119.52</v>
      </c>
      <c r="CL602" s="1894">
        <v>600</v>
      </c>
      <c r="CM602" s="1894">
        <v>0.74450000000000005</v>
      </c>
      <c r="CN602" s="1894">
        <v>0</v>
      </c>
      <c r="CO602" s="1894">
        <v>37440</v>
      </c>
      <c r="CP602" s="1894">
        <f t="shared" si="259"/>
        <v>48190</v>
      </c>
      <c r="CQ602" s="1894">
        <f t="shared" si="260"/>
        <v>0</v>
      </c>
      <c r="CR602" s="1924">
        <v>600</v>
      </c>
      <c r="CS602" s="1924">
        <v>126.24000000000001</v>
      </c>
      <c r="CT602" s="1924">
        <v>600</v>
      </c>
      <c r="CU602" s="1924">
        <v>0.80300000000000005</v>
      </c>
      <c r="CV602" s="1924">
        <v>0</v>
      </c>
      <c r="CW602" s="1924">
        <v>23820</v>
      </c>
      <c r="CX602" s="1894">
        <f t="shared" si="261"/>
        <v>56354</v>
      </c>
      <c r="CY602" s="1894">
        <f t="shared" si="262"/>
        <v>0</v>
      </c>
    </row>
    <row r="603" spans="1:103">
      <c r="A603" s="982">
        <v>611000000014</v>
      </c>
      <c r="B603" s="1923">
        <f t="shared" si="263"/>
        <v>597</v>
      </c>
      <c r="C603" s="1895" t="s">
        <v>3471</v>
      </c>
      <c r="D603" s="1894" t="s">
        <v>524</v>
      </c>
      <c r="E603" s="1895" t="s">
        <v>541</v>
      </c>
      <c r="F603" s="1894" t="s">
        <v>259</v>
      </c>
      <c r="G603" s="1924">
        <v>600</v>
      </c>
      <c r="H603" s="1894">
        <v>600</v>
      </c>
      <c r="I603" s="1894">
        <v>524.64</v>
      </c>
      <c r="J603" s="1894">
        <v>524.64</v>
      </c>
      <c r="K603" s="1894">
        <v>0.99580000000000002</v>
      </c>
      <c r="L603" s="1894">
        <v>61.93</v>
      </c>
      <c r="M603" s="1894">
        <v>233946</v>
      </c>
      <c r="N603" s="1894">
        <f t="shared" si="241"/>
        <v>226644</v>
      </c>
      <c r="O603" s="1894">
        <f t="shared" si="242"/>
        <v>7302</v>
      </c>
      <c r="P603" s="1894">
        <v>600</v>
      </c>
      <c r="Q603" s="1894">
        <v>487.20000000000005</v>
      </c>
      <c r="R603" s="1894">
        <v>487.2</v>
      </c>
      <c r="S603" s="1894">
        <v>0.99270000000000003</v>
      </c>
      <c r="T603" s="1894">
        <v>47.97</v>
      </c>
      <c r="U603" s="1894">
        <v>173880</v>
      </c>
      <c r="V603" s="1894">
        <f t="shared" si="243"/>
        <v>217486</v>
      </c>
      <c r="W603" s="1894">
        <f t="shared" si="244"/>
        <v>0</v>
      </c>
      <c r="X603" s="1894">
        <v>600</v>
      </c>
      <c r="Y603" s="1894">
        <v>386.88</v>
      </c>
      <c r="Z603" s="1894">
        <v>480</v>
      </c>
      <c r="AA603" s="1894">
        <v>0.88939999999999997</v>
      </c>
      <c r="AB603" s="1894">
        <v>13.19</v>
      </c>
      <c r="AC603" s="1894">
        <v>36732</v>
      </c>
      <c r="AD603" s="1894">
        <f t="shared" si="245"/>
        <v>167132</v>
      </c>
      <c r="AE603" s="1894">
        <f t="shared" si="246"/>
        <v>0</v>
      </c>
      <c r="AF603" s="1894">
        <v>600</v>
      </c>
      <c r="AG603" s="1894">
        <v>539.04</v>
      </c>
      <c r="AH603" s="1894">
        <v>539.04</v>
      </c>
      <c r="AI603" s="1894">
        <v>0.99790000000000001</v>
      </c>
      <c r="AJ603" s="1894">
        <v>65.739999999999995</v>
      </c>
      <c r="AK603" s="1894">
        <v>263658</v>
      </c>
      <c r="AL603" s="1894">
        <f t="shared" si="239"/>
        <v>240627</v>
      </c>
      <c r="AM603" s="1894">
        <f t="shared" si="240"/>
        <v>23031</v>
      </c>
      <c r="AN603" s="1894">
        <v>600</v>
      </c>
      <c r="AO603" s="1894">
        <v>517.91999999999996</v>
      </c>
      <c r="AP603" s="1894">
        <v>517.91999999999996</v>
      </c>
      <c r="AQ603" s="1894">
        <v>0.99660000000000004</v>
      </c>
      <c r="AR603" s="1894">
        <v>72.33</v>
      </c>
      <c r="AS603" s="1894">
        <v>278712</v>
      </c>
      <c r="AT603" s="1894">
        <f t="shared" si="247"/>
        <v>231199</v>
      </c>
      <c r="AU603" s="1894">
        <f t="shared" si="248"/>
        <v>47513</v>
      </c>
      <c r="AV603" s="1894">
        <v>600</v>
      </c>
      <c r="AW603" s="1894">
        <v>533.76</v>
      </c>
      <c r="AX603" s="1894">
        <v>533.76</v>
      </c>
      <c r="AY603" s="1894">
        <v>0.99809999999999999</v>
      </c>
      <c r="AZ603" s="1894">
        <v>70.069999999999993</v>
      </c>
      <c r="BA603" s="1894">
        <v>269268</v>
      </c>
      <c r="BB603" s="1894">
        <f t="shared" si="249"/>
        <v>230584</v>
      </c>
      <c r="BC603" s="1894">
        <f t="shared" si="250"/>
        <v>38684</v>
      </c>
      <c r="BD603" s="1894">
        <v>600</v>
      </c>
      <c r="BE603" s="1894">
        <v>785.28</v>
      </c>
      <c r="BF603" s="1894">
        <v>785.28</v>
      </c>
      <c r="BG603" s="1894">
        <v>0.98880000000000001</v>
      </c>
      <c r="BH603" s="1894">
        <v>64.430000000000007</v>
      </c>
      <c r="BI603" s="1894">
        <v>376428</v>
      </c>
      <c r="BJ603" s="1894">
        <f t="shared" si="251"/>
        <v>350549</v>
      </c>
      <c r="BK603" s="1894">
        <f t="shared" si="252"/>
        <v>25879</v>
      </c>
      <c r="BL603" s="1894">
        <v>600</v>
      </c>
      <c r="BM603" s="1894">
        <v>792.96</v>
      </c>
      <c r="BN603" s="1894">
        <v>792.96</v>
      </c>
      <c r="BO603" s="1894">
        <v>0.99119999999999997</v>
      </c>
      <c r="BP603" s="1894">
        <v>77.73</v>
      </c>
      <c r="BQ603" s="1894">
        <v>443802</v>
      </c>
      <c r="BR603" s="1894">
        <f t="shared" si="253"/>
        <v>342559</v>
      </c>
      <c r="BS603" s="1894">
        <f t="shared" si="254"/>
        <v>101243</v>
      </c>
      <c r="BT603" s="1894">
        <v>600</v>
      </c>
      <c r="BU603" s="1894">
        <v>731.04</v>
      </c>
      <c r="BV603" s="1894">
        <v>731.04</v>
      </c>
      <c r="BW603" s="1894">
        <v>0.99670000000000003</v>
      </c>
      <c r="BX603" s="1894">
        <v>56.34</v>
      </c>
      <c r="BY603" s="1894">
        <v>306420</v>
      </c>
      <c r="BZ603" s="1894">
        <f t="shared" si="255"/>
        <v>326336</v>
      </c>
      <c r="CA603" s="1894">
        <f t="shared" si="256"/>
        <v>0</v>
      </c>
      <c r="CB603" s="1894">
        <v>600</v>
      </c>
      <c r="CC603" s="1894">
        <v>734.88000000000011</v>
      </c>
      <c r="CD603" s="1894">
        <v>734.88</v>
      </c>
      <c r="CE603" s="1894">
        <v>0.997</v>
      </c>
      <c r="CF603" s="1894">
        <v>58.17</v>
      </c>
      <c r="CG603" s="1894">
        <v>318054</v>
      </c>
      <c r="CH603" s="1894">
        <f t="shared" si="257"/>
        <v>328050</v>
      </c>
      <c r="CI603" s="1894">
        <f t="shared" si="258"/>
        <v>0</v>
      </c>
      <c r="CJ603" s="1894">
        <v>600</v>
      </c>
      <c r="CK603" s="1894">
        <v>771.84</v>
      </c>
      <c r="CL603" s="1894">
        <v>771.84</v>
      </c>
      <c r="CM603" s="1894">
        <v>0.99299999999999999</v>
      </c>
      <c r="CN603" s="1894">
        <v>83.29</v>
      </c>
      <c r="CO603" s="1894">
        <v>431994</v>
      </c>
      <c r="CP603" s="1894">
        <f t="shared" si="259"/>
        <v>311206</v>
      </c>
      <c r="CQ603" s="1894">
        <f t="shared" si="260"/>
        <v>120788</v>
      </c>
      <c r="CR603" s="1924">
        <v>600</v>
      </c>
      <c r="CS603" s="1924">
        <v>732.96</v>
      </c>
      <c r="CT603" s="1924">
        <v>732.96</v>
      </c>
      <c r="CU603" s="1924">
        <v>0.99390000000000001</v>
      </c>
      <c r="CV603" s="1924">
        <v>57.46</v>
      </c>
      <c r="CW603" s="1924">
        <v>313326</v>
      </c>
      <c r="CX603" s="1894">
        <f t="shared" si="261"/>
        <v>327193</v>
      </c>
      <c r="CY603" s="1894">
        <f t="shared" si="262"/>
        <v>0</v>
      </c>
    </row>
    <row r="604" spans="1:103">
      <c r="A604" s="982">
        <v>611000000085</v>
      </c>
      <c r="B604" s="1923">
        <f t="shared" si="263"/>
        <v>598</v>
      </c>
      <c r="C604" s="1895" t="s">
        <v>3472</v>
      </c>
      <c r="D604" s="1894" t="s">
        <v>524</v>
      </c>
      <c r="E604" s="1895" t="s">
        <v>636</v>
      </c>
      <c r="F604" s="1894" t="s">
        <v>259</v>
      </c>
      <c r="G604" s="1924">
        <v>600</v>
      </c>
      <c r="H604" s="1894">
        <v>600</v>
      </c>
      <c r="I604" s="1894">
        <v>363.36</v>
      </c>
      <c r="J604" s="1894">
        <v>480</v>
      </c>
      <c r="K604" s="1894">
        <v>0.97609999999999997</v>
      </c>
      <c r="L604" s="1894">
        <v>48.93</v>
      </c>
      <c r="M604" s="1894">
        <v>128022</v>
      </c>
      <c r="N604" s="1894">
        <f t="shared" si="241"/>
        <v>156972</v>
      </c>
      <c r="O604" s="1894">
        <f t="shared" si="242"/>
        <v>0</v>
      </c>
      <c r="P604" s="1894">
        <v>600</v>
      </c>
      <c r="Q604" s="1894">
        <v>405.6</v>
      </c>
      <c r="R604" s="1894">
        <v>480</v>
      </c>
      <c r="S604" s="1894">
        <v>0.97509999999999997</v>
      </c>
      <c r="T604" s="1894">
        <v>41.71</v>
      </c>
      <c r="U604" s="1894">
        <v>125868</v>
      </c>
      <c r="V604" s="1894">
        <f t="shared" si="243"/>
        <v>181060</v>
      </c>
      <c r="W604" s="1894">
        <f t="shared" si="244"/>
        <v>0</v>
      </c>
      <c r="X604" s="1894">
        <v>600</v>
      </c>
      <c r="Y604" s="1894">
        <v>375.36</v>
      </c>
      <c r="Z604" s="1894">
        <v>480</v>
      </c>
      <c r="AA604" s="1894">
        <v>0.98950000000000005</v>
      </c>
      <c r="AB604" s="1894">
        <v>41.77</v>
      </c>
      <c r="AC604" s="1894">
        <v>105360</v>
      </c>
      <c r="AD604" s="1894">
        <f t="shared" si="245"/>
        <v>162156</v>
      </c>
      <c r="AE604" s="1894">
        <f t="shared" si="246"/>
        <v>0</v>
      </c>
      <c r="AF604" s="1894">
        <v>600</v>
      </c>
      <c r="AG604" s="1894">
        <v>371.03999999999996</v>
      </c>
      <c r="AH604" s="1894">
        <v>480</v>
      </c>
      <c r="AI604" s="1894">
        <v>0.98089999999999999</v>
      </c>
      <c r="AJ604" s="1894">
        <v>44.52</v>
      </c>
      <c r="AK604" s="1894">
        <v>126870</v>
      </c>
      <c r="AL604" s="1894">
        <f t="shared" si="239"/>
        <v>165632</v>
      </c>
      <c r="AM604" s="1894">
        <f t="shared" si="240"/>
        <v>0</v>
      </c>
      <c r="AN604" s="1894">
        <v>600</v>
      </c>
      <c r="AO604" s="1894">
        <v>444.48</v>
      </c>
      <c r="AP604" s="1894">
        <v>480</v>
      </c>
      <c r="AQ604" s="1894">
        <v>0.98040000000000005</v>
      </c>
      <c r="AR604" s="1894">
        <v>38.58</v>
      </c>
      <c r="AS604" s="1894">
        <v>131700</v>
      </c>
      <c r="AT604" s="1894">
        <f t="shared" si="247"/>
        <v>198416</v>
      </c>
      <c r="AU604" s="1894">
        <f t="shared" si="248"/>
        <v>0</v>
      </c>
      <c r="AV604" s="1894">
        <v>600</v>
      </c>
      <c r="AW604" s="1894">
        <v>439.2</v>
      </c>
      <c r="AX604" s="1894">
        <v>480</v>
      </c>
      <c r="AY604" s="1894">
        <v>0.98360000000000003</v>
      </c>
      <c r="AZ604" s="1894">
        <v>39.049999999999997</v>
      </c>
      <c r="BA604" s="1894">
        <v>123480</v>
      </c>
      <c r="BB604" s="1894">
        <f t="shared" si="249"/>
        <v>189734</v>
      </c>
      <c r="BC604" s="1894">
        <f t="shared" si="250"/>
        <v>0</v>
      </c>
      <c r="BD604" s="1894">
        <v>600</v>
      </c>
      <c r="BE604" s="1894">
        <v>449.28000000000003</v>
      </c>
      <c r="BF604" s="1894">
        <v>480</v>
      </c>
      <c r="BG604" s="1894">
        <v>0.99180000000000001</v>
      </c>
      <c r="BH604" s="1894">
        <v>33.04</v>
      </c>
      <c r="BI604" s="1894">
        <v>110430</v>
      </c>
      <c r="BJ604" s="1894">
        <f t="shared" si="251"/>
        <v>200559</v>
      </c>
      <c r="BK604" s="1894">
        <f t="shared" si="252"/>
        <v>0</v>
      </c>
      <c r="BL604" s="1894">
        <v>600</v>
      </c>
      <c r="BM604" s="1894">
        <v>357.11999999999995</v>
      </c>
      <c r="BN604" s="1894">
        <v>480</v>
      </c>
      <c r="BO604" s="1894">
        <v>0.99280000000000002</v>
      </c>
      <c r="BP604" s="1894">
        <v>34.07</v>
      </c>
      <c r="BQ604" s="1894">
        <v>87612</v>
      </c>
      <c r="BR604" s="1894">
        <f t="shared" si="253"/>
        <v>154276</v>
      </c>
      <c r="BS604" s="1894">
        <f t="shared" si="254"/>
        <v>0</v>
      </c>
      <c r="BT604" s="1894">
        <v>600</v>
      </c>
      <c r="BU604" s="1894">
        <v>338.4</v>
      </c>
      <c r="BV604" s="1894">
        <v>480</v>
      </c>
      <c r="BW604" s="1894">
        <v>0.99780000000000002</v>
      </c>
      <c r="BX604" s="1894">
        <v>29.17</v>
      </c>
      <c r="BY604" s="1894">
        <v>73446</v>
      </c>
      <c r="BZ604" s="1894">
        <f t="shared" si="255"/>
        <v>151062</v>
      </c>
      <c r="CA604" s="1894">
        <f t="shared" si="256"/>
        <v>0</v>
      </c>
      <c r="CB604" s="1894">
        <v>600</v>
      </c>
      <c r="CC604" s="1894">
        <v>324.95999999999998</v>
      </c>
      <c r="CD604" s="1894">
        <v>480</v>
      </c>
      <c r="CE604" s="1894">
        <v>0.99729999999999996</v>
      </c>
      <c r="CF604" s="1894">
        <v>32.6</v>
      </c>
      <c r="CG604" s="1894">
        <v>78822</v>
      </c>
      <c r="CH604" s="1894">
        <f t="shared" si="257"/>
        <v>145062</v>
      </c>
      <c r="CI604" s="1894">
        <f t="shared" si="258"/>
        <v>0</v>
      </c>
      <c r="CJ604" s="1894">
        <v>600</v>
      </c>
      <c r="CK604" s="1894">
        <v>340.79999999999995</v>
      </c>
      <c r="CL604" s="1894">
        <v>480</v>
      </c>
      <c r="CM604" s="1894">
        <v>0.99270000000000003</v>
      </c>
      <c r="CN604" s="1894">
        <v>34.35</v>
      </c>
      <c r="CO604" s="1894">
        <v>78672</v>
      </c>
      <c r="CP604" s="1894">
        <f t="shared" si="259"/>
        <v>137411</v>
      </c>
      <c r="CQ604" s="1894">
        <f t="shared" si="260"/>
        <v>0</v>
      </c>
      <c r="CR604" s="1924">
        <v>600</v>
      </c>
      <c r="CS604" s="1924">
        <v>421.92</v>
      </c>
      <c r="CT604" s="1924">
        <v>480</v>
      </c>
      <c r="CU604" s="1924">
        <v>0.96879999999999999</v>
      </c>
      <c r="CV604" s="1924">
        <v>35.26</v>
      </c>
      <c r="CW604" s="1924">
        <v>110694</v>
      </c>
      <c r="CX604" s="1894">
        <f t="shared" si="261"/>
        <v>188345</v>
      </c>
      <c r="CY604" s="1894">
        <f t="shared" si="262"/>
        <v>0</v>
      </c>
    </row>
    <row r="605" spans="1:103">
      <c r="A605" s="982">
        <v>124000000071</v>
      </c>
      <c r="B605" s="1923">
        <f t="shared" si="263"/>
        <v>599</v>
      </c>
      <c r="C605" s="1895" t="s">
        <v>3341</v>
      </c>
      <c r="D605" s="1894" t="s">
        <v>524</v>
      </c>
      <c r="E605" s="1895" t="s">
        <v>541</v>
      </c>
      <c r="F605" s="1894" t="s">
        <v>259</v>
      </c>
      <c r="G605" s="1924">
        <v>611</v>
      </c>
      <c r="H605" s="1894">
        <v>611</v>
      </c>
      <c r="I605" s="1894">
        <v>432</v>
      </c>
      <c r="J605" s="1894">
        <v>488.8</v>
      </c>
      <c r="K605" s="1894">
        <v>0.70420000000000005</v>
      </c>
      <c r="L605" s="1894">
        <v>47.46</v>
      </c>
      <c r="M605" s="1894">
        <v>157452</v>
      </c>
      <c r="N605" s="1894">
        <f t="shared" si="241"/>
        <v>186624</v>
      </c>
      <c r="O605" s="1894">
        <f t="shared" si="242"/>
        <v>0</v>
      </c>
      <c r="P605" s="1894">
        <v>611</v>
      </c>
      <c r="Q605" s="1894">
        <v>456</v>
      </c>
      <c r="R605" s="1894">
        <v>488.8</v>
      </c>
      <c r="S605" s="1894">
        <v>0.69789999999999996</v>
      </c>
      <c r="T605" s="1894">
        <v>43.05</v>
      </c>
      <c r="U605" s="1894">
        <v>136620</v>
      </c>
      <c r="V605" s="1894">
        <f t="shared" si="243"/>
        <v>203558</v>
      </c>
      <c r="W605" s="1894">
        <f t="shared" si="244"/>
        <v>0</v>
      </c>
      <c r="X605" s="1894">
        <v>611</v>
      </c>
      <c r="Y605" s="1894">
        <v>418.56</v>
      </c>
      <c r="Z605" s="1894">
        <v>488.8</v>
      </c>
      <c r="AA605" s="1894">
        <v>0.68879999999999997</v>
      </c>
      <c r="AB605" s="1894">
        <v>39.61</v>
      </c>
      <c r="AC605" s="1894">
        <v>131322</v>
      </c>
      <c r="AD605" s="1894">
        <f t="shared" si="245"/>
        <v>180818</v>
      </c>
      <c r="AE605" s="1894">
        <f t="shared" si="246"/>
        <v>0</v>
      </c>
      <c r="AF605" s="1894">
        <v>611</v>
      </c>
      <c r="AG605" s="1894">
        <v>408</v>
      </c>
      <c r="AH605" s="1894">
        <v>488.8</v>
      </c>
      <c r="AI605" s="1894">
        <v>0.68049999999999999</v>
      </c>
      <c r="AJ605" s="1894">
        <v>40.74</v>
      </c>
      <c r="AK605" s="1894">
        <v>115680</v>
      </c>
      <c r="AL605" s="1894">
        <f t="shared" si="239"/>
        <v>182131</v>
      </c>
      <c r="AM605" s="1894">
        <f t="shared" si="240"/>
        <v>0</v>
      </c>
      <c r="AN605" s="1894">
        <v>611</v>
      </c>
      <c r="AO605" s="1894">
        <v>443.04</v>
      </c>
      <c r="AP605" s="1894">
        <v>488.8</v>
      </c>
      <c r="AQ605" s="1894">
        <v>0.69520000000000004</v>
      </c>
      <c r="AR605" s="1894">
        <v>41.27</v>
      </c>
      <c r="AS605" s="1894">
        <v>131646</v>
      </c>
      <c r="AT605" s="1894">
        <f t="shared" si="247"/>
        <v>197773</v>
      </c>
      <c r="AU605" s="1894">
        <f t="shared" si="248"/>
        <v>0</v>
      </c>
      <c r="AV605" s="1894">
        <v>611</v>
      </c>
      <c r="AW605" s="1894">
        <v>449.28</v>
      </c>
      <c r="AX605" s="1894">
        <v>488.8</v>
      </c>
      <c r="AY605" s="1894">
        <v>0.69</v>
      </c>
      <c r="AZ605" s="1894">
        <v>38.159999999999997</v>
      </c>
      <c r="BA605" s="1894">
        <v>135768</v>
      </c>
      <c r="BB605" s="1894">
        <f t="shared" si="249"/>
        <v>194089</v>
      </c>
      <c r="BC605" s="1894">
        <f t="shared" si="250"/>
        <v>0</v>
      </c>
      <c r="BD605" s="1894">
        <v>611</v>
      </c>
      <c r="BE605" s="1894">
        <v>452.64</v>
      </c>
      <c r="BF605" s="1894">
        <v>488.8</v>
      </c>
      <c r="BG605" s="1894">
        <v>0.69059999999999999</v>
      </c>
      <c r="BH605" s="1894">
        <v>46.93</v>
      </c>
      <c r="BI605" s="1894">
        <v>142740</v>
      </c>
      <c r="BJ605" s="1894">
        <f t="shared" si="251"/>
        <v>202058</v>
      </c>
      <c r="BK605" s="1894">
        <f t="shared" si="252"/>
        <v>0</v>
      </c>
      <c r="BL605" s="1894">
        <v>611</v>
      </c>
      <c r="BM605" s="1894">
        <v>499.68</v>
      </c>
      <c r="BN605" s="1894">
        <v>499.68</v>
      </c>
      <c r="BO605" s="1894">
        <v>0.68640000000000001</v>
      </c>
      <c r="BP605" s="1894">
        <v>52.87</v>
      </c>
      <c r="BQ605" s="1894">
        <v>196554</v>
      </c>
      <c r="BR605" s="1894">
        <f t="shared" si="253"/>
        <v>215862</v>
      </c>
      <c r="BS605" s="1894">
        <f t="shared" si="254"/>
        <v>0</v>
      </c>
      <c r="BT605" s="1894">
        <v>611</v>
      </c>
      <c r="BU605" s="1894">
        <v>458.88</v>
      </c>
      <c r="BV605" s="1894">
        <v>488.8</v>
      </c>
      <c r="BW605" s="1894">
        <v>0.67800000000000005</v>
      </c>
      <c r="BX605" s="1894">
        <v>58.88</v>
      </c>
      <c r="BY605" s="1894">
        <v>233430</v>
      </c>
      <c r="BZ605" s="1894">
        <f t="shared" si="255"/>
        <v>204844</v>
      </c>
      <c r="CA605" s="1894">
        <f t="shared" si="256"/>
        <v>28586</v>
      </c>
      <c r="CB605" s="1894">
        <v>611</v>
      </c>
      <c r="CC605" s="1894">
        <v>500.64</v>
      </c>
      <c r="CD605" s="1894">
        <v>500.64</v>
      </c>
      <c r="CE605" s="1894">
        <v>0.68889999999999996</v>
      </c>
      <c r="CF605" s="1894">
        <v>43.52</v>
      </c>
      <c r="CG605" s="1894">
        <v>162114</v>
      </c>
      <c r="CH605" s="1894">
        <f t="shared" si="257"/>
        <v>223486</v>
      </c>
      <c r="CI605" s="1894">
        <f t="shared" si="258"/>
        <v>0</v>
      </c>
      <c r="CJ605" s="1894">
        <v>611</v>
      </c>
      <c r="CK605" s="1894">
        <v>487.68</v>
      </c>
      <c r="CL605" s="1894">
        <v>488.8</v>
      </c>
      <c r="CM605" s="1894">
        <v>0.68330000000000002</v>
      </c>
      <c r="CN605" s="1894">
        <v>54.22</v>
      </c>
      <c r="CO605" s="1894">
        <v>177696</v>
      </c>
      <c r="CP605" s="1894">
        <f t="shared" si="259"/>
        <v>196633</v>
      </c>
      <c r="CQ605" s="1894">
        <f t="shared" si="260"/>
        <v>0</v>
      </c>
      <c r="CR605" s="1924">
        <v>611</v>
      </c>
      <c r="CS605" s="1924">
        <v>466.08</v>
      </c>
      <c r="CT605" s="1924">
        <v>488.8</v>
      </c>
      <c r="CU605" s="1924">
        <v>0.68259999999999998</v>
      </c>
      <c r="CV605" s="1924">
        <v>40.67</v>
      </c>
      <c r="CW605" s="1924">
        <v>141024</v>
      </c>
      <c r="CX605" s="1894">
        <f t="shared" si="261"/>
        <v>208058</v>
      </c>
      <c r="CY605" s="1894">
        <f t="shared" si="262"/>
        <v>0</v>
      </c>
    </row>
    <row r="606" spans="1:103">
      <c r="A606" s="982">
        <v>124000000063</v>
      </c>
      <c r="B606" s="1923">
        <f t="shared" si="263"/>
        <v>600</v>
      </c>
      <c r="C606" s="1895" t="s">
        <v>3473</v>
      </c>
      <c r="D606" s="1894" t="s">
        <v>524</v>
      </c>
      <c r="E606" s="1895" t="s">
        <v>541</v>
      </c>
      <c r="F606" s="1894" t="s">
        <v>259</v>
      </c>
      <c r="G606" s="1924">
        <v>617</v>
      </c>
      <c r="H606" s="1894">
        <v>617</v>
      </c>
      <c r="I606" s="1894">
        <v>306.71999999999997</v>
      </c>
      <c r="J606" s="1894">
        <v>493.6</v>
      </c>
      <c r="K606" s="1894">
        <v>0.96879999999999999</v>
      </c>
      <c r="L606" s="1894">
        <v>27.22</v>
      </c>
      <c r="M606" s="1894">
        <v>60102</v>
      </c>
      <c r="N606" s="1894">
        <f t="shared" si="241"/>
        <v>132503</v>
      </c>
      <c r="O606" s="1894">
        <f t="shared" si="242"/>
        <v>0</v>
      </c>
      <c r="P606" s="1894">
        <v>617</v>
      </c>
      <c r="Q606" s="1894">
        <v>383.03999999999996</v>
      </c>
      <c r="R606" s="1894">
        <v>493.6</v>
      </c>
      <c r="S606" s="1894">
        <v>0.95860000000000001</v>
      </c>
      <c r="T606" s="1894">
        <v>24.61</v>
      </c>
      <c r="U606" s="1894">
        <v>70146</v>
      </c>
      <c r="V606" s="1894">
        <f t="shared" si="243"/>
        <v>170989</v>
      </c>
      <c r="W606" s="1894">
        <f t="shared" si="244"/>
        <v>0</v>
      </c>
      <c r="X606" s="1894">
        <v>617</v>
      </c>
      <c r="Y606" s="1894">
        <v>323.04000000000002</v>
      </c>
      <c r="Z606" s="1894">
        <v>493.6</v>
      </c>
      <c r="AA606" s="1894">
        <v>0.97330000000000005</v>
      </c>
      <c r="AB606" s="1894">
        <v>18.05</v>
      </c>
      <c r="AC606" s="1894">
        <v>39174</v>
      </c>
      <c r="AD606" s="1894">
        <f t="shared" si="245"/>
        <v>139553</v>
      </c>
      <c r="AE606" s="1894">
        <f t="shared" si="246"/>
        <v>0</v>
      </c>
      <c r="AF606" s="1894">
        <v>617</v>
      </c>
      <c r="AG606" s="1894">
        <v>376.8</v>
      </c>
      <c r="AH606" s="1894">
        <v>493.6</v>
      </c>
      <c r="AI606" s="1894">
        <v>0.95499999999999996</v>
      </c>
      <c r="AJ606" s="1894">
        <v>15.53</v>
      </c>
      <c r="AK606" s="1894">
        <v>46356</v>
      </c>
      <c r="AL606" s="1894">
        <f t="shared" si="239"/>
        <v>168204</v>
      </c>
      <c r="AM606" s="1894">
        <f t="shared" si="240"/>
        <v>0</v>
      </c>
      <c r="AN606" s="1894">
        <v>617</v>
      </c>
      <c r="AO606" s="1894">
        <v>416.15999999999997</v>
      </c>
      <c r="AP606" s="1894">
        <v>493.6</v>
      </c>
      <c r="AQ606" s="1894">
        <v>0.92369999999999997</v>
      </c>
      <c r="AR606" s="1894">
        <v>14.55</v>
      </c>
      <c r="AS606" s="1894">
        <v>45036</v>
      </c>
      <c r="AT606" s="1894">
        <f t="shared" si="247"/>
        <v>185774</v>
      </c>
      <c r="AU606" s="1894">
        <f t="shared" si="248"/>
        <v>0</v>
      </c>
      <c r="AV606" s="1894">
        <v>617</v>
      </c>
      <c r="AW606" s="1894">
        <v>296.64</v>
      </c>
      <c r="AX606" s="1894">
        <v>493.6</v>
      </c>
      <c r="AY606" s="1894">
        <v>0.98560000000000003</v>
      </c>
      <c r="AZ606" s="1894">
        <v>18.78</v>
      </c>
      <c r="BA606" s="1894">
        <v>40116</v>
      </c>
      <c r="BB606" s="1894">
        <f t="shared" si="249"/>
        <v>128148</v>
      </c>
      <c r="BC606" s="1894">
        <f t="shared" si="250"/>
        <v>0</v>
      </c>
      <c r="BD606" s="1894">
        <v>617</v>
      </c>
      <c r="BE606" s="1894">
        <v>333.6</v>
      </c>
      <c r="BF606" s="1894">
        <v>493.6</v>
      </c>
      <c r="BG606" s="1894">
        <v>0.98299999999999998</v>
      </c>
      <c r="BH606" s="1894">
        <v>19.940000000000001</v>
      </c>
      <c r="BI606" s="1894">
        <v>49494</v>
      </c>
      <c r="BJ606" s="1894">
        <f t="shared" si="251"/>
        <v>148919</v>
      </c>
      <c r="BK606" s="1894">
        <f t="shared" si="252"/>
        <v>0</v>
      </c>
      <c r="BL606" s="1894">
        <v>617</v>
      </c>
      <c r="BM606" s="1894">
        <v>353.76</v>
      </c>
      <c r="BN606" s="1894">
        <v>493.6</v>
      </c>
      <c r="BO606" s="1894">
        <v>0.93889999999999996</v>
      </c>
      <c r="BP606" s="1894">
        <v>30.41</v>
      </c>
      <c r="BQ606" s="1894">
        <v>77448</v>
      </c>
      <c r="BR606" s="1894">
        <f t="shared" si="253"/>
        <v>152824</v>
      </c>
      <c r="BS606" s="1894">
        <f t="shared" si="254"/>
        <v>0</v>
      </c>
      <c r="BT606" s="1894">
        <v>617</v>
      </c>
      <c r="BU606" s="1894">
        <v>390.72</v>
      </c>
      <c r="BV606" s="1894">
        <v>493.6</v>
      </c>
      <c r="BW606" s="1894">
        <v>0.99099999999999999</v>
      </c>
      <c r="BX606" s="1894">
        <v>23.38</v>
      </c>
      <c r="BY606" s="1894">
        <v>67968</v>
      </c>
      <c r="BZ606" s="1894">
        <f t="shared" si="255"/>
        <v>174417</v>
      </c>
      <c r="CA606" s="1894">
        <f t="shared" si="256"/>
        <v>0</v>
      </c>
      <c r="CB606" s="1894">
        <v>617</v>
      </c>
      <c r="CC606" s="1894">
        <v>372.96000000000004</v>
      </c>
      <c r="CD606" s="1894">
        <v>493.6</v>
      </c>
      <c r="CE606" s="1894">
        <v>0.99099999999999999</v>
      </c>
      <c r="CF606" s="1894">
        <v>12.26</v>
      </c>
      <c r="CG606" s="1894">
        <v>34026</v>
      </c>
      <c r="CH606" s="1894">
        <f t="shared" si="257"/>
        <v>166489</v>
      </c>
      <c r="CI606" s="1894">
        <f t="shared" si="258"/>
        <v>0</v>
      </c>
      <c r="CJ606" s="1894">
        <v>617</v>
      </c>
      <c r="CK606" s="1894">
        <v>303.83999999999997</v>
      </c>
      <c r="CL606" s="1894">
        <v>493.6</v>
      </c>
      <c r="CM606" s="1894">
        <v>0.99080000000000001</v>
      </c>
      <c r="CN606" s="1894">
        <v>29.54</v>
      </c>
      <c r="CO606" s="1894">
        <v>60312</v>
      </c>
      <c r="CP606" s="1894">
        <f t="shared" si="259"/>
        <v>122508</v>
      </c>
      <c r="CQ606" s="1894">
        <f t="shared" si="260"/>
        <v>0</v>
      </c>
      <c r="CR606" s="1924">
        <v>617</v>
      </c>
      <c r="CS606" s="1924">
        <v>300.96000000000004</v>
      </c>
      <c r="CT606" s="1924">
        <v>493.6</v>
      </c>
      <c r="CU606" s="1924">
        <v>0.99029999999999996</v>
      </c>
      <c r="CV606" s="1924">
        <v>27.79</v>
      </c>
      <c r="CW606" s="1924">
        <v>62220</v>
      </c>
      <c r="CX606" s="1894">
        <f t="shared" si="261"/>
        <v>134349</v>
      </c>
      <c r="CY606" s="1894">
        <f t="shared" si="262"/>
        <v>0</v>
      </c>
    </row>
    <row r="607" spans="1:103">
      <c r="A607" s="982">
        <v>421000000021</v>
      </c>
      <c r="B607" s="1923">
        <f t="shared" si="263"/>
        <v>601</v>
      </c>
      <c r="C607" s="1895" t="s">
        <v>3474</v>
      </c>
      <c r="D607" s="1894" t="s">
        <v>524</v>
      </c>
      <c r="E607" s="1895" t="s">
        <v>737</v>
      </c>
      <c r="F607" s="1894" t="s">
        <v>259</v>
      </c>
      <c r="G607" s="1924">
        <v>622</v>
      </c>
      <c r="H607" s="1894">
        <v>0</v>
      </c>
      <c r="I607" s="1894">
        <v>0</v>
      </c>
      <c r="J607" s="1894">
        <v>0</v>
      </c>
      <c r="K607" s="1894">
        <v>0</v>
      </c>
      <c r="L607" s="1894">
        <v>0</v>
      </c>
      <c r="M607" s="1894">
        <v>0</v>
      </c>
      <c r="N607" s="1894">
        <f t="shared" si="241"/>
        <v>0</v>
      </c>
      <c r="O607" s="1894">
        <f t="shared" si="242"/>
        <v>0</v>
      </c>
      <c r="P607" s="1894">
        <v>0</v>
      </c>
      <c r="Q607" s="1894">
        <v>0</v>
      </c>
      <c r="R607" s="1894">
        <v>0</v>
      </c>
      <c r="S607" s="1894">
        <v>0</v>
      </c>
      <c r="T607" s="1894">
        <v>0</v>
      </c>
      <c r="U607" s="1894">
        <v>0</v>
      </c>
      <c r="V607" s="1894">
        <f t="shared" si="243"/>
        <v>0</v>
      </c>
      <c r="W607" s="1894">
        <f t="shared" si="244"/>
        <v>0</v>
      </c>
      <c r="X607" s="1894">
        <v>0</v>
      </c>
      <c r="Y607" s="1894">
        <v>0</v>
      </c>
      <c r="Z607" s="1894">
        <v>0</v>
      </c>
      <c r="AA607" s="1894">
        <v>0</v>
      </c>
      <c r="AB607" s="1894">
        <v>0</v>
      </c>
      <c r="AC607" s="1894">
        <v>0</v>
      </c>
      <c r="AD607" s="1894">
        <f t="shared" si="245"/>
        <v>0</v>
      </c>
      <c r="AE607" s="1894">
        <f t="shared" si="246"/>
        <v>0</v>
      </c>
      <c r="AF607" s="1894">
        <v>0</v>
      </c>
      <c r="AG607" s="1894">
        <v>0</v>
      </c>
      <c r="AH607" s="1894">
        <v>0</v>
      </c>
      <c r="AI607" s="1894">
        <v>0</v>
      </c>
      <c r="AJ607" s="1894">
        <v>0</v>
      </c>
      <c r="AK607" s="1894">
        <v>0</v>
      </c>
      <c r="AL607" s="1894">
        <f t="shared" si="239"/>
        <v>0</v>
      </c>
      <c r="AM607" s="1894">
        <f t="shared" si="240"/>
        <v>0</v>
      </c>
      <c r="AN607" s="1894">
        <v>0</v>
      </c>
      <c r="AO607" s="1894">
        <v>0</v>
      </c>
      <c r="AP607" s="1894">
        <v>0</v>
      </c>
      <c r="AQ607" s="1894">
        <v>0</v>
      </c>
      <c r="AR607" s="1894">
        <v>0</v>
      </c>
      <c r="AS607" s="1894">
        <v>0</v>
      </c>
      <c r="AT607" s="1894">
        <f t="shared" si="247"/>
        <v>0</v>
      </c>
      <c r="AU607" s="1894">
        <f t="shared" si="248"/>
        <v>0</v>
      </c>
      <c r="AV607" s="1894">
        <v>622</v>
      </c>
      <c r="AW607" s="1894">
        <v>5.04</v>
      </c>
      <c r="AX607" s="1894">
        <v>497.6</v>
      </c>
      <c r="AY607" s="1894">
        <v>0.31740000000000002</v>
      </c>
      <c r="AZ607" s="1894">
        <v>72.12</v>
      </c>
      <c r="BA607" s="1894">
        <v>1134</v>
      </c>
      <c r="BB607" s="1894">
        <f t="shared" si="249"/>
        <v>2177</v>
      </c>
      <c r="BC607" s="1894">
        <f t="shared" si="250"/>
        <v>0</v>
      </c>
      <c r="BD607" s="1894">
        <v>622</v>
      </c>
      <c r="BE607" s="1894">
        <v>6.4799999999999995</v>
      </c>
      <c r="BF607" s="1894">
        <v>497.6</v>
      </c>
      <c r="BG607" s="1894">
        <v>0.44850000000000001</v>
      </c>
      <c r="BH607" s="1894">
        <v>47.7</v>
      </c>
      <c r="BI607" s="1894">
        <v>2448</v>
      </c>
      <c r="BJ607" s="1894">
        <f t="shared" si="251"/>
        <v>2893</v>
      </c>
      <c r="BK607" s="1894">
        <f t="shared" si="252"/>
        <v>0</v>
      </c>
      <c r="BL607" s="1894">
        <v>622</v>
      </c>
      <c r="BM607" s="1894">
        <v>6.4799999999999995</v>
      </c>
      <c r="BN607" s="1894">
        <v>497.6</v>
      </c>
      <c r="BO607" s="1894">
        <v>0.6</v>
      </c>
      <c r="BP607" s="1894">
        <v>33.76</v>
      </c>
      <c r="BQ607" s="1894">
        <v>1575</v>
      </c>
      <c r="BR607" s="1894">
        <f t="shared" si="253"/>
        <v>2799</v>
      </c>
      <c r="BS607" s="1894">
        <f t="shared" si="254"/>
        <v>0</v>
      </c>
      <c r="BT607" s="1894">
        <v>622</v>
      </c>
      <c r="BU607" s="1894">
        <v>56.16</v>
      </c>
      <c r="BV607" s="1894">
        <v>497.6</v>
      </c>
      <c r="BW607" s="1894">
        <v>0.55740000000000001</v>
      </c>
      <c r="BX607" s="1894">
        <v>8.81</v>
      </c>
      <c r="BY607" s="1894">
        <v>3681</v>
      </c>
      <c r="BZ607" s="1894">
        <f t="shared" si="255"/>
        <v>25070</v>
      </c>
      <c r="CA607" s="1894">
        <f t="shared" si="256"/>
        <v>0</v>
      </c>
      <c r="CB607" s="1894">
        <v>622</v>
      </c>
      <c r="CC607" s="1894">
        <v>5.7600000000000007</v>
      </c>
      <c r="CD607" s="1894">
        <v>497.6</v>
      </c>
      <c r="CE607" s="1894">
        <v>0.41889999999999999</v>
      </c>
      <c r="CF607" s="1894">
        <v>68.67</v>
      </c>
      <c r="CG607" s="1894">
        <v>2943</v>
      </c>
      <c r="CH607" s="1894">
        <f t="shared" si="257"/>
        <v>2571</v>
      </c>
      <c r="CI607" s="1894">
        <f t="shared" si="258"/>
        <v>372</v>
      </c>
      <c r="CJ607" s="1894">
        <v>622</v>
      </c>
      <c r="CK607" s="1894">
        <v>5.7600000000000007</v>
      </c>
      <c r="CL607" s="1894">
        <v>497.6</v>
      </c>
      <c r="CM607" s="1894">
        <v>0.43790000000000001</v>
      </c>
      <c r="CN607" s="1894">
        <v>67.430000000000007</v>
      </c>
      <c r="CO607" s="1894">
        <v>2610</v>
      </c>
      <c r="CP607" s="1894">
        <f t="shared" si="259"/>
        <v>2322</v>
      </c>
      <c r="CQ607" s="1894">
        <f t="shared" si="260"/>
        <v>288</v>
      </c>
      <c r="CR607" s="1924">
        <v>622</v>
      </c>
      <c r="CS607" s="1924">
        <v>19.440000000000001</v>
      </c>
      <c r="CT607" s="1924">
        <v>497.6</v>
      </c>
      <c r="CU607" s="1924">
        <v>0.58120000000000005</v>
      </c>
      <c r="CV607" s="1924">
        <v>19.91</v>
      </c>
      <c r="CW607" s="1924">
        <v>2880</v>
      </c>
      <c r="CX607" s="1894">
        <f t="shared" si="261"/>
        <v>8678</v>
      </c>
      <c r="CY607" s="1894">
        <f t="shared" si="262"/>
        <v>0</v>
      </c>
    </row>
    <row r="608" spans="1:103">
      <c r="A608" s="982">
        <v>615000000046</v>
      </c>
      <c r="B608" s="1923">
        <f t="shared" si="263"/>
        <v>602</v>
      </c>
      <c r="C608" s="1895" t="s">
        <v>3475</v>
      </c>
      <c r="D608" s="1894" t="s">
        <v>524</v>
      </c>
      <c r="E608" s="1895" t="s">
        <v>541</v>
      </c>
      <c r="F608" s="1894" t="s">
        <v>259</v>
      </c>
      <c r="G608" s="1924">
        <v>623</v>
      </c>
      <c r="H608" s="1894">
        <v>623</v>
      </c>
      <c r="I608" s="1894">
        <v>548.64</v>
      </c>
      <c r="J608" s="1894">
        <v>548.64</v>
      </c>
      <c r="K608" s="1894">
        <v>0.9506</v>
      </c>
      <c r="L608" s="1894">
        <v>12.06</v>
      </c>
      <c r="M608" s="1894">
        <v>39703</v>
      </c>
      <c r="N608" s="1894">
        <f t="shared" si="241"/>
        <v>237012</v>
      </c>
      <c r="O608" s="1894">
        <f t="shared" si="242"/>
        <v>0</v>
      </c>
      <c r="P608" s="1894">
        <v>623</v>
      </c>
      <c r="Q608" s="1894">
        <v>547.67999999999995</v>
      </c>
      <c r="R608" s="1894">
        <v>547.67999999999995</v>
      </c>
      <c r="S608" s="1894">
        <v>0.94850000000000001</v>
      </c>
      <c r="T608" s="1894">
        <v>15.68</v>
      </c>
      <c r="U608" s="1894">
        <v>74208</v>
      </c>
      <c r="V608" s="1894">
        <f t="shared" si="243"/>
        <v>244484</v>
      </c>
      <c r="W608" s="1894">
        <f t="shared" si="244"/>
        <v>0</v>
      </c>
      <c r="X608" s="1894">
        <v>623</v>
      </c>
      <c r="Y608" s="1894">
        <v>543.36</v>
      </c>
      <c r="Z608" s="1894">
        <v>543.36</v>
      </c>
      <c r="AA608" s="1894">
        <v>0.93689999999999996</v>
      </c>
      <c r="AB608" s="1894">
        <v>7.97</v>
      </c>
      <c r="AC608" s="1894">
        <v>25992</v>
      </c>
      <c r="AD608" s="1894">
        <f t="shared" si="245"/>
        <v>234732</v>
      </c>
      <c r="AE608" s="1894">
        <f t="shared" si="246"/>
        <v>0</v>
      </c>
      <c r="AF608" s="1894">
        <v>623</v>
      </c>
      <c r="AG608" s="1894">
        <v>545.28000000000009</v>
      </c>
      <c r="AH608" s="1894">
        <v>545.28</v>
      </c>
      <c r="AI608" s="1894">
        <v>0.93159999999999998</v>
      </c>
      <c r="AJ608" s="1894">
        <v>11.9</v>
      </c>
      <c r="AK608" s="1894">
        <v>46716</v>
      </c>
      <c r="AL608" s="1894">
        <f t="shared" si="239"/>
        <v>243413</v>
      </c>
      <c r="AM608" s="1894">
        <f t="shared" si="240"/>
        <v>0</v>
      </c>
      <c r="AN608" s="1894">
        <v>623</v>
      </c>
      <c r="AO608" s="1894">
        <v>11.04</v>
      </c>
      <c r="AP608" s="1894">
        <v>498.4</v>
      </c>
      <c r="AQ608" s="1894">
        <v>0.92779999999999996</v>
      </c>
      <c r="AR608" s="1894">
        <v>478.66</v>
      </c>
      <c r="AS608" s="1894">
        <v>46926</v>
      </c>
      <c r="AT608" s="1894">
        <f t="shared" si="247"/>
        <v>4928</v>
      </c>
      <c r="AU608" s="1894">
        <f t="shared" si="248"/>
        <v>41998</v>
      </c>
      <c r="AV608" s="1894">
        <v>623</v>
      </c>
      <c r="AW608" s="1894">
        <v>543.84</v>
      </c>
      <c r="AX608" s="1894">
        <v>543.84</v>
      </c>
      <c r="AY608" s="1894">
        <v>0.92830000000000001</v>
      </c>
      <c r="AZ608" s="1894">
        <v>8.42</v>
      </c>
      <c r="BA608" s="1894">
        <v>27468</v>
      </c>
      <c r="BB608" s="1894">
        <f t="shared" si="249"/>
        <v>234939</v>
      </c>
      <c r="BC608" s="1894">
        <f t="shared" si="250"/>
        <v>0</v>
      </c>
      <c r="BD608" s="1894">
        <v>623</v>
      </c>
      <c r="BE608" s="1894">
        <v>541.91999999999996</v>
      </c>
      <c r="BF608" s="1894">
        <v>541.91999999999996</v>
      </c>
      <c r="BG608" s="1894">
        <v>0.92130000000000001</v>
      </c>
      <c r="BH608" s="1894">
        <v>11.73</v>
      </c>
      <c r="BI608" s="1894">
        <v>54942</v>
      </c>
      <c r="BJ608" s="1894">
        <f t="shared" si="251"/>
        <v>241913</v>
      </c>
      <c r="BK608" s="1894">
        <f t="shared" si="252"/>
        <v>0</v>
      </c>
      <c r="BL608" s="1894">
        <v>623</v>
      </c>
      <c r="BM608" s="1894">
        <v>544.80000000000007</v>
      </c>
      <c r="BN608" s="1894">
        <v>544.79999999999995</v>
      </c>
      <c r="BO608" s="1894">
        <v>0.90359999999999996</v>
      </c>
      <c r="BP608" s="1894">
        <v>10.43</v>
      </c>
      <c r="BQ608" s="1894">
        <v>40920</v>
      </c>
      <c r="BR608" s="1894">
        <f t="shared" si="253"/>
        <v>235354</v>
      </c>
      <c r="BS608" s="1894">
        <f t="shared" si="254"/>
        <v>0</v>
      </c>
      <c r="BT608" s="1894">
        <v>623</v>
      </c>
      <c r="BU608" s="1894">
        <v>544.32000000000005</v>
      </c>
      <c r="BV608" s="1894">
        <v>544.32000000000005</v>
      </c>
      <c r="BW608" s="1894">
        <v>0.90580000000000005</v>
      </c>
      <c r="BX608" s="1894">
        <v>12.14</v>
      </c>
      <c r="BY608" s="1894">
        <v>42816</v>
      </c>
      <c r="BZ608" s="1894">
        <f t="shared" si="255"/>
        <v>242984</v>
      </c>
      <c r="CA608" s="1894">
        <f t="shared" si="256"/>
        <v>0</v>
      </c>
      <c r="CB608" s="1894">
        <v>623</v>
      </c>
      <c r="CC608" s="1894">
        <v>547.67999999999995</v>
      </c>
      <c r="CD608" s="1894">
        <v>547.67999999999995</v>
      </c>
      <c r="CE608" s="1894">
        <v>0.92400000000000004</v>
      </c>
      <c r="CF608" s="1894">
        <v>10.74</v>
      </c>
      <c r="CG608" s="1894">
        <v>49422</v>
      </c>
      <c r="CH608" s="1894">
        <f t="shared" si="257"/>
        <v>244484</v>
      </c>
      <c r="CI608" s="1894">
        <f t="shared" si="258"/>
        <v>0</v>
      </c>
      <c r="CJ608" s="1894">
        <v>623</v>
      </c>
      <c r="CK608" s="1894">
        <v>548.64</v>
      </c>
      <c r="CL608" s="1894">
        <v>548.64</v>
      </c>
      <c r="CM608" s="1894">
        <v>0.93030000000000002</v>
      </c>
      <c r="CN608" s="1894">
        <v>13.78</v>
      </c>
      <c r="CO608" s="1894">
        <v>48996</v>
      </c>
      <c r="CP608" s="1894">
        <f t="shared" si="259"/>
        <v>221212</v>
      </c>
      <c r="CQ608" s="1894">
        <f t="shared" si="260"/>
        <v>0</v>
      </c>
      <c r="CR608" s="1924">
        <v>623</v>
      </c>
      <c r="CS608" s="1924">
        <v>559.67999999999995</v>
      </c>
      <c r="CT608" s="1924">
        <v>559.67999999999995</v>
      </c>
      <c r="CU608" s="1924">
        <v>0.93</v>
      </c>
      <c r="CV608" s="1924">
        <v>13.9</v>
      </c>
      <c r="CW608" s="1924">
        <v>54138</v>
      </c>
      <c r="CX608" s="1894">
        <f t="shared" si="261"/>
        <v>249841</v>
      </c>
      <c r="CY608" s="1894">
        <f t="shared" si="262"/>
        <v>0</v>
      </c>
    </row>
    <row r="609" spans="1:103">
      <c r="A609" s="982">
        <v>125000000020</v>
      </c>
      <c r="B609" s="1923">
        <f t="shared" si="263"/>
        <v>603</v>
      </c>
      <c r="C609" s="1895" t="s">
        <v>3476</v>
      </c>
      <c r="D609" s="1894" t="s">
        <v>524</v>
      </c>
      <c r="E609" s="1895" t="s">
        <v>541</v>
      </c>
      <c r="F609" s="1894" t="s">
        <v>259</v>
      </c>
      <c r="G609" s="1924">
        <v>630</v>
      </c>
      <c r="H609" s="1894">
        <v>630</v>
      </c>
      <c r="I609" s="1894">
        <v>120</v>
      </c>
      <c r="J609" s="1894">
        <v>504</v>
      </c>
      <c r="K609" s="1894">
        <v>0.98719999999999997</v>
      </c>
      <c r="L609" s="1894">
        <v>14.19</v>
      </c>
      <c r="M609" s="1894">
        <v>12258</v>
      </c>
      <c r="N609" s="1894">
        <f t="shared" si="241"/>
        <v>51840</v>
      </c>
      <c r="O609" s="1894">
        <f t="shared" si="242"/>
        <v>0</v>
      </c>
      <c r="P609" s="1894">
        <v>630</v>
      </c>
      <c r="Q609" s="1894">
        <v>180</v>
      </c>
      <c r="R609" s="1894">
        <v>504</v>
      </c>
      <c r="S609" s="1894">
        <v>0.90620000000000001</v>
      </c>
      <c r="T609" s="1894">
        <v>33.53</v>
      </c>
      <c r="U609" s="1894">
        <v>40560</v>
      </c>
      <c r="V609" s="1894">
        <f t="shared" si="243"/>
        <v>80352</v>
      </c>
      <c r="W609" s="1894">
        <f t="shared" si="244"/>
        <v>0</v>
      </c>
      <c r="X609" s="1894">
        <v>630</v>
      </c>
      <c r="Y609" s="1894">
        <v>97.44</v>
      </c>
      <c r="Z609" s="1894">
        <v>504</v>
      </c>
      <c r="AA609" s="1894">
        <v>0.88470000000000004</v>
      </c>
      <c r="AB609" s="1894">
        <v>13.42</v>
      </c>
      <c r="AC609" s="1894">
        <v>10044</v>
      </c>
      <c r="AD609" s="1894">
        <f t="shared" si="245"/>
        <v>42094</v>
      </c>
      <c r="AE609" s="1894">
        <f t="shared" si="246"/>
        <v>0</v>
      </c>
      <c r="AF609" s="1894">
        <v>630</v>
      </c>
      <c r="AG609" s="1894">
        <v>86.88000000000001</v>
      </c>
      <c r="AH609" s="1894">
        <v>504</v>
      </c>
      <c r="AI609" s="1894">
        <v>0.5</v>
      </c>
      <c r="AJ609" s="1894">
        <v>0.04</v>
      </c>
      <c r="AK609" s="1894">
        <v>24</v>
      </c>
      <c r="AL609" s="1894">
        <f t="shared" si="239"/>
        <v>38783</v>
      </c>
      <c r="AM609" s="1894">
        <f t="shared" si="240"/>
        <v>0</v>
      </c>
      <c r="AN609" s="1894">
        <v>630</v>
      </c>
      <c r="AO609" s="1894">
        <v>75.36</v>
      </c>
      <c r="AP609" s="1894">
        <v>504</v>
      </c>
      <c r="AQ609" s="1894">
        <v>0.65029999999999999</v>
      </c>
      <c r="AR609" s="1894">
        <v>20.350000000000001</v>
      </c>
      <c r="AS609" s="1894">
        <v>10674</v>
      </c>
      <c r="AT609" s="1894">
        <f t="shared" si="247"/>
        <v>33641</v>
      </c>
      <c r="AU609" s="1894">
        <f t="shared" si="248"/>
        <v>0</v>
      </c>
      <c r="AV609" s="1894">
        <v>630</v>
      </c>
      <c r="AW609" s="1894">
        <v>27.36</v>
      </c>
      <c r="AX609" s="1894">
        <v>504</v>
      </c>
      <c r="AY609" s="1894">
        <v>0.66790000000000005</v>
      </c>
      <c r="AZ609" s="1894">
        <v>56.46</v>
      </c>
      <c r="BA609" s="1894">
        <v>10752</v>
      </c>
      <c r="BB609" s="1894">
        <f t="shared" si="249"/>
        <v>11820</v>
      </c>
      <c r="BC609" s="1894">
        <f t="shared" si="250"/>
        <v>0</v>
      </c>
      <c r="BD609" s="1894">
        <v>630</v>
      </c>
      <c r="BE609" s="1894">
        <v>34.56</v>
      </c>
      <c r="BF609" s="1894">
        <v>504</v>
      </c>
      <c r="BG609" s="1894">
        <v>0.58130000000000004</v>
      </c>
      <c r="BH609" s="1894">
        <v>45.46</v>
      </c>
      <c r="BI609" s="1894">
        <v>12066</v>
      </c>
      <c r="BJ609" s="1894">
        <f t="shared" si="251"/>
        <v>15428</v>
      </c>
      <c r="BK609" s="1894">
        <f t="shared" si="252"/>
        <v>0</v>
      </c>
      <c r="BL609" s="1894">
        <v>630</v>
      </c>
      <c r="BM609" s="1894">
        <v>67.2</v>
      </c>
      <c r="BN609" s="1894">
        <v>504</v>
      </c>
      <c r="BO609" s="1894">
        <v>0.51229999999999998</v>
      </c>
      <c r="BP609" s="1894">
        <v>29.22</v>
      </c>
      <c r="BQ609" s="1894">
        <v>14136</v>
      </c>
      <c r="BR609" s="1894">
        <f t="shared" si="253"/>
        <v>29030</v>
      </c>
      <c r="BS609" s="1894">
        <f t="shared" si="254"/>
        <v>0</v>
      </c>
      <c r="BT609" s="1894">
        <v>630</v>
      </c>
      <c r="BU609" s="1894">
        <v>96.96</v>
      </c>
      <c r="BV609" s="1894">
        <v>504</v>
      </c>
      <c r="BW609" s="1894">
        <v>0.55579999999999996</v>
      </c>
      <c r="BX609" s="1894">
        <v>22.78</v>
      </c>
      <c r="BY609" s="1894">
        <v>19086</v>
      </c>
      <c r="BZ609" s="1894">
        <f t="shared" si="255"/>
        <v>43283</v>
      </c>
      <c r="CA609" s="1894">
        <f t="shared" si="256"/>
        <v>0</v>
      </c>
      <c r="CB609" s="1894">
        <v>630</v>
      </c>
      <c r="CC609" s="1894">
        <v>50.88</v>
      </c>
      <c r="CD609" s="1894">
        <v>504</v>
      </c>
      <c r="CE609" s="1894">
        <v>0.6069</v>
      </c>
      <c r="CF609" s="1894">
        <v>32.380000000000003</v>
      </c>
      <c r="CG609" s="1894">
        <v>12258</v>
      </c>
      <c r="CH609" s="1894">
        <f t="shared" si="257"/>
        <v>22713</v>
      </c>
      <c r="CI609" s="1894">
        <f t="shared" si="258"/>
        <v>0</v>
      </c>
      <c r="CJ609" s="1894">
        <v>630</v>
      </c>
      <c r="CK609" s="1894">
        <v>75.84</v>
      </c>
      <c r="CL609" s="1894">
        <v>504</v>
      </c>
      <c r="CM609" s="1894">
        <v>0.67459999999999998</v>
      </c>
      <c r="CN609" s="1894">
        <v>18.670000000000002</v>
      </c>
      <c r="CO609" s="1894">
        <v>9516</v>
      </c>
      <c r="CP609" s="1894">
        <f t="shared" si="259"/>
        <v>30579</v>
      </c>
      <c r="CQ609" s="1894">
        <f t="shared" si="260"/>
        <v>0</v>
      </c>
      <c r="CR609" s="1924">
        <v>630</v>
      </c>
      <c r="CS609" s="1924">
        <v>39.840000000000003</v>
      </c>
      <c r="CT609" s="1924">
        <v>504</v>
      </c>
      <c r="CU609" s="1924">
        <v>0.66659999999999997</v>
      </c>
      <c r="CV609" s="1924">
        <v>37.89</v>
      </c>
      <c r="CW609" s="1924">
        <v>11232</v>
      </c>
      <c r="CX609" s="1894">
        <f t="shared" si="261"/>
        <v>17785</v>
      </c>
      <c r="CY609" s="1894">
        <f t="shared" si="262"/>
        <v>0</v>
      </c>
    </row>
    <row r="610" spans="1:103">
      <c r="A610" s="982">
        <v>123000000091</v>
      </c>
      <c r="B610" s="1923">
        <f t="shared" si="263"/>
        <v>604</v>
      </c>
      <c r="C610" s="1895" t="s">
        <v>3477</v>
      </c>
      <c r="D610" s="1894" t="s">
        <v>524</v>
      </c>
      <c r="E610" s="1895" t="s">
        <v>541</v>
      </c>
      <c r="F610" s="1894" t="s">
        <v>259</v>
      </c>
      <c r="G610" s="1924">
        <v>650</v>
      </c>
      <c r="H610" s="1894">
        <v>350</v>
      </c>
      <c r="I610" s="1894">
        <v>378.6</v>
      </c>
      <c r="J610" s="1894">
        <v>378.6</v>
      </c>
      <c r="K610" s="1894">
        <v>0.9909</v>
      </c>
      <c r="L610" s="1894">
        <v>80.12</v>
      </c>
      <c r="M610" s="1894">
        <v>218407</v>
      </c>
      <c r="N610" s="1894">
        <f t="shared" si="241"/>
        <v>163555</v>
      </c>
      <c r="O610" s="1894">
        <f t="shared" si="242"/>
        <v>54852</v>
      </c>
      <c r="P610" s="1894">
        <v>350</v>
      </c>
      <c r="Q610" s="1894">
        <v>531.20000000000005</v>
      </c>
      <c r="R610" s="1894">
        <v>531.20000000000005</v>
      </c>
      <c r="S610" s="1894">
        <v>0.99299999999999999</v>
      </c>
      <c r="T610" s="1894">
        <v>67.8</v>
      </c>
      <c r="U610" s="1894">
        <v>267956</v>
      </c>
      <c r="V610" s="1894">
        <f t="shared" si="243"/>
        <v>237128</v>
      </c>
      <c r="W610" s="1894">
        <f t="shared" si="244"/>
        <v>30828</v>
      </c>
      <c r="X610" s="1894">
        <v>350</v>
      </c>
      <c r="Y610" s="1894">
        <v>516</v>
      </c>
      <c r="Z610" s="1894">
        <v>516</v>
      </c>
      <c r="AA610" s="1894">
        <v>0.98839999999999995</v>
      </c>
      <c r="AB610" s="1894">
        <v>77.16</v>
      </c>
      <c r="AC610" s="1894">
        <v>286652</v>
      </c>
      <c r="AD610" s="1894">
        <f t="shared" si="245"/>
        <v>222912</v>
      </c>
      <c r="AE610" s="1894">
        <f t="shared" si="246"/>
        <v>63740</v>
      </c>
      <c r="AF610" s="1894">
        <v>350</v>
      </c>
      <c r="AG610" s="1894">
        <v>455.84</v>
      </c>
      <c r="AH610" s="1894">
        <v>455.84</v>
      </c>
      <c r="AI610" s="1894">
        <v>0.99270000000000003</v>
      </c>
      <c r="AJ610" s="1894">
        <v>77.959999999999994</v>
      </c>
      <c r="AK610" s="1894">
        <v>264394</v>
      </c>
      <c r="AL610" s="1894">
        <f t="shared" si="239"/>
        <v>203487</v>
      </c>
      <c r="AM610" s="1894">
        <f t="shared" si="240"/>
        <v>60907</v>
      </c>
      <c r="AN610" s="1894">
        <v>350</v>
      </c>
      <c r="AO610" s="1894">
        <v>413.28</v>
      </c>
      <c r="AP610" s="1894">
        <v>413.28</v>
      </c>
      <c r="AQ610" s="1894">
        <v>0.99260000000000004</v>
      </c>
      <c r="AR610" s="1894">
        <v>71.38</v>
      </c>
      <c r="AS610" s="1894">
        <v>219484</v>
      </c>
      <c r="AT610" s="1894">
        <f t="shared" si="247"/>
        <v>184488</v>
      </c>
      <c r="AU610" s="1894">
        <f t="shared" si="248"/>
        <v>34996</v>
      </c>
      <c r="AV610" s="1894">
        <v>350</v>
      </c>
      <c r="AW610" s="1894">
        <v>434.23999999999995</v>
      </c>
      <c r="AX610" s="1894">
        <v>434.24</v>
      </c>
      <c r="AY610" s="1894">
        <v>0.99460000000000004</v>
      </c>
      <c r="AZ610" s="1894">
        <v>71.73</v>
      </c>
      <c r="BA610" s="1894">
        <v>224252</v>
      </c>
      <c r="BB610" s="1894">
        <f t="shared" si="249"/>
        <v>187592</v>
      </c>
      <c r="BC610" s="1894">
        <f t="shared" si="250"/>
        <v>36660</v>
      </c>
      <c r="BD610" s="1894">
        <v>350</v>
      </c>
      <c r="BE610" s="1894">
        <v>432</v>
      </c>
      <c r="BF610" s="1894">
        <v>432</v>
      </c>
      <c r="BG610" s="1894">
        <v>0.99319999999999997</v>
      </c>
      <c r="BH610" s="1894">
        <v>62.66</v>
      </c>
      <c r="BI610" s="1894">
        <v>201410</v>
      </c>
      <c r="BJ610" s="1894">
        <f t="shared" si="251"/>
        <v>192845</v>
      </c>
      <c r="BK610" s="1894">
        <f t="shared" si="252"/>
        <v>8565</v>
      </c>
      <c r="BL610" s="1894">
        <v>350</v>
      </c>
      <c r="BM610" s="1894">
        <v>426.71999999999997</v>
      </c>
      <c r="BN610" s="1894">
        <v>426.72</v>
      </c>
      <c r="BO610" s="1894">
        <v>0.98699999999999999</v>
      </c>
      <c r="BP610" s="1894">
        <v>87.78</v>
      </c>
      <c r="BQ610" s="1894">
        <v>269688</v>
      </c>
      <c r="BR610" s="1894">
        <f t="shared" si="253"/>
        <v>184343</v>
      </c>
      <c r="BS610" s="1894">
        <f t="shared" si="254"/>
        <v>85345</v>
      </c>
      <c r="BT610" s="1894">
        <v>350</v>
      </c>
      <c r="BU610" s="1894">
        <v>443.68</v>
      </c>
      <c r="BV610" s="1894">
        <v>443.68</v>
      </c>
      <c r="BW610" s="1894">
        <v>0.98860000000000003</v>
      </c>
      <c r="BX610" s="1894">
        <v>73.33</v>
      </c>
      <c r="BY610" s="1894">
        <v>242068</v>
      </c>
      <c r="BZ610" s="1894">
        <f t="shared" si="255"/>
        <v>198059</v>
      </c>
      <c r="CA610" s="1894">
        <f t="shared" si="256"/>
        <v>44009</v>
      </c>
      <c r="CB610" s="1894">
        <v>650</v>
      </c>
      <c r="CC610" s="1894">
        <v>340</v>
      </c>
      <c r="CD610" s="1894">
        <v>520</v>
      </c>
      <c r="CE610" s="1894">
        <v>1</v>
      </c>
      <c r="CF610" s="1894">
        <v>55.49</v>
      </c>
      <c r="CG610" s="1894">
        <v>126779</v>
      </c>
      <c r="CH610" s="1894">
        <f t="shared" si="257"/>
        <v>151776</v>
      </c>
      <c r="CI610" s="1894">
        <f t="shared" si="258"/>
        <v>0</v>
      </c>
      <c r="CJ610" s="1894">
        <v>650</v>
      </c>
      <c r="CK610" s="1894">
        <v>448</v>
      </c>
      <c r="CL610" s="1894">
        <v>520</v>
      </c>
      <c r="CM610" s="1894">
        <v>0.99990000000000001</v>
      </c>
      <c r="CN610" s="1894">
        <v>65.150000000000006</v>
      </c>
      <c r="CO610" s="1894">
        <v>203150</v>
      </c>
      <c r="CP610" s="1894">
        <f t="shared" si="259"/>
        <v>180634</v>
      </c>
      <c r="CQ610" s="1894">
        <f t="shared" si="260"/>
        <v>22516</v>
      </c>
      <c r="CR610" s="1924">
        <v>650</v>
      </c>
      <c r="CS610" s="1924">
        <v>404.4</v>
      </c>
      <c r="CT610" s="1924">
        <v>520</v>
      </c>
      <c r="CU610" s="1924">
        <v>0.99990000000000001</v>
      </c>
      <c r="CV610" s="1924">
        <v>76.540000000000006</v>
      </c>
      <c r="CW610" s="1924">
        <v>215440</v>
      </c>
      <c r="CX610" s="1894">
        <f t="shared" si="261"/>
        <v>180524</v>
      </c>
      <c r="CY610" s="1894">
        <f t="shared" si="262"/>
        <v>34916</v>
      </c>
    </row>
    <row r="611" spans="1:103">
      <c r="A611" s="982">
        <v>611000000043</v>
      </c>
      <c r="B611" s="1923">
        <f t="shared" si="263"/>
        <v>605</v>
      </c>
      <c r="C611" s="1895" t="s">
        <v>664</v>
      </c>
      <c r="D611" s="1894" t="s">
        <v>524</v>
      </c>
      <c r="E611" s="1895" t="s">
        <v>629</v>
      </c>
      <c r="F611" s="1894" t="s">
        <v>259</v>
      </c>
      <c r="G611" s="1924">
        <v>666.67</v>
      </c>
      <c r="H611" s="1894">
        <v>666.67</v>
      </c>
      <c r="I611" s="1894">
        <v>278.88</v>
      </c>
      <c r="J611" s="1894">
        <v>666.67</v>
      </c>
      <c r="K611" s="1894">
        <v>0.96779999999999999</v>
      </c>
      <c r="L611" s="1894">
        <v>0</v>
      </c>
      <c r="M611" s="1894">
        <v>80742</v>
      </c>
      <c r="N611" s="1894">
        <f t="shared" si="241"/>
        <v>120476</v>
      </c>
      <c r="O611" s="1894">
        <f t="shared" si="242"/>
        <v>0</v>
      </c>
      <c r="P611" s="1894">
        <v>666.67</v>
      </c>
      <c r="Q611" s="1894">
        <v>246.72</v>
      </c>
      <c r="R611" s="1894">
        <v>666.67</v>
      </c>
      <c r="S611" s="1894">
        <v>0.96730000000000005</v>
      </c>
      <c r="T611" s="1894">
        <v>0</v>
      </c>
      <c r="U611" s="1894">
        <v>81498</v>
      </c>
      <c r="V611" s="1894">
        <f t="shared" si="243"/>
        <v>110136</v>
      </c>
      <c r="W611" s="1894">
        <f t="shared" si="244"/>
        <v>0</v>
      </c>
      <c r="X611" s="1894">
        <v>666.67</v>
      </c>
      <c r="Y611" s="1894">
        <v>256.32</v>
      </c>
      <c r="Z611" s="1894">
        <v>666.67</v>
      </c>
      <c r="AA611" s="1894">
        <v>0.9637</v>
      </c>
      <c r="AB611" s="1894">
        <v>0</v>
      </c>
      <c r="AC611" s="1894">
        <v>77052</v>
      </c>
      <c r="AD611" s="1894">
        <f t="shared" si="245"/>
        <v>110730</v>
      </c>
      <c r="AE611" s="1894">
        <f t="shared" si="246"/>
        <v>0</v>
      </c>
      <c r="AF611" s="1894">
        <v>666.67</v>
      </c>
      <c r="AG611" s="1894">
        <v>207.36</v>
      </c>
      <c r="AH611" s="1894">
        <v>666.67</v>
      </c>
      <c r="AI611" s="1894">
        <v>0.95879999999999999</v>
      </c>
      <c r="AJ611" s="1894">
        <v>0</v>
      </c>
      <c r="AK611" s="1894">
        <v>68262</v>
      </c>
      <c r="AL611" s="1894">
        <f t="shared" si="239"/>
        <v>92566</v>
      </c>
      <c r="AM611" s="1894">
        <f t="shared" si="240"/>
        <v>0</v>
      </c>
      <c r="AN611" s="1894">
        <v>666.67</v>
      </c>
      <c r="AO611" s="1894">
        <v>209.28</v>
      </c>
      <c r="AP611" s="1894">
        <v>666.67</v>
      </c>
      <c r="AQ611" s="1894">
        <v>0.95630000000000004</v>
      </c>
      <c r="AR611" s="1894">
        <v>0</v>
      </c>
      <c r="AS611" s="1894">
        <v>65250</v>
      </c>
      <c r="AT611" s="1894">
        <f t="shared" si="247"/>
        <v>93423</v>
      </c>
      <c r="AU611" s="1894">
        <f t="shared" si="248"/>
        <v>0</v>
      </c>
      <c r="AV611" s="1894">
        <v>666.67</v>
      </c>
      <c r="AW611" s="1894">
        <v>202.07999999999998</v>
      </c>
      <c r="AX611" s="1894">
        <v>666.67</v>
      </c>
      <c r="AY611" s="1894">
        <v>0.96389999999999998</v>
      </c>
      <c r="AZ611" s="1894">
        <v>0</v>
      </c>
      <c r="BA611" s="1894">
        <v>63564</v>
      </c>
      <c r="BB611" s="1894">
        <f t="shared" si="249"/>
        <v>87299</v>
      </c>
      <c r="BC611" s="1894">
        <f t="shared" si="250"/>
        <v>0</v>
      </c>
      <c r="BD611" s="1894">
        <v>666.67</v>
      </c>
      <c r="BE611" s="1894">
        <v>160.32</v>
      </c>
      <c r="BF611" s="1894">
        <v>666.67</v>
      </c>
      <c r="BG611" s="1894">
        <v>0.95320000000000005</v>
      </c>
      <c r="BH611" s="1894">
        <v>0</v>
      </c>
      <c r="BI611" s="1894">
        <v>57168</v>
      </c>
      <c r="BJ611" s="1894">
        <f t="shared" si="251"/>
        <v>71567</v>
      </c>
      <c r="BK611" s="1894">
        <f t="shared" si="252"/>
        <v>0</v>
      </c>
      <c r="BL611" s="1894">
        <v>666.67</v>
      </c>
      <c r="BM611" s="1894">
        <v>169.44</v>
      </c>
      <c r="BN611" s="1894">
        <v>666.67</v>
      </c>
      <c r="BO611" s="1894">
        <v>0.93640000000000001</v>
      </c>
      <c r="BP611" s="1894">
        <v>0</v>
      </c>
      <c r="BQ611" s="1894">
        <v>37362</v>
      </c>
      <c r="BR611" s="1894">
        <f t="shared" si="253"/>
        <v>73198</v>
      </c>
      <c r="BS611" s="1894">
        <f t="shared" si="254"/>
        <v>0</v>
      </c>
      <c r="BT611" s="1894">
        <v>666.67</v>
      </c>
      <c r="BU611" s="1894">
        <v>100.32</v>
      </c>
      <c r="BV611" s="1894">
        <v>666.67</v>
      </c>
      <c r="BW611" s="1894">
        <v>0.93359999999999999</v>
      </c>
      <c r="BX611" s="1894">
        <v>0</v>
      </c>
      <c r="BY611" s="1894">
        <v>30492</v>
      </c>
      <c r="BZ611" s="1894">
        <f t="shared" si="255"/>
        <v>44783</v>
      </c>
      <c r="CA611" s="1894">
        <f t="shared" si="256"/>
        <v>0</v>
      </c>
      <c r="CB611" s="1894">
        <v>666.67</v>
      </c>
      <c r="CC611" s="1894">
        <v>98.4</v>
      </c>
      <c r="CD611" s="1894">
        <v>666.67</v>
      </c>
      <c r="CE611" s="1894">
        <v>0.95009999999999994</v>
      </c>
      <c r="CF611" s="1894">
        <v>0</v>
      </c>
      <c r="CG611" s="1894">
        <v>38514</v>
      </c>
      <c r="CH611" s="1894">
        <f t="shared" si="257"/>
        <v>43926</v>
      </c>
      <c r="CI611" s="1894">
        <f t="shared" si="258"/>
        <v>0</v>
      </c>
      <c r="CJ611" s="1894">
        <v>666.67</v>
      </c>
      <c r="CK611" s="1894">
        <v>105.11999999999999</v>
      </c>
      <c r="CL611" s="1894">
        <v>666.67</v>
      </c>
      <c r="CM611" s="1894">
        <v>0.96</v>
      </c>
      <c r="CN611" s="1894">
        <v>0</v>
      </c>
      <c r="CO611" s="1894">
        <v>33672</v>
      </c>
      <c r="CP611" s="1894">
        <f t="shared" si="259"/>
        <v>42384</v>
      </c>
      <c r="CQ611" s="1894">
        <f t="shared" si="260"/>
        <v>0</v>
      </c>
      <c r="CR611" s="1924">
        <v>666.67</v>
      </c>
      <c r="CS611" s="1924">
        <v>144.47999999999999</v>
      </c>
      <c r="CT611" s="1924">
        <v>666.67</v>
      </c>
      <c r="CU611" s="1924">
        <v>0.96060000000000001</v>
      </c>
      <c r="CV611" s="1924">
        <v>0</v>
      </c>
      <c r="CW611" s="1924">
        <v>47472</v>
      </c>
      <c r="CX611" s="1894">
        <f t="shared" si="261"/>
        <v>64496</v>
      </c>
      <c r="CY611" s="1894">
        <f t="shared" si="262"/>
        <v>0</v>
      </c>
    </row>
    <row r="612" spans="1:103">
      <c r="A612" s="982">
        <v>124000000055</v>
      </c>
      <c r="B612" s="1923">
        <f t="shared" si="263"/>
        <v>606</v>
      </c>
      <c r="C612" s="1895" t="s">
        <v>3478</v>
      </c>
      <c r="D612" s="1894" t="s">
        <v>524</v>
      </c>
      <c r="E612" s="1895" t="s">
        <v>541</v>
      </c>
      <c r="F612" s="1894" t="s">
        <v>259</v>
      </c>
      <c r="G612" s="1924">
        <v>667</v>
      </c>
      <c r="H612" s="1894">
        <v>667</v>
      </c>
      <c r="I612" s="1894">
        <v>12</v>
      </c>
      <c r="J612" s="1894">
        <v>533.6</v>
      </c>
      <c r="K612" s="1894">
        <v>0</v>
      </c>
      <c r="L612" s="1894">
        <v>0</v>
      </c>
      <c r="M612" s="1894">
        <v>0</v>
      </c>
      <c r="N612" s="1894">
        <f t="shared" si="241"/>
        <v>5184</v>
      </c>
      <c r="O612" s="1894">
        <f t="shared" si="242"/>
        <v>0</v>
      </c>
      <c r="P612" s="1894">
        <v>667</v>
      </c>
      <c r="Q612" s="1894">
        <v>0</v>
      </c>
      <c r="R612" s="1894">
        <v>533.6</v>
      </c>
      <c r="S612" s="1894">
        <v>0</v>
      </c>
      <c r="T612" s="1894">
        <v>0</v>
      </c>
      <c r="U612" s="1894">
        <v>0</v>
      </c>
      <c r="V612" s="1894">
        <f t="shared" si="243"/>
        <v>0</v>
      </c>
      <c r="W612" s="1894">
        <f t="shared" si="244"/>
        <v>0</v>
      </c>
      <c r="X612" s="1894">
        <v>667</v>
      </c>
      <c r="Y612" s="1894">
        <v>0</v>
      </c>
      <c r="Z612" s="1894">
        <v>533.6</v>
      </c>
      <c r="AA612" s="1894">
        <v>0</v>
      </c>
      <c r="AB612" s="1894">
        <v>0</v>
      </c>
      <c r="AC612" s="1894">
        <v>0</v>
      </c>
      <c r="AD612" s="1894">
        <f t="shared" si="245"/>
        <v>0</v>
      </c>
      <c r="AE612" s="1894">
        <f t="shared" si="246"/>
        <v>0</v>
      </c>
      <c r="AF612" s="1894">
        <v>667</v>
      </c>
      <c r="AG612" s="1894">
        <v>0</v>
      </c>
      <c r="AH612" s="1894">
        <v>533.6</v>
      </c>
      <c r="AI612" s="1894">
        <v>0</v>
      </c>
      <c r="AJ612" s="1894">
        <v>0</v>
      </c>
      <c r="AK612" s="1894">
        <v>0</v>
      </c>
      <c r="AL612" s="1894">
        <f t="shared" si="239"/>
        <v>0</v>
      </c>
      <c r="AM612" s="1894">
        <f t="shared" si="240"/>
        <v>0</v>
      </c>
      <c r="AN612" s="1894">
        <v>667</v>
      </c>
      <c r="AO612" s="1894">
        <v>0</v>
      </c>
      <c r="AP612" s="1894">
        <v>533.6</v>
      </c>
      <c r="AQ612" s="1894">
        <v>0</v>
      </c>
      <c r="AR612" s="1894">
        <v>0</v>
      </c>
      <c r="AS612" s="1894">
        <v>0</v>
      </c>
      <c r="AT612" s="1894">
        <f t="shared" si="247"/>
        <v>0</v>
      </c>
      <c r="AU612" s="1894">
        <f t="shared" si="248"/>
        <v>0</v>
      </c>
      <c r="AV612" s="1894">
        <v>667</v>
      </c>
      <c r="AW612" s="1894">
        <v>0</v>
      </c>
      <c r="AX612" s="1894">
        <v>533.6</v>
      </c>
      <c r="AY612" s="1894">
        <v>0</v>
      </c>
      <c r="AZ612" s="1894">
        <v>0</v>
      </c>
      <c r="BA612" s="1894">
        <v>0</v>
      </c>
      <c r="BB612" s="1894">
        <f t="shared" si="249"/>
        <v>0</v>
      </c>
      <c r="BC612" s="1894">
        <f t="shared" si="250"/>
        <v>0</v>
      </c>
      <c r="BD612" s="1894">
        <v>667</v>
      </c>
      <c r="BE612" s="1894">
        <v>0</v>
      </c>
      <c r="BF612" s="1894">
        <v>533.6</v>
      </c>
      <c r="BG612" s="1894">
        <v>0</v>
      </c>
      <c r="BH612" s="1894">
        <v>0</v>
      </c>
      <c r="BI612" s="1894">
        <v>0</v>
      </c>
      <c r="BJ612" s="1894">
        <f t="shared" si="251"/>
        <v>0</v>
      </c>
      <c r="BK612" s="1894">
        <f t="shared" si="252"/>
        <v>0</v>
      </c>
      <c r="BL612" s="1894">
        <v>667</v>
      </c>
      <c r="BM612" s="1894">
        <v>0</v>
      </c>
      <c r="BN612" s="1894">
        <v>533.6</v>
      </c>
      <c r="BO612" s="1894">
        <v>0</v>
      </c>
      <c r="BP612" s="1894">
        <v>0</v>
      </c>
      <c r="BQ612" s="1894">
        <v>0</v>
      </c>
      <c r="BR612" s="1894">
        <f t="shared" si="253"/>
        <v>0</v>
      </c>
      <c r="BS612" s="1894">
        <f t="shared" si="254"/>
        <v>0</v>
      </c>
      <c r="BT612" s="1894">
        <v>667</v>
      </c>
      <c r="BU612" s="1894">
        <v>0</v>
      </c>
      <c r="BV612" s="1894">
        <v>533.6</v>
      </c>
      <c r="BW612" s="1894">
        <v>0</v>
      </c>
      <c r="BX612" s="1894">
        <v>0</v>
      </c>
      <c r="BY612" s="1894">
        <v>0</v>
      </c>
      <c r="BZ612" s="1894">
        <f t="shared" si="255"/>
        <v>0</v>
      </c>
      <c r="CA612" s="1894">
        <f t="shared" si="256"/>
        <v>0</v>
      </c>
      <c r="CB612" s="1894">
        <v>667</v>
      </c>
      <c r="CC612" s="1894">
        <v>0</v>
      </c>
      <c r="CD612" s="1894">
        <v>533.6</v>
      </c>
      <c r="CE612" s="1894">
        <v>0</v>
      </c>
      <c r="CF612" s="1894">
        <v>0</v>
      </c>
      <c r="CG612" s="1894">
        <v>0</v>
      </c>
      <c r="CH612" s="1894">
        <f t="shared" si="257"/>
        <v>0</v>
      </c>
      <c r="CI612" s="1894">
        <f t="shared" si="258"/>
        <v>0</v>
      </c>
      <c r="CJ612" s="1894">
        <v>667</v>
      </c>
      <c r="CK612" s="1894">
        <v>0</v>
      </c>
      <c r="CL612" s="1894">
        <v>533.6</v>
      </c>
      <c r="CM612" s="1894">
        <v>0</v>
      </c>
      <c r="CN612" s="1894">
        <v>0</v>
      </c>
      <c r="CO612" s="1894">
        <v>0</v>
      </c>
      <c r="CP612" s="1894">
        <f t="shared" si="259"/>
        <v>0</v>
      </c>
      <c r="CQ612" s="1894">
        <f t="shared" si="260"/>
        <v>0</v>
      </c>
      <c r="CR612" s="1924">
        <v>667</v>
      </c>
      <c r="CS612" s="1924">
        <v>0</v>
      </c>
      <c r="CT612" s="1924">
        <v>533.6</v>
      </c>
      <c r="CU612" s="1924">
        <v>0</v>
      </c>
      <c r="CV612" s="1924">
        <v>0</v>
      </c>
      <c r="CW612" s="1924">
        <v>0</v>
      </c>
      <c r="CX612" s="1894">
        <f t="shared" si="261"/>
        <v>0</v>
      </c>
      <c r="CY612" s="1894">
        <f t="shared" si="262"/>
        <v>0</v>
      </c>
    </row>
    <row r="613" spans="1:103">
      <c r="A613" s="982">
        <v>127000000015</v>
      </c>
      <c r="B613" s="1923">
        <f t="shared" si="263"/>
        <v>607</v>
      </c>
      <c r="C613" s="1895" t="s">
        <v>3479</v>
      </c>
      <c r="D613" s="1894" t="s">
        <v>524</v>
      </c>
      <c r="E613" s="1895" t="s">
        <v>730</v>
      </c>
      <c r="F613" s="1894" t="s">
        <v>259</v>
      </c>
      <c r="G613" s="1924">
        <v>667</v>
      </c>
      <c r="H613" s="1894">
        <v>667</v>
      </c>
      <c r="I613" s="1894">
        <v>256.32</v>
      </c>
      <c r="J613" s="1894">
        <v>533.6</v>
      </c>
      <c r="K613" s="1894">
        <v>0.85489999999999999</v>
      </c>
      <c r="L613" s="1894">
        <v>25.35</v>
      </c>
      <c r="M613" s="1894">
        <v>46782</v>
      </c>
      <c r="N613" s="1894">
        <f t="shared" si="241"/>
        <v>110730</v>
      </c>
      <c r="O613" s="1894">
        <f t="shared" si="242"/>
        <v>0</v>
      </c>
      <c r="P613" s="1894">
        <v>667</v>
      </c>
      <c r="Q613" s="1894">
        <v>255.84</v>
      </c>
      <c r="R613" s="1894">
        <v>533.6</v>
      </c>
      <c r="S613" s="1894">
        <v>0.90190000000000003</v>
      </c>
      <c r="T613" s="1894">
        <v>17.809999999999999</v>
      </c>
      <c r="U613" s="1894">
        <v>33894</v>
      </c>
      <c r="V613" s="1894">
        <f t="shared" si="243"/>
        <v>114207</v>
      </c>
      <c r="W613" s="1894">
        <f t="shared" si="244"/>
        <v>0</v>
      </c>
      <c r="X613" s="1894">
        <v>667</v>
      </c>
      <c r="Y613" s="1894">
        <v>276</v>
      </c>
      <c r="Z613" s="1894">
        <v>533.6</v>
      </c>
      <c r="AA613" s="1894">
        <v>0.86199999999999999</v>
      </c>
      <c r="AB613" s="1894">
        <v>22.48</v>
      </c>
      <c r="AC613" s="1894">
        <v>44682</v>
      </c>
      <c r="AD613" s="1894">
        <f t="shared" si="245"/>
        <v>119232</v>
      </c>
      <c r="AE613" s="1894">
        <f t="shared" si="246"/>
        <v>0</v>
      </c>
      <c r="AF613" s="1894">
        <v>667</v>
      </c>
      <c r="AG613" s="1894">
        <v>275.03999999999996</v>
      </c>
      <c r="AH613" s="1894">
        <v>533.6</v>
      </c>
      <c r="AI613" s="1894">
        <v>0.92100000000000004</v>
      </c>
      <c r="AJ613" s="1894">
        <v>20.87</v>
      </c>
      <c r="AK613" s="1894">
        <v>42708</v>
      </c>
      <c r="AL613" s="1894">
        <f t="shared" si="239"/>
        <v>122778</v>
      </c>
      <c r="AM613" s="1894">
        <f t="shared" si="240"/>
        <v>0</v>
      </c>
      <c r="AN613" s="1894">
        <v>667</v>
      </c>
      <c r="AO613" s="1894">
        <v>275.03999999999996</v>
      </c>
      <c r="AP613" s="1894">
        <v>533.6</v>
      </c>
      <c r="AQ613" s="1894">
        <v>0.83909999999999996</v>
      </c>
      <c r="AR613" s="1894">
        <v>20.54</v>
      </c>
      <c r="AS613" s="1894">
        <v>42036</v>
      </c>
      <c r="AT613" s="1894">
        <f t="shared" si="247"/>
        <v>122778</v>
      </c>
      <c r="AU613" s="1894">
        <f t="shared" si="248"/>
        <v>0</v>
      </c>
      <c r="AV613" s="1894">
        <v>667</v>
      </c>
      <c r="AW613" s="1894">
        <v>252.95999999999998</v>
      </c>
      <c r="AX613" s="1894">
        <v>533.6</v>
      </c>
      <c r="AY613" s="1894">
        <v>0.8962</v>
      </c>
      <c r="AZ613" s="1894">
        <v>25.59</v>
      </c>
      <c r="BA613" s="1894">
        <v>46602</v>
      </c>
      <c r="BB613" s="1894">
        <f t="shared" si="249"/>
        <v>109279</v>
      </c>
      <c r="BC613" s="1894">
        <f t="shared" si="250"/>
        <v>0</v>
      </c>
      <c r="BD613" s="1894">
        <v>667</v>
      </c>
      <c r="BE613" s="1894">
        <v>273.60000000000002</v>
      </c>
      <c r="BF613" s="1894">
        <v>533.6</v>
      </c>
      <c r="BG613" s="1894">
        <v>0.83179999999999998</v>
      </c>
      <c r="BH613" s="1894">
        <v>30.49</v>
      </c>
      <c r="BI613" s="1894">
        <v>62070</v>
      </c>
      <c r="BJ613" s="1894">
        <f t="shared" si="251"/>
        <v>122135</v>
      </c>
      <c r="BK613" s="1894">
        <f t="shared" si="252"/>
        <v>0</v>
      </c>
      <c r="BL613" s="1894">
        <v>667</v>
      </c>
      <c r="BM613" s="1894">
        <v>272.64000000000004</v>
      </c>
      <c r="BN613" s="1894">
        <v>533.6</v>
      </c>
      <c r="BO613" s="1894">
        <v>0.88339999999999996</v>
      </c>
      <c r="BP613" s="1894">
        <v>30.71</v>
      </c>
      <c r="BQ613" s="1894">
        <v>60276</v>
      </c>
      <c r="BR613" s="1894">
        <f t="shared" si="253"/>
        <v>117780</v>
      </c>
      <c r="BS613" s="1894">
        <f t="shared" si="254"/>
        <v>0</v>
      </c>
      <c r="BT613" s="1894">
        <v>667</v>
      </c>
      <c r="BU613" s="1894">
        <v>264.95999999999998</v>
      </c>
      <c r="BV613" s="1894">
        <v>533.6</v>
      </c>
      <c r="BW613" s="1894">
        <v>0.84119999999999995</v>
      </c>
      <c r="BX613" s="1894">
        <v>33</v>
      </c>
      <c r="BY613" s="1894">
        <v>65046</v>
      </c>
      <c r="BZ613" s="1894">
        <f t="shared" si="255"/>
        <v>118278</v>
      </c>
      <c r="CA613" s="1894">
        <f t="shared" si="256"/>
        <v>0</v>
      </c>
      <c r="CB613" s="1894">
        <v>667</v>
      </c>
      <c r="CC613" s="1894">
        <v>260.15999999999997</v>
      </c>
      <c r="CD613" s="1894">
        <v>533.6</v>
      </c>
      <c r="CE613" s="1894">
        <v>0.93689999999999996</v>
      </c>
      <c r="CF613" s="1894">
        <v>29.48</v>
      </c>
      <c r="CG613" s="1894">
        <v>57066</v>
      </c>
      <c r="CH613" s="1894">
        <f t="shared" si="257"/>
        <v>116135</v>
      </c>
      <c r="CI613" s="1894">
        <f t="shared" si="258"/>
        <v>0</v>
      </c>
      <c r="CJ613" s="1894">
        <v>667</v>
      </c>
      <c r="CK613" s="1894">
        <v>253.44</v>
      </c>
      <c r="CL613" s="1894">
        <v>533.6</v>
      </c>
      <c r="CM613" s="1894">
        <v>0.88759999999999994</v>
      </c>
      <c r="CN613" s="1894">
        <v>31.36</v>
      </c>
      <c r="CO613" s="1894">
        <v>53406</v>
      </c>
      <c r="CP613" s="1894">
        <f t="shared" si="259"/>
        <v>102187</v>
      </c>
      <c r="CQ613" s="1894">
        <f t="shared" si="260"/>
        <v>0</v>
      </c>
      <c r="CR613" s="1924">
        <v>667</v>
      </c>
      <c r="CS613" s="1924">
        <v>245.28</v>
      </c>
      <c r="CT613" s="1924">
        <v>533.6</v>
      </c>
      <c r="CU613" s="1924">
        <v>0.94199999999999995</v>
      </c>
      <c r="CV613" s="1924">
        <v>36.33</v>
      </c>
      <c r="CW613" s="1924">
        <v>66294</v>
      </c>
      <c r="CX613" s="1894">
        <f t="shared" si="261"/>
        <v>109493</v>
      </c>
      <c r="CY613" s="1894">
        <f t="shared" si="262"/>
        <v>0</v>
      </c>
    </row>
    <row r="614" spans="1:103">
      <c r="A614" s="982">
        <v>611000000041</v>
      </c>
      <c r="B614" s="1923">
        <f t="shared" si="263"/>
        <v>608</v>
      </c>
      <c r="C614" s="1895" t="s">
        <v>3480</v>
      </c>
      <c r="D614" s="1894" t="s">
        <v>524</v>
      </c>
      <c r="E614" s="1895" t="s">
        <v>541</v>
      </c>
      <c r="F614" s="1894" t="s">
        <v>259</v>
      </c>
      <c r="G614" s="1924">
        <v>667</v>
      </c>
      <c r="H614" s="1894">
        <v>667</v>
      </c>
      <c r="I614" s="1894">
        <v>540.48</v>
      </c>
      <c r="J614" s="1894">
        <v>540.48</v>
      </c>
      <c r="K614" s="1894">
        <v>0.99950000000000006</v>
      </c>
      <c r="L614" s="1894">
        <v>42.87</v>
      </c>
      <c r="M614" s="1894">
        <v>166818</v>
      </c>
      <c r="N614" s="1894">
        <f t="shared" si="241"/>
        <v>233487</v>
      </c>
      <c r="O614" s="1894">
        <f t="shared" si="242"/>
        <v>0</v>
      </c>
      <c r="P614" s="1894">
        <v>667</v>
      </c>
      <c r="Q614" s="1894">
        <v>592.31999999999994</v>
      </c>
      <c r="R614" s="1894">
        <v>592.32000000000005</v>
      </c>
      <c r="S614" s="1894">
        <v>0.99939999999999996</v>
      </c>
      <c r="T614" s="1894">
        <v>34.57</v>
      </c>
      <c r="U614" s="1894">
        <v>152352</v>
      </c>
      <c r="V614" s="1894">
        <f t="shared" si="243"/>
        <v>264412</v>
      </c>
      <c r="W614" s="1894">
        <f t="shared" si="244"/>
        <v>0</v>
      </c>
      <c r="X614" s="1894">
        <v>667</v>
      </c>
      <c r="Y614" s="1894">
        <v>538.55999999999995</v>
      </c>
      <c r="Z614" s="1894">
        <v>538.55999999999995</v>
      </c>
      <c r="AA614" s="1894">
        <v>0.99939999999999996</v>
      </c>
      <c r="AB614" s="1894">
        <v>34.83</v>
      </c>
      <c r="AC614" s="1894">
        <v>135066</v>
      </c>
      <c r="AD614" s="1894">
        <f t="shared" si="245"/>
        <v>232658</v>
      </c>
      <c r="AE614" s="1894">
        <f t="shared" si="246"/>
        <v>0</v>
      </c>
      <c r="AF614" s="1894">
        <v>667</v>
      </c>
      <c r="AG614" s="1894">
        <v>599.52</v>
      </c>
      <c r="AH614" s="1894">
        <v>599.52</v>
      </c>
      <c r="AI614" s="1894">
        <v>0.95120000000000005</v>
      </c>
      <c r="AJ614" s="1894">
        <v>30.44</v>
      </c>
      <c r="AK614" s="1894">
        <v>135786</v>
      </c>
      <c r="AL614" s="1894">
        <f t="shared" si="239"/>
        <v>267626</v>
      </c>
      <c r="AM614" s="1894">
        <f t="shared" si="240"/>
        <v>0</v>
      </c>
      <c r="AN614" s="1894">
        <v>667</v>
      </c>
      <c r="AO614" s="1894">
        <v>596.64</v>
      </c>
      <c r="AP614" s="1894">
        <v>596.64</v>
      </c>
      <c r="AQ614" s="1894">
        <v>0.88129999999999997</v>
      </c>
      <c r="AR614" s="1894">
        <v>38.93</v>
      </c>
      <c r="AS614" s="1894">
        <v>172800</v>
      </c>
      <c r="AT614" s="1894">
        <f t="shared" si="247"/>
        <v>266340</v>
      </c>
      <c r="AU614" s="1894">
        <f t="shared" si="248"/>
        <v>0</v>
      </c>
      <c r="AV614" s="1894">
        <v>667</v>
      </c>
      <c r="AW614" s="1894">
        <v>328.32</v>
      </c>
      <c r="AX614" s="1894">
        <v>533.6</v>
      </c>
      <c r="AY614" s="1894">
        <v>0.8669</v>
      </c>
      <c r="AZ614" s="1894">
        <v>36.950000000000003</v>
      </c>
      <c r="BA614" s="1894">
        <v>87354</v>
      </c>
      <c r="BB614" s="1894">
        <f t="shared" si="249"/>
        <v>141834</v>
      </c>
      <c r="BC614" s="1894">
        <f t="shared" si="250"/>
        <v>0</v>
      </c>
      <c r="BD614" s="1894">
        <v>667</v>
      </c>
      <c r="BE614" s="1894">
        <v>492.47999999999996</v>
      </c>
      <c r="BF614" s="1894">
        <v>533.6</v>
      </c>
      <c r="BG614" s="1894">
        <v>0.86509999999999998</v>
      </c>
      <c r="BH614" s="1894">
        <v>41.82</v>
      </c>
      <c r="BI614" s="1894">
        <v>153222</v>
      </c>
      <c r="BJ614" s="1894">
        <f t="shared" si="251"/>
        <v>219843</v>
      </c>
      <c r="BK614" s="1894">
        <f t="shared" si="252"/>
        <v>0</v>
      </c>
      <c r="BL614" s="1894">
        <v>667</v>
      </c>
      <c r="BM614" s="1894">
        <v>522.72</v>
      </c>
      <c r="BN614" s="1894">
        <v>533.6</v>
      </c>
      <c r="BO614" s="1894">
        <v>0.88129999999999997</v>
      </c>
      <c r="BP614" s="1894">
        <v>47.64</v>
      </c>
      <c r="BQ614" s="1894">
        <v>179280</v>
      </c>
      <c r="BR614" s="1894">
        <f t="shared" si="253"/>
        <v>225815</v>
      </c>
      <c r="BS614" s="1894">
        <f t="shared" si="254"/>
        <v>0</v>
      </c>
      <c r="BT614" s="1894">
        <v>667</v>
      </c>
      <c r="BU614" s="1894">
        <v>425.28</v>
      </c>
      <c r="BV614" s="1894">
        <v>533.6</v>
      </c>
      <c r="BW614" s="1894">
        <v>0.90010000000000001</v>
      </c>
      <c r="BX614" s="1894">
        <v>69.010000000000005</v>
      </c>
      <c r="BY614" s="1894">
        <v>218352</v>
      </c>
      <c r="BZ614" s="1894">
        <f t="shared" si="255"/>
        <v>189845</v>
      </c>
      <c r="CA614" s="1894">
        <f t="shared" si="256"/>
        <v>28507</v>
      </c>
      <c r="CB614" s="1894">
        <v>667</v>
      </c>
      <c r="CC614" s="1894">
        <v>563.04</v>
      </c>
      <c r="CD614" s="1894">
        <v>563.04</v>
      </c>
      <c r="CE614" s="1894">
        <v>0.89690000000000003</v>
      </c>
      <c r="CF614" s="1894">
        <v>42.27</v>
      </c>
      <c r="CG614" s="1894">
        <v>177054</v>
      </c>
      <c r="CH614" s="1894">
        <f t="shared" si="257"/>
        <v>251341</v>
      </c>
      <c r="CI614" s="1894">
        <f t="shared" si="258"/>
        <v>0</v>
      </c>
      <c r="CJ614" s="1894">
        <v>667</v>
      </c>
      <c r="CK614" s="1894">
        <v>666.72</v>
      </c>
      <c r="CL614" s="1894">
        <v>666.72</v>
      </c>
      <c r="CM614" s="1894">
        <v>0.88929999999999998</v>
      </c>
      <c r="CN614" s="1894">
        <v>43.84</v>
      </c>
      <c r="CO614" s="1894">
        <v>196404</v>
      </c>
      <c r="CP614" s="1894">
        <f t="shared" si="259"/>
        <v>268822</v>
      </c>
      <c r="CQ614" s="1894">
        <f t="shared" si="260"/>
        <v>0</v>
      </c>
      <c r="CR614" s="1924">
        <v>667</v>
      </c>
      <c r="CS614" s="1924">
        <v>636</v>
      </c>
      <c r="CT614" s="1924">
        <v>636</v>
      </c>
      <c r="CU614" s="1924">
        <v>0.88039999999999996</v>
      </c>
      <c r="CV614" s="1924">
        <v>31.62</v>
      </c>
      <c r="CW614" s="1924">
        <v>149598</v>
      </c>
      <c r="CX614" s="1894">
        <f t="shared" si="261"/>
        <v>283910</v>
      </c>
      <c r="CY614" s="1894">
        <f t="shared" si="262"/>
        <v>0</v>
      </c>
    </row>
    <row r="615" spans="1:103">
      <c r="A615" s="982">
        <v>622000000201</v>
      </c>
      <c r="B615" s="1923">
        <f t="shared" si="263"/>
        <v>609</v>
      </c>
      <c r="C615" s="1895" t="s">
        <v>3481</v>
      </c>
      <c r="D615" s="1894" t="s">
        <v>524</v>
      </c>
      <c r="E615" s="1895" t="s">
        <v>541</v>
      </c>
      <c r="F615" s="1894" t="s">
        <v>259</v>
      </c>
      <c r="G615" s="1924">
        <v>700</v>
      </c>
      <c r="H615" s="1894">
        <v>700</v>
      </c>
      <c r="I615" s="1894">
        <v>295.59999999999997</v>
      </c>
      <c r="J615" s="1894">
        <v>560</v>
      </c>
      <c r="K615" s="1894">
        <v>0.9355</v>
      </c>
      <c r="L615" s="1894">
        <v>36.53</v>
      </c>
      <c r="M615" s="1894">
        <v>77750</v>
      </c>
      <c r="N615" s="1894">
        <f t="shared" si="241"/>
        <v>127699</v>
      </c>
      <c r="O615" s="1894">
        <f t="shared" si="242"/>
        <v>0</v>
      </c>
      <c r="P615" s="1894">
        <v>700</v>
      </c>
      <c r="Q615" s="1894">
        <v>271.60000000000002</v>
      </c>
      <c r="R615" s="1894">
        <v>560</v>
      </c>
      <c r="S615" s="1894">
        <v>0.9708</v>
      </c>
      <c r="T615" s="1894">
        <v>29.36</v>
      </c>
      <c r="U615" s="1894">
        <v>53595</v>
      </c>
      <c r="V615" s="1894">
        <f t="shared" si="243"/>
        <v>121242</v>
      </c>
      <c r="W615" s="1894">
        <f t="shared" si="244"/>
        <v>0</v>
      </c>
      <c r="X615" s="1894">
        <v>700</v>
      </c>
      <c r="Y615" s="1894">
        <v>278</v>
      </c>
      <c r="Z615" s="1894">
        <v>560</v>
      </c>
      <c r="AA615" s="1894">
        <v>0.91169999999999995</v>
      </c>
      <c r="AB615" s="1894">
        <v>47.53</v>
      </c>
      <c r="AC615" s="1894">
        <v>104640</v>
      </c>
      <c r="AD615" s="1894">
        <f t="shared" si="245"/>
        <v>120096</v>
      </c>
      <c r="AE615" s="1894">
        <f t="shared" si="246"/>
        <v>0</v>
      </c>
      <c r="AF615" s="1894">
        <v>700</v>
      </c>
      <c r="AG615" s="1894">
        <v>305.20000000000005</v>
      </c>
      <c r="AH615" s="1894">
        <v>560</v>
      </c>
      <c r="AI615" s="1894">
        <v>0.92410000000000003</v>
      </c>
      <c r="AJ615" s="1894">
        <v>33.29</v>
      </c>
      <c r="AK615" s="1894">
        <v>65845</v>
      </c>
      <c r="AL615" s="1894">
        <f t="shared" si="239"/>
        <v>136241</v>
      </c>
      <c r="AM615" s="1894">
        <f t="shared" si="240"/>
        <v>0</v>
      </c>
      <c r="AN615" s="1894">
        <v>700</v>
      </c>
      <c r="AO615" s="1894">
        <v>337.2</v>
      </c>
      <c r="AP615" s="1894">
        <v>560</v>
      </c>
      <c r="AQ615" s="1894">
        <v>0.92989999999999995</v>
      </c>
      <c r="AR615" s="1894">
        <v>30.91</v>
      </c>
      <c r="AS615" s="1894">
        <v>82560</v>
      </c>
      <c r="AT615" s="1894">
        <f t="shared" si="247"/>
        <v>150526</v>
      </c>
      <c r="AU615" s="1894">
        <f t="shared" si="248"/>
        <v>0</v>
      </c>
      <c r="AV615" s="1894">
        <v>700</v>
      </c>
      <c r="AW615" s="1894">
        <v>288.39999999999998</v>
      </c>
      <c r="AX615" s="1894">
        <v>560</v>
      </c>
      <c r="AY615" s="1894">
        <v>0.94310000000000005</v>
      </c>
      <c r="AZ615" s="1894">
        <v>40.14</v>
      </c>
      <c r="BA615" s="1894">
        <v>88900</v>
      </c>
      <c r="BB615" s="1894">
        <f t="shared" si="249"/>
        <v>124589</v>
      </c>
      <c r="BC615" s="1894">
        <f t="shared" si="250"/>
        <v>0</v>
      </c>
      <c r="BD615" s="1894">
        <v>700</v>
      </c>
      <c r="BE615" s="1894">
        <v>346</v>
      </c>
      <c r="BF615" s="1894">
        <v>560</v>
      </c>
      <c r="BG615" s="1894">
        <v>0.94430000000000003</v>
      </c>
      <c r="BH615" s="1894">
        <v>29.24</v>
      </c>
      <c r="BI615" s="1894">
        <v>75265</v>
      </c>
      <c r="BJ615" s="1894">
        <f t="shared" si="251"/>
        <v>154454</v>
      </c>
      <c r="BK615" s="1894">
        <f t="shared" si="252"/>
        <v>0</v>
      </c>
      <c r="BL615" s="1894">
        <v>700</v>
      </c>
      <c r="BM615" s="1894">
        <v>456</v>
      </c>
      <c r="BN615" s="1894">
        <v>560</v>
      </c>
      <c r="BO615" s="1894">
        <v>0.93610000000000004</v>
      </c>
      <c r="BP615" s="1894">
        <v>26.34</v>
      </c>
      <c r="BQ615" s="1894">
        <v>86495</v>
      </c>
      <c r="BR615" s="1894">
        <f t="shared" si="253"/>
        <v>196992</v>
      </c>
      <c r="BS615" s="1894">
        <f t="shared" si="254"/>
        <v>0</v>
      </c>
      <c r="BT615" s="1894">
        <v>700</v>
      </c>
      <c r="BU615" s="1894">
        <v>448.79999999999995</v>
      </c>
      <c r="BV615" s="1894">
        <v>560</v>
      </c>
      <c r="BW615" s="1894">
        <v>0.96630000000000005</v>
      </c>
      <c r="BX615" s="1894">
        <v>38.67</v>
      </c>
      <c r="BY615" s="1894">
        <v>129125</v>
      </c>
      <c r="BZ615" s="1894">
        <f t="shared" si="255"/>
        <v>200344</v>
      </c>
      <c r="CA615" s="1894">
        <f t="shared" si="256"/>
        <v>0</v>
      </c>
      <c r="CB615" s="1894">
        <v>700</v>
      </c>
      <c r="CC615" s="1894">
        <v>454.79999999999995</v>
      </c>
      <c r="CD615" s="1894">
        <v>560</v>
      </c>
      <c r="CE615" s="1894">
        <v>0.94450000000000001</v>
      </c>
      <c r="CF615" s="1894">
        <v>28.21</v>
      </c>
      <c r="CG615" s="1894">
        <v>95465</v>
      </c>
      <c r="CH615" s="1894">
        <f t="shared" si="257"/>
        <v>203023</v>
      </c>
      <c r="CI615" s="1894">
        <f t="shared" si="258"/>
        <v>0</v>
      </c>
      <c r="CJ615" s="1894">
        <v>700</v>
      </c>
      <c r="CK615" s="1894">
        <v>453.2</v>
      </c>
      <c r="CL615" s="1894">
        <v>560</v>
      </c>
      <c r="CM615" s="1894">
        <v>0.94159999999999999</v>
      </c>
      <c r="CN615" s="1894">
        <v>35.159999999999997</v>
      </c>
      <c r="CO615" s="1894">
        <v>103260</v>
      </c>
      <c r="CP615" s="1894">
        <f t="shared" si="259"/>
        <v>182730</v>
      </c>
      <c r="CQ615" s="1894">
        <f t="shared" si="260"/>
        <v>0</v>
      </c>
      <c r="CR615" s="1924">
        <v>700</v>
      </c>
      <c r="CS615" s="1924">
        <v>449.2</v>
      </c>
      <c r="CT615" s="1924">
        <v>560</v>
      </c>
      <c r="CU615" s="1924">
        <v>0.93130000000000002</v>
      </c>
      <c r="CV615" s="1924">
        <v>30.02</v>
      </c>
      <c r="CW615" s="1924">
        <v>97090</v>
      </c>
      <c r="CX615" s="1894">
        <f t="shared" si="261"/>
        <v>200523</v>
      </c>
      <c r="CY615" s="1894">
        <f t="shared" si="262"/>
        <v>0</v>
      </c>
    </row>
    <row r="616" spans="1:103">
      <c r="A616" s="982">
        <v>622000000198</v>
      </c>
      <c r="B616" s="1923">
        <f t="shared" si="263"/>
        <v>610</v>
      </c>
      <c r="C616" s="1895" t="s">
        <v>3175</v>
      </c>
      <c r="D616" s="1894" t="s">
        <v>524</v>
      </c>
      <c r="E616" s="1895" t="s">
        <v>641</v>
      </c>
      <c r="F616" s="1894" t="s">
        <v>259</v>
      </c>
      <c r="G616" s="1924">
        <v>700</v>
      </c>
      <c r="H616" s="1894">
        <v>700</v>
      </c>
      <c r="I616" s="1894">
        <v>508.8</v>
      </c>
      <c r="J616" s="1894">
        <v>560</v>
      </c>
      <c r="K616" s="1894">
        <v>0.99070000000000003</v>
      </c>
      <c r="L616" s="1894">
        <v>45.91</v>
      </c>
      <c r="M616" s="1894">
        <v>168185</v>
      </c>
      <c r="N616" s="1894">
        <f t="shared" si="241"/>
        <v>219802</v>
      </c>
      <c r="O616" s="1894">
        <f t="shared" si="242"/>
        <v>0</v>
      </c>
      <c r="P616" s="1894">
        <v>700</v>
      </c>
      <c r="Q616" s="1894">
        <v>485.59999999999997</v>
      </c>
      <c r="R616" s="1894">
        <v>560</v>
      </c>
      <c r="S616" s="1894">
        <v>0.99429999999999996</v>
      </c>
      <c r="T616" s="1894">
        <v>30.92</v>
      </c>
      <c r="U616" s="1894">
        <v>111700</v>
      </c>
      <c r="V616" s="1894">
        <f t="shared" si="243"/>
        <v>216772</v>
      </c>
      <c r="W616" s="1894">
        <f t="shared" si="244"/>
        <v>0</v>
      </c>
      <c r="X616" s="1894">
        <v>700</v>
      </c>
      <c r="Y616" s="1894">
        <v>505.2</v>
      </c>
      <c r="Z616" s="1894">
        <v>560</v>
      </c>
      <c r="AA616" s="1894">
        <v>0.99329999999999996</v>
      </c>
      <c r="AB616" s="1894">
        <v>40.25</v>
      </c>
      <c r="AC616" s="1894">
        <v>146395</v>
      </c>
      <c r="AD616" s="1894">
        <f t="shared" si="245"/>
        <v>218246</v>
      </c>
      <c r="AE616" s="1894">
        <f t="shared" si="246"/>
        <v>0</v>
      </c>
      <c r="AF616" s="1894">
        <v>700</v>
      </c>
      <c r="AG616" s="1894">
        <v>434.8</v>
      </c>
      <c r="AH616" s="1894">
        <v>560</v>
      </c>
      <c r="AI616" s="1894">
        <v>0.99160000000000004</v>
      </c>
      <c r="AJ616" s="1894">
        <v>24.03</v>
      </c>
      <c r="AK616" s="1894">
        <v>77740</v>
      </c>
      <c r="AL616" s="1894">
        <f t="shared" si="239"/>
        <v>194095</v>
      </c>
      <c r="AM616" s="1894">
        <f t="shared" si="240"/>
        <v>0</v>
      </c>
      <c r="AN616" s="1894">
        <v>700</v>
      </c>
      <c r="AO616" s="1894">
        <v>163.6</v>
      </c>
      <c r="AP616" s="1894">
        <v>560</v>
      </c>
      <c r="AQ616" s="1894">
        <v>0.99199999999999999</v>
      </c>
      <c r="AR616" s="1894">
        <v>35.35</v>
      </c>
      <c r="AS616" s="1894">
        <v>43025</v>
      </c>
      <c r="AT616" s="1894">
        <f t="shared" si="247"/>
        <v>73031</v>
      </c>
      <c r="AU616" s="1894">
        <f t="shared" si="248"/>
        <v>0</v>
      </c>
      <c r="AV616" s="1894">
        <v>700</v>
      </c>
      <c r="AW616" s="1894">
        <v>166.8</v>
      </c>
      <c r="AX616" s="1894">
        <v>560</v>
      </c>
      <c r="AY616" s="1894">
        <v>0.99199999999999999</v>
      </c>
      <c r="AZ616" s="1894">
        <v>34.58</v>
      </c>
      <c r="BA616" s="1894">
        <v>41530</v>
      </c>
      <c r="BB616" s="1894">
        <f t="shared" si="249"/>
        <v>72058</v>
      </c>
      <c r="BC616" s="1894">
        <f t="shared" si="250"/>
        <v>0</v>
      </c>
      <c r="BD616" s="1894">
        <v>700</v>
      </c>
      <c r="BE616" s="1894">
        <v>260</v>
      </c>
      <c r="BF616" s="1894">
        <v>560</v>
      </c>
      <c r="BG616" s="1894">
        <v>0.98570000000000002</v>
      </c>
      <c r="BH616" s="1894">
        <v>39.049999999999997</v>
      </c>
      <c r="BI616" s="1894">
        <v>75535</v>
      </c>
      <c r="BJ616" s="1894">
        <f t="shared" si="251"/>
        <v>116064</v>
      </c>
      <c r="BK616" s="1894">
        <f t="shared" si="252"/>
        <v>0</v>
      </c>
      <c r="BL616" s="1894">
        <v>700</v>
      </c>
      <c r="BM616" s="1894">
        <v>298.39999999999998</v>
      </c>
      <c r="BN616" s="1894">
        <v>560</v>
      </c>
      <c r="BO616" s="1894">
        <v>0.98319999999999996</v>
      </c>
      <c r="BP616" s="1894">
        <v>36.11</v>
      </c>
      <c r="BQ616" s="1894">
        <v>77585</v>
      </c>
      <c r="BR616" s="1894">
        <f t="shared" si="253"/>
        <v>128909</v>
      </c>
      <c r="BS616" s="1894">
        <f t="shared" si="254"/>
        <v>0</v>
      </c>
      <c r="BT616" s="1894">
        <v>700</v>
      </c>
      <c r="BU616" s="1894">
        <v>283.60000000000002</v>
      </c>
      <c r="BV616" s="1894">
        <v>560</v>
      </c>
      <c r="BW616" s="1894">
        <v>0.98550000000000004</v>
      </c>
      <c r="BX616" s="1894">
        <v>36.729999999999997</v>
      </c>
      <c r="BY616" s="1894">
        <v>55000</v>
      </c>
      <c r="BZ616" s="1894">
        <f t="shared" si="255"/>
        <v>126599</v>
      </c>
      <c r="CA616" s="1894">
        <f t="shared" si="256"/>
        <v>0</v>
      </c>
      <c r="CB616" s="1894">
        <v>700</v>
      </c>
      <c r="CC616" s="1894">
        <v>304.8</v>
      </c>
      <c r="CD616" s="1894">
        <v>560</v>
      </c>
      <c r="CE616" s="1894">
        <v>0.99050000000000005</v>
      </c>
      <c r="CF616" s="1894">
        <v>38.31</v>
      </c>
      <c r="CG616" s="1894">
        <v>89690</v>
      </c>
      <c r="CH616" s="1894">
        <f t="shared" si="257"/>
        <v>136063</v>
      </c>
      <c r="CI616" s="1894">
        <f t="shared" si="258"/>
        <v>0</v>
      </c>
      <c r="CJ616" s="1894">
        <v>700</v>
      </c>
      <c r="CK616" s="1894">
        <v>258.40000000000003</v>
      </c>
      <c r="CL616" s="1894">
        <v>560</v>
      </c>
      <c r="CM616" s="1894">
        <v>0.98770000000000002</v>
      </c>
      <c r="CN616" s="1894">
        <v>44.42</v>
      </c>
      <c r="CO616" s="1894">
        <v>85390</v>
      </c>
      <c r="CP616" s="1894">
        <f t="shared" si="259"/>
        <v>104187</v>
      </c>
      <c r="CQ616" s="1894">
        <f t="shared" si="260"/>
        <v>0</v>
      </c>
      <c r="CR616" s="1924">
        <v>700</v>
      </c>
      <c r="CS616" s="1924">
        <v>329.2</v>
      </c>
      <c r="CT616" s="1924">
        <v>560</v>
      </c>
      <c r="CU616" s="1924">
        <v>0.98629999999999995</v>
      </c>
      <c r="CV616" s="1924">
        <v>37.619999999999997</v>
      </c>
      <c r="CW616" s="1924">
        <v>86185</v>
      </c>
      <c r="CX616" s="1894">
        <f t="shared" si="261"/>
        <v>146955</v>
      </c>
      <c r="CY616" s="1894">
        <f t="shared" si="262"/>
        <v>0</v>
      </c>
    </row>
    <row r="617" spans="1:103">
      <c r="A617" s="982">
        <v>123000000086</v>
      </c>
      <c r="B617" s="1923">
        <f t="shared" si="263"/>
        <v>611</v>
      </c>
      <c r="C617" s="1895" t="s">
        <v>3482</v>
      </c>
      <c r="D617" s="1894" t="s">
        <v>524</v>
      </c>
      <c r="E617" s="1895" t="s">
        <v>2966</v>
      </c>
      <c r="F617" s="1894" t="s">
        <v>259</v>
      </c>
      <c r="G617" s="1924">
        <v>700</v>
      </c>
      <c r="H617" s="1894">
        <v>700</v>
      </c>
      <c r="I617" s="1894">
        <v>324.79999999999995</v>
      </c>
      <c r="J617" s="1894">
        <v>700</v>
      </c>
      <c r="K617" s="1894">
        <v>0.38329999999999997</v>
      </c>
      <c r="L617" s="1894">
        <v>0</v>
      </c>
      <c r="M617" s="1894">
        <v>38925</v>
      </c>
      <c r="N617" s="1894">
        <f t="shared" si="241"/>
        <v>140314</v>
      </c>
      <c r="O617" s="1894">
        <f t="shared" si="242"/>
        <v>0</v>
      </c>
      <c r="P617" s="1894">
        <v>700</v>
      </c>
      <c r="Q617" s="1894">
        <v>384.40000000000003</v>
      </c>
      <c r="R617" s="1894">
        <v>700</v>
      </c>
      <c r="S617" s="1894">
        <v>0.56699999999999995</v>
      </c>
      <c r="T617" s="1894">
        <v>0</v>
      </c>
      <c r="U617" s="1894">
        <v>56005</v>
      </c>
      <c r="V617" s="1894">
        <f t="shared" si="243"/>
        <v>171596</v>
      </c>
      <c r="W617" s="1894">
        <f t="shared" si="244"/>
        <v>0</v>
      </c>
      <c r="X617" s="1894">
        <v>700</v>
      </c>
      <c r="Y617" s="1894">
        <v>409.2</v>
      </c>
      <c r="Z617" s="1894">
        <v>700</v>
      </c>
      <c r="AA617" s="1894">
        <v>0.55000000000000004</v>
      </c>
      <c r="AB617" s="1894">
        <v>0</v>
      </c>
      <c r="AC617" s="1894">
        <v>60915</v>
      </c>
      <c r="AD617" s="1894">
        <f t="shared" si="245"/>
        <v>176774</v>
      </c>
      <c r="AE617" s="1894">
        <f t="shared" si="246"/>
        <v>0</v>
      </c>
      <c r="AF617" s="1894">
        <v>700</v>
      </c>
      <c r="AG617" s="1894">
        <v>577.6</v>
      </c>
      <c r="AH617" s="1894">
        <v>700</v>
      </c>
      <c r="AI617" s="1894">
        <v>0.2097</v>
      </c>
      <c r="AJ617" s="1894">
        <v>0</v>
      </c>
      <c r="AK617" s="1894">
        <v>28745</v>
      </c>
      <c r="AL617" s="1894">
        <f t="shared" si="239"/>
        <v>257841</v>
      </c>
      <c r="AM617" s="1894">
        <f t="shared" si="240"/>
        <v>0</v>
      </c>
      <c r="AN617" s="1894">
        <v>700</v>
      </c>
      <c r="AO617" s="1894">
        <v>540.79999999999995</v>
      </c>
      <c r="AP617" s="1894">
        <v>700</v>
      </c>
      <c r="AQ617" s="1894">
        <v>0.1802</v>
      </c>
      <c r="AR617" s="1894">
        <v>0</v>
      </c>
      <c r="AS617" s="1894">
        <v>21420</v>
      </c>
      <c r="AT617" s="1894">
        <f t="shared" si="247"/>
        <v>241413</v>
      </c>
      <c r="AU617" s="1894">
        <f t="shared" si="248"/>
        <v>0</v>
      </c>
      <c r="AV617" s="1894">
        <v>700</v>
      </c>
      <c r="AW617" s="1894">
        <v>98.4</v>
      </c>
      <c r="AX617" s="1894">
        <v>700</v>
      </c>
      <c r="AY617" s="1894">
        <v>0.1782</v>
      </c>
      <c r="AZ617" s="1894">
        <v>0</v>
      </c>
      <c r="BA617" s="1894">
        <v>17700</v>
      </c>
      <c r="BB617" s="1894">
        <f t="shared" si="249"/>
        <v>42509</v>
      </c>
      <c r="BC617" s="1894">
        <f t="shared" si="250"/>
        <v>0</v>
      </c>
      <c r="BD617" s="1894">
        <v>700</v>
      </c>
      <c r="BE617" s="1894">
        <v>138.80000000000001</v>
      </c>
      <c r="BF617" s="1894">
        <v>700</v>
      </c>
      <c r="BG617" s="1894">
        <v>0.1605</v>
      </c>
      <c r="BH617" s="1894">
        <v>0</v>
      </c>
      <c r="BI617" s="1894">
        <v>24970</v>
      </c>
      <c r="BJ617" s="1894">
        <f t="shared" si="251"/>
        <v>61960</v>
      </c>
      <c r="BK617" s="1894">
        <f t="shared" si="252"/>
        <v>0</v>
      </c>
      <c r="BL617" s="1894">
        <v>700</v>
      </c>
      <c r="BM617" s="1894">
        <v>74</v>
      </c>
      <c r="BN617" s="1894">
        <v>700</v>
      </c>
      <c r="BO617" s="1894">
        <v>0.20319999999999999</v>
      </c>
      <c r="BP617" s="1894">
        <v>0</v>
      </c>
      <c r="BQ617" s="1894">
        <v>27335</v>
      </c>
      <c r="BR617" s="1894">
        <f t="shared" si="253"/>
        <v>31968</v>
      </c>
      <c r="BS617" s="1894">
        <f t="shared" si="254"/>
        <v>0</v>
      </c>
      <c r="BT617" s="1894">
        <v>700</v>
      </c>
      <c r="BU617" s="1894">
        <v>376</v>
      </c>
      <c r="BV617" s="1894">
        <v>700</v>
      </c>
      <c r="BW617" s="1894">
        <v>0.1033</v>
      </c>
      <c r="BX617" s="1894">
        <v>0</v>
      </c>
      <c r="BY617" s="1894">
        <v>74685</v>
      </c>
      <c r="BZ617" s="1894">
        <f t="shared" si="255"/>
        <v>167846</v>
      </c>
      <c r="CA617" s="1894">
        <f t="shared" si="256"/>
        <v>0</v>
      </c>
      <c r="CB617" s="1894">
        <v>700</v>
      </c>
      <c r="CC617" s="1894">
        <v>47.6</v>
      </c>
      <c r="CD617" s="1894">
        <v>700</v>
      </c>
      <c r="CE617" s="1894">
        <v>0.3337</v>
      </c>
      <c r="CF617" s="1894">
        <v>0</v>
      </c>
      <c r="CG617" s="1894">
        <v>16660</v>
      </c>
      <c r="CH617" s="1894">
        <f t="shared" si="257"/>
        <v>21249</v>
      </c>
      <c r="CI617" s="1894">
        <f t="shared" si="258"/>
        <v>0</v>
      </c>
      <c r="CJ617" s="1894">
        <v>700</v>
      </c>
      <c r="CK617" s="1894">
        <v>111.60000000000001</v>
      </c>
      <c r="CL617" s="1894">
        <v>700</v>
      </c>
      <c r="CM617" s="1894">
        <v>0.49530000000000002</v>
      </c>
      <c r="CN617" s="1894">
        <v>0</v>
      </c>
      <c r="CO617" s="1894">
        <v>12435</v>
      </c>
      <c r="CP617" s="1894">
        <f t="shared" si="259"/>
        <v>44997</v>
      </c>
      <c r="CQ617" s="1894">
        <f t="shared" si="260"/>
        <v>0</v>
      </c>
      <c r="CR617" s="1924">
        <v>700</v>
      </c>
      <c r="CS617" s="1924">
        <v>182.79999999999998</v>
      </c>
      <c r="CT617" s="1924">
        <v>700</v>
      </c>
      <c r="CU617" s="1924">
        <v>0.65800000000000003</v>
      </c>
      <c r="CV617" s="1924">
        <v>0</v>
      </c>
      <c r="CW617" s="1924">
        <v>34435</v>
      </c>
      <c r="CX617" s="1894">
        <f t="shared" si="261"/>
        <v>81602</v>
      </c>
      <c r="CY617" s="1894">
        <f t="shared" si="262"/>
        <v>0</v>
      </c>
    </row>
    <row r="618" spans="1:103">
      <c r="A618" s="982">
        <v>121000000022</v>
      </c>
      <c r="B618" s="1923">
        <f t="shared" si="263"/>
        <v>612</v>
      </c>
      <c r="C618" s="1895" t="s">
        <v>3483</v>
      </c>
      <c r="D618" s="1894" t="s">
        <v>524</v>
      </c>
      <c r="E618" s="1895" t="s">
        <v>541</v>
      </c>
      <c r="F618" s="1894" t="s">
        <v>259</v>
      </c>
      <c r="G618" s="1924">
        <v>722</v>
      </c>
      <c r="H618" s="1894">
        <v>722</v>
      </c>
      <c r="I618" s="1894">
        <v>630.6</v>
      </c>
      <c r="J618" s="1894">
        <v>630.6</v>
      </c>
      <c r="K618" s="1894">
        <v>0.99250000000000005</v>
      </c>
      <c r="L618" s="1894">
        <v>27.02</v>
      </c>
      <c r="M618" s="1894">
        <v>122700</v>
      </c>
      <c r="N618" s="1894">
        <f t="shared" si="241"/>
        <v>272419</v>
      </c>
      <c r="O618" s="1894">
        <f t="shared" si="242"/>
        <v>0</v>
      </c>
      <c r="P618" s="1894">
        <v>722</v>
      </c>
      <c r="Q618" s="1894">
        <v>566.4</v>
      </c>
      <c r="R618" s="1894">
        <v>577.6</v>
      </c>
      <c r="S618" s="1894">
        <v>0.99390000000000001</v>
      </c>
      <c r="T618" s="1894">
        <v>27.97</v>
      </c>
      <c r="U618" s="1894">
        <v>117875</v>
      </c>
      <c r="V618" s="1894">
        <f t="shared" si="243"/>
        <v>252841</v>
      </c>
      <c r="W618" s="1894">
        <f t="shared" si="244"/>
        <v>0</v>
      </c>
      <c r="X618" s="1894">
        <v>722</v>
      </c>
      <c r="Y618" s="1894">
        <v>600</v>
      </c>
      <c r="Z618" s="1894">
        <v>600</v>
      </c>
      <c r="AA618" s="1894">
        <v>0.99239999999999995</v>
      </c>
      <c r="AB618" s="1894">
        <v>24.95</v>
      </c>
      <c r="AC618" s="1894">
        <v>107775</v>
      </c>
      <c r="AD618" s="1894">
        <f t="shared" si="245"/>
        <v>259200</v>
      </c>
      <c r="AE618" s="1894">
        <f t="shared" si="246"/>
        <v>0</v>
      </c>
      <c r="AF618" s="1894">
        <v>722</v>
      </c>
      <c r="AG618" s="1894">
        <v>498.8</v>
      </c>
      <c r="AH618" s="1894">
        <v>577.6</v>
      </c>
      <c r="AI618" s="1894">
        <v>0.99719999999999998</v>
      </c>
      <c r="AJ618" s="1894">
        <v>19.38</v>
      </c>
      <c r="AK618" s="1894">
        <v>71915</v>
      </c>
      <c r="AL618" s="1894">
        <f t="shared" si="239"/>
        <v>222664</v>
      </c>
      <c r="AM618" s="1894">
        <f t="shared" si="240"/>
        <v>0</v>
      </c>
      <c r="AN618" s="1894">
        <v>722</v>
      </c>
      <c r="AO618" s="1894">
        <v>520.4</v>
      </c>
      <c r="AP618" s="1894">
        <v>577.6</v>
      </c>
      <c r="AQ618" s="1894">
        <v>0.99519999999999997</v>
      </c>
      <c r="AR618" s="1894">
        <v>15.66</v>
      </c>
      <c r="AS618" s="1894">
        <v>60630</v>
      </c>
      <c r="AT618" s="1894">
        <f t="shared" si="247"/>
        <v>232307</v>
      </c>
      <c r="AU618" s="1894">
        <f t="shared" si="248"/>
        <v>0</v>
      </c>
      <c r="AV618" s="1894">
        <v>722</v>
      </c>
      <c r="AW618" s="1894">
        <v>592.79999999999995</v>
      </c>
      <c r="AX618" s="1894">
        <v>592.79999999999995</v>
      </c>
      <c r="AY618" s="1894">
        <v>0.99350000000000005</v>
      </c>
      <c r="AZ618" s="1894">
        <v>12.8</v>
      </c>
      <c r="BA618" s="1894">
        <v>54645</v>
      </c>
      <c r="BB618" s="1894">
        <f t="shared" si="249"/>
        <v>256090</v>
      </c>
      <c r="BC618" s="1894">
        <f t="shared" si="250"/>
        <v>0</v>
      </c>
      <c r="BD618" s="1894">
        <v>722</v>
      </c>
      <c r="BE618" s="1894">
        <v>575.20000000000005</v>
      </c>
      <c r="BF618" s="1894">
        <v>577.6</v>
      </c>
      <c r="BG618" s="1894">
        <v>0.99329999999999996</v>
      </c>
      <c r="BH618" s="1894">
        <v>10.06</v>
      </c>
      <c r="BI618" s="1894">
        <v>43055</v>
      </c>
      <c r="BJ618" s="1894">
        <f t="shared" si="251"/>
        <v>256769</v>
      </c>
      <c r="BK618" s="1894">
        <f t="shared" si="252"/>
        <v>0</v>
      </c>
      <c r="BL618" s="1894">
        <v>722</v>
      </c>
      <c r="BM618" s="1894">
        <v>662.4</v>
      </c>
      <c r="BN618" s="1894">
        <v>662.4</v>
      </c>
      <c r="BO618" s="1894">
        <v>0.99160000000000004</v>
      </c>
      <c r="BP618" s="1894">
        <v>17.82</v>
      </c>
      <c r="BQ618" s="1894">
        <v>85005</v>
      </c>
      <c r="BR618" s="1894">
        <f t="shared" si="253"/>
        <v>286157</v>
      </c>
      <c r="BS618" s="1894">
        <f t="shared" si="254"/>
        <v>0</v>
      </c>
      <c r="BT618" s="1894">
        <v>722</v>
      </c>
      <c r="BU618" s="1894">
        <v>662</v>
      </c>
      <c r="BV618" s="1894">
        <v>662</v>
      </c>
      <c r="BW618" s="1894">
        <v>0.98619999999999997</v>
      </c>
      <c r="BX618" s="1894">
        <v>33.25</v>
      </c>
      <c r="BY618" s="1894">
        <v>163765</v>
      </c>
      <c r="BZ618" s="1894">
        <f t="shared" si="255"/>
        <v>295517</v>
      </c>
      <c r="CA618" s="1894">
        <f t="shared" si="256"/>
        <v>0</v>
      </c>
      <c r="CB618" s="1894">
        <v>722</v>
      </c>
      <c r="CC618" s="1894">
        <v>636.80000000000007</v>
      </c>
      <c r="CD618" s="1894">
        <v>636.79999999999995</v>
      </c>
      <c r="CE618" s="1894">
        <v>0.98250000000000004</v>
      </c>
      <c r="CF618" s="1894">
        <v>44.39</v>
      </c>
      <c r="CG618" s="1894">
        <v>210330</v>
      </c>
      <c r="CH618" s="1894">
        <f t="shared" si="257"/>
        <v>284268</v>
      </c>
      <c r="CI618" s="1894">
        <f t="shared" si="258"/>
        <v>0</v>
      </c>
      <c r="CJ618" s="1894">
        <v>722</v>
      </c>
      <c r="CK618" s="1894">
        <v>610</v>
      </c>
      <c r="CL618" s="1894">
        <v>610</v>
      </c>
      <c r="CM618" s="1894">
        <v>0.98740000000000006</v>
      </c>
      <c r="CN618" s="1894">
        <v>26.23</v>
      </c>
      <c r="CO618" s="1894">
        <v>107540</v>
      </c>
      <c r="CP618" s="1894">
        <f t="shared" si="259"/>
        <v>245952</v>
      </c>
      <c r="CQ618" s="1894">
        <f t="shared" si="260"/>
        <v>0</v>
      </c>
      <c r="CR618" s="1924">
        <v>722</v>
      </c>
      <c r="CS618" s="1924">
        <v>621.6</v>
      </c>
      <c r="CT618" s="1924">
        <v>621.6</v>
      </c>
      <c r="CU618" s="1924">
        <v>0.9889</v>
      </c>
      <c r="CV618" s="1924">
        <v>25.66</v>
      </c>
      <c r="CW618" s="1924">
        <v>118670</v>
      </c>
      <c r="CX618" s="1894">
        <f t="shared" si="261"/>
        <v>277482</v>
      </c>
      <c r="CY618" s="1894">
        <f t="shared" si="262"/>
        <v>0</v>
      </c>
    </row>
    <row r="619" spans="1:103">
      <c r="A619" s="982">
        <v>122000000091</v>
      </c>
      <c r="B619" s="1923">
        <f t="shared" si="263"/>
        <v>613</v>
      </c>
      <c r="C619" s="1895" t="s">
        <v>3484</v>
      </c>
      <c r="D619" s="1894" t="s">
        <v>524</v>
      </c>
      <c r="E619" s="1895" t="s">
        <v>541</v>
      </c>
      <c r="F619" s="1894" t="s">
        <v>259</v>
      </c>
      <c r="G619" s="1924">
        <v>723</v>
      </c>
      <c r="H619" s="1894">
        <v>323</v>
      </c>
      <c r="I619" s="1894">
        <v>166.56</v>
      </c>
      <c r="J619" s="1894">
        <v>258.39999999999998</v>
      </c>
      <c r="K619" s="1894">
        <v>0.99270000000000003</v>
      </c>
      <c r="L619" s="1894">
        <v>67.62</v>
      </c>
      <c r="M619" s="1894">
        <v>81092</v>
      </c>
      <c r="N619" s="1894">
        <f t="shared" si="241"/>
        <v>71954</v>
      </c>
      <c r="O619" s="1894">
        <f t="shared" si="242"/>
        <v>9138</v>
      </c>
      <c r="P619" s="1894">
        <v>723</v>
      </c>
      <c r="Q619" s="1894">
        <v>320</v>
      </c>
      <c r="R619" s="1894">
        <v>578.4</v>
      </c>
      <c r="S619" s="1894">
        <v>0.97789999999999999</v>
      </c>
      <c r="T619" s="1894">
        <v>35.76</v>
      </c>
      <c r="U619" s="1894">
        <v>85130</v>
      </c>
      <c r="V619" s="1894">
        <f t="shared" si="243"/>
        <v>142848</v>
      </c>
      <c r="W619" s="1894">
        <f t="shared" si="244"/>
        <v>0</v>
      </c>
      <c r="X619" s="1894">
        <v>723</v>
      </c>
      <c r="Y619" s="1894">
        <v>326</v>
      </c>
      <c r="Z619" s="1894">
        <v>578.4</v>
      </c>
      <c r="AA619" s="1894">
        <v>0.94350000000000001</v>
      </c>
      <c r="AB619" s="1894">
        <v>49.11</v>
      </c>
      <c r="AC619" s="1894">
        <v>115260</v>
      </c>
      <c r="AD619" s="1894">
        <f t="shared" si="245"/>
        <v>140832</v>
      </c>
      <c r="AE619" s="1894">
        <f t="shared" si="246"/>
        <v>0</v>
      </c>
      <c r="AF619" s="1894">
        <v>723</v>
      </c>
      <c r="AG619" s="1894">
        <v>328.40000000000003</v>
      </c>
      <c r="AH619" s="1894">
        <v>578.4</v>
      </c>
      <c r="AI619" s="1894">
        <v>0.94350000000000001</v>
      </c>
      <c r="AJ619" s="1894">
        <v>59.44</v>
      </c>
      <c r="AK619" s="1894">
        <v>145230</v>
      </c>
      <c r="AL619" s="1894">
        <f t="shared" si="239"/>
        <v>146598</v>
      </c>
      <c r="AM619" s="1894">
        <f t="shared" si="240"/>
        <v>0</v>
      </c>
      <c r="AN619" s="1894">
        <v>723</v>
      </c>
      <c r="AO619" s="1894">
        <v>325.2</v>
      </c>
      <c r="AP619" s="1894">
        <v>578.4</v>
      </c>
      <c r="AQ619" s="1894">
        <v>0.95369999999999999</v>
      </c>
      <c r="AR619" s="1894">
        <v>42</v>
      </c>
      <c r="AS619" s="1894">
        <v>101630</v>
      </c>
      <c r="AT619" s="1894">
        <f t="shared" si="247"/>
        <v>145169</v>
      </c>
      <c r="AU619" s="1894">
        <f t="shared" si="248"/>
        <v>0</v>
      </c>
      <c r="AV619" s="1894">
        <v>723</v>
      </c>
      <c r="AW619" s="1894">
        <v>321.2</v>
      </c>
      <c r="AX619" s="1894">
        <v>578.4</v>
      </c>
      <c r="AY619" s="1894">
        <v>0.95199999999999996</v>
      </c>
      <c r="AZ619" s="1894">
        <v>42.36</v>
      </c>
      <c r="BA619" s="1894">
        <v>97960</v>
      </c>
      <c r="BB619" s="1894">
        <f t="shared" si="249"/>
        <v>138758</v>
      </c>
      <c r="BC619" s="1894">
        <f t="shared" si="250"/>
        <v>0</v>
      </c>
      <c r="BD619" s="1894">
        <v>723</v>
      </c>
      <c r="BE619" s="1894">
        <v>329.6</v>
      </c>
      <c r="BF619" s="1894">
        <v>578.4</v>
      </c>
      <c r="BG619" s="1894">
        <v>0.95179999999999998</v>
      </c>
      <c r="BH619" s="1894">
        <v>36.75</v>
      </c>
      <c r="BI619" s="1894">
        <v>90120</v>
      </c>
      <c r="BJ619" s="1894">
        <f t="shared" si="251"/>
        <v>147133</v>
      </c>
      <c r="BK619" s="1894">
        <f t="shared" si="252"/>
        <v>0</v>
      </c>
      <c r="BL619" s="1894">
        <v>723</v>
      </c>
      <c r="BM619" s="1894">
        <v>302.39999999999998</v>
      </c>
      <c r="BN619" s="1894">
        <v>578.4</v>
      </c>
      <c r="BO619" s="1894">
        <v>0.94979999999999998</v>
      </c>
      <c r="BP619" s="1894">
        <v>24.26</v>
      </c>
      <c r="BQ619" s="1894">
        <v>52825</v>
      </c>
      <c r="BR619" s="1894">
        <f t="shared" si="253"/>
        <v>130637</v>
      </c>
      <c r="BS619" s="1894">
        <f t="shared" si="254"/>
        <v>0</v>
      </c>
      <c r="BT619" s="1894">
        <v>723</v>
      </c>
      <c r="BU619" s="1894">
        <v>168.4</v>
      </c>
      <c r="BV619" s="1894">
        <v>578.4</v>
      </c>
      <c r="BW619" s="1894">
        <v>0.92459999999999998</v>
      </c>
      <c r="BX619" s="1894">
        <v>31.6</v>
      </c>
      <c r="BY619" s="1894">
        <v>39595</v>
      </c>
      <c r="BZ619" s="1894">
        <f t="shared" si="255"/>
        <v>75174</v>
      </c>
      <c r="CA619" s="1894">
        <f t="shared" si="256"/>
        <v>0</v>
      </c>
      <c r="CB619" s="1894">
        <v>723</v>
      </c>
      <c r="CC619" s="1894">
        <v>178</v>
      </c>
      <c r="CD619" s="1894">
        <v>578.4</v>
      </c>
      <c r="CE619" s="1894">
        <v>0.92630000000000001</v>
      </c>
      <c r="CF619" s="1894">
        <v>35.39</v>
      </c>
      <c r="CG619" s="1894">
        <v>46865</v>
      </c>
      <c r="CH619" s="1894">
        <f t="shared" si="257"/>
        <v>79459</v>
      </c>
      <c r="CI619" s="1894">
        <f t="shared" si="258"/>
        <v>0</v>
      </c>
      <c r="CJ619" s="1894">
        <v>723</v>
      </c>
      <c r="CK619" s="1894">
        <v>180</v>
      </c>
      <c r="CL619" s="1894">
        <v>578.4</v>
      </c>
      <c r="CM619" s="1894">
        <v>0.89880000000000004</v>
      </c>
      <c r="CN619" s="1894">
        <v>36.49</v>
      </c>
      <c r="CO619" s="1894">
        <v>44135</v>
      </c>
      <c r="CP619" s="1894">
        <f t="shared" si="259"/>
        <v>72576</v>
      </c>
      <c r="CQ619" s="1894">
        <f t="shared" si="260"/>
        <v>0</v>
      </c>
      <c r="CR619" s="1924">
        <v>723</v>
      </c>
      <c r="CS619" s="1924">
        <v>315.2</v>
      </c>
      <c r="CT619" s="1924">
        <v>578.4</v>
      </c>
      <c r="CU619" s="1924">
        <v>0.9284</v>
      </c>
      <c r="CV619" s="1924">
        <v>20.69</v>
      </c>
      <c r="CW619" s="1924">
        <v>48510</v>
      </c>
      <c r="CX619" s="1894">
        <f t="shared" si="261"/>
        <v>140705</v>
      </c>
      <c r="CY619" s="1894">
        <f t="shared" si="262"/>
        <v>0</v>
      </c>
    </row>
    <row r="620" spans="1:103">
      <c r="A620" s="982">
        <v>124000000007</v>
      </c>
      <c r="B620" s="1923">
        <f t="shared" si="263"/>
        <v>614</v>
      </c>
      <c r="C620" s="1895" t="s">
        <v>3485</v>
      </c>
      <c r="D620" s="1894" t="s">
        <v>524</v>
      </c>
      <c r="E620" s="1895" t="s">
        <v>636</v>
      </c>
      <c r="F620" s="1894" t="s">
        <v>259</v>
      </c>
      <c r="G620" s="1924">
        <v>723</v>
      </c>
      <c r="H620" s="1894">
        <v>723</v>
      </c>
      <c r="I620" s="1894">
        <v>377.28000000000003</v>
      </c>
      <c r="J620" s="1894">
        <v>578.4</v>
      </c>
      <c r="K620" s="1894">
        <v>0.93969999999999998</v>
      </c>
      <c r="L620" s="1894">
        <v>57.55</v>
      </c>
      <c r="M620" s="1894">
        <v>156321</v>
      </c>
      <c r="N620" s="1894">
        <f t="shared" si="241"/>
        <v>162985</v>
      </c>
      <c r="O620" s="1894">
        <f t="shared" si="242"/>
        <v>0</v>
      </c>
      <c r="P620" s="1894">
        <v>723</v>
      </c>
      <c r="Q620" s="1894">
        <v>333.36</v>
      </c>
      <c r="R620" s="1894">
        <v>578.4</v>
      </c>
      <c r="S620" s="1894">
        <v>0.93530000000000002</v>
      </c>
      <c r="T620" s="1894">
        <v>62.72</v>
      </c>
      <c r="U620" s="1894">
        <v>155556</v>
      </c>
      <c r="V620" s="1894">
        <f t="shared" si="243"/>
        <v>148812</v>
      </c>
      <c r="W620" s="1894">
        <f t="shared" si="244"/>
        <v>6744</v>
      </c>
      <c r="X620" s="1894">
        <v>723</v>
      </c>
      <c r="Y620" s="1894">
        <v>366.48</v>
      </c>
      <c r="Z620" s="1894">
        <v>578.4</v>
      </c>
      <c r="AA620" s="1894">
        <v>0.93100000000000005</v>
      </c>
      <c r="AB620" s="1894">
        <v>54.88</v>
      </c>
      <c r="AC620" s="1894">
        <v>144810</v>
      </c>
      <c r="AD620" s="1894">
        <f t="shared" si="245"/>
        <v>158319</v>
      </c>
      <c r="AE620" s="1894">
        <f t="shared" si="246"/>
        <v>0</v>
      </c>
      <c r="AF620" s="1894">
        <v>723</v>
      </c>
      <c r="AG620" s="1894">
        <v>353.52</v>
      </c>
      <c r="AH620" s="1894">
        <v>578.4</v>
      </c>
      <c r="AI620" s="1894">
        <v>0.93269999999999997</v>
      </c>
      <c r="AJ620" s="1894">
        <v>58.39</v>
      </c>
      <c r="AK620" s="1894">
        <v>153576</v>
      </c>
      <c r="AL620" s="1894">
        <f t="shared" si="239"/>
        <v>157811</v>
      </c>
      <c r="AM620" s="1894">
        <f t="shared" si="240"/>
        <v>0</v>
      </c>
      <c r="AN620" s="1894">
        <v>723</v>
      </c>
      <c r="AO620" s="1894">
        <v>336.24</v>
      </c>
      <c r="AP620" s="1894">
        <v>578.4</v>
      </c>
      <c r="AQ620" s="1894">
        <v>0.9194</v>
      </c>
      <c r="AR620" s="1894">
        <v>57.35</v>
      </c>
      <c r="AS620" s="1894">
        <v>143460</v>
      </c>
      <c r="AT620" s="1894">
        <f t="shared" si="247"/>
        <v>150098</v>
      </c>
      <c r="AU620" s="1894">
        <f t="shared" si="248"/>
        <v>0</v>
      </c>
      <c r="AV620" s="1894">
        <v>723</v>
      </c>
      <c r="AW620" s="1894">
        <v>347.76</v>
      </c>
      <c r="AX620" s="1894">
        <v>578.4</v>
      </c>
      <c r="AY620" s="1894">
        <v>0.92859999999999998</v>
      </c>
      <c r="AZ620" s="1894">
        <v>53.79</v>
      </c>
      <c r="BA620" s="1894">
        <v>134694</v>
      </c>
      <c r="BB620" s="1894">
        <f t="shared" si="249"/>
        <v>150232</v>
      </c>
      <c r="BC620" s="1894">
        <f t="shared" si="250"/>
        <v>0</v>
      </c>
      <c r="BD620" s="1894">
        <v>723</v>
      </c>
      <c r="BE620" s="1894">
        <v>309.59999999999997</v>
      </c>
      <c r="BF620" s="1894">
        <v>578.4</v>
      </c>
      <c r="BG620" s="1894">
        <v>0.90529999999999999</v>
      </c>
      <c r="BH620" s="1894">
        <v>64.459999999999994</v>
      </c>
      <c r="BI620" s="1894">
        <v>148482</v>
      </c>
      <c r="BJ620" s="1894">
        <f t="shared" si="251"/>
        <v>138205</v>
      </c>
      <c r="BK620" s="1894">
        <f t="shared" si="252"/>
        <v>10277</v>
      </c>
      <c r="BL620" s="1894">
        <v>723</v>
      </c>
      <c r="BM620" s="1894">
        <v>315.36</v>
      </c>
      <c r="BN620" s="1894">
        <v>578.4</v>
      </c>
      <c r="BO620" s="1894">
        <v>0.87739999999999996</v>
      </c>
      <c r="BP620" s="1894">
        <v>57.5</v>
      </c>
      <c r="BQ620" s="1894">
        <v>130563</v>
      </c>
      <c r="BR620" s="1894">
        <f t="shared" si="253"/>
        <v>136236</v>
      </c>
      <c r="BS620" s="1894">
        <f t="shared" si="254"/>
        <v>0</v>
      </c>
      <c r="BT620" s="1894">
        <v>723</v>
      </c>
      <c r="BU620" s="1894">
        <v>331.2</v>
      </c>
      <c r="BV620" s="1894">
        <v>578.4</v>
      </c>
      <c r="BW620" s="1894">
        <v>0.88629999999999998</v>
      </c>
      <c r="BX620" s="1894">
        <v>54.62</v>
      </c>
      <c r="BY620" s="1894">
        <v>134595</v>
      </c>
      <c r="BZ620" s="1894">
        <f t="shared" si="255"/>
        <v>147848</v>
      </c>
      <c r="CA620" s="1894">
        <f t="shared" si="256"/>
        <v>0</v>
      </c>
      <c r="CB620" s="1894">
        <v>723</v>
      </c>
      <c r="CC620" s="1894">
        <v>342</v>
      </c>
      <c r="CD620" s="1894">
        <v>578.4</v>
      </c>
      <c r="CE620" s="1894">
        <v>0.89829999999999999</v>
      </c>
      <c r="CF620" s="1894">
        <v>52.41</v>
      </c>
      <c r="CG620" s="1894">
        <v>133353</v>
      </c>
      <c r="CH620" s="1894">
        <f t="shared" si="257"/>
        <v>152669</v>
      </c>
      <c r="CI620" s="1894">
        <f t="shared" si="258"/>
        <v>0</v>
      </c>
      <c r="CJ620" s="1894">
        <v>723</v>
      </c>
      <c r="CK620" s="1894">
        <v>317.52</v>
      </c>
      <c r="CL620" s="1894">
        <v>578.4</v>
      </c>
      <c r="CM620" s="1894">
        <v>0.89319999999999999</v>
      </c>
      <c r="CN620" s="1894">
        <v>55.75</v>
      </c>
      <c r="CO620" s="1894">
        <v>118953</v>
      </c>
      <c r="CP620" s="1894">
        <f t="shared" si="259"/>
        <v>128024</v>
      </c>
      <c r="CQ620" s="1894">
        <f t="shared" si="260"/>
        <v>0</v>
      </c>
      <c r="CR620" s="1924">
        <v>723</v>
      </c>
      <c r="CS620" s="1924">
        <v>316.79999999999995</v>
      </c>
      <c r="CT620" s="1924">
        <v>578.4</v>
      </c>
      <c r="CU620" s="1924">
        <v>0.90710000000000002</v>
      </c>
      <c r="CV620" s="1924">
        <v>56.9</v>
      </c>
      <c r="CW620" s="1924">
        <v>134118</v>
      </c>
      <c r="CX620" s="1894">
        <f t="shared" si="261"/>
        <v>141420</v>
      </c>
      <c r="CY620" s="1894">
        <f t="shared" si="262"/>
        <v>0</v>
      </c>
    </row>
    <row r="621" spans="1:103">
      <c r="A621" s="982">
        <v>621000000044</v>
      </c>
      <c r="B621" s="1923">
        <f t="shared" si="263"/>
        <v>615</v>
      </c>
      <c r="C621" s="1895" t="s">
        <v>3486</v>
      </c>
      <c r="D621" s="1894" t="s">
        <v>524</v>
      </c>
      <c r="E621" s="1895" t="s">
        <v>737</v>
      </c>
      <c r="F621" s="1894" t="s">
        <v>259</v>
      </c>
      <c r="G621" s="1924">
        <v>745</v>
      </c>
      <c r="H621" s="1894">
        <v>745</v>
      </c>
      <c r="I621" s="1894">
        <v>339.84000000000003</v>
      </c>
      <c r="J621" s="1894">
        <v>596</v>
      </c>
      <c r="K621" s="1894">
        <v>0.98270000000000002</v>
      </c>
      <c r="L621" s="1894">
        <v>46.6</v>
      </c>
      <c r="M621" s="1894">
        <v>114024</v>
      </c>
      <c r="N621" s="1894">
        <f t="shared" si="241"/>
        <v>146811</v>
      </c>
      <c r="O621" s="1894">
        <f t="shared" si="242"/>
        <v>0</v>
      </c>
      <c r="P621" s="1894">
        <v>745</v>
      </c>
      <c r="Q621" s="1894">
        <v>346.56</v>
      </c>
      <c r="R621" s="1894">
        <v>596</v>
      </c>
      <c r="S621" s="1894">
        <v>0.98540000000000005</v>
      </c>
      <c r="T621" s="1894">
        <v>47.99</v>
      </c>
      <c r="U621" s="1894">
        <v>123732</v>
      </c>
      <c r="V621" s="1894">
        <f t="shared" si="243"/>
        <v>154704</v>
      </c>
      <c r="W621" s="1894">
        <f t="shared" si="244"/>
        <v>0</v>
      </c>
      <c r="X621" s="1894">
        <v>745</v>
      </c>
      <c r="Y621" s="1894">
        <v>339.36</v>
      </c>
      <c r="Z621" s="1894">
        <v>596</v>
      </c>
      <c r="AA621" s="1894">
        <v>0.98370000000000002</v>
      </c>
      <c r="AB621" s="1894">
        <v>49</v>
      </c>
      <c r="AC621" s="1894">
        <v>119736</v>
      </c>
      <c r="AD621" s="1894">
        <f t="shared" si="245"/>
        <v>146604</v>
      </c>
      <c r="AE621" s="1894">
        <f t="shared" si="246"/>
        <v>0</v>
      </c>
      <c r="AF621" s="1894">
        <v>745</v>
      </c>
      <c r="AG621" s="1894">
        <v>300</v>
      </c>
      <c r="AH621" s="1894">
        <v>596</v>
      </c>
      <c r="AI621" s="1894">
        <v>0.99009999999999998</v>
      </c>
      <c r="AJ621" s="1894">
        <v>54.44</v>
      </c>
      <c r="AK621" s="1894">
        <v>117582</v>
      </c>
      <c r="AL621" s="1894">
        <f t="shared" si="239"/>
        <v>133920</v>
      </c>
      <c r="AM621" s="1894">
        <f t="shared" si="240"/>
        <v>0</v>
      </c>
      <c r="AN621" s="1894">
        <v>745</v>
      </c>
      <c r="AO621" s="1894">
        <v>159</v>
      </c>
      <c r="AP621" s="1894">
        <v>596</v>
      </c>
      <c r="AQ621" s="1894">
        <v>0.98650000000000004</v>
      </c>
      <c r="AR621" s="1894">
        <v>103.17</v>
      </c>
      <c r="AS621" s="1894">
        <v>125985</v>
      </c>
      <c r="AT621" s="1894">
        <f t="shared" si="247"/>
        <v>70978</v>
      </c>
      <c r="AU621" s="1894">
        <f t="shared" si="248"/>
        <v>55007</v>
      </c>
      <c r="AV621" s="1894">
        <v>745</v>
      </c>
      <c r="AW621" s="1894">
        <v>378</v>
      </c>
      <c r="AX621" s="1894">
        <v>596</v>
      </c>
      <c r="AY621" s="1894">
        <v>0.9899</v>
      </c>
      <c r="AZ621" s="1894">
        <v>40.64</v>
      </c>
      <c r="BA621" s="1894">
        <v>110595</v>
      </c>
      <c r="BB621" s="1894">
        <f t="shared" si="249"/>
        <v>163296</v>
      </c>
      <c r="BC621" s="1894">
        <f t="shared" si="250"/>
        <v>0</v>
      </c>
      <c r="BD621" s="1894">
        <v>745</v>
      </c>
      <c r="BE621" s="1894">
        <v>348</v>
      </c>
      <c r="BF621" s="1894">
        <v>596</v>
      </c>
      <c r="BG621" s="1894">
        <v>0.9768</v>
      </c>
      <c r="BH621" s="1894">
        <v>48.29</v>
      </c>
      <c r="BI621" s="1894">
        <v>112920</v>
      </c>
      <c r="BJ621" s="1894">
        <f t="shared" si="251"/>
        <v>155347</v>
      </c>
      <c r="BK621" s="1894">
        <f t="shared" si="252"/>
        <v>0</v>
      </c>
      <c r="BL621" s="1894">
        <v>745</v>
      </c>
      <c r="BM621" s="1894">
        <v>285</v>
      </c>
      <c r="BN621" s="1894">
        <v>596</v>
      </c>
      <c r="BO621" s="1894">
        <v>0.97209999999999996</v>
      </c>
      <c r="BP621" s="1894">
        <v>54.91</v>
      </c>
      <c r="BQ621" s="1894">
        <v>123945</v>
      </c>
      <c r="BR621" s="1894">
        <f t="shared" si="253"/>
        <v>123120</v>
      </c>
      <c r="BS621" s="1894">
        <f t="shared" si="254"/>
        <v>825</v>
      </c>
      <c r="BT621" s="1894">
        <v>745</v>
      </c>
      <c r="BU621" s="1894">
        <v>270</v>
      </c>
      <c r="BV621" s="1894">
        <v>596</v>
      </c>
      <c r="BW621" s="1894">
        <v>0.98250000000000004</v>
      </c>
      <c r="BX621" s="1894">
        <v>66.010000000000005</v>
      </c>
      <c r="BY621" s="1894">
        <v>132600</v>
      </c>
      <c r="BZ621" s="1894">
        <f t="shared" si="255"/>
        <v>120528</v>
      </c>
      <c r="CA621" s="1894">
        <f t="shared" si="256"/>
        <v>12072</v>
      </c>
      <c r="CB621" s="1894">
        <v>745</v>
      </c>
      <c r="CC621" s="1894">
        <v>249</v>
      </c>
      <c r="CD621" s="1894">
        <v>596</v>
      </c>
      <c r="CE621" s="1894">
        <v>0.99199999999999999</v>
      </c>
      <c r="CF621" s="1894">
        <v>52.74</v>
      </c>
      <c r="CG621" s="1894">
        <v>97695</v>
      </c>
      <c r="CH621" s="1894">
        <f t="shared" si="257"/>
        <v>111154</v>
      </c>
      <c r="CI621" s="1894">
        <f t="shared" si="258"/>
        <v>0</v>
      </c>
      <c r="CJ621" s="1894">
        <v>745</v>
      </c>
      <c r="CK621" s="1894">
        <v>207</v>
      </c>
      <c r="CL621" s="1894">
        <v>596</v>
      </c>
      <c r="CM621" s="1894">
        <v>1</v>
      </c>
      <c r="CN621" s="1894">
        <v>53.87</v>
      </c>
      <c r="CO621" s="1894">
        <v>74940</v>
      </c>
      <c r="CP621" s="1894">
        <f t="shared" si="259"/>
        <v>83462</v>
      </c>
      <c r="CQ621" s="1894">
        <f t="shared" si="260"/>
        <v>0</v>
      </c>
      <c r="CR621" s="1924">
        <v>745</v>
      </c>
      <c r="CS621" s="1924">
        <v>261</v>
      </c>
      <c r="CT621" s="1924">
        <v>596</v>
      </c>
      <c r="CU621" s="1924">
        <v>1</v>
      </c>
      <c r="CV621" s="1924">
        <v>49.41</v>
      </c>
      <c r="CW621" s="1924">
        <v>95940</v>
      </c>
      <c r="CX621" s="1894">
        <f t="shared" si="261"/>
        <v>116510</v>
      </c>
      <c r="CY621" s="1894">
        <f t="shared" si="262"/>
        <v>0</v>
      </c>
    </row>
    <row r="622" spans="1:103">
      <c r="A622" s="982">
        <v>123000000065</v>
      </c>
      <c r="B622" s="1923">
        <f t="shared" si="263"/>
        <v>616</v>
      </c>
      <c r="C622" s="1895" t="s">
        <v>3487</v>
      </c>
      <c r="D622" s="1894" t="s">
        <v>524</v>
      </c>
      <c r="E622" s="1895" t="s">
        <v>541</v>
      </c>
      <c r="F622" s="1894" t="s">
        <v>259</v>
      </c>
      <c r="G622" s="1924">
        <v>750</v>
      </c>
      <c r="H622" s="1894">
        <v>750</v>
      </c>
      <c r="I622" s="1894">
        <v>684.95999999999992</v>
      </c>
      <c r="J622" s="1894">
        <v>684.96</v>
      </c>
      <c r="K622" s="1894">
        <v>0.995</v>
      </c>
      <c r="L622" s="1894">
        <v>59.56</v>
      </c>
      <c r="M622" s="1894">
        <v>293748</v>
      </c>
      <c r="N622" s="1894">
        <f t="shared" si="241"/>
        <v>295903</v>
      </c>
      <c r="O622" s="1894">
        <f t="shared" si="242"/>
        <v>0</v>
      </c>
      <c r="P622" s="1894">
        <v>750</v>
      </c>
      <c r="Q622" s="1894">
        <v>708</v>
      </c>
      <c r="R622" s="1894">
        <v>708</v>
      </c>
      <c r="S622" s="1894">
        <v>0.99170000000000003</v>
      </c>
      <c r="T622" s="1894">
        <v>56.24</v>
      </c>
      <c r="U622" s="1894">
        <v>296220</v>
      </c>
      <c r="V622" s="1894">
        <f t="shared" si="243"/>
        <v>316051</v>
      </c>
      <c r="W622" s="1894">
        <f t="shared" si="244"/>
        <v>0</v>
      </c>
      <c r="X622" s="1894">
        <v>750</v>
      </c>
      <c r="Y622" s="1894">
        <v>664.31999999999994</v>
      </c>
      <c r="Z622" s="1894">
        <v>664.32</v>
      </c>
      <c r="AA622" s="1894">
        <v>0.99670000000000003</v>
      </c>
      <c r="AB622" s="1894">
        <v>36.770000000000003</v>
      </c>
      <c r="AC622" s="1894">
        <v>175890</v>
      </c>
      <c r="AD622" s="1894">
        <f t="shared" si="245"/>
        <v>286986</v>
      </c>
      <c r="AE622" s="1894">
        <f t="shared" si="246"/>
        <v>0</v>
      </c>
      <c r="AF622" s="1894">
        <v>750</v>
      </c>
      <c r="AG622" s="1894">
        <v>630.71999999999991</v>
      </c>
      <c r="AH622" s="1894">
        <v>630.72</v>
      </c>
      <c r="AI622" s="1894">
        <v>0.99119999999999997</v>
      </c>
      <c r="AJ622" s="1894">
        <v>41.82</v>
      </c>
      <c r="AK622" s="1894">
        <v>170940</v>
      </c>
      <c r="AL622" s="1894">
        <f t="shared" si="239"/>
        <v>281553</v>
      </c>
      <c r="AM622" s="1894">
        <f t="shared" si="240"/>
        <v>0</v>
      </c>
      <c r="AN622" s="1894">
        <v>750</v>
      </c>
      <c r="AO622" s="1894">
        <v>1587</v>
      </c>
      <c r="AP622" s="1894">
        <v>634.79999999999995</v>
      </c>
      <c r="AQ622" s="1894">
        <v>0.99360000000000004</v>
      </c>
      <c r="AR622" s="1894">
        <v>54.04</v>
      </c>
      <c r="AS622" s="1894">
        <v>288150</v>
      </c>
      <c r="AT622" s="1894">
        <f t="shared" si="247"/>
        <v>708437</v>
      </c>
      <c r="AU622" s="1894">
        <f t="shared" si="248"/>
        <v>0</v>
      </c>
      <c r="AV622" s="1894">
        <v>750</v>
      </c>
      <c r="AW622" s="1894">
        <v>700.8</v>
      </c>
      <c r="AX622" s="1894">
        <v>700.8</v>
      </c>
      <c r="AY622" s="1894">
        <v>0.98670000000000002</v>
      </c>
      <c r="AZ622" s="1894">
        <v>54.63</v>
      </c>
      <c r="BA622" s="1894">
        <v>275655</v>
      </c>
      <c r="BB622" s="1894">
        <f t="shared" si="249"/>
        <v>302746</v>
      </c>
      <c r="BC622" s="1894">
        <f t="shared" si="250"/>
        <v>0</v>
      </c>
      <c r="BD622" s="1894">
        <v>750</v>
      </c>
      <c r="BE622" s="1894">
        <v>687.59999999999991</v>
      </c>
      <c r="BF622" s="1894">
        <v>687.6</v>
      </c>
      <c r="BG622" s="1894">
        <v>0.98809999999999998</v>
      </c>
      <c r="BH622" s="1894">
        <v>46.35</v>
      </c>
      <c r="BI622" s="1894">
        <v>237120</v>
      </c>
      <c r="BJ622" s="1894">
        <f t="shared" si="251"/>
        <v>306945</v>
      </c>
      <c r="BK622" s="1894">
        <f t="shared" si="252"/>
        <v>0</v>
      </c>
      <c r="BL622" s="1894">
        <v>750</v>
      </c>
      <c r="BM622" s="1894">
        <v>720</v>
      </c>
      <c r="BN622" s="1894">
        <v>720</v>
      </c>
      <c r="BO622" s="1894">
        <v>0.98209999999999997</v>
      </c>
      <c r="BP622" s="1894">
        <v>49.33</v>
      </c>
      <c r="BQ622" s="1894">
        <v>255705</v>
      </c>
      <c r="BR622" s="1894">
        <f t="shared" si="253"/>
        <v>311040</v>
      </c>
      <c r="BS622" s="1894">
        <f t="shared" si="254"/>
        <v>0</v>
      </c>
      <c r="BT622" s="1894">
        <v>750</v>
      </c>
      <c r="BU622" s="1894">
        <v>698.4</v>
      </c>
      <c r="BV622" s="1894">
        <v>698.4</v>
      </c>
      <c r="BW622" s="1894">
        <v>0.99329999999999996</v>
      </c>
      <c r="BX622" s="1894">
        <v>52.13</v>
      </c>
      <c r="BY622" s="1894">
        <v>270855</v>
      </c>
      <c r="BZ622" s="1894">
        <f t="shared" si="255"/>
        <v>311766</v>
      </c>
      <c r="CA622" s="1894">
        <f t="shared" si="256"/>
        <v>0</v>
      </c>
      <c r="CB622" s="1894">
        <v>750</v>
      </c>
      <c r="CC622" s="1894">
        <v>673.19999999999993</v>
      </c>
      <c r="CD622" s="1894">
        <v>673.2</v>
      </c>
      <c r="CE622" s="1894">
        <v>0.99709999999999999</v>
      </c>
      <c r="CF622" s="1894">
        <v>68.97</v>
      </c>
      <c r="CG622" s="1894">
        <v>345450</v>
      </c>
      <c r="CH622" s="1894">
        <f t="shared" si="257"/>
        <v>300516</v>
      </c>
      <c r="CI622" s="1894">
        <f t="shared" si="258"/>
        <v>44934</v>
      </c>
      <c r="CJ622" s="1894">
        <v>750</v>
      </c>
      <c r="CK622" s="1894">
        <v>716.40000000000009</v>
      </c>
      <c r="CL622" s="1894">
        <v>716.4</v>
      </c>
      <c r="CM622" s="1894">
        <v>0.99660000000000004</v>
      </c>
      <c r="CN622" s="1894">
        <v>66.400000000000006</v>
      </c>
      <c r="CO622" s="1894">
        <v>319650</v>
      </c>
      <c r="CP622" s="1894">
        <f t="shared" si="259"/>
        <v>288852</v>
      </c>
      <c r="CQ622" s="1894">
        <f t="shared" si="260"/>
        <v>30798</v>
      </c>
      <c r="CR622" s="1924">
        <v>750</v>
      </c>
      <c r="CS622" s="1924">
        <v>699.6</v>
      </c>
      <c r="CT622" s="1924">
        <v>699.6</v>
      </c>
      <c r="CU622" s="1924">
        <v>0.996</v>
      </c>
      <c r="CV622" s="1924">
        <v>62.18</v>
      </c>
      <c r="CW622" s="1924">
        <v>323640</v>
      </c>
      <c r="CX622" s="1894">
        <f t="shared" si="261"/>
        <v>312301</v>
      </c>
      <c r="CY622" s="1894">
        <f t="shared" si="262"/>
        <v>11339</v>
      </c>
    </row>
    <row r="623" spans="1:103">
      <c r="A623" s="982">
        <v>125000000034</v>
      </c>
      <c r="B623" s="1923">
        <f t="shared" si="263"/>
        <v>617</v>
      </c>
      <c r="C623" s="1895" t="s">
        <v>3488</v>
      </c>
      <c r="D623" s="1894" t="s">
        <v>524</v>
      </c>
      <c r="E623" s="1895" t="s">
        <v>541</v>
      </c>
      <c r="F623" s="1894" t="s">
        <v>259</v>
      </c>
      <c r="G623" s="1924">
        <v>750</v>
      </c>
      <c r="H623" s="1894">
        <v>212</v>
      </c>
      <c r="I623" s="1894">
        <v>560</v>
      </c>
      <c r="J623" s="1894">
        <v>169.6</v>
      </c>
      <c r="K623" s="1894">
        <v>0.69520000000000004</v>
      </c>
      <c r="L623" s="1894">
        <v>29.8</v>
      </c>
      <c r="M623" s="1894">
        <v>24034</v>
      </c>
      <c r="N623" s="1894">
        <f t="shared" si="241"/>
        <v>241920</v>
      </c>
      <c r="O623" s="1894">
        <f t="shared" si="242"/>
        <v>0</v>
      </c>
      <c r="P623" s="1894">
        <v>750</v>
      </c>
      <c r="Q623" s="1894">
        <v>587.20000000000005</v>
      </c>
      <c r="R623" s="1894">
        <v>600</v>
      </c>
      <c r="S623" s="1894">
        <v>0.54820000000000002</v>
      </c>
      <c r="T623" s="1894">
        <v>29.55</v>
      </c>
      <c r="U623" s="1894">
        <v>129110</v>
      </c>
      <c r="V623" s="1894">
        <f t="shared" si="243"/>
        <v>262126</v>
      </c>
      <c r="W623" s="1894">
        <f t="shared" si="244"/>
        <v>0</v>
      </c>
      <c r="X623" s="1894">
        <v>750</v>
      </c>
      <c r="Y623" s="1894">
        <v>448.79999999999995</v>
      </c>
      <c r="Z623" s="1894">
        <v>600</v>
      </c>
      <c r="AA623" s="1894">
        <v>0.59140000000000004</v>
      </c>
      <c r="AB623" s="1894">
        <v>21.53</v>
      </c>
      <c r="AC623" s="1894">
        <v>69570</v>
      </c>
      <c r="AD623" s="1894">
        <f t="shared" si="245"/>
        <v>193882</v>
      </c>
      <c r="AE623" s="1894">
        <f t="shared" si="246"/>
        <v>0</v>
      </c>
      <c r="AF623" s="1894">
        <v>750</v>
      </c>
      <c r="AG623" s="1894">
        <v>402.4</v>
      </c>
      <c r="AH623" s="1894">
        <v>600</v>
      </c>
      <c r="AI623" s="1894">
        <v>0.68579999999999997</v>
      </c>
      <c r="AJ623" s="1894">
        <v>4.87</v>
      </c>
      <c r="AK623" s="1894">
        <v>14580</v>
      </c>
      <c r="AL623" s="1894">
        <f t="shared" si="239"/>
        <v>179631</v>
      </c>
      <c r="AM623" s="1894">
        <f t="shared" si="240"/>
        <v>0</v>
      </c>
      <c r="AN623" s="1894">
        <v>750</v>
      </c>
      <c r="AO623" s="1894">
        <v>396</v>
      </c>
      <c r="AP623" s="1894">
        <v>600</v>
      </c>
      <c r="AQ623" s="1894">
        <v>0.74619999999999997</v>
      </c>
      <c r="AR623" s="1894">
        <v>3.89</v>
      </c>
      <c r="AS623" s="1894">
        <v>11470</v>
      </c>
      <c r="AT623" s="1894">
        <f t="shared" si="247"/>
        <v>176774</v>
      </c>
      <c r="AU623" s="1894">
        <f t="shared" si="248"/>
        <v>0</v>
      </c>
      <c r="AV623" s="1894">
        <v>750</v>
      </c>
      <c r="AW623" s="1894">
        <v>417.6</v>
      </c>
      <c r="AX623" s="1894">
        <v>600</v>
      </c>
      <c r="AY623" s="1894">
        <v>0.57569999999999999</v>
      </c>
      <c r="AZ623" s="1894">
        <v>15.63</v>
      </c>
      <c r="BA623" s="1894">
        <v>47000</v>
      </c>
      <c r="BB623" s="1894">
        <f t="shared" si="249"/>
        <v>180403</v>
      </c>
      <c r="BC623" s="1894">
        <f t="shared" si="250"/>
        <v>0</v>
      </c>
      <c r="BD623" s="1894">
        <v>750</v>
      </c>
      <c r="BE623" s="1894">
        <v>477.6</v>
      </c>
      <c r="BF623" s="1894">
        <v>600</v>
      </c>
      <c r="BG623" s="1894">
        <v>0.51480000000000004</v>
      </c>
      <c r="BH623" s="1894">
        <v>21.84</v>
      </c>
      <c r="BI623" s="1894">
        <v>77610</v>
      </c>
      <c r="BJ623" s="1894">
        <f t="shared" si="251"/>
        <v>213201</v>
      </c>
      <c r="BK623" s="1894">
        <f t="shared" si="252"/>
        <v>0</v>
      </c>
      <c r="BL623" s="1894">
        <v>750</v>
      </c>
      <c r="BM623" s="1894">
        <v>491.20000000000005</v>
      </c>
      <c r="BN623" s="1894">
        <v>600</v>
      </c>
      <c r="BO623" s="1894">
        <v>0.51190000000000002</v>
      </c>
      <c r="BP623" s="1894">
        <v>33.25</v>
      </c>
      <c r="BQ623" s="1894">
        <v>117580</v>
      </c>
      <c r="BR623" s="1894">
        <f t="shared" si="253"/>
        <v>212198</v>
      </c>
      <c r="BS623" s="1894">
        <f t="shared" si="254"/>
        <v>0</v>
      </c>
      <c r="BT623" s="1894">
        <v>750</v>
      </c>
      <c r="BU623" s="1894">
        <v>541.6</v>
      </c>
      <c r="BV623" s="1894">
        <v>600</v>
      </c>
      <c r="BW623" s="1894">
        <v>0.56950000000000001</v>
      </c>
      <c r="BX623" s="1894">
        <v>33.17</v>
      </c>
      <c r="BY623" s="1894">
        <v>133640</v>
      </c>
      <c r="BZ623" s="1894">
        <f t="shared" si="255"/>
        <v>241770</v>
      </c>
      <c r="CA623" s="1894">
        <f t="shared" si="256"/>
        <v>0</v>
      </c>
      <c r="CB623" s="1894">
        <v>750</v>
      </c>
      <c r="CC623" s="1894">
        <v>502.4</v>
      </c>
      <c r="CD623" s="1894">
        <v>600</v>
      </c>
      <c r="CE623" s="1894">
        <v>0.62070000000000003</v>
      </c>
      <c r="CF623" s="1894">
        <v>28.88</v>
      </c>
      <c r="CG623" s="1894">
        <v>107950</v>
      </c>
      <c r="CH623" s="1894">
        <f t="shared" si="257"/>
        <v>224271</v>
      </c>
      <c r="CI623" s="1894">
        <f t="shared" si="258"/>
        <v>0</v>
      </c>
      <c r="CJ623" s="1894">
        <v>750</v>
      </c>
      <c r="CK623" s="1894">
        <v>520.80000000000007</v>
      </c>
      <c r="CL623" s="1894">
        <v>600</v>
      </c>
      <c r="CM623" s="1894">
        <v>0.53190000000000004</v>
      </c>
      <c r="CN623" s="1894">
        <v>35.049999999999997</v>
      </c>
      <c r="CO623" s="1894">
        <v>122660</v>
      </c>
      <c r="CP623" s="1894">
        <f t="shared" si="259"/>
        <v>209987</v>
      </c>
      <c r="CQ623" s="1894">
        <f t="shared" si="260"/>
        <v>0</v>
      </c>
      <c r="CR623" s="1924">
        <v>750</v>
      </c>
      <c r="CS623" s="1924">
        <v>568.79999999999995</v>
      </c>
      <c r="CT623" s="1924">
        <v>600</v>
      </c>
      <c r="CU623" s="1924">
        <v>0.59060000000000001</v>
      </c>
      <c r="CV623" s="1924">
        <v>34.1</v>
      </c>
      <c r="CW623" s="1924">
        <v>144300</v>
      </c>
      <c r="CX623" s="1894">
        <f t="shared" si="261"/>
        <v>253912</v>
      </c>
      <c r="CY623" s="1894">
        <f t="shared" si="262"/>
        <v>0</v>
      </c>
    </row>
    <row r="624" spans="1:103">
      <c r="A624" s="982">
        <v>621000000011</v>
      </c>
      <c r="B624" s="1923">
        <f t="shared" si="263"/>
        <v>618</v>
      </c>
      <c r="C624" s="1895" t="s">
        <v>3489</v>
      </c>
      <c r="D624" s="1894" t="s">
        <v>524</v>
      </c>
      <c r="E624" s="1895" t="s">
        <v>541</v>
      </c>
      <c r="F624" s="1894" t="s">
        <v>259</v>
      </c>
      <c r="G624" s="1924">
        <v>750</v>
      </c>
      <c r="H624" s="1894">
        <v>750</v>
      </c>
      <c r="I624" s="1894">
        <v>682</v>
      </c>
      <c r="J624" s="1894">
        <v>682</v>
      </c>
      <c r="K624" s="1894">
        <v>0.9778</v>
      </c>
      <c r="L624" s="1894">
        <v>44.04</v>
      </c>
      <c r="M624" s="1894">
        <v>216230</v>
      </c>
      <c r="N624" s="1894">
        <f t="shared" si="241"/>
        <v>294624</v>
      </c>
      <c r="O624" s="1894">
        <f t="shared" si="242"/>
        <v>0</v>
      </c>
      <c r="P624" s="1894">
        <v>750</v>
      </c>
      <c r="Q624" s="1894">
        <v>564</v>
      </c>
      <c r="R624" s="1894">
        <v>600</v>
      </c>
      <c r="S624" s="1894">
        <v>0.97840000000000005</v>
      </c>
      <c r="T624" s="1894">
        <v>25.77</v>
      </c>
      <c r="U624" s="1894">
        <v>108120</v>
      </c>
      <c r="V624" s="1894">
        <f t="shared" si="243"/>
        <v>251770</v>
      </c>
      <c r="W624" s="1894">
        <f t="shared" si="244"/>
        <v>0</v>
      </c>
      <c r="X624" s="1894">
        <v>750</v>
      </c>
      <c r="Y624" s="1894">
        <v>196</v>
      </c>
      <c r="Z624" s="1894">
        <v>600</v>
      </c>
      <c r="AA624" s="1894">
        <v>0.94669999999999999</v>
      </c>
      <c r="AB624" s="1894">
        <v>21.81</v>
      </c>
      <c r="AC624" s="1894">
        <v>30780</v>
      </c>
      <c r="AD624" s="1894">
        <f t="shared" si="245"/>
        <v>84672</v>
      </c>
      <c r="AE624" s="1894">
        <f t="shared" si="246"/>
        <v>0</v>
      </c>
      <c r="AF624" s="1894">
        <v>750</v>
      </c>
      <c r="AG624" s="1894">
        <v>552</v>
      </c>
      <c r="AH624" s="1894">
        <v>600</v>
      </c>
      <c r="AI624" s="1894">
        <v>0.9647</v>
      </c>
      <c r="AJ624" s="1894">
        <v>15.21</v>
      </c>
      <c r="AK624" s="1894">
        <v>62460</v>
      </c>
      <c r="AL624" s="1894">
        <f t="shared" si="239"/>
        <v>246413</v>
      </c>
      <c r="AM624" s="1894">
        <f t="shared" si="240"/>
        <v>0</v>
      </c>
      <c r="AN624" s="1894">
        <v>750</v>
      </c>
      <c r="AO624" s="1894">
        <v>198</v>
      </c>
      <c r="AP624" s="1894">
        <v>600</v>
      </c>
      <c r="AQ624" s="1894">
        <v>0.97709999999999997</v>
      </c>
      <c r="AR624" s="1894">
        <v>24.34</v>
      </c>
      <c r="AS624" s="1894">
        <v>35860</v>
      </c>
      <c r="AT624" s="1894">
        <f t="shared" si="247"/>
        <v>88387</v>
      </c>
      <c r="AU624" s="1894">
        <f t="shared" si="248"/>
        <v>0</v>
      </c>
      <c r="AV624" s="1894">
        <v>750</v>
      </c>
      <c r="AW624" s="1894">
        <v>566</v>
      </c>
      <c r="AX624" s="1894">
        <v>600</v>
      </c>
      <c r="AY624" s="1894">
        <v>0.98370000000000002</v>
      </c>
      <c r="AZ624" s="1894">
        <v>9.82</v>
      </c>
      <c r="BA624" s="1894">
        <v>38700</v>
      </c>
      <c r="BB624" s="1894">
        <f t="shared" si="249"/>
        <v>244512</v>
      </c>
      <c r="BC624" s="1894">
        <f t="shared" si="250"/>
        <v>0</v>
      </c>
      <c r="BD624" s="1894">
        <v>750</v>
      </c>
      <c r="BE624" s="1894">
        <v>564</v>
      </c>
      <c r="BF624" s="1894">
        <v>600</v>
      </c>
      <c r="BG624" s="1894">
        <v>0.9718</v>
      </c>
      <c r="BH624" s="1894">
        <v>8.7100000000000009</v>
      </c>
      <c r="BI624" s="1894">
        <v>37710</v>
      </c>
      <c r="BJ624" s="1894">
        <f t="shared" si="251"/>
        <v>251770</v>
      </c>
      <c r="BK624" s="1894">
        <f t="shared" si="252"/>
        <v>0</v>
      </c>
      <c r="BL624" s="1894">
        <v>750</v>
      </c>
      <c r="BM624" s="1894">
        <v>192</v>
      </c>
      <c r="BN624" s="1894">
        <v>600</v>
      </c>
      <c r="BO624" s="1894">
        <v>0.96819999999999995</v>
      </c>
      <c r="BP624" s="1894">
        <v>13.01</v>
      </c>
      <c r="BQ624" s="1894">
        <v>17980</v>
      </c>
      <c r="BR624" s="1894">
        <f t="shared" si="253"/>
        <v>82944</v>
      </c>
      <c r="BS624" s="1894">
        <f t="shared" si="254"/>
        <v>0</v>
      </c>
      <c r="BT624" s="1894">
        <v>750</v>
      </c>
      <c r="BU624" s="1894">
        <v>186</v>
      </c>
      <c r="BV624" s="1894">
        <v>600</v>
      </c>
      <c r="BW624" s="1894">
        <v>0.92889999999999995</v>
      </c>
      <c r="BX624" s="1894">
        <v>7.02</v>
      </c>
      <c r="BY624" s="1894">
        <v>9710</v>
      </c>
      <c r="BZ624" s="1894">
        <f t="shared" si="255"/>
        <v>83030</v>
      </c>
      <c r="CA624" s="1894">
        <f t="shared" si="256"/>
        <v>0</v>
      </c>
      <c r="CB624" s="1894">
        <v>750</v>
      </c>
      <c r="CC624" s="1894">
        <v>380</v>
      </c>
      <c r="CD624" s="1894">
        <v>600</v>
      </c>
      <c r="CE624" s="1894">
        <v>0.97319999999999995</v>
      </c>
      <c r="CF624" s="1894">
        <v>7.14</v>
      </c>
      <c r="CG624" s="1894">
        <v>20180</v>
      </c>
      <c r="CH624" s="1894">
        <f t="shared" si="257"/>
        <v>169632</v>
      </c>
      <c r="CI624" s="1894">
        <f t="shared" si="258"/>
        <v>0</v>
      </c>
      <c r="CJ624" s="1894">
        <v>750</v>
      </c>
      <c r="CK624" s="1894">
        <v>176</v>
      </c>
      <c r="CL624" s="1894">
        <v>600</v>
      </c>
      <c r="CM624" s="1894">
        <v>0.9849</v>
      </c>
      <c r="CN624" s="1894">
        <v>7.87</v>
      </c>
      <c r="CO624" s="1894">
        <v>9310</v>
      </c>
      <c r="CP624" s="1894">
        <f t="shared" si="259"/>
        <v>70963</v>
      </c>
      <c r="CQ624" s="1894">
        <f t="shared" si="260"/>
        <v>0</v>
      </c>
      <c r="CR624" s="1924">
        <v>750</v>
      </c>
      <c r="CS624" s="1924">
        <v>218</v>
      </c>
      <c r="CT624" s="1924">
        <v>600</v>
      </c>
      <c r="CU624" s="1924">
        <v>0.98340000000000005</v>
      </c>
      <c r="CV624" s="1924">
        <v>7.09</v>
      </c>
      <c r="CW624" s="1924">
        <v>11500</v>
      </c>
      <c r="CX624" s="1894">
        <f t="shared" si="261"/>
        <v>97315</v>
      </c>
      <c r="CY624" s="1894">
        <f t="shared" si="262"/>
        <v>0</v>
      </c>
    </row>
    <row r="625" spans="1:103">
      <c r="A625" s="982">
        <v>622000000203</v>
      </c>
      <c r="B625" s="1923">
        <f t="shared" si="263"/>
        <v>619</v>
      </c>
      <c r="C625" s="1895" t="s">
        <v>3490</v>
      </c>
      <c r="D625" s="1894" t="s">
        <v>524</v>
      </c>
      <c r="E625" s="1895" t="s">
        <v>541</v>
      </c>
      <c r="F625" s="1894" t="s">
        <v>259</v>
      </c>
      <c r="G625" s="1924">
        <v>800</v>
      </c>
      <c r="H625" s="1894">
        <v>500</v>
      </c>
      <c r="I625" s="1894">
        <v>546</v>
      </c>
      <c r="J625" s="1894">
        <v>546</v>
      </c>
      <c r="K625" s="1894">
        <v>0.90549999999999997</v>
      </c>
      <c r="L625" s="1894">
        <v>42.69</v>
      </c>
      <c r="M625" s="1894">
        <v>167830</v>
      </c>
      <c r="N625" s="1894">
        <f t="shared" si="241"/>
        <v>235872</v>
      </c>
      <c r="O625" s="1894">
        <f t="shared" si="242"/>
        <v>0</v>
      </c>
      <c r="P625" s="1894">
        <v>800</v>
      </c>
      <c r="Q625" s="1894">
        <v>585.20000000000005</v>
      </c>
      <c r="R625" s="1894">
        <v>640</v>
      </c>
      <c r="S625" s="1894">
        <v>0.93840000000000001</v>
      </c>
      <c r="T625" s="1894">
        <v>49.31</v>
      </c>
      <c r="U625" s="1894">
        <v>214695</v>
      </c>
      <c r="V625" s="1894">
        <f t="shared" si="243"/>
        <v>261233</v>
      </c>
      <c r="W625" s="1894">
        <f t="shared" si="244"/>
        <v>0</v>
      </c>
      <c r="X625" s="1894">
        <v>800</v>
      </c>
      <c r="Y625" s="1894">
        <v>533.59999999999991</v>
      </c>
      <c r="Z625" s="1894">
        <v>640</v>
      </c>
      <c r="AA625" s="1894">
        <v>0.96230000000000004</v>
      </c>
      <c r="AB625" s="1894">
        <v>42.27</v>
      </c>
      <c r="AC625" s="1894">
        <v>162380</v>
      </c>
      <c r="AD625" s="1894">
        <f t="shared" si="245"/>
        <v>230515</v>
      </c>
      <c r="AE625" s="1894">
        <f t="shared" si="246"/>
        <v>0</v>
      </c>
      <c r="AF625" s="1894">
        <v>800</v>
      </c>
      <c r="AG625" s="1894">
        <v>314</v>
      </c>
      <c r="AH625" s="1894">
        <v>640</v>
      </c>
      <c r="AI625" s="1894">
        <v>0.96960000000000002</v>
      </c>
      <c r="AJ625" s="1894">
        <v>53.31</v>
      </c>
      <c r="AK625" s="1894">
        <v>124535</v>
      </c>
      <c r="AL625" s="1894">
        <f t="shared" si="239"/>
        <v>140170</v>
      </c>
      <c r="AM625" s="1894">
        <f t="shared" si="240"/>
        <v>0</v>
      </c>
      <c r="AN625" s="1894">
        <v>800</v>
      </c>
      <c r="AO625" s="1894">
        <v>356</v>
      </c>
      <c r="AP625" s="1894">
        <v>640</v>
      </c>
      <c r="AQ625" s="1894">
        <v>0.97419999999999995</v>
      </c>
      <c r="AR625" s="1894">
        <v>55.31</v>
      </c>
      <c r="AS625" s="1894">
        <v>146485</v>
      </c>
      <c r="AT625" s="1894">
        <f t="shared" si="247"/>
        <v>158918</v>
      </c>
      <c r="AU625" s="1894">
        <f t="shared" si="248"/>
        <v>0</v>
      </c>
      <c r="AV625" s="1894">
        <v>800</v>
      </c>
      <c r="AW625" s="1894">
        <v>470.8</v>
      </c>
      <c r="AX625" s="1894">
        <v>640</v>
      </c>
      <c r="AY625" s="1894">
        <v>0.96309999999999996</v>
      </c>
      <c r="AZ625" s="1894">
        <v>42.35</v>
      </c>
      <c r="BA625" s="1894">
        <v>143570</v>
      </c>
      <c r="BB625" s="1894">
        <f t="shared" si="249"/>
        <v>203386</v>
      </c>
      <c r="BC625" s="1894">
        <f t="shared" si="250"/>
        <v>0</v>
      </c>
      <c r="BD625" s="1894">
        <v>800</v>
      </c>
      <c r="BE625" s="1894">
        <v>488</v>
      </c>
      <c r="BF625" s="1894">
        <v>640</v>
      </c>
      <c r="BG625" s="1894">
        <v>0.98419999999999996</v>
      </c>
      <c r="BH625" s="1894">
        <v>53.62</v>
      </c>
      <c r="BI625" s="1894">
        <v>194680</v>
      </c>
      <c r="BJ625" s="1894">
        <f t="shared" si="251"/>
        <v>217843</v>
      </c>
      <c r="BK625" s="1894">
        <f t="shared" si="252"/>
        <v>0</v>
      </c>
      <c r="BL625" s="1894">
        <v>800</v>
      </c>
      <c r="BM625" s="1894">
        <v>524.80000000000007</v>
      </c>
      <c r="BN625" s="1894">
        <v>640</v>
      </c>
      <c r="BO625" s="1894">
        <v>0.97650000000000003</v>
      </c>
      <c r="BP625" s="1894">
        <v>53.11</v>
      </c>
      <c r="BQ625" s="1894">
        <v>200690</v>
      </c>
      <c r="BR625" s="1894">
        <f t="shared" si="253"/>
        <v>226714</v>
      </c>
      <c r="BS625" s="1894">
        <f t="shared" si="254"/>
        <v>0</v>
      </c>
      <c r="BT625" s="1894">
        <v>800</v>
      </c>
      <c r="BU625" s="1894">
        <v>521.59999999999991</v>
      </c>
      <c r="BV625" s="1894">
        <v>640</v>
      </c>
      <c r="BW625" s="1894">
        <v>0.98089999999999999</v>
      </c>
      <c r="BX625" s="1894">
        <v>55.57</v>
      </c>
      <c r="BY625" s="1894">
        <v>215650</v>
      </c>
      <c r="BZ625" s="1894">
        <f t="shared" si="255"/>
        <v>232842</v>
      </c>
      <c r="CA625" s="1894">
        <f t="shared" si="256"/>
        <v>0</v>
      </c>
      <c r="CB625" s="1894">
        <v>800</v>
      </c>
      <c r="CC625" s="1894">
        <v>522.4</v>
      </c>
      <c r="CD625" s="1894">
        <v>640</v>
      </c>
      <c r="CE625" s="1894">
        <v>0.98580000000000001</v>
      </c>
      <c r="CF625" s="1894">
        <v>53.5</v>
      </c>
      <c r="CG625" s="1894">
        <v>207940</v>
      </c>
      <c r="CH625" s="1894">
        <f t="shared" si="257"/>
        <v>233199</v>
      </c>
      <c r="CI625" s="1894">
        <f t="shared" si="258"/>
        <v>0</v>
      </c>
      <c r="CJ625" s="1894">
        <v>800</v>
      </c>
      <c r="CK625" s="1894">
        <v>544</v>
      </c>
      <c r="CL625" s="1894">
        <v>640</v>
      </c>
      <c r="CM625" s="1894">
        <v>0.98509999999999998</v>
      </c>
      <c r="CN625" s="1894">
        <v>53.45</v>
      </c>
      <c r="CO625" s="1894">
        <v>195405</v>
      </c>
      <c r="CP625" s="1894">
        <f t="shared" si="259"/>
        <v>219341</v>
      </c>
      <c r="CQ625" s="1894">
        <f t="shared" si="260"/>
        <v>0</v>
      </c>
      <c r="CR625" s="1924">
        <v>800</v>
      </c>
      <c r="CS625" s="1924">
        <v>527.59999999999991</v>
      </c>
      <c r="CT625" s="1924">
        <v>640</v>
      </c>
      <c r="CU625" s="1924">
        <v>0.98740000000000006</v>
      </c>
      <c r="CV625" s="1924">
        <v>53.94</v>
      </c>
      <c r="CW625" s="1924">
        <v>211730</v>
      </c>
      <c r="CX625" s="1894">
        <f t="shared" si="261"/>
        <v>235521</v>
      </c>
      <c r="CY625" s="1894">
        <f t="shared" si="262"/>
        <v>0</v>
      </c>
    </row>
    <row r="626" spans="1:103">
      <c r="A626" s="982">
        <v>621000000063</v>
      </c>
      <c r="B626" s="1923">
        <f t="shared" si="263"/>
        <v>620</v>
      </c>
      <c r="C626" s="1895" t="s">
        <v>3491</v>
      </c>
      <c r="D626" s="1894" t="s">
        <v>524</v>
      </c>
      <c r="E626" s="1895" t="s">
        <v>541</v>
      </c>
      <c r="F626" s="1894" t="s">
        <v>259</v>
      </c>
      <c r="G626" s="1924">
        <v>800</v>
      </c>
      <c r="H626" s="1894">
        <v>0</v>
      </c>
      <c r="I626" s="1894">
        <v>0</v>
      </c>
      <c r="J626" s="1894">
        <v>0</v>
      </c>
      <c r="K626" s="1894">
        <v>0</v>
      </c>
      <c r="L626" s="1894">
        <v>0</v>
      </c>
      <c r="M626" s="1894">
        <v>0</v>
      </c>
      <c r="N626" s="1894">
        <f t="shared" si="241"/>
        <v>0</v>
      </c>
      <c r="O626" s="1894">
        <f t="shared" si="242"/>
        <v>0</v>
      </c>
      <c r="P626" s="1894">
        <v>0</v>
      </c>
      <c r="Q626" s="1894">
        <v>0</v>
      </c>
      <c r="R626" s="1894">
        <v>0</v>
      </c>
      <c r="S626" s="1894">
        <v>0</v>
      </c>
      <c r="T626" s="1894">
        <v>0</v>
      </c>
      <c r="U626" s="1894">
        <v>0</v>
      </c>
      <c r="V626" s="1894">
        <f t="shared" si="243"/>
        <v>0</v>
      </c>
      <c r="W626" s="1894">
        <f t="shared" si="244"/>
        <v>0</v>
      </c>
      <c r="X626" s="1894">
        <v>0</v>
      </c>
      <c r="Y626" s="1894">
        <v>0</v>
      </c>
      <c r="Z626" s="1894">
        <v>0</v>
      </c>
      <c r="AA626" s="1894">
        <v>0</v>
      </c>
      <c r="AB626" s="1894">
        <v>0</v>
      </c>
      <c r="AC626" s="1894">
        <v>0</v>
      </c>
      <c r="AD626" s="1894">
        <f t="shared" si="245"/>
        <v>0</v>
      </c>
      <c r="AE626" s="1894">
        <f t="shared" si="246"/>
        <v>0</v>
      </c>
      <c r="AF626" s="1894">
        <v>650</v>
      </c>
      <c r="AG626" s="1894">
        <v>636</v>
      </c>
      <c r="AH626" s="1894">
        <v>636</v>
      </c>
      <c r="AI626" s="1894">
        <v>0.91979999999999995</v>
      </c>
      <c r="AJ626" s="1894">
        <v>20.34</v>
      </c>
      <c r="AK626" s="1894">
        <v>83820</v>
      </c>
      <c r="AL626" s="1894">
        <f t="shared" si="239"/>
        <v>283910</v>
      </c>
      <c r="AM626" s="1894">
        <f t="shared" si="240"/>
        <v>0</v>
      </c>
      <c r="AN626" s="1894">
        <v>650</v>
      </c>
      <c r="AO626" s="1894">
        <v>678</v>
      </c>
      <c r="AP626" s="1894">
        <v>678</v>
      </c>
      <c r="AQ626" s="1894">
        <v>0.90680000000000005</v>
      </c>
      <c r="AR626" s="1894">
        <v>32.979999999999997</v>
      </c>
      <c r="AS626" s="1894">
        <v>134145</v>
      </c>
      <c r="AT626" s="1894">
        <f t="shared" si="247"/>
        <v>302659</v>
      </c>
      <c r="AU626" s="1894">
        <f t="shared" si="248"/>
        <v>0</v>
      </c>
      <c r="AV626" s="1894">
        <v>650</v>
      </c>
      <c r="AW626" s="1894">
        <v>703.2</v>
      </c>
      <c r="AX626" s="1894">
        <v>703.2</v>
      </c>
      <c r="AY626" s="1894">
        <v>0.96240000000000003</v>
      </c>
      <c r="AZ626" s="1894">
        <v>33.69</v>
      </c>
      <c r="BA626" s="1894">
        <v>204705</v>
      </c>
      <c r="BB626" s="1894">
        <f t="shared" si="249"/>
        <v>303782</v>
      </c>
      <c r="BC626" s="1894">
        <f t="shared" si="250"/>
        <v>0</v>
      </c>
      <c r="BD626" s="1894">
        <v>650</v>
      </c>
      <c r="BE626" s="1894">
        <v>720</v>
      </c>
      <c r="BF626" s="1894">
        <v>720</v>
      </c>
      <c r="BG626" s="1894">
        <v>0.98419999999999996</v>
      </c>
      <c r="BH626" s="1894">
        <v>18.84</v>
      </c>
      <c r="BI626" s="1894">
        <v>100935</v>
      </c>
      <c r="BJ626" s="1894">
        <f t="shared" si="251"/>
        <v>321408</v>
      </c>
      <c r="BK626" s="1894">
        <f t="shared" si="252"/>
        <v>0</v>
      </c>
      <c r="BL626" s="1894">
        <v>800</v>
      </c>
      <c r="BM626" s="1894">
        <v>948</v>
      </c>
      <c r="BN626" s="1894">
        <v>948</v>
      </c>
      <c r="BO626" s="1894">
        <v>0.97829999999999995</v>
      </c>
      <c r="BP626" s="1894">
        <v>24.48</v>
      </c>
      <c r="BQ626" s="1894">
        <v>167100</v>
      </c>
      <c r="BR626" s="1894">
        <f t="shared" si="253"/>
        <v>409536</v>
      </c>
      <c r="BS626" s="1894">
        <f t="shared" si="254"/>
        <v>0</v>
      </c>
      <c r="BT626" s="1894">
        <v>800</v>
      </c>
      <c r="BU626" s="1894">
        <v>808.80000000000007</v>
      </c>
      <c r="BV626" s="1894">
        <v>808.8</v>
      </c>
      <c r="BW626" s="1894">
        <v>0.98299999999999998</v>
      </c>
      <c r="BX626" s="1894">
        <v>51.5</v>
      </c>
      <c r="BY626" s="1894">
        <v>309915</v>
      </c>
      <c r="BZ626" s="1894">
        <f t="shared" si="255"/>
        <v>361048</v>
      </c>
      <c r="CA626" s="1894">
        <f t="shared" si="256"/>
        <v>0</v>
      </c>
      <c r="CB626" s="1894">
        <v>800</v>
      </c>
      <c r="CC626" s="1894">
        <v>801.6</v>
      </c>
      <c r="CD626" s="1894">
        <v>801.6</v>
      </c>
      <c r="CE626" s="1894">
        <v>0.97889999999999999</v>
      </c>
      <c r="CF626" s="1894">
        <v>45.01</v>
      </c>
      <c r="CG626" s="1894">
        <v>268410</v>
      </c>
      <c r="CH626" s="1894">
        <f t="shared" si="257"/>
        <v>357834</v>
      </c>
      <c r="CI626" s="1894">
        <f t="shared" si="258"/>
        <v>0</v>
      </c>
      <c r="CJ626" s="1894">
        <v>800</v>
      </c>
      <c r="CK626" s="1894">
        <v>776.4</v>
      </c>
      <c r="CL626" s="1894">
        <v>776.4</v>
      </c>
      <c r="CM626" s="1894">
        <v>0.99239999999999995</v>
      </c>
      <c r="CN626" s="1894">
        <v>41.37</v>
      </c>
      <c r="CO626" s="1894">
        <v>215865</v>
      </c>
      <c r="CP626" s="1894">
        <f t="shared" si="259"/>
        <v>313044</v>
      </c>
      <c r="CQ626" s="1894">
        <f t="shared" si="260"/>
        <v>0</v>
      </c>
      <c r="CR626" s="1924">
        <v>800</v>
      </c>
      <c r="CS626" s="1924">
        <v>800.4</v>
      </c>
      <c r="CT626" s="1924">
        <v>800.4</v>
      </c>
      <c r="CU626" s="1924">
        <v>0.99050000000000005</v>
      </c>
      <c r="CV626" s="1924">
        <v>42.72</v>
      </c>
      <c r="CW626" s="1924">
        <v>254385</v>
      </c>
      <c r="CX626" s="1894">
        <f t="shared" si="261"/>
        <v>357299</v>
      </c>
      <c r="CY626" s="1894">
        <f t="shared" si="262"/>
        <v>0</v>
      </c>
    </row>
    <row r="627" spans="1:103">
      <c r="A627" s="982">
        <v>123000000093</v>
      </c>
      <c r="B627" s="1923">
        <f t="shared" si="263"/>
        <v>621</v>
      </c>
      <c r="C627" s="1895" t="s">
        <v>3492</v>
      </c>
      <c r="D627" s="1894" t="s">
        <v>524</v>
      </c>
      <c r="E627" s="1895" t="s">
        <v>541</v>
      </c>
      <c r="F627" s="1894" t="s">
        <v>259</v>
      </c>
      <c r="G627" s="1924">
        <v>800</v>
      </c>
      <c r="H627" s="1894">
        <v>800</v>
      </c>
      <c r="I627" s="1894">
        <v>589.79999999999995</v>
      </c>
      <c r="J627" s="1894">
        <v>640</v>
      </c>
      <c r="K627" s="1894">
        <v>0.99580000000000002</v>
      </c>
      <c r="L627" s="1894">
        <v>75.349999999999994</v>
      </c>
      <c r="M627" s="1894">
        <v>319987</v>
      </c>
      <c r="N627" s="1894">
        <f t="shared" si="241"/>
        <v>254794</v>
      </c>
      <c r="O627" s="1894">
        <f t="shared" si="242"/>
        <v>65193</v>
      </c>
      <c r="P627" s="1894">
        <v>800</v>
      </c>
      <c r="Q627" s="1894">
        <v>567</v>
      </c>
      <c r="R627" s="1894">
        <v>640</v>
      </c>
      <c r="S627" s="1894">
        <v>0.99680000000000002</v>
      </c>
      <c r="T627" s="1894">
        <v>79.78</v>
      </c>
      <c r="U627" s="1894">
        <v>336570</v>
      </c>
      <c r="V627" s="1894">
        <f t="shared" si="243"/>
        <v>253109</v>
      </c>
      <c r="W627" s="1894">
        <f t="shared" si="244"/>
        <v>83461</v>
      </c>
      <c r="X627" s="1894">
        <v>800</v>
      </c>
      <c r="Y627" s="1894">
        <v>571.20000000000005</v>
      </c>
      <c r="Z627" s="1894">
        <v>640</v>
      </c>
      <c r="AA627" s="1894">
        <v>0.99619999999999997</v>
      </c>
      <c r="AB627" s="1894">
        <v>74.67</v>
      </c>
      <c r="AC627" s="1894">
        <v>307087</v>
      </c>
      <c r="AD627" s="1894">
        <f t="shared" si="245"/>
        <v>246758</v>
      </c>
      <c r="AE627" s="1894">
        <f t="shared" si="246"/>
        <v>60329</v>
      </c>
      <c r="AF627" s="1894">
        <v>800</v>
      </c>
      <c r="AG627" s="1894">
        <v>588</v>
      </c>
      <c r="AH627" s="1894">
        <v>640</v>
      </c>
      <c r="AI627" s="1894">
        <v>0.99450000000000005</v>
      </c>
      <c r="AJ627" s="1894">
        <v>70.38</v>
      </c>
      <c r="AK627" s="1894">
        <v>307905</v>
      </c>
      <c r="AL627" s="1894">
        <f t="shared" si="239"/>
        <v>262483</v>
      </c>
      <c r="AM627" s="1894">
        <f t="shared" si="240"/>
        <v>45422</v>
      </c>
      <c r="AN627" s="1894">
        <v>800</v>
      </c>
      <c r="AO627" s="1894">
        <v>679.8</v>
      </c>
      <c r="AP627" s="1894">
        <v>679.8</v>
      </c>
      <c r="AQ627" s="1894">
        <v>0.99590000000000001</v>
      </c>
      <c r="AR627" s="1894">
        <v>61.76</v>
      </c>
      <c r="AS627" s="1894">
        <v>312383</v>
      </c>
      <c r="AT627" s="1894">
        <f t="shared" si="247"/>
        <v>303463</v>
      </c>
      <c r="AU627" s="1894">
        <f t="shared" si="248"/>
        <v>8920</v>
      </c>
      <c r="AV627" s="1894">
        <v>800</v>
      </c>
      <c r="AW627" s="1894">
        <v>562.20000000000005</v>
      </c>
      <c r="AX627" s="1894">
        <v>640</v>
      </c>
      <c r="AY627" s="1894">
        <v>0.99739999999999995</v>
      </c>
      <c r="AZ627" s="1894">
        <v>80.28</v>
      </c>
      <c r="BA627" s="1894">
        <v>324975</v>
      </c>
      <c r="BB627" s="1894">
        <f t="shared" si="249"/>
        <v>242870</v>
      </c>
      <c r="BC627" s="1894">
        <f t="shared" si="250"/>
        <v>82105</v>
      </c>
      <c r="BD627" s="1894">
        <v>800</v>
      </c>
      <c r="BE627" s="1894">
        <v>654.6</v>
      </c>
      <c r="BF627" s="1894">
        <v>654.6</v>
      </c>
      <c r="BG627" s="1894">
        <v>0.99590000000000001</v>
      </c>
      <c r="BH627" s="1894">
        <v>72.31</v>
      </c>
      <c r="BI627" s="1894">
        <v>352163</v>
      </c>
      <c r="BJ627" s="1894">
        <f t="shared" si="251"/>
        <v>292213</v>
      </c>
      <c r="BK627" s="1894">
        <f t="shared" si="252"/>
        <v>59950</v>
      </c>
      <c r="BL627" s="1894">
        <v>800</v>
      </c>
      <c r="BM627" s="1894">
        <v>688.19999999999993</v>
      </c>
      <c r="BN627" s="1894">
        <v>688.2</v>
      </c>
      <c r="BO627" s="1894">
        <v>0.99560000000000004</v>
      </c>
      <c r="BP627" s="1894">
        <v>68.48</v>
      </c>
      <c r="BQ627" s="1894">
        <v>339337</v>
      </c>
      <c r="BR627" s="1894">
        <f t="shared" si="253"/>
        <v>297302</v>
      </c>
      <c r="BS627" s="1894">
        <f t="shared" si="254"/>
        <v>42035</v>
      </c>
      <c r="BT627" s="1894">
        <v>800</v>
      </c>
      <c r="BU627" s="1894">
        <v>679.19999999999993</v>
      </c>
      <c r="BV627" s="1894">
        <v>679.2</v>
      </c>
      <c r="BW627" s="1894">
        <v>0.99490000000000001</v>
      </c>
      <c r="BX627" s="1894">
        <v>65.900000000000006</v>
      </c>
      <c r="BY627" s="1894">
        <v>332992</v>
      </c>
      <c r="BZ627" s="1894">
        <f t="shared" si="255"/>
        <v>303195</v>
      </c>
      <c r="CA627" s="1894">
        <f t="shared" si="256"/>
        <v>29797</v>
      </c>
      <c r="CB627" s="1894">
        <v>800</v>
      </c>
      <c r="CC627" s="1894">
        <v>766.2</v>
      </c>
      <c r="CD627" s="1894">
        <v>766.2</v>
      </c>
      <c r="CE627" s="1894">
        <v>0.99</v>
      </c>
      <c r="CF627" s="1894">
        <v>57.73</v>
      </c>
      <c r="CG627" s="1894">
        <v>329108</v>
      </c>
      <c r="CH627" s="1894">
        <f t="shared" si="257"/>
        <v>342032</v>
      </c>
      <c r="CI627" s="1894">
        <f t="shared" si="258"/>
        <v>0</v>
      </c>
      <c r="CJ627" s="1894">
        <v>800</v>
      </c>
      <c r="CK627" s="1894">
        <v>670.19999999999993</v>
      </c>
      <c r="CL627" s="1894">
        <v>670.2</v>
      </c>
      <c r="CM627" s="1894">
        <v>0.99729999999999996</v>
      </c>
      <c r="CN627" s="1894">
        <v>78.62</v>
      </c>
      <c r="CO627" s="1894">
        <v>354083</v>
      </c>
      <c r="CP627" s="1894">
        <f t="shared" si="259"/>
        <v>270225</v>
      </c>
      <c r="CQ627" s="1894">
        <f t="shared" si="260"/>
        <v>83858</v>
      </c>
      <c r="CR627" s="1924">
        <v>800</v>
      </c>
      <c r="CS627" s="1924">
        <v>630.6</v>
      </c>
      <c r="CT627" s="1924">
        <v>640</v>
      </c>
      <c r="CU627" s="1924">
        <v>0.995</v>
      </c>
      <c r="CV627" s="1924">
        <v>76.34</v>
      </c>
      <c r="CW627" s="1924">
        <v>358162</v>
      </c>
      <c r="CX627" s="1894">
        <f t="shared" si="261"/>
        <v>281500</v>
      </c>
      <c r="CY627" s="1894">
        <f t="shared" si="262"/>
        <v>76662</v>
      </c>
    </row>
    <row r="628" spans="1:103">
      <c r="A628" s="982">
        <v>621000000021</v>
      </c>
      <c r="B628" s="1923">
        <f t="shared" si="263"/>
        <v>622</v>
      </c>
      <c r="C628" s="1895" t="s">
        <v>3493</v>
      </c>
      <c r="D628" s="1894" t="s">
        <v>524</v>
      </c>
      <c r="E628" s="1895" t="s">
        <v>541</v>
      </c>
      <c r="F628" s="1894" t="s">
        <v>259</v>
      </c>
      <c r="G628" s="1924">
        <v>800</v>
      </c>
      <c r="H628" s="1894">
        <v>800</v>
      </c>
      <c r="I628" s="1894">
        <v>776.16000000000008</v>
      </c>
      <c r="J628" s="1894">
        <v>776.16</v>
      </c>
      <c r="K628" s="1894">
        <v>0.98980000000000001</v>
      </c>
      <c r="L628" s="1894">
        <v>52.83</v>
      </c>
      <c r="M628" s="1894">
        <v>295209</v>
      </c>
      <c r="N628" s="1894">
        <f t="shared" si="241"/>
        <v>335301</v>
      </c>
      <c r="O628" s="1894">
        <f t="shared" si="242"/>
        <v>0</v>
      </c>
      <c r="P628" s="1894">
        <v>800</v>
      </c>
      <c r="Q628" s="1894">
        <v>722.16</v>
      </c>
      <c r="R628" s="1894">
        <v>722.16</v>
      </c>
      <c r="S628" s="1894">
        <v>0.9929</v>
      </c>
      <c r="T628" s="1894">
        <v>42.83</v>
      </c>
      <c r="U628" s="1894">
        <v>230121</v>
      </c>
      <c r="V628" s="1894">
        <f t="shared" si="243"/>
        <v>322372</v>
      </c>
      <c r="W628" s="1894">
        <f t="shared" si="244"/>
        <v>0</v>
      </c>
      <c r="X628" s="1894">
        <v>800</v>
      </c>
      <c r="Y628" s="1894">
        <v>810</v>
      </c>
      <c r="Z628" s="1894">
        <v>810</v>
      </c>
      <c r="AA628" s="1894">
        <v>0.99480000000000002</v>
      </c>
      <c r="AB628" s="1894">
        <v>59.71</v>
      </c>
      <c r="AC628" s="1894">
        <v>348237</v>
      </c>
      <c r="AD628" s="1894">
        <f t="shared" si="245"/>
        <v>349920</v>
      </c>
      <c r="AE628" s="1894">
        <f t="shared" si="246"/>
        <v>0</v>
      </c>
      <c r="AF628" s="1894">
        <v>800</v>
      </c>
      <c r="AG628" s="1894">
        <v>784.8</v>
      </c>
      <c r="AH628" s="1894">
        <v>784.8</v>
      </c>
      <c r="AI628" s="1894">
        <v>0.99570000000000003</v>
      </c>
      <c r="AJ628" s="1894">
        <v>52.34</v>
      </c>
      <c r="AK628" s="1894">
        <v>305586</v>
      </c>
      <c r="AL628" s="1894">
        <f t="shared" si="239"/>
        <v>350335</v>
      </c>
      <c r="AM628" s="1894">
        <f t="shared" si="240"/>
        <v>0</v>
      </c>
      <c r="AN628" s="1894">
        <v>800</v>
      </c>
      <c r="AO628" s="1894">
        <v>763.19999999999993</v>
      </c>
      <c r="AP628" s="1894">
        <v>763.2</v>
      </c>
      <c r="AQ628" s="1894">
        <v>0.99370000000000003</v>
      </c>
      <c r="AR628" s="1894">
        <v>62.69</v>
      </c>
      <c r="AS628" s="1894">
        <v>355986</v>
      </c>
      <c r="AT628" s="1894">
        <f t="shared" si="247"/>
        <v>340692</v>
      </c>
      <c r="AU628" s="1894">
        <f t="shared" si="248"/>
        <v>15294</v>
      </c>
      <c r="AV628" s="1894">
        <v>800</v>
      </c>
      <c r="AW628" s="1894">
        <v>789.84</v>
      </c>
      <c r="AX628" s="1894">
        <v>789.84</v>
      </c>
      <c r="AY628" s="1894">
        <v>0.995</v>
      </c>
      <c r="AZ628" s="1894">
        <v>60.06</v>
      </c>
      <c r="BA628" s="1894">
        <v>341568</v>
      </c>
      <c r="BB628" s="1894">
        <f t="shared" si="249"/>
        <v>341211</v>
      </c>
      <c r="BC628" s="1894">
        <f t="shared" si="250"/>
        <v>357</v>
      </c>
      <c r="BD628" s="1894">
        <v>800</v>
      </c>
      <c r="BE628" s="1894">
        <v>751.68000000000006</v>
      </c>
      <c r="BF628" s="1894">
        <v>751.68</v>
      </c>
      <c r="BG628" s="1894">
        <v>0.99509999999999998</v>
      </c>
      <c r="BH628" s="1894">
        <v>68.39</v>
      </c>
      <c r="BI628" s="1894">
        <v>382491</v>
      </c>
      <c r="BJ628" s="1894">
        <f t="shared" si="251"/>
        <v>335550</v>
      </c>
      <c r="BK628" s="1894">
        <f t="shared" si="252"/>
        <v>46941</v>
      </c>
      <c r="BL628" s="1894">
        <v>800</v>
      </c>
      <c r="BM628" s="1894">
        <v>746.64</v>
      </c>
      <c r="BN628" s="1894">
        <v>746.64</v>
      </c>
      <c r="BO628" s="1894">
        <v>0.97740000000000005</v>
      </c>
      <c r="BP628" s="1894">
        <v>66.31</v>
      </c>
      <c r="BQ628" s="1894">
        <v>356454</v>
      </c>
      <c r="BR628" s="1894">
        <f t="shared" si="253"/>
        <v>322548</v>
      </c>
      <c r="BS628" s="1894">
        <f t="shared" si="254"/>
        <v>33906</v>
      </c>
      <c r="BT628" s="1894">
        <v>800</v>
      </c>
      <c r="BU628" s="1894">
        <v>756.72</v>
      </c>
      <c r="BV628" s="1894">
        <v>756.72</v>
      </c>
      <c r="BW628" s="1894">
        <v>0.99199999999999999</v>
      </c>
      <c r="BX628" s="1894">
        <v>60.08</v>
      </c>
      <c r="BY628" s="1894">
        <v>338265</v>
      </c>
      <c r="BZ628" s="1894">
        <f t="shared" si="255"/>
        <v>337800</v>
      </c>
      <c r="CA628" s="1894">
        <f t="shared" si="256"/>
        <v>465</v>
      </c>
      <c r="CB628" s="1894">
        <v>800</v>
      </c>
      <c r="CC628" s="1894">
        <v>741.59999999999991</v>
      </c>
      <c r="CD628" s="1894">
        <v>741.6</v>
      </c>
      <c r="CE628" s="1894">
        <v>0.99080000000000001</v>
      </c>
      <c r="CF628" s="1894">
        <v>64.5</v>
      </c>
      <c r="CG628" s="1894">
        <v>355869</v>
      </c>
      <c r="CH628" s="1894">
        <f t="shared" si="257"/>
        <v>331050</v>
      </c>
      <c r="CI628" s="1894">
        <f t="shared" si="258"/>
        <v>24819</v>
      </c>
      <c r="CJ628" s="1894">
        <v>800</v>
      </c>
      <c r="CK628" s="1894">
        <v>796.32</v>
      </c>
      <c r="CL628" s="1894">
        <v>796.32</v>
      </c>
      <c r="CM628" s="1894">
        <v>0.98619999999999997</v>
      </c>
      <c r="CN628" s="1894">
        <v>62.49</v>
      </c>
      <c r="CO628" s="1894">
        <v>334413</v>
      </c>
      <c r="CP628" s="1894">
        <f t="shared" si="259"/>
        <v>321076</v>
      </c>
      <c r="CQ628" s="1894">
        <f t="shared" si="260"/>
        <v>13337</v>
      </c>
      <c r="CR628" s="1924">
        <v>800</v>
      </c>
      <c r="CS628" s="1924">
        <v>696.96</v>
      </c>
      <c r="CT628" s="1924">
        <v>696.96</v>
      </c>
      <c r="CU628" s="1924">
        <v>0.99550000000000005</v>
      </c>
      <c r="CV628" s="1924">
        <v>68.400000000000006</v>
      </c>
      <c r="CW628" s="1924">
        <v>354699</v>
      </c>
      <c r="CX628" s="1894">
        <f t="shared" si="261"/>
        <v>311123</v>
      </c>
      <c r="CY628" s="1894">
        <f t="shared" si="262"/>
        <v>43576</v>
      </c>
    </row>
    <row r="629" spans="1:103">
      <c r="A629" s="982">
        <v>622000000144</v>
      </c>
      <c r="B629" s="1923">
        <f t="shared" si="263"/>
        <v>623</v>
      </c>
      <c r="C629" s="1895" t="s">
        <v>3494</v>
      </c>
      <c r="D629" s="1894" t="s">
        <v>524</v>
      </c>
      <c r="E629" s="1895" t="s">
        <v>541</v>
      </c>
      <c r="F629" s="1894" t="s">
        <v>259</v>
      </c>
      <c r="G629" s="1924">
        <v>800</v>
      </c>
      <c r="H629" s="1894">
        <v>800</v>
      </c>
      <c r="I629" s="1894">
        <v>280</v>
      </c>
      <c r="J629" s="1894">
        <v>640</v>
      </c>
      <c r="K629" s="1894">
        <v>0.9577</v>
      </c>
      <c r="L629" s="1894">
        <v>35.82</v>
      </c>
      <c r="M629" s="1894">
        <v>79440</v>
      </c>
      <c r="N629" s="1894">
        <f t="shared" si="241"/>
        <v>120960</v>
      </c>
      <c r="O629" s="1894">
        <f t="shared" si="242"/>
        <v>0</v>
      </c>
      <c r="P629" s="1894">
        <v>800</v>
      </c>
      <c r="Q629" s="1894">
        <v>264</v>
      </c>
      <c r="R629" s="1894">
        <v>640</v>
      </c>
      <c r="S629" s="1894">
        <v>0.95189999999999997</v>
      </c>
      <c r="T629" s="1894">
        <v>27.55</v>
      </c>
      <c r="U629" s="1894">
        <v>54120</v>
      </c>
      <c r="V629" s="1894">
        <f t="shared" si="243"/>
        <v>117850</v>
      </c>
      <c r="W629" s="1894">
        <f t="shared" si="244"/>
        <v>0</v>
      </c>
      <c r="X629" s="1894">
        <v>800</v>
      </c>
      <c r="Y629" s="1894">
        <v>264</v>
      </c>
      <c r="Z629" s="1894">
        <v>640</v>
      </c>
      <c r="AA629" s="1894">
        <v>0.95220000000000005</v>
      </c>
      <c r="AB629" s="1894">
        <v>28.66</v>
      </c>
      <c r="AC629" s="1894">
        <v>54480</v>
      </c>
      <c r="AD629" s="1894">
        <f t="shared" si="245"/>
        <v>114048</v>
      </c>
      <c r="AE629" s="1894">
        <f t="shared" si="246"/>
        <v>0</v>
      </c>
      <c r="AF629" s="1894">
        <v>800</v>
      </c>
      <c r="AG629" s="1894">
        <v>240</v>
      </c>
      <c r="AH629" s="1894">
        <v>640</v>
      </c>
      <c r="AI629" s="1894">
        <v>0.94420000000000004</v>
      </c>
      <c r="AJ629" s="1894">
        <v>26.42</v>
      </c>
      <c r="AK629" s="1894">
        <v>38040</v>
      </c>
      <c r="AL629" s="1894">
        <f t="shared" si="239"/>
        <v>107136</v>
      </c>
      <c r="AM629" s="1894">
        <f t="shared" si="240"/>
        <v>0</v>
      </c>
      <c r="AN629" s="1894">
        <v>800</v>
      </c>
      <c r="AO629" s="1894">
        <v>240</v>
      </c>
      <c r="AP629" s="1894">
        <v>640</v>
      </c>
      <c r="AQ629" s="1894">
        <v>0.94789999999999996</v>
      </c>
      <c r="AR629" s="1894">
        <v>29.74</v>
      </c>
      <c r="AS629" s="1894">
        <v>59960</v>
      </c>
      <c r="AT629" s="1894">
        <f t="shared" si="247"/>
        <v>107136</v>
      </c>
      <c r="AU629" s="1894">
        <f t="shared" si="248"/>
        <v>0</v>
      </c>
      <c r="AV629" s="1894">
        <v>800</v>
      </c>
      <c r="AW629" s="1894">
        <v>248</v>
      </c>
      <c r="AX629" s="1894">
        <v>640</v>
      </c>
      <c r="AY629" s="1894">
        <v>0.95679999999999998</v>
      </c>
      <c r="AZ629" s="1894">
        <v>31.15</v>
      </c>
      <c r="BA629" s="1894">
        <v>48200</v>
      </c>
      <c r="BB629" s="1894">
        <f t="shared" si="249"/>
        <v>107136</v>
      </c>
      <c r="BC629" s="1894">
        <f t="shared" si="250"/>
        <v>0</v>
      </c>
      <c r="BD629" s="1894">
        <v>800</v>
      </c>
      <c r="BE629" s="1894">
        <v>240</v>
      </c>
      <c r="BF629" s="1894">
        <v>640</v>
      </c>
      <c r="BG629" s="1894">
        <v>0.95199999999999996</v>
      </c>
      <c r="BH629" s="1894">
        <v>31.17</v>
      </c>
      <c r="BI629" s="1894">
        <v>59240</v>
      </c>
      <c r="BJ629" s="1894">
        <f t="shared" si="251"/>
        <v>107136</v>
      </c>
      <c r="BK629" s="1894">
        <f t="shared" si="252"/>
        <v>0</v>
      </c>
      <c r="BL629" s="1894">
        <v>800</v>
      </c>
      <c r="BM629" s="1894">
        <v>272</v>
      </c>
      <c r="BN629" s="1894">
        <v>640</v>
      </c>
      <c r="BO629" s="1894">
        <v>0.96120000000000005</v>
      </c>
      <c r="BP629" s="1894">
        <v>34.99</v>
      </c>
      <c r="BQ629" s="1894">
        <v>63960</v>
      </c>
      <c r="BR629" s="1894">
        <f t="shared" si="253"/>
        <v>117504</v>
      </c>
      <c r="BS629" s="1894">
        <f t="shared" si="254"/>
        <v>0</v>
      </c>
      <c r="BT629" s="1894">
        <v>800</v>
      </c>
      <c r="BU629" s="1894">
        <v>470.4</v>
      </c>
      <c r="BV629" s="1894">
        <v>640</v>
      </c>
      <c r="BW629" s="1894">
        <v>0.91659999999999997</v>
      </c>
      <c r="BX629" s="1894">
        <v>25.13</v>
      </c>
      <c r="BY629" s="1894">
        <v>82280</v>
      </c>
      <c r="BZ629" s="1894">
        <f t="shared" si="255"/>
        <v>209987</v>
      </c>
      <c r="CA629" s="1894">
        <f t="shared" si="256"/>
        <v>0</v>
      </c>
      <c r="CB629" s="1894">
        <v>800</v>
      </c>
      <c r="CC629" s="1894">
        <v>336</v>
      </c>
      <c r="CD629" s="1894">
        <v>640</v>
      </c>
      <c r="CE629" s="1894">
        <v>0.89659999999999995</v>
      </c>
      <c r="CF629" s="1894">
        <v>42.93</v>
      </c>
      <c r="CG629" s="1894">
        <v>117700</v>
      </c>
      <c r="CH629" s="1894">
        <f t="shared" si="257"/>
        <v>149990</v>
      </c>
      <c r="CI629" s="1894">
        <f t="shared" si="258"/>
        <v>0</v>
      </c>
      <c r="CJ629" s="1894">
        <v>800</v>
      </c>
      <c r="CK629" s="1894">
        <v>344</v>
      </c>
      <c r="CL629" s="1894">
        <v>640</v>
      </c>
      <c r="CM629" s="1894">
        <v>0.8831</v>
      </c>
      <c r="CN629" s="1894">
        <v>48.53</v>
      </c>
      <c r="CO629" s="1894">
        <v>116200</v>
      </c>
      <c r="CP629" s="1894">
        <f t="shared" si="259"/>
        <v>138701</v>
      </c>
      <c r="CQ629" s="1894">
        <f t="shared" si="260"/>
        <v>0</v>
      </c>
      <c r="CR629" s="1924">
        <v>800</v>
      </c>
      <c r="CS629" s="1924">
        <v>350.4</v>
      </c>
      <c r="CT629" s="1924">
        <v>640</v>
      </c>
      <c r="CU629" s="1924">
        <v>0.88019999999999998</v>
      </c>
      <c r="CV629" s="1924">
        <v>45.89</v>
      </c>
      <c r="CW629" s="1924">
        <v>104200</v>
      </c>
      <c r="CX629" s="1894">
        <f t="shared" si="261"/>
        <v>156419</v>
      </c>
      <c r="CY629" s="1894">
        <f t="shared" si="262"/>
        <v>0</v>
      </c>
    </row>
    <row r="630" spans="1:103">
      <c r="A630" s="982">
        <v>122000000006</v>
      </c>
      <c r="B630" s="1923">
        <f t="shared" si="263"/>
        <v>624</v>
      </c>
      <c r="C630" s="1895" t="s">
        <v>3495</v>
      </c>
      <c r="D630" s="1894" t="s">
        <v>524</v>
      </c>
      <c r="E630" s="1895" t="s">
        <v>629</v>
      </c>
      <c r="F630" s="1894" t="s">
        <v>259</v>
      </c>
      <c r="G630" s="1924">
        <v>810</v>
      </c>
      <c r="H630" s="1894">
        <v>810</v>
      </c>
      <c r="I630" s="1894">
        <v>348</v>
      </c>
      <c r="J630" s="1894">
        <v>810</v>
      </c>
      <c r="K630" s="1894">
        <v>0.98080000000000001</v>
      </c>
      <c r="L630" s="1894">
        <v>0</v>
      </c>
      <c r="M630" s="1894">
        <v>130525</v>
      </c>
      <c r="N630" s="1894">
        <f t="shared" si="241"/>
        <v>150336</v>
      </c>
      <c r="O630" s="1894">
        <f t="shared" si="242"/>
        <v>0</v>
      </c>
      <c r="P630" s="1894">
        <v>810</v>
      </c>
      <c r="Q630" s="1894">
        <v>358</v>
      </c>
      <c r="R630" s="1894">
        <v>810</v>
      </c>
      <c r="S630" s="1894">
        <v>0.98250000000000004</v>
      </c>
      <c r="T630" s="1894">
        <v>0</v>
      </c>
      <c r="U630" s="1894">
        <v>128310</v>
      </c>
      <c r="V630" s="1894">
        <f t="shared" si="243"/>
        <v>159811</v>
      </c>
      <c r="W630" s="1894">
        <f t="shared" si="244"/>
        <v>0</v>
      </c>
      <c r="X630" s="1894">
        <v>810</v>
      </c>
      <c r="Y630" s="1894">
        <v>360</v>
      </c>
      <c r="Z630" s="1894">
        <v>810</v>
      </c>
      <c r="AA630" s="1894">
        <v>0.98060000000000003</v>
      </c>
      <c r="AB630" s="1894">
        <v>0</v>
      </c>
      <c r="AC630" s="1894">
        <v>158175</v>
      </c>
      <c r="AD630" s="1894">
        <f t="shared" si="245"/>
        <v>155520</v>
      </c>
      <c r="AE630" s="1894">
        <f t="shared" si="246"/>
        <v>2655</v>
      </c>
      <c r="AF630" s="1894">
        <v>810</v>
      </c>
      <c r="AG630" s="1894">
        <v>282</v>
      </c>
      <c r="AH630" s="1894">
        <v>810</v>
      </c>
      <c r="AI630" s="1894">
        <v>0.97699999999999998</v>
      </c>
      <c r="AJ630" s="1894">
        <v>0</v>
      </c>
      <c r="AK630" s="1894">
        <v>111645</v>
      </c>
      <c r="AL630" s="1894">
        <f t="shared" si="239"/>
        <v>125885</v>
      </c>
      <c r="AM630" s="1894">
        <f t="shared" si="240"/>
        <v>0</v>
      </c>
      <c r="AN630" s="1894">
        <v>810</v>
      </c>
      <c r="AO630" s="1894">
        <v>325.2</v>
      </c>
      <c r="AP630" s="1894">
        <v>810</v>
      </c>
      <c r="AQ630" s="1894">
        <v>0.97640000000000005</v>
      </c>
      <c r="AR630" s="1894">
        <v>0</v>
      </c>
      <c r="AS630" s="1894">
        <v>120090</v>
      </c>
      <c r="AT630" s="1894">
        <f t="shared" si="247"/>
        <v>145169</v>
      </c>
      <c r="AU630" s="1894">
        <f t="shared" si="248"/>
        <v>0</v>
      </c>
      <c r="AV630" s="1894">
        <v>810</v>
      </c>
      <c r="AW630" s="1894">
        <v>333.6</v>
      </c>
      <c r="AX630" s="1894">
        <v>810</v>
      </c>
      <c r="AY630" s="1894">
        <v>0.97789999999999999</v>
      </c>
      <c r="AZ630" s="1894">
        <v>0</v>
      </c>
      <c r="BA630" s="1894">
        <v>104980</v>
      </c>
      <c r="BB630" s="1894">
        <f t="shared" si="249"/>
        <v>144115</v>
      </c>
      <c r="BC630" s="1894">
        <f t="shared" si="250"/>
        <v>0</v>
      </c>
      <c r="BD630" s="1894">
        <v>810</v>
      </c>
      <c r="BE630" s="1894">
        <v>247.6</v>
      </c>
      <c r="BF630" s="1894">
        <v>810</v>
      </c>
      <c r="BG630" s="1894">
        <v>0.96799999999999997</v>
      </c>
      <c r="BH630" s="1894">
        <v>0</v>
      </c>
      <c r="BI630" s="1894">
        <v>106655</v>
      </c>
      <c r="BJ630" s="1894">
        <f t="shared" si="251"/>
        <v>110529</v>
      </c>
      <c r="BK630" s="1894">
        <f t="shared" si="252"/>
        <v>0</v>
      </c>
      <c r="BL630" s="1894">
        <v>810</v>
      </c>
      <c r="BM630" s="1894">
        <v>216</v>
      </c>
      <c r="BN630" s="1894">
        <v>810</v>
      </c>
      <c r="BO630" s="1894">
        <v>0.95289999999999997</v>
      </c>
      <c r="BP630" s="1894">
        <v>0</v>
      </c>
      <c r="BQ630" s="1894">
        <v>74870</v>
      </c>
      <c r="BR630" s="1894">
        <f t="shared" si="253"/>
        <v>93312</v>
      </c>
      <c r="BS630" s="1894">
        <f t="shared" si="254"/>
        <v>0</v>
      </c>
      <c r="BT630" s="1894">
        <v>810</v>
      </c>
      <c r="BU630" s="1894">
        <v>239.6</v>
      </c>
      <c r="BV630" s="1894">
        <v>810</v>
      </c>
      <c r="BW630" s="1894">
        <v>0.95020000000000004</v>
      </c>
      <c r="BX630" s="1894">
        <v>0</v>
      </c>
      <c r="BY630" s="1894">
        <v>75390</v>
      </c>
      <c r="BZ630" s="1894">
        <f t="shared" si="255"/>
        <v>106957</v>
      </c>
      <c r="CA630" s="1894">
        <f t="shared" si="256"/>
        <v>0</v>
      </c>
      <c r="CB630" s="1894">
        <v>810</v>
      </c>
      <c r="CC630" s="1894">
        <v>227.6</v>
      </c>
      <c r="CD630" s="1894">
        <v>810</v>
      </c>
      <c r="CE630" s="1894">
        <v>0.95550000000000002</v>
      </c>
      <c r="CF630" s="1894">
        <v>0</v>
      </c>
      <c r="CG630" s="1894">
        <v>73305</v>
      </c>
      <c r="CH630" s="1894">
        <f t="shared" si="257"/>
        <v>101601</v>
      </c>
      <c r="CI630" s="1894">
        <f t="shared" si="258"/>
        <v>0</v>
      </c>
      <c r="CJ630" s="1894">
        <v>810</v>
      </c>
      <c r="CK630" s="1894">
        <v>220.79999999999998</v>
      </c>
      <c r="CL630" s="1894">
        <v>810</v>
      </c>
      <c r="CM630" s="1894">
        <v>0.96160000000000001</v>
      </c>
      <c r="CN630" s="1894">
        <v>0</v>
      </c>
      <c r="CO630" s="1894">
        <v>68495</v>
      </c>
      <c r="CP630" s="1894">
        <f t="shared" si="259"/>
        <v>89027</v>
      </c>
      <c r="CQ630" s="1894">
        <f t="shared" si="260"/>
        <v>0</v>
      </c>
      <c r="CR630" s="1924">
        <v>810</v>
      </c>
      <c r="CS630" s="1924">
        <v>198.8</v>
      </c>
      <c r="CT630" s="1924">
        <v>810</v>
      </c>
      <c r="CU630" s="1924">
        <v>0.97009999999999996</v>
      </c>
      <c r="CV630" s="1924">
        <v>0</v>
      </c>
      <c r="CW630" s="1924">
        <v>80170</v>
      </c>
      <c r="CX630" s="1894">
        <f t="shared" si="261"/>
        <v>88744</v>
      </c>
      <c r="CY630" s="1894">
        <f t="shared" si="262"/>
        <v>0</v>
      </c>
    </row>
    <row r="631" spans="1:103">
      <c r="A631" s="982">
        <v>123000000088</v>
      </c>
      <c r="B631" s="1923">
        <f t="shared" si="263"/>
        <v>625</v>
      </c>
      <c r="C631" s="1895" t="s">
        <v>3496</v>
      </c>
      <c r="D631" s="1894" t="s">
        <v>524</v>
      </c>
      <c r="E631" s="1895" t="s">
        <v>623</v>
      </c>
      <c r="F631" s="1894" t="s">
        <v>259</v>
      </c>
      <c r="G631" s="1924">
        <v>825</v>
      </c>
      <c r="H631" s="1894">
        <v>825</v>
      </c>
      <c r="I631" s="1894">
        <v>682.8</v>
      </c>
      <c r="J631" s="1894">
        <v>825</v>
      </c>
      <c r="K631" s="1894">
        <v>0.98629999999999995</v>
      </c>
      <c r="L631" s="1894">
        <v>0</v>
      </c>
      <c r="M631" s="1894">
        <v>93590</v>
      </c>
      <c r="N631" s="1894">
        <f t="shared" si="241"/>
        <v>294970</v>
      </c>
      <c r="O631" s="1894">
        <f t="shared" si="242"/>
        <v>0</v>
      </c>
      <c r="P631" s="1894">
        <v>825</v>
      </c>
      <c r="Q631" s="1894">
        <v>701.2</v>
      </c>
      <c r="R631" s="1894">
        <v>825</v>
      </c>
      <c r="S631" s="1894">
        <v>0.93420000000000003</v>
      </c>
      <c r="T631" s="1894">
        <v>0</v>
      </c>
      <c r="U631" s="1894">
        <v>346875</v>
      </c>
      <c r="V631" s="1894">
        <f t="shared" si="243"/>
        <v>313016</v>
      </c>
      <c r="W631" s="1894">
        <f t="shared" si="244"/>
        <v>33859</v>
      </c>
      <c r="X631" s="1894">
        <v>825</v>
      </c>
      <c r="Y631" s="1894">
        <v>696.4</v>
      </c>
      <c r="Z631" s="1894">
        <v>825</v>
      </c>
      <c r="AA631" s="1894">
        <v>0.94610000000000005</v>
      </c>
      <c r="AB631" s="1894">
        <v>0</v>
      </c>
      <c r="AC631" s="1894">
        <v>382425</v>
      </c>
      <c r="AD631" s="1894">
        <f t="shared" si="245"/>
        <v>300845</v>
      </c>
      <c r="AE631" s="1894">
        <f t="shared" si="246"/>
        <v>81580</v>
      </c>
      <c r="AF631" s="1894">
        <v>825</v>
      </c>
      <c r="AG631" s="1894">
        <v>683.2</v>
      </c>
      <c r="AH631" s="1894">
        <v>825</v>
      </c>
      <c r="AI631" s="1894">
        <v>0.95379999999999998</v>
      </c>
      <c r="AJ631" s="1894">
        <v>0</v>
      </c>
      <c r="AK631" s="1894">
        <v>331310</v>
      </c>
      <c r="AL631" s="1894">
        <f t="shared" si="239"/>
        <v>304980</v>
      </c>
      <c r="AM631" s="1894">
        <f t="shared" si="240"/>
        <v>26330</v>
      </c>
      <c r="AN631" s="1894">
        <v>825</v>
      </c>
      <c r="AO631" s="1894">
        <v>651.20000000000005</v>
      </c>
      <c r="AP631" s="1894">
        <v>825</v>
      </c>
      <c r="AQ631" s="1894">
        <v>0.96679999999999999</v>
      </c>
      <c r="AR631" s="1894">
        <v>0</v>
      </c>
      <c r="AS631" s="1894">
        <v>241980</v>
      </c>
      <c r="AT631" s="1894">
        <f t="shared" si="247"/>
        <v>290696</v>
      </c>
      <c r="AU631" s="1894">
        <f t="shared" si="248"/>
        <v>0</v>
      </c>
      <c r="AV631" s="1894">
        <v>825</v>
      </c>
      <c r="AW631" s="1894">
        <v>632</v>
      </c>
      <c r="AX631" s="1894">
        <v>825</v>
      </c>
      <c r="AY631" s="1894">
        <v>0.97270000000000001</v>
      </c>
      <c r="AZ631" s="1894">
        <v>0</v>
      </c>
      <c r="BA631" s="1894">
        <v>202875</v>
      </c>
      <c r="BB631" s="1894">
        <f t="shared" si="249"/>
        <v>273024</v>
      </c>
      <c r="BC631" s="1894">
        <f t="shared" si="250"/>
        <v>0</v>
      </c>
      <c r="BD631" s="1894">
        <v>825</v>
      </c>
      <c r="BE631" s="1894">
        <v>660.80000000000007</v>
      </c>
      <c r="BF631" s="1894">
        <v>825</v>
      </c>
      <c r="BG631" s="1894">
        <v>0.97089999999999999</v>
      </c>
      <c r="BH631" s="1894">
        <v>0</v>
      </c>
      <c r="BI631" s="1894">
        <v>281295</v>
      </c>
      <c r="BJ631" s="1894">
        <f t="shared" si="251"/>
        <v>294981</v>
      </c>
      <c r="BK631" s="1894">
        <f t="shared" si="252"/>
        <v>0</v>
      </c>
      <c r="BL631" s="1894">
        <v>825</v>
      </c>
      <c r="BM631" s="1894">
        <v>624.4</v>
      </c>
      <c r="BN631" s="1894">
        <v>825</v>
      </c>
      <c r="BO631" s="1894">
        <v>0.96970000000000001</v>
      </c>
      <c r="BP631" s="1894">
        <v>0</v>
      </c>
      <c r="BQ631" s="1894">
        <v>258700</v>
      </c>
      <c r="BR631" s="1894">
        <f t="shared" si="253"/>
        <v>269741</v>
      </c>
      <c r="BS631" s="1894">
        <f t="shared" si="254"/>
        <v>0</v>
      </c>
      <c r="BT631" s="1894">
        <v>825</v>
      </c>
      <c r="BU631" s="1894">
        <v>598.40000000000009</v>
      </c>
      <c r="BV631" s="1894">
        <v>825</v>
      </c>
      <c r="BW631" s="1894">
        <v>0.97140000000000004</v>
      </c>
      <c r="BX631" s="1894">
        <v>0</v>
      </c>
      <c r="BY631" s="1894">
        <v>249240</v>
      </c>
      <c r="BZ631" s="1894">
        <f t="shared" si="255"/>
        <v>267126</v>
      </c>
      <c r="CA631" s="1894">
        <f t="shared" si="256"/>
        <v>0</v>
      </c>
      <c r="CB631" s="1894">
        <v>825</v>
      </c>
      <c r="CC631" s="1894">
        <v>626</v>
      </c>
      <c r="CD631" s="1894">
        <v>825</v>
      </c>
      <c r="CE631" s="1894">
        <v>0.97550000000000003</v>
      </c>
      <c r="CF631" s="1894">
        <v>0</v>
      </c>
      <c r="CG631" s="1894">
        <v>218755</v>
      </c>
      <c r="CH631" s="1894">
        <f t="shared" si="257"/>
        <v>279446</v>
      </c>
      <c r="CI631" s="1894">
        <f t="shared" si="258"/>
        <v>0</v>
      </c>
      <c r="CJ631" s="1894">
        <v>825</v>
      </c>
      <c r="CK631" s="1894">
        <v>663.6</v>
      </c>
      <c r="CL631" s="1894">
        <v>825</v>
      </c>
      <c r="CM631" s="1894">
        <v>0.88419999999999999</v>
      </c>
      <c r="CN631" s="1894">
        <v>0</v>
      </c>
      <c r="CO631" s="1894">
        <v>219250</v>
      </c>
      <c r="CP631" s="1894">
        <f t="shared" si="259"/>
        <v>267564</v>
      </c>
      <c r="CQ631" s="1894">
        <f t="shared" si="260"/>
        <v>0</v>
      </c>
      <c r="CR631" s="1924">
        <v>825</v>
      </c>
      <c r="CS631" s="1924">
        <v>624.80000000000007</v>
      </c>
      <c r="CT631" s="1924">
        <v>825</v>
      </c>
      <c r="CU631" s="1924">
        <v>0.97450000000000003</v>
      </c>
      <c r="CV631" s="1924">
        <v>0</v>
      </c>
      <c r="CW631" s="1924">
        <v>249540</v>
      </c>
      <c r="CX631" s="1894">
        <f t="shared" si="261"/>
        <v>278911</v>
      </c>
      <c r="CY631" s="1894">
        <f t="shared" si="262"/>
        <v>0</v>
      </c>
    </row>
    <row r="632" spans="1:103">
      <c r="A632" s="982">
        <v>621000000068</v>
      </c>
      <c r="B632" s="1923">
        <f t="shared" si="263"/>
        <v>626</v>
      </c>
      <c r="C632" s="1895" t="s">
        <v>3497</v>
      </c>
      <c r="D632" s="1894" t="s">
        <v>524</v>
      </c>
      <c r="E632" s="1895" t="s">
        <v>730</v>
      </c>
      <c r="F632" s="1894" t="s">
        <v>259</v>
      </c>
      <c r="G632" s="1924">
        <v>828</v>
      </c>
      <c r="H632" s="1894">
        <v>0</v>
      </c>
      <c r="I632" s="1894">
        <v>0</v>
      </c>
      <c r="J632" s="1894">
        <v>0</v>
      </c>
      <c r="K632" s="1894">
        <v>0</v>
      </c>
      <c r="L632" s="1894">
        <v>0</v>
      </c>
      <c r="M632" s="1894">
        <v>0</v>
      </c>
      <c r="N632" s="1894">
        <f t="shared" si="241"/>
        <v>0</v>
      </c>
      <c r="O632" s="1894">
        <f t="shared" si="242"/>
        <v>0</v>
      </c>
      <c r="P632" s="1894">
        <v>0</v>
      </c>
      <c r="Q632" s="1894">
        <v>0</v>
      </c>
      <c r="R632" s="1894">
        <v>0</v>
      </c>
      <c r="S632" s="1894">
        <v>0</v>
      </c>
      <c r="T632" s="1894">
        <v>0</v>
      </c>
      <c r="U632" s="1894">
        <v>0</v>
      </c>
      <c r="V632" s="1894">
        <f t="shared" si="243"/>
        <v>0</v>
      </c>
      <c r="W632" s="1894">
        <f t="shared" si="244"/>
        <v>0</v>
      </c>
      <c r="X632" s="1894">
        <v>0</v>
      </c>
      <c r="Y632" s="1894">
        <v>0</v>
      </c>
      <c r="Z632" s="1894">
        <v>0</v>
      </c>
      <c r="AA632" s="1894">
        <v>0</v>
      </c>
      <c r="AB632" s="1894">
        <v>0</v>
      </c>
      <c r="AC632" s="1894">
        <v>0</v>
      </c>
      <c r="AD632" s="1894">
        <f t="shared" si="245"/>
        <v>0</v>
      </c>
      <c r="AE632" s="1894">
        <f t="shared" si="246"/>
        <v>0</v>
      </c>
      <c r="AF632" s="1894">
        <v>0</v>
      </c>
      <c r="AG632" s="1894">
        <v>0</v>
      </c>
      <c r="AH632" s="1894">
        <v>0</v>
      </c>
      <c r="AI632" s="1894">
        <v>0</v>
      </c>
      <c r="AJ632" s="1894">
        <v>0</v>
      </c>
      <c r="AK632" s="1894">
        <v>0</v>
      </c>
      <c r="AL632" s="1894">
        <f t="shared" si="239"/>
        <v>0</v>
      </c>
      <c r="AM632" s="1894">
        <f t="shared" si="240"/>
        <v>0</v>
      </c>
      <c r="AN632" s="1894">
        <v>0</v>
      </c>
      <c r="AO632" s="1894">
        <v>0</v>
      </c>
      <c r="AP632" s="1894">
        <v>0</v>
      </c>
      <c r="AQ632" s="1894">
        <v>0</v>
      </c>
      <c r="AR632" s="1894">
        <v>0</v>
      </c>
      <c r="AS632" s="1894">
        <v>0</v>
      </c>
      <c r="AT632" s="1894">
        <f t="shared" si="247"/>
        <v>0</v>
      </c>
      <c r="AU632" s="1894">
        <f t="shared" si="248"/>
        <v>0</v>
      </c>
      <c r="AV632" s="1894">
        <v>0</v>
      </c>
      <c r="AW632" s="1894">
        <v>0</v>
      </c>
      <c r="AX632" s="1894">
        <v>0</v>
      </c>
      <c r="AY632" s="1894">
        <v>0</v>
      </c>
      <c r="AZ632" s="1894">
        <v>0</v>
      </c>
      <c r="BA632" s="1894">
        <v>0</v>
      </c>
      <c r="BB632" s="1894">
        <f t="shared" si="249"/>
        <v>0</v>
      </c>
      <c r="BC632" s="1894">
        <f t="shared" si="250"/>
        <v>0</v>
      </c>
      <c r="BD632" s="1894">
        <v>0</v>
      </c>
      <c r="BE632" s="1894">
        <v>0</v>
      </c>
      <c r="BF632" s="1894">
        <v>0</v>
      </c>
      <c r="BG632" s="1894">
        <v>0</v>
      </c>
      <c r="BH632" s="1894">
        <v>0</v>
      </c>
      <c r="BI632" s="1894">
        <v>0</v>
      </c>
      <c r="BJ632" s="1894">
        <f t="shared" si="251"/>
        <v>0</v>
      </c>
      <c r="BK632" s="1894">
        <f t="shared" si="252"/>
        <v>0</v>
      </c>
      <c r="BL632" s="1894">
        <v>0</v>
      </c>
      <c r="BM632" s="1894">
        <v>0</v>
      </c>
      <c r="BN632" s="1894">
        <v>0</v>
      </c>
      <c r="BO632" s="1894">
        <v>0</v>
      </c>
      <c r="BP632" s="1894">
        <v>0</v>
      </c>
      <c r="BQ632" s="1894">
        <v>0</v>
      </c>
      <c r="BR632" s="1894">
        <f t="shared" si="253"/>
        <v>0</v>
      </c>
      <c r="BS632" s="1894">
        <f t="shared" si="254"/>
        <v>0</v>
      </c>
      <c r="BT632" s="1894">
        <v>0</v>
      </c>
      <c r="BU632" s="1894">
        <v>0</v>
      </c>
      <c r="BV632" s="1894">
        <v>0</v>
      </c>
      <c r="BW632" s="1894">
        <v>0</v>
      </c>
      <c r="BX632" s="1894">
        <v>0</v>
      </c>
      <c r="BY632" s="1894">
        <v>0</v>
      </c>
      <c r="BZ632" s="1894">
        <f t="shared" si="255"/>
        <v>0</v>
      </c>
      <c r="CA632" s="1894">
        <f t="shared" si="256"/>
        <v>0</v>
      </c>
      <c r="CB632" s="1894">
        <v>828</v>
      </c>
      <c r="CC632" s="1894">
        <v>288</v>
      </c>
      <c r="CD632" s="1894">
        <v>662.4</v>
      </c>
      <c r="CE632" s="1894">
        <v>0.54630000000000001</v>
      </c>
      <c r="CF632" s="1894">
        <v>6.19</v>
      </c>
      <c r="CG632" s="1894">
        <v>11550</v>
      </c>
      <c r="CH632" s="1894">
        <f t="shared" si="257"/>
        <v>128563</v>
      </c>
      <c r="CI632" s="1894">
        <f t="shared" si="258"/>
        <v>0</v>
      </c>
      <c r="CJ632" s="1894">
        <v>828</v>
      </c>
      <c r="CK632" s="1894">
        <v>287.2</v>
      </c>
      <c r="CL632" s="1894">
        <v>662.4</v>
      </c>
      <c r="CM632" s="1894">
        <v>0.64480000000000004</v>
      </c>
      <c r="CN632" s="1894">
        <v>8.3699999999999992</v>
      </c>
      <c r="CO632" s="1894">
        <v>16160</v>
      </c>
      <c r="CP632" s="1894">
        <f t="shared" si="259"/>
        <v>115799</v>
      </c>
      <c r="CQ632" s="1894">
        <f t="shared" si="260"/>
        <v>0</v>
      </c>
      <c r="CR632" s="1924">
        <v>828</v>
      </c>
      <c r="CS632" s="1924">
        <v>376.8</v>
      </c>
      <c r="CT632" s="1924">
        <v>662.4</v>
      </c>
      <c r="CU632" s="1924">
        <v>0.76329999999999998</v>
      </c>
      <c r="CV632" s="1924">
        <v>8.4700000000000006</v>
      </c>
      <c r="CW632" s="1924">
        <v>23750</v>
      </c>
      <c r="CX632" s="1894">
        <f t="shared" si="261"/>
        <v>168204</v>
      </c>
      <c r="CY632" s="1894">
        <f t="shared" si="262"/>
        <v>0</v>
      </c>
    </row>
    <row r="633" spans="1:103">
      <c r="A633" s="982">
        <v>123000000097</v>
      </c>
      <c r="B633" s="1923">
        <f t="shared" si="263"/>
        <v>627</v>
      </c>
      <c r="C633" s="1895" t="s">
        <v>3498</v>
      </c>
      <c r="D633" s="1894" t="s">
        <v>524</v>
      </c>
      <c r="E633" s="1895" t="s">
        <v>2966</v>
      </c>
      <c r="F633" s="1894" t="s">
        <v>259</v>
      </c>
      <c r="G633" s="1924">
        <v>833</v>
      </c>
      <c r="H633" s="1894">
        <v>400</v>
      </c>
      <c r="I633" s="1894">
        <v>298</v>
      </c>
      <c r="J633" s="1894">
        <v>400</v>
      </c>
      <c r="K633" s="1894">
        <v>0.79869999999999997</v>
      </c>
      <c r="L633" s="1894">
        <v>0</v>
      </c>
      <c r="M633" s="1894">
        <v>87000</v>
      </c>
      <c r="N633" s="1894">
        <f t="shared" si="241"/>
        <v>128736</v>
      </c>
      <c r="O633" s="1894">
        <f t="shared" si="242"/>
        <v>0</v>
      </c>
      <c r="P633" s="1894">
        <v>400</v>
      </c>
      <c r="Q633" s="1894">
        <v>421.2</v>
      </c>
      <c r="R633" s="1894">
        <v>421.2</v>
      </c>
      <c r="S633" s="1894">
        <v>0.79630000000000001</v>
      </c>
      <c r="T633" s="1894">
        <v>0</v>
      </c>
      <c r="U633" s="1894">
        <v>183275</v>
      </c>
      <c r="V633" s="1894">
        <f t="shared" si="243"/>
        <v>188024</v>
      </c>
      <c r="W633" s="1894">
        <f t="shared" si="244"/>
        <v>0</v>
      </c>
      <c r="X633" s="1894">
        <v>400</v>
      </c>
      <c r="Y633" s="1894">
        <v>787.6</v>
      </c>
      <c r="Z633" s="1894">
        <v>400</v>
      </c>
      <c r="AA633" s="1894">
        <v>0.82079999999999997</v>
      </c>
      <c r="AB633" s="1894">
        <v>0</v>
      </c>
      <c r="AC633" s="1894">
        <v>45700</v>
      </c>
      <c r="AD633" s="1894">
        <f t="shared" si="245"/>
        <v>340243</v>
      </c>
      <c r="AE633" s="1894">
        <f t="shared" si="246"/>
        <v>0</v>
      </c>
      <c r="AF633" s="1894">
        <v>400</v>
      </c>
      <c r="AG633" s="1894">
        <v>209.2</v>
      </c>
      <c r="AH633" s="1894">
        <v>400</v>
      </c>
      <c r="AI633" s="1894">
        <v>0.78900000000000003</v>
      </c>
      <c r="AJ633" s="1894">
        <v>0</v>
      </c>
      <c r="AK633" s="1894">
        <v>69740</v>
      </c>
      <c r="AL633" s="1894">
        <f t="shared" si="239"/>
        <v>93387</v>
      </c>
      <c r="AM633" s="1894">
        <f t="shared" si="240"/>
        <v>0</v>
      </c>
      <c r="AN633" s="1894">
        <v>400</v>
      </c>
      <c r="AO633" s="1894">
        <v>291.60000000000002</v>
      </c>
      <c r="AP633" s="1894">
        <v>400</v>
      </c>
      <c r="AQ633" s="1894">
        <v>0.79469999999999996</v>
      </c>
      <c r="AR633" s="1894">
        <v>0</v>
      </c>
      <c r="AS633" s="1894">
        <v>108465</v>
      </c>
      <c r="AT633" s="1894">
        <f t="shared" si="247"/>
        <v>130170</v>
      </c>
      <c r="AU633" s="1894">
        <f t="shared" si="248"/>
        <v>0</v>
      </c>
      <c r="AV633" s="1894">
        <v>833</v>
      </c>
      <c r="AW633" s="1894">
        <v>431.2</v>
      </c>
      <c r="AX633" s="1894">
        <v>833</v>
      </c>
      <c r="AY633" s="1894">
        <v>0.79890000000000005</v>
      </c>
      <c r="AZ633" s="1894">
        <v>0</v>
      </c>
      <c r="BA633" s="1894">
        <v>157105</v>
      </c>
      <c r="BB633" s="1894">
        <f t="shared" si="249"/>
        <v>186278</v>
      </c>
      <c r="BC633" s="1894">
        <f t="shared" si="250"/>
        <v>0</v>
      </c>
      <c r="BD633" s="1894">
        <v>833</v>
      </c>
      <c r="BE633" s="1894">
        <v>442</v>
      </c>
      <c r="BF633" s="1894">
        <v>833</v>
      </c>
      <c r="BG633" s="1894">
        <v>0.79679999999999995</v>
      </c>
      <c r="BH633" s="1894">
        <v>0</v>
      </c>
      <c r="BI633" s="1894">
        <v>121925</v>
      </c>
      <c r="BJ633" s="1894">
        <f t="shared" si="251"/>
        <v>197309</v>
      </c>
      <c r="BK633" s="1894">
        <f t="shared" si="252"/>
        <v>0</v>
      </c>
      <c r="BL633" s="1894">
        <v>833</v>
      </c>
      <c r="BM633" s="1894">
        <v>15.2</v>
      </c>
      <c r="BN633" s="1894">
        <v>833</v>
      </c>
      <c r="BO633" s="1894">
        <v>0.52629999999999999</v>
      </c>
      <c r="BP633" s="1894">
        <v>0</v>
      </c>
      <c r="BQ633" s="1894">
        <v>95</v>
      </c>
      <c r="BR633" s="1894">
        <f t="shared" si="253"/>
        <v>6566</v>
      </c>
      <c r="BS633" s="1894">
        <f t="shared" si="254"/>
        <v>0</v>
      </c>
      <c r="BT633" s="1894">
        <v>833</v>
      </c>
      <c r="BU633" s="1894">
        <v>15.2</v>
      </c>
      <c r="BV633" s="1894">
        <v>833</v>
      </c>
      <c r="BW633" s="1894">
        <v>0.64700000000000002</v>
      </c>
      <c r="BX633" s="1894">
        <v>0</v>
      </c>
      <c r="BY633" s="1894">
        <v>85</v>
      </c>
      <c r="BZ633" s="1894">
        <f t="shared" si="255"/>
        <v>6785</v>
      </c>
      <c r="CA633" s="1894">
        <f t="shared" si="256"/>
        <v>0</v>
      </c>
      <c r="CB633" s="1894">
        <v>833</v>
      </c>
      <c r="CC633" s="1894">
        <v>18.399999999999999</v>
      </c>
      <c r="CD633" s="1894">
        <v>833</v>
      </c>
      <c r="CE633" s="1894">
        <v>0.77510000000000001</v>
      </c>
      <c r="CF633" s="1894">
        <v>0</v>
      </c>
      <c r="CG633" s="1894">
        <v>4580</v>
      </c>
      <c r="CH633" s="1894">
        <f t="shared" si="257"/>
        <v>8214</v>
      </c>
      <c r="CI633" s="1894">
        <f t="shared" si="258"/>
        <v>0</v>
      </c>
      <c r="CJ633" s="1894">
        <v>833</v>
      </c>
      <c r="CK633" s="1894">
        <v>90.4</v>
      </c>
      <c r="CL633" s="1894">
        <v>833</v>
      </c>
      <c r="CM633" s="1894">
        <v>0.80830000000000002</v>
      </c>
      <c r="CN633" s="1894">
        <v>0</v>
      </c>
      <c r="CO633" s="1894">
        <v>13960</v>
      </c>
      <c r="CP633" s="1894">
        <f t="shared" si="259"/>
        <v>36449</v>
      </c>
      <c r="CQ633" s="1894">
        <f t="shared" si="260"/>
        <v>0</v>
      </c>
      <c r="CR633" s="1924">
        <v>833</v>
      </c>
      <c r="CS633" s="1924">
        <v>172.4</v>
      </c>
      <c r="CT633" s="1924">
        <v>833</v>
      </c>
      <c r="CU633" s="1924">
        <v>0.84399999999999997</v>
      </c>
      <c r="CV633" s="1924">
        <v>0</v>
      </c>
      <c r="CW633" s="1924">
        <v>59845</v>
      </c>
      <c r="CX633" s="1894">
        <f t="shared" si="261"/>
        <v>76959</v>
      </c>
      <c r="CY633" s="1894">
        <f t="shared" si="262"/>
        <v>0</v>
      </c>
    </row>
    <row r="634" spans="1:103">
      <c r="A634" s="982">
        <v>615000000027</v>
      </c>
      <c r="B634" s="1923">
        <f t="shared" si="263"/>
        <v>628</v>
      </c>
      <c r="C634" s="1895" t="s">
        <v>3499</v>
      </c>
      <c r="D634" s="1894" t="s">
        <v>524</v>
      </c>
      <c r="E634" s="1895" t="s">
        <v>629</v>
      </c>
      <c r="F634" s="1894" t="s">
        <v>259</v>
      </c>
      <c r="G634" s="1924">
        <v>833.33</v>
      </c>
      <c r="H634" s="1894">
        <v>833.33</v>
      </c>
      <c r="I634" s="1894">
        <v>42.24</v>
      </c>
      <c r="J634" s="1894">
        <v>833.33</v>
      </c>
      <c r="K634" s="1894">
        <v>0.99460000000000004</v>
      </c>
      <c r="L634" s="1894">
        <v>0</v>
      </c>
      <c r="M634" s="1894">
        <v>15570</v>
      </c>
      <c r="N634" s="1894">
        <f t="shared" si="241"/>
        <v>18248</v>
      </c>
      <c r="O634" s="1894">
        <f t="shared" si="242"/>
        <v>0</v>
      </c>
      <c r="P634" s="1894">
        <v>833.33</v>
      </c>
      <c r="Q634" s="1894">
        <v>39.360000000000007</v>
      </c>
      <c r="R634" s="1894">
        <v>833.33</v>
      </c>
      <c r="S634" s="1894">
        <v>0.99570000000000003</v>
      </c>
      <c r="T634" s="1894">
        <v>0</v>
      </c>
      <c r="U634" s="1894">
        <v>16776</v>
      </c>
      <c r="V634" s="1894">
        <f t="shared" si="243"/>
        <v>17570</v>
      </c>
      <c r="W634" s="1894">
        <f t="shared" si="244"/>
        <v>0</v>
      </c>
      <c r="X634" s="1894">
        <v>833.33</v>
      </c>
      <c r="Y634" s="1894">
        <v>39.840000000000003</v>
      </c>
      <c r="Z634" s="1894">
        <v>833.33</v>
      </c>
      <c r="AA634" s="1894">
        <v>0.99629999999999996</v>
      </c>
      <c r="AB634" s="1894">
        <v>0</v>
      </c>
      <c r="AC634" s="1894">
        <v>16620</v>
      </c>
      <c r="AD634" s="1894">
        <f t="shared" si="245"/>
        <v>17211</v>
      </c>
      <c r="AE634" s="1894">
        <f t="shared" si="246"/>
        <v>0</v>
      </c>
      <c r="AF634" s="1894">
        <v>833.33</v>
      </c>
      <c r="AG634" s="1894">
        <v>39.360000000000007</v>
      </c>
      <c r="AH634" s="1894">
        <v>833.33</v>
      </c>
      <c r="AI634" s="1894">
        <v>0.99639999999999995</v>
      </c>
      <c r="AJ634" s="1894">
        <v>0</v>
      </c>
      <c r="AK634" s="1894">
        <v>17088</v>
      </c>
      <c r="AL634" s="1894">
        <f t="shared" si="239"/>
        <v>17570</v>
      </c>
      <c r="AM634" s="1894">
        <f t="shared" si="240"/>
        <v>0</v>
      </c>
      <c r="AN634" s="1894">
        <v>833.33</v>
      </c>
      <c r="AO634" s="1894">
        <v>152.16</v>
      </c>
      <c r="AP634" s="1894">
        <v>833.33</v>
      </c>
      <c r="AQ634" s="1894">
        <v>0.997</v>
      </c>
      <c r="AR634" s="1894">
        <v>0</v>
      </c>
      <c r="AS634" s="1894">
        <v>16002</v>
      </c>
      <c r="AT634" s="1894">
        <f t="shared" si="247"/>
        <v>67924</v>
      </c>
      <c r="AU634" s="1894">
        <f t="shared" si="248"/>
        <v>0</v>
      </c>
      <c r="AV634" s="1894">
        <v>833.33</v>
      </c>
      <c r="AW634" s="1894">
        <v>38.4</v>
      </c>
      <c r="AX634" s="1894">
        <v>833.33</v>
      </c>
      <c r="AY634" s="1894">
        <v>0.99780000000000002</v>
      </c>
      <c r="AZ634" s="1894">
        <v>0</v>
      </c>
      <c r="BA634" s="1894">
        <v>16404</v>
      </c>
      <c r="BB634" s="1894">
        <f t="shared" si="249"/>
        <v>16589</v>
      </c>
      <c r="BC634" s="1894">
        <f t="shared" si="250"/>
        <v>0</v>
      </c>
      <c r="BD634" s="1894">
        <v>833.33</v>
      </c>
      <c r="BE634" s="1894">
        <v>34.080000000000005</v>
      </c>
      <c r="BF634" s="1894">
        <v>833.33</v>
      </c>
      <c r="BG634" s="1894">
        <v>0.99490000000000001</v>
      </c>
      <c r="BH634" s="1894">
        <v>0</v>
      </c>
      <c r="BI634" s="1894">
        <v>14124</v>
      </c>
      <c r="BJ634" s="1894">
        <f t="shared" si="251"/>
        <v>15213</v>
      </c>
      <c r="BK634" s="1894">
        <f t="shared" si="252"/>
        <v>0</v>
      </c>
      <c r="BL634" s="1894">
        <v>833.33</v>
      </c>
      <c r="BM634" s="1894">
        <v>29.28</v>
      </c>
      <c r="BN634" s="1894">
        <v>833.33</v>
      </c>
      <c r="BO634" s="1894">
        <v>0.99399999999999999</v>
      </c>
      <c r="BP634" s="1894">
        <v>0</v>
      </c>
      <c r="BQ634" s="1894">
        <v>11142</v>
      </c>
      <c r="BR634" s="1894">
        <f t="shared" si="253"/>
        <v>12649</v>
      </c>
      <c r="BS634" s="1894">
        <f t="shared" si="254"/>
        <v>0</v>
      </c>
      <c r="BT634" s="1894">
        <v>833.33</v>
      </c>
      <c r="BU634" s="1894">
        <v>28.8</v>
      </c>
      <c r="BV634" s="1894">
        <v>833.33</v>
      </c>
      <c r="BW634" s="1894">
        <v>0.99370000000000003</v>
      </c>
      <c r="BX634" s="1894">
        <v>0</v>
      </c>
      <c r="BY634" s="1894">
        <v>9624</v>
      </c>
      <c r="BZ634" s="1894">
        <f t="shared" si="255"/>
        <v>12856</v>
      </c>
      <c r="CA634" s="1894">
        <f t="shared" si="256"/>
        <v>0</v>
      </c>
      <c r="CB634" s="1894">
        <v>833.33</v>
      </c>
      <c r="CC634" s="1894">
        <v>30.240000000000002</v>
      </c>
      <c r="CD634" s="1894">
        <v>833.33</v>
      </c>
      <c r="CE634" s="1894">
        <v>0.99680000000000002</v>
      </c>
      <c r="CF634" s="1894">
        <v>0</v>
      </c>
      <c r="CG634" s="1894">
        <v>9390</v>
      </c>
      <c r="CH634" s="1894">
        <f t="shared" si="257"/>
        <v>13499</v>
      </c>
      <c r="CI634" s="1894">
        <f t="shared" si="258"/>
        <v>0</v>
      </c>
      <c r="CJ634" s="1894">
        <v>833.33</v>
      </c>
      <c r="CK634" s="1894">
        <v>31.2</v>
      </c>
      <c r="CL634" s="1894">
        <v>833.33</v>
      </c>
      <c r="CM634" s="1894">
        <v>0.99750000000000005</v>
      </c>
      <c r="CN634" s="1894">
        <v>0</v>
      </c>
      <c r="CO634" s="1894">
        <v>9684</v>
      </c>
      <c r="CP634" s="1894">
        <f t="shared" si="259"/>
        <v>12580</v>
      </c>
      <c r="CQ634" s="1894">
        <f t="shared" si="260"/>
        <v>0</v>
      </c>
      <c r="CR634" s="1924">
        <v>833.33</v>
      </c>
      <c r="CS634" s="1924">
        <v>28.8</v>
      </c>
      <c r="CT634" s="1924">
        <v>833.33</v>
      </c>
      <c r="CU634" s="1924">
        <v>0.99790000000000001</v>
      </c>
      <c r="CV634" s="1924">
        <v>0</v>
      </c>
      <c r="CW634" s="1924">
        <v>11688</v>
      </c>
      <c r="CX634" s="1894">
        <f t="shared" si="261"/>
        <v>12856</v>
      </c>
      <c r="CY634" s="1894">
        <f t="shared" si="262"/>
        <v>0</v>
      </c>
    </row>
    <row r="635" spans="1:103">
      <c r="A635" s="982">
        <v>126000000055</v>
      </c>
      <c r="B635" s="1923">
        <f t="shared" si="263"/>
        <v>629</v>
      </c>
      <c r="C635" s="1895" t="s">
        <v>3500</v>
      </c>
      <c r="D635" s="1894" t="s">
        <v>524</v>
      </c>
      <c r="E635" s="1895" t="s">
        <v>541</v>
      </c>
      <c r="F635" s="1894" t="s">
        <v>259</v>
      </c>
      <c r="G635" s="1924">
        <v>834</v>
      </c>
      <c r="H635" s="1894">
        <v>0</v>
      </c>
      <c r="I635" s="1894">
        <v>0</v>
      </c>
      <c r="J635" s="1894">
        <v>0</v>
      </c>
      <c r="K635" s="1894">
        <v>0</v>
      </c>
      <c r="L635" s="1894">
        <v>0</v>
      </c>
      <c r="M635" s="1894">
        <v>0</v>
      </c>
      <c r="N635" s="1894">
        <f t="shared" si="241"/>
        <v>0</v>
      </c>
      <c r="O635" s="1894">
        <f t="shared" si="242"/>
        <v>0</v>
      </c>
      <c r="P635" s="1894">
        <v>0</v>
      </c>
      <c r="Q635" s="1894">
        <v>0</v>
      </c>
      <c r="R635" s="1894">
        <v>0</v>
      </c>
      <c r="S635" s="1894">
        <v>0</v>
      </c>
      <c r="T635" s="1894">
        <v>0</v>
      </c>
      <c r="U635" s="1894">
        <v>0</v>
      </c>
      <c r="V635" s="1894">
        <f t="shared" si="243"/>
        <v>0</v>
      </c>
      <c r="W635" s="1894">
        <f t="shared" si="244"/>
        <v>0</v>
      </c>
      <c r="X635" s="1894">
        <v>834</v>
      </c>
      <c r="Y635" s="1894">
        <v>208.32</v>
      </c>
      <c r="Z635" s="1894">
        <v>667.2</v>
      </c>
      <c r="AA635" s="1894">
        <v>0.91659999999999997</v>
      </c>
      <c r="AB635" s="1894">
        <v>1.44</v>
      </c>
      <c r="AC635" s="1894">
        <v>72</v>
      </c>
      <c r="AD635" s="1894">
        <f t="shared" si="245"/>
        <v>89994</v>
      </c>
      <c r="AE635" s="1894">
        <f t="shared" si="246"/>
        <v>0</v>
      </c>
      <c r="AF635" s="1894">
        <v>834</v>
      </c>
      <c r="AG635" s="1894">
        <v>330.24</v>
      </c>
      <c r="AH635" s="1894">
        <v>667.2</v>
      </c>
      <c r="AI635" s="1894">
        <v>0.81259999999999999</v>
      </c>
      <c r="AJ635" s="1894">
        <v>12.06</v>
      </c>
      <c r="AK635" s="1894">
        <v>29628</v>
      </c>
      <c r="AL635" s="1894">
        <f t="shared" si="239"/>
        <v>147419</v>
      </c>
      <c r="AM635" s="1894">
        <f t="shared" si="240"/>
        <v>0</v>
      </c>
      <c r="AN635" s="1894">
        <v>834</v>
      </c>
      <c r="AO635" s="1894">
        <v>108.96000000000001</v>
      </c>
      <c r="AP635" s="1894">
        <v>667.2</v>
      </c>
      <c r="AQ635" s="1894">
        <v>0.80520000000000003</v>
      </c>
      <c r="AR635" s="1894">
        <v>58.45</v>
      </c>
      <c r="AS635" s="1894">
        <v>47382</v>
      </c>
      <c r="AT635" s="1894">
        <f t="shared" si="247"/>
        <v>48640</v>
      </c>
      <c r="AU635" s="1894">
        <f t="shared" si="248"/>
        <v>0</v>
      </c>
      <c r="AV635" s="1894">
        <v>834</v>
      </c>
      <c r="AW635" s="1894">
        <v>381.12</v>
      </c>
      <c r="AX635" s="1894">
        <v>667.2</v>
      </c>
      <c r="AY635" s="1894">
        <v>0.86460000000000004</v>
      </c>
      <c r="AZ635" s="1894">
        <v>25.09</v>
      </c>
      <c r="BA635" s="1894">
        <v>68844</v>
      </c>
      <c r="BB635" s="1894">
        <f t="shared" si="249"/>
        <v>164644</v>
      </c>
      <c r="BC635" s="1894">
        <f t="shared" si="250"/>
        <v>0</v>
      </c>
      <c r="BD635" s="1894">
        <v>834</v>
      </c>
      <c r="BE635" s="1894">
        <v>337.92</v>
      </c>
      <c r="BF635" s="1894">
        <v>667.2</v>
      </c>
      <c r="BG635" s="1894">
        <v>0.98750000000000004</v>
      </c>
      <c r="BH635" s="1894">
        <v>26.85</v>
      </c>
      <c r="BI635" s="1894">
        <v>67506</v>
      </c>
      <c r="BJ635" s="1894">
        <f t="shared" si="251"/>
        <v>150847</v>
      </c>
      <c r="BK635" s="1894">
        <f t="shared" si="252"/>
        <v>0</v>
      </c>
      <c r="BL635" s="1894">
        <v>834</v>
      </c>
      <c r="BM635" s="1894">
        <v>346.08</v>
      </c>
      <c r="BN635" s="1894">
        <v>667.2</v>
      </c>
      <c r="BO635" s="1894">
        <v>0.99570000000000003</v>
      </c>
      <c r="BP635" s="1894">
        <v>28.6</v>
      </c>
      <c r="BQ635" s="1894">
        <v>71262</v>
      </c>
      <c r="BR635" s="1894">
        <f t="shared" si="253"/>
        <v>149507</v>
      </c>
      <c r="BS635" s="1894">
        <f t="shared" si="254"/>
        <v>0</v>
      </c>
      <c r="BT635" s="1894">
        <v>834</v>
      </c>
      <c r="BU635" s="1894">
        <v>423.84000000000003</v>
      </c>
      <c r="BV635" s="1894">
        <v>667.2</v>
      </c>
      <c r="BW635" s="1894">
        <v>0.98960000000000004</v>
      </c>
      <c r="BX635" s="1894">
        <v>14.77</v>
      </c>
      <c r="BY635" s="1894">
        <v>46578</v>
      </c>
      <c r="BZ635" s="1894">
        <f t="shared" si="255"/>
        <v>189202</v>
      </c>
      <c r="CA635" s="1894">
        <f t="shared" si="256"/>
        <v>0</v>
      </c>
      <c r="CB635" s="1894">
        <v>834</v>
      </c>
      <c r="CC635" s="1894">
        <v>226.08</v>
      </c>
      <c r="CD635" s="1894">
        <v>667.2</v>
      </c>
      <c r="CE635" s="1894">
        <v>0.98180000000000001</v>
      </c>
      <c r="CF635" s="1894">
        <v>16.89</v>
      </c>
      <c r="CG635" s="1894">
        <v>28410</v>
      </c>
      <c r="CH635" s="1894">
        <f t="shared" si="257"/>
        <v>100922</v>
      </c>
      <c r="CI635" s="1894">
        <f t="shared" si="258"/>
        <v>0</v>
      </c>
      <c r="CJ635" s="1894">
        <v>834</v>
      </c>
      <c r="CK635" s="1894">
        <v>335.52000000000004</v>
      </c>
      <c r="CL635" s="1894">
        <v>667.2</v>
      </c>
      <c r="CM635" s="1894">
        <v>1.0128999999999999</v>
      </c>
      <c r="CN635" s="1894">
        <v>12.91</v>
      </c>
      <c r="CO635" s="1894">
        <v>29118</v>
      </c>
      <c r="CP635" s="1894">
        <f t="shared" si="259"/>
        <v>135282</v>
      </c>
      <c r="CQ635" s="1894">
        <f t="shared" si="260"/>
        <v>0</v>
      </c>
      <c r="CR635" s="1924">
        <v>834</v>
      </c>
      <c r="CS635" s="1924">
        <v>334.08</v>
      </c>
      <c r="CT635" s="1924">
        <v>667.2</v>
      </c>
      <c r="CU635" s="1924">
        <v>0.99680000000000002</v>
      </c>
      <c r="CV635" s="1924">
        <v>18.41</v>
      </c>
      <c r="CW635" s="1924">
        <v>45750</v>
      </c>
      <c r="CX635" s="1894">
        <f t="shared" si="261"/>
        <v>149133</v>
      </c>
      <c r="CY635" s="1894">
        <f t="shared" si="262"/>
        <v>0</v>
      </c>
    </row>
    <row r="636" spans="1:103">
      <c r="A636" s="982">
        <v>622000000048</v>
      </c>
      <c r="B636" s="1923">
        <f t="shared" si="263"/>
        <v>630</v>
      </c>
      <c r="C636" s="1895" t="s">
        <v>3501</v>
      </c>
      <c r="D636" s="1894" t="s">
        <v>524</v>
      </c>
      <c r="E636" s="1895" t="s">
        <v>541</v>
      </c>
      <c r="F636" s="1894" t="s">
        <v>259</v>
      </c>
      <c r="G636" s="1924">
        <v>834</v>
      </c>
      <c r="H636" s="1894">
        <v>834</v>
      </c>
      <c r="I636" s="1894">
        <v>505.6</v>
      </c>
      <c r="J636" s="1894">
        <v>667.2</v>
      </c>
      <c r="K636" s="1894">
        <v>0.96660000000000001</v>
      </c>
      <c r="L636" s="1894">
        <v>50.19</v>
      </c>
      <c r="M636" s="1894">
        <v>219250</v>
      </c>
      <c r="N636" s="1894">
        <f t="shared" si="241"/>
        <v>218419</v>
      </c>
      <c r="O636" s="1894">
        <f t="shared" si="242"/>
        <v>831</v>
      </c>
      <c r="P636" s="1894">
        <v>834</v>
      </c>
      <c r="Q636" s="1894">
        <v>504.4</v>
      </c>
      <c r="R636" s="1894">
        <v>667.2</v>
      </c>
      <c r="S636" s="1894">
        <v>0.9617</v>
      </c>
      <c r="T636" s="1894">
        <v>54.23</v>
      </c>
      <c r="U636" s="1894">
        <v>203495</v>
      </c>
      <c r="V636" s="1894">
        <f t="shared" si="243"/>
        <v>225164</v>
      </c>
      <c r="W636" s="1894">
        <f t="shared" si="244"/>
        <v>0</v>
      </c>
      <c r="X636" s="1894">
        <v>834</v>
      </c>
      <c r="Y636" s="1894">
        <v>506</v>
      </c>
      <c r="Z636" s="1894">
        <v>667.2</v>
      </c>
      <c r="AA636" s="1894">
        <v>0.96779999999999999</v>
      </c>
      <c r="AB636" s="1894">
        <v>52.66</v>
      </c>
      <c r="AC636" s="1894">
        <v>191855</v>
      </c>
      <c r="AD636" s="1894">
        <f t="shared" si="245"/>
        <v>218592</v>
      </c>
      <c r="AE636" s="1894">
        <f t="shared" si="246"/>
        <v>0</v>
      </c>
      <c r="AF636" s="1894">
        <v>834</v>
      </c>
      <c r="AG636" s="1894">
        <v>503.6</v>
      </c>
      <c r="AH636" s="1894">
        <v>667.2</v>
      </c>
      <c r="AI636" s="1894">
        <v>0.96379999999999999</v>
      </c>
      <c r="AJ636" s="1894">
        <v>61.95</v>
      </c>
      <c r="AK636" s="1894">
        <v>224635</v>
      </c>
      <c r="AL636" s="1894">
        <f t="shared" si="239"/>
        <v>224807</v>
      </c>
      <c r="AM636" s="1894">
        <f t="shared" si="240"/>
        <v>0</v>
      </c>
      <c r="AN636" s="1894">
        <v>834</v>
      </c>
      <c r="AO636" s="1894">
        <v>507.6</v>
      </c>
      <c r="AP636" s="1894">
        <v>667.2</v>
      </c>
      <c r="AQ636" s="1894">
        <v>0.95430000000000004</v>
      </c>
      <c r="AR636" s="1894">
        <v>62.12</v>
      </c>
      <c r="AS636" s="1894">
        <v>242165</v>
      </c>
      <c r="AT636" s="1894">
        <f t="shared" si="247"/>
        <v>226593</v>
      </c>
      <c r="AU636" s="1894">
        <f t="shared" si="248"/>
        <v>15572</v>
      </c>
      <c r="AV636" s="1894">
        <v>834</v>
      </c>
      <c r="AW636" s="1894">
        <v>473.6</v>
      </c>
      <c r="AX636" s="1894">
        <v>667.2</v>
      </c>
      <c r="AY636" s="1894">
        <v>0.96030000000000004</v>
      </c>
      <c r="AZ636" s="1894">
        <v>62.59</v>
      </c>
      <c r="BA636" s="1894">
        <v>213425</v>
      </c>
      <c r="BB636" s="1894">
        <f t="shared" si="249"/>
        <v>204595</v>
      </c>
      <c r="BC636" s="1894">
        <f t="shared" si="250"/>
        <v>8830</v>
      </c>
      <c r="BD636" s="1894">
        <v>834</v>
      </c>
      <c r="BE636" s="1894">
        <v>512.4</v>
      </c>
      <c r="BF636" s="1894">
        <v>667.2</v>
      </c>
      <c r="BG636" s="1894">
        <v>0.95750000000000002</v>
      </c>
      <c r="BH636" s="1894">
        <v>65.86</v>
      </c>
      <c r="BI636" s="1894">
        <v>251085</v>
      </c>
      <c r="BJ636" s="1894">
        <f t="shared" si="251"/>
        <v>228735</v>
      </c>
      <c r="BK636" s="1894">
        <f t="shared" si="252"/>
        <v>22350</v>
      </c>
      <c r="BL636" s="1894">
        <v>834</v>
      </c>
      <c r="BM636" s="1894">
        <v>472.8</v>
      </c>
      <c r="BN636" s="1894">
        <v>667.2</v>
      </c>
      <c r="BO636" s="1894">
        <v>0.96640000000000004</v>
      </c>
      <c r="BP636" s="1894">
        <v>46.91</v>
      </c>
      <c r="BQ636" s="1894">
        <v>122440</v>
      </c>
      <c r="BR636" s="1894">
        <f t="shared" si="253"/>
        <v>204250</v>
      </c>
      <c r="BS636" s="1894">
        <f t="shared" si="254"/>
        <v>0</v>
      </c>
      <c r="BT636" s="1894">
        <v>834</v>
      </c>
      <c r="BU636" s="1894">
        <v>402</v>
      </c>
      <c r="BV636" s="1894">
        <v>667.2</v>
      </c>
      <c r="BW636" s="1894">
        <v>0.90849999999999997</v>
      </c>
      <c r="BX636" s="1894">
        <v>18.5</v>
      </c>
      <c r="BY636" s="1894">
        <v>55320</v>
      </c>
      <c r="BZ636" s="1894">
        <f t="shared" si="255"/>
        <v>179453</v>
      </c>
      <c r="CA636" s="1894">
        <f t="shared" si="256"/>
        <v>0</v>
      </c>
      <c r="CB636" s="1894">
        <v>834</v>
      </c>
      <c r="CC636" s="1894">
        <v>528.80000000000007</v>
      </c>
      <c r="CD636" s="1894">
        <v>667.2</v>
      </c>
      <c r="CE636" s="1894">
        <v>0.97499999999999998</v>
      </c>
      <c r="CF636" s="1894">
        <v>69.45</v>
      </c>
      <c r="CG636" s="1894">
        <v>264405</v>
      </c>
      <c r="CH636" s="1894">
        <f t="shared" si="257"/>
        <v>236056</v>
      </c>
      <c r="CI636" s="1894">
        <f t="shared" si="258"/>
        <v>28349</v>
      </c>
      <c r="CJ636" s="1894">
        <v>834</v>
      </c>
      <c r="CK636" s="1894">
        <v>566</v>
      </c>
      <c r="CL636" s="1894">
        <v>667.2</v>
      </c>
      <c r="CM636" s="1894">
        <v>0.96519999999999995</v>
      </c>
      <c r="CN636" s="1894">
        <v>63.71</v>
      </c>
      <c r="CO636" s="1894">
        <v>268305</v>
      </c>
      <c r="CP636" s="1894">
        <f t="shared" si="259"/>
        <v>228211</v>
      </c>
      <c r="CQ636" s="1894">
        <f t="shared" si="260"/>
        <v>40094</v>
      </c>
      <c r="CR636" s="1924">
        <v>834</v>
      </c>
      <c r="CS636" s="1924">
        <v>608.40000000000009</v>
      </c>
      <c r="CT636" s="1924">
        <v>667.2</v>
      </c>
      <c r="CU636" s="1924">
        <v>0.96150000000000002</v>
      </c>
      <c r="CV636" s="1924">
        <v>65.12</v>
      </c>
      <c r="CW636" s="1924">
        <v>275755</v>
      </c>
      <c r="CX636" s="1894">
        <f t="shared" si="261"/>
        <v>271590</v>
      </c>
      <c r="CY636" s="1894">
        <f t="shared" si="262"/>
        <v>4165</v>
      </c>
    </row>
    <row r="637" spans="1:103">
      <c r="A637" s="982">
        <v>622000000090</v>
      </c>
      <c r="B637" s="1923">
        <f t="shared" si="263"/>
        <v>631</v>
      </c>
      <c r="C637" s="1895" t="s">
        <v>3502</v>
      </c>
      <c r="D637" s="1894" t="s">
        <v>524</v>
      </c>
      <c r="E637" s="1895" t="s">
        <v>541</v>
      </c>
      <c r="F637" s="1894" t="s">
        <v>259</v>
      </c>
      <c r="G637" s="1924">
        <v>850</v>
      </c>
      <c r="H637" s="1894">
        <v>850</v>
      </c>
      <c r="I637" s="1894">
        <v>742.8</v>
      </c>
      <c r="J637" s="1894">
        <v>742.8</v>
      </c>
      <c r="K637" s="1894">
        <v>0.9869</v>
      </c>
      <c r="L637" s="1894">
        <v>83.04</v>
      </c>
      <c r="M637" s="1894">
        <v>444135</v>
      </c>
      <c r="N637" s="1894">
        <f t="shared" si="241"/>
        <v>320890</v>
      </c>
      <c r="O637" s="1894">
        <f t="shared" si="242"/>
        <v>123245</v>
      </c>
      <c r="P637" s="1894">
        <v>850</v>
      </c>
      <c r="Q637" s="1894">
        <v>732</v>
      </c>
      <c r="R637" s="1894">
        <v>732</v>
      </c>
      <c r="S637" s="1894">
        <v>0.98640000000000005</v>
      </c>
      <c r="T637" s="1894">
        <v>84.89</v>
      </c>
      <c r="U637" s="1894">
        <v>462307</v>
      </c>
      <c r="V637" s="1894">
        <f t="shared" si="243"/>
        <v>326765</v>
      </c>
      <c r="W637" s="1894">
        <f t="shared" si="244"/>
        <v>135542</v>
      </c>
      <c r="X637" s="1894">
        <v>850</v>
      </c>
      <c r="Y637" s="1894">
        <v>798.6</v>
      </c>
      <c r="Z637" s="1894">
        <v>798.6</v>
      </c>
      <c r="AA637" s="1894">
        <v>0.97589999999999999</v>
      </c>
      <c r="AB637" s="1894">
        <v>78.650000000000006</v>
      </c>
      <c r="AC637" s="1894">
        <v>452213</v>
      </c>
      <c r="AD637" s="1894">
        <f t="shared" si="245"/>
        <v>344995</v>
      </c>
      <c r="AE637" s="1894">
        <f t="shared" si="246"/>
        <v>107218</v>
      </c>
      <c r="AF637" s="1894">
        <v>850</v>
      </c>
      <c r="AG637" s="1894">
        <v>728.4</v>
      </c>
      <c r="AH637" s="1894">
        <v>728.4</v>
      </c>
      <c r="AI637" s="1894">
        <v>0.99319999999999997</v>
      </c>
      <c r="AJ637" s="1894">
        <v>53.84</v>
      </c>
      <c r="AK637" s="1894">
        <v>291795</v>
      </c>
      <c r="AL637" s="1894">
        <f t="shared" si="239"/>
        <v>325158</v>
      </c>
      <c r="AM637" s="1894">
        <f t="shared" si="240"/>
        <v>0</v>
      </c>
      <c r="AN637" s="1894">
        <v>850</v>
      </c>
      <c r="AO637" s="1894">
        <v>702.6</v>
      </c>
      <c r="AP637" s="1894">
        <v>702.6</v>
      </c>
      <c r="AQ637" s="1894">
        <v>0.99029999999999996</v>
      </c>
      <c r="AR637" s="1894">
        <v>75.38</v>
      </c>
      <c r="AS637" s="1894">
        <v>394027</v>
      </c>
      <c r="AT637" s="1894">
        <f t="shared" si="247"/>
        <v>313641</v>
      </c>
      <c r="AU637" s="1894">
        <f t="shared" si="248"/>
        <v>80386</v>
      </c>
      <c r="AV637" s="1894">
        <v>850</v>
      </c>
      <c r="AW637" s="1894">
        <v>698.4</v>
      </c>
      <c r="AX637" s="1894">
        <v>698.4</v>
      </c>
      <c r="AY637" s="1894">
        <v>0.99250000000000005</v>
      </c>
      <c r="AZ637" s="1894">
        <v>82.8</v>
      </c>
      <c r="BA637" s="1894">
        <v>416370</v>
      </c>
      <c r="BB637" s="1894">
        <f t="shared" si="249"/>
        <v>301709</v>
      </c>
      <c r="BC637" s="1894">
        <f t="shared" si="250"/>
        <v>114661</v>
      </c>
      <c r="BD637" s="1894">
        <v>850</v>
      </c>
      <c r="BE637" s="1894">
        <v>714.6</v>
      </c>
      <c r="BF637" s="1894">
        <v>714.6</v>
      </c>
      <c r="BG637" s="1894">
        <v>0.98870000000000002</v>
      </c>
      <c r="BH637" s="1894">
        <v>76.97</v>
      </c>
      <c r="BI637" s="1894">
        <v>409238</v>
      </c>
      <c r="BJ637" s="1894">
        <f t="shared" si="251"/>
        <v>318997</v>
      </c>
      <c r="BK637" s="1894">
        <f t="shared" si="252"/>
        <v>90241</v>
      </c>
      <c r="BL637" s="1894">
        <v>850</v>
      </c>
      <c r="BM637" s="1894">
        <v>714.6</v>
      </c>
      <c r="BN637" s="1894">
        <v>714.6</v>
      </c>
      <c r="BO637" s="1894">
        <v>0.99019999999999997</v>
      </c>
      <c r="BP637" s="1894">
        <v>86.29</v>
      </c>
      <c r="BQ637" s="1894">
        <v>443955</v>
      </c>
      <c r="BR637" s="1894">
        <f t="shared" si="253"/>
        <v>308707</v>
      </c>
      <c r="BS637" s="1894">
        <f t="shared" si="254"/>
        <v>135248</v>
      </c>
      <c r="BT637" s="1894">
        <v>850</v>
      </c>
      <c r="BU637" s="1894">
        <v>741.6</v>
      </c>
      <c r="BV637" s="1894">
        <v>741.6</v>
      </c>
      <c r="BW637" s="1894">
        <v>0.99309999999999998</v>
      </c>
      <c r="BX637" s="1894">
        <v>76.260000000000005</v>
      </c>
      <c r="BY637" s="1894">
        <v>420780</v>
      </c>
      <c r="BZ637" s="1894">
        <f t="shared" si="255"/>
        <v>331050</v>
      </c>
      <c r="CA637" s="1894">
        <f t="shared" si="256"/>
        <v>89730</v>
      </c>
      <c r="CB637" s="1894">
        <v>850</v>
      </c>
      <c r="CC637" s="1894">
        <v>799.8</v>
      </c>
      <c r="CD637" s="1894">
        <v>799.8</v>
      </c>
      <c r="CE637" s="1894">
        <v>0.98850000000000005</v>
      </c>
      <c r="CF637" s="1894">
        <v>80.92</v>
      </c>
      <c r="CG637" s="1894">
        <v>481500</v>
      </c>
      <c r="CH637" s="1894">
        <f t="shared" si="257"/>
        <v>357031</v>
      </c>
      <c r="CI637" s="1894">
        <f t="shared" si="258"/>
        <v>124469</v>
      </c>
      <c r="CJ637" s="1894">
        <v>850</v>
      </c>
      <c r="CK637" s="1894">
        <v>748.2</v>
      </c>
      <c r="CL637" s="1894">
        <v>748.2</v>
      </c>
      <c r="CM637" s="1894">
        <v>0.99160000000000004</v>
      </c>
      <c r="CN637" s="1894">
        <v>85.67</v>
      </c>
      <c r="CO637" s="1894">
        <v>430733</v>
      </c>
      <c r="CP637" s="1894">
        <f t="shared" si="259"/>
        <v>301674</v>
      </c>
      <c r="CQ637" s="1894">
        <f t="shared" si="260"/>
        <v>129059</v>
      </c>
      <c r="CR637" s="1924">
        <v>850</v>
      </c>
      <c r="CS637" s="1924">
        <v>761.40000000000009</v>
      </c>
      <c r="CT637" s="1924">
        <v>761.4</v>
      </c>
      <c r="CU637" s="1924">
        <v>0.99250000000000005</v>
      </c>
      <c r="CV637" s="1924">
        <v>85.22</v>
      </c>
      <c r="CW637" s="1924">
        <v>482782</v>
      </c>
      <c r="CX637" s="1894">
        <f t="shared" si="261"/>
        <v>339889</v>
      </c>
      <c r="CY637" s="1894">
        <f t="shared" si="262"/>
        <v>142893</v>
      </c>
    </row>
    <row r="638" spans="1:103">
      <c r="A638" s="982">
        <v>122000000011</v>
      </c>
      <c r="B638" s="1923">
        <f t="shared" si="263"/>
        <v>632</v>
      </c>
      <c r="C638" s="1895" t="s">
        <v>3503</v>
      </c>
      <c r="D638" s="1894" t="s">
        <v>524</v>
      </c>
      <c r="E638" s="1895" t="s">
        <v>541</v>
      </c>
      <c r="F638" s="1894" t="s">
        <v>259</v>
      </c>
      <c r="G638" s="1924">
        <v>860</v>
      </c>
      <c r="H638" s="1894">
        <v>860</v>
      </c>
      <c r="I638" s="1894">
        <v>780</v>
      </c>
      <c r="J638" s="1894">
        <v>780</v>
      </c>
      <c r="K638" s="1894">
        <v>0.99780000000000002</v>
      </c>
      <c r="L638" s="1894">
        <v>79.790000000000006</v>
      </c>
      <c r="M638" s="1894">
        <v>492920</v>
      </c>
      <c r="N638" s="1894">
        <f t="shared" si="241"/>
        <v>336960</v>
      </c>
      <c r="O638" s="1894">
        <f t="shared" si="242"/>
        <v>155960</v>
      </c>
      <c r="P638" s="1894">
        <v>860</v>
      </c>
      <c r="Q638" s="1894">
        <v>764</v>
      </c>
      <c r="R638" s="1894">
        <v>764</v>
      </c>
      <c r="S638" s="1894">
        <v>0.997</v>
      </c>
      <c r="T638" s="1894">
        <v>68.52</v>
      </c>
      <c r="U638" s="1894">
        <v>339245</v>
      </c>
      <c r="V638" s="1894">
        <f t="shared" si="243"/>
        <v>341050</v>
      </c>
      <c r="W638" s="1894">
        <f t="shared" si="244"/>
        <v>0</v>
      </c>
      <c r="X638" s="1894">
        <v>860</v>
      </c>
      <c r="Y638" s="1894">
        <v>775.2</v>
      </c>
      <c r="Z638" s="1894">
        <v>775.2</v>
      </c>
      <c r="AA638" s="1894">
        <v>0.99829999999999997</v>
      </c>
      <c r="AB638" s="1894">
        <v>77.14</v>
      </c>
      <c r="AC638" s="1894">
        <v>516660</v>
      </c>
      <c r="AD638" s="1894">
        <f t="shared" si="245"/>
        <v>334886</v>
      </c>
      <c r="AE638" s="1894">
        <f t="shared" si="246"/>
        <v>181774</v>
      </c>
      <c r="AF638" s="1894">
        <v>860</v>
      </c>
      <c r="AG638" s="1894">
        <v>718.40000000000009</v>
      </c>
      <c r="AH638" s="1894">
        <v>718.4</v>
      </c>
      <c r="AI638" s="1894">
        <v>0.99760000000000004</v>
      </c>
      <c r="AJ638" s="1894">
        <v>77.89</v>
      </c>
      <c r="AK638" s="1894">
        <v>416335</v>
      </c>
      <c r="AL638" s="1894">
        <f t="shared" si="239"/>
        <v>320694</v>
      </c>
      <c r="AM638" s="1894">
        <f t="shared" si="240"/>
        <v>95641</v>
      </c>
      <c r="AN638" s="1894">
        <v>860</v>
      </c>
      <c r="AO638" s="1894">
        <v>520</v>
      </c>
      <c r="AP638" s="1894">
        <v>688</v>
      </c>
      <c r="AQ638" s="1894">
        <v>0.99690000000000001</v>
      </c>
      <c r="AR638" s="1894">
        <v>98.5</v>
      </c>
      <c r="AS638" s="1894">
        <v>381080</v>
      </c>
      <c r="AT638" s="1894">
        <f t="shared" si="247"/>
        <v>232128</v>
      </c>
      <c r="AU638" s="1894">
        <f t="shared" si="248"/>
        <v>148952</v>
      </c>
      <c r="AV638" s="1894">
        <v>860</v>
      </c>
      <c r="AW638" s="1894">
        <v>780</v>
      </c>
      <c r="AX638" s="1894">
        <v>780</v>
      </c>
      <c r="AY638" s="1894">
        <v>0.99929999999999997</v>
      </c>
      <c r="AZ638" s="1894">
        <v>67.400000000000006</v>
      </c>
      <c r="BA638" s="1894">
        <v>378540</v>
      </c>
      <c r="BB638" s="1894">
        <f t="shared" si="249"/>
        <v>336960</v>
      </c>
      <c r="BC638" s="1894">
        <f t="shared" si="250"/>
        <v>41580</v>
      </c>
      <c r="BD638" s="1894">
        <v>860</v>
      </c>
      <c r="BE638" s="1894">
        <v>819.2</v>
      </c>
      <c r="BF638" s="1894">
        <v>819.2</v>
      </c>
      <c r="BG638" s="1894">
        <v>0.9778</v>
      </c>
      <c r="BH638" s="1894">
        <v>56.69</v>
      </c>
      <c r="BI638" s="1894">
        <v>345520</v>
      </c>
      <c r="BJ638" s="1894">
        <f t="shared" si="251"/>
        <v>365691</v>
      </c>
      <c r="BK638" s="1894">
        <f t="shared" si="252"/>
        <v>0</v>
      </c>
      <c r="BL638" s="1894">
        <v>860</v>
      </c>
      <c r="BM638" s="1894">
        <v>810.4</v>
      </c>
      <c r="BN638" s="1894">
        <v>810.4</v>
      </c>
      <c r="BO638" s="1894">
        <v>0.99029999999999996</v>
      </c>
      <c r="BP638" s="1894">
        <v>79.84</v>
      </c>
      <c r="BQ638" s="1894">
        <v>465845</v>
      </c>
      <c r="BR638" s="1894">
        <f t="shared" si="253"/>
        <v>350093</v>
      </c>
      <c r="BS638" s="1894">
        <f t="shared" si="254"/>
        <v>115752</v>
      </c>
      <c r="BT638" s="1894">
        <v>860</v>
      </c>
      <c r="BU638" s="1894">
        <v>797.2</v>
      </c>
      <c r="BV638" s="1894">
        <v>797.2</v>
      </c>
      <c r="BW638" s="1894">
        <v>0.99850000000000005</v>
      </c>
      <c r="BX638" s="1894">
        <v>78.14</v>
      </c>
      <c r="BY638" s="1894">
        <v>463475</v>
      </c>
      <c r="BZ638" s="1894">
        <f t="shared" si="255"/>
        <v>355870</v>
      </c>
      <c r="CA638" s="1894">
        <f t="shared" si="256"/>
        <v>107605</v>
      </c>
      <c r="CB638" s="1894">
        <v>860</v>
      </c>
      <c r="CC638" s="1894">
        <v>785.2</v>
      </c>
      <c r="CD638" s="1894">
        <v>785.2</v>
      </c>
      <c r="CE638" s="1894">
        <v>0.99860000000000004</v>
      </c>
      <c r="CF638" s="1894">
        <v>74.349999999999994</v>
      </c>
      <c r="CG638" s="1894">
        <v>434370</v>
      </c>
      <c r="CH638" s="1894">
        <f t="shared" si="257"/>
        <v>350513</v>
      </c>
      <c r="CI638" s="1894">
        <f t="shared" si="258"/>
        <v>83857</v>
      </c>
      <c r="CJ638" s="1894">
        <v>860</v>
      </c>
      <c r="CK638" s="1894">
        <v>828.4</v>
      </c>
      <c r="CL638" s="1894">
        <v>828.4</v>
      </c>
      <c r="CM638" s="1894">
        <v>0.99739999999999995</v>
      </c>
      <c r="CN638" s="1894">
        <v>79.27</v>
      </c>
      <c r="CO638" s="1894">
        <v>441285</v>
      </c>
      <c r="CP638" s="1894">
        <f t="shared" si="259"/>
        <v>334011</v>
      </c>
      <c r="CQ638" s="1894">
        <f t="shared" si="260"/>
        <v>107274</v>
      </c>
      <c r="CR638" s="1924">
        <v>860</v>
      </c>
      <c r="CS638" s="1924">
        <v>806</v>
      </c>
      <c r="CT638" s="1924">
        <v>806</v>
      </c>
      <c r="CU638" s="1924">
        <v>0.99760000000000004</v>
      </c>
      <c r="CV638" s="1924">
        <v>77.349999999999994</v>
      </c>
      <c r="CW638" s="1924">
        <v>463820</v>
      </c>
      <c r="CX638" s="1894">
        <f t="shared" si="261"/>
        <v>359798</v>
      </c>
      <c r="CY638" s="1894">
        <f t="shared" si="262"/>
        <v>104022</v>
      </c>
    </row>
    <row r="639" spans="1:103">
      <c r="A639" s="982">
        <v>122000000084</v>
      </c>
      <c r="B639" s="1923">
        <f t="shared" si="263"/>
        <v>633</v>
      </c>
      <c r="C639" s="1895" t="s">
        <v>3504</v>
      </c>
      <c r="D639" s="1894" t="s">
        <v>524</v>
      </c>
      <c r="E639" s="1895" t="s">
        <v>737</v>
      </c>
      <c r="F639" s="1894" t="s">
        <v>259</v>
      </c>
      <c r="G639" s="1924">
        <v>860</v>
      </c>
      <c r="H639" s="1894">
        <v>860</v>
      </c>
      <c r="I639" s="1894">
        <v>303.60000000000002</v>
      </c>
      <c r="J639" s="1894">
        <v>688</v>
      </c>
      <c r="K639" s="1894">
        <v>0.99860000000000004</v>
      </c>
      <c r="L639" s="1894">
        <v>37.270000000000003</v>
      </c>
      <c r="M639" s="1894">
        <v>81468</v>
      </c>
      <c r="N639" s="1894">
        <f t="shared" si="241"/>
        <v>131155</v>
      </c>
      <c r="O639" s="1894">
        <f t="shared" si="242"/>
        <v>0</v>
      </c>
      <c r="P639" s="1894">
        <v>860</v>
      </c>
      <c r="Q639" s="1894">
        <v>336.00000000000006</v>
      </c>
      <c r="R639" s="1894">
        <v>688</v>
      </c>
      <c r="S639" s="1894">
        <v>0.99770000000000003</v>
      </c>
      <c r="T639" s="1894">
        <v>39.24</v>
      </c>
      <c r="U639" s="1894">
        <v>98082</v>
      </c>
      <c r="V639" s="1894">
        <f t="shared" si="243"/>
        <v>149990</v>
      </c>
      <c r="W639" s="1894">
        <f t="shared" si="244"/>
        <v>0</v>
      </c>
      <c r="X639" s="1894">
        <v>860</v>
      </c>
      <c r="Y639" s="1894">
        <v>347.52000000000004</v>
      </c>
      <c r="Z639" s="1894">
        <v>688</v>
      </c>
      <c r="AA639" s="1894">
        <v>0.99829999999999997</v>
      </c>
      <c r="AB639" s="1894">
        <v>36.909999999999997</v>
      </c>
      <c r="AC639" s="1894">
        <v>92352</v>
      </c>
      <c r="AD639" s="1894">
        <f t="shared" si="245"/>
        <v>150129</v>
      </c>
      <c r="AE639" s="1894">
        <f t="shared" si="246"/>
        <v>0</v>
      </c>
      <c r="AF639" s="1894">
        <v>860</v>
      </c>
      <c r="AG639" s="1894">
        <v>371.52</v>
      </c>
      <c r="AH639" s="1894">
        <v>688</v>
      </c>
      <c r="AI639" s="1894">
        <v>0.99629999999999996</v>
      </c>
      <c r="AJ639" s="1894">
        <v>41.95</v>
      </c>
      <c r="AK639" s="1894">
        <v>115962</v>
      </c>
      <c r="AL639" s="1894">
        <f t="shared" si="239"/>
        <v>165847</v>
      </c>
      <c r="AM639" s="1894">
        <f t="shared" si="240"/>
        <v>0</v>
      </c>
      <c r="AN639" s="1894">
        <v>860</v>
      </c>
      <c r="AO639" s="1894">
        <v>138.24</v>
      </c>
      <c r="AP639" s="1894">
        <v>688</v>
      </c>
      <c r="AQ639" s="1894">
        <v>0.995</v>
      </c>
      <c r="AR639" s="1894">
        <v>101.83</v>
      </c>
      <c r="AS639" s="1894">
        <v>104736</v>
      </c>
      <c r="AT639" s="1894">
        <f t="shared" si="247"/>
        <v>61710</v>
      </c>
      <c r="AU639" s="1894">
        <f t="shared" si="248"/>
        <v>43026</v>
      </c>
      <c r="AV639" s="1894">
        <v>860</v>
      </c>
      <c r="AW639" s="1894">
        <v>372.96000000000004</v>
      </c>
      <c r="AX639" s="1894">
        <v>688</v>
      </c>
      <c r="AY639" s="1894">
        <v>0.99780000000000002</v>
      </c>
      <c r="AZ639" s="1894">
        <v>37.01</v>
      </c>
      <c r="BA639" s="1894">
        <v>99372</v>
      </c>
      <c r="BB639" s="1894">
        <f t="shared" si="249"/>
        <v>161119</v>
      </c>
      <c r="BC639" s="1894">
        <f t="shared" si="250"/>
        <v>0</v>
      </c>
      <c r="BD639" s="1894">
        <v>860</v>
      </c>
      <c r="BE639" s="1894">
        <v>372</v>
      </c>
      <c r="BF639" s="1894">
        <v>688</v>
      </c>
      <c r="BG639" s="1894">
        <v>0.99639999999999995</v>
      </c>
      <c r="BH639" s="1894">
        <v>39.840000000000003</v>
      </c>
      <c r="BI639" s="1894">
        <v>110258</v>
      </c>
      <c r="BJ639" s="1894">
        <f t="shared" si="251"/>
        <v>166061</v>
      </c>
      <c r="BK639" s="1894">
        <f t="shared" si="252"/>
        <v>0</v>
      </c>
      <c r="BL639" s="1894">
        <v>860</v>
      </c>
      <c r="BM639" s="1894">
        <v>219.84</v>
      </c>
      <c r="BN639" s="1894">
        <v>688</v>
      </c>
      <c r="BO639" s="1894">
        <v>0.99970000000000003</v>
      </c>
      <c r="BP639" s="1894">
        <v>33.4</v>
      </c>
      <c r="BQ639" s="1894">
        <v>52872</v>
      </c>
      <c r="BR639" s="1894">
        <f t="shared" si="253"/>
        <v>94971</v>
      </c>
      <c r="BS639" s="1894">
        <f t="shared" si="254"/>
        <v>0</v>
      </c>
      <c r="BT639" s="1894">
        <v>860</v>
      </c>
      <c r="BU639" s="1894">
        <v>138.24</v>
      </c>
      <c r="BV639" s="1894">
        <v>688</v>
      </c>
      <c r="BW639" s="1894">
        <v>0.99980000000000002</v>
      </c>
      <c r="BX639" s="1894">
        <v>49.16</v>
      </c>
      <c r="BY639" s="1894">
        <v>50562</v>
      </c>
      <c r="BZ639" s="1894">
        <f t="shared" si="255"/>
        <v>61710</v>
      </c>
      <c r="CA639" s="1894">
        <f t="shared" si="256"/>
        <v>0</v>
      </c>
      <c r="CB639" s="1894">
        <v>860</v>
      </c>
      <c r="CC639" s="1894">
        <v>145.91999999999999</v>
      </c>
      <c r="CD639" s="1894">
        <v>688</v>
      </c>
      <c r="CE639" s="1894">
        <v>1.0001</v>
      </c>
      <c r="CF639" s="1894">
        <v>50.89</v>
      </c>
      <c r="CG639" s="1894">
        <v>55248</v>
      </c>
      <c r="CH639" s="1894">
        <f t="shared" si="257"/>
        <v>65139</v>
      </c>
      <c r="CI639" s="1894">
        <f t="shared" si="258"/>
        <v>0</v>
      </c>
      <c r="CJ639" s="1894">
        <v>860</v>
      </c>
      <c r="CK639" s="1894">
        <v>250.56</v>
      </c>
      <c r="CL639" s="1894">
        <v>688</v>
      </c>
      <c r="CM639" s="1894">
        <v>0.99960000000000004</v>
      </c>
      <c r="CN639" s="1894">
        <v>34.979999999999997</v>
      </c>
      <c r="CO639" s="1894">
        <v>56790</v>
      </c>
      <c r="CP639" s="1894">
        <f t="shared" si="259"/>
        <v>101026</v>
      </c>
      <c r="CQ639" s="1894">
        <f t="shared" si="260"/>
        <v>0</v>
      </c>
      <c r="CR639" s="1924">
        <v>860</v>
      </c>
      <c r="CS639" s="1924">
        <v>309.12</v>
      </c>
      <c r="CT639" s="1924">
        <v>688</v>
      </c>
      <c r="CU639" s="1924">
        <v>0.99880000000000002</v>
      </c>
      <c r="CV639" s="1924">
        <v>36.18</v>
      </c>
      <c r="CW639" s="1924">
        <v>69780</v>
      </c>
      <c r="CX639" s="1894">
        <f t="shared" si="261"/>
        <v>137991</v>
      </c>
      <c r="CY639" s="1894">
        <f t="shared" si="262"/>
        <v>0</v>
      </c>
    </row>
    <row r="640" spans="1:103">
      <c r="A640" s="982">
        <v>121000000093</v>
      </c>
      <c r="B640" s="1923">
        <f t="shared" si="263"/>
        <v>634</v>
      </c>
      <c r="C640" s="1895" t="s">
        <v>3505</v>
      </c>
      <c r="D640" s="1894" t="s">
        <v>524</v>
      </c>
      <c r="E640" s="1895" t="s">
        <v>541</v>
      </c>
      <c r="F640" s="1894" t="s">
        <v>259</v>
      </c>
      <c r="G640" s="1924">
        <v>889</v>
      </c>
      <c r="H640" s="1894">
        <v>889</v>
      </c>
      <c r="I640" s="1894">
        <v>279.36</v>
      </c>
      <c r="J640" s="1894">
        <v>711.2</v>
      </c>
      <c r="K640" s="1894">
        <v>0.86399999999999999</v>
      </c>
      <c r="L640" s="1894">
        <v>19.95</v>
      </c>
      <c r="M640" s="1894">
        <v>42804</v>
      </c>
      <c r="N640" s="1894">
        <f t="shared" si="241"/>
        <v>120684</v>
      </c>
      <c r="O640" s="1894">
        <f t="shared" si="242"/>
        <v>0</v>
      </c>
      <c r="P640" s="1894">
        <v>889</v>
      </c>
      <c r="Q640" s="1894">
        <v>584.16</v>
      </c>
      <c r="R640" s="1894">
        <v>711.2</v>
      </c>
      <c r="S640" s="1894">
        <v>0.85750000000000004</v>
      </c>
      <c r="T640" s="1894">
        <v>18.23</v>
      </c>
      <c r="U640" s="1894">
        <v>74106</v>
      </c>
      <c r="V640" s="1894">
        <f t="shared" si="243"/>
        <v>260769</v>
      </c>
      <c r="W640" s="1894">
        <f t="shared" si="244"/>
        <v>0</v>
      </c>
      <c r="X640" s="1894">
        <v>889</v>
      </c>
      <c r="Y640" s="1894">
        <v>783.36</v>
      </c>
      <c r="Z640" s="1894">
        <v>783.36</v>
      </c>
      <c r="AA640" s="1894">
        <v>0.80179999999999996</v>
      </c>
      <c r="AB640" s="1894">
        <v>37.1</v>
      </c>
      <c r="AC640" s="1894">
        <v>223218</v>
      </c>
      <c r="AD640" s="1894">
        <f t="shared" si="245"/>
        <v>338412</v>
      </c>
      <c r="AE640" s="1894">
        <f t="shared" si="246"/>
        <v>0</v>
      </c>
      <c r="AF640" s="1894">
        <v>889</v>
      </c>
      <c r="AG640" s="1894">
        <v>829.92</v>
      </c>
      <c r="AH640" s="1894">
        <v>829.92</v>
      </c>
      <c r="AI640" s="1894">
        <v>0.80169999999999997</v>
      </c>
      <c r="AJ640" s="1894">
        <v>39.130000000000003</v>
      </c>
      <c r="AK640" s="1894">
        <v>233844</v>
      </c>
      <c r="AL640" s="1894">
        <f t="shared" si="239"/>
        <v>370476</v>
      </c>
      <c r="AM640" s="1894">
        <f t="shared" si="240"/>
        <v>0</v>
      </c>
      <c r="AN640" s="1894">
        <v>889</v>
      </c>
      <c r="AO640" s="1894">
        <v>819.84</v>
      </c>
      <c r="AP640" s="1894">
        <v>819.84</v>
      </c>
      <c r="AQ640" s="1894">
        <v>0.79979999999999996</v>
      </c>
      <c r="AR640" s="1894">
        <v>24.66</v>
      </c>
      <c r="AS640" s="1894">
        <v>150396</v>
      </c>
      <c r="AT640" s="1894">
        <f t="shared" si="247"/>
        <v>365977</v>
      </c>
      <c r="AU640" s="1894">
        <f t="shared" si="248"/>
        <v>0</v>
      </c>
      <c r="AV640" s="1894">
        <v>889</v>
      </c>
      <c r="AW640" s="1894">
        <v>743.04</v>
      </c>
      <c r="AX640" s="1894">
        <v>743.04</v>
      </c>
      <c r="AY640" s="1894">
        <v>0.78500000000000003</v>
      </c>
      <c r="AZ640" s="1894">
        <v>33.94</v>
      </c>
      <c r="BA640" s="1894">
        <v>187620</v>
      </c>
      <c r="BB640" s="1894">
        <f t="shared" si="249"/>
        <v>320993</v>
      </c>
      <c r="BC640" s="1894">
        <f t="shared" si="250"/>
        <v>0</v>
      </c>
      <c r="BD640" s="1894">
        <v>889</v>
      </c>
      <c r="BE640" s="1894">
        <v>659.04000000000008</v>
      </c>
      <c r="BF640" s="1894">
        <v>711.2</v>
      </c>
      <c r="BG640" s="1894">
        <v>0.79400000000000004</v>
      </c>
      <c r="BH640" s="1894">
        <v>34.869999999999997</v>
      </c>
      <c r="BI640" s="1894">
        <v>170994</v>
      </c>
      <c r="BJ640" s="1894">
        <f t="shared" si="251"/>
        <v>294195</v>
      </c>
      <c r="BK640" s="1894">
        <f t="shared" si="252"/>
        <v>0</v>
      </c>
      <c r="BL640" s="1894">
        <v>889</v>
      </c>
      <c r="BM640" s="1894">
        <v>759.84</v>
      </c>
      <c r="BN640" s="1894">
        <v>759.84</v>
      </c>
      <c r="BO640" s="1894">
        <v>0.80310000000000004</v>
      </c>
      <c r="BP640" s="1894">
        <v>27.83</v>
      </c>
      <c r="BQ640" s="1894">
        <v>162432</v>
      </c>
      <c r="BR640" s="1894">
        <f t="shared" si="253"/>
        <v>328251</v>
      </c>
      <c r="BS640" s="1894">
        <f t="shared" si="254"/>
        <v>0</v>
      </c>
      <c r="BT640" s="1894">
        <v>889</v>
      </c>
      <c r="BU640" s="1894">
        <v>792.48</v>
      </c>
      <c r="BV640" s="1894">
        <v>792.48</v>
      </c>
      <c r="BW640" s="1894">
        <v>0.80210000000000004</v>
      </c>
      <c r="BX640" s="1894">
        <v>24.09</v>
      </c>
      <c r="BY640" s="1894">
        <v>142014</v>
      </c>
      <c r="BZ640" s="1894">
        <f t="shared" si="255"/>
        <v>353763</v>
      </c>
      <c r="CA640" s="1894">
        <f t="shared" si="256"/>
        <v>0</v>
      </c>
      <c r="CB640" s="1894">
        <v>889</v>
      </c>
      <c r="CC640" s="1894">
        <v>741.6</v>
      </c>
      <c r="CD640" s="1894">
        <v>741.6</v>
      </c>
      <c r="CE640" s="1894">
        <v>0.78769999999999996</v>
      </c>
      <c r="CF640" s="1894">
        <v>23.13</v>
      </c>
      <c r="CG640" s="1894">
        <v>119370</v>
      </c>
      <c r="CH640" s="1894">
        <f t="shared" si="257"/>
        <v>331050</v>
      </c>
      <c r="CI640" s="1894">
        <f t="shared" si="258"/>
        <v>0</v>
      </c>
      <c r="CJ640" s="1894">
        <v>889</v>
      </c>
      <c r="CK640" s="1894">
        <v>736.32</v>
      </c>
      <c r="CL640" s="1894">
        <v>736.32</v>
      </c>
      <c r="CM640" s="1894">
        <v>0.80189999999999995</v>
      </c>
      <c r="CN640" s="1894">
        <v>26.18</v>
      </c>
      <c r="CO640" s="1894">
        <v>129564</v>
      </c>
      <c r="CP640" s="1894">
        <f t="shared" si="259"/>
        <v>296884</v>
      </c>
      <c r="CQ640" s="1894">
        <f t="shared" si="260"/>
        <v>0</v>
      </c>
      <c r="CR640" s="1924">
        <v>889</v>
      </c>
      <c r="CS640" s="1924">
        <v>683.99999999999989</v>
      </c>
      <c r="CT640" s="1924">
        <v>711.2</v>
      </c>
      <c r="CU640" s="1924">
        <v>0.78420000000000001</v>
      </c>
      <c r="CV640" s="1924">
        <v>24.45</v>
      </c>
      <c r="CW640" s="1924">
        <v>120396</v>
      </c>
      <c r="CX640" s="1894">
        <f t="shared" si="261"/>
        <v>305338</v>
      </c>
      <c r="CY640" s="1894">
        <f t="shared" si="262"/>
        <v>0</v>
      </c>
    </row>
    <row r="641" spans="1:103">
      <c r="A641" s="982">
        <v>622000000161</v>
      </c>
      <c r="B641" s="1923">
        <f t="shared" si="263"/>
        <v>635</v>
      </c>
      <c r="C641" s="1895" t="s">
        <v>3465</v>
      </c>
      <c r="D641" s="1894" t="s">
        <v>524</v>
      </c>
      <c r="E641" s="1895" t="s">
        <v>541</v>
      </c>
      <c r="F641" s="1894" t="s">
        <v>259</v>
      </c>
      <c r="G641" s="1924">
        <v>889</v>
      </c>
      <c r="H641" s="1894">
        <v>889</v>
      </c>
      <c r="I641" s="1894">
        <v>876.6</v>
      </c>
      <c r="J641" s="1894">
        <v>876.6</v>
      </c>
      <c r="K641" s="1894">
        <v>0.91090000000000004</v>
      </c>
      <c r="L641" s="1894">
        <v>50.84</v>
      </c>
      <c r="M641" s="1894">
        <v>331545</v>
      </c>
      <c r="N641" s="1894">
        <f t="shared" si="241"/>
        <v>378691</v>
      </c>
      <c r="O641" s="1894">
        <f t="shared" si="242"/>
        <v>0</v>
      </c>
      <c r="P641" s="1894">
        <v>889</v>
      </c>
      <c r="Q641" s="1894">
        <v>845.99999999999989</v>
      </c>
      <c r="R641" s="1894">
        <v>846</v>
      </c>
      <c r="S641" s="1894">
        <v>0.92359999999999998</v>
      </c>
      <c r="T641" s="1894">
        <v>46.15</v>
      </c>
      <c r="U641" s="1894">
        <v>299828</v>
      </c>
      <c r="V641" s="1894">
        <f t="shared" si="243"/>
        <v>377654</v>
      </c>
      <c r="W641" s="1894">
        <f t="shared" si="244"/>
        <v>0</v>
      </c>
      <c r="X641" s="1894">
        <v>889</v>
      </c>
      <c r="Y641" s="1894">
        <v>816.00000000000011</v>
      </c>
      <c r="Z641" s="1894">
        <v>816</v>
      </c>
      <c r="AA641" s="1894">
        <v>0.92479999999999996</v>
      </c>
      <c r="AB641" s="1894">
        <v>52.46</v>
      </c>
      <c r="AC641" s="1894">
        <v>287655</v>
      </c>
      <c r="AD641" s="1894">
        <f t="shared" si="245"/>
        <v>352512</v>
      </c>
      <c r="AE641" s="1894">
        <f t="shared" si="246"/>
        <v>0</v>
      </c>
      <c r="AF641" s="1894">
        <v>889</v>
      </c>
      <c r="AG641" s="1894">
        <v>880.5</v>
      </c>
      <c r="AH641" s="1894">
        <v>880.5</v>
      </c>
      <c r="AI641" s="1894">
        <v>0.91810000000000003</v>
      </c>
      <c r="AJ641" s="1894">
        <v>43.55</v>
      </c>
      <c r="AK641" s="1894">
        <v>303727</v>
      </c>
      <c r="AL641" s="1894">
        <f t="shared" ref="AL641:AL653" si="264">+ROUND((24*31*0.6*AG641),0)</f>
        <v>393055</v>
      </c>
      <c r="AM641" s="1894">
        <f t="shared" ref="AM641:AM653" si="265">+MAX((AK641-AL641),0)</f>
        <v>0</v>
      </c>
      <c r="AN641" s="1894">
        <v>889</v>
      </c>
      <c r="AO641" s="1894">
        <v>906</v>
      </c>
      <c r="AP641" s="1894">
        <v>906</v>
      </c>
      <c r="AQ641" s="1894">
        <v>0.9</v>
      </c>
      <c r="AR641" s="1894">
        <v>34.979999999999997</v>
      </c>
      <c r="AS641" s="1894">
        <v>235778</v>
      </c>
      <c r="AT641" s="1894">
        <f t="shared" si="247"/>
        <v>404438</v>
      </c>
      <c r="AU641" s="1894">
        <f t="shared" si="248"/>
        <v>0</v>
      </c>
      <c r="AV641" s="1894">
        <v>889</v>
      </c>
      <c r="AW641" s="1894">
        <v>899.4</v>
      </c>
      <c r="AX641" s="1894">
        <v>899.4</v>
      </c>
      <c r="AY641" s="1894">
        <v>0.9052</v>
      </c>
      <c r="AZ641" s="1894">
        <v>24.09</v>
      </c>
      <c r="BA641" s="1894">
        <v>135180</v>
      </c>
      <c r="BB641" s="1894">
        <f t="shared" si="249"/>
        <v>388541</v>
      </c>
      <c r="BC641" s="1894">
        <f t="shared" si="250"/>
        <v>0</v>
      </c>
      <c r="BD641" s="1894">
        <v>889</v>
      </c>
      <c r="BE641" s="1894">
        <v>848.99999999999989</v>
      </c>
      <c r="BF641" s="1894">
        <v>849</v>
      </c>
      <c r="BG641" s="1894">
        <v>0.90739999999999998</v>
      </c>
      <c r="BH641" s="1894">
        <v>33.4</v>
      </c>
      <c r="BI641" s="1894">
        <v>238200</v>
      </c>
      <c r="BJ641" s="1894">
        <f t="shared" si="251"/>
        <v>378994</v>
      </c>
      <c r="BK641" s="1894">
        <f t="shared" si="252"/>
        <v>0</v>
      </c>
      <c r="BL641" s="1894">
        <v>889</v>
      </c>
      <c r="BM641" s="1894">
        <v>913.5</v>
      </c>
      <c r="BN641" s="1894">
        <v>913.5</v>
      </c>
      <c r="BO641" s="1894">
        <v>0.90500000000000003</v>
      </c>
      <c r="BP641" s="1894">
        <v>34.47</v>
      </c>
      <c r="BQ641" s="1894">
        <v>226703</v>
      </c>
      <c r="BR641" s="1894">
        <f t="shared" si="253"/>
        <v>394632</v>
      </c>
      <c r="BS641" s="1894">
        <f t="shared" si="254"/>
        <v>0</v>
      </c>
      <c r="BT641" s="1894">
        <v>889</v>
      </c>
      <c r="BU641" s="1894">
        <v>874.19999999999993</v>
      </c>
      <c r="BV641" s="1894">
        <v>874.2</v>
      </c>
      <c r="BW641" s="1894">
        <v>0.9052</v>
      </c>
      <c r="BX641" s="1894">
        <v>47.68</v>
      </c>
      <c r="BY641" s="1894">
        <v>310095</v>
      </c>
      <c r="BZ641" s="1894">
        <f t="shared" si="255"/>
        <v>390243</v>
      </c>
      <c r="CA641" s="1894">
        <f t="shared" si="256"/>
        <v>0</v>
      </c>
      <c r="CB641" s="1894">
        <v>889</v>
      </c>
      <c r="CC641" s="1894">
        <v>861.6</v>
      </c>
      <c r="CD641" s="1894">
        <v>861.6</v>
      </c>
      <c r="CE641" s="1894">
        <v>0.90180000000000005</v>
      </c>
      <c r="CF641" s="1894">
        <v>42.24</v>
      </c>
      <c r="CG641" s="1894">
        <v>270787</v>
      </c>
      <c r="CH641" s="1894">
        <f t="shared" si="257"/>
        <v>384618</v>
      </c>
      <c r="CI641" s="1894">
        <f t="shared" si="258"/>
        <v>0</v>
      </c>
      <c r="CJ641" s="1894">
        <v>889</v>
      </c>
      <c r="CK641" s="1894">
        <v>894</v>
      </c>
      <c r="CL641" s="1894">
        <v>894</v>
      </c>
      <c r="CM641" s="1894">
        <v>0.89</v>
      </c>
      <c r="CN641" s="1894">
        <v>41</v>
      </c>
      <c r="CO641" s="1894">
        <v>246308</v>
      </c>
      <c r="CP641" s="1894">
        <f t="shared" si="259"/>
        <v>360461</v>
      </c>
      <c r="CQ641" s="1894">
        <f t="shared" si="260"/>
        <v>0</v>
      </c>
      <c r="CR641" s="1924">
        <v>889</v>
      </c>
      <c r="CS641" s="1924">
        <v>880.19999999999993</v>
      </c>
      <c r="CT641" s="1924">
        <v>880.2</v>
      </c>
      <c r="CU641" s="1924">
        <v>0.88670000000000004</v>
      </c>
      <c r="CV641" s="1924">
        <v>43.2</v>
      </c>
      <c r="CW641" s="1924">
        <v>282907</v>
      </c>
      <c r="CX641" s="1894">
        <f t="shared" si="261"/>
        <v>392921</v>
      </c>
      <c r="CY641" s="1894">
        <f t="shared" si="262"/>
        <v>0</v>
      </c>
    </row>
    <row r="642" spans="1:103">
      <c r="A642" s="982">
        <v>621000000066</v>
      </c>
      <c r="B642" s="1923">
        <f t="shared" si="263"/>
        <v>636</v>
      </c>
      <c r="C642" s="1895" t="s">
        <v>3506</v>
      </c>
      <c r="D642" s="1894" t="s">
        <v>524</v>
      </c>
      <c r="E642" s="1895" t="s">
        <v>709</v>
      </c>
      <c r="F642" s="1894" t="s">
        <v>259</v>
      </c>
      <c r="G642" s="1924">
        <v>900</v>
      </c>
      <c r="H642" s="1894">
        <v>0</v>
      </c>
      <c r="I642" s="1894">
        <v>0</v>
      </c>
      <c r="J642" s="1894">
        <v>0</v>
      </c>
      <c r="K642" s="1894">
        <v>0</v>
      </c>
      <c r="L642" s="1894">
        <v>0</v>
      </c>
      <c r="M642" s="1894">
        <v>0</v>
      </c>
      <c r="N642" s="1894">
        <f t="shared" si="241"/>
        <v>0</v>
      </c>
      <c r="O642" s="1894">
        <f t="shared" si="242"/>
        <v>0</v>
      </c>
      <c r="P642" s="1894">
        <v>0</v>
      </c>
      <c r="Q642" s="1894">
        <v>0</v>
      </c>
      <c r="R642" s="1894">
        <v>0</v>
      </c>
      <c r="S642" s="1894">
        <v>0</v>
      </c>
      <c r="T642" s="1894">
        <v>0</v>
      </c>
      <c r="U642" s="1894">
        <v>0</v>
      </c>
      <c r="V642" s="1894">
        <f t="shared" si="243"/>
        <v>0</v>
      </c>
      <c r="W642" s="1894">
        <f t="shared" si="244"/>
        <v>0</v>
      </c>
      <c r="X642" s="1894">
        <v>0</v>
      </c>
      <c r="Y642" s="1894">
        <v>0</v>
      </c>
      <c r="Z642" s="1894">
        <v>0</v>
      </c>
      <c r="AA642" s="1894">
        <v>0</v>
      </c>
      <c r="AB642" s="1894">
        <v>0</v>
      </c>
      <c r="AC642" s="1894">
        <v>0</v>
      </c>
      <c r="AD642" s="1894">
        <f t="shared" si="245"/>
        <v>0</v>
      </c>
      <c r="AE642" s="1894">
        <f t="shared" si="246"/>
        <v>0</v>
      </c>
      <c r="AF642" s="1894">
        <v>0</v>
      </c>
      <c r="AG642" s="1894">
        <v>0</v>
      </c>
      <c r="AH642" s="1894">
        <v>0</v>
      </c>
      <c r="AI642" s="1894">
        <v>0</v>
      </c>
      <c r="AJ642" s="1894">
        <v>0</v>
      </c>
      <c r="AK642" s="1894">
        <v>0</v>
      </c>
      <c r="AL642" s="1894">
        <f t="shared" si="264"/>
        <v>0</v>
      </c>
      <c r="AM642" s="1894">
        <f t="shared" si="265"/>
        <v>0</v>
      </c>
      <c r="AN642" s="1894">
        <v>0</v>
      </c>
      <c r="AO642" s="1894">
        <v>0</v>
      </c>
      <c r="AP642" s="1894">
        <v>0</v>
      </c>
      <c r="AQ642" s="1894">
        <v>0</v>
      </c>
      <c r="AR642" s="1894">
        <v>0</v>
      </c>
      <c r="AS642" s="1894">
        <v>0</v>
      </c>
      <c r="AT642" s="1894">
        <f t="shared" si="247"/>
        <v>0</v>
      </c>
      <c r="AU642" s="1894">
        <f t="shared" si="248"/>
        <v>0</v>
      </c>
      <c r="AV642" s="1894">
        <v>0</v>
      </c>
      <c r="AW642" s="1894">
        <v>0</v>
      </c>
      <c r="AX642" s="1894">
        <v>0</v>
      </c>
      <c r="AY642" s="1894">
        <v>0</v>
      </c>
      <c r="AZ642" s="1894">
        <v>0</v>
      </c>
      <c r="BA642" s="1894">
        <v>0</v>
      </c>
      <c r="BB642" s="1894">
        <f t="shared" si="249"/>
        <v>0</v>
      </c>
      <c r="BC642" s="1894">
        <f t="shared" si="250"/>
        <v>0</v>
      </c>
      <c r="BD642" s="1894">
        <v>900</v>
      </c>
      <c r="BE642" s="1894">
        <v>622.08000000000004</v>
      </c>
      <c r="BF642" s="1894">
        <v>720</v>
      </c>
      <c r="BG642" s="1894">
        <v>0.98350000000000004</v>
      </c>
      <c r="BH642" s="1894">
        <v>1.05</v>
      </c>
      <c r="BI642" s="1894">
        <v>4374</v>
      </c>
      <c r="BJ642" s="1894">
        <f t="shared" si="251"/>
        <v>277697</v>
      </c>
      <c r="BK642" s="1894">
        <f t="shared" si="252"/>
        <v>0</v>
      </c>
      <c r="BL642" s="1894">
        <v>900</v>
      </c>
      <c r="BM642" s="1894">
        <v>10.8</v>
      </c>
      <c r="BN642" s="1894">
        <v>720</v>
      </c>
      <c r="BO642" s="1894">
        <v>0.995</v>
      </c>
      <c r="BP642" s="1894">
        <v>22.51</v>
      </c>
      <c r="BQ642" s="1894">
        <v>1809</v>
      </c>
      <c r="BR642" s="1894">
        <f t="shared" si="253"/>
        <v>4666</v>
      </c>
      <c r="BS642" s="1894">
        <f t="shared" si="254"/>
        <v>0</v>
      </c>
      <c r="BT642" s="1894">
        <v>900</v>
      </c>
      <c r="BU642" s="1894">
        <v>6.4799999999999995</v>
      </c>
      <c r="BV642" s="1894">
        <v>720</v>
      </c>
      <c r="BW642" s="1894">
        <v>1.0064</v>
      </c>
      <c r="BX642" s="1894">
        <v>28.03</v>
      </c>
      <c r="BY642" s="1894">
        <v>1395</v>
      </c>
      <c r="BZ642" s="1894">
        <f t="shared" si="255"/>
        <v>2893</v>
      </c>
      <c r="CA642" s="1894">
        <f t="shared" si="256"/>
        <v>0</v>
      </c>
      <c r="CB642" s="1894">
        <v>900</v>
      </c>
      <c r="CC642" s="1894">
        <v>6.4799999999999995</v>
      </c>
      <c r="CD642" s="1894">
        <v>720</v>
      </c>
      <c r="CE642" s="1894">
        <v>1</v>
      </c>
      <c r="CF642" s="1894">
        <v>26.32</v>
      </c>
      <c r="CG642" s="1894">
        <v>1269</v>
      </c>
      <c r="CH642" s="1894">
        <f t="shared" si="257"/>
        <v>2893</v>
      </c>
      <c r="CI642" s="1894">
        <f t="shared" si="258"/>
        <v>0</v>
      </c>
      <c r="CJ642" s="1894">
        <v>900</v>
      </c>
      <c r="CK642" s="1894">
        <v>376.56</v>
      </c>
      <c r="CL642" s="1894">
        <v>720</v>
      </c>
      <c r="CM642" s="1894">
        <v>0.96550000000000002</v>
      </c>
      <c r="CN642" s="1894">
        <v>0.21</v>
      </c>
      <c r="CO642" s="1894">
        <v>522</v>
      </c>
      <c r="CP642" s="1894">
        <f t="shared" si="259"/>
        <v>151829</v>
      </c>
      <c r="CQ642" s="1894">
        <f t="shared" si="260"/>
        <v>0</v>
      </c>
      <c r="CR642" s="1924">
        <v>900</v>
      </c>
      <c r="CS642" s="1924">
        <v>424.08</v>
      </c>
      <c r="CT642" s="1924">
        <v>720</v>
      </c>
      <c r="CU642" s="1924">
        <v>0.98839999999999995</v>
      </c>
      <c r="CV642" s="1924">
        <v>0.92</v>
      </c>
      <c r="CW642" s="1924">
        <v>2340</v>
      </c>
      <c r="CX642" s="1894">
        <f t="shared" si="261"/>
        <v>189309</v>
      </c>
      <c r="CY642" s="1894">
        <f t="shared" si="262"/>
        <v>0</v>
      </c>
    </row>
    <row r="643" spans="1:103">
      <c r="A643" s="982">
        <v>122000000082</v>
      </c>
      <c r="B643" s="1923">
        <f t="shared" si="263"/>
        <v>637</v>
      </c>
      <c r="C643" s="1895" t="s">
        <v>3507</v>
      </c>
      <c r="D643" s="1894" t="s">
        <v>524</v>
      </c>
      <c r="E643" s="1895" t="s">
        <v>623</v>
      </c>
      <c r="F643" s="1894" t="s">
        <v>259</v>
      </c>
      <c r="G643" s="1924">
        <v>900</v>
      </c>
      <c r="H643" s="1894">
        <v>900</v>
      </c>
      <c r="I643" s="1894">
        <v>760</v>
      </c>
      <c r="J643" s="1894">
        <v>900</v>
      </c>
      <c r="K643" s="1894">
        <v>0.94889999999999997</v>
      </c>
      <c r="L643" s="1894">
        <v>0</v>
      </c>
      <c r="M643" s="1894">
        <v>140585</v>
      </c>
      <c r="N643" s="1894">
        <f t="shared" si="241"/>
        <v>328320</v>
      </c>
      <c r="O643" s="1894">
        <f t="shared" si="242"/>
        <v>0</v>
      </c>
      <c r="P643" s="1894">
        <v>900</v>
      </c>
      <c r="Q643" s="1894">
        <v>870.80000000000007</v>
      </c>
      <c r="R643" s="1894">
        <v>900</v>
      </c>
      <c r="S643" s="1894">
        <v>0.91649999999999998</v>
      </c>
      <c r="T643" s="1894">
        <v>0</v>
      </c>
      <c r="U643" s="1894">
        <v>292760</v>
      </c>
      <c r="V643" s="1894">
        <f t="shared" si="243"/>
        <v>388725</v>
      </c>
      <c r="W643" s="1894">
        <f t="shared" si="244"/>
        <v>0</v>
      </c>
      <c r="X643" s="1894">
        <v>900</v>
      </c>
      <c r="Y643" s="1894">
        <v>889.59999999999991</v>
      </c>
      <c r="Z643" s="1894">
        <v>900</v>
      </c>
      <c r="AA643" s="1894">
        <v>0.90029999999999999</v>
      </c>
      <c r="AB643" s="1894">
        <v>0</v>
      </c>
      <c r="AC643" s="1894">
        <v>275630</v>
      </c>
      <c r="AD643" s="1894">
        <f t="shared" si="245"/>
        <v>384307</v>
      </c>
      <c r="AE643" s="1894">
        <f t="shared" si="246"/>
        <v>0</v>
      </c>
      <c r="AF643" s="1894">
        <v>900</v>
      </c>
      <c r="AG643" s="1894">
        <v>837.6</v>
      </c>
      <c r="AH643" s="1894">
        <v>900</v>
      </c>
      <c r="AI643" s="1894">
        <v>0.8992</v>
      </c>
      <c r="AJ643" s="1894">
        <v>0</v>
      </c>
      <c r="AK643" s="1894">
        <v>234725</v>
      </c>
      <c r="AL643" s="1894">
        <f t="shared" si="264"/>
        <v>373905</v>
      </c>
      <c r="AM643" s="1894">
        <f t="shared" si="265"/>
        <v>0</v>
      </c>
      <c r="AN643" s="1894">
        <v>900</v>
      </c>
      <c r="AO643" s="1894">
        <v>812.8</v>
      </c>
      <c r="AP643" s="1894">
        <v>900</v>
      </c>
      <c r="AQ643" s="1894">
        <v>0.91010000000000002</v>
      </c>
      <c r="AR643" s="1894">
        <v>0</v>
      </c>
      <c r="AS643" s="1894">
        <v>228535</v>
      </c>
      <c r="AT643" s="1894">
        <f t="shared" si="247"/>
        <v>362834</v>
      </c>
      <c r="AU643" s="1894">
        <f t="shared" si="248"/>
        <v>0</v>
      </c>
      <c r="AV643" s="1894">
        <v>900</v>
      </c>
      <c r="AW643" s="1894">
        <v>738.80000000000007</v>
      </c>
      <c r="AX643" s="1894">
        <v>900</v>
      </c>
      <c r="AY643" s="1894">
        <v>0.98550000000000004</v>
      </c>
      <c r="AZ643" s="1894">
        <v>0</v>
      </c>
      <c r="BA643" s="1894">
        <v>214800</v>
      </c>
      <c r="BB643" s="1894">
        <f t="shared" si="249"/>
        <v>319162</v>
      </c>
      <c r="BC643" s="1894">
        <f t="shared" si="250"/>
        <v>0</v>
      </c>
      <c r="BD643" s="1894">
        <v>900</v>
      </c>
      <c r="BE643" s="1894">
        <v>738.4</v>
      </c>
      <c r="BF643" s="1894">
        <v>900</v>
      </c>
      <c r="BG643" s="1894">
        <v>0.98199999999999998</v>
      </c>
      <c r="BH643" s="1894">
        <v>0</v>
      </c>
      <c r="BI643" s="1894">
        <v>227270</v>
      </c>
      <c r="BJ643" s="1894">
        <f t="shared" si="251"/>
        <v>329622</v>
      </c>
      <c r="BK643" s="1894">
        <f t="shared" si="252"/>
        <v>0</v>
      </c>
      <c r="BL643" s="1894">
        <v>900</v>
      </c>
      <c r="BM643" s="1894">
        <v>647.59999999999991</v>
      </c>
      <c r="BN643" s="1894">
        <v>900</v>
      </c>
      <c r="BO643" s="1894">
        <v>0.97599999999999998</v>
      </c>
      <c r="BP643" s="1894">
        <v>0</v>
      </c>
      <c r="BQ643" s="1894">
        <v>95530</v>
      </c>
      <c r="BR643" s="1894">
        <f t="shared" si="253"/>
        <v>279763</v>
      </c>
      <c r="BS643" s="1894">
        <f t="shared" si="254"/>
        <v>0</v>
      </c>
      <c r="BT643" s="1894">
        <v>900</v>
      </c>
      <c r="BU643" s="1894">
        <v>606</v>
      </c>
      <c r="BV643" s="1894">
        <v>900</v>
      </c>
      <c r="BW643" s="1894">
        <v>0.98380000000000001</v>
      </c>
      <c r="BX643" s="1894">
        <v>0</v>
      </c>
      <c r="BY643" s="1894">
        <v>74455</v>
      </c>
      <c r="BZ643" s="1894">
        <f t="shared" si="255"/>
        <v>270518</v>
      </c>
      <c r="CA643" s="1894">
        <f t="shared" si="256"/>
        <v>0</v>
      </c>
      <c r="CB643" s="1894">
        <v>900</v>
      </c>
      <c r="CC643" s="1894">
        <v>419.20000000000005</v>
      </c>
      <c r="CD643" s="1894">
        <v>900</v>
      </c>
      <c r="CE643" s="1894">
        <v>0.99670000000000003</v>
      </c>
      <c r="CF643" s="1894">
        <v>0</v>
      </c>
      <c r="CG643" s="1894">
        <v>32720</v>
      </c>
      <c r="CH643" s="1894">
        <f t="shared" si="257"/>
        <v>187131</v>
      </c>
      <c r="CI643" s="1894">
        <f t="shared" si="258"/>
        <v>0</v>
      </c>
      <c r="CJ643" s="1894">
        <v>900</v>
      </c>
      <c r="CK643" s="1894">
        <v>518.4</v>
      </c>
      <c r="CL643" s="1894">
        <v>900</v>
      </c>
      <c r="CM643" s="1894">
        <v>0.98970000000000002</v>
      </c>
      <c r="CN643" s="1894">
        <v>0</v>
      </c>
      <c r="CO643" s="1894">
        <v>53500</v>
      </c>
      <c r="CP643" s="1894">
        <f t="shared" si="259"/>
        <v>209019</v>
      </c>
      <c r="CQ643" s="1894">
        <f t="shared" si="260"/>
        <v>0</v>
      </c>
      <c r="CR643" s="1924">
        <v>900</v>
      </c>
      <c r="CS643" s="1924">
        <v>860.8</v>
      </c>
      <c r="CT643" s="1924">
        <v>900</v>
      </c>
      <c r="CU643" s="1924">
        <v>0.98550000000000004</v>
      </c>
      <c r="CV643" s="1924">
        <v>0</v>
      </c>
      <c r="CW643" s="1924">
        <v>128700</v>
      </c>
      <c r="CX643" s="1894">
        <f t="shared" si="261"/>
        <v>384261</v>
      </c>
      <c r="CY643" s="1894">
        <f t="shared" si="262"/>
        <v>0</v>
      </c>
    </row>
    <row r="644" spans="1:103">
      <c r="A644" s="982">
        <v>123000000075</v>
      </c>
      <c r="B644" s="1923">
        <f t="shared" si="263"/>
        <v>638</v>
      </c>
      <c r="C644" s="1895" t="s">
        <v>3508</v>
      </c>
      <c r="D644" s="1894" t="s">
        <v>524</v>
      </c>
      <c r="E644" s="1895" t="s">
        <v>541</v>
      </c>
      <c r="F644" s="1894" t="s">
        <v>259</v>
      </c>
      <c r="G644" s="1924">
        <v>900</v>
      </c>
      <c r="H644" s="1894">
        <v>900</v>
      </c>
      <c r="I644" s="1894">
        <v>831.00000000000011</v>
      </c>
      <c r="J644" s="1894">
        <v>831</v>
      </c>
      <c r="K644" s="1894">
        <v>0.99609999999999999</v>
      </c>
      <c r="L644" s="1894">
        <v>72.92</v>
      </c>
      <c r="M644" s="1894">
        <v>436320</v>
      </c>
      <c r="N644" s="1894">
        <f t="shared" si="241"/>
        <v>358992</v>
      </c>
      <c r="O644" s="1894">
        <f t="shared" si="242"/>
        <v>77328</v>
      </c>
      <c r="P644" s="1894">
        <v>900</v>
      </c>
      <c r="Q644" s="1894">
        <v>811.19999999999993</v>
      </c>
      <c r="R644" s="1894">
        <v>811.2</v>
      </c>
      <c r="S644" s="1894">
        <v>0.99619999999999997</v>
      </c>
      <c r="T644" s="1894">
        <v>75.87</v>
      </c>
      <c r="U644" s="1894">
        <v>457905</v>
      </c>
      <c r="V644" s="1894">
        <f t="shared" si="243"/>
        <v>362120</v>
      </c>
      <c r="W644" s="1894">
        <f t="shared" si="244"/>
        <v>95785</v>
      </c>
      <c r="X644" s="1894">
        <v>900</v>
      </c>
      <c r="Y644" s="1894">
        <v>793.2</v>
      </c>
      <c r="Z644" s="1894">
        <v>793.2</v>
      </c>
      <c r="AA644" s="1894">
        <v>0.996</v>
      </c>
      <c r="AB644" s="1894">
        <v>46.14</v>
      </c>
      <c r="AC644" s="1894">
        <v>263505</v>
      </c>
      <c r="AD644" s="1894">
        <f t="shared" si="245"/>
        <v>342662</v>
      </c>
      <c r="AE644" s="1894">
        <f t="shared" si="246"/>
        <v>0</v>
      </c>
      <c r="AF644" s="1894">
        <v>900</v>
      </c>
      <c r="AG644" s="1894">
        <v>805.80000000000007</v>
      </c>
      <c r="AH644" s="1894">
        <v>805.8</v>
      </c>
      <c r="AI644" s="1894">
        <v>0.99560000000000004</v>
      </c>
      <c r="AJ644" s="1894">
        <v>75.22</v>
      </c>
      <c r="AK644" s="1894">
        <v>450938</v>
      </c>
      <c r="AL644" s="1894">
        <f t="shared" si="264"/>
        <v>359709</v>
      </c>
      <c r="AM644" s="1894">
        <f t="shared" si="265"/>
        <v>91229</v>
      </c>
      <c r="AN644" s="1894">
        <v>900</v>
      </c>
      <c r="AO644" s="1894">
        <v>822.6</v>
      </c>
      <c r="AP644" s="1894">
        <v>822.6</v>
      </c>
      <c r="AQ644" s="1894">
        <v>0.99590000000000001</v>
      </c>
      <c r="AR644" s="1894">
        <v>74.08</v>
      </c>
      <c r="AS644" s="1894">
        <v>453382</v>
      </c>
      <c r="AT644" s="1894">
        <f t="shared" si="247"/>
        <v>367209</v>
      </c>
      <c r="AU644" s="1894">
        <f t="shared" si="248"/>
        <v>86173</v>
      </c>
      <c r="AV644" s="1894">
        <v>900</v>
      </c>
      <c r="AW644" s="1894">
        <v>816.00000000000011</v>
      </c>
      <c r="AX644" s="1894">
        <v>816</v>
      </c>
      <c r="AY644" s="1894">
        <v>0.99529999999999996</v>
      </c>
      <c r="AZ644" s="1894">
        <v>43.31</v>
      </c>
      <c r="BA644" s="1894">
        <v>254430</v>
      </c>
      <c r="BB644" s="1894">
        <f t="shared" si="249"/>
        <v>352512</v>
      </c>
      <c r="BC644" s="1894">
        <f t="shared" si="250"/>
        <v>0</v>
      </c>
      <c r="BD644" s="1894">
        <v>900</v>
      </c>
      <c r="BE644" s="1894">
        <v>794.4</v>
      </c>
      <c r="BF644" s="1894">
        <v>794.4</v>
      </c>
      <c r="BG644" s="1894">
        <v>0.99619999999999997</v>
      </c>
      <c r="BH644" s="1894">
        <v>57.82</v>
      </c>
      <c r="BI644" s="1894">
        <v>341745</v>
      </c>
      <c r="BJ644" s="1894">
        <f t="shared" si="251"/>
        <v>354620</v>
      </c>
      <c r="BK644" s="1894">
        <f t="shared" si="252"/>
        <v>0</v>
      </c>
      <c r="BL644" s="1894">
        <v>900</v>
      </c>
      <c r="BM644" s="1894">
        <v>781.2</v>
      </c>
      <c r="BN644" s="1894">
        <v>781.2</v>
      </c>
      <c r="BO644" s="1894">
        <v>0.997</v>
      </c>
      <c r="BP644" s="1894">
        <v>75.55</v>
      </c>
      <c r="BQ644" s="1894">
        <v>424942</v>
      </c>
      <c r="BR644" s="1894">
        <f t="shared" si="253"/>
        <v>337478</v>
      </c>
      <c r="BS644" s="1894">
        <f t="shared" si="254"/>
        <v>87464</v>
      </c>
      <c r="BT644" s="1894">
        <v>900</v>
      </c>
      <c r="BU644" s="1894">
        <v>772.2</v>
      </c>
      <c r="BV644" s="1894">
        <v>772.2</v>
      </c>
      <c r="BW644" s="1894">
        <v>0.99750000000000005</v>
      </c>
      <c r="BX644" s="1894">
        <v>80.44</v>
      </c>
      <c r="BY644" s="1894">
        <v>462158</v>
      </c>
      <c r="BZ644" s="1894">
        <f t="shared" si="255"/>
        <v>344710</v>
      </c>
      <c r="CA644" s="1894">
        <f t="shared" si="256"/>
        <v>117448</v>
      </c>
      <c r="CB644" s="1894">
        <v>900</v>
      </c>
      <c r="CC644" s="1894">
        <v>789.6</v>
      </c>
      <c r="CD644" s="1894">
        <v>789.6</v>
      </c>
      <c r="CE644" s="1894">
        <v>0.99770000000000003</v>
      </c>
      <c r="CF644" s="1894">
        <v>62.66</v>
      </c>
      <c r="CG644" s="1894">
        <v>368085</v>
      </c>
      <c r="CH644" s="1894">
        <f t="shared" si="257"/>
        <v>352477</v>
      </c>
      <c r="CI644" s="1894">
        <f t="shared" si="258"/>
        <v>15608</v>
      </c>
      <c r="CJ644" s="1894">
        <v>900</v>
      </c>
      <c r="CK644" s="1894">
        <v>778.2</v>
      </c>
      <c r="CL644" s="1894">
        <v>778.2</v>
      </c>
      <c r="CM644" s="1894">
        <v>0.99760000000000004</v>
      </c>
      <c r="CN644" s="1894">
        <v>55.7</v>
      </c>
      <c r="CO644" s="1894">
        <v>291270</v>
      </c>
      <c r="CP644" s="1894">
        <f t="shared" si="259"/>
        <v>313770</v>
      </c>
      <c r="CQ644" s="1894">
        <f t="shared" si="260"/>
        <v>0</v>
      </c>
      <c r="CR644" s="1924">
        <v>900</v>
      </c>
      <c r="CS644" s="1924">
        <v>745.2</v>
      </c>
      <c r="CT644" s="1924">
        <v>745.2</v>
      </c>
      <c r="CU644" s="1924">
        <v>0.99819999999999998</v>
      </c>
      <c r="CV644" s="1924">
        <v>54.05</v>
      </c>
      <c r="CW644" s="1924">
        <v>299693</v>
      </c>
      <c r="CX644" s="1894">
        <f t="shared" si="261"/>
        <v>332657</v>
      </c>
      <c r="CY644" s="1894">
        <f t="shared" si="262"/>
        <v>0</v>
      </c>
    </row>
    <row r="645" spans="1:103">
      <c r="A645" s="982">
        <v>611000000049</v>
      </c>
      <c r="B645" s="1923">
        <f t="shared" si="263"/>
        <v>639</v>
      </c>
      <c r="C645" s="1895" t="s">
        <v>3509</v>
      </c>
      <c r="D645" s="1894" t="s">
        <v>524</v>
      </c>
      <c r="E645" s="1895" t="s">
        <v>541</v>
      </c>
      <c r="F645" s="1894" t="s">
        <v>259</v>
      </c>
      <c r="G645" s="1924">
        <v>900</v>
      </c>
      <c r="H645" s="1894">
        <v>900</v>
      </c>
      <c r="I645" s="1894">
        <v>632.4</v>
      </c>
      <c r="J645" s="1894">
        <v>720</v>
      </c>
      <c r="K645" s="1894">
        <v>0.99890000000000001</v>
      </c>
      <c r="L645" s="1894">
        <v>63.64</v>
      </c>
      <c r="M645" s="1894">
        <v>289774</v>
      </c>
      <c r="N645" s="1894">
        <f t="shared" si="241"/>
        <v>273197</v>
      </c>
      <c r="O645" s="1894">
        <f t="shared" si="242"/>
        <v>16577</v>
      </c>
      <c r="P645" s="1894">
        <v>900</v>
      </c>
      <c r="Q645" s="1894">
        <v>606</v>
      </c>
      <c r="R645" s="1894">
        <v>720</v>
      </c>
      <c r="S645" s="1894">
        <v>0.99829999999999997</v>
      </c>
      <c r="T645" s="1894">
        <v>66.430000000000007</v>
      </c>
      <c r="U645" s="1894">
        <v>299505</v>
      </c>
      <c r="V645" s="1894">
        <f t="shared" si="243"/>
        <v>270518</v>
      </c>
      <c r="W645" s="1894">
        <f t="shared" si="244"/>
        <v>28987</v>
      </c>
      <c r="X645" s="1894">
        <v>900</v>
      </c>
      <c r="Y645" s="1894">
        <v>591</v>
      </c>
      <c r="Z645" s="1894">
        <v>720</v>
      </c>
      <c r="AA645" s="1894">
        <v>0.99870000000000003</v>
      </c>
      <c r="AB645" s="1894">
        <v>43.28</v>
      </c>
      <c r="AC645" s="1894">
        <v>184170</v>
      </c>
      <c r="AD645" s="1894">
        <f t="shared" si="245"/>
        <v>255312</v>
      </c>
      <c r="AE645" s="1894">
        <f t="shared" si="246"/>
        <v>0</v>
      </c>
      <c r="AF645" s="1894">
        <v>900</v>
      </c>
      <c r="AG645" s="1894">
        <v>609</v>
      </c>
      <c r="AH645" s="1894">
        <v>720</v>
      </c>
      <c r="AI645" s="1894">
        <v>0.99819999999999998</v>
      </c>
      <c r="AJ645" s="1894">
        <v>63.95</v>
      </c>
      <c r="AK645" s="1894">
        <v>289763</v>
      </c>
      <c r="AL645" s="1894">
        <f t="shared" si="264"/>
        <v>271858</v>
      </c>
      <c r="AM645" s="1894">
        <f t="shared" si="265"/>
        <v>17905</v>
      </c>
      <c r="AN645" s="1894">
        <v>900</v>
      </c>
      <c r="AO645" s="1894">
        <v>589.79999999999995</v>
      </c>
      <c r="AP645" s="1894">
        <v>720</v>
      </c>
      <c r="AQ645" s="1894">
        <v>0.99850000000000005</v>
      </c>
      <c r="AR645" s="1894">
        <v>67.92</v>
      </c>
      <c r="AS645" s="1894">
        <v>298035</v>
      </c>
      <c r="AT645" s="1894">
        <f t="shared" si="247"/>
        <v>263287</v>
      </c>
      <c r="AU645" s="1894">
        <f t="shared" si="248"/>
        <v>34748</v>
      </c>
      <c r="AV645" s="1894">
        <v>900</v>
      </c>
      <c r="AW645" s="1894">
        <v>624.6</v>
      </c>
      <c r="AX645" s="1894">
        <v>720</v>
      </c>
      <c r="AY645" s="1894">
        <v>0.99670000000000003</v>
      </c>
      <c r="AZ645" s="1894">
        <v>59.26</v>
      </c>
      <c r="BA645" s="1894">
        <v>266505</v>
      </c>
      <c r="BB645" s="1894">
        <f t="shared" si="249"/>
        <v>269827</v>
      </c>
      <c r="BC645" s="1894">
        <f t="shared" si="250"/>
        <v>0</v>
      </c>
      <c r="BD645" s="1894">
        <v>900</v>
      </c>
      <c r="BE645" s="1894">
        <v>577.79999999999995</v>
      </c>
      <c r="BF645" s="1894">
        <v>720</v>
      </c>
      <c r="BG645" s="1894">
        <v>0.99660000000000004</v>
      </c>
      <c r="BH645" s="1894">
        <v>37.020000000000003</v>
      </c>
      <c r="BI645" s="1894">
        <v>159157</v>
      </c>
      <c r="BJ645" s="1894">
        <f t="shared" si="251"/>
        <v>257930</v>
      </c>
      <c r="BK645" s="1894">
        <f t="shared" si="252"/>
        <v>0</v>
      </c>
      <c r="BL645" s="1894">
        <v>900</v>
      </c>
      <c r="BM645" s="1894">
        <v>631.80000000000007</v>
      </c>
      <c r="BN645" s="1894">
        <v>720</v>
      </c>
      <c r="BO645" s="1894">
        <v>0.9929</v>
      </c>
      <c r="BP645" s="1894">
        <v>43.66</v>
      </c>
      <c r="BQ645" s="1894">
        <v>198615</v>
      </c>
      <c r="BR645" s="1894">
        <f t="shared" si="253"/>
        <v>272938</v>
      </c>
      <c r="BS645" s="1894">
        <f t="shared" si="254"/>
        <v>0</v>
      </c>
      <c r="BT645" s="1894">
        <v>900</v>
      </c>
      <c r="BU645" s="1894">
        <v>603</v>
      </c>
      <c r="BV645" s="1894">
        <v>720</v>
      </c>
      <c r="BW645" s="1894">
        <v>0.996</v>
      </c>
      <c r="BX645" s="1894">
        <v>30.32</v>
      </c>
      <c r="BY645" s="1894">
        <v>136020</v>
      </c>
      <c r="BZ645" s="1894">
        <f t="shared" si="255"/>
        <v>269179</v>
      </c>
      <c r="CA645" s="1894">
        <f t="shared" si="256"/>
        <v>0</v>
      </c>
      <c r="CB645" s="1894">
        <v>900</v>
      </c>
      <c r="CC645" s="1894">
        <v>643.80000000000007</v>
      </c>
      <c r="CD645" s="1894">
        <v>720</v>
      </c>
      <c r="CE645" s="1894">
        <v>0.99480000000000002</v>
      </c>
      <c r="CF645" s="1894">
        <v>62.37</v>
      </c>
      <c r="CG645" s="1894">
        <v>298747</v>
      </c>
      <c r="CH645" s="1894">
        <f t="shared" si="257"/>
        <v>287392</v>
      </c>
      <c r="CI645" s="1894">
        <f t="shared" si="258"/>
        <v>11355</v>
      </c>
      <c r="CJ645" s="1894">
        <v>900</v>
      </c>
      <c r="CK645" s="1894">
        <v>629.4</v>
      </c>
      <c r="CL645" s="1894">
        <v>720</v>
      </c>
      <c r="CM645" s="1894">
        <v>0.99739999999999995</v>
      </c>
      <c r="CN645" s="1894">
        <v>64.98</v>
      </c>
      <c r="CO645" s="1894">
        <v>274830</v>
      </c>
      <c r="CP645" s="1894">
        <f t="shared" si="259"/>
        <v>253774</v>
      </c>
      <c r="CQ645" s="1894">
        <f t="shared" si="260"/>
        <v>21056</v>
      </c>
      <c r="CR645" s="1924">
        <v>900</v>
      </c>
      <c r="CS645" s="1924">
        <v>618</v>
      </c>
      <c r="CT645" s="1924">
        <v>720</v>
      </c>
      <c r="CU645" s="1924">
        <v>0.99809999999999999</v>
      </c>
      <c r="CV645" s="1924">
        <v>61.25</v>
      </c>
      <c r="CW645" s="1924">
        <v>281640</v>
      </c>
      <c r="CX645" s="1894">
        <f t="shared" si="261"/>
        <v>275875</v>
      </c>
      <c r="CY645" s="1894">
        <f t="shared" si="262"/>
        <v>5765</v>
      </c>
    </row>
    <row r="646" spans="1:103">
      <c r="A646" s="982">
        <v>611000000121</v>
      </c>
      <c r="B646" s="1923">
        <f t="shared" si="263"/>
        <v>640</v>
      </c>
      <c r="C646" s="1895" t="s">
        <v>3510</v>
      </c>
      <c r="D646" s="1894" t="s">
        <v>524</v>
      </c>
      <c r="E646" s="1895" t="s">
        <v>636</v>
      </c>
      <c r="F646" s="1894" t="s">
        <v>259</v>
      </c>
      <c r="G646" s="1924">
        <v>950</v>
      </c>
      <c r="H646" s="1894">
        <v>0</v>
      </c>
      <c r="I646" s="1894">
        <v>0</v>
      </c>
      <c r="J646" s="1894">
        <v>0</v>
      </c>
      <c r="K646" s="1894">
        <v>0</v>
      </c>
      <c r="L646" s="1894">
        <v>0</v>
      </c>
      <c r="M646" s="1894">
        <v>0</v>
      </c>
      <c r="N646" s="1894">
        <f t="shared" si="241"/>
        <v>0</v>
      </c>
      <c r="O646" s="1894">
        <f t="shared" si="242"/>
        <v>0</v>
      </c>
      <c r="P646" s="1894">
        <v>0</v>
      </c>
      <c r="Q646" s="1894">
        <v>0</v>
      </c>
      <c r="R646" s="1894">
        <v>0</v>
      </c>
      <c r="S646" s="1894">
        <v>0</v>
      </c>
      <c r="T646" s="1894">
        <v>0</v>
      </c>
      <c r="U646" s="1894">
        <v>0</v>
      </c>
      <c r="V646" s="1894">
        <f t="shared" si="243"/>
        <v>0</v>
      </c>
      <c r="W646" s="1894">
        <f t="shared" si="244"/>
        <v>0</v>
      </c>
      <c r="X646" s="1894">
        <v>0</v>
      </c>
      <c r="Y646" s="1894">
        <v>0</v>
      </c>
      <c r="Z646" s="1894">
        <v>0</v>
      </c>
      <c r="AA646" s="1894">
        <v>0</v>
      </c>
      <c r="AB646" s="1894">
        <v>0</v>
      </c>
      <c r="AC646" s="1894">
        <v>0</v>
      </c>
      <c r="AD646" s="1894">
        <f t="shared" si="245"/>
        <v>0</v>
      </c>
      <c r="AE646" s="1894">
        <f t="shared" si="246"/>
        <v>0</v>
      </c>
      <c r="AF646" s="1894">
        <v>0</v>
      </c>
      <c r="AG646" s="1894">
        <v>0</v>
      </c>
      <c r="AH646" s="1894">
        <v>0</v>
      </c>
      <c r="AI646" s="1894">
        <v>0</v>
      </c>
      <c r="AJ646" s="1894">
        <v>0</v>
      </c>
      <c r="AK646" s="1894">
        <v>0</v>
      </c>
      <c r="AL646" s="1894">
        <f t="shared" si="264"/>
        <v>0</v>
      </c>
      <c r="AM646" s="1894">
        <f t="shared" si="265"/>
        <v>0</v>
      </c>
      <c r="AN646" s="1894">
        <v>950</v>
      </c>
      <c r="AO646" s="1894">
        <v>160.80000000000001</v>
      </c>
      <c r="AP646" s="1894">
        <v>760</v>
      </c>
      <c r="AQ646" s="1894">
        <v>0.1096</v>
      </c>
      <c r="AR646" s="1894">
        <v>47.87</v>
      </c>
      <c r="AS646" s="1894">
        <v>11085</v>
      </c>
      <c r="AT646" s="1894">
        <f t="shared" si="247"/>
        <v>71781</v>
      </c>
      <c r="AU646" s="1894">
        <f t="shared" si="248"/>
        <v>0</v>
      </c>
      <c r="AV646" s="1894">
        <v>950</v>
      </c>
      <c r="AW646" s="1894">
        <v>958.8</v>
      </c>
      <c r="AX646" s="1894">
        <v>958.8</v>
      </c>
      <c r="AY646" s="1894">
        <v>0.67900000000000005</v>
      </c>
      <c r="AZ646" s="1894">
        <v>41.58</v>
      </c>
      <c r="BA646" s="1894">
        <v>287040</v>
      </c>
      <c r="BB646" s="1894">
        <f t="shared" si="249"/>
        <v>414202</v>
      </c>
      <c r="BC646" s="1894">
        <f t="shared" si="250"/>
        <v>0</v>
      </c>
      <c r="BD646" s="1894">
        <v>950</v>
      </c>
      <c r="BE646" s="1894">
        <v>763.2</v>
      </c>
      <c r="BF646" s="1894">
        <v>763.2</v>
      </c>
      <c r="BG646" s="1894">
        <v>0.879</v>
      </c>
      <c r="BH646" s="1894">
        <v>56.67</v>
      </c>
      <c r="BI646" s="1894">
        <v>342525</v>
      </c>
      <c r="BJ646" s="1894">
        <f t="shared" si="251"/>
        <v>340692</v>
      </c>
      <c r="BK646" s="1894">
        <f t="shared" si="252"/>
        <v>1833</v>
      </c>
      <c r="BL646" s="1894">
        <v>950</v>
      </c>
      <c r="BM646" s="1894">
        <v>745.2</v>
      </c>
      <c r="BN646" s="1894">
        <v>760</v>
      </c>
      <c r="BO646" s="1894">
        <v>0.91620000000000001</v>
      </c>
      <c r="BP646" s="1894">
        <v>54.92</v>
      </c>
      <c r="BQ646" s="1894">
        <v>294675</v>
      </c>
      <c r="BR646" s="1894">
        <f t="shared" si="253"/>
        <v>321926</v>
      </c>
      <c r="BS646" s="1894">
        <f t="shared" si="254"/>
        <v>0</v>
      </c>
      <c r="BT646" s="1894">
        <v>950</v>
      </c>
      <c r="BU646" s="1894">
        <v>702</v>
      </c>
      <c r="BV646" s="1894">
        <v>760</v>
      </c>
      <c r="BW646" s="1894">
        <v>0.87739999999999996</v>
      </c>
      <c r="BX646" s="1894">
        <v>41.94</v>
      </c>
      <c r="BY646" s="1894">
        <v>219030</v>
      </c>
      <c r="BZ646" s="1894">
        <f t="shared" si="255"/>
        <v>313373</v>
      </c>
      <c r="CA646" s="1894">
        <f t="shared" si="256"/>
        <v>0</v>
      </c>
      <c r="CB646" s="1894">
        <v>950</v>
      </c>
      <c r="CC646" s="1894">
        <v>571.20000000000005</v>
      </c>
      <c r="CD646" s="1894">
        <v>760</v>
      </c>
      <c r="CE646" s="1894">
        <v>0.85770000000000002</v>
      </c>
      <c r="CF646" s="1894">
        <v>41.57</v>
      </c>
      <c r="CG646" s="1894">
        <v>176670</v>
      </c>
      <c r="CH646" s="1894">
        <f t="shared" si="257"/>
        <v>254984</v>
      </c>
      <c r="CI646" s="1894">
        <f t="shared" si="258"/>
        <v>0</v>
      </c>
      <c r="CJ646" s="1894">
        <v>950</v>
      </c>
      <c r="CK646" s="1894">
        <v>570</v>
      </c>
      <c r="CL646" s="1894">
        <v>760</v>
      </c>
      <c r="CM646" s="1894">
        <v>0.81899999999999995</v>
      </c>
      <c r="CN646" s="1894">
        <v>39.92</v>
      </c>
      <c r="CO646" s="1894">
        <v>152910</v>
      </c>
      <c r="CP646" s="1894">
        <f t="shared" si="259"/>
        <v>229824</v>
      </c>
      <c r="CQ646" s="1894">
        <f t="shared" si="260"/>
        <v>0</v>
      </c>
      <c r="CR646" s="1924">
        <v>950</v>
      </c>
      <c r="CS646" s="1924">
        <v>744</v>
      </c>
      <c r="CT646" s="1924">
        <v>760</v>
      </c>
      <c r="CU646" s="1924">
        <v>0.83099999999999996</v>
      </c>
      <c r="CV646" s="1924">
        <v>32.840000000000003</v>
      </c>
      <c r="CW646" s="1924">
        <v>181800</v>
      </c>
      <c r="CX646" s="1894">
        <f t="shared" si="261"/>
        <v>332122</v>
      </c>
      <c r="CY646" s="1894">
        <f t="shared" si="262"/>
        <v>0</v>
      </c>
    </row>
    <row r="647" spans="1:103">
      <c r="A647" s="982">
        <v>622000000189</v>
      </c>
      <c r="B647" s="1923">
        <f t="shared" si="263"/>
        <v>641</v>
      </c>
      <c r="C647" s="1895" t="s">
        <v>3019</v>
      </c>
      <c r="D647" s="1894" t="s">
        <v>2930</v>
      </c>
      <c r="E647" s="1895" t="s">
        <v>541</v>
      </c>
      <c r="F647" s="1894" t="s">
        <v>259</v>
      </c>
      <c r="G647" s="1924">
        <v>950</v>
      </c>
      <c r="H647" s="1894">
        <v>950</v>
      </c>
      <c r="I647" s="1894">
        <v>154.79999999999998</v>
      </c>
      <c r="J647" s="1894">
        <v>760</v>
      </c>
      <c r="K647" s="1894">
        <v>0.81630000000000003</v>
      </c>
      <c r="L647" s="1894">
        <v>43.01</v>
      </c>
      <c r="M647" s="1894">
        <v>47934</v>
      </c>
      <c r="N647" s="1894">
        <f t="shared" ref="N647:N653" si="266">+ROUND((24*30*0.6*I647),0)</f>
        <v>66874</v>
      </c>
      <c r="O647" s="1894">
        <f t="shared" ref="O647:O653" si="267">+MAX((M647-N647),0)</f>
        <v>0</v>
      </c>
      <c r="P647" s="1894">
        <v>950</v>
      </c>
      <c r="Q647" s="1894">
        <v>120.24</v>
      </c>
      <c r="R647" s="1894">
        <v>760</v>
      </c>
      <c r="S647" s="1894">
        <v>0.81620000000000004</v>
      </c>
      <c r="T647" s="1894">
        <v>40.25</v>
      </c>
      <c r="U647" s="1894">
        <v>36009</v>
      </c>
      <c r="V647" s="1894">
        <f t="shared" ref="V647:V653" si="268">+ROUND((24*31*0.6*Q647),0)</f>
        <v>53675</v>
      </c>
      <c r="W647" s="1894">
        <f t="shared" ref="W647:W653" si="269">+MAX((U647-V647),0)</f>
        <v>0</v>
      </c>
      <c r="X647" s="1894">
        <v>950</v>
      </c>
      <c r="Y647" s="1894">
        <v>66.959999999999994</v>
      </c>
      <c r="Z647" s="1894">
        <v>760</v>
      </c>
      <c r="AA647" s="1894">
        <v>0.74</v>
      </c>
      <c r="AB647" s="1894">
        <v>53.28</v>
      </c>
      <c r="AC647" s="1894">
        <v>25686</v>
      </c>
      <c r="AD647" s="1894">
        <f t="shared" ref="AD647:AD653" si="270">+ROUND((24*30*0.6*Y647),0)</f>
        <v>28927</v>
      </c>
      <c r="AE647" s="1894">
        <f t="shared" ref="AE647:AE653" si="271">+MAX((AC647-AD647),0)</f>
        <v>0</v>
      </c>
      <c r="AF647" s="1894">
        <v>950</v>
      </c>
      <c r="AG647" s="1894">
        <v>48.24</v>
      </c>
      <c r="AH647" s="1894">
        <v>760</v>
      </c>
      <c r="AI647" s="1894">
        <v>0.65329999999999999</v>
      </c>
      <c r="AJ647" s="1894">
        <v>60.48</v>
      </c>
      <c r="AK647" s="1894">
        <v>21006</v>
      </c>
      <c r="AL647" s="1894">
        <f t="shared" si="264"/>
        <v>21534</v>
      </c>
      <c r="AM647" s="1894">
        <f t="shared" si="265"/>
        <v>0</v>
      </c>
      <c r="AN647" s="1894">
        <v>950</v>
      </c>
      <c r="AO647" s="1894">
        <v>54</v>
      </c>
      <c r="AP647" s="1894">
        <v>760</v>
      </c>
      <c r="AQ647" s="1894">
        <v>0.40899999999999997</v>
      </c>
      <c r="AR647" s="1894">
        <v>3.8</v>
      </c>
      <c r="AS647" s="1894">
        <v>198</v>
      </c>
      <c r="AT647" s="1894">
        <f t="shared" ref="AT647:AT653" si="272">+ROUND((24*31*0.6*AO647),0)</f>
        <v>24106</v>
      </c>
      <c r="AU647" s="1894">
        <f t="shared" ref="AU647:AU653" si="273">+MAX((AS647-AT647),0)</f>
        <v>0</v>
      </c>
      <c r="AV647" s="1894">
        <v>950</v>
      </c>
      <c r="AW647" s="1894">
        <v>0</v>
      </c>
      <c r="AX647" s="1894">
        <v>760</v>
      </c>
      <c r="AY647" s="1894">
        <v>0</v>
      </c>
      <c r="AZ647" s="1894">
        <v>0</v>
      </c>
      <c r="BA647" s="1894">
        <v>0</v>
      </c>
      <c r="BB647" s="1894">
        <f t="shared" ref="BB647:BB653" si="274">+ROUND((24*30*0.6*AW647),0)</f>
        <v>0</v>
      </c>
      <c r="BC647" s="1894">
        <f t="shared" ref="BC647:BC653" si="275">+MAX((BA647-BB647),0)</f>
        <v>0</v>
      </c>
      <c r="BD647" s="1894">
        <v>950</v>
      </c>
      <c r="BE647" s="1894">
        <v>0</v>
      </c>
      <c r="BF647" s="1894">
        <v>760</v>
      </c>
      <c r="BG647" s="1894">
        <v>0</v>
      </c>
      <c r="BH647" s="1894">
        <v>0</v>
      </c>
      <c r="BI647" s="1894">
        <v>0</v>
      </c>
      <c r="BJ647" s="1894">
        <f t="shared" ref="BJ647:BJ653" si="276">+ROUND((24*31*0.6*BE647),0)</f>
        <v>0</v>
      </c>
      <c r="BK647" s="1894">
        <f t="shared" ref="BK647:BK653" si="277">+MAX((BI647-BJ647),0)</f>
        <v>0</v>
      </c>
      <c r="BL647" s="1894">
        <v>950</v>
      </c>
      <c r="BM647" s="1894">
        <v>0</v>
      </c>
      <c r="BN647" s="1894">
        <v>760</v>
      </c>
      <c r="BO647" s="1894">
        <v>0</v>
      </c>
      <c r="BP647" s="1894">
        <v>0</v>
      </c>
      <c r="BQ647" s="1894">
        <v>0</v>
      </c>
      <c r="BR647" s="1894">
        <f t="shared" ref="BR647:BR653" si="278">+ROUND((24*30*0.6*BM647),0)</f>
        <v>0</v>
      </c>
      <c r="BS647" s="1894">
        <f t="shared" ref="BS647:BS653" si="279">+MAX((BQ647-BR647),0)</f>
        <v>0</v>
      </c>
      <c r="BT647" s="1894">
        <v>950</v>
      </c>
      <c r="BU647" s="1894">
        <v>0</v>
      </c>
      <c r="BV647" s="1894">
        <v>760</v>
      </c>
      <c r="BW647" s="1894">
        <v>0</v>
      </c>
      <c r="BX647" s="1894">
        <v>0</v>
      </c>
      <c r="BY647" s="1894">
        <v>0</v>
      </c>
      <c r="BZ647" s="1894">
        <f t="shared" ref="BZ647:BZ653" si="280">+ROUND((24*31*0.6*BU647),0)</f>
        <v>0</v>
      </c>
      <c r="CA647" s="1894">
        <f t="shared" ref="CA647:CA653" si="281">+MAX((BY647-BZ647),0)</f>
        <v>0</v>
      </c>
      <c r="CB647" s="1894">
        <v>950</v>
      </c>
      <c r="CC647" s="1894">
        <v>0</v>
      </c>
      <c r="CD647" s="1894">
        <v>760</v>
      </c>
      <c r="CE647" s="1894">
        <v>0</v>
      </c>
      <c r="CF647" s="1894">
        <v>0</v>
      </c>
      <c r="CG647" s="1894">
        <v>0</v>
      </c>
      <c r="CH647" s="1894">
        <f t="shared" ref="CH647:CH653" si="282">+ROUND((24*31*0.6*CC647),0)</f>
        <v>0</v>
      </c>
      <c r="CI647" s="1894">
        <f t="shared" ref="CI647:CI653" si="283">+MAX((CG647-CH647),0)</f>
        <v>0</v>
      </c>
      <c r="CJ647" s="1894">
        <v>950</v>
      </c>
      <c r="CK647" s="1894">
        <v>0</v>
      </c>
      <c r="CL647" s="1894">
        <v>760</v>
      </c>
      <c r="CM647" s="1894">
        <v>0</v>
      </c>
      <c r="CN647" s="1894">
        <v>0</v>
      </c>
      <c r="CO647" s="1894">
        <v>0</v>
      </c>
      <c r="CP647" s="1894">
        <f t="shared" ref="CP647:CP653" si="284">+ROUND((24*28*0.6*CK647),0)</f>
        <v>0</v>
      </c>
      <c r="CQ647" s="1894">
        <f t="shared" ref="CQ647:CQ653" si="285">+MAX((CO647-CP647),0)</f>
        <v>0</v>
      </c>
      <c r="CR647" s="1924">
        <v>950</v>
      </c>
      <c r="CS647" s="1924">
        <v>0</v>
      </c>
      <c r="CT647" s="1924">
        <v>760</v>
      </c>
      <c r="CU647" s="1924">
        <v>0</v>
      </c>
      <c r="CV647" s="1924">
        <v>0</v>
      </c>
      <c r="CW647" s="1924">
        <v>0</v>
      </c>
      <c r="CX647" s="1894">
        <f t="shared" ref="CX647:CX653" si="286">+ROUND((24*31*0.6*CS647),0)</f>
        <v>0</v>
      </c>
      <c r="CY647" s="1894">
        <f t="shared" ref="CY647:CY653" si="287">+MAX((CW647-CX647),0)</f>
        <v>0</v>
      </c>
    </row>
    <row r="648" spans="1:103">
      <c r="A648" s="982">
        <v>126000000049</v>
      </c>
      <c r="B648" s="1923">
        <f t="shared" ref="B648:B653" si="288">+B647+1</f>
        <v>642</v>
      </c>
      <c r="C648" s="1895" t="s">
        <v>3511</v>
      </c>
      <c r="D648" s="1894" t="s">
        <v>524</v>
      </c>
      <c r="E648" s="1895" t="s">
        <v>623</v>
      </c>
      <c r="F648" s="1894" t="s">
        <v>259</v>
      </c>
      <c r="G648" s="1924">
        <v>989</v>
      </c>
      <c r="H648" s="1894">
        <v>989</v>
      </c>
      <c r="I648" s="1894">
        <v>1293.5999999999999</v>
      </c>
      <c r="J648" s="1894">
        <v>1293.5999999999999</v>
      </c>
      <c r="K648" s="1894">
        <v>0.99219999999999997</v>
      </c>
      <c r="L648" s="1894">
        <v>0</v>
      </c>
      <c r="M648" s="1894">
        <v>563278</v>
      </c>
      <c r="N648" s="1894">
        <f t="shared" si="266"/>
        <v>558835</v>
      </c>
      <c r="O648" s="1894">
        <f t="shared" si="267"/>
        <v>4443</v>
      </c>
      <c r="P648" s="1894">
        <v>989</v>
      </c>
      <c r="Q648" s="1894">
        <v>1442.4</v>
      </c>
      <c r="R648" s="1894">
        <v>1442.4</v>
      </c>
      <c r="S648" s="1894">
        <v>0.98919999999999997</v>
      </c>
      <c r="T648" s="1894">
        <v>0</v>
      </c>
      <c r="U648" s="1894">
        <v>526862</v>
      </c>
      <c r="V648" s="1894">
        <f t="shared" si="268"/>
        <v>643887</v>
      </c>
      <c r="W648" s="1894">
        <f t="shared" si="269"/>
        <v>0</v>
      </c>
      <c r="X648" s="1894">
        <v>989</v>
      </c>
      <c r="Y648" s="1894">
        <v>1459.2</v>
      </c>
      <c r="Z648" s="1894">
        <v>1459.2</v>
      </c>
      <c r="AA648" s="1894">
        <v>0.99580000000000002</v>
      </c>
      <c r="AB648" s="1894">
        <v>0</v>
      </c>
      <c r="AC648" s="1894">
        <v>702686</v>
      </c>
      <c r="AD648" s="1894">
        <f t="shared" si="270"/>
        <v>630374</v>
      </c>
      <c r="AE648" s="1894">
        <f t="shared" si="271"/>
        <v>72312</v>
      </c>
      <c r="AF648" s="1894">
        <v>989</v>
      </c>
      <c r="AG648" s="1894">
        <v>1548</v>
      </c>
      <c r="AH648" s="1894">
        <v>1548</v>
      </c>
      <c r="AI648" s="1894">
        <v>0.99870000000000003</v>
      </c>
      <c r="AJ648" s="1894">
        <v>0</v>
      </c>
      <c r="AK648" s="1894">
        <v>729801</v>
      </c>
      <c r="AL648" s="1894">
        <f t="shared" si="264"/>
        <v>691027</v>
      </c>
      <c r="AM648" s="1894">
        <f t="shared" si="265"/>
        <v>38774</v>
      </c>
      <c r="AN648" s="1894">
        <v>989</v>
      </c>
      <c r="AO648" s="1894">
        <v>1548</v>
      </c>
      <c r="AP648" s="1894">
        <v>1548</v>
      </c>
      <c r="AQ648" s="1894">
        <v>0.99670000000000003</v>
      </c>
      <c r="AR648" s="1894">
        <v>0</v>
      </c>
      <c r="AS648" s="1894">
        <v>536212</v>
      </c>
      <c r="AT648" s="1894">
        <f t="shared" si="272"/>
        <v>691027</v>
      </c>
      <c r="AU648" s="1894">
        <f t="shared" si="273"/>
        <v>0</v>
      </c>
      <c r="AV648" s="1894">
        <v>989</v>
      </c>
      <c r="AW648" s="1894">
        <v>1548</v>
      </c>
      <c r="AX648" s="1894">
        <v>1548</v>
      </c>
      <c r="AY648" s="1894">
        <v>0.99680000000000002</v>
      </c>
      <c r="AZ648" s="1894">
        <v>0</v>
      </c>
      <c r="BA648" s="1894">
        <v>648079</v>
      </c>
      <c r="BB648" s="1894">
        <f t="shared" si="274"/>
        <v>668736</v>
      </c>
      <c r="BC648" s="1894">
        <f t="shared" si="275"/>
        <v>0</v>
      </c>
      <c r="BD648" s="1894">
        <v>989</v>
      </c>
      <c r="BE648" s="1894">
        <v>1013.76</v>
      </c>
      <c r="BF648" s="1894">
        <v>1548</v>
      </c>
      <c r="BG648" s="1894">
        <v>0.99870000000000003</v>
      </c>
      <c r="BH648" s="1894">
        <v>0</v>
      </c>
      <c r="BI648" s="1894">
        <v>602078</v>
      </c>
      <c r="BJ648" s="1894">
        <f t="shared" si="276"/>
        <v>452542</v>
      </c>
      <c r="BK648" s="1894">
        <f t="shared" si="277"/>
        <v>149536</v>
      </c>
      <c r="BL648" s="1894">
        <v>989</v>
      </c>
      <c r="BM648" s="1894">
        <v>1231.68</v>
      </c>
      <c r="BN648" s="1894">
        <v>1231.68</v>
      </c>
      <c r="BO648" s="1894">
        <v>0.99990000000000001</v>
      </c>
      <c r="BP648" s="1894">
        <v>0</v>
      </c>
      <c r="BQ648" s="1894">
        <v>510930</v>
      </c>
      <c r="BR648" s="1894">
        <f t="shared" si="278"/>
        <v>532086</v>
      </c>
      <c r="BS648" s="1894">
        <f t="shared" si="279"/>
        <v>0</v>
      </c>
      <c r="BT648" s="1894">
        <v>989</v>
      </c>
      <c r="BU648" s="1894">
        <v>1115.52</v>
      </c>
      <c r="BV648" s="1894">
        <v>1115.52</v>
      </c>
      <c r="BW648" s="1894">
        <v>1</v>
      </c>
      <c r="BX648" s="1894">
        <v>0</v>
      </c>
      <c r="BY648" s="1894">
        <v>465468</v>
      </c>
      <c r="BZ648" s="1894">
        <f t="shared" si="280"/>
        <v>497968</v>
      </c>
      <c r="CA648" s="1894">
        <f t="shared" si="281"/>
        <v>0</v>
      </c>
      <c r="CB648" s="1894">
        <v>989</v>
      </c>
      <c r="CC648" s="1894">
        <v>1048.3200000000002</v>
      </c>
      <c r="CD648" s="1894">
        <v>1048.32</v>
      </c>
      <c r="CE648" s="1894">
        <v>0.99929999999999997</v>
      </c>
      <c r="CF648" s="1894">
        <v>0</v>
      </c>
      <c r="CG648" s="1894">
        <v>284724</v>
      </c>
      <c r="CH648" s="1894">
        <f t="shared" si="282"/>
        <v>467970</v>
      </c>
      <c r="CI648" s="1894">
        <f t="shared" si="283"/>
        <v>0</v>
      </c>
      <c r="CJ648" s="1894">
        <v>989</v>
      </c>
      <c r="CK648" s="1894">
        <v>1051.6799999999998</v>
      </c>
      <c r="CL648" s="1894">
        <v>1051.68</v>
      </c>
      <c r="CM648" s="1894">
        <v>1</v>
      </c>
      <c r="CN648" s="1894">
        <v>0</v>
      </c>
      <c r="CO648" s="1894">
        <v>343494</v>
      </c>
      <c r="CP648" s="1894">
        <f t="shared" si="284"/>
        <v>424037</v>
      </c>
      <c r="CQ648" s="1894">
        <f t="shared" si="285"/>
        <v>0</v>
      </c>
      <c r="CR648" s="1924">
        <v>989</v>
      </c>
      <c r="CS648" s="1924">
        <v>1298.8800000000001</v>
      </c>
      <c r="CT648" s="1924">
        <v>1298.8800000000001</v>
      </c>
      <c r="CU648" s="1924">
        <v>0.99990000000000001</v>
      </c>
      <c r="CV648" s="1924">
        <v>0</v>
      </c>
      <c r="CW648" s="1924">
        <v>441144</v>
      </c>
      <c r="CX648" s="1894">
        <f t="shared" si="286"/>
        <v>579820</v>
      </c>
      <c r="CY648" s="1894">
        <f t="shared" si="287"/>
        <v>0</v>
      </c>
    </row>
    <row r="649" spans="1:103">
      <c r="A649" s="982">
        <v>622000000209</v>
      </c>
      <c r="B649" s="1923">
        <f t="shared" si="288"/>
        <v>643</v>
      </c>
      <c r="C649" s="1895" t="s">
        <v>3512</v>
      </c>
      <c r="D649" s="1894" t="s">
        <v>524</v>
      </c>
      <c r="E649" s="1895" t="s">
        <v>541</v>
      </c>
      <c r="F649" s="1894" t="s">
        <v>259</v>
      </c>
      <c r="G649" s="1924">
        <v>1000</v>
      </c>
      <c r="H649" s="1894">
        <v>0</v>
      </c>
      <c r="I649" s="1894">
        <v>0</v>
      </c>
      <c r="J649" s="1894">
        <v>0</v>
      </c>
      <c r="K649" s="1894">
        <v>0</v>
      </c>
      <c r="L649" s="1894">
        <v>0</v>
      </c>
      <c r="M649" s="1894">
        <v>0</v>
      </c>
      <c r="N649" s="1894">
        <f t="shared" si="266"/>
        <v>0</v>
      </c>
      <c r="O649" s="1894">
        <f t="shared" si="267"/>
        <v>0</v>
      </c>
      <c r="P649" s="1894">
        <v>0</v>
      </c>
      <c r="Q649" s="1894">
        <v>0</v>
      </c>
      <c r="R649" s="1894">
        <v>0</v>
      </c>
      <c r="S649" s="1894">
        <v>0</v>
      </c>
      <c r="T649" s="1894">
        <v>0</v>
      </c>
      <c r="U649" s="1894">
        <v>0</v>
      </c>
      <c r="V649" s="1894">
        <f t="shared" si="268"/>
        <v>0</v>
      </c>
      <c r="W649" s="1894">
        <f t="shared" si="269"/>
        <v>0</v>
      </c>
      <c r="X649" s="1894">
        <v>1000</v>
      </c>
      <c r="Y649" s="1894">
        <v>39.6</v>
      </c>
      <c r="Z649" s="1894">
        <v>800</v>
      </c>
      <c r="AA649" s="1894">
        <v>0.877</v>
      </c>
      <c r="AB649" s="1894">
        <v>9.6300000000000008</v>
      </c>
      <c r="AC649" s="1894">
        <v>1830</v>
      </c>
      <c r="AD649" s="1894">
        <f t="shared" si="270"/>
        <v>17107</v>
      </c>
      <c r="AE649" s="1894">
        <f t="shared" si="271"/>
        <v>0</v>
      </c>
      <c r="AF649" s="1894">
        <v>1000</v>
      </c>
      <c r="AG649" s="1894">
        <v>120</v>
      </c>
      <c r="AH649" s="1894">
        <v>800</v>
      </c>
      <c r="AI649" s="1894">
        <v>0.92349999999999999</v>
      </c>
      <c r="AJ649" s="1894">
        <v>21.69</v>
      </c>
      <c r="AK649" s="1894">
        <v>20610</v>
      </c>
      <c r="AL649" s="1894">
        <f t="shared" si="264"/>
        <v>53568</v>
      </c>
      <c r="AM649" s="1894">
        <f t="shared" si="265"/>
        <v>0</v>
      </c>
      <c r="AN649" s="1894">
        <v>1000</v>
      </c>
      <c r="AO649" s="1894">
        <v>142.80000000000001</v>
      </c>
      <c r="AP649" s="1894">
        <v>800</v>
      </c>
      <c r="AQ649" s="1894">
        <v>0.94750000000000001</v>
      </c>
      <c r="AR649" s="1894">
        <v>17.66</v>
      </c>
      <c r="AS649" s="1894">
        <v>21180</v>
      </c>
      <c r="AT649" s="1894">
        <f t="shared" si="272"/>
        <v>63746</v>
      </c>
      <c r="AU649" s="1894">
        <f t="shared" si="273"/>
        <v>0</v>
      </c>
      <c r="AV649" s="1894">
        <v>1000</v>
      </c>
      <c r="AW649" s="1894">
        <v>114</v>
      </c>
      <c r="AX649" s="1894">
        <v>800</v>
      </c>
      <c r="AY649" s="1894">
        <v>0.95450000000000002</v>
      </c>
      <c r="AZ649" s="1894">
        <v>29.99</v>
      </c>
      <c r="BA649" s="1894">
        <v>25440</v>
      </c>
      <c r="BB649" s="1894">
        <f t="shared" si="274"/>
        <v>49248</v>
      </c>
      <c r="BC649" s="1894">
        <f t="shared" si="275"/>
        <v>0</v>
      </c>
      <c r="BD649" s="1894">
        <v>1000</v>
      </c>
      <c r="BE649" s="1894">
        <v>146.4</v>
      </c>
      <c r="BF649" s="1894">
        <v>800</v>
      </c>
      <c r="BG649" s="1894">
        <v>0.9476</v>
      </c>
      <c r="BH649" s="1894">
        <v>21.76</v>
      </c>
      <c r="BI649" s="1894">
        <v>22935</v>
      </c>
      <c r="BJ649" s="1894">
        <f t="shared" si="276"/>
        <v>65353</v>
      </c>
      <c r="BK649" s="1894">
        <f t="shared" si="277"/>
        <v>0</v>
      </c>
      <c r="BL649" s="1894">
        <v>1000</v>
      </c>
      <c r="BM649" s="1894">
        <v>126.00000000000001</v>
      </c>
      <c r="BN649" s="1894">
        <v>800</v>
      </c>
      <c r="BO649" s="1894">
        <v>0.95179999999999998</v>
      </c>
      <c r="BP649" s="1894">
        <v>33.200000000000003</v>
      </c>
      <c r="BQ649" s="1894">
        <v>31125</v>
      </c>
      <c r="BR649" s="1894">
        <f t="shared" si="278"/>
        <v>54432</v>
      </c>
      <c r="BS649" s="1894">
        <f t="shared" si="279"/>
        <v>0</v>
      </c>
      <c r="BT649" s="1894">
        <v>1000</v>
      </c>
      <c r="BU649" s="1894">
        <v>517.20000000000005</v>
      </c>
      <c r="BV649" s="1894">
        <v>800</v>
      </c>
      <c r="BW649" s="1894">
        <v>0.96640000000000004</v>
      </c>
      <c r="BX649" s="1894">
        <v>11.1</v>
      </c>
      <c r="BY649" s="1894">
        <v>34440</v>
      </c>
      <c r="BZ649" s="1894">
        <f t="shared" si="280"/>
        <v>230878</v>
      </c>
      <c r="CA649" s="1894">
        <f t="shared" si="281"/>
        <v>0</v>
      </c>
      <c r="CB649" s="1894">
        <v>1000</v>
      </c>
      <c r="CC649" s="1894">
        <v>202.79999999999998</v>
      </c>
      <c r="CD649" s="1894">
        <v>800</v>
      </c>
      <c r="CE649" s="1894">
        <v>0.98819999999999997</v>
      </c>
      <c r="CF649" s="1894">
        <v>40.270000000000003</v>
      </c>
      <c r="CG649" s="1894">
        <v>72525</v>
      </c>
      <c r="CH649" s="1894">
        <f t="shared" si="282"/>
        <v>90530</v>
      </c>
      <c r="CI649" s="1894">
        <f t="shared" si="283"/>
        <v>0</v>
      </c>
      <c r="CJ649" s="1894">
        <v>1000</v>
      </c>
      <c r="CK649" s="1894">
        <v>215.99999999999997</v>
      </c>
      <c r="CL649" s="1894">
        <v>800</v>
      </c>
      <c r="CM649" s="1894">
        <v>0.98939999999999995</v>
      </c>
      <c r="CN649" s="1894">
        <v>39.159999999999997</v>
      </c>
      <c r="CO649" s="1894">
        <v>56835</v>
      </c>
      <c r="CP649" s="1894">
        <f t="shared" si="284"/>
        <v>87091</v>
      </c>
      <c r="CQ649" s="1894">
        <f t="shared" si="285"/>
        <v>0</v>
      </c>
      <c r="CR649" s="1924">
        <v>1000</v>
      </c>
      <c r="CS649" s="1924">
        <v>175.2</v>
      </c>
      <c r="CT649" s="1924">
        <v>800</v>
      </c>
      <c r="CU649" s="1924">
        <v>0.9859</v>
      </c>
      <c r="CV649" s="1924">
        <v>39.369999999999997</v>
      </c>
      <c r="CW649" s="1924">
        <v>51315</v>
      </c>
      <c r="CX649" s="1894">
        <f t="shared" si="286"/>
        <v>78209</v>
      </c>
      <c r="CY649" s="1894">
        <f t="shared" si="287"/>
        <v>0</v>
      </c>
    </row>
    <row r="650" spans="1:103">
      <c r="A650" s="982">
        <v>123000000055</v>
      </c>
      <c r="B650" s="1923">
        <f t="shared" si="288"/>
        <v>644</v>
      </c>
      <c r="C650" s="1895" t="s">
        <v>3513</v>
      </c>
      <c r="D650" s="1894" t="s">
        <v>524</v>
      </c>
      <c r="E650" s="1895" t="s">
        <v>541</v>
      </c>
      <c r="F650" s="1894" t="s">
        <v>259</v>
      </c>
      <c r="G650" s="1924">
        <v>1000</v>
      </c>
      <c r="H650" s="1894">
        <v>1000</v>
      </c>
      <c r="I650" s="1894">
        <v>711</v>
      </c>
      <c r="J650" s="1894">
        <v>800</v>
      </c>
      <c r="K650" s="1894">
        <v>0.99980000000000002</v>
      </c>
      <c r="L650" s="1894">
        <v>74.38</v>
      </c>
      <c r="M650" s="1894">
        <v>380790</v>
      </c>
      <c r="N650" s="1894">
        <f t="shared" si="266"/>
        <v>307152</v>
      </c>
      <c r="O650" s="1894">
        <f t="shared" si="267"/>
        <v>73638</v>
      </c>
      <c r="P650" s="1894">
        <v>1000</v>
      </c>
      <c r="Q650" s="1894">
        <v>753.59999999999991</v>
      </c>
      <c r="R650" s="1894">
        <v>800</v>
      </c>
      <c r="S650" s="1894">
        <v>0.99970000000000003</v>
      </c>
      <c r="T650" s="1894">
        <v>75.27</v>
      </c>
      <c r="U650" s="1894">
        <v>422025</v>
      </c>
      <c r="V650" s="1894">
        <f t="shared" si="268"/>
        <v>336407</v>
      </c>
      <c r="W650" s="1894">
        <f t="shared" si="269"/>
        <v>85618</v>
      </c>
      <c r="X650" s="1894">
        <v>1000</v>
      </c>
      <c r="Y650" s="1894">
        <v>713.40000000000009</v>
      </c>
      <c r="Z650" s="1894">
        <v>800</v>
      </c>
      <c r="AA650" s="1894">
        <v>0.99970000000000003</v>
      </c>
      <c r="AB650" s="1894">
        <v>78.239999999999995</v>
      </c>
      <c r="AC650" s="1894">
        <v>401895</v>
      </c>
      <c r="AD650" s="1894">
        <f t="shared" si="270"/>
        <v>308189</v>
      </c>
      <c r="AE650" s="1894">
        <f t="shared" si="271"/>
        <v>93706</v>
      </c>
      <c r="AF650" s="1894">
        <v>1000</v>
      </c>
      <c r="AG650" s="1894">
        <v>687.59999999999991</v>
      </c>
      <c r="AH650" s="1894">
        <v>800</v>
      </c>
      <c r="AI650" s="1894">
        <v>0.99970000000000003</v>
      </c>
      <c r="AJ650" s="1894">
        <v>78.319999999999993</v>
      </c>
      <c r="AK650" s="1894">
        <v>387728</v>
      </c>
      <c r="AL650" s="1894">
        <f t="shared" si="264"/>
        <v>306945</v>
      </c>
      <c r="AM650" s="1894">
        <f t="shared" si="265"/>
        <v>80783</v>
      </c>
      <c r="AN650" s="1894">
        <v>1000</v>
      </c>
      <c r="AO650" s="1894">
        <v>694.19999999999993</v>
      </c>
      <c r="AP650" s="1894">
        <v>800</v>
      </c>
      <c r="AQ650" s="1894">
        <v>0.99960000000000004</v>
      </c>
      <c r="AR650" s="1894">
        <v>39.630000000000003</v>
      </c>
      <c r="AS650" s="1894">
        <v>211260</v>
      </c>
      <c r="AT650" s="1894">
        <f t="shared" si="272"/>
        <v>309891</v>
      </c>
      <c r="AU650" s="1894">
        <f t="shared" si="273"/>
        <v>0</v>
      </c>
      <c r="AV650" s="1894">
        <v>1000</v>
      </c>
      <c r="AW650" s="1894">
        <v>739.80000000000007</v>
      </c>
      <c r="AX650" s="1894">
        <v>800</v>
      </c>
      <c r="AY650" s="1894">
        <v>0.99639999999999995</v>
      </c>
      <c r="AZ650" s="1894">
        <v>38.909999999999997</v>
      </c>
      <c r="BA650" s="1894">
        <v>207240</v>
      </c>
      <c r="BB650" s="1894">
        <f t="shared" si="274"/>
        <v>319594</v>
      </c>
      <c r="BC650" s="1894">
        <f t="shared" si="275"/>
        <v>0</v>
      </c>
      <c r="BD650" s="1894">
        <v>1000</v>
      </c>
      <c r="BE650" s="1894">
        <v>769.2</v>
      </c>
      <c r="BF650" s="1894">
        <v>800</v>
      </c>
      <c r="BG650" s="1894">
        <v>0.99770000000000003</v>
      </c>
      <c r="BH650" s="1894">
        <v>58.77</v>
      </c>
      <c r="BI650" s="1894">
        <v>336307</v>
      </c>
      <c r="BJ650" s="1894">
        <f t="shared" si="276"/>
        <v>343371</v>
      </c>
      <c r="BK650" s="1894">
        <f t="shared" si="277"/>
        <v>0</v>
      </c>
      <c r="BL650" s="1894">
        <v>1000</v>
      </c>
      <c r="BM650" s="1894">
        <v>745.8</v>
      </c>
      <c r="BN650" s="1894">
        <v>800</v>
      </c>
      <c r="BO650" s="1894">
        <v>0.99909999999999999</v>
      </c>
      <c r="BP650" s="1894">
        <v>78.180000000000007</v>
      </c>
      <c r="BQ650" s="1894">
        <v>419782</v>
      </c>
      <c r="BR650" s="1894">
        <f t="shared" si="278"/>
        <v>322186</v>
      </c>
      <c r="BS650" s="1894">
        <f t="shared" si="279"/>
        <v>97596</v>
      </c>
      <c r="BT650" s="1894">
        <v>1000</v>
      </c>
      <c r="BU650" s="1894">
        <v>901.2</v>
      </c>
      <c r="BV650" s="1894">
        <v>901.2</v>
      </c>
      <c r="BW650" s="1894">
        <v>0.99790000000000001</v>
      </c>
      <c r="BX650" s="1894">
        <v>64.12</v>
      </c>
      <c r="BY650" s="1894">
        <v>429953</v>
      </c>
      <c r="BZ650" s="1894">
        <f t="shared" si="280"/>
        <v>402296</v>
      </c>
      <c r="CA650" s="1894">
        <f t="shared" si="281"/>
        <v>27657</v>
      </c>
      <c r="CB650" s="1894">
        <v>1000</v>
      </c>
      <c r="CC650" s="1894">
        <v>787.8</v>
      </c>
      <c r="CD650" s="1894">
        <v>800</v>
      </c>
      <c r="CE650" s="1894">
        <v>0.99909999999999999</v>
      </c>
      <c r="CF650" s="1894">
        <v>75.94</v>
      </c>
      <c r="CG650" s="1894">
        <v>445110</v>
      </c>
      <c r="CH650" s="1894">
        <f t="shared" si="282"/>
        <v>351674</v>
      </c>
      <c r="CI650" s="1894">
        <f t="shared" si="283"/>
        <v>93436</v>
      </c>
      <c r="CJ650" s="1894">
        <v>1000</v>
      </c>
      <c r="CK650" s="1894">
        <v>1012.8000000000001</v>
      </c>
      <c r="CL650" s="1894">
        <v>1012.8</v>
      </c>
      <c r="CM650" s="1894">
        <v>0.99729999999999996</v>
      </c>
      <c r="CN650" s="1894">
        <v>59.78</v>
      </c>
      <c r="CO650" s="1894">
        <v>406860</v>
      </c>
      <c r="CP650" s="1894">
        <f t="shared" si="284"/>
        <v>408361</v>
      </c>
      <c r="CQ650" s="1894">
        <f t="shared" si="285"/>
        <v>0</v>
      </c>
      <c r="CR650" s="1924">
        <v>1000</v>
      </c>
      <c r="CS650" s="1924">
        <v>771</v>
      </c>
      <c r="CT650" s="1924">
        <v>800</v>
      </c>
      <c r="CU650" s="1924">
        <v>0.999</v>
      </c>
      <c r="CV650" s="1924">
        <v>76.099999999999994</v>
      </c>
      <c r="CW650" s="1924">
        <v>436545</v>
      </c>
      <c r="CX650" s="1894">
        <f t="shared" si="286"/>
        <v>344174</v>
      </c>
      <c r="CY650" s="1894">
        <f t="shared" si="287"/>
        <v>92371</v>
      </c>
    </row>
    <row r="651" spans="1:103">
      <c r="A651" s="982">
        <v>123000000105</v>
      </c>
      <c r="B651" s="1923">
        <f t="shared" si="288"/>
        <v>645</v>
      </c>
      <c r="C651" s="1895" t="s">
        <v>3514</v>
      </c>
      <c r="D651" s="1894" t="s">
        <v>524</v>
      </c>
      <c r="E651" s="1895" t="s">
        <v>623</v>
      </c>
      <c r="F651" s="1894" t="s">
        <v>259</v>
      </c>
      <c r="G651" s="1924">
        <v>1000</v>
      </c>
      <c r="H651" s="1894">
        <v>1000</v>
      </c>
      <c r="I651" s="1894">
        <v>749.28</v>
      </c>
      <c r="J651" s="1894">
        <v>1000</v>
      </c>
      <c r="K651" s="1894">
        <v>0.98670000000000002</v>
      </c>
      <c r="L651" s="1894">
        <v>0</v>
      </c>
      <c r="M651" s="1894">
        <v>235578</v>
      </c>
      <c r="N651" s="1894">
        <f t="shared" si="266"/>
        <v>323689</v>
      </c>
      <c r="O651" s="1894">
        <f t="shared" si="267"/>
        <v>0</v>
      </c>
      <c r="P651" s="1894">
        <v>1000</v>
      </c>
      <c r="Q651" s="1894">
        <v>832.31999999999994</v>
      </c>
      <c r="R651" s="1894">
        <v>1000</v>
      </c>
      <c r="S651" s="1894">
        <v>0.99270000000000003</v>
      </c>
      <c r="T651" s="1894">
        <v>0</v>
      </c>
      <c r="U651" s="1894">
        <v>326874</v>
      </c>
      <c r="V651" s="1894">
        <f t="shared" si="268"/>
        <v>371548</v>
      </c>
      <c r="W651" s="1894">
        <f t="shared" si="269"/>
        <v>0</v>
      </c>
      <c r="X651" s="1894">
        <v>1000</v>
      </c>
      <c r="Y651" s="1894">
        <v>1342.8</v>
      </c>
      <c r="Z651" s="1894">
        <v>1000</v>
      </c>
      <c r="AA651" s="1894">
        <v>0.99280000000000002</v>
      </c>
      <c r="AB651" s="1894">
        <v>0</v>
      </c>
      <c r="AC651" s="1894">
        <v>354768</v>
      </c>
      <c r="AD651" s="1894">
        <f t="shared" si="270"/>
        <v>580090</v>
      </c>
      <c r="AE651" s="1894">
        <f t="shared" si="271"/>
        <v>0</v>
      </c>
      <c r="AF651" s="1894">
        <v>1000</v>
      </c>
      <c r="AG651" s="1894">
        <v>856.08</v>
      </c>
      <c r="AH651" s="1894">
        <v>1000</v>
      </c>
      <c r="AI651" s="1894">
        <v>0.99570000000000003</v>
      </c>
      <c r="AJ651" s="1894">
        <v>0</v>
      </c>
      <c r="AK651" s="1894">
        <v>365454</v>
      </c>
      <c r="AL651" s="1894">
        <f t="shared" si="264"/>
        <v>382154</v>
      </c>
      <c r="AM651" s="1894">
        <f t="shared" si="265"/>
        <v>0</v>
      </c>
      <c r="AN651" s="1894">
        <v>1000</v>
      </c>
      <c r="AO651" s="1894">
        <v>898.56</v>
      </c>
      <c r="AP651" s="1894">
        <v>1000</v>
      </c>
      <c r="AQ651" s="1894">
        <v>0.99260000000000004</v>
      </c>
      <c r="AR651" s="1894">
        <v>0</v>
      </c>
      <c r="AS651" s="1894">
        <v>332694</v>
      </c>
      <c r="AT651" s="1894">
        <f t="shared" si="272"/>
        <v>401117</v>
      </c>
      <c r="AU651" s="1894">
        <f t="shared" si="273"/>
        <v>0</v>
      </c>
      <c r="AV651" s="1894">
        <v>1000</v>
      </c>
      <c r="AW651" s="1894">
        <v>851.76</v>
      </c>
      <c r="AX651" s="1894">
        <v>1000</v>
      </c>
      <c r="AY651" s="1894">
        <v>0.99590000000000001</v>
      </c>
      <c r="AZ651" s="1894">
        <v>0</v>
      </c>
      <c r="BA651" s="1894">
        <v>312678</v>
      </c>
      <c r="BB651" s="1894">
        <f t="shared" si="274"/>
        <v>367960</v>
      </c>
      <c r="BC651" s="1894">
        <f t="shared" si="275"/>
        <v>0</v>
      </c>
      <c r="BD651" s="1894">
        <v>1000</v>
      </c>
      <c r="BE651" s="1894">
        <v>784.8</v>
      </c>
      <c r="BF651" s="1894">
        <v>1000</v>
      </c>
      <c r="BG651" s="1894">
        <v>0.99670000000000003</v>
      </c>
      <c r="BH651" s="1894">
        <v>0</v>
      </c>
      <c r="BI651" s="1894">
        <v>322956</v>
      </c>
      <c r="BJ651" s="1894">
        <f t="shared" si="276"/>
        <v>350335</v>
      </c>
      <c r="BK651" s="1894">
        <f t="shared" si="277"/>
        <v>0</v>
      </c>
      <c r="BL651" s="1894">
        <v>1000</v>
      </c>
      <c r="BM651" s="1894">
        <v>738</v>
      </c>
      <c r="BN651" s="1894">
        <v>1000</v>
      </c>
      <c r="BO651" s="1894">
        <v>0.99760000000000004</v>
      </c>
      <c r="BP651" s="1894">
        <v>0</v>
      </c>
      <c r="BQ651" s="1894">
        <v>265149</v>
      </c>
      <c r="BR651" s="1894">
        <f t="shared" si="278"/>
        <v>318816</v>
      </c>
      <c r="BS651" s="1894">
        <f t="shared" si="279"/>
        <v>0</v>
      </c>
      <c r="BT651" s="1894">
        <v>1000</v>
      </c>
      <c r="BU651" s="1894">
        <v>733.68000000000006</v>
      </c>
      <c r="BV651" s="1894">
        <v>1000</v>
      </c>
      <c r="BW651" s="1894">
        <v>0.99880000000000002</v>
      </c>
      <c r="BX651" s="1894">
        <v>0</v>
      </c>
      <c r="BY651" s="1894">
        <v>227529</v>
      </c>
      <c r="BZ651" s="1894">
        <f t="shared" si="280"/>
        <v>327515</v>
      </c>
      <c r="CA651" s="1894">
        <f t="shared" si="281"/>
        <v>0</v>
      </c>
      <c r="CB651" s="1894">
        <v>1000</v>
      </c>
      <c r="CC651" s="1894">
        <v>701.28</v>
      </c>
      <c r="CD651" s="1894">
        <v>1000</v>
      </c>
      <c r="CE651" s="1894">
        <v>0.99870000000000003</v>
      </c>
      <c r="CF651" s="1894">
        <v>0</v>
      </c>
      <c r="CG651" s="1894">
        <v>180135</v>
      </c>
      <c r="CH651" s="1894">
        <f t="shared" si="282"/>
        <v>313051</v>
      </c>
      <c r="CI651" s="1894">
        <f t="shared" si="283"/>
        <v>0</v>
      </c>
      <c r="CJ651" s="1894">
        <v>1000</v>
      </c>
      <c r="CK651" s="1894">
        <v>723.6</v>
      </c>
      <c r="CL651" s="1894">
        <v>1000</v>
      </c>
      <c r="CM651" s="1894">
        <v>0.99909999999999999</v>
      </c>
      <c r="CN651" s="1894">
        <v>0</v>
      </c>
      <c r="CO651" s="1894">
        <v>173682</v>
      </c>
      <c r="CP651" s="1894">
        <f t="shared" si="284"/>
        <v>291756</v>
      </c>
      <c r="CQ651" s="1894">
        <f t="shared" si="285"/>
        <v>0</v>
      </c>
      <c r="CR651" s="1924">
        <v>1000</v>
      </c>
      <c r="CS651" s="1924">
        <v>716.40000000000009</v>
      </c>
      <c r="CT651" s="1924">
        <v>1000</v>
      </c>
      <c r="CU651" s="1924">
        <v>0.99809999999999999</v>
      </c>
      <c r="CV651" s="1924">
        <v>0</v>
      </c>
      <c r="CW651" s="1924">
        <v>201519</v>
      </c>
      <c r="CX651" s="1894">
        <f t="shared" si="286"/>
        <v>319801</v>
      </c>
      <c r="CY651" s="1894">
        <f t="shared" si="287"/>
        <v>0</v>
      </c>
    </row>
    <row r="652" spans="1:103">
      <c r="A652" s="982">
        <v>611000000088</v>
      </c>
      <c r="B652" s="1923">
        <f t="shared" si="288"/>
        <v>646</v>
      </c>
      <c r="C652" s="1895" t="s">
        <v>3515</v>
      </c>
      <c r="D652" s="1894" t="s">
        <v>524</v>
      </c>
      <c r="E652" s="1895" t="s">
        <v>541</v>
      </c>
      <c r="F652" s="1894" t="s">
        <v>259</v>
      </c>
      <c r="G652" s="1924">
        <v>1000</v>
      </c>
      <c r="H652" s="1894">
        <v>1000</v>
      </c>
      <c r="I652" s="1894">
        <v>890.87999999999988</v>
      </c>
      <c r="J652" s="1894">
        <v>890.88</v>
      </c>
      <c r="K652" s="1894">
        <v>0.99350000000000005</v>
      </c>
      <c r="L652" s="1894">
        <v>59.75</v>
      </c>
      <c r="M652" s="1894">
        <v>459906</v>
      </c>
      <c r="N652" s="1894">
        <f t="shared" si="266"/>
        <v>384860</v>
      </c>
      <c r="O652" s="1894">
        <f t="shared" si="267"/>
        <v>75046</v>
      </c>
      <c r="P652" s="1894">
        <v>1000</v>
      </c>
      <c r="Q652" s="1894">
        <v>859.68000000000006</v>
      </c>
      <c r="R652" s="1894">
        <v>859.68</v>
      </c>
      <c r="S652" s="1894">
        <v>0.99490000000000001</v>
      </c>
      <c r="T652" s="1894">
        <v>56.82</v>
      </c>
      <c r="U652" s="1894">
        <v>363438</v>
      </c>
      <c r="V652" s="1894">
        <f t="shared" si="268"/>
        <v>383761</v>
      </c>
      <c r="W652" s="1894">
        <f t="shared" si="269"/>
        <v>0</v>
      </c>
      <c r="X652" s="1894">
        <v>1000</v>
      </c>
      <c r="Y652" s="1894">
        <v>812.16</v>
      </c>
      <c r="Z652" s="1894">
        <v>812.16</v>
      </c>
      <c r="AA652" s="1894">
        <v>0.99480000000000002</v>
      </c>
      <c r="AB652" s="1894">
        <v>57.84</v>
      </c>
      <c r="AC652" s="1894">
        <v>338238</v>
      </c>
      <c r="AD652" s="1894">
        <f t="shared" si="270"/>
        <v>350853</v>
      </c>
      <c r="AE652" s="1894">
        <f t="shared" si="271"/>
        <v>0</v>
      </c>
      <c r="AF652" s="1894">
        <v>1000</v>
      </c>
      <c r="AG652" s="1894">
        <v>794.88</v>
      </c>
      <c r="AH652" s="1894">
        <v>800</v>
      </c>
      <c r="AI652" s="1894">
        <v>0.99580000000000002</v>
      </c>
      <c r="AJ652" s="1894">
        <v>43.9</v>
      </c>
      <c r="AK652" s="1894">
        <v>259620</v>
      </c>
      <c r="AL652" s="1894">
        <f t="shared" si="264"/>
        <v>354834</v>
      </c>
      <c r="AM652" s="1894">
        <f t="shared" si="265"/>
        <v>0</v>
      </c>
      <c r="AN652" s="1894">
        <v>1000</v>
      </c>
      <c r="AO652" s="1894">
        <v>780</v>
      </c>
      <c r="AP652" s="1894">
        <v>800</v>
      </c>
      <c r="AQ652" s="1894">
        <v>0.99529999999999996</v>
      </c>
      <c r="AR652" s="1894">
        <v>69.11</v>
      </c>
      <c r="AS652" s="1894">
        <v>401070</v>
      </c>
      <c r="AT652" s="1894">
        <f t="shared" si="272"/>
        <v>348192</v>
      </c>
      <c r="AU652" s="1894">
        <f t="shared" si="273"/>
        <v>52878</v>
      </c>
      <c r="AV652" s="1894">
        <v>1000</v>
      </c>
      <c r="AW652" s="1894">
        <v>746.88</v>
      </c>
      <c r="AX652" s="1894">
        <v>800</v>
      </c>
      <c r="AY652" s="1894">
        <v>0.99690000000000001</v>
      </c>
      <c r="AZ652" s="1894">
        <v>33.450000000000003</v>
      </c>
      <c r="BA652" s="1894">
        <v>179880</v>
      </c>
      <c r="BB652" s="1894">
        <f t="shared" si="274"/>
        <v>322652</v>
      </c>
      <c r="BC652" s="1894">
        <f t="shared" si="275"/>
        <v>0</v>
      </c>
      <c r="BD652" s="1894">
        <v>1000</v>
      </c>
      <c r="BE652" s="1894">
        <v>739.68</v>
      </c>
      <c r="BF652" s="1894">
        <v>800</v>
      </c>
      <c r="BG652" s="1894">
        <v>0.998</v>
      </c>
      <c r="BH652" s="1894">
        <v>22.71</v>
      </c>
      <c r="BI652" s="1894">
        <v>124986</v>
      </c>
      <c r="BJ652" s="1894">
        <f t="shared" si="276"/>
        <v>330193</v>
      </c>
      <c r="BK652" s="1894">
        <f t="shared" si="277"/>
        <v>0</v>
      </c>
      <c r="BL652" s="1894">
        <v>1000</v>
      </c>
      <c r="BM652" s="1894">
        <v>280.8</v>
      </c>
      <c r="BN652" s="1894">
        <v>800</v>
      </c>
      <c r="BO652" s="1894">
        <v>0.95730000000000004</v>
      </c>
      <c r="BP652" s="1894">
        <v>3.83</v>
      </c>
      <c r="BQ652" s="1894">
        <v>7740</v>
      </c>
      <c r="BR652" s="1894">
        <f t="shared" si="278"/>
        <v>121306</v>
      </c>
      <c r="BS652" s="1894">
        <f t="shared" si="279"/>
        <v>0</v>
      </c>
      <c r="BT652" s="1894">
        <v>1000</v>
      </c>
      <c r="BU652" s="1894">
        <v>827.04000000000008</v>
      </c>
      <c r="BV652" s="1894">
        <v>827.04</v>
      </c>
      <c r="BW652" s="1894">
        <v>0.99790000000000001</v>
      </c>
      <c r="BX652" s="1894">
        <v>53.97</v>
      </c>
      <c r="BY652" s="1894">
        <v>332088</v>
      </c>
      <c r="BZ652" s="1894">
        <f t="shared" si="280"/>
        <v>369191</v>
      </c>
      <c r="CA652" s="1894">
        <f t="shared" si="281"/>
        <v>0</v>
      </c>
      <c r="CB652" s="1894">
        <v>1000</v>
      </c>
      <c r="CC652" s="1894">
        <v>804.95999999999992</v>
      </c>
      <c r="CD652" s="1894">
        <v>804.96</v>
      </c>
      <c r="CE652" s="1894">
        <v>0.99809999999999999</v>
      </c>
      <c r="CF652" s="1894">
        <v>59.94</v>
      </c>
      <c r="CG652" s="1894">
        <v>358998</v>
      </c>
      <c r="CH652" s="1894">
        <f t="shared" si="282"/>
        <v>359334</v>
      </c>
      <c r="CI652" s="1894">
        <f t="shared" si="283"/>
        <v>0</v>
      </c>
      <c r="CJ652" s="1894">
        <v>1000</v>
      </c>
      <c r="CK652" s="1894">
        <v>968.64</v>
      </c>
      <c r="CL652" s="1894">
        <v>968.64</v>
      </c>
      <c r="CM652" s="1894">
        <v>0.99260000000000004</v>
      </c>
      <c r="CN652" s="1894">
        <v>52.41</v>
      </c>
      <c r="CO652" s="1894">
        <v>341142</v>
      </c>
      <c r="CP652" s="1894">
        <f t="shared" si="284"/>
        <v>390556</v>
      </c>
      <c r="CQ652" s="1894">
        <f t="shared" si="285"/>
        <v>0</v>
      </c>
      <c r="CR652" s="1924">
        <v>1000</v>
      </c>
      <c r="CS652" s="1924">
        <v>841.92</v>
      </c>
      <c r="CT652" s="1924">
        <v>841.92</v>
      </c>
      <c r="CU652" s="1924">
        <v>0.99729999999999996</v>
      </c>
      <c r="CV652" s="1924">
        <v>56.55</v>
      </c>
      <c r="CW652" s="1924">
        <v>354252</v>
      </c>
      <c r="CX652" s="1894">
        <f t="shared" si="286"/>
        <v>375833</v>
      </c>
      <c r="CY652" s="1894">
        <f t="shared" si="287"/>
        <v>0</v>
      </c>
    </row>
    <row r="653" spans="1:103">
      <c r="A653" s="982">
        <v>622000000129</v>
      </c>
      <c r="B653" s="1923">
        <f t="shared" si="288"/>
        <v>647</v>
      </c>
      <c r="C653" s="1895" t="s">
        <v>3424</v>
      </c>
      <c r="D653" s="1894" t="s">
        <v>524</v>
      </c>
      <c r="E653" s="1895" t="s">
        <v>541</v>
      </c>
      <c r="F653" s="1894" t="s">
        <v>259</v>
      </c>
      <c r="G653" s="1924">
        <v>1000</v>
      </c>
      <c r="H653" s="1894">
        <v>1000</v>
      </c>
      <c r="I653" s="1894">
        <v>901.44</v>
      </c>
      <c r="J653" s="1894">
        <v>901.44</v>
      </c>
      <c r="K653" s="1894">
        <v>0.87070000000000003</v>
      </c>
      <c r="L653" s="1894">
        <v>50.73</v>
      </c>
      <c r="M653" s="1894">
        <v>274365</v>
      </c>
      <c r="N653" s="1894">
        <f t="shared" si="266"/>
        <v>389422</v>
      </c>
      <c r="O653" s="1894">
        <f t="shared" si="267"/>
        <v>0</v>
      </c>
      <c r="P653" s="1894">
        <v>1000</v>
      </c>
      <c r="Q653" s="1894">
        <v>822.96</v>
      </c>
      <c r="R653" s="1894">
        <v>822.96</v>
      </c>
      <c r="S653" s="1894">
        <v>0.92689999999999995</v>
      </c>
      <c r="T653" s="1894">
        <v>53.01</v>
      </c>
      <c r="U653" s="1894">
        <v>376929</v>
      </c>
      <c r="V653" s="1894">
        <f t="shared" si="268"/>
        <v>367369</v>
      </c>
      <c r="W653" s="1894">
        <f t="shared" si="269"/>
        <v>9560</v>
      </c>
      <c r="X653" s="1894">
        <v>1000</v>
      </c>
      <c r="Y653" s="1894">
        <v>892.07999999999993</v>
      </c>
      <c r="Z653" s="1894">
        <v>892.08</v>
      </c>
      <c r="AA653" s="1894">
        <v>0.90310000000000001</v>
      </c>
      <c r="AB653" s="1894">
        <v>49.58</v>
      </c>
      <c r="AC653" s="1894">
        <v>318447</v>
      </c>
      <c r="AD653" s="1894">
        <f t="shared" si="270"/>
        <v>385379</v>
      </c>
      <c r="AE653" s="1894">
        <f t="shared" si="271"/>
        <v>0</v>
      </c>
      <c r="AF653" s="1894">
        <v>1000</v>
      </c>
      <c r="AG653" s="1894">
        <v>680.4</v>
      </c>
      <c r="AH653" s="1894">
        <v>800</v>
      </c>
      <c r="AI653" s="1894">
        <v>0.9274</v>
      </c>
      <c r="AJ653" s="1894">
        <v>42.6</v>
      </c>
      <c r="AK653" s="1894">
        <v>194760</v>
      </c>
      <c r="AL653" s="1894">
        <f t="shared" si="264"/>
        <v>303731</v>
      </c>
      <c r="AM653" s="1894">
        <f t="shared" si="265"/>
        <v>0</v>
      </c>
      <c r="AN653" s="1894">
        <v>1000</v>
      </c>
      <c r="AO653" s="1894">
        <v>702</v>
      </c>
      <c r="AP653" s="1894">
        <v>800</v>
      </c>
      <c r="AQ653" s="1894">
        <v>0.90510000000000002</v>
      </c>
      <c r="AR653" s="1894">
        <v>39.35</v>
      </c>
      <c r="AS653" s="1894">
        <v>185652</v>
      </c>
      <c r="AT653" s="1894">
        <f t="shared" si="272"/>
        <v>313373</v>
      </c>
      <c r="AU653" s="1894">
        <f t="shared" si="273"/>
        <v>0</v>
      </c>
      <c r="AV653" s="1894">
        <v>1000</v>
      </c>
      <c r="AW653" s="1894">
        <v>896.4</v>
      </c>
      <c r="AX653" s="1894">
        <v>896.4</v>
      </c>
      <c r="AY653" s="1894">
        <v>0.87749999999999995</v>
      </c>
      <c r="AZ653" s="1894">
        <v>51.02</v>
      </c>
      <c r="BA653" s="1894">
        <v>384151</v>
      </c>
      <c r="BB653" s="1894">
        <f t="shared" si="274"/>
        <v>387245</v>
      </c>
      <c r="BC653" s="1894">
        <f t="shared" si="275"/>
        <v>0</v>
      </c>
      <c r="BD653" s="1894">
        <v>1000</v>
      </c>
      <c r="BE653" s="1894">
        <v>994.80000000000007</v>
      </c>
      <c r="BF653" s="1894">
        <v>994.8</v>
      </c>
      <c r="BG653" s="1894">
        <v>0.87339999999999995</v>
      </c>
      <c r="BH653" s="1894">
        <v>46.47</v>
      </c>
      <c r="BI653" s="1894">
        <v>299580</v>
      </c>
      <c r="BJ653" s="1894">
        <f t="shared" si="276"/>
        <v>444079</v>
      </c>
      <c r="BK653" s="1894">
        <f t="shared" si="277"/>
        <v>0</v>
      </c>
      <c r="BL653" s="1894">
        <v>1000</v>
      </c>
      <c r="BM653" s="1894">
        <v>1092.6000000000001</v>
      </c>
      <c r="BN653" s="1894">
        <v>1092.5999999999999</v>
      </c>
      <c r="BO653" s="1894">
        <v>0.85199999999999998</v>
      </c>
      <c r="BP653" s="1894">
        <v>56.2</v>
      </c>
      <c r="BQ653" s="1894">
        <v>442125</v>
      </c>
      <c r="BR653" s="1894">
        <f t="shared" si="278"/>
        <v>472003</v>
      </c>
      <c r="BS653" s="1894">
        <f t="shared" si="279"/>
        <v>0</v>
      </c>
      <c r="BT653" s="1894">
        <v>1000</v>
      </c>
      <c r="BU653" s="1894">
        <v>979.8</v>
      </c>
      <c r="BV653" s="1894">
        <v>979.8</v>
      </c>
      <c r="BW653" s="1894">
        <v>0.89600000000000002</v>
      </c>
      <c r="BX653" s="1894">
        <v>61.74</v>
      </c>
      <c r="BY653" s="1894">
        <v>421013</v>
      </c>
      <c r="BZ653" s="1894">
        <f t="shared" si="280"/>
        <v>437383</v>
      </c>
      <c r="CA653" s="1894">
        <f t="shared" si="281"/>
        <v>0</v>
      </c>
      <c r="CB653" s="1894">
        <v>1000</v>
      </c>
      <c r="CC653" s="1894">
        <v>1088.4000000000001</v>
      </c>
      <c r="CD653" s="1894">
        <v>1088.4000000000001</v>
      </c>
      <c r="CE653" s="1894">
        <v>0.91290000000000004</v>
      </c>
      <c r="CF653" s="1894">
        <v>44.09</v>
      </c>
      <c r="CG653" s="1894">
        <v>345473</v>
      </c>
      <c r="CH653" s="1894">
        <f t="shared" si="282"/>
        <v>485862</v>
      </c>
      <c r="CI653" s="1894">
        <f t="shared" si="283"/>
        <v>0</v>
      </c>
      <c r="CJ653" s="1894">
        <v>1000</v>
      </c>
      <c r="CK653" s="1894">
        <v>962.4</v>
      </c>
      <c r="CL653" s="1894">
        <v>962.4</v>
      </c>
      <c r="CM653" s="1894">
        <v>0.94750000000000001</v>
      </c>
      <c r="CN653" s="1894">
        <v>55.01</v>
      </c>
      <c r="CO653" s="1894">
        <v>393878</v>
      </c>
      <c r="CP653" s="1894">
        <f t="shared" si="284"/>
        <v>388040</v>
      </c>
      <c r="CQ653" s="1894">
        <f t="shared" si="285"/>
        <v>5838</v>
      </c>
      <c r="CR653" s="1924">
        <v>1000</v>
      </c>
      <c r="CS653" s="1924">
        <v>880.80000000000007</v>
      </c>
      <c r="CT653" s="1924">
        <v>880.8</v>
      </c>
      <c r="CU653" s="1924">
        <v>0.98619999999999997</v>
      </c>
      <c r="CV653" s="1924">
        <v>57.73</v>
      </c>
      <c r="CW653" s="1924">
        <v>353895</v>
      </c>
      <c r="CX653" s="1894">
        <f t="shared" si="286"/>
        <v>393189</v>
      </c>
      <c r="CY653" s="1894">
        <f t="shared" si="287"/>
        <v>0</v>
      </c>
    </row>
    <row r="654" spans="1:103" ht="15">
      <c r="A654" s="982"/>
      <c r="B654" s="1899">
        <f>+B653</f>
        <v>647</v>
      </c>
      <c r="C654" s="1900" t="s">
        <v>3516</v>
      </c>
      <c r="D654" s="1894"/>
      <c r="E654" s="1895"/>
      <c r="F654" s="1894"/>
      <c r="G654" s="1926">
        <f>SUM(G7:G653)</f>
        <v>189438.7</v>
      </c>
      <c r="H654" s="1926">
        <f t="shared" ref="H654:BS654" si="289">SUM(H7:H653)</f>
        <v>168419.83000000002</v>
      </c>
      <c r="I654" s="1926">
        <f t="shared" si="289"/>
        <v>109321.27400000002</v>
      </c>
      <c r="J654" s="1926">
        <f t="shared" si="289"/>
        <v>158520.65200000009</v>
      </c>
      <c r="K654" s="1926">
        <f>ROUND(AVERAGE(K7:K653),4)</f>
        <v>0.78900000000000003</v>
      </c>
      <c r="L654" s="1926">
        <f>ROUND(AVERAGE(L7:L653),2)</f>
        <v>24.88</v>
      </c>
      <c r="M654" s="1926">
        <f t="shared" si="289"/>
        <v>32666473</v>
      </c>
      <c r="N654" s="1926">
        <f t="shared" si="289"/>
        <v>47226792</v>
      </c>
      <c r="O654" s="1926">
        <f t="shared" si="289"/>
        <v>1467513</v>
      </c>
      <c r="P654" s="1926">
        <f t="shared" si="289"/>
        <v>172038.83000000002</v>
      </c>
      <c r="Q654" s="1926">
        <f t="shared" si="289"/>
        <v>114903.48899999999</v>
      </c>
      <c r="R654" s="1926">
        <f t="shared" si="289"/>
        <v>162341.73200000008</v>
      </c>
      <c r="S654" s="1926">
        <f>ROUND(AVERAGE(S7:S653),4)</f>
        <v>0.80030000000000001</v>
      </c>
      <c r="T654" s="1926">
        <f>ROUND(AVERAGE(T7:T653),2)</f>
        <v>24.61</v>
      </c>
      <c r="U654" s="1926">
        <f t="shared" si="289"/>
        <v>34041201</v>
      </c>
      <c r="V654" s="1926">
        <f t="shared" si="289"/>
        <v>51292901</v>
      </c>
      <c r="W654" s="1926">
        <f t="shared" si="289"/>
        <v>1071491</v>
      </c>
      <c r="X654" s="1926">
        <f t="shared" si="289"/>
        <v>174720.83000000002</v>
      </c>
      <c r="Y654" s="1926">
        <f t="shared" si="289"/>
        <v>110451.04800000007</v>
      </c>
      <c r="Z654" s="1926">
        <f t="shared" si="289"/>
        <v>159794.48200000005</v>
      </c>
      <c r="AA654" s="1926">
        <f>ROUND(AVERAGE(AA7:AA653),4)</f>
        <v>0.80179999999999996</v>
      </c>
      <c r="AB654" s="1926">
        <f>ROUND(AVERAGE(AB7:AB653),2)</f>
        <v>24.72</v>
      </c>
      <c r="AC654" s="1926">
        <f t="shared" si="289"/>
        <v>31813414</v>
      </c>
      <c r="AD654" s="1926">
        <f t="shared" si="289"/>
        <v>47714849</v>
      </c>
      <c r="AE654" s="1926">
        <f t="shared" si="289"/>
        <v>1541380</v>
      </c>
      <c r="AF654" s="1926">
        <f t="shared" si="289"/>
        <v>176565.83000000002</v>
      </c>
      <c r="AG654" s="1926">
        <f t="shared" si="289"/>
        <v>107301.07099999997</v>
      </c>
      <c r="AH654" s="1926">
        <f t="shared" si="289"/>
        <v>160568.50199999995</v>
      </c>
      <c r="AI654" s="1926">
        <f>ROUND(AVERAGE(AI7:AI653),4)</f>
        <v>0.79820000000000002</v>
      </c>
      <c r="AJ654" s="1926">
        <f>ROUND(AVERAGE(AJ7:AJ653),2)</f>
        <v>24.12</v>
      </c>
      <c r="AK654" s="1926">
        <f t="shared" si="289"/>
        <v>29320051</v>
      </c>
      <c r="AL654" s="1926">
        <f t="shared" si="289"/>
        <v>48051663</v>
      </c>
      <c r="AM654" s="1926">
        <f t="shared" si="289"/>
        <v>782572</v>
      </c>
      <c r="AN654" s="1926">
        <f t="shared" si="289"/>
        <v>177420.83000000002</v>
      </c>
      <c r="AO654" s="1926">
        <f t="shared" si="289"/>
        <v>96325.858999999939</v>
      </c>
      <c r="AP654" s="1926">
        <f t="shared" si="289"/>
        <v>156159.67199999999</v>
      </c>
      <c r="AQ654" s="1926">
        <f>ROUND(AVERAGE(AQ7:AQ653),4)</f>
        <v>0.78129999999999999</v>
      </c>
      <c r="AR654" s="1926">
        <f>ROUND(AVERAGE(AR7:AR653),2)</f>
        <v>37.54</v>
      </c>
      <c r="AS654" s="1926">
        <f t="shared" si="289"/>
        <v>27106651</v>
      </c>
      <c r="AT654" s="1926">
        <f t="shared" si="289"/>
        <v>42999865</v>
      </c>
      <c r="AU654" s="1926">
        <f t="shared" si="289"/>
        <v>1580015</v>
      </c>
      <c r="AV654" s="1926">
        <f t="shared" si="289"/>
        <v>178948.83000000002</v>
      </c>
      <c r="AW654" s="1926">
        <f t="shared" si="289"/>
        <v>99470.004000000044</v>
      </c>
      <c r="AX654" s="1926">
        <f t="shared" si="289"/>
        <v>158702.79200000002</v>
      </c>
      <c r="AY654" s="1926">
        <f>ROUND(AVERAGE(AY7:AY653),4)</f>
        <v>0.78879999999999995</v>
      </c>
      <c r="AZ654" s="1926">
        <f>ROUND(AVERAGE(AZ7:AZ653),2)</f>
        <v>23.98</v>
      </c>
      <c r="BA654" s="1926">
        <f t="shared" si="289"/>
        <v>26124722</v>
      </c>
      <c r="BB654" s="1926">
        <f t="shared" si="289"/>
        <v>42971051</v>
      </c>
      <c r="BC654" s="1926">
        <f t="shared" si="289"/>
        <v>651172</v>
      </c>
      <c r="BD654" s="1926">
        <f t="shared" si="289"/>
        <v>179946.83000000002</v>
      </c>
      <c r="BE654" s="1926">
        <f t="shared" si="289"/>
        <v>95259.689999999988</v>
      </c>
      <c r="BF654" s="1926">
        <f t="shared" si="289"/>
        <v>158918.0720000001</v>
      </c>
      <c r="BG654" s="1926">
        <f>ROUND(AVERAGE(BG7:BG653),4)</f>
        <v>0.77759999999999996</v>
      </c>
      <c r="BH654" s="1926">
        <f>ROUND(AVERAGE(BH7:BH653),2)</f>
        <v>23.8</v>
      </c>
      <c r="BI654" s="1926">
        <f t="shared" si="289"/>
        <v>25443614.234899998</v>
      </c>
      <c r="BJ654" s="1926">
        <f t="shared" si="289"/>
        <v>42523927</v>
      </c>
      <c r="BK654" s="1926">
        <f t="shared" si="289"/>
        <v>750575</v>
      </c>
      <c r="BL654" s="1926">
        <f t="shared" si="289"/>
        <v>181049.83000000002</v>
      </c>
      <c r="BM654" s="1926">
        <f t="shared" si="289"/>
        <v>87855.619999999937</v>
      </c>
      <c r="BN654" s="1926">
        <f t="shared" si="289"/>
        <v>159144.90200000003</v>
      </c>
      <c r="BO654" s="1926">
        <f>ROUND(AVERAGE(BO7:BO653),4)</f>
        <v>0.75919999999999999</v>
      </c>
      <c r="BP654" s="1926">
        <f>ROUND(AVERAGE(BP7:BP653),2)</f>
        <v>24.37</v>
      </c>
      <c r="BQ654" s="1926">
        <f t="shared" si="289"/>
        <v>23556249.5689</v>
      </c>
      <c r="BR654" s="1926">
        <f t="shared" si="289"/>
        <v>37953619</v>
      </c>
      <c r="BS654" s="1926">
        <f t="shared" si="289"/>
        <v>1001537</v>
      </c>
      <c r="BT654" s="1926">
        <f t="shared" ref="BT654:CY654" si="290">SUM(BT7:BT653)</f>
        <v>182935.83000000002</v>
      </c>
      <c r="BU654" s="1926">
        <f t="shared" si="290"/>
        <v>90143.66</v>
      </c>
      <c r="BV654" s="1926">
        <f t="shared" si="290"/>
        <v>159975.36200000011</v>
      </c>
      <c r="BW654" s="1926">
        <f>ROUND(AVERAGE(BW7:BW653),4)</f>
        <v>0.75039999999999996</v>
      </c>
      <c r="BX654" s="1926">
        <f>ROUND(AVERAGE(BX7:BX653),2)</f>
        <v>23.54</v>
      </c>
      <c r="BY654" s="1926">
        <f t="shared" si="290"/>
        <v>23873659.376499999</v>
      </c>
      <c r="BZ654" s="1926">
        <f t="shared" si="290"/>
        <v>40240130</v>
      </c>
      <c r="CA654" s="1926">
        <f t="shared" si="290"/>
        <v>913799</v>
      </c>
      <c r="CB654" s="1926">
        <f t="shared" si="290"/>
        <v>186540.6</v>
      </c>
      <c r="CC654" s="1926">
        <f t="shared" si="290"/>
        <v>94265.946400000073</v>
      </c>
      <c r="CD654" s="1926">
        <f t="shared" si="290"/>
        <v>163266.27800000008</v>
      </c>
      <c r="CE654" s="1926">
        <f>ROUND(AVERAGE(CE7:CE653),4)</f>
        <v>0.78849999999999998</v>
      </c>
      <c r="CF654" s="1926">
        <f>ROUND(AVERAGE(CF7:CF653),2)</f>
        <v>25.85</v>
      </c>
      <c r="CG654" s="1926">
        <f t="shared" si="290"/>
        <v>26091519.205200002</v>
      </c>
      <c r="CH654" s="1926">
        <f t="shared" si="290"/>
        <v>42080321</v>
      </c>
      <c r="CI654" s="1926">
        <f t="shared" si="290"/>
        <v>733069</v>
      </c>
      <c r="CJ654" s="1926">
        <f t="shared" si="290"/>
        <v>185677.7</v>
      </c>
      <c r="CK654" s="1926">
        <f t="shared" si="290"/>
        <v>100813.37589999994</v>
      </c>
      <c r="CL654" s="1926">
        <f t="shared" si="290"/>
        <v>165172.89800000002</v>
      </c>
      <c r="CM654" s="1926">
        <f>ROUND(AVERAGE(CM7:CM653),4)</f>
        <v>0.81230000000000002</v>
      </c>
      <c r="CN654" s="1926">
        <f>ROUND(AVERAGE(CN7:CN653),2)</f>
        <v>27.41</v>
      </c>
      <c r="CO654" s="1926">
        <f t="shared" si="290"/>
        <v>26847386.285499997</v>
      </c>
      <c r="CP654" s="1926">
        <f t="shared" si="290"/>
        <v>40647966</v>
      </c>
      <c r="CQ654" s="1926">
        <f t="shared" si="290"/>
        <v>1045603</v>
      </c>
      <c r="CR654" s="1926">
        <f t="shared" si="290"/>
        <v>185685.7</v>
      </c>
      <c r="CS654" s="1926">
        <f t="shared" si="290"/>
        <v>106120.3235</v>
      </c>
      <c r="CT654" s="1926">
        <f t="shared" si="290"/>
        <v>164796.07800000004</v>
      </c>
      <c r="CU654" s="1926">
        <f>ROUND(AVERAGE(CU7:CU653),4)</f>
        <v>0.8306</v>
      </c>
      <c r="CV654" s="1926">
        <f>ROUND(AVERAGE(CV7:CV653),2)</f>
        <v>26.57</v>
      </c>
      <c r="CW654" s="1926">
        <f t="shared" si="290"/>
        <v>29942243.1602</v>
      </c>
      <c r="CX654" s="1926">
        <f t="shared" si="290"/>
        <v>47372120</v>
      </c>
      <c r="CY654" s="1926">
        <f t="shared" si="290"/>
        <v>962880</v>
      </c>
    </row>
    <row r="655" spans="1:103" ht="15">
      <c r="A655" s="982"/>
      <c r="B655" s="1894"/>
      <c r="C655" s="1891" t="s">
        <v>3517</v>
      </c>
      <c r="D655" s="1894"/>
      <c r="E655" s="1895"/>
      <c r="F655" s="1894"/>
      <c r="G655" s="1924"/>
      <c r="H655" s="1894"/>
      <c r="I655" s="1894"/>
      <c r="J655" s="1894"/>
      <c r="K655" s="1894"/>
      <c r="L655" s="1894"/>
      <c r="M655" s="1894"/>
      <c r="N655" s="1894"/>
      <c r="O655" s="1894"/>
      <c r="P655" s="1894"/>
      <c r="Q655" s="1894"/>
      <c r="R655" s="1894"/>
      <c r="S655" s="1894"/>
      <c r="T655" s="1894"/>
      <c r="U655" s="1894"/>
      <c r="V655" s="1894"/>
      <c r="W655" s="1894"/>
      <c r="X655" s="1894"/>
      <c r="Y655" s="1894"/>
      <c r="Z655" s="1894"/>
      <c r="AA655" s="1894"/>
      <c r="AB655" s="1894"/>
      <c r="AC655" s="1894"/>
      <c r="AD655" s="1894"/>
      <c r="AE655" s="1894"/>
      <c r="AF655" s="1894"/>
      <c r="AG655" s="1894"/>
      <c r="AH655" s="1894"/>
      <c r="AI655" s="1894"/>
      <c r="AJ655" s="1894"/>
      <c r="AK655" s="1894"/>
      <c r="AL655" s="1894"/>
      <c r="AM655" s="1894"/>
      <c r="AN655" s="1894"/>
      <c r="AO655" s="1894"/>
      <c r="AP655" s="1894"/>
      <c r="AQ655" s="1894"/>
      <c r="AR655" s="1894"/>
      <c r="AS655" s="1894"/>
      <c r="AT655" s="1894"/>
      <c r="AU655" s="1894"/>
      <c r="AV655" s="1894"/>
      <c r="AW655" s="1894"/>
      <c r="AX655" s="1894"/>
      <c r="AY655" s="1894"/>
      <c r="AZ655" s="1894"/>
      <c r="BA655" s="1894"/>
      <c r="BB655" s="1894"/>
      <c r="BC655" s="1894"/>
      <c r="BD655" s="1894"/>
      <c r="BE655" s="1894"/>
      <c r="BF655" s="1894"/>
      <c r="BG655" s="1894"/>
      <c r="BH655" s="1894"/>
      <c r="BI655" s="1894"/>
      <c r="BJ655" s="1894"/>
      <c r="BK655" s="1894"/>
      <c r="BL655" s="1894"/>
      <c r="BM655" s="1894"/>
      <c r="BN655" s="1894"/>
      <c r="BO655" s="1894"/>
      <c r="BP655" s="1894"/>
      <c r="BQ655" s="1894"/>
      <c r="BR655" s="1894"/>
      <c r="BS655" s="1894"/>
      <c r="BT655" s="1894"/>
      <c r="BU655" s="1894"/>
      <c r="BV655" s="1894"/>
      <c r="BW655" s="1894"/>
      <c r="BX655" s="1894"/>
      <c r="BY655" s="1894"/>
      <c r="BZ655" s="1894"/>
      <c r="CA655" s="1894"/>
      <c r="CB655" s="1894"/>
      <c r="CC655" s="1894"/>
      <c r="CD655" s="1894"/>
      <c r="CE655" s="1894"/>
      <c r="CF655" s="1894"/>
      <c r="CG655" s="1894"/>
      <c r="CH655" s="1894"/>
      <c r="CI655" s="1894"/>
      <c r="CJ655" s="1894"/>
      <c r="CK655" s="1894"/>
      <c r="CL655" s="1894"/>
      <c r="CM655" s="1894"/>
      <c r="CN655" s="1894"/>
      <c r="CO655" s="1894"/>
      <c r="CP655" s="1894"/>
      <c r="CQ655" s="1894"/>
      <c r="CR655" s="1924"/>
      <c r="CS655" s="1924"/>
      <c r="CT655" s="1924"/>
      <c r="CU655" s="1924"/>
      <c r="CV655" s="1924"/>
      <c r="CW655" s="1924"/>
      <c r="CX655" s="1894"/>
      <c r="CY655" s="1894"/>
    </row>
    <row r="656" spans="1:103">
      <c r="A656" s="982">
        <v>622000000184</v>
      </c>
      <c r="B656" s="1923">
        <v>1</v>
      </c>
      <c r="C656" s="1895" t="s">
        <v>732</v>
      </c>
      <c r="D656" s="1894" t="s">
        <v>524</v>
      </c>
      <c r="E656" s="1895" t="s">
        <v>730</v>
      </c>
      <c r="F656" s="1894" t="s">
        <v>259</v>
      </c>
      <c r="G656" s="1924">
        <v>1150</v>
      </c>
      <c r="H656" s="1894">
        <v>1150</v>
      </c>
      <c r="I656" s="1894">
        <v>401.76</v>
      </c>
      <c r="J656" s="1894">
        <v>920</v>
      </c>
      <c r="K656" s="1894">
        <v>0.80600000000000005</v>
      </c>
      <c r="L656" s="1894">
        <v>33.049999999999997</v>
      </c>
      <c r="M656" s="1894">
        <v>95616</v>
      </c>
      <c r="N656" s="1894">
        <f t="shared" ref="N656:N696" si="291">+ROUND((24*30*0.6*I656),0)</f>
        <v>173560</v>
      </c>
      <c r="O656" s="1894">
        <f t="shared" ref="O656:O696" si="292">+MAX((M656-N656),0)</f>
        <v>0</v>
      </c>
      <c r="P656" s="1894">
        <v>1150</v>
      </c>
      <c r="Q656" s="1894">
        <v>396.72</v>
      </c>
      <c r="R656" s="1894">
        <v>920</v>
      </c>
      <c r="S656" s="1894">
        <v>0.82389999999999997</v>
      </c>
      <c r="T656" s="1894">
        <v>37.43</v>
      </c>
      <c r="U656" s="1894">
        <v>110466</v>
      </c>
      <c r="V656" s="1894">
        <f t="shared" ref="V656:V696" si="293">+ROUND((24*31*0.6*Q656),0)</f>
        <v>177096</v>
      </c>
      <c r="W656" s="1894">
        <f t="shared" ref="W656:W696" si="294">+MAX((U656-V656),0)</f>
        <v>0</v>
      </c>
      <c r="X656" s="1894">
        <v>1150</v>
      </c>
      <c r="Y656" s="1894">
        <v>403.91999999999996</v>
      </c>
      <c r="Z656" s="1894">
        <v>920</v>
      </c>
      <c r="AA656" s="1894">
        <v>0.78359999999999996</v>
      </c>
      <c r="AB656" s="1894">
        <v>31.69</v>
      </c>
      <c r="AC656" s="1894">
        <v>92169</v>
      </c>
      <c r="AD656" s="1894">
        <f t="shared" ref="AD656:AD696" si="295">+ROUND((24*30*0.6*Y656),0)</f>
        <v>174493</v>
      </c>
      <c r="AE656" s="1894">
        <f t="shared" ref="AE656:AE696" si="296">+MAX((AC656-AD656),0)</f>
        <v>0</v>
      </c>
      <c r="AF656" s="1894">
        <v>1150</v>
      </c>
      <c r="AG656" s="1894">
        <v>414.71999999999997</v>
      </c>
      <c r="AH656" s="1894">
        <v>920</v>
      </c>
      <c r="AI656" s="1894">
        <v>0.78120000000000001</v>
      </c>
      <c r="AJ656" s="1894">
        <v>29.35</v>
      </c>
      <c r="AK656" s="1894">
        <v>90558</v>
      </c>
      <c r="AL656" s="1894">
        <f t="shared" ref="AL656:AL692" si="297">+ROUND((24*31*0.6*AG656),0)</f>
        <v>185131</v>
      </c>
      <c r="AM656" s="1894">
        <f t="shared" ref="AM656:AM692" si="298">+MAX((AK656-AL656),0)</f>
        <v>0</v>
      </c>
      <c r="AN656" s="1894">
        <v>1150</v>
      </c>
      <c r="AO656" s="1894">
        <v>424.79999999999995</v>
      </c>
      <c r="AP656" s="1894">
        <v>920</v>
      </c>
      <c r="AQ656" s="1894">
        <v>0.73770000000000002</v>
      </c>
      <c r="AR656" s="1894">
        <v>20.87</v>
      </c>
      <c r="AS656" s="1894">
        <v>65970</v>
      </c>
      <c r="AT656" s="1894">
        <f t="shared" ref="AT656:AT696" si="299">+ROUND((24*31*0.6*AO656),0)</f>
        <v>189631</v>
      </c>
      <c r="AU656" s="1894">
        <f t="shared" ref="AU656:AU696" si="300">+MAX((AS656-AT656),0)</f>
        <v>0</v>
      </c>
      <c r="AV656" s="1894">
        <v>1150</v>
      </c>
      <c r="AW656" s="1894">
        <v>393.84</v>
      </c>
      <c r="AX656" s="1894">
        <v>920</v>
      </c>
      <c r="AY656" s="1894">
        <v>0.80189999999999995</v>
      </c>
      <c r="AZ656" s="1894">
        <v>28.72</v>
      </c>
      <c r="BA656" s="1894">
        <v>81432</v>
      </c>
      <c r="BB656" s="1894">
        <f t="shared" ref="BB656:BB696" si="301">+ROUND((24*30*0.6*AW656),0)</f>
        <v>170139</v>
      </c>
      <c r="BC656" s="1894">
        <f t="shared" ref="BC656:BC696" si="302">+MAX((BA656-BB656),0)</f>
        <v>0</v>
      </c>
      <c r="BD656" s="1894">
        <v>1150</v>
      </c>
      <c r="BE656" s="1894">
        <v>402.47999999999996</v>
      </c>
      <c r="BF656" s="1894">
        <v>920</v>
      </c>
      <c r="BG656" s="1894">
        <v>0.80120000000000002</v>
      </c>
      <c r="BH656" s="1894">
        <v>32.869999999999997</v>
      </c>
      <c r="BI656" s="1894">
        <v>98415</v>
      </c>
      <c r="BJ656" s="1894">
        <f t="shared" ref="BJ656:BJ696" si="303">+ROUND((24*31*0.6*BE656),0)</f>
        <v>179667</v>
      </c>
      <c r="BK656" s="1894">
        <f t="shared" ref="BK656:BK696" si="304">+MAX((BI656-BJ656),0)</f>
        <v>0</v>
      </c>
      <c r="BL656" s="1894">
        <v>1150</v>
      </c>
      <c r="BM656" s="1894">
        <v>408.96000000000004</v>
      </c>
      <c r="BN656" s="1894">
        <v>920</v>
      </c>
      <c r="BO656" s="1894">
        <v>0.81030000000000002</v>
      </c>
      <c r="BP656" s="1894">
        <v>34.229999999999997</v>
      </c>
      <c r="BQ656" s="1894">
        <v>100800</v>
      </c>
      <c r="BR656" s="1894">
        <f t="shared" ref="BR656:BR696" si="305">+ROUND((24*30*0.6*BM656),0)</f>
        <v>176671</v>
      </c>
      <c r="BS656" s="1894">
        <f t="shared" ref="BS656:BS696" si="306">+MAX((BQ656-BR656),0)</f>
        <v>0</v>
      </c>
      <c r="BT656" s="1894">
        <v>1150</v>
      </c>
      <c r="BU656" s="1894">
        <v>399.6</v>
      </c>
      <c r="BV656" s="1894">
        <v>920</v>
      </c>
      <c r="BW656" s="1894">
        <v>0.79749999999999999</v>
      </c>
      <c r="BX656" s="1894">
        <v>30.37</v>
      </c>
      <c r="BY656" s="1894">
        <v>90288</v>
      </c>
      <c r="BZ656" s="1894">
        <f t="shared" ref="BZ656:BZ696" si="307">+ROUND((24*31*0.6*BU656),0)</f>
        <v>178381</v>
      </c>
      <c r="CA656" s="1894">
        <f t="shared" ref="CA656:CA696" si="308">+MAX((BY656-BZ656),0)</f>
        <v>0</v>
      </c>
      <c r="CB656" s="1894">
        <v>1150</v>
      </c>
      <c r="CC656" s="1894">
        <v>408.96000000000004</v>
      </c>
      <c r="CD656" s="1894">
        <v>920</v>
      </c>
      <c r="CE656" s="1894">
        <v>0.76300000000000001</v>
      </c>
      <c r="CF656" s="1894">
        <v>30.47</v>
      </c>
      <c r="CG656" s="1894">
        <v>92700</v>
      </c>
      <c r="CH656" s="1894">
        <f t="shared" ref="CH656:CH696" si="309">+ROUND((24*31*0.6*CC656),0)</f>
        <v>182560</v>
      </c>
      <c r="CI656" s="1894">
        <f t="shared" ref="CI656:CI696" si="310">+MAX((CG656-CH656),0)</f>
        <v>0</v>
      </c>
      <c r="CJ656" s="1894">
        <v>1150</v>
      </c>
      <c r="CK656" s="1894">
        <v>416.15999999999997</v>
      </c>
      <c r="CL656" s="1894">
        <v>920</v>
      </c>
      <c r="CM656" s="1894">
        <v>0.73299999999999998</v>
      </c>
      <c r="CN656" s="1894">
        <v>23.19</v>
      </c>
      <c r="CO656" s="1894">
        <v>64863</v>
      </c>
      <c r="CP656" s="1894">
        <f t="shared" ref="CP656:CP696" si="311">+ROUND((24*28*0.6*CK656),0)</f>
        <v>167796</v>
      </c>
      <c r="CQ656" s="1894">
        <f t="shared" ref="CQ656:CQ696" si="312">+MAX((CO656-CP656),0)</f>
        <v>0</v>
      </c>
      <c r="CR656" s="1924">
        <v>1150</v>
      </c>
      <c r="CS656" s="1924">
        <v>413.28</v>
      </c>
      <c r="CT656" s="1924">
        <v>920</v>
      </c>
      <c r="CU656" s="1924">
        <v>0.78100000000000003</v>
      </c>
      <c r="CV656" s="1924">
        <v>33.85</v>
      </c>
      <c r="CW656" s="1924">
        <v>104067</v>
      </c>
      <c r="CX656" s="1894">
        <f t="shared" ref="CX656:CX696" si="313">+ROUND((24*31*0.6*CS656),0)</f>
        <v>184488</v>
      </c>
      <c r="CY656" s="1894">
        <f t="shared" ref="CY656:CY696" si="314">+MAX((CW656-CX656),0)</f>
        <v>0</v>
      </c>
    </row>
    <row r="657" spans="1:103">
      <c r="A657" s="982">
        <v>622000000194</v>
      </c>
      <c r="B657" s="1923">
        <f t="shared" ref="B657:B696" si="315">+B656+1</f>
        <v>2</v>
      </c>
      <c r="C657" s="1895" t="s">
        <v>690</v>
      </c>
      <c r="D657" s="1894" t="s">
        <v>524</v>
      </c>
      <c r="E657" s="1895" t="s">
        <v>541</v>
      </c>
      <c r="F657" s="1894" t="s">
        <v>259</v>
      </c>
      <c r="G657" s="1924">
        <v>1200</v>
      </c>
      <c r="H657" s="1894">
        <v>222</v>
      </c>
      <c r="I657" s="1894">
        <v>192</v>
      </c>
      <c r="J657" s="1894">
        <v>192</v>
      </c>
      <c r="K657" s="1894">
        <v>0.93310000000000004</v>
      </c>
      <c r="L657" s="1894">
        <v>35.53</v>
      </c>
      <c r="M657" s="1894">
        <v>49120</v>
      </c>
      <c r="N657" s="1894">
        <f t="shared" si="291"/>
        <v>82944</v>
      </c>
      <c r="O657" s="1894">
        <f t="shared" si="292"/>
        <v>0</v>
      </c>
      <c r="P657" s="1894">
        <v>222</v>
      </c>
      <c r="Q657" s="1894">
        <v>189.20000000000002</v>
      </c>
      <c r="R657" s="1894">
        <v>189.2</v>
      </c>
      <c r="S657" s="1894">
        <v>0.93540000000000001</v>
      </c>
      <c r="T657" s="1894">
        <v>38.17</v>
      </c>
      <c r="U657" s="1894">
        <v>53725</v>
      </c>
      <c r="V657" s="1894">
        <f t="shared" si="293"/>
        <v>84459</v>
      </c>
      <c r="W657" s="1894">
        <f t="shared" si="294"/>
        <v>0</v>
      </c>
      <c r="X657" s="1894">
        <v>222</v>
      </c>
      <c r="Y657" s="1894">
        <v>192.39999999999998</v>
      </c>
      <c r="Z657" s="1894">
        <v>192.4</v>
      </c>
      <c r="AA657" s="1894">
        <v>0.95269999999999999</v>
      </c>
      <c r="AB657" s="1894">
        <v>34.729999999999997</v>
      </c>
      <c r="AC657" s="1894">
        <v>48115</v>
      </c>
      <c r="AD657" s="1894">
        <f t="shared" si="295"/>
        <v>83117</v>
      </c>
      <c r="AE657" s="1894">
        <f t="shared" si="296"/>
        <v>0</v>
      </c>
      <c r="AF657" s="1894">
        <v>222</v>
      </c>
      <c r="AG657" s="1894">
        <v>123.2</v>
      </c>
      <c r="AH657" s="1894">
        <v>177.6</v>
      </c>
      <c r="AI657" s="1894">
        <v>0.9819</v>
      </c>
      <c r="AJ657" s="1894">
        <v>37.130000000000003</v>
      </c>
      <c r="AK657" s="1894">
        <v>34035</v>
      </c>
      <c r="AL657" s="1894">
        <f t="shared" si="297"/>
        <v>54996</v>
      </c>
      <c r="AM657" s="1894">
        <f t="shared" si="298"/>
        <v>0</v>
      </c>
      <c r="AN657" s="1894">
        <v>222</v>
      </c>
      <c r="AO657" s="1894">
        <v>176.8</v>
      </c>
      <c r="AP657" s="1894">
        <v>177.6</v>
      </c>
      <c r="AQ657" s="1894">
        <v>0.96120000000000005</v>
      </c>
      <c r="AR657" s="1894">
        <v>39.96</v>
      </c>
      <c r="AS657" s="1894">
        <v>52560</v>
      </c>
      <c r="AT657" s="1894">
        <f t="shared" si="299"/>
        <v>78924</v>
      </c>
      <c r="AU657" s="1894">
        <f t="shared" si="300"/>
        <v>0</v>
      </c>
      <c r="AV657" s="1894">
        <v>1200</v>
      </c>
      <c r="AW657" s="1894">
        <v>327.2</v>
      </c>
      <c r="AX657" s="1894">
        <v>960</v>
      </c>
      <c r="AY657" s="1894">
        <v>0.9365</v>
      </c>
      <c r="AZ657" s="1894">
        <v>28.04</v>
      </c>
      <c r="BA657" s="1894">
        <v>66065</v>
      </c>
      <c r="BB657" s="1894">
        <f t="shared" si="301"/>
        <v>141350</v>
      </c>
      <c r="BC657" s="1894">
        <f t="shared" si="302"/>
        <v>0</v>
      </c>
      <c r="BD657" s="1894">
        <v>1200</v>
      </c>
      <c r="BE657" s="1894">
        <v>418.4</v>
      </c>
      <c r="BF657" s="1894">
        <v>960</v>
      </c>
      <c r="BG657" s="1894">
        <v>0.92659999999999998</v>
      </c>
      <c r="BH657" s="1894">
        <v>47.32</v>
      </c>
      <c r="BI657" s="1894">
        <v>147290</v>
      </c>
      <c r="BJ657" s="1894">
        <f t="shared" si="303"/>
        <v>186774</v>
      </c>
      <c r="BK657" s="1894">
        <f t="shared" si="304"/>
        <v>0</v>
      </c>
      <c r="BL657" s="1894">
        <v>1200</v>
      </c>
      <c r="BM657" s="1894">
        <v>607.19999999999993</v>
      </c>
      <c r="BN657" s="1894">
        <v>960</v>
      </c>
      <c r="BO657" s="1894">
        <v>0.88219999999999998</v>
      </c>
      <c r="BP657" s="1894">
        <v>44.42</v>
      </c>
      <c r="BQ657" s="1894">
        <v>194190</v>
      </c>
      <c r="BR657" s="1894">
        <f t="shared" si="305"/>
        <v>262310</v>
      </c>
      <c r="BS657" s="1894">
        <f t="shared" si="306"/>
        <v>0</v>
      </c>
      <c r="BT657" s="1894">
        <v>1200</v>
      </c>
      <c r="BU657" s="1894">
        <v>972</v>
      </c>
      <c r="BV657" s="1894">
        <v>972</v>
      </c>
      <c r="BW657" s="1894">
        <v>0.85229999999999995</v>
      </c>
      <c r="BX657" s="1894">
        <v>50.92</v>
      </c>
      <c r="BY657" s="1894">
        <v>368260</v>
      </c>
      <c r="BZ657" s="1894">
        <f t="shared" si="307"/>
        <v>433901</v>
      </c>
      <c r="CA657" s="1894">
        <f t="shared" si="308"/>
        <v>0</v>
      </c>
      <c r="CB657" s="1894">
        <v>1200</v>
      </c>
      <c r="CC657" s="1894">
        <v>1160.8</v>
      </c>
      <c r="CD657" s="1894">
        <v>1160.8</v>
      </c>
      <c r="CE657" s="1894">
        <v>0.83730000000000004</v>
      </c>
      <c r="CF657" s="1894">
        <v>49.83</v>
      </c>
      <c r="CG657" s="1894">
        <v>430370</v>
      </c>
      <c r="CH657" s="1894">
        <f t="shared" si="309"/>
        <v>518181</v>
      </c>
      <c r="CI657" s="1894">
        <f t="shared" si="310"/>
        <v>0</v>
      </c>
      <c r="CJ657" s="1894">
        <v>1200</v>
      </c>
      <c r="CK657" s="1894">
        <v>1145.5999999999999</v>
      </c>
      <c r="CL657" s="1894">
        <v>1145.5999999999999</v>
      </c>
      <c r="CM657" s="1894">
        <v>0.83140000000000003</v>
      </c>
      <c r="CN657" s="1894">
        <v>53.33</v>
      </c>
      <c r="CO657" s="1894">
        <v>410560</v>
      </c>
      <c r="CP657" s="1894">
        <f t="shared" si="311"/>
        <v>461906</v>
      </c>
      <c r="CQ657" s="1894">
        <f t="shared" si="312"/>
        <v>0</v>
      </c>
      <c r="CR657" s="1924">
        <v>1200</v>
      </c>
      <c r="CS657" s="1924">
        <v>1134.4000000000001</v>
      </c>
      <c r="CT657" s="1924">
        <v>1134.4000000000001</v>
      </c>
      <c r="CU657" s="1924">
        <v>0.83620000000000005</v>
      </c>
      <c r="CV657" s="1924">
        <v>46.38</v>
      </c>
      <c r="CW657" s="1924">
        <v>391440</v>
      </c>
      <c r="CX657" s="1894">
        <f t="shared" si="313"/>
        <v>506396</v>
      </c>
      <c r="CY657" s="1894">
        <f t="shared" si="314"/>
        <v>0</v>
      </c>
    </row>
    <row r="658" spans="1:103">
      <c r="A658" s="982">
        <v>123000000049</v>
      </c>
      <c r="B658" s="1923">
        <f t="shared" si="315"/>
        <v>3</v>
      </c>
      <c r="C658" s="1895" t="s">
        <v>654</v>
      </c>
      <c r="D658" s="1894" t="s">
        <v>524</v>
      </c>
      <c r="E658" s="1895" t="s">
        <v>541</v>
      </c>
      <c r="F658" s="1894" t="s">
        <v>259</v>
      </c>
      <c r="G658" s="1924">
        <v>1200</v>
      </c>
      <c r="H658" s="1894">
        <v>1200</v>
      </c>
      <c r="I658" s="1894">
        <v>851.76</v>
      </c>
      <c r="J658" s="1894">
        <v>960</v>
      </c>
      <c r="K658" s="1894">
        <v>0.9859</v>
      </c>
      <c r="L658" s="1894">
        <v>61.57</v>
      </c>
      <c r="M658" s="1894">
        <v>377613</v>
      </c>
      <c r="N658" s="1894">
        <f t="shared" si="291"/>
        <v>367960</v>
      </c>
      <c r="O658" s="1894">
        <f t="shared" si="292"/>
        <v>9653</v>
      </c>
      <c r="P658" s="1894">
        <v>1200</v>
      </c>
      <c r="Q658" s="1894">
        <v>797.76</v>
      </c>
      <c r="R658" s="1894">
        <v>960</v>
      </c>
      <c r="S658" s="1894">
        <v>0.98570000000000002</v>
      </c>
      <c r="T658" s="1894">
        <v>60.28</v>
      </c>
      <c r="U658" s="1894">
        <v>334710</v>
      </c>
      <c r="V658" s="1894">
        <f t="shared" si="293"/>
        <v>356120</v>
      </c>
      <c r="W658" s="1894">
        <f t="shared" si="294"/>
        <v>0</v>
      </c>
      <c r="X658" s="1894">
        <v>1200</v>
      </c>
      <c r="Y658" s="1894">
        <v>808.56</v>
      </c>
      <c r="Z658" s="1894">
        <v>960</v>
      </c>
      <c r="AA658" s="1894">
        <v>0.98519999999999996</v>
      </c>
      <c r="AB658" s="1894">
        <v>56.44</v>
      </c>
      <c r="AC658" s="1894">
        <v>350487</v>
      </c>
      <c r="AD658" s="1894">
        <f t="shared" si="295"/>
        <v>349298</v>
      </c>
      <c r="AE658" s="1894">
        <f t="shared" si="296"/>
        <v>1189</v>
      </c>
      <c r="AF658" s="1894">
        <v>1200</v>
      </c>
      <c r="AG658" s="1894">
        <v>759.6</v>
      </c>
      <c r="AH658" s="1894">
        <v>960</v>
      </c>
      <c r="AI658" s="1894">
        <v>0.98270000000000002</v>
      </c>
      <c r="AJ658" s="1894">
        <v>63.97</v>
      </c>
      <c r="AK658" s="1894">
        <v>361539</v>
      </c>
      <c r="AL658" s="1894">
        <f t="shared" si="297"/>
        <v>339085</v>
      </c>
      <c r="AM658" s="1894">
        <f t="shared" si="298"/>
        <v>22454</v>
      </c>
      <c r="AN658" s="1894">
        <v>1200</v>
      </c>
      <c r="AO658" s="1894">
        <v>721.43999999999994</v>
      </c>
      <c r="AP658" s="1894">
        <v>960</v>
      </c>
      <c r="AQ658" s="1894">
        <v>0.98829999999999996</v>
      </c>
      <c r="AR658" s="1894">
        <v>47.96</v>
      </c>
      <c r="AS658" s="1894">
        <v>257418</v>
      </c>
      <c r="AT658" s="1894">
        <f t="shared" si="299"/>
        <v>322051</v>
      </c>
      <c r="AU658" s="1894">
        <f t="shared" si="300"/>
        <v>0</v>
      </c>
      <c r="AV658" s="1894">
        <v>1200</v>
      </c>
      <c r="AW658" s="1894">
        <v>663.84</v>
      </c>
      <c r="AX658" s="1894">
        <v>960</v>
      </c>
      <c r="AY658" s="1894">
        <v>0.99360000000000004</v>
      </c>
      <c r="AZ658" s="1894">
        <v>51.69</v>
      </c>
      <c r="BA658" s="1894">
        <v>247050</v>
      </c>
      <c r="BB658" s="1894">
        <f t="shared" si="301"/>
        <v>286779</v>
      </c>
      <c r="BC658" s="1894">
        <f t="shared" si="302"/>
        <v>0</v>
      </c>
      <c r="BD658" s="1894">
        <v>1200</v>
      </c>
      <c r="BE658" s="1894">
        <v>571.67999999999995</v>
      </c>
      <c r="BF658" s="1894">
        <v>960</v>
      </c>
      <c r="BG658" s="1894">
        <v>0.99229999999999996</v>
      </c>
      <c r="BH658" s="1894">
        <v>47.6</v>
      </c>
      <c r="BI658" s="1894">
        <v>202446</v>
      </c>
      <c r="BJ658" s="1894">
        <f t="shared" si="303"/>
        <v>255198</v>
      </c>
      <c r="BK658" s="1894">
        <f t="shared" si="304"/>
        <v>0</v>
      </c>
      <c r="BL658" s="1894">
        <v>1200</v>
      </c>
      <c r="BM658" s="1894">
        <v>746.64</v>
      </c>
      <c r="BN658" s="1894">
        <v>960</v>
      </c>
      <c r="BO658" s="1894">
        <v>0.98899999999999999</v>
      </c>
      <c r="BP658" s="1894">
        <v>58.95</v>
      </c>
      <c r="BQ658" s="1894">
        <v>316881</v>
      </c>
      <c r="BR658" s="1894">
        <f t="shared" si="305"/>
        <v>322548</v>
      </c>
      <c r="BS658" s="1894">
        <f t="shared" si="306"/>
        <v>0</v>
      </c>
      <c r="BT658" s="1894">
        <v>1200</v>
      </c>
      <c r="BU658" s="1894">
        <v>780.48</v>
      </c>
      <c r="BV658" s="1894">
        <v>960</v>
      </c>
      <c r="BW658" s="1894">
        <v>0.98860000000000003</v>
      </c>
      <c r="BX658" s="1894">
        <v>61.23</v>
      </c>
      <c r="BY658" s="1894">
        <v>355545</v>
      </c>
      <c r="BZ658" s="1894">
        <f t="shared" si="307"/>
        <v>348406</v>
      </c>
      <c r="CA658" s="1894">
        <f t="shared" si="308"/>
        <v>7139</v>
      </c>
      <c r="CB658" s="1894">
        <v>1200</v>
      </c>
      <c r="CC658" s="1894">
        <v>810.72</v>
      </c>
      <c r="CD658" s="1894">
        <v>960</v>
      </c>
      <c r="CE658" s="1894">
        <v>0.99199999999999999</v>
      </c>
      <c r="CF658" s="1894">
        <v>53.88</v>
      </c>
      <c r="CG658" s="1894">
        <v>324963</v>
      </c>
      <c r="CH658" s="1894">
        <f t="shared" si="309"/>
        <v>361905</v>
      </c>
      <c r="CI658" s="1894">
        <f t="shared" si="310"/>
        <v>0</v>
      </c>
      <c r="CJ658" s="1894">
        <v>1200</v>
      </c>
      <c r="CK658" s="1894">
        <v>861.84</v>
      </c>
      <c r="CL658" s="1894">
        <v>960</v>
      </c>
      <c r="CM658" s="1894">
        <v>0.98640000000000005</v>
      </c>
      <c r="CN658" s="1894">
        <v>60.02</v>
      </c>
      <c r="CO658" s="1894">
        <v>347634</v>
      </c>
      <c r="CP658" s="1894">
        <f t="shared" si="311"/>
        <v>347494</v>
      </c>
      <c r="CQ658" s="1894">
        <f t="shared" si="312"/>
        <v>140</v>
      </c>
      <c r="CR658" s="1924">
        <v>1200</v>
      </c>
      <c r="CS658" s="1924">
        <v>780.48</v>
      </c>
      <c r="CT658" s="1924">
        <v>960</v>
      </c>
      <c r="CU658" s="1924">
        <v>0.98740000000000006</v>
      </c>
      <c r="CV658" s="1924">
        <v>63.35</v>
      </c>
      <c r="CW658" s="1924">
        <v>367884</v>
      </c>
      <c r="CX658" s="1894">
        <f t="shared" si="313"/>
        <v>348406</v>
      </c>
      <c r="CY658" s="1894">
        <f t="shared" si="314"/>
        <v>19478</v>
      </c>
    </row>
    <row r="659" spans="1:103">
      <c r="A659" s="982">
        <v>611000000017</v>
      </c>
      <c r="B659" s="1923">
        <f t="shared" si="315"/>
        <v>4</v>
      </c>
      <c r="C659" s="1895" t="s">
        <v>638</v>
      </c>
      <c r="D659" s="1894" t="s">
        <v>524</v>
      </c>
      <c r="E659" s="1895" t="s">
        <v>636</v>
      </c>
      <c r="F659" s="1894" t="s">
        <v>259</v>
      </c>
      <c r="G659" s="1924">
        <v>1200</v>
      </c>
      <c r="H659" s="1894">
        <v>1200</v>
      </c>
      <c r="I659" s="1894">
        <v>1306.08</v>
      </c>
      <c r="J659" s="1894">
        <v>1306.08</v>
      </c>
      <c r="K659" s="1894">
        <v>0.96579999999999999</v>
      </c>
      <c r="L659" s="1894">
        <v>72.64</v>
      </c>
      <c r="M659" s="1894">
        <v>819666</v>
      </c>
      <c r="N659" s="1894">
        <f t="shared" si="291"/>
        <v>564227</v>
      </c>
      <c r="O659" s="1894">
        <f t="shared" si="292"/>
        <v>255439</v>
      </c>
      <c r="P659" s="1894">
        <v>1200</v>
      </c>
      <c r="Q659" s="1894">
        <v>1304.6400000000001</v>
      </c>
      <c r="R659" s="1894">
        <v>1304.6400000000001</v>
      </c>
      <c r="S659" s="1894">
        <v>0.9617</v>
      </c>
      <c r="T659" s="1894">
        <v>71.2</v>
      </c>
      <c r="U659" s="1894">
        <v>691074</v>
      </c>
      <c r="V659" s="1894">
        <f t="shared" si="293"/>
        <v>582391</v>
      </c>
      <c r="W659" s="1894">
        <f t="shared" si="294"/>
        <v>108683</v>
      </c>
      <c r="X659" s="1894">
        <v>1200</v>
      </c>
      <c r="Y659" s="1894">
        <v>1271.52</v>
      </c>
      <c r="Z659" s="1894">
        <v>1271.52</v>
      </c>
      <c r="AA659" s="1894">
        <v>0.96279999999999999</v>
      </c>
      <c r="AB659" s="1894">
        <v>42.32</v>
      </c>
      <c r="AC659" s="1894">
        <v>387441</v>
      </c>
      <c r="AD659" s="1894">
        <f t="shared" si="295"/>
        <v>549297</v>
      </c>
      <c r="AE659" s="1894">
        <f t="shared" si="296"/>
        <v>0</v>
      </c>
      <c r="AF659" s="1894">
        <v>1200</v>
      </c>
      <c r="AG659" s="1894">
        <v>1323.36</v>
      </c>
      <c r="AH659" s="1894">
        <v>1323.36</v>
      </c>
      <c r="AI659" s="1894">
        <v>0.96450000000000002</v>
      </c>
      <c r="AJ659" s="1894">
        <v>61.32</v>
      </c>
      <c r="AK659" s="1894">
        <v>603783</v>
      </c>
      <c r="AL659" s="1894">
        <f t="shared" si="297"/>
        <v>590748</v>
      </c>
      <c r="AM659" s="1894">
        <f t="shared" si="298"/>
        <v>13035</v>
      </c>
      <c r="AN659" s="1894">
        <v>1200</v>
      </c>
      <c r="AO659" s="1894">
        <v>1342.8</v>
      </c>
      <c r="AP659" s="1894">
        <v>1342.8</v>
      </c>
      <c r="AQ659" s="1894">
        <v>0.95340000000000003</v>
      </c>
      <c r="AR659" s="1894">
        <v>68.239999999999995</v>
      </c>
      <c r="AS659" s="1894">
        <v>681786</v>
      </c>
      <c r="AT659" s="1894">
        <f t="shared" si="299"/>
        <v>599426</v>
      </c>
      <c r="AU659" s="1894">
        <f t="shared" si="300"/>
        <v>82360</v>
      </c>
      <c r="AV659" s="1894">
        <v>1200</v>
      </c>
      <c r="AW659" s="1894">
        <v>1343.52</v>
      </c>
      <c r="AX659" s="1894">
        <v>1343.52</v>
      </c>
      <c r="AY659" s="1894">
        <v>0.95479999999999998</v>
      </c>
      <c r="AZ659" s="1894">
        <v>62.06</v>
      </c>
      <c r="BA659" s="1894">
        <v>580302</v>
      </c>
      <c r="BB659" s="1894">
        <f t="shared" si="301"/>
        <v>580401</v>
      </c>
      <c r="BC659" s="1894">
        <f t="shared" si="302"/>
        <v>0</v>
      </c>
      <c r="BD659" s="1894">
        <v>1200</v>
      </c>
      <c r="BE659" s="1894">
        <v>1379.52</v>
      </c>
      <c r="BF659" s="1894">
        <v>1379.52</v>
      </c>
      <c r="BG659" s="1894">
        <v>0.97070000000000001</v>
      </c>
      <c r="BH659" s="1894">
        <v>67.72</v>
      </c>
      <c r="BI659" s="1894">
        <v>717525</v>
      </c>
      <c r="BJ659" s="1894">
        <f t="shared" si="303"/>
        <v>615818</v>
      </c>
      <c r="BK659" s="1894">
        <f t="shared" si="304"/>
        <v>101707</v>
      </c>
      <c r="BL659" s="1894">
        <v>1200</v>
      </c>
      <c r="BM659" s="1894">
        <v>1410.48</v>
      </c>
      <c r="BN659" s="1894">
        <v>1410.48</v>
      </c>
      <c r="BO659" s="1894">
        <v>0.95709999999999995</v>
      </c>
      <c r="BP659" s="1894">
        <v>66.459999999999994</v>
      </c>
      <c r="BQ659" s="1894">
        <v>674928</v>
      </c>
      <c r="BR659" s="1894">
        <f t="shared" si="305"/>
        <v>609327</v>
      </c>
      <c r="BS659" s="1894">
        <f t="shared" si="306"/>
        <v>65601</v>
      </c>
      <c r="BT659" s="1894">
        <v>1200</v>
      </c>
      <c r="BU659" s="1894">
        <v>1367.28</v>
      </c>
      <c r="BV659" s="1894">
        <v>1367.28</v>
      </c>
      <c r="BW659" s="1894">
        <v>0.97609999999999997</v>
      </c>
      <c r="BX659" s="1894">
        <v>61.54</v>
      </c>
      <c r="BY659" s="1894">
        <v>626067</v>
      </c>
      <c r="BZ659" s="1894">
        <f t="shared" si="307"/>
        <v>610354</v>
      </c>
      <c r="CA659" s="1894">
        <f t="shared" si="308"/>
        <v>15713</v>
      </c>
      <c r="CB659" s="1894">
        <v>1200</v>
      </c>
      <c r="CC659" s="1894">
        <v>1330.56</v>
      </c>
      <c r="CD659" s="1894">
        <v>1330.56</v>
      </c>
      <c r="CE659" s="1894">
        <v>0.97199999999999998</v>
      </c>
      <c r="CF659" s="1894">
        <v>63.66</v>
      </c>
      <c r="CG659" s="1894">
        <v>630207</v>
      </c>
      <c r="CH659" s="1894">
        <f t="shared" si="309"/>
        <v>593962</v>
      </c>
      <c r="CI659" s="1894">
        <f t="shared" si="310"/>
        <v>36245</v>
      </c>
      <c r="CJ659" s="1894">
        <v>1200</v>
      </c>
      <c r="CK659" s="1894">
        <v>1334.88</v>
      </c>
      <c r="CL659" s="1894">
        <v>1334.88</v>
      </c>
      <c r="CM659" s="1894">
        <v>0.96589999999999998</v>
      </c>
      <c r="CN659" s="1894">
        <v>72</v>
      </c>
      <c r="CO659" s="1894">
        <v>645849</v>
      </c>
      <c r="CP659" s="1894">
        <f t="shared" si="311"/>
        <v>538224</v>
      </c>
      <c r="CQ659" s="1894">
        <f t="shared" si="312"/>
        <v>107625</v>
      </c>
      <c r="CR659" s="1924">
        <v>1200</v>
      </c>
      <c r="CS659" s="1924">
        <v>1344.24</v>
      </c>
      <c r="CT659" s="1924">
        <v>1344.24</v>
      </c>
      <c r="CU659" s="1924">
        <v>0.9577</v>
      </c>
      <c r="CV659" s="1924">
        <v>70.8</v>
      </c>
      <c r="CW659" s="1924">
        <v>708111</v>
      </c>
      <c r="CX659" s="1894">
        <f t="shared" si="313"/>
        <v>600069</v>
      </c>
      <c r="CY659" s="1894">
        <f t="shared" si="314"/>
        <v>108042</v>
      </c>
    </row>
    <row r="660" spans="1:103">
      <c r="A660" s="982">
        <v>611000000015</v>
      </c>
      <c r="B660" s="1923">
        <f t="shared" si="315"/>
        <v>5</v>
      </c>
      <c r="C660" s="1895" t="s">
        <v>628</v>
      </c>
      <c r="D660" s="1894" t="s">
        <v>524</v>
      </c>
      <c r="E660" s="1895" t="s">
        <v>629</v>
      </c>
      <c r="F660" s="1894" t="s">
        <v>259</v>
      </c>
      <c r="G660" s="1924">
        <v>1236</v>
      </c>
      <c r="H660" s="1894">
        <v>1236</v>
      </c>
      <c r="I660" s="1894">
        <v>951</v>
      </c>
      <c r="J660" s="1894">
        <v>1236</v>
      </c>
      <c r="K660" s="1894">
        <v>0.9748</v>
      </c>
      <c r="L660" s="1894">
        <v>0</v>
      </c>
      <c r="M660" s="1894">
        <v>434355</v>
      </c>
      <c r="N660" s="1894">
        <f t="shared" si="291"/>
        <v>410832</v>
      </c>
      <c r="O660" s="1894">
        <f t="shared" si="292"/>
        <v>23523</v>
      </c>
      <c r="P660" s="1894">
        <v>1236</v>
      </c>
      <c r="Q660" s="1894">
        <v>956.99999999999989</v>
      </c>
      <c r="R660" s="1894">
        <v>1236</v>
      </c>
      <c r="S660" s="1894">
        <v>0.97430000000000005</v>
      </c>
      <c r="T660" s="1894">
        <v>0</v>
      </c>
      <c r="U660" s="1894">
        <v>446190</v>
      </c>
      <c r="V660" s="1894">
        <f t="shared" si="293"/>
        <v>427205</v>
      </c>
      <c r="W660" s="1894">
        <f t="shared" si="294"/>
        <v>18985</v>
      </c>
      <c r="X660" s="1894">
        <v>1236</v>
      </c>
      <c r="Y660" s="1894">
        <v>1013.9999999999999</v>
      </c>
      <c r="Z660" s="1894">
        <v>1236</v>
      </c>
      <c r="AA660" s="1894">
        <v>0.97319999999999995</v>
      </c>
      <c r="AB660" s="1894">
        <v>0</v>
      </c>
      <c r="AC660" s="1894">
        <v>434220</v>
      </c>
      <c r="AD660" s="1894">
        <f t="shared" si="295"/>
        <v>438048</v>
      </c>
      <c r="AE660" s="1894">
        <f t="shared" si="296"/>
        <v>0</v>
      </c>
      <c r="AF660" s="1894">
        <v>1236</v>
      </c>
      <c r="AG660" s="1894">
        <v>1011</v>
      </c>
      <c r="AH660" s="1894">
        <v>1236</v>
      </c>
      <c r="AI660" s="1894">
        <v>0.9738</v>
      </c>
      <c r="AJ660" s="1894">
        <v>0</v>
      </c>
      <c r="AK660" s="1894">
        <v>456255</v>
      </c>
      <c r="AL660" s="1894">
        <f t="shared" si="297"/>
        <v>451310</v>
      </c>
      <c r="AM660" s="1894">
        <f t="shared" si="298"/>
        <v>4945</v>
      </c>
      <c r="AN660" s="1894">
        <v>1236</v>
      </c>
      <c r="AO660" s="1894">
        <v>1017</v>
      </c>
      <c r="AP660" s="1894">
        <v>1236</v>
      </c>
      <c r="AQ660" s="1894">
        <v>0.97570000000000001</v>
      </c>
      <c r="AR660" s="1894">
        <v>0</v>
      </c>
      <c r="AS660" s="1894">
        <v>470955</v>
      </c>
      <c r="AT660" s="1894">
        <f t="shared" si="299"/>
        <v>453989</v>
      </c>
      <c r="AU660" s="1894">
        <f t="shared" si="300"/>
        <v>16966</v>
      </c>
      <c r="AV660" s="1894">
        <v>1236</v>
      </c>
      <c r="AW660" s="1894">
        <v>1013.9999999999999</v>
      </c>
      <c r="AX660" s="1894">
        <v>1236</v>
      </c>
      <c r="AY660" s="1894">
        <v>0.97560000000000002</v>
      </c>
      <c r="AZ660" s="1894">
        <v>0</v>
      </c>
      <c r="BA660" s="1894">
        <v>449040</v>
      </c>
      <c r="BB660" s="1894">
        <f t="shared" si="301"/>
        <v>438048</v>
      </c>
      <c r="BC660" s="1894">
        <f t="shared" si="302"/>
        <v>10992</v>
      </c>
      <c r="BD660" s="1894">
        <v>1236</v>
      </c>
      <c r="BE660" s="1894">
        <v>1065</v>
      </c>
      <c r="BF660" s="1894">
        <v>1236</v>
      </c>
      <c r="BG660" s="1894">
        <v>0.97399999999999998</v>
      </c>
      <c r="BH660" s="1894">
        <v>0</v>
      </c>
      <c r="BI660" s="1894">
        <v>442935</v>
      </c>
      <c r="BJ660" s="1894">
        <f t="shared" si="303"/>
        <v>475416</v>
      </c>
      <c r="BK660" s="1894">
        <f t="shared" si="304"/>
        <v>0</v>
      </c>
      <c r="BL660" s="1894">
        <v>1236</v>
      </c>
      <c r="BM660" s="1894">
        <v>1098</v>
      </c>
      <c r="BN660" s="1894">
        <v>1236</v>
      </c>
      <c r="BO660" s="1894">
        <v>0.97440000000000004</v>
      </c>
      <c r="BP660" s="1894">
        <v>0</v>
      </c>
      <c r="BQ660" s="1894">
        <v>486885</v>
      </c>
      <c r="BR660" s="1894">
        <f t="shared" si="305"/>
        <v>474336</v>
      </c>
      <c r="BS660" s="1894">
        <f t="shared" si="306"/>
        <v>12549</v>
      </c>
      <c r="BT660" s="1894">
        <v>1236</v>
      </c>
      <c r="BU660" s="1894">
        <v>1242</v>
      </c>
      <c r="BV660" s="1894">
        <v>1242</v>
      </c>
      <c r="BW660" s="1894">
        <v>0.97629999999999995</v>
      </c>
      <c r="BX660" s="1894">
        <v>0</v>
      </c>
      <c r="BY660" s="1894">
        <v>515925</v>
      </c>
      <c r="BZ660" s="1894">
        <f t="shared" si="307"/>
        <v>554429</v>
      </c>
      <c r="CA660" s="1894">
        <f t="shared" si="308"/>
        <v>0</v>
      </c>
      <c r="CB660" s="1894">
        <v>1236</v>
      </c>
      <c r="CC660" s="1894">
        <v>1224</v>
      </c>
      <c r="CD660" s="1894">
        <v>1236</v>
      </c>
      <c r="CE660" s="1894">
        <v>0.97870000000000001</v>
      </c>
      <c r="CF660" s="1894">
        <v>0</v>
      </c>
      <c r="CG660" s="1894">
        <v>539745</v>
      </c>
      <c r="CH660" s="1894">
        <f t="shared" si="309"/>
        <v>546394</v>
      </c>
      <c r="CI660" s="1894">
        <f t="shared" si="310"/>
        <v>0</v>
      </c>
      <c r="CJ660" s="1894">
        <v>1236</v>
      </c>
      <c r="CK660" s="1894">
        <v>1131</v>
      </c>
      <c r="CL660" s="1894">
        <v>1236</v>
      </c>
      <c r="CM660" s="1894">
        <v>0.97729999999999995</v>
      </c>
      <c r="CN660" s="1894">
        <v>0</v>
      </c>
      <c r="CO660" s="1894">
        <v>426000</v>
      </c>
      <c r="CP660" s="1894">
        <f t="shared" si="311"/>
        <v>456019</v>
      </c>
      <c r="CQ660" s="1894">
        <f t="shared" si="312"/>
        <v>0</v>
      </c>
      <c r="CR660" s="1924">
        <v>1236</v>
      </c>
      <c r="CS660" s="1924">
        <v>996</v>
      </c>
      <c r="CT660" s="1924">
        <v>1236</v>
      </c>
      <c r="CU660" s="1924">
        <v>0.97729999999999995</v>
      </c>
      <c r="CV660" s="1924">
        <v>0</v>
      </c>
      <c r="CW660" s="1924">
        <v>436005</v>
      </c>
      <c r="CX660" s="1894">
        <f t="shared" si="313"/>
        <v>444614</v>
      </c>
      <c r="CY660" s="1894">
        <f t="shared" si="314"/>
        <v>0</v>
      </c>
    </row>
    <row r="661" spans="1:103">
      <c r="A661" s="982">
        <v>622000000028</v>
      </c>
      <c r="B661" s="1923">
        <f t="shared" si="315"/>
        <v>6</v>
      </c>
      <c r="C661" s="1895" t="s">
        <v>694</v>
      </c>
      <c r="D661" s="1894" t="s">
        <v>524</v>
      </c>
      <c r="E661" s="1895" t="s">
        <v>541</v>
      </c>
      <c r="F661" s="1894" t="s">
        <v>259</v>
      </c>
      <c r="G661" s="1924">
        <v>1300</v>
      </c>
      <c r="H661" s="1894">
        <v>1300</v>
      </c>
      <c r="I661" s="1894">
        <v>1196</v>
      </c>
      <c r="J661" s="1894">
        <v>1196</v>
      </c>
      <c r="K661" s="1894">
        <v>0.95309999999999995</v>
      </c>
      <c r="L661" s="1894">
        <v>68.790000000000006</v>
      </c>
      <c r="M661" s="1894">
        <v>592400</v>
      </c>
      <c r="N661" s="1894">
        <f t="shared" si="291"/>
        <v>516672</v>
      </c>
      <c r="O661" s="1894">
        <f t="shared" si="292"/>
        <v>75728</v>
      </c>
      <c r="P661" s="1894">
        <v>1300</v>
      </c>
      <c r="Q661" s="1894">
        <v>1198.3999999999999</v>
      </c>
      <c r="R661" s="1894">
        <v>1198.4000000000001</v>
      </c>
      <c r="S661" s="1894">
        <v>0.95830000000000004</v>
      </c>
      <c r="T661" s="1894">
        <v>64.91</v>
      </c>
      <c r="U661" s="1894">
        <v>578740</v>
      </c>
      <c r="V661" s="1894">
        <f t="shared" si="293"/>
        <v>534966</v>
      </c>
      <c r="W661" s="1894">
        <f t="shared" si="294"/>
        <v>43774</v>
      </c>
      <c r="X661" s="1894">
        <v>1300</v>
      </c>
      <c r="Y661" s="1894">
        <v>1173.5999999999999</v>
      </c>
      <c r="Z661" s="1894">
        <v>1173.5999999999999</v>
      </c>
      <c r="AA661" s="1894">
        <v>0.97589999999999999</v>
      </c>
      <c r="AB661" s="1894">
        <v>51.52</v>
      </c>
      <c r="AC661" s="1894">
        <v>435350</v>
      </c>
      <c r="AD661" s="1894">
        <f t="shared" si="295"/>
        <v>506995</v>
      </c>
      <c r="AE661" s="1894">
        <f t="shared" si="296"/>
        <v>0</v>
      </c>
      <c r="AF661" s="1894">
        <v>1300</v>
      </c>
      <c r="AG661" s="1894">
        <v>1259.2</v>
      </c>
      <c r="AH661" s="1894">
        <v>1259.2</v>
      </c>
      <c r="AI661" s="1894">
        <v>0.95879999999999999</v>
      </c>
      <c r="AJ661" s="1894">
        <v>69.47</v>
      </c>
      <c r="AK661" s="1894">
        <v>650790</v>
      </c>
      <c r="AL661" s="1894">
        <f t="shared" si="297"/>
        <v>562107</v>
      </c>
      <c r="AM661" s="1894">
        <f t="shared" si="298"/>
        <v>88683</v>
      </c>
      <c r="AN661" s="1894">
        <v>1300</v>
      </c>
      <c r="AO661" s="1894">
        <v>1304.8</v>
      </c>
      <c r="AP661" s="1894">
        <v>1304.8</v>
      </c>
      <c r="AQ661" s="1894">
        <v>0.9627</v>
      </c>
      <c r="AR661" s="1894">
        <v>47.39</v>
      </c>
      <c r="AS661" s="1894">
        <v>445190</v>
      </c>
      <c r="AT661" s="1894">
        <f t="shared" si="299"/>
        <v>582463</v>
      </c>
      <c r="AU661" s="1894">
        <f t="shared" si="300"/>
        <v>0</v>
      </c>
      <c r="AV661" s="1894">
        <v>1300</v>
      </c>
      <c r="AW661" s="1894">
        <v>1291.1999999999998</v>
      </c>
      <c r="AX661" s="1894">
        <v>1291.2</v>
      </c>
      <c r="AY661" s="1894">
        <v>0.95809999999999995</v>
      </c>
      <c r="AZ661" s="1894">
        <v>76.680000000000007</v>
      </c>
      <c r="BA661" s="1894">
        <v>712820</v>
      </c>
      <c r="BB661" s="1894">
        <f t="shared" si="301"/>
        <v>557798</v>
      </c>
      <c r="BC661" s="1894">
        <f t="shared" si="302"/>
        <v>155022</v>
      </c>
      <c r="BD661" s="1894">
        <v>1300</v>
      </c>
      <c r="BE661" s="1894">
        <v>1308</v>
      </c>
      <c r="BF661" s="1894">
        <v>1308</v>
      </c>
      <c r="BG661" s="1894">
        <v>0.95340000000000003</v>
      </c>
      <c r="BH661" s="1894">
        <v>68.17</v>
      </c>
      <c r="BI661" s="1894">
        <v>684766</v>
      </c>
      <c r="BJ661" s="1894">
        <f t="shared" si="303"/>
        <v>583891</v>
      </c>
      <c r="BK661" s="1894">
        <f t="shared" si="304"/>
        <v>100875</v>
      </c>
      <c r="BL661" s="1894">
        <v>1300</v>
      </c>
      <c r="BM661" s="1894">
        <v>1315.1999999999998</v>
      </c>
      <c r="BN661" s="1894">
        <v>1315.2</v>
      </c>
      <c r="BO661" s="1894">
        <v>0.95509999999999995</v>
      </c>
      <c r="BP661" s="1894">
        <v>76.400000000000006</v>
      </c>
      <c r="BQ661" s="1894">
        <v>627020</v>
      </c>
      <c r="BR661" s="1894">
        <f t="shared" si="305"/>
        <v>568166</v>
      </c>
      <c r="BS661" s="1894">
        <f t="shared" si="306"/>
        <v>58854</v>
      </c>
      <c r="BT661" s="1894">
        <v>1300</v>
      </c>
      <c r="BU661" s="1894">
        <v>1063.1999999999998</v>
      </c>
      <c r="BV661" s="1894">
        <v>1063.2</v>
      </c>
      <c r="BW661" s="1894">
        <v>0.97450000000000003</v>
      </c>
      <c r="BX661" s="1894">
        <v>75.95</v>
      </c>
      <c r="BY661" s="1894">
        <v>581380</v>
      </c>
      <c r="BZ661" s="1894">
        <f t="shared" si="307"/>
        <v>474612</v>
      </c>
      <c r="CA661" s="1894">
        <f t="shared" si="308"/>
        <v>106768</v>
      </c>
      <c r="CB661" s="1894">
        <v>1300</v>
      </c>
      <c r="CC661" s="1894">
        <v>1296.8</v>
      </c>
      <c r="CD661" s="1894">
        <v>1296.8</v>
      </c>
      <c r="CE661" s="1894">
        <v>0.97150000000000003</v>
      </c>
      <c r="CF661" s="1894">
        <v>63.7</v>
      </c>
      <c r="CG661" s="1894">
        <v>654250</v>
      </c>
      <c r="CH661" s="1894">
        <f t="shared" si="309"/>
        <v>578892</v>
      </c>
      <c r="CI661" s="1894">
        <f t="shared" si="310"/>
        <v>75358</v>
      </c>
      <c r="CJ661" s="1894">
        <v>1300</v>
      </c>
      <c r="CK661" s="1894">
        <v>1316</v>
      </c>
      <c r="CL661" s="1894">
        <v>1316</v>
      </c>
      <c r="CM661" s="1894">
        <v>0.95409999999999995</v>
      </c>
      <c r="CN661" s="1894">
        <v>72.97</v>
      </c>
      <c r="CO661" s="1894">
        <v>553150</v>
      </c>
      <c r="CP661" s="1894">
        <f t="shared" si="311"/>
        <v>530611</v>
      </c>
      <c r="CQ661" s="1894">
        <f t="shared" si="312"/>
        <v>22539</v>
      </c>
      <c r="CR661" s="1924">
        <v>1300</v>
      </c>
      <c r="CS661" s="1924">
        <v>1242.3999999999999</v>
      </c>
      <c r="CT661" s="1924">
        <v>1242.4000000000001</v>
      </c>
      <c r="CU661" s="1924">
        <v>0.95150000000000001</v>
      </c>
      <c r="CV661" s="1924">
        <v>71.52</v>
      </c>
      <c r="CW661" s="1924">
        <v>746400</v>
      </c>
      <c r="CX661" s="1894">
        <f t="shared" si="313"/>
        <v>554607</v>
      </c>
      <c r="CY661" s="1894">
        <f t="shared" si="314"/>
        <v>191793</v>
      </c>
    </row>
    <row r="662" spans="1:103">
      <c r="A662" s="982">
        <v>122000000012</v>
      </c>
      <c r="B662" s="1923">
        <f t="shared" si="315"/>
        <v>7</v>
      </c>
      <c r="C662" s="1895" t="s">
        <v>650</v>
      </c>
      <c r="D662" s="1894" t="s">
        <v>524</v>
      </c>
      <c r="E662" s="1895" t="s">
        <v>541</v>
      </c>
      <c r="F662" s="1894" t="s">
        <v>259</v>
      </c>
      <c r="G662" s="1924">
        <v>1350</v>
      </c>
      <c r="H662" s="1894">
        <v>1350</v>
      </c>
      <c r="I662" s="1894">
        <v>1322.64</v>
      </c>
      <c r="J662" s="1894">
        <v>1322.64</v>
      </c>
      <c r="K662" s="1894">
        <v>0.98019999999999996</v>
      </c>
      <c r="L662" s="1894">
        <v>46.59</v>
      </c>
      <c r="M662" s="1894">
        <v>399285</v>
      </c>
      <c r="N662" s="1894">
        <f t="shared" si="291"/>
        <v>571380</v>
      </c>
      <c r="O662" s="1894">
        <f t="shared" si="292"/>
        <v>0</v>
      </c>
      <c r="P662" s="1894">
        <v>1350</v>
      </c>
      <c r="Q662" s="1894">
        <v>1281.5999999999999</v>
      </c>
      <c r="R662" s="1894">
        <v>1281.5999999999999</v>
      </c>
      <c r="S662" s="1894">
        <v>0.97770000000000001</v>
      </c>
      <c r="T662" s="1894">
        <v>48.19</v>
      </c>
      <c r="U662" s="1894">
        <v>533556</v>
      </c>
      <c r="V662" s="1894">
        <f t="shared" si="293"/>
        <v>572106</v>
      </c>
      <c r="W662" s="1894">
        <f t="shared" si="294"/>
        <v>0</v>
      </c>
      <c r="X662" s="1894">
        <v>1350</v>
      </c>
      <c r="Y662" s="1894">
        <v>1283.76</v>
      </c>
      <c r="Z662" s="1894">
        <v>1283.76</v>
      </c>
      <c r="AA662" s="1894">
        <v>0.97470000000000001</v>
      </c>
      <c r="AB662" s="1894">
        <v>44.73</v>
      </c>
      <c r="AC662" s="1894">
        <v>385848</v>
      </c>
      <c r="AD662" s="1894">
        <f t="shared" si="295"/>
        <v>554584</v>
      </c>
      <c r="AE662" s="1894">
        <f t="shared" si="296"/>
        <v>0</v>
      </c>
      <c r="AF662" s="1894">
        <v>1350</v>
      </c>
      <c r="AG662" s="1894">
        <v>1347.12</v>
      </c>
      <c r="AH662" s="1894">
        <v>1347.12</v>
      </c>
      <c r="AI662" s="1894">
        <v>0.96889999999999998</v>
      </c>
      <c r="AJ662" s="1894">
        <v>52.45</v>
      </c>
      <c r="AK662" s="1894">
        <v>525726</v>
      </c>
      <c r="AL662" s="1894">
        <f t="shared" si="297"/>
        <v>601354</v>
      </c>
      <c r="AM662" s="1894">
        <f t="shared" si="298"/>
        <v>0</v>
      </c>
      <c r="AN662" s="1894">
        <v>1350</v>
      </c>
      <c r="AO662" s="1894">
        <v>1350</v>
      </c>
      <c r="AP662" s="1894">
        <v>1350</v>
      </c>
      <c r="AQ662" s="1894">
        <v>0.96009999999999995</v>
      </c>
      <c r="AR662" s="1894">
        <v>59.87</v>
      </c>
      <c r="AS662" s="1894">
        <v>601308</v>
      </c>
      <c r="AT662" s="1894">
        <f t="shared" si="299"/>
        <v>602640</v>
      </c>
      <c r="AU662" s="1894">
        <f t="shared" si="300"/>
        <v>0</v>
      </c>
      <c r="AV662" s="1894">
        <v>1350</v>
      </c>
      <c r="AW662" s="1894">
        <v>1350.72</v>
      </c>
      <c r="AX662" s="1894">
        <v>1350.72</v>
      </c>
      <c r="AY662" s="1894">
        <v>0.96240000000000003</v>
      </c>
      <c r="AZ662" s="1894">
        <v>54.18</v>
      </c>
      <c r="BA662" s="1894">
        <v>509310</v>
      </c>
      <c r="BB662" s="1894">
        <f t="shared" si="301"/>
        <v>583511</v>
      </c>
      <c r="BC662" s="1894">
        <f t="shared" si="302"/>
        <v>0</v>
      </c>
      <c r="BD662" s="1894">
        <v>1350</v>
      </c>
      <c r="BE662" s="1894">
        <v>1398.96</v>
      </c>
      <c r="BF662" s="1894">
        <v>1398.96</v>
      </c>
      <c r="BG662" s="1894">
        <v>0.93589999999999995</v>
      </c>
      <c r="BH662" s="1894">
        <v>50.21</v>
      </c>
      <c r="BI662" s="1894">
        <v>505791</v>
      </c>
      <c r="BJ662" s="1894">
        <f t="shared" si="303"/>
        <v>624496</v>
      </c>
      <c r="BK662" s="1894">
        <f t="shared" si="304"/>
        <v>0</v>
      </c>
      <c r="BL662" s="1894">
        <v>1350</v>
      </c>
      <c r="BM662" s="1894">
        <v>1514.16</v>
      </c>
      <c r="BN662" s="1894">
        <v>1514.16</v>
      </c>
      <c r="BO662" s="1894">
        <v>0.93940000000000001</v>
      </c>
      <c r="BP662" s="1894">
        <v>61.89</v>
      </c>
      <c r="BQ662" s="1894">
        <v>764631</v>
      </c>
      <c r="BR662" s="1894">
        <f t="shared" si="305"/>
        <v>654117</v>
      </c>
      <c r="BS662" s="1894">
        <f t="shared" si="306"/>
        <v>110514</v>
      </c>
      <c r="BT662" s="1894">
        <v>1350</v>
      </c>
      <c r="BU662" s="1894">
        <v>1442.16</v>
      </c>
      <c r="BV662" s="1894">
        <v>1442.16</v>
      </c>
      <c r="BW662" s="1894">
        <v>0.97019999999999995</v>
      </c>
      <c r="BX662" s="1894">
        <v>58.85</v>
      </c>
      <c r="BY662" s="1894">
        <v>631476</v>
      </c>
      <c r="BZ662" s="1894">
        <f t="shared" si="307"/>
        <v>643780</v>
      </c>
      <c r="CA662" s="1894">
        <f t="shared" si="308"/>
        <v>0</v>
      </c>
      <c r="CB662" s="1894">
        <v>1350</v>
      </c>
      <c r="CC662" s="1894">
        <v>1470.96</v>
      </c>
      <c r="CD662" s="1894">
        <v>1470.96</v>
      </c>
      <c r="CE662" s="1894">
        <v>0.98270000000000002</v>
      </c>
      <c r="CF662" s="1894">
        <v>49.75</v>
      </c>
      <c r="CG662" s="1894">
        <v>544491</v>
      </c>
      <c r="CH662" s="1894">
        <f t="shared" si="309"/>
        <v>656637</v>
      </c>
      <c r="CI662" s="1894">
        <f t="shared" si="310"/>
        <v>0</v>
      </c>
      <c r="CJ662" s="1894">
        <v>1350</v>
      </c>
      <c r="CK662" s="1894">
        <v>1363.68</v>
      </c>
      <c r="CL662" s="1894">
        <v>1363.68</v>
      </c>
      <c r="CM662" s="1894">
        <v>0.98409999999999997</v>
      </c>
      <c r="CN662" s="1894">
        <v>52.5</v>
      </c>
      <c r="CO662" s="1894">
        <v>481149</v>
      </c>
      <c r="CP662" s="1894">
        <f t="shared" si="311"/>
        <v>549836</v>
      </c>
      <c r="CQ662" s="1894">
        <f t="shared" si="312"/>
        <v>0</v>
      </c>
      <c r="CR662" s="1924">
        <v>1350</v>
      </c>
      <c r="CS662" s="1924">
        <v>1487.52</v>
      </c>
      <c r="CT662" s="1924">
        <v>1487.52</v>
      </c>
      <c r="CU662" s="1924">
        <v>0.97250000000000003</v>
      </c>
      <c r="CV662" s="1924">
        <v>53.36</v>
      </c>
      <c r="CW662" s="1924">
        <v>590598</v>
      </c>
      <c r="CX662" s="1894">
        <f t="shared" si="313"/>
        <v>664029</v>
      </c>
      <c r="CY662" s="1894">
        <f t="shared" si="314"/>
        <v>0</v>
      </c>
    </row>
    <row r="663" spans="1:103">
      <c r="A663" s="982">
        <v>122000000009</v>
      </c>
      <c r="B663" s="1923">
        <f t="shared" si="315"/>
        <v>8</v>
      </c>
      <c r="C663" s="1895" t="s">
        <v>3518</v>
      </c>
      <c r="D663" s="1894" t="s">
        <v>524</v>
      </c>
      <c r="E663" s="1895" t="s">
        <v>541</v>
      </c>
      <c r="F663" s="1894" t="s">
        <v>259</v>
      </c>
      <c r="G663" s="1924">
        <v>1450</v>
      </c>
      <c r="H663" s="1894">
        <v>1450</v>
      </c>
      <c r="I663" s="1894">
        <v>1336.32</v>
      </c>
      <c r="J663" s="1894">
        <v>1336.32</v>
      </c>
      <c r="K663" s="1894">
        <v>0.99150000000000005</v>
      </c>
      <c r="L663" s="1894">
        <v>60.6</v>
      </c>
      <c r="M663" s="1894">
        <v>583065</v>
      </c>
      <c r="N663" s="1894">
        <f t="shared" si="291"/>
        <v>577290</v>
      </c>
      <c r="O663" s="1894">
        <f t="shared" si="292"/>
        <v>5775</v>
      </c>
      <c r="P663" s="1894">
        <v>1450</v>
      </c>
      <c r="Q663" s="1894">
        <v>1308.24</v>
      </c>
      <c r="R663" s="1894">
        <v>1308.24</v>
      </c>
      <c r="S663" s="1894">
        <v>0.99609999999999999</v>
      </c>
      <c r="T663" s="1894">
        <v>63.26</v>
      </c>
      <c r="U663" s="1894">
        <v>615699</v>
      </c>
      <c r="V663" s="1894">
        <f t="shared" si="293"/>
        <v>583998</v>
      </c>
      <c r="W663" s="1894">
        <f t="shared" si="294"/>
        <v>31701</v>
      </c>
      <c r="X663" s="1894">
        <v>1450</v>
      </c>
      <c r="Y663" s="1894">
        <v>1290.9599999999998</v>
      </c>
      <c r="Z663" s="1894">
        <v>1290.96</v>
      </c>
      <c r="AA663" s="1894">
        <v>0.996</v>
      </c>
      <c r="AB663" s="1894">
        <v>64.02</v>
      </c>
      <c r="AC663" s="1894">
        <v>595089</v>
      </c>
      <c r="AD663" s="1894">
        <f t="shared" si="295"/>
        <v>557695</v>
      </c>
      <c r="AE663" s="1894">
        <f t="shared" si="296"/>
        <v>37394</v>
      </c>
      <c r="AF663" s="1894">
        <v>1450</v>
      </c>
      <c r="AG663" s="1894">
        <v>1369.44</v>
      </c>
      <c r="AH663" s="1894">
        <v>1369.44</v>
      </c>
      <c r="AI663" s="1894">
        <v>0.99490000000000001</v>
      </c>
      <c r="AJ663" s="1894">
        <v>58.34</v>
      </c>
      <c r="AK663" s="1894">
        <v>594396</v>
      </c>
      <c r="AL663" s="1894">
        <f t="shared" si="297"/>
        <v>611318</v>
      </c>
      <c r="AM663" s="1894">
        <f t="shared" si="298"/>
        <v>0</v>
      </c>
      <c r="AN663" s="1894">
        <v>1450</v>
      </c>
      <c r="AO663" s="1894">
        <v>1184.4000000000001</v>
      </c>
      <c r="AP663" s="1894">
        <v>1184.4000000000001</v>
      </c>
      <c r="AQ663" s="1894">
        <v>0.999</v>
      </c>
      <c r="AR663" s="1894">
        <v>58.75</v>
      </c>
      <c r="AS663" s="1894">
        <v>517743</v>
      </c>
      <c r="AT663" s="1894">
        <f t="shared" si="299"/>
        <v>528716</v>
      </c>
      <c r="AU663" s="1894">
        <f t="shared" si="300"/>
        <v>0</v>
      </c>
      <c r="AV663" s="1894">
        <v>1450</v>
      </c>
      <c r="AW663" s="1894">
        <v>1370.16</v>
      </c>
      <c r="AX663" s="1894">
        <v>1370.16</v>
      </c>
      <c r="AY663" s="1894">
        <v>0.99729999999999996</v>
      </c>
      <c r="AZ663" s="1894">
        <v>65.52</v>
      </c>
      <c r="BA663" s="1894">
        <v>646344</v>
      </c>
      <c r="BB663" s="1894">
        <f t="shared" si="301"/>
        <v>591909</v>
      </c>
      <c r="BC663" s="1894">
        <f t="shared" si="302"/>
        <v>54435</v>
      </c>
      <c r="BD663" s="1894">
        <v>1450</v>
      </c>
      <c r="BE663" s="1894">
        <v>1344.96</v>
      </c>
      <c r="BF663" s="1894">
        <v>1344.96</v>
      </c>
      <c r="BG663" s="1894">
        <v>0.99519999999999997</v>
      </c>
      <c r="BH663" s="1894">
        <v>57.53</v>
      </c>
      <c r="BI663" s="1894">
        <v>575676</v>
      </c>
      <c r="BJ663" s="1894">
        <f t="shared" si="303"/>
        <v>600390</v>
      </c>
      <c r="BK663" s="1894">
        <f t="shared" si="304"/>
        <v>0</v>
      </c>
      <c r="BL663" s="1894">
        <v>1450</v>
      </c>
      <c r="BM663" s="1894">
        <v>1465.92</v>
      </c>
      <c r="BN663" s="1894">
        <v>1465.92</v>
      </c>
      <c r="BO663" s="1894">
        <v>0.99470000000000003</v>
      </c>
      <c r="BP663" s="1894">
        <v>69.77</v>
      </c>
      <c r="BQ663" s="1894">
        <v>736425</v>
      </c>
      <c r="BR663" s="1894">
        <f t="shared" si="305"/>
        <v>633277</v>
      </c>
      <c r="BS663" s="1894">
        <f t="shared" si="306"/>
        <v>103148</v>
      </c>
      <c r="BT663" s="1894">
        <v>1450</v>
      </c>
      <c r="BU663" s="1894">
        <v>1490.3999999999999</v>
      </c>
      <c r="BV663" s="1894">
        <v>1490.4</v>
      </c>
      <c r="BW663" s="1894">
        <v>0.99019999999999997</v>
      </c>
      <c r="BX663" s="1894">
        <v>73.709999999999994</v>
      </c>
      <c r="BY663" s="1894">
        <v>817353</v>
      </c>
      <c r="BZ663" s="1894">
        <f t="shared" si="307"/>
        <v>665315</v>
      </c>
      <c r="CA663" s="1894">
        <f t="shared" si="308"/>
        <v>152038</v>
      </c>
      <c r="CB663" s="1894">
        <v>1450</v>
      </c>
      <c r="CC663" s="1894">
        <v>1545.1200000000001</v>
      </c>
      <c r="CD663" s="1894">
        <v>1545.12</v>
      </c>
      <c r="CE663" s="1894">
        <v>0.99870000000000003</v>
      </c>
      <c r="CF663" s="1894">
        <v>61.13</v>
      </c>
      <c r="CG663" s="1894">
        <v>702702</v>
      </c>
      <c r="CH663" s="1894">
        <f t="shared" si="309"/>
        <v>689742</v>
      </c>
      <c r="CI663" s="1894">
        <f t="shared" si="310"/>
        <v>12960</v>
      </c>
      <c r="CJ663" s="1894">
        <v>1450</v>
      </c>
      <c r="CK663" s="1894">
        <v>1410.48</v>
      </c>
      <c r="CL663" s="1894">
        <v>1410.48</v>
      </c>
      <c r="CM663" s="1894">
        <v>0.99429999999999996</v>
      </c>
      <c r="CN663" s="1894">
        <v>71.77</v>
      </c>
      <c r="CO663" s="1894">
        <v>680256</v>
      </c>
      <c r="CP663" s="1894">
        <f t="shared" si="311"/>
        <v>568706</v>
      </c>
      <c r="CQ663" s="1894">
        <f t="shared" si="312"/>
        <v>111550</v>
      </c>
      <c r="CR663" s="1924">
        <v>1450</v>
      </c>
      <c r="CS663" s="1924">
        <v>1581.8400000000001</v>
      </c>
      <c r="CT663" s="1924">
        <v>1581.84</v>
      </c>
      <c r="CU663" s="1924">
        <v>0.99039999999999995</v>
      </c>
      <c r="CV663" s="1924">
        <v>71.38</v>
      </c>
      <c r="CW663" s="1924">
        <v>840060</v>
      </c>
      <c r="CX663" s="1894">
        <f t="shared" si="313"/>
        <v>706133</v>
      </c>
      <c r="CY663" s="1894">
        <f t="shared" si="314"/>
        <v>133927</v>
      </c>
    </row>
    <row r="664" spans="1:103">
      <c r="A664" s="982">
        <v>611000000086</v>
      </c>
      <c r="B664" s="1923">
        <f t="shared" si="315"/>
        <v>9</v>
      </c>
      <c r="C664" s="1895" t="s">
        <v>666</v>
      </c>
      <c r="D664" s="1894" t="s">
        <v>524</v>
      </c>
      <c r="E664" s="1895" t="s">
        <v>541</v>
      </c>
      <c r="F664" s="1894" t="s">
        <v>259</v>
      </c>
      <c r="G664" s="1924">
        <v>1450</v>
      </c>
      <c r="H664" s="1894">
        <v>1450</v>
      </c>
      <c r="I664" s="1894">
        <v>1309.68</v>
      </c>
      <c r="J664" s="1894">
        <v>1309.68</v>
      </c>
      <c r="K664" s="1894">
        <v>0.98409999999999997</v>
      </c>
      <c r="L664" s="1894">
        <v>79.040000000000006</v>
      </c>
      <c r="M664" s="1894">
        <v>894411</v>
      </c>
      <c r="N664" s="1894">
        <f t="shared" si="291"/>
        <v>565782</v>
      </c>
      <c r="O664" s="1894">
        <f t="shared" si="292"/>
        <v>328629</v>
      </c>
      <c r="P664" s="1894">
        <v>1450</v>
      </c>
      <c r="Q664" s="1894">
        <v>1373.76</v>
      </c>
      <c r="R664" s="1894">
        <v>1373.76</v>
      </c>
      <c r="S664" s="1894">
        <v>0.99109999999999998</v>
      </c>
      <c r="T664" s="1894">
        <v>72.75</v>
      </c>
      <c r="U664" s="1894">
        <v>743526</v>
      </c>
      <c r="V664" s="1894">
        <f t="shared" si="293"/>
        <v>613246</v>
      </c>
      <c r="W664" s="1894">
        <f t="shared" si="294"/>
        <v>130280</v>
      </c>
      <c r="X664" s="1894">
        <v>1450</v>
      </c>
      <c r="Y664" s="1894">
        <v>1343.52</v>
      </c>
      <c r="Z664" s="1894">
        <v>1343.52</v>
      </c>
      <c r="AA664" s="1894">
        <v>0.98740000000000006</v>
      </c>
      <c r="AB664" s="1894">
        <v>68.760000000000005</v>
      </c>
      <c r="AC664" s="1894">
        <v>665145</v>
      </c>
      <c r="AD664" s="1894">
        <f t="shared" si="295"/>
        <v>580401</v>
      </c>
      <c r="AE664" s="1894">
        <f t="shared" si="296"/>
        <v>84744</v>
      </c>
      <c r="AF664" s="1894">
        <v>1450</v>
      </c>
      <c r="AG664" s="1894">
        <v>1324.8</v>
      </c>
      <c r="AH664" s="1894">
        <v>1324.8</v>
      </c>
      <c r="AI664" s="1894">
        <v>0.9768</v>
      </c>
      <c r="AJ664" s="1894">
        <v>74.81</v>
      </c>
      <c r="AK664" s="1894">
        <v>737406</v>
      </c>
      <c r="AL664" s="1894">
        <f t="shared" si="297"/>
        <v>591391</v>
      </c>
      <c r="AM664" s="1894">
        <f t="shared" si="298"/>
        <v>146015</v>
      </c>
      <c r="AN664" s="1894">
        <v>1450</v>
      </c>
      <c r="AO664" s="1894">
        <v>1339.92</v>
      </c>
      <c r="AP664" s="1894">
        <v>1339.92</v>
      </c>
      <c r="AQ664" s="1894">
        <v>0.97929999999999995</v>
      </c>
      <c r="AR664" s="1894">
        <v>60.04</v>
      </c>
      <c r="AS664" s="1894">
        <v>598554</v>
      </c>
      <c r="AT664" s="1894">
        <f t="shared" si="299"/>
        <v>598140</v>
      </c>
      <c r="AU664" s="1894">
        <f t="shared" si="300"/>
        <v>414</v>
      </c>
      <c r="AV664" s="1894">
        <v>1450</v>
      </c>
      <c r="AW664" s="1894">
        <v>1103.4000000000001</v>
      </c>
      <c r="AX664" s="1894">
        <v>1160</v>
      </c>
      <c r="AY664" s="1894">
        <v>0.9889</v>
      </c>
      <c r="AZ664" s="1894">
        <v>38.86</v>
      </c>
      <c r="BA664" s="1894">
        <v>298296</v>
      </c>
      <c r="BB664" s="1894">
        <f t="shared" si="301"/>
        <v>476669</v>
      </c>
      <c r="BC664" s="1894">
        <f t="shared" si="302"/>
        <v>0</v>
      </c>
      <c r="BD664" s="1894">
        <v>1450</v>
      </c>
      <c r="BE664" s="1894">
        <v>833.04</v>
      </c>
      <c r="BF664" s="1894">
        <v>1160</v>
      </c>
      <c r="BG664" s="1894">
        <v>0.98699999999999999</v>
      </c>
      <c r="BH664" s="1894">
        <v>42.06</v>
      </c>
      <c r="BI664" s="1894">
        <v>269100</v>
      </c>
      <c r="BJ664" s="1894">
        <f t="shared" si="303"/>
        <v>371869</v>
      </c>
      <c r="BK664" s="1894">
        <f t="shared" si="304"/>
        <v>0</v>
      </c>
      <c r="BL664" s="1894">
        <v>1450</v>
      </c>
      <c r="BM664" s="1894">
        <v>1154.1600000000001</v>
      </c>
      <c r="BN664" s="1894">
        <v>1160</v>
      </c>
      <c r="BO664" s="1894">
        <v>0.98019999999999996</v>
      </c>
      <c r="BP664" s="1894">
        <v>43.16</v>
      </c>
      <c r="BQ664" s="1894">
        <v>358650</v>
      </c>
      <c r="BR664" s="1894">
        <f t="shared" si="305"/>
        <v>498597</v>
      </c>
      <c r="BS664" s="1894">
        <f t="shared" si="306"/>
        <v>0</v>
      </c>
      <c r="BT664" s="1894">
        <v>1450</v>
      </c>
      <c r="BU664" s="1894">
        <v>1310.4000000000001</v>
      </c>
      <c r="BV664" s="1894">
        <v>1310.4000000000001</v>
      </c>
      <c r="BW664" s="1894">
        <v>0.97</v>
      </c>
      <c r="BX664" s="1894">
        <v>61.52</v>
      </c>
      <c r="BY664" s="1894">
        <v>599742</v>
      </c>
      <c r="BZ664" s="1894">
        <f t="shared" si="307"/>
        <v>584963</v>
      </c>
      <c r="CA664" s="1894">
        <f t="shared" si="308"/>
        <v>14779</v>
      </c>
      <c r="CB664" s="1894">
        <v>1450</v>
      </c>
      <c r="CC664" s="1894">
        <v>1355.76</v>
      </c>
      <c r="CD664" s="1894">
        <v>1355.76</v>
      </c>
      <c r="CE664" s="1894">
        <v>0.96360000000000001</v>
      </c>
      <c r="CF664" s="1894">
        <v>75.97</v>
      </c>
      <c r="CG664" s="1894">
        <v>766305</v>
      </c>
      <c r="CH664" s="1894">
        <f t="shared" si="309"/>
        <v>605211</v>
      </c>
      <c r="CI664" s="1894">
        <f t="shared" si="310"/>
        <v>161094</v>
      </c>
      <c r="CJ664" s="1894">
        <v>1450</v>
      </c>
      <c r="CK664" s="1894">
        <v>1307.52</v>
      </c>
      <c r="CL664" s="1894">
        <v>1307.52</v>
      </c>
      <c r="CM664" s="1894">
        <v>0.96509999999999996</v>
      </c>
      <c r="CN664" s="1894">
        <v>70.239999999999995</v>
      </c>
      <c r="CO664" s="1894">
        <v>617139</v>
      </c>
      <c r="CP664" s="1894">
        <f t="shared" si="311"/>
        <v>527192</v>
      </c>
      <c r="CQ664" s="1894">
        <f t="shared" si="312"/>
        <v>89947</v>
      </c>
      <c r="CR664" s="1924">
        <v>1450</v>
      </c>
      <c r="CS664" s="1924">
        <v>1309.68</v>
      </c>
      <c r="CT664" s="1924">
        <v>1309.68</v>
      </c>
      <c r="CU664" s="1924">
        <v>0.96289999999999998</v>
      </c>
      <c r="CV664" s="1924">
        <v>68.91</v>
      </c>
      <c r="CW664" s="1924">
        <v>671481</v>
      </c>
      <c r="CX664" s="1894">
        <f t="shared" si="313"/>
        <v>584641</v>
      </c>
      <c r="CY664" s="1894">
        <f t="shared" si="314"/>
        <v>86840</v>
      </c>
    </row>
    <row r="665" spans="1:103">
      <c r="A665" s="982">
        <v>622000000111</v>
      </c>
      <c r="B665" s="1923">
        <f t="shared" si="315"/>
        <v>10</v>
      </c>
      <c r="C665" s="1895" t="s">
        <v>3519</v>
      </c>
      <c r="D665" s="1894" t="s">
        <v>524</v>
      </c>
      <c r="E665" s="1895" t="s">
        <v>525</v>
      </c>
      <c r="F665" s="1894" t="s">
        <v>259</v>
      </c>
      <c r="G665" s="1924">
        <v>1500</v>
      </c>
      <c r="H665" s="1894">
        <v>1500</v>
      </c>
      <c r="I665" s="1894">
        <v>19.2</v>
      </c>
      <c r="J665" s="1894">
        <v>1200</v>
      </c>
      <c r="K665" s="1894">
        <v>0</v>
      </c>
      <c r="L665" s="1894">
        <v>0</v>
      </c>
      <c r="M665" s="1894">
        <v>0</v>
      </c>
      <c r="N665" s="1894">
        <f t="shared" si="291"/>
        <v>8294</v>
      </c>
      <c r="O665" s="1894">
        <f t="shared" si="292"/>
        <v>0</v>
      </c>
      <c r="P665" s="1894">
        <v>1500</v>
      </c>
      <c r="Q665" s="1894">
        <v>19.2</v>
      </c>
      <c r="R665" s="1894">
        <v>1200</v>
      </c>
      <c r="S665" s="1894">
        <v>1</v>
      </c>
      <c r="T665" s="1894">
        <v>0.84</v>
      </c>
      <c r="U665" s="1894">
        <v>120</v>
      </c>
      <c r="V665" s="1894">
        <f t="shared" si="293"/>
        <v>8571</v>
      </c>
      <c r="W665" s="1894">
        <f t="shared" si="294"/>
        <v>0</v>
      </c>
      <c r="X665" s="1894">
        <v>1500</v>
      </c>
      <c r="Y665" s="1894">
        <v>1276.8</v>
      </c>
      <c r="Z665" s="1894">
        <v>1276.8</v>
      </c>
      <c r="AA665" s="1894">
        <v>1</v>
      </c>
      <c r="AB665" s="1894">
        <v>0.05</v>
      </c>
      <c r="AC665" s="1894">
        <v>480</v>
      </c>
      <c r="AD665" s="1894">
        <f t="shared" si="295"/>
        <v>551578</v>
      </c>
      <c r="AE665" s="1894">
        <f t="shared" si="296"/>
        <v>0</v>
      </c>
      <c r="AF665" s="1894">
        <v>1500</v>
      </c>
      <c r="AG665" s="1894">
        <v>9.6</v>
      </c>
      <c r="AH665" s="1894">
        <v>1200</v>
      </c>
      <c r="AI665" s="1894">
        <v>0</v>
      </c>
      <c r="AJ665" s="1894">
        <v>0</v>
      </c>
      <c r="AK665" s="1894">
        <v>240</v>
      </c>
      <c r="AL665" s="1894">
        <f t="shared" si="297"/>
        <v>4285</v>
      </c>
      <c r="AM665" s="1894">
        <f t="shared" si="298"/>
        <v>0</v>
      </c>
      <c r="AN665" s="1894">
        <v>1500</v>
      </c>
      <c r="AO665" s="1894">
        <v>0</v>
      </c>
      <c r="AP665" s="1894">
        <v>1200</v>
      </c>
      <c r="AQ665" s="1894">
        <v>0</v>
      </c>
      <c r="AR665" s="1894">
        <v>0</v>
      </c>
      <c r="AS665" s="1894">
        <v>0</v>
      </c>
      <c r="AT665" s="1894">
        <f t="shared" si="299"/>
        <v>0</v>
      </c>
      <c r="AU665" s="1894">
        <f t="shared" si="300"/>
        <v>0</v>
      </c>
      <c r="AV665" s="1894">
        <v>1500</v>
      </c>
      <c r="AW665" s="1894">
        <v>9.6</v>
      </c>
      <c r="AX665" s="1894">
        <v>1200</v>
      </c>
      <c r="AY665" s="1894">
        <v>0</v>
      </c>
      <c r="AZ665" s="1894">
        <v>0</v>
      </c>
      <c r="BA665" s="1894">
        <v>0</v>
      </c>
      <c r="BB665" s="1894">
        <f t="shared" si="301"/>
        <v>4147</v>
      </c>
      <c r="BC665" s="1894">
        <f t="shared" si="302"/>
        <v>0</v>
      </c>
      <c r="BD665" s="1894">
        <v>1500</v>
      </c>
      <c r="BE665" s="1894">
        <v>9.6</v>
      </c>
      <c r="BF665" s="1894">
        <v>1200</v>
      </c>
      <c r="BG665" s="1894">
        <v>0</v>
      </c>
      <c r="BH665" s="1894">
        <v>0</v>
      </c>
      <c r="BI665" s="1894">
        <v>0</v>
      </c>
      <c r="BJ665" s="1894">
        <f t="shared" si="303"/>
        <v>4285</v>
      </c>
      <c r="BK665" s="1894">
        <f t="shared" si="304"/>
        <v>0</v>
      </c>
      <c r="BL665" s="1894">
        <v>1500</v>
      </c>
      <c r="BM665" s="1894">
        <v>1852.8000000000002</v>
      </c>
      <c r="BN665" s="1894">
        <v>1852.8</v>
      </c>
      <c r="BO665" s="1894">
        <v>0.8861</v>
      </c>
      <c r="BP665" s="1894">
        <v>3.32</v>
      </c>
      <c r="BQ665" s="1894">
        <v>44280</v>
      </c>
      <c r="BR665" s="1894">
        <f t="shared" si="305"/>
        <v>800410</v>
      </c>
      <c r="BS665" s="1894">
        <f t="shared" si="306"/>
        <v>0</v>
      </c>
      <c r="BT665" s="1894">
        <v>1500</v>
      </c>
      <c r="BU665" s="1894">
        <v>1939.1999999999998</v>
      </c>
      <c r="BV665" s="1894">
        <v>1939.2</v>
      </c>
      <c r="BW665" s="1894">
        <v>0.87709999999999999</v>
      </c>
      <c r="BX665" s="1894">
        <v>0.47</v>
      </c>
      <c r="BY665" s="1894">
        <v>6840</v>
      </c>
      <c r="BZ665" s="1894">
        <f t="shared" si="307"/>
        <v>865659</v>
      </c>
      <c r="CA665" s="1894">
        <f t="shared" si="308"/>
        <v>0</v>
      </c>
      <c r="CB665" s="1894">
        <v>1500</v>
      </c>
      <c r="CC665" s="1894">
        <v>9.6</v>
      </c>
      <c r="CD665" s="1894">
        <v>1200</v>
      </c>
      <c r="CE665" s="1894">
        <v>1</v>
      </c>
      <c r="CF665" s="1894">
        <v>1.68</v>
      </c>
      <c r="CG665" s="1894">
        <v>120</v>
      </c>
      <c r="CH665" s="1894">
        <f t="shared" si="309"/>
        <v>4285</v>
      </c>
      <c r="CI665" s="1894">
        <f t="shared" si="310"/>
        <v>0</v>
      </c>
      <c r="CJ665" s="1894">
        <v>1500</v>
      </c>
      <c r="CK665" s="1894">
        <v>9.6</v>
      </c>
      <c r="CL665" s="1894">
        <v>1200</v>
      </c>
      <c r="CM665" s="1894">
        <v>0</v>
      </c>
      <c r="CN665" s="1894">
        <v>0</v>
      </c>
      <c r="CO665" s="1894">
        <v>0</v>
      </c>
      <c r="CP665" s="1894">
        <f t="shared" si="311"/>
        <v>3871</v>
      </c>
      <c r="CQ665" s="1894">
        <f t="shared" si="312"/>
        <v>0</v>
      </c>
      <c r="CR665" s="1924">
        <v>1500</v>
      </c>
      <c r="CS665" s="1924">
        <v>1785.6</v>
      </c>
      <c r="CT665" s="1924">
        <v>1785.6</v>
      </c>
      <c r="CU665" s="1924">
        <v>0.82969999999999999</v>
      </c>
      <c r="CV665" s="1924">
        <v>0.42</v>
      </c>
      <c r="CW665" s="1924">
        <v>5640</v>
      </c>
      <c r="CX665" s="1894">
        <f t="shared" si="313"/>
        <v>797092</v>
      </c>
      <c r="CY665" s="1894">
        <f t="shared" si="314"/>
        <v>0</v>
      </c>
    </row>
    <row r="666" spans="1:103">
      <c r="A666" s="982">
        <v>622000000171</v>
      </c>
      <c r="B666" s="1923">
        <f t="shared" si="315"/>
        <v>11</v>
      </c>
      <c r="C666" s="1895" t="s">
        <v>696</v>
      </c>
      <c r="D666" s="1894" t="s">
        <v>524</v>
      </c>
      <c r="E666" s="1895" t="s">
        <v>541</v>
      </c>
      <c r="F666" s="1894" t="s">
        <v>259</v>
      </c>
      <c r="G666" s="1924">
        <v>1500</v>
      </c>
      <c r="H666" s="1894">
        <v>1500</v>
      </c>
      <c r="I666" s="1894">
        <v>20</v>
      </c>
      <c r="J666" s="1894">
        <v>1200</v>
      </c>
      <c r="K666" s="1894">
        <v>0.71419999999999995</v>
      </c>
      <c r="L666" s="1894">
        <v>53.03</v>
      </c>
      <c r="M666" s="1894">
        <v>8400</v>
      </c>
      <c r="N666" s="1894">
        <f t="shared" si="291"/>
        <v>8640</v>
      </c>
      <c r="O666" s="1894">
        <f t="shared" si="292"/>
        <v>0</v>
      </c>
      <c r="P666" s="1894">
        <v>1500</v>
      </c>
      <c r="Q666" s="1894">
        <v>20</v>
      </c>
      <c r="R666" s="1894">
        <v>1200</v>
      </c>
      <c r="S666" s="1894">
        <v>0.64859999999999995</v>
      </c>
      <c r="T666" s="1894">
        <v>53.16</v>
      </c>
      <c r="U666" s="1894">
        <v>7400</v>
      </c>
      <c r="V666" s="1894">
        <f t="shared" si="293"/>
        <v>8928</v>
      </c>
      <c r="W666" s="1894">
        <f t="shared" si="294"/>
        <v>0</v>
      </c>
      <c r="X666" s="1894">
        <v>1500</v>
      </c>
      <c r="Y666" s="1894">
        <v>20</v>
      </c>
      <c r="Z666" s="1894">
        <v>1200</v>
      </c>
      <c r="AA666" s="1894">
        <v>0.67500000000000004</v>
      </c>
      <c r="AB666" s="1894">
        <v>53.76</v>
      </c>
      <c r="AC666" s="1894">
        <v>8000</v>
      </c>
      <c r="AD666" s="1894">
        <f t="shared" si="295"/>
        <v>8640</v>
      </c>
      <c r="AE666" s="1894">
        <f t="shared" si="296"/>
        <v>0</v>
      </c>
      <c r="AF666" s="1894">
        <v>1500</v>
      </c>
      <c r="AG666" s="1894">
        <v>100</v>
      </c>
      <c r="AH666" s="1894">
        <v>1200</v>
      </c>
      <c r="AI666" s="1894">
        <v>0.5625</v>
      </c>
      <c r="AJ666" s="1894">
        <v>8.6</v>
      </c>
      <c r="AK666" s="1894">
        <v>6400</v>
      </c>
      <c r="AL666" s="1894">
        <f t="shared" si="297"/>
        <v>44640</v>
      </c>
      <c r="AM666" s="1894">
        <f t="shared" si="298"/>
        <v>0</v>
      </c>
      <c r="AN666" s="1894">
        <v>1500</v>
      </c>
      <c r="AO666" s="1894">
        <v>20</v>
      </c>
      <c r="AP666" s="1894">
        <v>1200</v>
      </c>
      <c r="AQ666" s="1894">
        <v>0.47499999999999998</v>
      </c>
      <c r="AR666" s="1894">
        <v>50.51</v>
      </c>
      <c r="AS666" s="1894">
        <v>8000</v>
      </c>
      <c r="AT666" s="1894">
        <f t="shared" si="299"/>
        <v>8928</v>
      </c>
      <c r="AU666" s="1894">
        <f t="shared" si="300"/>
        <v>0</v>
      </c>
      <c r="AV666" s="1894">
        <v>1500</v>
      </c>
      <c r="AW666" s="1894">
        <v>60</v>
      </c>
      <c r="AX666" s="1894">
        <v>1200</v>
      </c>
      <c r="AY666" s="1894">
        <v>0.92789999999999995</v>
      </c>
      <c r="AZ666" s="1894">
        <v>55.06</v>
      </c>
      <c r="BA666" s="1894">
        <v>22200</v>
      </c>
      <c r="BB666" s="1894">
        <f t="shared" si="301"/>
        <v>25920</v>
      </c>
      <c r="BC666" s="1894">
        <f t="shared" si="302"/>
        <v>0</v>
      </c>
      <c r="BD666" s="1894">
        <v>1500</v>
      </c>
      <c r="BE666" s="1894">
        <v>60</v>
      </c>
      <c r="BF666" s="1894">
        <v>1200</v>
      </c>
      <c r="BG666" s="1894">
        <v>0.90510000000000002</v>
      </c>
      <c r="BH666" s="1894">
        <v>57.66</v>
      </c>
      <c r="BI666" s="1894">
        <v>27400</v>
      </c>
      <c r="BJ666" s="1894">
        <f t="shared" si="303"/>
        <v>26784</v>
      </c>
      <c r="BK666" s="1894">
        <f t="shared" si="304"/>
        <v>616</v>
      </c>
      <c r="BL666" s="1894">
        <v>1500</v>
      </c>
      <c r="BM666" s="1894">
        <v>70.400000000000006</v>
      </c>
      <c r="BN666" s="1894">
        <v>1200</v>
      </c>
      <c r="BO666" s="1894">
        <v>0.90939999999999999</v>
      </c>
      <c r="BP666" s="1894">
        <v>54.39</v>
      </c>
      <c r="BQ666" s="1894">
        <v>25730</v>
      </c>
      <c r="BR666" s="1894">
        <f t="shared" si="305"/>
        <v>30413</v>
      </c>
      <c r="BS666" s="1894">
        <f t="shared" si="306"/>
        <v>0</v>
      </c>
      <c r="BT666" s="1894">
        <v>1500</v>
      </c>
      <c r="BU666" s="1894">
        <v>210.4</v>
      </c>
      <c r="BV666" s="1894">
        <v>1200</v>
      </c>
      <c r="BW666" s="1894">
        <v>0.88280000000000003</v>
      </c>
      <c r="BX666" s="1894">
        <v>18.190000000000001</v>
      </c>
      <c r="BY666" s="1894">
        <v>26630</v>
      </c>
      <c r="BZ666" s="1894">
        <f t="shared" si="307"/>
        <v>93923</v>
      </c>
      <c r="CA666" s="1894">
        <f t="shared" si="308"/>
        <v>0</v>
      </c>
      <c r="CB666" s="1894">
        <v>1500</v>
      </c>
      <c r="CC666" s="1894">
        <v>68</v>
      </c>
      <c r="CD666" s="1894">
        <v>1200</v>
      </c>
      <c r="CE666" s="1894">
        <v>0.89739999999999998</v>
      </c>
      <c r="CF666" s="1894">
        <v>52.21</v>
      </c>
      <c r="CG666" s="1894">
        <v>28970</v>
      </c>
      <c r="CH666" s="1894">
        <f t="shared" si="309"/>
        <v>30355</v>
      </c>
      <c r="CI666" s="1894">
        <f t="shared" si="310"/>
        <v>0</v>
      </c>
      <c r="CJ666" s="1894">
        <v>1500</v>
      </c>
      <c r="CK666" s="1894">
        <v>75.2</v>
      </c>
      <c r="CL666" s="1894">
        <v>1200</v>
      </c>
      <c r="CM666" s="1894">
        <v>0.90790000000000004</v>
      </c>
      <c r="CN666" s="1894">
        <v>53.55</v>
      </c>
      <c r="CO666" s="1894">
        <v>28030</v>
      </c>
      <c r="CP666" s="1894">
        <f t="shared" si="311"/>
        <v>30321</v>
      </c>
      <c r="CQ666" s="1894">
        <f t="shared" si="312"/>
        <v>0</v>
      </c>
      <c r="CR666" s="1924">
        <v>1500</v>
      </c>
      <c r="CS666" s="1924">
        <v>80</v>
      </c>
      <c r="CT666" s="1924">
        <v>1200</v>
      </c>
      <c r="CU666" s="1924">
        <v>0.90410000000000001</v>
      </c>
      <c r="CV666" s="1924">
        <v>52.12</v>
      </c>
      <c r="CW666" s="1924">
        <v>27020</v>
      </c>
      <c r="CX666" s="1894">
        <f t="shared" si="313"/>
        <v>35712</v>
      </c>
      <c r="CY666" s="1894">
        <f t="shared" si="314"/>
        <v>0</v>
      </c>
    </row>
    <row r="667" spans="1:103">
      <c r="A667" s="982">
        <v>622000000084</v>
      </c>
      <c r="B667" s="1923">
        <f t="shared" si="315"/>
        <v>12</v>
      </c>
      <c r="C667" s="1895" t="s">
        <v>3520</v>
      </c>
      <c r="D667" s="1894" t="s">
        <v>524</v>
      </c>
      <c r="E667" s="1895" t="s">
        <v>525</v>
      </c>
      <c r="F667" s="1894" t="s">
        <v>259</v>
      </c>
      <c r="G667" s="1924">
        <v>1600</v>
      </c>
      <c r="H667" s="1894">
        <v>1600</v>
      </c>
      <c r="I667" s="1894">
        <v>632.4</v>
      </c>
      <c r="J667" s="1894">
        <v>1280</v>
      </c>
      <c r="K667" s="1894">
        <v>0.91110000000000002</v>
      </c>
      <c r="L667" s="1894">
        <v>0.14000000000000001</v>
      </c>
      <c r="M667" s="1894">
        <v>675</v>
      </c>
      <c r="N667" s="1894">
        <f t="shared" si="291"/>
        <v>273197</v>
      </c>
      <c r="O667" s="1894">
        <f t="shared" si="292"/>
        <v>0</v>
      </c>
      <c r="P667" s="1894">
        <v>1600</v>
      </c>
      <c r="Q667" s="1894">
        <v>2238</v>
      </c>
      <c r="R667" s="1894">
        <v>2238</v>
      </c>
      <c r="S667" s="1894">
        <v>0.85329999999999995</v>
      </c>
      <c r="T667" s="1894">
        <v>0.21</v>
      </c>
      <c r="U667" s="1894">
        <v>3990</v>
      </c>
      <c r="V667" s="1894">
        <f t="shared" si="293"/>
        <v>999043</v>
      </c>
      <c r="W667" s="1894">
        <f t="shared" si="294"/>
        <v>0</v>
      </c>
      <c r="X667" s="1894">
        <v>1600</v>
      </c>
      <c r="Y667" s="1894">
        <v>2256</v>
      </c>
      <c r="Z667" s="1894">
        <v>2256</v>
      </c>
      <c r="AA667" s="1894">
        <v>0.88460000000000005</v>
      </c>
      <c r="AB667" s="1894">
        <v>0.43</v>
      </c>
      <c r="AC667" s="1894">
        <v>7020</v>
      </c>
      <c r="AD667" s="1894">
        <f t="shared" si="295"/>
        <v>974592</v>
      </c>
      <c r="AE667" s="1894">
        <f t="shared" si="296"/>
        <v>0</v>
      </c>
      <c r="AF667" s="1894">
        <v>1600</v>
      </c>
      <c r="AG667" s="1894">
        <v>1774.8</v>
      </c>
      <c r="AH667" s="1894">
        <v>1774.8</v>
      </c>
      <c r="AI667" s="1894">
        <v>0.83009999999999995</v>
      </c>
      <c r="AJ667" s="1894">
        <v>0.12</v>
      </c>
      <c r="AK667" s="1894">
        <v>1590</v>
      </c>
      <c r="AL667" s="1894">
        <f t="shared" si="297"/>
        <v>792271</v>
      </c>
      <c r="AM667" s="1894">
        <f t="shared" si="298"/>
        <v>0</v>
      </c>
      <c r="AN667" s="1894">
        <v>1600</v>
      </c>
      <c r="AO667" s="1894">
        <v>1489.2</v>
      </c>
      <c r="AP667" s="1894">
        <v>1489.2</v>
      </c>
      <c r="AQ667" s="1894">
        <v>0.8992</v>
      </c>
      <c r="AR667" s="1894">
        <v>0.18</v>
      </c>
      <c r="AS667" s="1894">
        <v>2085</v>
      </c>
      <c r="AT667" s="1894">
        <f t="shared" si="299"/>
        <v>664779</v>
      </c>
      <c r="AU667" s="1894">
        <f t="shared" si="300"/>
        <v>0</v>
      </c>
      <c r="AV667" s="1894">
        <v>1600</v>
      </c>
      <c r="AW667" s="1894">
        <v>14.399999999999999</v>
      </c>
      <c r="AX667" s="1894">
        <v>1280</v>
      </c>
      <c r="AY667" s="1894">
        <v>1</v>
      </c>
      <c r="AZ667" s="1894">
        <v>5.0599999999999996</v>
      </c>
      <c r="BA667" s="1894">
        <v>525</v>
      </c>
      <c r="BB667" s="1894">
        <f t="shared" si="301"/>
        <v>6221</v>
      </c>
      <c r="BC667" s="1894">
        <f t="shared" si="302"/>
        <v>0</v>
      </c>
      <c r="BD667" s="1894">
        <v>1600</v>
      </c>
      <c r="BE667" s="1894">
        <v>1873.1999999999998</v>
      </c>
      <c r="BF667" s="1894">
        <v>1873.2</v>
      </c>
      <c r="BG667" s="1894">
        <v>0.76759999999999995</v>
      </c>
      <c r="BH667" s="1894">
        <v>0.21</v>
      </c>
      <c r="BI667" s="1894">
        <v>2970</v>
      </c>
      <c r="BJ667" s="1894">
        <f t="shared" si="303"/>
        <v>836196</v>
      </c>
      <c r="BK667" s="1894">
        <f t="shared" si="304"/>
        <v>0</v>
      </c>
      <c r="BL667" s="1894">
        <v>1600</v>
      </c>
      <c r="BM667" s="1894">
        <v>2076</v>
      </c>
      <c r="BN667" s="1894">
        <v>1860</v>
      </c>
      <c r="BO667" s="1894">
        <v>0.83779999999999999</v>
      </c>
      <c r="BP667" s="1894">
        <v>0.17</v>
      </c>
      <c r="BQ667" s="1894">
        <v>2220</v>
      </c>
      <c r="BR667" s="1894">
        <f t="shared" si="305"/>
        <v>896832</v>
      </c>
      <c r="BS667" s="1894">
        <f t="shared" si="306"/>
        <v>0</v>
      </c>
      <c r="BT667" s="1894">
        <v>1600</v>
      </c>
      <c r="BU667" s="1894">
        <v>1795.2</v>
      </c>
      <c r="BV667" s="1894">
        <v>1795.2</v>
      </c>
      <c r="BW667" s="1894">
        <v>0.83330000000000004</v>
      </c>
      <c r="BX667" s="1894">
        <v>0.08</v>
      </c>
      <c r="BY667" s="1894">
        <v>1080</v>
      </c>
      <c r="BZ667" s="1894">
        <f t="shared" si="307"/>
        <v>801377</v>
      </c>
      <c r="CA667" s="1894">
        <f t="shared" si="308"/>
        <v>0</v>
      </c>
      <c r="CB667" s="1894">
        <v>1600</v>
      </c>
      <c r="CC667" s="1894">
        <v>3033.6000000000004</v>
      </c>
      <c r="CD667" s="1894">
        <v>3033.6</v>
      </c>
      <c r="CE667" s="1894">
        <v>0.82840000000000003</v>
      </c>
      <c r="CF667" s="1894">
        <v>3.8</v>
      </c>
      <c r="CG667" s="1894">
        <v>85680</v>
      </c>
      <c r="CH667" s="1894">
        <f t="shared" si="309"/>
        <v>1354199</v>
      </c>
      <c r="CI667" s="1894">
        <f t="shared" si="310"/>
        <v>0</v>
      </c>
      <c r="CJ667" s="1894">
        <v>1600</v>
      </c>
      <c r="CK667" s="1894">
        <v>590.4</v>
      </c>
      <c r="CL667" s="1894">
        <v>1280</v>
      </c>
      <c r="CM667" s="1894">
        <v>0.75</v>
      </c>
      <c r="CN667" s="1894">
        <v>0.12</v>
      </c>
      <c r="CO667" s="1894">
        <v>480</v>
      </c>
      <c r="CP667" s="1894">
        <f t="shared" si="311"/>
        <v>238049</v>
      </c>
      <c r="CQ667" s="1894">
        <f t="shared" si="312"/>
        <v>0</v>
      </c>
      <c r="CR667" s="1924">
        <v>1600</v>
      </c>
      <c r="CS667" s="1924">
        <v>393.6</v>
      </c>
      <c r="CT667" s="1924">
        <v>1280</v>
      </c>
      <c r="CU667" s="1924">
        <v>0.75</v>
      </c>
      <c r="CV667" s="1924">
        <v>0.08</v>
      </c>
      <c r="CW667" s="1924">
        <v>240</v>
      </c>
      <c r="CX667" s="1894">
        <f t="shared" si="313"/>
        <v>175703</v>
      </c>
      <c r="CY667" s="1894">
        <f t="shared" si="314"/>
        <v>0</v>
      </c>
    </row>
    <row r="668" spans="1:103">
      <c r="A668" s="982">
        <v>615000000049</v>
      </c>
      <c r="B668" s="1923">
        <f t="shared" si="315"/>
        <v>13</v>
      </c>
      <c r="C668" s="1895" t="s">
        <v>720</v>
      </c>
      <c r="D668" s="1894" t="s">
        <v>524</v>
      </c>
      <c r="E668" s="1895" t="s">
        <v>709</v>
      </c>
      <c r="F668" s="1894" t="s">
        <v>259</v>
      </c>
      <c r="G668" s="1924">
        <v>1689</v>
      </c>
      <c r="H668" s="1894">
        <v>1689</v>
      </c>
      <c r="I668" s="1894">
        <v>12</v>
      </c>
      <c r="J668" s="1894">
        <v>1351.2</v>
      </c>
      <c r="K668" s="1894">
        <v>0.26600000000000001</v>
      </c>
      <c r="L668" s="1894">
        <v>40.549999999999997</v>
      </c>
      <c r="M668" s="1894">
        <v>3270</v>
      </c>
      <c r="N668" s="1894">
        <f t="shared" si="291"/>
        <v>5184</v>
      </c>
      <c r="O668" s="1894">
        <f t="shared" si="292"/>
        <v>0</v>
      </c>
      <c r="P668" s="1894">
        <v>1689</v>
      </c>
      <c r="Q668" s="1894">
        <v>0</v>
      </c>
      <c r="R668" s="1894">
        <v>1351.2</v>
      </c>
      <c r="S668" s="1894">
        <v>0</v>
      </c>
      <c r="T668" s="1894">
        <v>0</v>
      </c>
      <c r="U668" s="1894">
        <v>0</v>
      </c>
      <c r="V668" s="1894">
        <f t="shared" si="293"/>
        <v>0</v>
      </c>
      <c r="W668" s="1894">
        <f t="shared" si="294"/>
        <v>0</v>
      </c>
      <c r="X668" s="1894">
        <v>1689</v>
      </c>
      <c r="Y668" s="1894">
        <v>0</v>
      </c>
      <c r="Z668" s="1894">
        <v>1351.2</v>
      </c>
      <c r="AA668" s="1894">
        <v>0</v>
      </c>
      <c r="AB668" s="1894">
        <v>0</v>
      </c>
      <c r="AC668" s="1894">
        <v>0</v>
      </c>
      <c r="AD668" s="1894">
        <f t="shared" si="295"/>
        <v>0</v>
      </c>
      <c r="AE668" s="1894">
        <f t="shared" si="296"/>
        <v>0</v>
      </c>
      <c r="AF668" s="1894">
        <v>1689</v>
      </c>
      <c r="AG668" s="1894">
        <v>561.6</v>
      </c>
      <c r="AH668" s="1894">
        <v>1351.2</v>
      </c>
      <c r="AI668" s="1894">
        <v>0.1744</v>
      </c>
      <c r="AJ668" s="1894">
        <v>2.27</v>
      </c>
      <c r="AK668" s="1894">
        <v>7050</v>
      </c>
      <c r="AL668" s="1894">
        <f t="shared" si="297"/>
        <v>250698</v>
      </c>
      <c r="AM668" s="1894">
        <f t="shared" si="298"/>
        <v>0</v>
      </c>
      <c r="AN668" s="1894">
        <v>1689</v>
      </c>
      <c r="AO668" s="1894">
        <v>1202.3999999999999</v>
      </c>
      <c r="AP668" s="1894">
        <v>1351.2</v>
      </c>
      <c r="AQ668" s="1894">
        <v>0.77610000000000001</v>
      </c>
      <c r="AR668" s="1894">
        <v>2.08</v>
      </c>
      <c r="AS668" s="1894">
        <v>20970</v>
      </c>
      <c r="AT668" s="1894">
        <f t="shared" si="299"/>
        <v>536751</v>
      </c>
      <c r="AU668" s="1894">
        <f t="shared" si="300"/>
        <v>0</v>
      </c>
      <c r="AV668" s="1894">
        <v>1689</v>
      </c>
      <c r="AW668" s="1894">
        <v>620.40000000000009</v>
      </c>
      <c r="AX668" s="1894">
        <v>1351.2</v>
      </c>
      <c r="AY668" s="1894">
        <v>0.95520000000000005</v>
      </c>
      <c r="AZ668" s="1894">
        <v>9.36</v>
      </c>
      <c r="BA668" s="1894">
        <v>36225</v>
      </c>
      <c r="BB668" s="1894">
        <f t="shared" si="301"/>
        <v>268013</v>
      </c>
      <c r="BC668" s="1894">
        <f t="shared" si="302"/>
        <v>0</v>
      </c>
      <c r="BD668" s="1894">
        <v>1689</v>
      </c>
      <c r="BE668" s="1894">
        <v>309.60000000000002</v>
      </c>
      <c r="BF668" s="1894">
        <v>1351.2</v>
      </c>
      <c r="BG668" s="1894">
        <v>0.84899999999999998</v>
      </c>
      <c r="BH668" s="1894">
        <v>7.66</v>
      </c>
      <c r="BI668" s="1894">
        <v>16500</v>
      </c>
      <c r="BJ668" s="1894">
        <f t="shared" si="303"/>
        <v>138205</v>
      </c>
      <c r="BK668" s="1894">
        <f t="shared" si="304"/>
        <v>0</v>
      </c>
      <c r="BL668" s="1894">
        <v>1689</v>
      </c>
      <c r="BM668" s="1894">
        <v>309.60000000000002</v>
      </c>
      <c r="BN668" s="1894">
        <v>1351.2</v>
      </c>
      <c r="BO668" s="1894">
        <v>0.85329999999999995</v>
      </c>
      <c r="BP668" s="1894">
        <v>7.96</v>
      </c>
      <c r="BQ668" s="1894">
        <v>19530</v>
      </c>
      <c r="BR668" s="1894">
        <f t="shared" si="305"/>
        <v>133747</v>
      </c>
      <c r="BS668" s="1894">
        <f t="shared" si="306"/>
        <v>0</v>
      </c>
      <c r="BT668" s="1894">
        <v>1689</v>
      </c>
      <c r="BU668" s="1894">
        <v>309</v>
      </c>
      <c r="BV668" s="1894">
        <v>1351.2</v>
      </c>
      <c r="BW668" s="1894">
        <v>0.95909999999999995</v>
      </c>
      <c r="BX668" s="1894">
        <v>1.83</v>
      </c>
      <c r="BY668" s="1894">
        <v>5145</v>
      </c>
      <c r="BZ668" s="1894">
        <f t="shared" si="307"/>
        <v>137938</v>
      </c>
      <c r="CA668" s="1894">
        <f t="shared" si="308"/>
        <v>0</v>
      </c>
      <c r="CB668" s="1894">
        <v>1689</v>
      </c>
      <c r="CC668" s="1894">
        <v>56.400000000000006</v>
      </c>
      <c r="CD668" s="1894">
        <v>1351.2</v>
      </c>
      <c r="CE668" s="1894">
        <v>0.97070000000000001</v>
      </c>
      <c r="CF668" s="1894">
        <v>12.23</v>
      </c>
      <c r="CG668" s="1894">
        <v>5130</v>
      </c>
      <c r="CH668" s="1894">
        <f t="shared" si="309"/>
        <v>25177</v>
      </c>
      <c r="CI668" s="1894">
        <f t="shared" si="310"/>
        <v>0</v>
      </c>
      <c r="CJ668" s="1894">
        <v>1689</v>
      </c>
      <c r="CK668" s="1894">
        <v>12</v>
      </c>
      <c r="CL668" s="1894">
        <v>1351.2</v>
      </c>
      <c r="CM668" s="1894">
        <v>1</v>
      </c>
      <c r="CN668" s="1894">
        <v>63.43</v>
      </c>
      <c r="CO668" s="1894">
        <v>5115</v>
      </c>
      <c r="CP668" s="1894">
        <f t="shared" si="311"/>
        <v>4838</v>
      </c>
      <c r="CQ668" s="1894">
        <f t="shared" si="312"/>
        <v>277</v>
      </c>
      <c r="CR668" s="1924">
        <v>1689</v>
      </c>
      <c r="CS668" s="1924">
        <v>12</v>
      </c>
      <c r="CT668" s="1924">
        <v>1351.2</v>
      </c>
      <c r="CU668" s="1924">
        <v>1</v>
      </c>
      <c r="CV668" s="1924">
        <v>49.9</v>
      </c>
      <c r="CW668" s="1924">
        <v>4455</v>
      </c>
      <c r="CX668" s="1894">
        <f t="shared" si="313"/>
        <v>5357</v>
      </c>
      <c r="CY668" s="1894">
        <f t="shared" si="314"/>
        <v>0</v>
      </c>
    </row>
    <row r="669" spans="1:103">
      <c r="A669" s="982">
        <v>611000000061</v>
      </c>
      <c r="B669" s="1923">
        <f t="shared" si="315"/>
        <v>14</v>
      </c>
      <c r="C669" s="1895" t="s">
        <v>664</v>
      </c>
      <c r="D669" s="1894" t="s">
        <v>524</v>
      </c>
      <c r="E669" s="1895" t="s">
        <v>541</v>
      </c>
      <c r="F669" s="1894" t="s">
        <v>259</v>
      </c>
      <c r="G669" s="1924">
        <v>1750</v>
      </c>
      <c r="H669" s="1894">
        <v>1750</v>
      </c>
      <c r="I669" s="1894">
        <v>1272</v>
      </c>
      <c r="J669" s="1894">
        <v>1400</v>
      </c>
      <c r="K669" s="1894">
        <v>0.99860000000000004</v>
      </c>
      <c r="L669" s="1894">
        <v>36.19</v>
      </c>
      <c r="M669" s="1894">
        <v>331470</v>
      </c>
      <c r="N669" s="1894">
        <f t="shared" si="291"/>
        <v>549504</v>
      </c>
      <c r="O669" s="1894">
        <f t="shared" si="292"/>
        <v>0</v>
      </c>
      <c r="P669" s="1894">
        <v>1750</v>
      </c>
      <c r="Q669" s="1894">
        <v>1291.2</v>
      </c>
      <c r="R669" s="1894">
        <v>1400</v>
      </c>
      <c r="S669" s="1894">
        <v>0.99860000000000004</v>
      </c>
      <c r="T669" s="1894">
        <v>38.369999999999997</v>
      </c>
      <c r="U669" s="1894">
        <v>368640</v>
      </c>
      <c r="V669" s="1894">
        <f t="shared" si="293"/>
        <v>576392</v>
      </c>
      <c r="W669" s="1894">
        <f t="shared" si="294"/>
        <v>0</v>
      </c>
      <c r="X669" s="1894">
        <v>1750</v>
      </c>
      <c r="Y669" s="1894">
        <v>1276.8</v>
      </c>
      <c r="Z669" s="1894">
        <v>1400</v>
      </c>
      <c r="AA669" s="1894">
        <v>0.998</v>
      </c>
      <c r="AB669" s="1894">
        <v>37.08</v>
      </c>
      <c r="AC669" s="1894">
        <v>340860</v>
      </c>
      <c r="AD669" s="1894">
        <f t="shared" si="295"/>
        <v>551578</v>
      </c>
      <c r="AE669" s="1894">
        <f t="shared" si="296"/>
        <v>0</v>
      </c>
      <c r="AF669" s="1894">
        <v>1750</v>
      </c>
      <c r="AG669" s="1894">
        <v>1260</v>
      </c>
      <c r="AH669" s="1894">
        <v>1400</v>
      </c>
      <c r="AI669" s="1894">
        <v>0.99860000000000004</v>
      </c>
      <c r="AJ669" s="1894">
        <v>27.76</v>
      </c>
      <c r="AK669" s="1894">
        <v>260280</v>
      </c>
      <c r="AL669" s="1894">
        <f t="shared" si="297"/>
        <v>562464</v>
      </c>
      <c r="AM669" s="1894">
        <f t="shared" si="298"/>
        <v>0</v>
      </c>
      <c r="AN669" s="1894">
        <v>1750</v>
      </c>
      <c r="AO669" s="1894">
        <v>1260</v>
      </c>
      <c r="AP669" s="1894">
        <v>1400</v>
      </c>
      <c r="AQ669" s="1894">
        <v>0.99860000000000004</v>
      </c>
      <c r="AR669" s="1894">
        <v>26.19</v>
      </c>
      <c r="AS669" s="1894">
        <v>245550</v>
      </c>
      <c r="AT669" s="1894">
        <f t="shared" si="299"/>
        <v>562464</v>
      </c>
      <c r="AU669" s="1894">
        <f t="shared" si="300"/>
        <v>0</v>
      </c>
      <c r="AV669" s="1894">
        <v>1750</v>
      </c>
      <c r="AW669" s="1894">
        <v>1255.2</v>
      </c>
      <c r="AX669" s="1894">
        <v>1400</v>
      </c>
      <c r="AY669" s="1894">
        <v>0.99839999999999995</v>
      </c>
      <c r="AZ669" s="1894">
        <v>30.64</v>
      </c>
      <c r="BA669" s="1894">
        <v>276900</v>
      </c>
      <c r="BB669" s="1894">
        <f t="shared" si="301"/>
        <v>542246</v>
      </c>
      <c r="BC669" s="1894">
        <f t="shared" si="302"/>
        <v>0</v>
      </c>
      <c r="BD669" s="1894">
        <v>1750</v>
      </c>
      <c r="BE669" s="1894">
        <v>1264.8</v>
      </c>
      <c r="BF669" s="1894">
        <v>1400</v>
      </c>
      <c r="BG669" s="1894">
        <v>0.99870000000000003</v>
      </c>
      <c r="BH669" s="1894">
        <v>33.21</v>
      </c>
      <c r="BI669" s="1894">
        <v>312510</v>
      </c>
      <c r="BJ669" s="1894">
        <f t="shared" si="303"/>
        <v>564607</v>
      </c>
      <c r="BK669" s="1894">
        <f t="shared" si="304"/>
        <v>0</v>
      </c>
      <c r="BL669" s="1894">
        <v>1750</v>
      </c>
      <c r="BM669" s="1894">
        <v>1262.4000000000001</v>
      </c>
      <c r="BN669" s="1894">
        <v>1400</v>
      </c>
      <c r="BO669" s="1894">
        <v>0.99870000000000003</v>
      </c>
      <c r="BP669" s="1894">
        <v>35.9</v>
      </c>
      <c r="BQ669" s="1894">
        <v>326310</v>
      </c>
      <c r="BR669" s="1894">
        <f t="shared" si="305"/>
        <v>545357</v>
      </c>
      <c r="BS669" s="1894">
        <f t="shared" si="306"/>
        <v>0</v>
      </c>
      <c r="BT669" s="1894">
        <v>1750</v>
      </c>
      <c r="BU669" s="1894">
        <v>1276.8</v>
      </c>
      <c r="BV669" s="1894">
        <v>1400</v>
      </c>
      <c r="BW669" s="1894">
        <v>0.99870000000000003</v>
      </c>
      <c r="BX669" s="1894">
        <v>37.270000000000003</v>
      </c>
      <c r="BY669" s="1894">
        <v>354030</v>
      </c>
      <c r="BZ669" s="1894">
        <f t="shared" si="307"/>
        <v>569964</v>
      </c>
      <c r="CA669" s="1894">
        <f t="shared" si="308"/>
        <v>0</v>
      </c>
      <c r="CB669" s="1894">
        <v>1750</v>
      </c>
      <c r="CC669" s="1894">
        <v>1274.4000000000001</v>
      </c>
      <c r="CD669" s="1894">
        <v>1400</v>
      </c>
      <c r="CE669" s="1894">
        <v>0.99870000000000003</v>
      </c>
      <c r="CF669" s="1894">
        <v>32.869999999999997</v>
      </c>
      <c r="CG669" s="1894">
        <v>311640</v>
      </c>
      <c r="CH669" s="1894">
        <f t="shared" si="309"/>
        <v>568892</v>
      </c>
      <c r="CI669" s="1894">
        <f t="shared" si="310"/>
        <v>0</v>
      </c>
      <c r="CJ669" s="1894">
        <v>1750</v>
      </c>
      <c r="CK669" s="1894">
        <v>1269.6000000000001</v>
      </c>
      <c r="CL669" s="1894">
        <v>1400</v>
      </c>
      <c r="CM669" s="1894">
        <v>0.999</v>
      </c>
      <c r="CN669" s="1894">
        <v>34.46</v>
      </c>
      <c r="CO669" s="1894">
        <v>293970</v>
      </c>
      <c r="CP669" s="1894">
        <f t="shared" si="311"/>
        <v>511903</v>
      </c>
      <c r="CQ669" s="1894">
        <f t="shared" si="312"/>
        <v>0</v>
      </c>
      <c r="CR669" s="1924">
        <v>1750</v>
      </c>
      <c r="CS669" s="1924">
        <v>1272</v>
      </c>
      <c r="CT669" s="1924">
        <v>1400</v>
      </c>
      <c r="CU669" s="1924">
        <v>0.99880000000000002</v>
      </c>
      <c r="CV669" s="1924">
        <v>36.340000000000003</v>
      </c>
      <c r="CW669" s="1924">
        <v>343950</v>
      </c>
      <c r="CX669" s="1894">
        <f t="shared" si="313"/>
        <v>567821</v>
      </c>
      <c r="CY669" s="1894">
        <f t="shared" si="314"/>
        <v>0</v>
      </c>
    </row>
    <row r="670" spans="1:103">
      <c r="A670" s="982">
        <v>622000000038</v>
      </c>
      <c r="B670" s="1923">
        <f t="shared" si="315"/>
        <v>15</v>
      </c>
      <c r="C670" s="1895" t="s">
        <v>3521</v>
      </c>
      <c r="D670" s="1894" t="s">
        <v>524</v>
      </c>
      <c r="E670" s="1895" t="s">
        <v>541</v>
      </c>
      <c r="F670" s="1894" t="s">
        <v>259</v>
      </c>
      <c r="G670" s="1924">
        <v>1800</v>
      </c>
      <c r="H670" s="1894">
        <v>1200</v>
      </c>
      <c r="I670" s="1894">
        <v>726</v>
      </c>
      <c r="J670" s="1894">
        <v>960</v>
      </c>
      <c r="K670" s="1894">
        <v>0.98809999999999998</v>
      </c>
      <c r="L670" s="1894">
        <v>62.95</v>
      </c>
      <c r="M670" s="1894">
        <v>329070</v>
      </c>
      <c r="N670" s="1894">
        <f t="shared" si="291"/>
        <v>313632</v>
      </c>
      <c r="O670" s="1894">
        <f t="shared" si="292"/>
        <v>15438</v>
      </c>
      <c r="P670" s="1894">
        <v>1200</v>
      </c>
      <c r="Q670" s="1894">
        <v>744</v>
      </c>
      <c r="R670" s="1894">
        <v>960</v>
      </c>
      <c r="S670" s="1894">
        <v>0.98970000000000002</v>
      </c>
      <c r="T670" s="1894">
        <v>48.95</v>
      </c>
      <c r="U670" s="1894">
        <v>270960</v>
      </c>
      <c r="V670" s="1894">
        <f t="shared" si="293"/>
        <v>332122</v>
      </c>
      <c r="W670" s="1894">
        <f t="shared" si="294"/>
        <v>0</v>
      </c>
      <c r="X670" s="1894">
        <v>1200</v>
      </c>
      <c r="Y670" s="1894">
        <v>851.99999999999989</v>
      </c>
      <c r="Z670" s="1894">
        <v>960</v>
      </c>
      <c r="AA670" s="1894">
        <v>0.99150000000000005</v>
      </c>
      <c r="AB670" s="1894">
        <v>56.74</v>
      </c>
      <c r="AC670" s="1894">
        <v>348075</v>
      </c>
      <c r="AD670" s="1894">
        <f t="shared" si="295"/>
        <v>368064</v>
      </c>
      <c r="AE670" s="1894">
        <f t="shared" si="296"/>
        <v>0</v>
      </c>
      <c r="AF670" s="1894">
        <v>1200</v>
      </c>
      <c r="AG670" s="1894">
        <v>1596</v>
      </c>
      <c r="AH670" s="1894">
        <v>1596</v>
      </c>
      <c r="AI670" s="1894">
        <v>0.97109999999999996</v>
      </c>
      <c r="AJ670" s="1894">
        <v>56.25</v>
      </c>
      <c r="AK670" s="1894">
        <v>667950</v>
      </c>
      <c r="AL670" s="1894">
        <f t="shared" si="297"/>
        <v>712454</v>
      </c>
      <c r="AM670" s="1894">
        <f t="shared" si="298"/>
        <v>0</v>
      </c>
      <c r="AN670" s="1894">
        <v>1200</v>
      </c>
      <c r="AO670" s="1894">
        <v>1572</v>
      </c>
      <c r="AP670" s="1894">
        <v>1572</v>
      </c>
      <c r="AQ670" s="1894">
        <v>0.98509999999999998</v>
      </c>
      <c r="AR670" s="1894">
        <v>68.64</v>
      </c>
      <c r="AS670" s="1894">
        <v>802830</v>
      </c>
      <c r="AT670" s="1894">
        <f t="shared" si="299"/>
        <v>701741</v>
      </c>
      <c r="AU670" s="1894">
        <f t="shared" si="300"/>
        <v>101089</v>
      </c>
      <c r="AV670" s="1894">
        <v>1200</v>
      </c>
      <c r="AW670" s="1894">
        <v>1588.8</v>
      </c>
      <c r="AX670" s="1894">
        <v>1588.8</v>
      </c>
      <c r="AY670" s="1894">
        <v>0.98119999999999996</v>
      </c>
      <c r="AZ670" s="1894">
        <v>65.06</v>
      </c>
      <c r="BA670" s="1894">
        <v>669825</v>
      </c>
      <c r="BB670" s="1894">
        <f t="shared" si="301"/>
        <v>686362</v>
      </c>
      <c r="BC670" s="1894">
        <f t="shared" si="302"/>
        <v>0</v>
      </c>
      <c r="BD670" s="1894">
        <v>1800</v>
      </c>
      <c r="BE670" s="1894">
        <v>840.00000000000011</v>
      </c>
      <c r="BF670" s="1894">
        <v>1440</v>
      </c>
      <c r="BG670" s="1894">
        <v>0.99690000000000001</v>
      </c>
      <c r="BH670" s="1894">
        <v>70.92</v>
      </c>
      <c r="BI670" s="1894">
        <v>486135</v>
      </c>
      <c r="BJ670" s="1894">
        <f t="shared" si="303"/>
        <v>374976</v>
      </c>
      <c r="BK670" s="1894">
        <f t="shared" si="304"/>
        <v>111159</v>
      </c>
      <c r="BL670" s="1894">
        <v>1800</v>
      </c>
      <c r="BM670" s="1894">
        <v>996</v>
      </c>
      <c r="BN670" s="1894">
        <v>1440</v>
      </c>
      <c r="BO670" s="1894">
        <v>0.99250000000000005</v>
      </c>
      <c r="BP670" s="1894">
        <v>78.83</v>
      </c>
      <c r="BQ670" s="1894">
        <v>565320</v>
      </c>
      <c r="BR670" s="1894">
        <f t="shared" si="305"/>
        <v>430272</v>
      </c>
      <c r="BS670" s="1894">
        <f t="shared" si="306"/>
        <v>135048</v>
      </c>
      <c r="BT670" s="1894">
        <v>1800</v>
      </c>
      <c r="BU670" s="1894">
        <v>1017.6</v>
      </c>
      <c r="BV670" s="1894">
        <v>1440</v>
      </c>
      <c r="BW670" s="1894">
        <v>0.99170000000000003</v>
      </c>
      <c r="BX670" s="1894">
        <v>59.41</v>
      </c>
      <c r="BY670" s="1894">
        <v>449790</v>
      </c>
      <c r="BZ670" s="1894">
        <f t="shared" si="307"/>
        <v>454257</v>
      </c>
      <c r="CA670" s="1894">
        <f t="shared" si="308"/>
        <v>0</v>
      </c>
      <c r="CB670" s="1894">
        <v>1800</v>
      </c>
      <c r="CC670" s="1894">
        <v>1514.4</v>
      </c>
      <c r="CD670" s="1894">
        <v>1514.4</v>
      </c>
      <c r="CE670" s="1894">
        <v>0.98470000000000002</v>
      </c>
      <c r="CF670" s="1894">
        <v>66.05</v>
      </c>
      <c r="CG670" s="1894">
        <v>744180</v>
      </c>
      <c r="CH670" s="1894">
        <f t="shared" si="309"/>
        <v>676028</v>
      </c>
      <c r="CI670" s="1894">
        <f t="shared" si="310"/>
        <v>68152</v>
      </c>
      <c r="CJ670" s="1894">
        <v>1800</v>
      </c>
      <c r="CK670" s="1894">
        <v>1521.6</v>
      </c>
      <c r="CL670" s="1894">
        <v>1521.6</v>
      </c>
      <c r="CM670" s="1894">
        <v>0.98499999999999999</v>
      </c>
      <c r="CN670" s="1894">
        <v>68.03</v>
      </c>
      <c r="CO670" s="1894">
        <v>695655</v>
      </c>
      <c r="CP670" s="1894">
        <f t="shared" si="311"/>
        <v>613509</v>
      </c>
      <c r="CQ670" s="1894">
        <f t="shared" si="312"/>
        <v>82146</v>
      </c>
      <c r="CR670" s="1924">
        <v>1800</v>
      </c>
      <c r="CS670" s="1924">
        <v>1142.4000000000001</v>
      </c>
      <c r="CT670" s="1924">
        <v>1440</v>
      </c>
      <c r="CU670" s="1924">
        <v>0.99480000000000002</v>
      </c>
      <c r="CV670" s="1924">
        <v>55.88</v>
      </c>
      <c r="CW670" s="1924">
        <v>474990</v>
      </c>
      <c r="CX670" s="1894">
        <f t="shared" si="313"/>
        <v>509967</v>
      </c>
      <c r="CY670" s="1894">
        <f t="shared" si="314"/>
        <v>0</v>
      </c>
    </row>
    <row r="671" spans="1:103">
      <c r="A671" s="982">
        <v>126000000047</v>
      </c>
      <c r="B671" s="1923">
        <f t="shared" si="315"/>
        <v>16</v>
      </c>
      <c r="C671" s="1895" t="s">
        <v>640</v>
      </c>
      <c r="D671" s="1894" t="s">
        <v>524</v>
      </c>
      <c r="E671" s="1895" t="s">
        <v>641</v>
      </c>
      <c r="F671" s="1894" t="s">
        <v>259</v>
      </c>
      <c r="G671" s="1924">
        <v>2000</v>
      </c>
      <c r="H671" s="1894">
        <v>2000</v>
      </c>
      <c r="I671" s="1894">
        <v>116.4</v>
      </c>
      <c r="J671" s="1894">
        <v>1600</v>
      </c>
      <c r="K671" s="1894">
        <v>0.91510000000000002</v>
      </c>
      <c r="L671" s="1894">
        <v>35.39</v>
      </c>
      <c r="M671" s="1894">
        <v>31635</v>
      </c>
      <c r="N671" s="1894">
        <f t="shared" si="291"/>
        <v>50285</v>
      </c>
      <c r="O671" s="1894">
        <f t="shared" si="292"/>
        <v>0</v>
      </c>
      <c r="P671" s="1894">
        <v>2000</v>
      </c>
      <c r="Q671" s="1894">
        <v>107.99999999999999</v>
      </c>
      <c r="R671" s="1894">
        <v>1600</v>
      </c>
      <c r="S671" s="1894">
        <v>0.89649999999999996</v>
      </c>
      <c r="T671" s="1894">
        <v>39.729999999999997</v>
      </c>
      <c r="U671" s="1894">
        <v>29865</v>
      </c>
      <c r="V671" s="1894">
        <f t="shared" si="293"/>
        <v>48211</v>
      </c>
      <c r="W671" s="1894">
        <f t="shared" si="294"/>
        <v>0</v>
      </c>
      <c r="X671" s="1894">
        <v>2000</v>
      </c>
      <c r="Y671" s="1894">
        <v>231.60000000000002</v>
      </c>
      <c r="Z671" s="1894">
        <v>1600</v>
      </c>
      <c r="AA671" s="1894">
        <v>0.90090000000000003</v>
      </c>
      <c r="AB671" s="1894">
        <v>18.690000000000001</v>
      </c>
      <c r="AC671" s="1894">
        <v>37395</v>
      </c>
      <c r="AD671" s="1894">
        <f t="shared" si="295"/>
        <v>100051</v>
      </c>
      <c r="AE671" s="1894">
        <f t="shared" si="296"/>
        <v>0</v>
      </c>
      <c r="AF671" s="1894">
        <v>2000</v>
      </c>
      <c r="AG671" s="1894">
        <v>120</v>
      </c>
      <c r="AH671" s="1894">
        <v>1600</v>
      </c>
      <c r="AI671" s="1894">
        <v>0.89710000000000001</v>
      </c>
      <c r="AJ671" s="1894">
        <v>34.119999999999997</v>
      </c>
      <c r="AK671" s="1894">
        <v>26535</v>
      </c>
      <c r="AL671" s="1894">
        <f t="shared" si="297"/>
        <v>53568</v>
      </c>
      <c r="AM671" s="1894">
        <f t="shared" si="298"/>
        <v>0</v>
      </c>
      <c r="AN671" s="1894">
        <v>2000</v>
      </c>
      <c r="AO671" s="1894">
        <v>409.2</v>
      </c>
      <c r="AP671" s="1894">
        <v>1600</v>
      </c>
      <c r="AQ671" s="1894">
        <v>0.74460000000000004</v>
      </c>
      <c r="AR671" s="1894">
        <v>12.62</v>
      </c>
      <c r="AS671" s="1894">
        <v>35955</v>
      </c>
      <c r="AT671" s="1894">
        <f t="shared" si="299"/>
        <v>182667</v>
      </c>
      <c r="AU671" s="1894">
        <f t="shared" si="300"/>
        <v>0</v>
      </c>
      <c r="AV671" s="1894">
        <v>2000</v>
      </c>
      <c r="AW671" s="1894">
        <v>109.2</v>
      </c>
      <c r="AX671" s="1894">
        <v>1600</v>
      </c>
      <c r="AY671" s="1894">
        <v>0.89970000000000006</v>
      </c>
      <c r="AZ671" s="1894">
        <v>35.85</v>
      </c>
      <c r="BA671" s="1894">
        <v>33825</v>
      </c>
      <c r="BB671" s="1894">
        <f t="shared" si="301"/>
        <v>47174</v>
      </c>
      <c r="BC671" s="1894">
        <f t="shared" si="302"/>
        <v>0</v>
      </c>
      <c r="BD671" s="1894">
        <v>2000</v>
      </c>
      <c r="BE671" s="1894">
        <v>110.39999999999999</v>
      </c>
      <c r="BF671" s="1894">
        <v>1600</v>
      </c>
      <c r="BG671" s="1894">
        <v>0.86060000000000003</v>
      </c>
      <c r="BH671" s="1894">
        <v>31.98</v>
      </c>
      <c r="BI671" s="1894">
        <v>26265</v>
      </c>
      <c r="BJ671" s="1894">
        <f t="shared" si="303"/>
        <v>49283</v>
      </c>
      <c r="BK671" s="1894">
        <f t="shared" si="304"/>
        <v>0</v>
      </c>
      <c r="BL671" s="1894">
        <v>2000</v>
      </c>
      <c r="BM671" s="1894">
        <v>104.39999999999999</v>
      </c>
      <c r="BN671" s="1894">
        <v>1600</v>
      </c>
      <c r="BO671" s="1894">
        <v>0.745</v>
      </c>
      <c r="BP671" s="1894">
        <v>28.34</v>
      </c>
      <c r="BQ671" s="1894">
        <v>21300</v>
      </c>
      <c r="BR671" s="1894">
        <f t="shared" si="305"/>
        <v>45101</v>
      </c>
      <c r="BS671" s="1894">
        <f t="shared" si="306"/>
        <v>0</v>
      </c>
      <c r="BT671" s="1894">
        <v>2000</v>
      </c>
      <c r="BU671" s="1894">
        <v>105.60000000000001</v>
      </c>
      <c r="BV671" s="1894">
        <v>1600</v>
      </c>
      <c r="BW671" s="1894">
        <v>0.7288</v>
      </c>
      <c r="BX671" s="1894">
        <v>26.36</v>
      </c>
      <c r="BY671" s="1894">
        <v>17370</v>
      </c>
      <c r="BZ671" s="1894">
        <f t="shared" si="307"/>
        <v>47140</v>
      </c>
      <c r="CA671" s="1894">
        <f t="shared" si="308"/>
        <v>0</v>
      </c>
      <c r="CB671" s="1894">
        <v>2000</v>
      </c>
      <c r="CC671" s="1894">
        <v>213.6</v>
      </c>
      <c r="CD671" s="1894">
        <v>1600</v>
      </c>
      <c r="CE671" s="1894">
        <v>0.77529999999999999</v>
      </c>
      <c r="CF671" s="1894">
        <v>12.84</v>
      </c>
      <c r="CG671" s="1894">
        <v>23700</v>
      </c>
      <c r="CH671" s="1894">
        <f t="shared" si="309"/>
        <v>95351</v>
      </c>
      <c r="CI671" s="1894">
        <f t="shared" si="310"/>
        <v>0</v>
      </c>
      <c r="CJ671" s="1894">
        <v>2000</v>
      </c>
      <c r="CK671" s="1894">
        <v>508.8</v>
      </c>
      <c r="CL671" s="1894">
        <v>1600</v>
      </c>
      <c r="CM671" s="1894">
        <v>0.69630000000000003</v>
      </c>
      <c r="CN671" s="1894">
        <v>18.21</v>
      </c>
      <c r="CO671" s="1894">
        <v>62250</v>
      </c>
      <c r="CP671" s="1894">
        <f t="shared" si="311"/>
        <v>205148</v>
      </c>
      <c r="CQ671" s="1894">
        <f t="shared" si="312"/>
        <v>0</v>
      </c>
      <c r="CR671" s="1924">
        <v>2000</v>
      </c>
      <c r="CS671" s="1924">
        <v>431.99999999999994</v>
      </c>
      <c r="CT671" s="1924">
        <v>1600</v>
      </c>
      <c r="CU671" s="1924">
        <v>0.72140000000000004</v>
      </c>
      <c r="CV671" s="1924">
        <v>13.12</v>
      </c>
      <c r="CW671" s="1924">
        <v>42165</v>
      </c>
      <c r="CX671" s="1894">
        <f t="shared" si="313"/>
        <v>192845</v>
      </c>
      <c r="CY671" s="1894">
        <f t="shared" si="314"/>
        <v>0</v>
      </c>
    </row>
    <row r="672" spans="1:103">
      <c r="A672" s="982">
        <v>123000000012</v>
      </c>
      <c r="B672" s="1923">
        <f t="shared" si="315"/>
        <v>17</v>
      </c>
      <c r="C672" s="1895" t="s">
        <v>556</v>
      </c>
      <c r="D672" s="1894" t="s">
        <v>524</v>
      </c>
      <c r="E672" s="1895" t="s">
        <v>541</v>
      </c>
      <c r="F672" s="1894" t="s">
        <v>271</v>
      </c>
      <c r="G672" s="1924">
        <v>2000</v>
      </c>
      <c r="H672" s="1894">
        <v>2000</v>
      </c>
      <c r="I672" s="1894">
        <v>280</v>
      </c>
      <c r="J672" s="1894">
        <v>1600</v>
      </c>
      <c r="K672" s="1894">
        <v>1</v>
      </c>
      <c r="L672" s="1894">
        <v>96.18</v>
      </c>
      <c r="M672" s="1894">
        <v>193900</v>
      </c>
      <c r="N672" s="1894">
        <f t="shared" si="291"/>
        <v>120960</v>
      </c>
      <c r="O672" s="1894">
        <f t="shared" si="292"/>
        <v>72940</v>
      </c>
      <c r="P672" s="1894">
        <v>2000</v>
      </c>
      <c r="Q672" s="1894">
        <v>240</v>
      </c>
      <c r="R672" s="1894">
        <v>1600</v>
      </c>
      <c r="S672" s="1894">
        <v>1</v>
      </c>
      <c r="T672" s="1894">
        <v>103.49</v>
      </c>
      <c r="U672" s="1894">
        <v>184800</v>
      </c>
      <c r="V672" s="1894">
        <f t="shared" si="293"/>
        <v>107136</v>
      </c>
      <c r="W672" s="1894">
        <f t="shared" si="294"/>
        <v>77664</v>
      </c>
      <c r="X672" s="1894">
        <v>2000</v>
      </c>
      <c r="Y672" s="1894">
        <v>320</v>
      </c>
      <c r="Z672" s="1894">
        <v>1600</v>
      </c>
      <c r="AA672" s="1894">
        <v>1</v>
      </c>
      <c r="AB672" s="1894">
        <v>75.260000000000005</v>
      </c>
      <c r="AC672" s="1894">
        <v>173400</v>
      </c>
      <c r="AD672" s="1894">
        <f t="shared" si="295"/>
        <v>138240</v>
      </c>
      <c r="AE672" s="1894">
        <f t="shared" si="296"/>
        <v>35160</v>
      </c>
      <c r="AF672" s="1894">
        <v>2000</v>
      </c>
      <c r="AG672" s="1894">
        <v>280</v>
      </c>
      <c r="AH672" s="1894">
        <v>1600</v>
      </c>
      <c r="AI672" s="1894">
        <v>1</v>
      </c>
      <c r="AJ672" s="1894">
        <v>84.77</v>
      </c>
      <c r="AK672" s="1894">
        <v>176600</v>
      </c>
      <c r="AL672" s="1894">
        <f t="shared" si="297"/>
        <v>124992</v>
      </c>
      <c r="AM672" s="1894">
        <f t="shared" si="298"/>
        <v>51608</v>
      </c>
      <c r="AN672" s="1894">
        <v>2000</v>
      </c>
      <c r="AO672" s="1894">
        <v>280</v>
      </c>
      <c r="AP672" s="1894">
        <v>1600</v>
      </c>
      <c r="AQ672" s="1894">
        <v>1</v>
      </c>
      <c r="AR672" s="1894">
        <v>83.62</v>
      </c>
      <c r="AS672" s="1894">
        <v>174200</v>
      </c>
      <c r="AT672" s="1894">
        <f t="shared" si="299"/>
        <v>124992</v>
      </c>
      <c r="AU672" s="1894">
        <f t="shared" si="300"/>
        <v>49208</v>
      </c>
      <c r="AV672" s="1894">
        <v>2000</v>
      </c>
      <c r="AW672" s="1894">
        <v>280</v>
      </c>
      <c r="AX672" s="1894">
        <v>1600</v>
      </c>
      <c r="AY672" s="1894">
        <v>0.99929999999999997</v>
      </c>
      <c r="AZ672" s="1894">
        <v>78.97</v>
      </c>
      <c r="BA672" s="1894">
        <v>159200</v>
      </c>
      <c r="BB672" s="1894">
        <f t="shared" si="301"/>
        <v>120960</v>
      </c>
      <c r="BC672" s="1894">
        <f t="shared" si="302"/>
        <v>38240</v>
      </c>
      <c r="BD672" s="1894">
        <v>2000</v>
      </c>
      <c r="BE672" s="1894">
        <v>280</v>
      </c>
      <c r="BF672" s="1894">
        <v>1600</v>
      </c>
      <c r="BG672" s="1894">
        <v>1.0005999999999999</v>
      </c>
      <c r="BH672" s="1894">
        <v>79.209999999999994</v>
      </c>
      <c r="BI672" s="1894">
        <v>165000</v>
      </c>
      <c r="BJ672" s="1894">
        <f t="shared" si="303"/>
        <v>124992</v>
      </c>
      <c r="BK672" s="1894">
        <f t="shared" si="304"/>
        <v>40008</v>
      </c>
      <c r="BL672" s="1894">
        <v>2000</v>
      </c>
      <c r="BM672" s="1894">
        <v>240</v>
      </c>
      <c r="BN672" s="1894">
        <v>1600</v>
      </c>
      <c r="BO672" s="1894">
        <v>0.99860000000000004</v>
      </c>
      <c r="BP672" s="1894">
        <v>85.94</v>
      </c>
      <c r="BQ672" s="1894">
        <v>148500</v>
      </c>
      <c r="BR672" s="1894">
        <f t="shared" si="305"/>
        <v>103680</v>
      </c>
      <c r="BS672" s="1894">
        <f t="shared" si="306"/>
        <v>44820</v>
      </c>
      <c r="BT672" s="1894">
        <v>2000</v>
      </c>
      <c r="BU672" s="1894">
        <v>240</v>
      </c>
      <c r="BV672" s="1894">
        <v>1600</v>
      </c>
      <c r="BW672" s="1894">
        <v>1.0005999999999999</v>
      </c>
      <c r="BX672" s="1894">
        <v>88.09</v>
      </c>
      <c r="BY672" s="1894">
        <v>157300</v>
      </c>
      <c r="BZ672" s="1894">
        <f t="shared" si="307"/>
        <v>107136</v>
      </c>
      <c r="CA672" s="1894">
        <f t="shared" si="308"/>
        <v>50164</v>
      </c>
      <c r="CB672" s="1894">
        <v>2000</v>
      </c>
      <c r="CC672" s="1894">
        <v>280</v>
      </c>
      <c r="CD672" s="1894">
        <v>1600</v>
      </c>
      <c r="CE672" s="1894">
        <v>0.99929999999999997</v>
      </c>
      <c r="CF672" s="1894">
        <v>76.08</v>
      </c>
      <c r="CG672" s="1894">
        <v>158500</v>
      </c>
      <c r="CH672" s="1894">
        <f t="shared" si="309"/>
        <v>124992</v>
      </c>
      <c r="CI672" s="1894">
        <f t="shared" si="310"/>
        <v>33508</v>
      </c>
      <c r="CJ672" s="1894">
        <v>2000</v>
      </c>
      <c r="CK672" s="1894">
        <v>280</v>
      </c>
      <c r="CL672" s="1894">
        <v>1600</v>
      </c>
      <c r="CM672" s="1894">
        <v>0.99780000000000002</v>
      </c>
      <c r="CN672" s="1894">
        <v>75.63</v>
      </c>
      <c r="CO672" s="1894">
        <v>142300</v>
      </c>
      <c r="CP672" s="1894">
        <f t="shared" si="311"/>
        <v>112896</v>
      </c>
      <c r="CQ672" s="1894">
        <f t="shared" si="312"/>
        <v>29404</v>
      </c>
      <c r="CR672" s="1924">
        <v>2000</v>
      </c>
      <c r="CS672" s="1924">
        <v>280</v>
      </c>
      <c r="CT672" s="1924">
        <v>1600</v>
      </c>
      <c r="CU672" s="1924">
        <v>0.99870000000000003</v>
      </c>
      <c r="CV672" s="1924">
        <v>75.27</v>
      </c>
      <c r="CW672" s="1924">
        <v>156800</v>
      </c>
      <c r="CX672" s="1894">
        <f t="shared" si="313"/>
        <v>124992</v>
      </c>
      <c r="CY672" s="1894">
        <f t="shared" si="314"/>
        <v>31808</v>
      </c>
    </row>
    <row r="673" spans="1:103">
      <c r="A673" s="982">
        <v>611000000006</v>
      </c>
      <c r="B673" s="1923">
        <f t="shared" si="315"/>
        <v>18</v>
      </c>
      <c r="C673" s="1895" t="s">
        <v>660</v>
      </c>
      <c r="D673" s="1894" t="s">
        <v>524</v>
      </c>
      <c r="E673" s="1895" t="s">
        <v>541</v>
      </c>
      <c r="F673" s="1894" t="s">
        <v>259</v>
      </c>
      <c r="G673" s="1924">
        <v>2000</v>
      </c>
      <c r="H673" s="1894">
        <v>2000</v>
      </c>
      <c r="I673" s="1894">
        <v>1092</v>
      </c>
      <c r="J673" s="1894">
        <v>1600</v>
      </c>
      <c r="K673" s="1894">
        <v>0.88619999999999999</v>
      </c>
      <c r="L673" s="1894">
        <v>47.65</v>
      </c>
      <c r="M673" s="1894">
        <v>374640</v>
      </c>
      <c r="N673" s="1894">
        <f t="shared" si="291"/>
        <v>471744</v>
      </c>
      <c r="O673" s="1894">
        <f t="shared" si="292"/>
        <v>0</v>
      </c>
      <c r="P673" s="1894">
        <v>2000</v>
      </c>
      <c r="Q673" s="1894">
        <v>1007.9999999999999</v>
      </c>
      <c r="R673" s="1894">
        <v>1600</v>
      </c>
      <c r="S673" s="1894">
        <v>0.89019999999999999</v>
      </c>
      <c r="T673" s="1894">
        <v>48.69</v>
      </c>
      <c r="U673" s="1894">
        <v>329820</v>
      </c>
      <c r="V673" s="1894">
        <f t="shared" si="293"/>
        <v>449971</v>
      </c>
      <c r="W673" s="1894">
        <f t="shared" si="294"/>
        <v>0</v>
      </c>
      <c r="X673" s="1894">
        <v>2000</v>
      </c>
      <c r="Y673" s="1894">
        <v>1041</v>
      </c>
      <c r="Z673" s="1894">
        <v>1600</v>
      </c>
      <c r="AA673" s="1894">
        <v>0.86499999999999999</v>
      </c>
      <c r="AB673" s="1894">
        <v>49.58</v>
      </c>
      <c r="AC673" s="1894">
        <v>408810</v>
      </c>
      <c r="AD673" s="1894">
        <f t="shared" si="295"/>
        <v>449712</v>
      </c>
      <c r="AE673" s="1894">
        <f t="shared" si="296"/>
        <v>0</v>
      </c>
      <c r="AF673" s="1894">
        <v>2000</v>
      </c>
      <c r="AG673" s="1894">
        <v>1050</v>
      </c>
      <c r="AH673" s="1894">
        <v>1600</v>
      </c>
      <c r="AI673" s="1894">
        <v>0.86499999999999999</v>
      </c>
      <c r="AJ673" s="1894">
        <v>46.28</v>
      </c>
      <c r="AK673" s="1894">
        <v>326565</v>
      </c>
      <c r="AL673" s="1894">
        <f t="shared" si="297"/>
        <v>468720</v>
      </c>
      <c r="AM673" s="1894">
        <f t="shared" si="298"/>
        <v>0</v>
      </c>
      <c r="AN673" s="1894">
        <v>2000</v>
      </c>
      <c r="AO673" s="1894">
        <v>765</v>
      </c>
      <c r="AP673" s="1894">
        <v>1600</v>
      </c>
      <c r="AQ673" s="1894">
        <v>0.85060000000000002</v>
      </c>
      <c r="AR673" s="1894">
        <v>75.39</v>
      </c>
      <c r="AS673" s="1894">
        <v>470595</v>
      </c>
      <c r="AT673" s="1894">
        <f t="shared" si="299"/>
        <v>341496</v>
      </c>
      <c r="AU673" s="1894">
        <f t="shared" si="300"/>
        <v>129099</v>
      </c>
      <c r="AV673" s="1894">
        <v>2000</v>
      </c>
      <c r="AW673" s="1894">
        <v>1086</v>
      </c>
      <c r="AX673" s="1894">
        <v>1600</v>
      </c>
      <c r="AY673" s="1894">
        <v>0.87109999999999999</v>
      </c>
      <c r="AZ673" s="1894">
        <v>27.82</v>
      </c>
      <c r="BA673" s="1894">
        <v>217560</v>
      </c>
      <c r="BB673" s="1894">
        <f t="shared" si="301"/>
        <v>469152</v>
      </c>
      <c r="BC673" s="1894">
        <f t="shared" si="302"/>
        <v>0</v>
      </c>
      <c r="BD673" s="1894">
        <v>2000</v>
      </c>
      <c r="BE673" s="1894">
        <v>930</v>
      </c>
      <c r="BF673" s="1894">
        <v>1600</v>
      </c>
      <c r="BG673" s="1894">
        <v>0.7802</v>
      </c>
      <c r="BH673" s="1894">
        <v>48.41</v>
      </c>
      <c r="BI673" s="1894">
        <v>334935</v>
      </c>
      <c r="BJ673" s="1894">
        <f t="shared" si="303"/>
        <v>415152</v>
      </c>
      <c r="BK673" s="1894">
        <f t="shared" si="304"/>
        <v>0</v>
      </c>
      <c r="BL673" s="1894">
        <v>2000</v>
      </c>
      <c r="BM673" s="1894">
        <v>924</v>
      </c>
      <c r="BN673" s="1894">
        <v>1600</v>
      </c>
      <c r="BO673" s="1894">
        <v>0.81230000000000002</v>
      </c>
      <c r="BP673" s="1894">
        <v>53.09</v>
      </c>
      <c r="BQ673" s="1894">
        <v>353190</v>
      </c>
      <c r="BR673" s="1894">
        <f t="shared" si="305"/>
        <v>399168</v>
      </c>
      <c r="BS673" s="1894">
        <f t="shared" si="306"/>
        <v>0</v>
      </c>
      <c r="BT673" s="1894">
        <v>2000</v>
      </c>
      <c r="BU673" s="1894">
        <v>1110</v>
      </c>
      <c r="BV673" s="1894">
        <v>1600</v>
      </c>
      <c r="BW673" s="1894">
        <v>0.76980000000000004</v>
      </c>
      <c r="BX673" s="1894">
        <v>44.02</v>
      </c>
      <c r="BY673" s="1894">
        <v>304905</v>
      </c>
      <c r="BZ673" s="1894">
        <f t="shared" si="307"/>
        <v>495504</v>
      </c>
      <c r="CA673" s="1894">
        <f t="shared" si="308"/>
        <v>0</v>
      </c>
      <c r="CB673" s="1894">
        <v>2000</v>
      </c>
      <c r="CC673" s="1894">
        <v>933</v>
      </c>
      <c r="CD673" s="1894">
        <v>1600</v>
      </c>
      <c r="CE673" s="1894">
        <v>0.85119999999999996</v>
      </c>
      <c r="CF673" s="1894">
        <v>49.25</v>
      </c>
      <c r="CG673" s="1894">
        <v>352920</v>
      </c>
      <c r="CH673" s="1894">
        <f t="shared" si="309"/>
        <v>416491</v>
      </c>
      <c r="CI673" s="1894">
        <f t="shared" si="310"/>
        <v>0</v>
      </c>
      <c r="CJ673" s="1894">
        <v>2000</v>
      </c>
      <c r="CK673" s="1894">
        <v>564</v>
      </c>
      <c r="CL673" s="1894">
        <v>1600</v>
      </c>
      <c r="CM673" s="1894">
        <v>0.93630000000000002</v>
      </c>
      <c r="CN673" s="1894">
        <v>39.200000000000003</v>
      </c>
      <c r="CO673" s="1894">
        <v>148560</v>
      </c>
      <c r="CP673" s="1894">
        <f t="shared" si="311"/>
        <v>227405</v>
      </c>
      <c r="CQ673" s="1894">
        <f t="shared" si="312"/>
        <v>0</v>
      </c>
      <c r="CR673" s="1924">
        <v>2000</v>
      </c>
      <c r="CS673" s="1924">
        <v>738</v>
      </c>
      <c r="CT673" s="1924">
        <v>1600</v>
      </c>
      <c r="CU673" s="1924">
        <v>0.91949999999999998</v>
      </c>
      <c r="CV673" s="1924">
        <v>32.74</v>
      </c>
      <c r="CW673" s="1924">
        <v>202935</v>
      </c>
      <c r="CX673" s="1894">
        <f t="shared" si="313"/>
        <v>329443</v>
      </c>
      <c r="CY673" s="1894">
        <f t="shared" si="314"/>
        <v>0</v>
      </c>
    </row>
    <row r="674" spans="1:103">
      <c r="A674" s="982">
        <v>611000000016</v>
      </c>
      <c r="B674" s="1923">
        <f t="shared" si="315"/>
        <v>19</v>
      </c>
      <c r="C674" s="1895" t="s">
        <v>662</v>
      </c>
      <c r="D674" s="1894" t="s">
        <v>524</v>
      </c>
      <c r="E674" s="1895" t="s">
        <v>541</v>
      </c>
      <c r="F674" s="1894" t="s">
        <v>259</v>
      </c>
      <c r="G674" s="1924">
        <v>2000</v>
      </c>
      <c r="H674" s="1894">
        <v>2000</v>
      </c>
      <c r="I674" s="1894">
        <v>1260</v>
      </c>
      <c r="J674" s="1894">
        <v>1600</v>
      </c>
      <c r="K674" s="1894">
        <v>0.95920000000000005</v>
      </c>
      <c r="L674" s="1894">
        <v>20.56</v>
      </c>
      <c r="M674" s="1894">
        <v>192750</v>
      </c>
      <c r="N674" s="1894">
        <f t="shared" si="291"/>
        <v>544320</v>
      </c>
      <c r="O674" s="1894">
        <f t="shared" si="292"/>
        <v>0</v>
      </c>
      <c r="P674" s="1894">
        <v>2000</v>
      </c>
      <c r="Q674" s="1894">
        <v>1380</v>
      </c>
      <c r="R674" s="1894">
        <v>1600</v>
      </c>
      <c r="S674" s="1894">
        <v>0.92800000000000005</v>
      </c>
      <c r="T674" s="1894">
        <v>20.12</v>
      </c>
      <c r="U674" s="1894">
        <v>193250</v>
      </c>
      <c r="V674" s="1894">
        <f t="shared" si="293"/>
        <v>616032</v>
      </c>
      <c r="W674" s="1894">
        <f t="shared" si="294"/>
        <v>0</v>
      </c>
      <c r="X674" s="1894">
        <v>2000</v>
      </c>
      <c r="Y674" s="1894">
        <v>976</v>
      </c>
      <c r="Z674" s="1894">
        <v>1600</v>
      </c>
      <c r="AA674" s="1894">
        <v>0.94599999999999995</v>
      </c>
      <c r="AB674" s="1894">
        <v>45.68</v>
      </c>
      <c r="AC674" s="1894">
        <v>374500</v>
      </c>
      <c r="AD674" s="1894">
        <f t="shared" si="295"/>
        <v>421632</v>
      </c>
      <c r="AE674" s="1894">
        <f t="shared" si="296"/>
        <v>0</v>
      </c>
      <c r="AF674" s="1894">
        <v>2000</v>
      </c>
      <c r="AG674" s="1894">
        <v>1088</v>
      </c>
      <c r="AH674" s="1894">
        <v>1600</v>
      </c>
      <c r="AI674" s="1894">
        <v>0.94450000000000001</v>
      </c>
      <c r="AJ674" s="1894">
        <v>57.5</v>
      </c>
      <c r="AK674" s="1894">
        <v>435450</v>
      </c>
      <c r="AL674" s="1894">
        <f t="shared" si="297"/>
        <v>485683</v>
      </c>
      <c r="AM674" s="1894">
        <f t="shared" si="298"/>
        <v>0</v>
      </c>
      <c r="AN674" s="1894">
        <v>2000</v>
      </c>
      <c r="AO674" s="1894">
        <v>1404</v>
      </c>
      <c r="AP674" s="1894">
        <v>1600</v>
      </c>
      <c r="AQ674" s="1894">
        <v>0.94920000000000004</v>
      </c>
      <c r="AR674" s="1894">
        <v>46.28</v>
      </c>
      <c r="AS674" s="1894">
        <v>467800</v>
      </c>
      <c r="AT674" s="1894">
        <f t="shared" si="299"/>
        <v>626746</v>
      </c>
      <c r="AU674" s="1894">
        <f t="shared" si="300"/>
        <v>0</v>
      </c>
      <c r="AV674" s="1894">
        <v>2000</v>
      </c>
      <c r="AW674" s="1894">
        <v>1428</v>
      </c>
      <c r="AX674" s="1894">
        <v>1600</v>
      </c>
      <c r="AY674" s="1894">
        <v>0.89780000000000004</v>
      </c>
      <c r="AZ674" s="1894">
        <v>35.25</v>
      </c>
      <c r="BA674" s="1894">
        <v>386600</v>
      </c>
      <c r="BB674" s="1894">
        <f t="shared" si="301"/>
        <v>616896</v>
      </c>
      <c r="BC674" s="1894">
        <f t="shared" si="302"/>
        <v>0</v>
      </c>
      <c r="BD674" s="1894">
        <v>2000</v>
      </c>
      <c r="BE674" s="1894">
        <v>1440</v>
      </c>
      <c r="BF674" s="1894">
        <v>1600</v>
      </c>
      <c r="BG674" s="1894">
        <v>0.89480000000000004</v>
      </c>
      <c r="BH674" s="1894">
        <v>26.02</v>
      </c>
      <c r="BI674" s="1894">
        <v>296700</v>
      </c>
      <c r="BJ674" s="1894">
        <f t="shared" si="303"/>
        <v>642816</v>
      </c>
      <c r="BK674" s="1894">
        <f t="shared" si="304"/>
        <v>0</v>
      </c>
      <c r="BL674" s="1894">
        <v>2000</v>
      </c>
      <c r="BM674" s="1894">
        <v>1284</v>
      </c>
      <c r="BN674" s="1894">
        <v>1600</v>
      </c>
      <c r="BO674" s="1894">
        <v>0.90920000000000001</v>
      </c>
      <c r="BP674" s="1894">
        <v>25.99</v>
      </c>
      <c r="BQ674" s="1894">
        <v>240300</v>
      </c>
      <c r="BR674" s="1894">
        <f t="shared" si="305"/>
        <v>554688</v>
      </c>
      <c r="BS674" s="1894">
        <f t="shared" si="306"/>
        <v>0</v>
      </c>
      <c r="BT674" s="1894">
        <v>2000</v>
      </c>
      <c r="BU674" s="1894">
        <v>1268</v>
      </c>
      <c r="BV674" s="1894">
        <v>1600</v>
      </c>
      <c r="BW674" s="1894">
        <v>0.88890000000000002</v>
      </c>
      <c r="BX674" s="1894">
        <v>27.54</v>
      </c>
      <c r="BY674" s="1894">
        <v>259850</v>
      </c>
      <c r="BZ674" s="1894">
        <f t="shared" si="307"/>
        <v>566035</v>
      </c>
      <c r="CA674" s="1894">
        <f t="shared" si="308"/>
        <v>0</v>
      </c>
      <c r="CB674" s="1894">
        <v>2000</v>
      </c>
      <c r="CC674" s="1894">
        <v>1224</v>
      </c>
      <c r="CD674" s="1894">
        <v>1600</v>
      </c>
      <c r="CE674" s="1894">
        <v>0.92810000000000004</v>
      </c>
      <c r="CF674" s="1894">
        <v>24.91</v>
      </c>
      <c r="CG674" s="1894">
        <v>226800</v>
      </c>
      <c r="CH674" s="1894">
        <f t="shared" si="309"/>
        <v>546394</v>
      </c>
      <c r="CI674" s="1894">
        <f t="shared" si="310"/>
        <v>0</v>
      </c>
      <c r="CJ674" s="1894">
        <v>2000</v>
      </c>
      <c r="CK674" s="1894">
        <v>1264</v>
      </c>
      <c r="CL674" s="1894">
        <v>1600</v>
      </c>
      <c r="CM674" s="1894">
        <v>0.93759999999999999</v>
      </c>
      <c r="CN674" s="1894">
        <v>46.46</v>
      </c>
      <c r="CO674" s="1894">
        <v>394600</v>
      </c>
      <c r="CP674" s="1894">
        <f t="shared" si="311"/>
        <v>509645</v>
      </c>
      <c r="CQ674" s="1894">
        <f t="shared" si="312"/>
        <v>0</v>
      </c>
      <c r="CR674" s="1924">
        <v>2000</v>
      </c>
      <c r="CS674" s="1924">
        <v>888</v>
      </c>
      <c r="CT674" s="1924">
        <v>1600</v>
      </c>
      <c r="CU674" s="1924">
        <v>0.96879999999999999</v>
      </c>
      <c r="CV674" s="1924">
        <v>40.299999999999997</v>
      </c>
      <c r="CW674" s="1924">
        <v>266250</v>
      </c>
      <c r="CX674" s="1894">
        <f t="shared" si="313"/>
        <v>396403</v>
      </c>
      <c r="CY674" s="1894">
        <f t="shared" si="314"/>
        <v>0</v>
      </c>
    </row>
    <row r="675" spans="1:103">
      <c r="A675" s="982">
        <v>622000000057</v>
      </c>
      <c r="B675" s="1923">
        <f t="shared" si="315"/>
        <v>20</v>
      </c>
      <c r="C675" s="1895" t="s">
        <v>682</v>
      </c>
      <c r="D675" s="1894" t="s">
        <v>524</v>
      </c>
      <c r="E675" s="1895" t="s">
        <v>541</v>
      </c>
      <c r="F675" s="1894" t="s">
        <v>259</v>
      </c>
      <c r="G675" s="1924">
        <v>2000</v>
      </c>
      <c r="H675" s="1894">
        <v>2000</v>
      </c>
      <c r="I675" s="1894">
        <v>948.6</v>
      </c>
      <c r="J675" s="1894">
        <v>1600</v>
      </c>
      <c r="K675" s="1894">
        <v>1</v>
      </c>
      <c r="L675" s="1894">
        <v>56.61</v>
      </c>
      <c r="M675" s="1894">
        <v>409230</v>
      </c>
      <c r="N675" s="1894">
        <f t="shared" si="291"/>
        <v>409795</v>
      </c>
      <c r="O675" s="1894">
        <f t="shared" si="292"/>
        <v>0</v>
      </c>
      <c r="P675" s="1894">
        <v>2000</v>
      </c>
      <c r="Q675" s="1894">
        <v>843</v>
      </c>
      <c r="R675" s="1894">
        <v>1600</v>
      </c>
      <c r="S675" s="1894">
        <v>1</v>
      </c>
      <c r="T675" s="1894">
        <v>62.92</v>
      </c>
      <c r="U675" s="1894">
        <v>446550</v>
      </c>
      <c r="V675" s="1894">
        <f t="shared" si="293"/>
        <v>376315</v>
      </c>
      <c r="W675" s="1894">
        <f t="shared" si="294"/>
        <v>70235</v>
      </c>
      <c r="X675" s="1894">
        <v>2000</v>
      </c>
      <c r="Y675" s="1894">
        <v>833.40000000000009</v>
      </c>
      <c r="Z675" s="1894">
        <v>1600</v>
      </c>
      <c r="AA675" s="1894">
        <v>1</v>
      </c>
      <c r="AB675" s="1894">
        <v>59.12</v>
      </c>
      <c r="AC675" s="1894">
        <v>361830</v>
      </c>
      <c r="AD675" s="1894">
        <f t="shared" si="295"/>
        <v>360029</v>
      </c>
      <c r="AE675" s="1894">
        <f t="shared" si="296"/>
        <v>1801</v>
      </c>
      <c r="AF675" s="1894">
        <v>2000</v>
      </c>
      <c r="AG675" s="1894">
        <v>852.59999999999991</v>
      </c>
      <c r="AH675" s="1894">
        <v>1600</v>
      </c>
      <c r="AI675" s="1894">
        <v>1</v>
      </c>
      <c r="AJ675" s="1894">
        <v>23.7</v>
      </c>
      <c r="AK675" s="1894">
        <v>385710</v>
      </c>
      <c r="AL675" s="1894">
        <f t="shared" si="297"/>
        <v>380601</v>
      </c>
      <c r="AM675" s="1894">
        <f t="shared" si="298"/>
        <v>5109</v>
      </c>
      <c r="AN675" s="1894">
        <v>2000</v>
      </c>
      <c r="AO675" s="1894">
        <v>795</v>
      </c>
      <c r="AP675" s="1894">
        <v>1600</v>
      </c>
      <c r="AQ675" s="1894">
        <v>1</v>
      </c>
      <c r="AR675" s="1894">
        <v>23.16</v>
      </c>
      <c r="AS675" s="1894">
        <v>364470</v>
      </c>
      <c r="AT675" s="1894">
        <f t="shared" si="299"/>
        <v>354888</v>
      </c>
      <c r="AU675" s="1894">
        <f t="shared" si="300"/>
        <v>9582</v>
      </c>
      <c r="AV675" s="1894">
        <v>2000</v>
      </c>
      <c r="AW675" s="1894">
        <v>775.8</v>
      </c>
      <c r="AX675" s="1894">
        <v>1600</v>
      </c>
      <c r="AY675" s="1894">
        <v>1</v>
      </c>
      <c r="AZ675" s="1894">
        <v>55.16</v>
      </c>
      <c r="BA675" s="1894">
        <v>347670</v>
      </c>
      <c r="BB675" s="1894">
        <f t="shared" si="301"/>
        <v>335146</v>
      </c>
      <c r="BC675" s="1894">
        <f t="shared" si="302"/>
        <v>12524</v>
      </c>
      <c r="BD675" s="1894">
        <v>2000</v>
      </c>
      <c r="BE675" s="1894">
        <v>593.4</v>
      </c>
      <c r="BF675" s="1894">
        <v>1600</v>
      </c>
      <c r="BG675" s="1894">
        <v>1</v>
      </c>
      <c r="BH675" s="1894">
        <v>68.06</v>
      </c>
      <c r="BI675" s="1894">
        <v>338550</v>
      </c>
      <c r="BJ675" s="1894">
        <f t="shared" si="303"/>
        <v>264894</v>
      </c>
      <c r="BK675" s="1894">
        <f t="shared" si="304"/>
        <v>73656</v>
      </c>
      <c r="BL675" s="1894">
        <v>2000</v>
      </c>
      <c r="BM675" s="1894">
        <v>579</v>
      </c>
      <c r="BN675" s="1894">
        <v>1600</v>
      </c>
      <c r="BO675" s="1894">
        <v>0.99950000000000006</v>
      </c>
      <c r="BP675" s="1894">
        <v>66.09</v>
      </c>
      <c r="BQ675" s="1894">
        <v>310230</v>
      </c>
      <c r="BR675" s="1894">
        <f t="shared" si="305"/>
        <v>250128</v>
      </c>
      <c r="BS675" s="1894">
        <f t="shared" si="306"/>
        <v>60102</v>
      </c>
      <c r="BT675" s="1894">
        <v>2000</v>
      </c>
      <c r="BU675" s="1894">
        <v>583.79999999999995</v>
      </c>
      <c r="BV675" s="1894">
        <v>1600</v>
      </c>
      <c r="BW675" s="1894">
        <v>1</v>
      </c>
      <c r="BX675" s="1894">
        <v>67.78</v>
      </c>
      <c r="BY675" s="1894">
        <v>321030</v>
      </c>
      <c r="BZ675" s="1894">
        <f t="shared" si="307"/>
        <v>260608</v>
      </c>
      <c r="CA675" s="1894">
        <f t="shared" si="308"/>
        <v>60422</v>
      </c>
      <c r="CB675" s="1894">
        <v>2000</v>
      </c>
      <c r="CC675" s="1894">
        <v>603</v>
      </c>
      <c r="CD675" s="1894">
        <v>1600</v>
      </c>
      <c r="CE675" s="1894">
        <v>1</v>
      </c>
      <c r="CF675" s="1894">
        <v>65.69</v>
      </c>
      <c r="CG675" s="1894">
        <v>321390</v>
      </c>
      <c r="CH675" s="1894">
        <f t="shared" si="309"/>
        <v>269179</v>
      </c>
      <c r="CI675" s="1894">
        <f t="shared" si="310"/>
        <v>52211</v>
      </c>
      <c r="CJ675" s="1894">
        <v>2000</v>
      </c>
      <c r="CK675" s="1894">
        <v>535.79999999999995</v>
      </c>
      <c r="CL675" s="1894">
        <v>1600</v>
      </c>
      <c r="CM675" s="1894">
        <v>1</v>
      </c>
      <c r="CN675" s="1894">
        <v>70.61</v>
      </c>
      <c r="CO675" s="1894">
        <v>266310</v>
      </c>
      <c r="CP675" s="1894">
        <f t="shared" si="311"/>
        <v>216035</v>
      </c>
      <c r="CQ675" s="1894">
        <f t="shared" si="312"/>
        <v>50275</v>
      </c>
      <c r="CR675" s="1924">
        <v>2000</v>
      </c>
      <c r="CS675" s="1924">
        <v>574.20000000000005</v>
      </c>
      <c r="CT675" s="1924">
        <v>1600</v>
      </c>
      <c r="CU675" s="1924">
        <v>1</v>
      </c>
      <c r="CV675" s="1924">
        <v>65.41</v>
      </c>
      <c r="CW675" s="1924">
        <v>314430</v>
      </c>
      <c r="CX675" s="1894">
        <f t="shared" si="313"/>
        <v>256323</v>
      </c>
      <c r="CY675" s="1894">
        <f t="shared" si="314"/>
        <v>58107</v>
      </c>
    </row>
    <row r="676" spans="1:103">
      <c r="A676" s="982">
        <v>125000000044</v>
      </c>
      <c r="B676" s="1923">
        <f t="shared" si="315"/>
        <v>21</v>
      </c>
      <c r="C676" s="1895" t="s">
        <v>711</v>
      </c>
      <c r="D676" s="1894" t="s">
        <v>524</v>
      </c>
      <c r="E676" s="1895" t="s">
        <v>709</v>
      </c>
      <c r="F676" s="1894" t="s">
        <v>259</v>
      </c>
      <c r="G676" s="1924">
        <v>2033.49</v>
      </c>
      <c r="H676" s="1894">
        <v>2033.49</v>
      </c>
      <c r="I676" s="1894">
        <v>136.79999999999998</v>
      </c>
      <c r="J676" s="1894">
        <v>1626.7919999999999</v>
      </c>
      <c r="K676" s="1894">
        <v>0.97689999999999999</v>
      </c>
      <c r="L676" s="1894">
        <v>1.98</v>
      </c>
      <c r="M676" s="1894">
        <v>1953</v>
      </c>
      <c r="N676" s="1894">
        <f t="shared" si="291"/>
        <v>59098</v>
      </c>
      <c r="O676" s="1894">
        <f t="shared" si="292"/>
        <v>0</v>
      </c>
      <c r="P676" s="1894">
        <v>2033.49</v>
      </c>
      <c r="Q676" s="1894">
        <v>0</v>
      </c>
      <c r="R676" s="1894">
        <v>1626.7919999999999</v>
      </c>
      <c r="S676" s="1894">
        <v>1</v>
      </c>
      <c r="T676" s="1894">
        <v>0.12</v>
      </c>
      <c r="U676" s="1894">
        <v>1629</v>
      </c>
      <c r="V676" s="1894">
        <f t="shared" si="293"/>
        <v>0</v>
      </c>
      <c r="W676" s="1894">
        <f t="shared" si="294"/>
        <v>1629</v>
      </c>
      <c r="X676" s="1894">
        <v>2033.49</v>
      </c>
      <c r="Y676" s="1894">
        <v>8.6399999999999988</v>
      </c>
      <c r="Z676" s="1894">
        <v>1626.7919999999999</v>
      </c>
      <c r="AA676" s="1894">
        <v>1</v>
      </c>
      <c r="AB676" s="1894">
        <v>27.13</v>
      </c>
      <c r="AC676" s="1894">
        <v>1800</v>
      </c>
      <c r="AD676" s="1894">
        <f t="shared" si="295"/>
        <v>3732</v>
      </c>
      <c r="AE676" s="1894">
        <f t="shared" si="296"/>
        <v>0</v>
      </c>
      <c r="AF676" s="1894">
        <v>2033.49</v>
      </c>
      <c r="AG676" s="1894">
        <v>300.24</v>
      </c>
      <c r="AH676" s="1894">
        <v>1626.7919999999999</v>
      </c>
      <c r="AI676" s="1894">
        <v>0.86660000000000004</v>
      </c>
      <c r="AJ676" s="1894">
        <v>1.34</v>
      </c>
      <c r="AK676" s="1894">
        <v>2700</v>
      </c>
      <c r="AL676" s="1894">
        <f t="shared" si="297"/>
        <v>134027</v>
      </c>
      <c r="AM676" s="1894">
        <f t="shared" si="298"/>
        <v>0</v>
      </c>
      <c r="AN676" s="1894">
        <v>2033.49</v>
      </c>
      <c r="AO676" s="1894">
        <v>1276.5600000000002</v>
      </c>
      <c r="AP676" s="1894">
        <v>1626.7919999999999</v>
      </c>
      <c r="AQ676" s="1894">
        <v>0.92420000000000002</v>
      </c>
      <c r="AR676" s="1894">
        <v>1.37</v>
      </c>
      <c r="AS676" s="1894">
        <v>12591</v>
      </c>
      <c r="AT676" s="1894">
        <f t="shared" si="299"/>
        <v>569856</v>
      </c>
      <c r="AU676" s="1894">
        <f t="shared" si="300"/>
        <v>0</v>
      </c>
      <c r="AV676" s="1894">
        <v>2033.49</v>
      </c>
      <c r="AW676" s="1894">
        <v>6.4799999999999995</v>
      </c>
      <c r="AX676" s="1894">
        <v>1626.7919999999999</v>
      </c>
      <c r="AY676" s="1894">
        <v>0.99470000000000003</v>
      </c>
      <c r="AZ676" s="1894">
        <v>33.49</v>
      </c>
      <c r="BA676" s="1894">
        <v>1719</v>
      </c>
      <c r="BB676" s="1894">
        <f t="shared" si="301"/>
        <v>2799</v>
      </c>
      <c r="BC676" s="1894">
        <f t="shared" si="302"/>
        <v>0</v>
      </c>
      <c r="BD676" s="1894">
        <v>2033.49</v>
      </c>
      <c r="BE676" s="1894">
        <v>602.64</v>
      </c>
      <c r="BF676" s="1894">
        <v>1626.7919999999999</v>
      </c>
      <c r="BG676" s="1894">
        <v>0.99270000000000003</v>
      </c>
      <c r="BH676" s="1894">
        <v>1.53</v>
      </c>
      <c r="BI676" s="1894">
        <v>6183</v>
      </c>
      <c r="BJ676" s="1894">
        <f t="shared" si="303"/>
        <v>269018</v>
      </c>
      <c r="BK676" s="1894">
        <f t="shared" si="304"/>
        <v>0</v>
      </c>
      <c r="BL676" s="1894">
        <v>2033.49</v>
      </c>
      <c r="BM676" s="1894">
        <v>758.16000000000008</v>
      </c>
      <c r="BN676" s="1894">
        <v>1626.7919999999999</v>
      </c>
      <c r="BO676" s="1894">
        <v>0.92379999999999995</v>
      </c>
      <c r="BP676" s="1894">
        <v>1.34</v>
      </c>
      <c r="BQ676" s="1894">
        <v>7326</v>
      </c>
      <c r="BR676" s="1894">
        <f t="shared" si="305"/>
        <v>327525</v>
      </c>
      <c r="BS676" s="1894">
        <f t="shared" si="306"/>
        <v>0</v>
      </c>
      <c r="BT676" s="1894">
        <v>2033.49</v>
      </c>
      <c r="BU676" s="1894">
        <v>10.8</v>
      </c>
      <c r="BV676" s="1894">
        <v>1626.7919999999999</v>
      </c>
      <c r="BW676" s="1894">
        <v>1.0018</v>
      </c>
      <c r="BX676" s="1894">
        <v>53.43</v>
      </c>
      <c r="BY676" s="1894">
        <v>4986</v>
      </c>
      <c r="BZ676" s="1894">
        <f t="shared" si="307"/>
        <v>4821</v>
      </c>
      <c r="CA676" s="1894">
        <f t="shared" si="308"/>
        <v>165</v>
      </c>
      <c r="CB676" s="1894">
        <v>2033.49</v>
      </c>
      <c r="CC676" s="1894">
        <v>11.520000000000001</v>
      </c>
      <c r="CD676" s="1894">
        <v>1626.7919999999999</v>
      </c>
      <c r="CE676" s="1894">
        <v>0.99780000000000002</v>
      </c>
      <c r="CF676" s="1894">
        <v>49.77</v>
      </c>
      <c r="CG676" s="1894">
        <v>4266</v>
      </c>
      <c r="CH676" s="1894">
        <f t="shared" si="309"/>
        <v>5143</v>
      </c>
      <c r="CI676" s="1894">
        <f t="shared" si="310"/>
        <v>0</v>
      </c>
      <c r="CJ676" s="1894">
        <v>2033.49</v>
      </c>
      <c r="CK676" s="1894">
        <v>11.520000000000001</v>
      </c>
      <c r="CL676" s="1894">
        <v>1626.7919999999999</v>
      </c>
      <c r="CM676" s="1894">
        <v>1.0023</v>
      </c>
      <c r="CN676" s="1894">
        <v>48.94</v>
      </c>
      <c r="CO676" s="1894">
        <v>3789</v>
      </c>
      <c r="CP676" s="1894">
        <f t="shared" si="311"/>
        <v>4645</v>
      </c>
      <c r="CQ676" s="1894">
        <f t="shared" si="312"/>
        <v>0</v>
      </c>
      <c r="CR676" s="1924">
        <v>2033.49</v>
      </c>
      <c r="CS676" s="1924">
        <v>10.8</v>
      </c>
      <c r="CT676" s="1924">
        <v>1626.7919999999999</v>
      </c>
      <c r="CU676" s="1924">
        <v>0.99750000000000005</v>
      </c>
      <c r="CV676" s="1924">
        <v>45.92</v>
      </c>
      <c r="CW676" s="1924">
        <v>3690</v>
      </c>
      <c r="CX676" s="1894">
        <f t="shared" si="313"/>
        <v>4821</v>
      </c>
      <c r="CY676" s="1894">
        <f t="shared" si="314"/>
        <v>0</v>
      </c>
    </row>
    <row r="677" spans="1:103">
      <c r="A677" s="982">
        <v>621000000050</v>
      </c>
      <c r="B677" s="1923">
        <f t="shared" si="315"/>
        <v>22</v>
      </c>
      <c r="C677" s="1895" t="s">
        <v>3019</v>
      </c>
      <c r="D677" s="1894" t="s">
        <v>524</v>
      </c>
      <c r="E677" s="1895" t="s">
        <v>541</v>
      </c>
      <c r="F677" s="1894" t="s">
        <v>259</v>
      </c>
      <c r="G677" s="1924">
        <v>2039</v>
      </c>
      <c r="H677" s="1894">
        <v>2039</v>
      </c>
      <c r="I677" s="1894">
        <v>354</v>
      </c>
      <c r="J677" s="1894">
        <v>1631.2</v>
      </c>
      <c r="K677" s="1894">
        <v>0.90239999999999998</v>
      </c>
      <c r="L677" s="1894">
        <v>15.15</v>
      </c>
      <c r="M677" s="1894">
        <v>38610</v>
      </c>
      <c r="N677" s="1894">
        <f t="shared" si="291"/>
        <v>152928</v>
      </c>
      <c r="O677" s="1894">
        <f t="shared" si="292"/>
        <v>0</v>
      </c>
      <c r="P677" s="1894">
        <v>2039</v>
      </c>
      <c r="Q677" s="1894">
        <v>202.79999999999998</v>
      </c>
      <c r="R677" s="1894">
        <v>1631.2</v>
      </c>
      <c r="S677" s="1894">
        <v>0.90839999999999999</v>
      </c>
      <c r="T677" s="1894">
        <v>21.29</v>
      </c>
      <c r="U677" s="1894">
        <v>32130</v>
      </c>
      <c r="V677" s="1894">
        <f t="shared" si="293"/>
        <v>90530</v>
      </c>
      <c r="W677" s="1894">
        <f t="shared" si="294"/>
        <v>0</v>
      </c>
      <c r="X677" s="1894">
        <v>2039</v>
      </c>
      <c r="Y677" s="1894">
        <v>339.59999999999997</v>
      </c>
      <c r="Z677" s="1894">
        <v>1631.2</v>
      </c>
      <c r="AA677" s="1894">
        <v>0.90169999999999995</v>
      </c>
      <c r="AB677" s="1894">
        <v>11.61</v>
      </c>
      <c r="AC677" s="1894">
        <v>28395</v>
      </c>
      <c r="AD677" s="1894">
        <f t="shared" si="295"/>
        <v>146707</v>
      </c>
      <c r="AE677" s="1894">
        <f t="shared" si="296"/>
        <v>0</v>
      </c>
      <c r="AF677" s="1894">
        <v>2039</v>
      </c>
      <c r="AG677" s="1894">
        <v>91.2</v>
      </c>
      <c r="AH677" s="1894">
        <v>1631.2</v>
      </c>
      <c r="AI677" s="1894">
        <v>0.98609999999999998</v>
      </c>
      <c r="AJ677" s="1894">
        <v>22.91</v>
      </c>
      <c r="AK677" s="1894">
        <v>13035</v>
      </c>
      <c r="AL677" s="1894">
        <f t="shared" si="297"/>
        <v>40712</v>
      </c>
      <c r="AM677" s="1894">
        <f t="shared" si="298"/>
        <v>0</v>
      </c>
      <c r="AN677" s="1894">
        <v>2039</v>
      </c>
      <c r="AO677" s="1894">
        <v>0</v>
      </c>
      <c r="AP677" s="1894">
        <v>1631.2</v>
      </c>
      <c r="AQ677" s="1894">
        <v>0</v>
      </c>
      <c r="AR677" s="1894">
        <v>0</v>
      </c>
      <c r="AS677" s="1894">
        <v>0</v>
      </c>
      <c r="AT677" s="1894">
        <f t="shared" si="299"/>
        <v>0</v>
      </c>
      <c r="AU677" s="1894">
        <f t="shared" si="300"/>
        <v>0</v>
      </c>
      <c r="AV677" s="1894">
        <v>2039</v>
      </c>
      <c r="AW677" s="1894">
        <v>0</v>
      </c>
      <c r="AX677" s="1894">
        <v>1631.2</v>
      </c>
      <c r="AY677" s="1894">
        <v>0</v>
      </c>
      <c r="AZ677" s="1894">
        <v>0</v>
      </c>
      <c r="BA677" s="1894">
        <v>0</v>
      </c>
      <c r="BB677" s="1894">
        <f t="shared" si="301"/>
        <v>0</v>
      </c>
      <c r="BC677" s="1894">
        <f t="shared" si="302"/>
        <v>0</v>
      </c>
      <c r="BD677" s="1894">
        <v>2039</v>
      </c>
      <c r="BE677" s="1894">
        <v>0</v>
      </c>
      <c r="BF677" s="1894">
        <v>1631.2</v>
      </c>
      <c r="BG677" s="1894">
        <v>0</v>
      </c>
      <c r="BH677" s="1894">
        <v>0</v>
      </c>
      <c r="BI677" s="1894">
        <v>0</v>
      </c>
      <c r="BJ677" s="1894">
        <f t="shared" si="303"/>
        <v>0</v>
      </c>
      <c r="BK677" s="1894">
        <f t="shared" si="304"/>
        <v>0</v>
      </c>
      <c r="BL677" s="1894">
        <v>2039</v>
      </c>
      <c r="BM677" s="1894">
        <v>0</v>
      </c>
      <c r="BN677" s="1894">
        <v>1631.2</v>
      </c>
      <c r="BO677" s="1894">
        <v>0</v>
      </c>
      <c r="BP677" s="1894">
        <v>0</v>
      </c>
      <c r="BQ677" s="1894">
        <v>0</v>
      </c>
      <c r="BR677" s="1894">
        <f t="shared" si="305"/>
        <v>0</v>
      </c>
      <c r="BS677" s="1894">
        <f t="shared" si="306"/>
        <v>0</v>
      </c>
      <c r="BT677" s="1894">
        <v>2039</v>
      </c>
      <c r="BU677" s="1894">
        <v>0</v>
      </c>
      <c r="BV677" s="1894">
        <v>1631.2</v>
      </c>
      <c r="BW677" s="1894">
        <v>0</v>
      </c>
      <c r="BX677" s="1894">
        <v>0</v>
      </c>
      <c r="BY677" s="1894">
        <v>0</v>
      </c>
      <c r="BZ677" s="1894">
        <f t="shared" si="307"/>
        <v>0</v>
      </c>
      <c r="CA677" s="1894">
        <f t="shared" si="308"/>
        <v>0</v>
      </c>
      <c r="CB677" s="1894">
        <v>2039</v>
      </c>
      <c r="CC677" s="1894">
        <v>0</v>
      </c>
      <c r="CD677" s="1894">
        <v>1631.2</v>
      </c>
      <c r="CE677" s="1894">
        <v>0</v>
      </c>
      <c r="CF677" s="1894">
        <v>0</v>
      </c>
      <c r="CG677" s="1894">
        <v>0</v>
      </c>
      <c r="CH677" s="1894">
        <f t="shared" si="309"/>
        <v>0</v>
      </c>
      <c r="CI677" s="1894">
        <f t="shared" si="310"/>
        <v>0</v>
      </c>
      <c r="CJ677" s="1894">
        <v>2039</v>
      </c>
      <c r="CK677" s="1894">
        <v>0</v>
      </c>
      <c r="CL677" s="1894">
        <v>1631.2</v>
      </c>
      <c r="CM677" s="1894">
        <v>0</v>
      </c>
      <c r="CN677" s="1894">
        <v>0</v>
      </c>
      <c r="CO677" s="1894">
        <v>0</v>
      </c>
      <c r="CP677" s="1894">
        <f t="shared" si="311"/>
        <v>0</v>
      </c>
      <c r="CQ677" s="1894">
        <f t="shared" si="312"/>
        <v>0</v>
      </c>
      <c r="CR677" s="1924">
        <v>2039</v>
      </c>
      <c r="CS677" s="1924">
        <v>0</v>
      </c>
      <c r="CT677" s="1924">
        <v>1631.2</v>
      </c>
      <c r="CU677" s="1924">
        <v>0</v>
      </c>
      <c r="CV677" s="1924">
        <v>0</v>
      </c>
      <c r="CW677" s="1924">
        <v>0</v>
      </c>
      <c r="CX677" s="1894">
        <f t="shared" si="313"/>
        <v>0</v>
      </c>
      <c r="CY677" s="1894">
        <f t="shared" si="314"/>
        <v>0</v>
      </c>
    </row>
    <row r="678" spans="1:103">
      <c r="A678" s="982">
        <v>622000000196</v>
      </c>
      <c r="B678" s="1923">
        <f t="shared" si="315"/>
        <v>23</v>
      </c>
      <c r="C678" s="1895" t="s">
        <v>692</v>
      </c>
      <c r="D678" s="1894" t="s">
        <v>524</v>
      </c>
      <c r="E678" s="1895" t="s">
        <v>541</v>
      </c>
      <c r="F678" s="1894" t="s">
        <v>259</v>
      </c>
      <c r="G678" s="1924">
        <v>2200</v>
      </c>
      <c r="H678" s="1894">
        <v>555</v>
      </c>
      <c r="I678" s="1894">
        <v>254.4</v>
      </c>
      <c r="J678" s="1894">
        <v>444</v>
      </c>
      <c r="K678" s="1894">
        <v>0.9395</v>
      </c>
      <c r="L678" s="1894">
        <v>61.05</v>
      </c>
      <c r="M678" s="1894">
        <v>111822</v>
      </c>
      <c r="N678" s="1894">
        <f t="shared" si="291"/>
        <v>109901</v>
      </c>
      <c r="O678" s="1894">
        <f t="shared" si="292"/>
        <v>1921</v>
      </c>
      <c r="P678" s="1894">
        <v>555</v>
      </c>
      <c r="Q678" s="1894">
        <v>240.96</v>
      </c>
      <c r="R678" s="1894">
        <v>444</v>
      </c>
      <c r="S678" s="1894">
        <v>0.94479999999999997</v>
      </c>
      <c r="T678" s="1894">
        <v>69.87</v>
      </c>
      <c r="U678" s="1894">
        <v>125250</v>
      </c>
      <c r="V678" s="1894">
        <f t="shared" si="293"/>
        <v>107565</v>
      </c>
      <c r="W678" s="1894">
        <f t="shared" si="294"/>
        <v>17685</v>
      </c>
      <c r="X678" s="1894">
        <v>2200</v>
      </c>
      <c r="Y678" s="1894">
        <v>1275.6000000000001</v>
      </c>
      <c r="Z678" s="1894">
        <v>1760</v>
      </c>
      <c r="AA678" s="1894">
        <v>0.95299999999999996</v>
      </c>
      <c r="AB678" s="1894">
        <v>31.53</v>
      </c>
      <c r="AC678" s="1894">
        <v>289575</v>
      </c>
      <c r="AD678" s="1894">
        <f t="shared" si="295"/>
        <v>551059</v>
      </c>
      <c r="AE678" s="1894">
        <f t="shared" si="296"/>
        <v>0</v>
      </c>
      <c r="AF678" s="1894">
        <v>2200</v>
      </c>
      <c r="AG678" s="1894">
        <v>1156.8</v>
      </c>
      <c r="AH678" s="1894">
        <v>1760</v>
      </c>
      <c r="AI678" s="1894">
        <v>0.95420000000000005</v>
      </c>
      <c r="AJ678" s="1894">
        <v>47.46</v>
      </c>
      <c r="AK678" s="1894">
        <v>408450</v>
      </c>
      <c r="AL678" s="1894">
        <f t="shared" si="297"/>
        <v>516396</v>
      </c>
      <c r="AM678" s="1894">
        <f t="shared" si="298"/>
        <v>0</v>
      </c>
      <c r="AN678" s="1894">
        <v>2200</v>
      </c>
      <c r="AO678" s="1894">
        <v>1180.8</v>
      </c>
      <c r="AP678" s="1894">
        <v>1760</v>
      </c>
      <c r="AQ678" s="1894">
        <v>0.95720000000000005</v>
      </c>
      <c r="AR678" s="1894">
        <v>40.869999999999997</v>
      </c>
      <c r="AS678" s="1894">
        <v>359055</v>
      </c>
      <c r="AT678" s="1894">
        <f t="shared" si="299"/>
        <v>527109</v>
      </c>
      <c r="AU678" s="1894">
        <f t="shared" si="300"/>
        <v>0</v>
      </c>
      <c r="AV678" s="1894">
        <v>2200</v>
      </c>
      <c r="AW678" s="1894">
        <v>1310.4000000000001</v>
      </c>
      <c r="AX678" s="1894">
        <v>1760</v>
      </c>
      <c r="AY678" s="1894">
        <v>0.96260000000000001</v>
      </c>
      <c r="AZ678" s="1894">
        <v>44.66</v>
      </c>
      <c r="BA678" s="1894">
        <v>421380</v>
      </c>
      <c r="BB678" s="1894">
        <f t="shared" si="301"/>
        <v>566093</v>
      </c>
      <c r="BC678" s="1894">
        <f t="shared" si="302"/>
        <v>0</v>
      </c>
      <c r="BD678" s="1894">
        <v>2200</v>
      </c>
      <c r="BE678" s="1894">
        <v>1228.8</v>
      </c>
      <c r="BF678" s="1894">
        <v>1760</v>
      </c>
      <c r="BG678" s="1894">
        <v>0.94910000000000005</v>
      </c>
      <c r="BH678" s="1894">
        <v>50.81</v>
      </c>
      <c r="BI678" s="1894">
        <v>464475</v>
      </c>
      <c r="BJ678" s="1894">
        <f t="shared" si="303"/>
        <v>548536</v>
      </c>
      <c r="BK678" s="1894">
        <f t="shared" si="304"/>
        <v>0</v>
      </c>
      <c r="BL678" s="1894">
        <v>2200</v>
      </c>
      <c r="BM678" s="1894">
        <v>1269.6000000000001</v>
      </c>
      <c r="BN678" s="1894">
        <v>1760</v>
      </c>
      <c r="BO678" s="1894">
        <v>0.95079999999999998</v>
      </c>
      <c r="BP678" s="1894">
        <v>53.01</v>
      </c>
      <c r="BQ678" s="1894">
        <v>484605</v>
      </c>
      <c r="BR678" s="1894">
        <f t="shared" si="305"/>
        <v>548467</v>
      </c>
      <c r="BS678" s="1894">
        <f t="shared" si="306"/>
        <v>0</v>
      </c>
      <c r="BT678" s="1894">
        <v>2200</v>
      </c>
      <c r="BU678" s="1894">
        <v>1342.8</v>
      </c>
      <c r="BV678" s="1894">
        <v>1760</v>
      </c>
      <c r="BW678" s="1894">
        <v>0.94589999999999996</v>
      </c>
      <c r="BX678" s="1894">
        <v>52.8</v>
      </c>
      <c r="BY678" s="1894">
        <v>527460</v>
      </c>
      <c r="BZ678" s="1894">
        <f t="shared" si="307"/>
        <v>599426</v>
      </c>
      <c r="CA678" s="1894">
        <f t="shared" si="308"/>
        <v>0</v>
      </c>
      <c r="CB678" s="1894">
        <v>2200</v>
      </c>
      <c r="CC678" s="1894">
        <v>1444.8</v>
      </c>
      <c r="CD678" s="1894">
        <v>1760</v>
      </c>
      <c r="CE678" s="1894">
        <v>0.9446</v>
      </c>
      <c r="CF678" s="1894">
        <v>45.39</v>
      </c>
      <c r="CG678" s="1894">
        <v>487965</v>
      </c>
      <c r="CH678" s="1894">
        <f t="shared" si="309"/>
        <v>644959</v>
      </c>
      <c r="CI678" s="1894">
        <f t="shared" si="310"/>
        <v>0</v>
      </c>
      <c r="CJ678" s="1894">
        <v>2200</v>
      </c>
      <c r="CK678" s="1894">
        <v>1357.2</v>
      </c>
      <c r="CL678" s="1894">
        <v>1760</v>
      </c>
      <c r="CM678" s="1894">
        <v>0.93920000000000003</v>
      </c>
      <c r="CN678" s="1894">
        <v>50.84</v>
      </c>
      <c r="CO678" s="1894">
        <v>463695</v>
      </c>
      <c r="CP678" s="1894">
        <f t="shared" si="311"/>
        <v>547223</v>
      </c>
      <c r="CQ678" s="1894">
        <f t="shared" si="312"/>
        <v>0</v>
      </c>
      <c r="CR678" s="1924">
        <v>2200</v>
      </c>
      <c r="CS678" s="1924">
        <v>1394.3999999999999</v>
      </c>
      <c r="CT678" s="1924">
        <v>1760</v>
      </c>
      <c r="CU678" s="1924">
        <v>0.94630000000000003</v>
      </c>
      <c r="CV678" s="1924">
        <v>48.43</v>
      </c>
      <c r="CW678" s="1924">
        <v>502380</v>
      </c>
      <c r="CX678" s="1894">
        <f t="shared" si="313"/>
        <v>622460</v>
      </c>
      <c r="CY678" s="1894">
        <f t="shared" si="314"/>
        <v>0</v>
      </c>
    </row>
    <row r="679" spans="1:103">
      <c r="A679" s="982">
        <v>622000000172</v>
      </c>
      <c r="B679" s="1923">
        <f t="shared" si="315"/>
        <v>24</v>
      </c>
      <c r="C679" s="1895" t="s">
        <v>684</v>
      </c>
      <c r="D679" s="1894" t="s">
        <v>524</v>
      </c>
      <c r="E679" s="1895" t="s">
        <v>541</v>
      </c>
      <c r="F679" s="1894" t="s">
        <v>259</v>
      </c>
      <c r="G679" s="1924">
        <v>2222</v>
      </c>
      <c r="H679" s="1894">
        <v>2222</v>
      </c>
      <c r="I679" s="1894">
        <v>914.40000000000009</v>
      </c>
      <c r="J679" s="1894">
        <v>1777.6</v>
      </c>
      <c r="K679" s="1894">
        <v>0.95520000000000005</v>
      </c>
      <c r="L679" s="1894">
        <v>44.18</v>
      </c>
      <c r="M679" s="1894">
        <v>300570</v>
      </c>
      <c r="N679" s="1894">
        <f t="shared" si="291"/>
        <v>395021</v>
      </c>
      <c r="O679" s="1894">
        <f t="shared" si="292"/>
        <v>0</v>
      </c>
      <c r="P679" s="1894">
        <v>2222</v>
      </c>
      <c r="Q679" s="1894">
        <v>921.59999999999991</v>
      </c>
      <c r="R679" s="1894">
        <v>1777.6</v>
      </c>
      <c r="S679" s="1894">
        <v>0.94410000000000005</v>
      </c>
      <c r="T679" s="1894">
        <v>42.51</v>
      </c>
      <c r="U679" s="1894">
        <v>272670</v>
      </c>
      <c r="V679" s="1894">
        <f t="shared" si="293"/>
        <v>411402</v>
      </c>
      <c r="W679" s="1894">
        <f t="shared" si="294"/>
        <v>0</v>
      </c>
      <c r="X679" s="1894">
        <v>2222</v>
      </c>
      <c r="Y679" s="1894">
        <v>847.19999999999993</v>
      </c>
      <c r="Z679" s="1894">
        <v>1777.6</v>
      </c>
      <c r="AA679" s="1894">
        <v>0.94669999999999999</v>
      </c>
      <c r="AB679" s="1894">
        <v>47.24</v>
      </c>
      <c r="AC679" s="1894">
        <v>297750</v>
      </c>
      <c r="AD679" s="1894">
        <f t="shared" si="295"/>
        <v>365990</v>
      </c>
      <c r="AE679" s="1894">
        <f t="shared" si="296"/>
        <v>0</v>
      </c>
      <c r="AF679" s="1894">
        <v>2222</v>
      </c>
      <c r="AG679" s="1894">
        <v>837.6</v>
      </c>
      <c r="AH679" s="1894">
        <v>1777.6</v>
      </c>
      <c r="AI679" s="1894">
        <v>0.92730000000000001</v>
      </c>
      <c r="AJ679" s="1894">
        <v>37.020000000000003</v>
      </c>
      <c r="AK679" s="1894">
        <v>215820</v>
      </c>
      <c r="AL679" s="1894">
        <f t="shared" si="297"/>
        <v>373905</v>
      </c>
      <c r="AM679" s="1894">
        <f t="shared" si="298"/>
        <v>0</v>
      </c>
      <c r="AN679" s="1894">
        <v>2222</v>
      </c>
      <c r="AO679" s="1894">
        <v>859.19999999999993</v>
      </c>
      <c r="AP679" s="1894">
        <v>1777.6</v>
      </c>
      <c r="AQ679" s="1894">
        <v>0.94279999999999997</v>
      </c>
      <c r="AR679" s="1894">
        <v>38.72</v>
      </c>
      <c r="AS679" s="1894">
        <v>263490</v>
      </c>
      <c r="AT679" s="1894">
        <f t="shared" si="299"/>
        <v>383547</v>
      </c>
      <c r="AU679" s="1894">
        <f t="shared" si="300"/>
        <v>0</v>
      </c>
      <c r="AV679" s="1894">
        <v>2222</v>
      </c>
      <c r="AW679" s="1894">
        <v>902.40000000000009</v>
      </c>
      <c r="AX679" s="1894">
        <v>1777.6</v>
      </c>
      <c r="AY679" s="1894">
        <v>0.89759999999999995</v>
      </c>
      <c r="AZ679" s="1894">
        <v>41.58</v>
      </c>
      <c r="BA679" s="1894">
        <v>252150</v>
      </c>
      <c r="BB679" s="1894">
        <f t="shared" si="301"/>
        <v>389837</v>
      </c>
      <c r="BC679" s="1894">
        <f t="shared" si="302"/>
        <v>0</v>
      </c>
      <c r="BD679" s="1894">
        <v>2222</v>
      </c>
      <c r="BE679" s="1894">
        <v>859.19999999999993</v>
      </c>
      <c r="BF679" s="1894">
        <v>1777.6</v>
      </c>
      <c r="BG679" s="1894">
        <v>0.9546</v>
      </c>
      <c r="BH679" s="1894">
        <v>43.69</v>
      </c>
      <c r="BI679" s="1894">
        <v>297300</v>
      </c>
      <c r="BJ679" s="1894">
        <f t="shared" si="303"/>
        <v>383547</v>
      </c>
      <c r="BK679" s="1894">
        <f t="shared" si="304"/>
        <v>0</v>
      </c>
      <c r="BL679" s="1894">
        <v>2222</v>
      </c>
      <c r="BM679" s="1894">
        <v>818.4</v>
      </c>
      <c r="BN679" s="1894">
        <v>1777.6</v>
      </c>
      <c r="BO679" s="1894">
        <v>0.96779999999999999</v>
      </c>
      <c r="BP679" s="1894">
        <v>50.7</v>
      </c>
      <c r="BQ679" s="1894">
        <v>308700</v>
      </c>
      <c r="BR679" s="1894">
        <f t="shared" si="305"/>
        <v>353549</v>
      </c>
      <c r="BS679" s="1894">
        <f t="shared" si="306"/>
        <v>0</v>
      </c>
      <c r="BT679" s="1894">
        <v>2222</v>
      </c>
      <c r="BU679" s="1894">
        <v>952.8</v>
      </c>
      <c r="BV679" s="1894">
        <v>1777.6</v>
      </c>
      <c r="BW679" s="1894">
        <v>0.95620000000000005</v>
      </c>
      <c r="BX679" s="1894">
        <v>39.31</v>
      </c>
      <c r="BY679" s="1894">
        <v>269640</v>
      </c>
      <c r="BZ679" s="1894">
        <f t="shared" si="307"/>
        <v>425330</v>
      </c>
      <c r="CA679" s="1894">
        <f t="shared" si="308"/>
        <v>0</v>
      </c>
      <c r="CB679" s="1894">
        <v>2222</v>
      </c>
      <c r="CC679" s="1894">
        <v>772.8</v>
      </c>
      <c r="CD679" s="1894">
        <v>1777.6</v>
      </c>
      <c r="CE679" s="1894">
        <v>0.97030000000000005</v>
      </c>
      <c r="CF679" s="1894">
        <v>34.51</v>
      </c>
      <c r="CG679" s="1894">
        <v>198420</v>
      </c>
      <c r="CH679" s="1894">
        <f t="shared" si="309"/>
        <v>344978</v>
      </c>
      <c r="CI679" s="1894">
        <f t="shared" si="310"/>
        <v>0</v>
      </c>
      <c r="CJ679" s="1894">
        <v>2222</v>
      </c>
      <c r="CK679" s="1894">
        <v>734.4</v>
      </c>
      <c r="CL679" s="1894">
        <v>1777.6</v>
      </c>
      <c r="CM679" s="1894">
        <v>0.96840000000000004</v>
      </c>
      <c r="CN679" s="1894">
        <v>27.49</v>
      </c>
      <c r="CO679" s="1894">
        <v>145350</v>
      </c>
      <c r="CP679" s="1894">
        <f t="shared" si="311"/>
        <v>296110</v>
      </c>
      <c r="CQ679" s="1894">
        <f t="shared" si="312"/>
        <v>0</v>
      </c>
      <c r="CR679" s="1924">
        <v>2222</v>
      </c>
      <c r="CS679" s="1924">
        <v>206.4</v>
      </c>
      <c r="CT679" s="1924">
        <v>1777.6</v>
      </c>
      <c r="CU679" s="1924">
        <v>0.97989999999999999</v>
      </c>
      <c r="CV679" s="1924">
        <v>45.75</v>
      </c>
      <c r="CW679" s="1924">
        <v>70260</v>
      </c>
      <c r="CX679" s="1894">
        <f t="shared" si="313"/>
        <v>92137</v>
      </c>
      <c r="CY679" s="1894">
        <f t="shared" si="314"/>
        <v>0</v>
      </c>
    </row>
    <row r="680" spans="1:103">
      <c r="A680" s="982">
        <v>611000000096</v>
      </c>
      <c r="B680" s="1923">
        <f t="shared" si="315"/>
        <v>25</v>
      </c>
      <c r="C680" s="1895" t="s">
        <v>668</v>
      </c>
      <c r="D680" s="1894" t="s">
        <v>524</v>
      </c>
      <c r="E680" s="1895" t="s">
        <v>541</v>
      </c>
      <c r="F680" s="1894" t="s">
        <v>259</v>
      </c>
      <c r="G680" s="1924">
        <v>2223</v>
      </c>
      <c r="H680" s="1894">
        <v>2223</v>
      </c>
      <c r="I680" s="1894">
        <v>1735.2</v>
      </c>
      <c r="J680" s="1894">
        <v>1778.4</v>
      </c>
      <c r="K680" s="1894">
        <v>0.99490000000000001</v>
      </c>
      <c r="L680" s="1894">
        <v>58.64</v>
      </c>
      <c r="M680" s="1894">
        <v>732585</v>
      </c>
      <c r="N680" s="1894">
        <f t="shared" si="291"/>
        <v>749606</v>
      </c>
      <c r="O680" s="1894">
        <f t="shared" si="292"/>
        <v>0</v>
      </c>
      <c r="P680" s="1894">
        <v>2223</v>
      </c>
      <c r="Q680" s="1894">
        <v>1630.8</v>
      </c>
      <c r="R680" s="1894">
        <v>1778.4</v>
      </c>
      <c r="S680" s="1894">
        <v>0.997</v>
      </c>
      <c r="T680" s="1894">
        <v>54.16</v>
      </c>
      <c r="U680" s="1894">
        <v>657165</v>
      </c>
      <c r="V680" s="1894">
        <f t="shared" si="293"/>
        <v>727989</v>
      </c>
      <c r="W680" s="1894">
        <f t="shared" si="294"/>
        <v>0</v>
      </c>
      <c r="X680" s="1894">
        <v>2223</v>
      </c>
      <c r="Y680" s="1894">
        <v>1801.2</v>
      </c>
      <c r="Z680" s="1894">
        <v>1801.2</v>
      </c>
      <c r="AA680" s="1894">
        <v>0.99370000000000003</v>
      </c>
      <c r="AB680" s="1894">
        <v>54.34</v>
      </c>
      <c r="AC680" s="1894">
        <v>704775</v>
      </c>
      <c r="AD680" s="1894">
        <f t="shared" si="295"/>
        <v>778118</v>
      </c>
      <c r="AE680" s="1894">
        <f t="shared" si="296"/>
        <v>0</v>
      </c>
      <c r="AF680" s="1894">
        <v>2223</v>
      </c>
      <c r="AG680" s="1894">
        <v>1837.2000000000003</v>
      </c>
      <c r="AH680" s="1894">
        <v>1837.2</v>
      </c>
      <c r="AI680" s="1894">
        <v>0.99309999999999998</v>
      </c>
      <c r="AJ680" s="1894">
        <v>59.78</v>
      </c>
      <c r="AK680" s="1894">
        <v>817110</v>
      </c>
      <c r="AL680" s="1894">
        <f t="shared" si="297"/>
        <v>820126</v>
      </c>
      <c r="AM680" s="1894">
        <f t="shared" si="298"/>
        <v>0</v>
      </c>
      <c r="AN680" s="1894">
        <v>2223</v>
      </c>
      <c r="AO680" s="1894">
        <v>1844.4</v>
      </c>
      <c r="AP680" s="1894">
        <v>1844.4</v>
      </c>
      <c r="AQ680" s="1894">
        <v>0.99439999999999995</v>
      </c>
      <c r="AR680" s="1894">
        <v>59.58</v>
      </c>
      <c r="AS680" s="1894">
        <v>817575</v>
      </c>
      <c r="AT680" s="1894">
        <f t="shared" si="299"/>
        <v>823340</v>
      </c>
      <c r="AU680" s="1894">
        <f t="shared" si="300"/>
        <v>0</v>
      </c>
      <c r="AV680" s="1894">
        <v>2223</v>
      </c>
      <c r="AW680" s="1894">
        <v>1742.3999999999999</v>
      </c>
      <c r="AX680" s="1894">
        <v>1778.4</v>
      </c>
      <c r="AY680" s="1894">
        <v>0.99319999999999997</v>
      </c>
      <c r="AZ680" s="1894">
        <v>59.11</v>
      </c>
      <c r="BA680" s="1894">
        <v>741585</v>
      </c>
      <c r="BB680" s="1894">
        <f t="shared" si="301"/>
        <v>752717</v>
      </c>
      <c r="BC680" s="1894">
        <f t="shared" si="302"/>
        <v>0</v>
      </c>
      <c r="BD680" s="1894">
        <v>2223</v>
      </c>
      <c r="BE680" s="1894">
        <v>1930.8</v>
      </c>
      <c r="BF680" s="1894">
        <v>1930.8</v>
      </c>
      <c r="BG680" s="1894">
        <v>0.99160000000000004</v>
      </c>
      <c r="BH680" s="1894">
        <v>57.21</v>
      </c>
      <c r="BI680" s="1894">
        <v>821820</v>
      </c>
      <c r="BJ680" s="1894">
        <f t="shared" si="303"/>
        <v>861909</v>
      </c>
      <c r="BK680" s="1894">
        <f t="shared" si="304"/>
        <v>0</v>
      </c>
      <c r="BL680" s="1894">
        <v>2223</v>
      </c>
      <c r="BM680" s="1894">
        <v>1957.2</v>
      </c>
      <c r="BN680" s="1894">
        <v>1957.2</v>
      </c>
      <c r="BO680" s="1894">
        <v>0.9889</v>
      </c>
      <c r="BP680" s="1894">
        <v>57.79</v>
      </c>
      <c r="BQ680" s="1894">
        <v>814365</v>
      </c>
      <c r="BR680" s="1894">
        <f t="shared" si="305"/>
        <v>845510</v>
      </c>
      <c r="BS680" s="1894">
        <f t="shared" si="306"/>
        <v>0</v>
      </c>
      <c r="BT680" s="1894">
        <v>2223</v>
      </c>
      <c r="BU680" s="1894">
        <v>1938</v>
      </c>
      <c r="BV680" s="1894">
        <v>1938</v>
      </c>
      <c r="BW680" s="1894">
        <v>0.99129999999999996</v>
      </c>
      <c r="BX680" s="1894">
        <v>61.42</v>
      </c>
      <c r="BY680" s="1894">
        <v>885540</v>
      </c>
      <c r="BZ680" s="1894">
        <f t="shared" si="307"/>
        <v>865123</v>
      </c>
      <c r="CA680" s="1894">
        <f t="shared" si="308"/>
        <v>20417</v>
      </c>
      <c r="CB680" s="1894">
        <v>2223</v>
      </c>
      <c r="CC680" s="1894">
        <v>1902</v>
      </c>
      <c r="CD680" s="1894">
        <v>1902</v>
      </c>
      <c r="CE680" s="1894">
        <v>0.99729999999999996</v>
      </c>
      <c r="CF680" s="1894">
        <v>63.52</v>
      </c>
      <c r="CG680" s="1894">
        <v>898920</v>
      </c>
      <c r="CH680" s="1894">
        <f t="shared" si="309"/>
        <v>849053</v>
      </c>
      <c r="CI680" s="1894">
        <f t="shared" si="310"/>
        <v>49867</v>
      </c>
      <c r="CJ680" s="1894">
        <v>2223</v>
      </c>
      <c r="CK680" s="1894">
        <v>1972.8</v>
      </c>
      <c r="CL680" s="1894">
        <v>1972.8</v>
      </c>
      <c r="CM680" s="1894">
        <v>0.99350000000000005</v>
      </c>
      <c r="CN680" s="1894">
        <v>61.77</v>
      </c>
      <c r="CO680" s="1894">
        <v>818955</v>
      </c>
      <c r="CP680" s="1894">
        <f t="shared" si="311"/>
        <v>795433</v>
      </c>
      <c r="CQ680" s="1894">
        <f t="shared" si="312"/>
        <v>23522</v>
      </c>
      <c r="CR680" s="1924">
        <v>2223</v>
      </c>
      <c r="CS680" s="1924">
        <v>1971.6</v>
      </c>
      <c r="CT680" s="1924">
        <v>1971.6</v>
      </c>
      <c r="CU680" s="1924">
        <v>0.99390000000000001</v>
      </c>
      <c r="CV680" s="1924">
        <v>57</v>
      </c>
      <c r="CW680" s="1924">
        <v>836070</v>
      </c>
      <c r="CX680" s="1894">
        <f t="shared" si="313"/>
        <v>880122</v>
      </c>
      <c r="CY680" s="1894">
        <f t="shared" si="314"/>
        <v>0</v>
      </c>
    </row>
    <row r="681" spans="1:103">
      <c r="A681" s="982">
        <v>622000000080</v>
      </c>
      <c r="B681" s="1923">
        <f t="shared" si="315"/>
        <v>26</v>
      </c>
      <c r="C681" s="1895" t="s">
        <v>583</v>
      </c>
      <c r="D681" s="1894" t="s">
        <v>524</v>
      </c>
      <c r="E681" s="1895" t="s">
        <v>541</v>
      </c>
      <c r="F681" s="1894" t="s">
        <v>271</v>
      </c>
      <c r="G681" s="1924">
        <v>2500</v>
      </c>
      <c r="H681" s="1894">
        <v>2500</v>
      </c>
      <c r="I681" s="1894">
        <v>96</v>
      </c>
      <c r="J681" s="1894">
        <v>2000</v>
      </c>
      <c r="K681" s="1894">
        <v>0.89970000000000006</v>
      </c>
      <c r="L681" s="1894">
        <v>74.02</v>
      </c>
      <c r="M681" s="1894">
        <v>56280</v>
      </c>
      <c r="N681" s="1894">
        <f t="shared" si="291"/>
        <v>41472</v>
      </c>
      <c r="O681" s="1894">
        <f t="shared" si="292"/>
        <v>14808</v>
      </c>
      <c r="P681" s="1894">
        <v>2500</v>
      </c>
      <c r="Q681" s="1894">
        <v>8856</v>
      </c>
      <c r="R681" s="1894">
        <v>8856</v>
      </c>
      <c r="S681" s="1894">
        <v>0.85580000000000001</v>
      </c>
      <c r="T681" s="1894">
        <v>4.1100000000000003</v>
      </c>
      <c r="U681" s="1894">
        <v>407160</v>
      </c>
      <c r="V681" s="1894">
        <f t="shared" si="293"/>
        <v>3953318</v>
      </c>
      <c r="W681" s="1894">
        <f t="shared" si="294"/>
        <v>0</v>
      </c>
      <c r="X681" s="1894">
        <v>2500</v>
      </c>
      <c r="Y681" s="1894">
        <v>72</v>
      </c>
      <c r="Z681" s="1894">
        <v>2000</v>
      </c>
      <c r="AA681" s="1894">
        <v>0.93989999999999996</v>
      </c>
      <c r="AB681" s="1894">
        <v>53.94</v>
      </c>
      <c r="AC681" s="1894">
        <v>27960</v>
      </c>
      <c r="AD681" s="1894">
        <f t="shared" si="295"/>
        <v>31104</v>
      </c>
      <c r="AE681" s="1894">
        <f t="shared" si="296"/>
        <v>0</v>
      </c>
      <c r="AF681" s="1894">
        <v>2500</v>
      </c>
      <c r="AG681" s="1894">
        <v>4800</v>
      </c>
      <c r="AH681" s="1894">
        <v>4800</v>
      </c>
      <c r="AI681" s="1894">
        <v>0.8528</v>
      </c>
      <c r="AJ681" s="1894">
        <v>1.23</v>
      </c>
      <c r="AK681" s="1894">
        <v>44040</v>
      </c>
      <c r="AL681" s="1894">
        <f t="shared" si="297"/>
        <v>2142720</v>
      </c>
      <c r="AM681" s="1894">
        <f t="shared" si="298"/>
        <v>0</v>
      </c>
      <c r="AN681" s="1894">
        <v>2500</v>
      </c>
      <c r="AO681" s="1894">
        <v>1440</v>
      </c>
      <c r="AP681" s="1894">
        <v>2000</v>
      </c>
      <c r="AQ681" s="1894">
        <v>0.97529999999999994</v>
      </c>
      <c r="AR681" s="1894">
        <v>8.19</v>
      </c>
      <c r="AS681" s="1894">
        <v>87720</v>
      </c>
      <c r="AT681" s="1894">
        <f t="shared" si="299"/>
        <v>642816</v>
      </c>
      <c r="AU681" s="1894">
        <f t="shared" si="300"/>
        <v>0</v>
      </c>
      <c r="AV681" s="1894">
        <v>2500</v>
      </c>
      <c r="AW681" s="1894">
        <v>4809.5999999999995</v>
      </c>
      <c r="AX681" s="1894">
        <v>4809.6000000000004</v>
      </c>
      <c r="AY681" s="1894">
        <v>0.92459999999999998</v>
      </c>
      <c r="AZ681" s="1894">
        <v>12.65</v>
      </c>
      <c r="BA681" s="1894">
        <v>439440</v>
      </c>
      <c r="BB681" s="1894">
        <f t="shared" si="301"/>
        <v>2077747</v>
      </c>
      <c r="BC681" s="1894">
        <f t="shared" si="302"/>
        <v>0</v>
      </c>
      <c r="BD681" s="1894">
        <v>2500</v>
      </c>
      <c r="BE681" s="1894">
        <v>9840</v>
      </c>
      <c r="BF681" s="1894">
        <v>9840</v>
      </c>
      <c r="BG681" s="1894">
        <v>0.92759999999999998</v>
      </c>
      <c r="BH681" s="1894">
        <v>2.42</v>
      </c>
      <c r="BI681" s="1894">
        <v>177480</v>
      </c>
      <c r="BJ681" s="1894">
        <f t="shared" si="303"/>
        <v>4392576</v>
      </c>
      <c r="BK681" s="1894">
        <f t="shared" si="304"/>
        <v>0</v>
      </c>
      <c r="BL681" s="1894">
        <v>2500</v>
      </c>
      <c r="BM681" s="1894">
        <v>9840</v>
      </c>
      <c r="BN681" s="1894">
        <v>9624</v>
      </c>
      <c r="BO681" s="1894">
        <v>0.89549999999999996</v>
      </c>
      <c r="BP681" s="1894">
        <v>12.23</v>
      </c>
      <c r="BQ681" s="1894">
        <v>1039680</v>
      </c>
      <c r="BR681" s="1894">
        <f t="shared" si="305"/>
        <v>4250880</v>
      </c>
      <c r="BS681" s="1894">
        <f t="shared" si="306"/>
        <v>0</v>
      </c>
      <c r="BT681" s="1894">
        <v>2500</v>
      </c>
      <c r="BU681" s="1894">
        <v>8352</v>
      </c>
      <c r="BV681" s="1894">
        <v>8352</v>
      </c>
      <c r="BW681" s="1894">
        <v>0.88660000000000005</v>
      </c>
      <c r="BX681" s="1894">
        <v>6.94</v>
      </c>
      <c r="BY681" s="1894">
        <v>455400</v>
      </c>
      <c r="BZ681" s="1894">
        <f t="shared" si="307"/>
        <v>3728333</v>
      </c>
      <c r="CA681" s="1894">
        <f t="shared" si="308"/>
        <v>0</v>
      </c>
      <c r="CB681" s="1894">
        <v>2500</v>
      </c>
      <c r="CC681" s="1894">
        <v>7056</v>
      </c>
      <c r="CD681" s="1894">
        <v>7056</v>
      </c>
      <c r="CE681" s="1894">
        <v>0.88670000000000004</v>
      </c>
      <c r="CF681" s="1894">
        <v>6.08</v>
      </c>
      <c r="CG681" s="1894">
        <v>318960</v>
      </c>
      <c r="CH681" s="1894">
        <f t="shared" si="309"/>
        <v>3149798</v>
      </c>
      <c r="CI681" s="1894">
        <f t="shared" si="310"/>
        <v>0</v>
      </c>
      <c r="CJ681" s="1894">
        <v>2500</v>
      </c>
      <c r="CK681" s="1894">
        <v>5016</v>
      </c>
      <c r="CL681" s="1894">
        <v>5016</v>
      </c>
      <c r="CM681" s="1894">
        <v>0.90959999999999996</v>
      </c>
      <c r="CN681" s="1894">
        <v>2.29</v>
      </c>
      <c r="CO681" s="1894">
        <v>77040</v>
      </c>
      <c r="CP681" s="1894">
        <f t="shared" si="311"/>
        <v>2022451</v>
      </c>
      <c r="CQ681" s="1894">
        <f t="shared" si="312"/>
        <v>0</v>
      </c>
      <c r="CR681" s="1924">
        <v>2500</v>
      </c>
      <c r="CS681" s="1924">
        <v>432</v>
      </c>
      <c r="CT681" s="1924">
        <v>2000</v>
      </c>
      <c r="CU681" s="1924">
        <v>0.90549999999999997</v>
      </c>
      <c r="CV681" s="1924">
        <v>19.38</v>
      </c>
      <c r="CW681" s="1924">
        <v>62280</v>
      </c>
      <c r="CX681" s="1894">
        <f t="shared" si="313"/>
        <v>192845</v>
      </c>
      <c r="CY681" s="1894">
        <f t="shared" si="314"/>
        <v>0</v>
      </c>
    </row>
    <row r="682" spans="1:103">
      <c r="A682" s="982">
        <v>611000000123</v>
      </c>
      <c r="B682" s="1923">
        <f t="shared" si="315"/>
        <v>27</v>
      </c>
      <c r="C682" s="1895" t="s">
        <v>716</v>
      </c>
      <c r="D682" s="1894" t="s">
        <v>524</v>
      </c>
      <c r="E682" s="1895" t="s">
        <v>709</v>
      </c>
      <c r="F682" s="1894" t="s">
        <v>259</v>
      </c>
      <c r="G682" s="1924">
        <v>2913</v>
      </c>
      <c r="H682" s="1894">
        <v>0</v>
      </c>
      <c r="I682" s="1894">
        <v>0</v>
      </c>
      <c r="J682" s="1894">
        <v>0</v>
      </c>
      <c r="K682" s="1894">
        <v>0</v>
      </c>
      <c r="L682" s="1894">
        <v>0</v>
      </c>
      <c r="M682" s="1894">
        <v>0</v>
      </c>
      <c r="N682" s="1894">
        <f t="shared" si="291"/>
        <v>0</v>
      </c>
      <c r="O682" s="1894">
        <f t="shared" si="292"/>
        <v>0</v>
      </c>
      <c r="P682" s="1894">
        <v>0</v>
      </c>
      <c r="Q682" s="1894">
        <v>0</v>
      </c>
      <c r="R682" s="1894">
        <v>0</v>
      </c>
      <c r="S682" s="1894">
        <v>0</v>
      </c>
      <c r="T682" s="1894">
        <v>0</v>
      </c>
      <c r="U682" s="1894">
        <v>0</v>
      </c>
      <c r="V682" s="1894">
        <f t="shared" si="293"/>
        <v>0</v>
      </c>
      <c r="W682" s="1894">
        <f t="shared" si="294"/>
        <v>0</v>
      </c>
      <c r="X682" s="1894">
        <v>0</v>
      </c>
      <c r="Y682" s="1894">
        <v>0</v>
      </c>
      <c r="Z682" s="1894">
        <v>0</v>
      </c>
      <c r="AA682" s="1894">
        <v>0</v>
      </c>
      <c r="AB682" s="1894">
        <v>0</v>
      </c>
      <c r="AC682" s="1894">
        <v>0</v>
      </c>
      <c r="AD682" s="1894">
        <f t="shared" si="295"/>
        <v>0</v>
      </c>
      <c r="AE682" s="1894">
        <f t="shared" si="296"/>
        <v>0</v>
      </c>
      <c r="AF682" s="1894">
        <v>0</v>
      </c>
      <c r="AG682" s="1894">
        <v>0</v>
      </c>
      <c r="AH682" s="1894">
        <v>0</v>
      </c>
      <c r="AI682" s="1894">
        <v>0</v>
      </c>
      <c r="AJ682" s="1894">
        <v>0</v>
      </c>
      <c r="AK682" s="1894">
        <v>0</v>
      </c>
      <c r="AL682" s="1894">
        <f t="shared" si="297"/>
        <v>0</v>
      </c>
      <c r="AM682" s="1894">
        <f t="shared" si="298"/>
        <v>0</v>
      </c>
      <c r="AN682" s="1894">
        <v>0</v>
      </c>
      <c r="AO682" s="1894">
        <v>0</v>
      </c>
      <c r="AP682" s="1894">
        <v>0</v>
      </c>
      <c r="AQ682" s="1894">
        <v>0</v>
      </c>
      <c r="AR682" s="1894">
        <v>0</v>
      </c>
      <c r="AS682" s="1894">
        <v>0</v>
      </c>
      <c r="AT682" s="1894">
        <f t="shared" si="299"/>
        <v>0</v>
      </c>
      <c r="AU682" s="1894">
        <f t="shared" si="300"/>
        <v>0</v>
      </c>
      <c r="AV682" s="1894">
        <v>0</v>
      </c>
      <c r="AW682" s="1894">
        <v>0</v>
      </c>
      <c r="AX682" s="1894">
        <v>0</v>
      </c>
      <c r="AY682" s="1894">
        <v>0</v>
      </c>
      <c r="AZ682" s="1894">
        <v>0</v>
      </c>
      <c r="BA682" s="1894">
        <v>0</v>
      </c>
      <c r="BB682" s="1894">
        <f t="shared" si="301"/>
        <v>0</v>
      </c>
      <c r="BC682" s="1894">
        <f t="shared" si="302"/>
        <v>0</v>
      </c>
      <c r="BD682" s="1894">
        <v>0</v>
      </c>
      <c r="BE682" s="1894">
        <v>0</v>
      </c>
      <c r="BF682" s="1894">
        <v>0</v>
      </c>
      <c r="BG682" s="1894">
        <v>0</v>
      </c>
      <c r="BH682" s="1894">
        <v>0</v>
      </c>
      <c r="BI682" s="1894">
        <v>0</v>
      </c>
      <c r="BJ682" s="1894">
        <f t="shared" si="303"/>
        <v>0</v>
      </c>
      <c r="BK682" s="1894">
        <f t="shared" si="304"/>
        <v>0</v>
      </c>
      <c r="BL682" s="1894">
        <v>0</v>
      </c>
      <c r="BM682" s="1894">
        <v>0</v>
      </c>
      <c r="BN682" s="1894">
        <v>0</v>
      </c>
      <c r="BO682" s="1894">
        <v>0</v>
      </c>
      <c r="BP682" s="1894">
        <v>0</v>
      </c>
      <c r="BQ682" s="1894">
        <v>0</v>
      </c>
      <c r="BR682" s="1894">
        <f t="shared" si="305"/>
        <v>0</v>
      </c>
      <c r="BS682" s="1894">
        <f t="shared" si="306"/>
        <v>0</v>
      </c>
      <c r="BT682" s="1894">
        <v>0</v>
      </c>
      <c r="BU682" s="1894">
        <v>0</v>
      </c>
      <c r="BV682" s="1894">
        <v>0</v>
      </c>
      <c r="BW682" s="1894">
        <v>0</v>
      </c>
      <c r="BX682" s="1894">
        <v>0</v>
      </c>
      <c r="BY682" s="1894">
        <v>0</v>
      </c>
      <c r="BZ682" s="1894">
        <f t="shared" si="307"/>
        <v>0</v>
      </c>
      <c r="CA682" s="1894">
        <f t="shared" si="308"/>
        <v>0</v>
      </c>
      <c r="CB682" s="1894">
        <v>2913</v>
      </c>
      <c r="CC682" s="1894">
        <v>830.4</v>
      </c>
      <c r="CD682" s="1894">
        <v>2330.4</v>
      </c>
      <c r="CE682" s="1894">
        <v>0.78320000000000001</v>
      </c>
      <c r="CF682" s="1894">
        <v>1.52</v>
      </c>
      <c r="CG682" s="1894">
        <v>7890</v>
      </c>
      <c r="CH682" s="1894">
        <f t="shared" si="309"/>
        <v>370691</v>
      </c>
      <c r="CI682" s="1894">
        <f t="shared" si="310"/>
        <v>0</v>
      </c>
      <c r="CJ682" s="1894">
        <v>2913</v>
      </c>
      <c r="CK682" s="1894">
        <v>691.19999999999993</v>
      </c>
      <c r="CL682" s="1894">
        <v>2330.4</v>
      </c>
      <c r="CM682" s="1894">
        <v>0.83589999999999998</v>
      </c>
      <c r="CN682" s="1894">
        <v>2.09</v>
      </c>
      <c r="CO682" s="1894">
        <v>9690</v>
      </c>
      <c r="CP682" s="1894">
        <f t="shared" si="311"/>
        <v>278692</v>
      </c>
      <c r="CQ682" s="1894">
        <f t="shared" si="312"/>
        <v>0</v>
      </c>
      <c r="CR682" s="1924">
        <v>2913</v>
      </c>
      <c r="CS682" s="1924">
        <v>24</v>
      </c>
      <c r="CT682" s="1924">
        <v>2330.4</v>
      </c>
      <c r="CU682" s="1924">
        <v>1</v>
      </c>
      <c r="CV682" s="1924">
        <v>50.91</v>
      </c>
      <c r="CW682" s="1924">
        <v>9090</v>
      </c>
      <c r="CX682" s="1894">
        <f t="shared" si="313"/>
        <v>10714</v>
      </c>
      <c r="CY682" s="1894">
        <f t="shared" si="314"/>
        <v>0</v>
      </c>
    </row>
    <row r="683" spans="1:103">
      <c r="A683" s="982">
        <v>122000000005</v>
      </c>
      <c r="B683" s="1923">
        <f t="shared" si="315"/>
        <v>28</v>
      </c>
      <c r="C683" s="1895" t="s">
        <v>635</v>
      </c>
      <c r="D683" s="1894" t="s">
        <v>524</v>
      </c>
      <c r="E683" s="1895" t="s">
        <v>636</v>
      </c>
      <c r="F683" s="1894" t="s">
        <v>259</v>
      </c>
      <c r="G683" s="1924">
        <v>3000</v>
      </c>
      <c r="H683" s="1894">
        <v>3000</v>
      </c>
      <c r="I683" s="1894">
        <v>3115.2</v>
      </c>
      <c r="J683" s="1894">
        <v>3115.2</v>
      </c>
      <c r="K683" s="1894">
        <v>0.99439999999999995</v>
      </c>
      <c r="L683" s="1894">
        <v>37.71</v>
      </c>
      <c r="M683" s="1894">
        <v>845789.41</v>
      </c>
      <c r="N683" s="1894">
        <f t="shared" si="291"/>
        <v>1345766</v>
      </c>
      <c r="O683" s="1894">
        <f t="shared" si="292"/>
        <v>0</v>
      </c>
      <c r="P683" s="1894">
        <v>3000</v>
      </c>
      <c r="Q683" s="1894">
        <v>3177.6</v>
      </c>
      <c r="R683" s="1894">
        <v>3177.6</v>
      </c>
      <c r="S683" s="1894">
        <v>0.99350000000000005</v>
      </c>
      <c r="T683" s="1894">
        <v>39.71</v>
      </c>
      <c r="U683" s="1894">
        <v>938834</v>
      </c>
      <c r="V683" s="1894">
        <f t="shared" si="293"/>
        <v>1418481</v>
      </c>
      <c r="W683" s="1894">
        <f t="shared" si="294"/>
        <v>0</v>
      </c>
      <c r="X683" s="1894">
        <v>3000</v>
      </c>
      <c r="Y683" s="1894">
        <v>3364.7999999999997</v>
      </c>
      <c r="Z683" s="1894">
        <v>3364.8</v>
      </c>
      <c r="AA683" s="1894">
        <v>0.99170000000000003</v>
      </c>
      <c r="AB683" s="1894">
        <v>40.03</v>
      </c>
      <c r="AC683" s="1894">
        <v>969784.2</v>
      </c>
      <c r="AD683" s="1894">
        <f t="shared" si="295"/>
        <v>1453594</v>
      </c>
      <c r="AE683" s="1894">
        <f t="shared" si="296"/>
        <v>0</v>
      </c>
      <c r="AF683" s="1894">
        <v>3000</v>
      </c>
      <c r="AG683" s="1894">
        <v>2916</v>
      </c>
      <c r="AH683" s="1894">
        <v>2916</v>
      </c>
      <c r="AI683" s="1894">
        <v>0.99439999999999995</v>
      </c>
      <c r="AJ683" s="1894">
        <v>40.17</v>
      </c>
      <c r="AK683" s="1894">
        <v>871558</v>
      </c>
      <c r="AL683" s="1894">
        <f t="shared" si="297"/>
        <v>1301702</v>
      </c>
      <c r="AM683" s="1894">
        <f t="shared" si="298"/>
        <v>0</v>
      </c>
      <c r="AN683" s="1894">
        <v>3000</v>
      </c>
      <c r="AO683" s="1894">
        <v>3028.8</v>
      </c>
      <c r="AP683" s="1894">
        <v>3028.8</v>
      </c>
      <c r="AQ683" s="1894">
        <v>0.9859</v>
      </c>
      <c r="AR683" s="1894">
        <v>37.9</v>
      </c>
      <c r="AS683" s="1894">
        <v>853950</v>
      </c>
      <c r="AT683" s="1894">
        <f t="shared" si="299"/>
        <v>1352056</v>
      </c>
      <c r="AU683" s="1894">
        <f t="shared" si="300"/>
        <v>0</v>
      </c>
      <c r="AV683" s="1894">
        <v>3000</v>
      </c>
      <c r="AW683" s="1894">
        <v>3168</v>
      </c>
      <c r="AX683" s="1894">
        <v>3168</v>
      </c>
      <c r="AY683" s="1894">
        <v>0.98399999999999999</v>
      </c>
      <c r="AZ683" s="1894">
        <v>40.06</v>
      </c>
      <c r="BA683" s="1894">
        <v>913770</v>
      </c>
      <c r="BB683" s="1894">
        <f t="shared" si="301"/>
        <v>1368576</v>
      </c>
      <c r="BC683" s="1894">
        <f t="shared" si="302"/>
        <v>0</v>
      </c>
      <c r="BD683" s="1894">
        <v>3000</v>
      </c>
      <c r="BE683" s="1894">
        <v>2817.6</v>
      </c>
      <c r="BF683" s="1894">
        <v>2817.6</v>
      </c>
      <c r="BG683" s="1894">
        <v>0.9859</v>
      </c>
      <c r="BH683" s="1894">
        <v>33.71</v>
      </c>
      <c r="BI683" s="1894">
        <v>706650</v>
      </c>
      <c r="BJ683" s="1894">
        <f t="shared" si="303"/>
        <v>1257777</v>
      </c>
      <c r="BK683" s="1894">
        <f t="shared" si="304"/>
        <v>0</v>
      </c>
      <c r="BL683" s="1894">
        <v>3000</v>
      </c>
      <c r="BM683" s="1894">
        <v>1891.1999999999998</v>
      </c>
      <c r="BN683" s="1894">
        <v>2400</v>
      </c>
      <c r="BO683" s="1894">
        <v>0.97219999999999995</v>
      </c>
      <c r="BP683" s="1894">
        <v>38.619999999999997</v>
      </c>
      <c r="BQ683" s="1894">
        <v>525840</v>
      </c>
      <c r="BR683" s="1894">
        <f t="shared" si="305"/>
        <v>816998</v>
      </c>
      <c r="BS683" s="1894">
        <f t="shared" si="306"/>
        <v>0</v>
      </c>
      <c r="BT683" s="1894">
        <v>3000</v>
      </c>
      <c r="BU683" s="1894">
        <v>1293.6000000000001</v>
      </c>
      <c r="BV683" s="1894">
        <v>2400</v>
      </c>
      <c r="BW683" s="1894">
        <v>0.99919999999999998</v>
      </c>
      <c r="BX683" s="1894">
        <v>48.94</v>
      </c>
      <c r="BY683" s="1894">
        <v>470970</v>
      </c>
      <c r="BZ683" s="1894">
        <f t="shared" si="307"/>
        <v>577463</v>
      </c>
      <c r="CA683" s="1894">
        <f t="shared" si="308"/>
        <v>0</v>
      </c>
      <c r="CB683" s="1894">
        <v>3000</v>
      </c>
      <c r="CC683" s="1894">
        <v>1161.5999999999999</v>
      </c>
      <c r="CD683" s="1894">
        <v>2400</v>
      </c>
      <c r="CE683" s="1894">
        <v>0.99980000000000002</v>
      </c>
      <c r="CF683" s="1894">
        <v>53.58</v>
      </c>
      <c r="CG683" s="1894">
        <v>463020</v>
      </c>
      <c r="CH683" s="1894">
        <f t="shared" si="309"/>
        <v>518538</v>
      </c>
      <c r="CI683" s="1894">
        <f t="shared" si="310"/>
        <v>0</v>
      </c>
      <c r="CJ683" s="1894">
        <v>3000</v>
      </c>
      <c r="CK683" s="1894">
        <v>1970.4</v>
      </c>
      <c r="CL683" s="1894">
        <v>2400</v>
      </c>
      <c r="CM683" s="1894">
        <v>1.0241</v>
      </c>
      <c r="CN683" s="1894">
        <v>36.44</v>
      </c>
      <c r="CO683" s="1894">
        <v>482490</v>
      </c>
      <c r="CP683" s="1894">
        <f t="shared" si="311"/>
        <v>794465</v>
      </c>
      <c r="CQ683" s="1894">
        <f t="shared" si="312"/>
        <v>0</v>
      </c>
      <c r="CR683" s="1924">
        <v>3000</v>
      </c>
      <c r="CS683" s="1924">
        <v>2169.6</v>
      </c>
      <c r="CT683" s="1924">
        <v>2400</v>
      </c>
      <c r="CU683" s="1924">
        <v>0.99519999999999997</v>
      </c>
      <c r="CV683" s="1924">
        <v>40.68</v>
      </c>
      <c r="CW683" s="1924">
        <v>656670</v>
      </c>
      <c r="CX683" s="1894">
        <f t="shared" si="313"/>
        <v>968509</v>
      </c>
      <c r="CY683" s="1894">
        <f t="shared" si="314"/>
        <v>0</v>
      </c>
    </row>
    <row r="684" spans="1:103">
      <c r="A684" s="982">
        <v>126000000034</v>
      </c>
      <c r="B684" s="1923">
        <f t="shared" si="315"/>
        <v>29</v>
      </c>
      <c r="C684" s="1895" t="s">
        <v>626</v>
      </c>
      <c r="D684" s="1894" t="s">
        <v>524</v>
      </c>
      <c r="E684" s="1895" t="s">
        <v>623</v>
      </c>
      <c r="F684" s="1894" t="s">
        <v>259</v>
      </c>
      <c r="G684" s="1924">
        <v>3000</v>
      </c>
      <c r="H684" s="1894">
        <v>3000</v>
      </c>
      <c r="I684" s="1894">
        <v>2457.6</v>
      </c>
      <c r="J684" s="1894">
        <v>3000</v>
      </c>
      <c r="K684" s="1894">
        <v>0.99809999999999999</v>
      </c>
      <c r="L684" s="1894">
        <v>0</v>
      </c>
      <c r="M684" s="1894">
        <v>1216950</v>
      </c>
      <c r="N684" s="1894">
        <f t="shared" si="291"/>
        <v>1061683</v>
      </c>
      <c r="O684" s="1894">
        <f t="shared" si="292"/>
        <v>155267</v>
      </c>
      <c r="P684" s="1894">
        <v>3000</v>
      </c>
      <c r="Q684" s="1894">
        <v>2748</v>
      </c>
      <c r="R684" s="1894">
        <v>3000</v>
      </c>
      <c r="S684" s="1894">
        <v>0.98909999999999998</v>
      </c>
      <c r="T684" s="1894">
        <v>0</v>
      </c>
      <c r="U684" s="1894">
        <v>1443720</v>
      </c>
      <c r="V684" s="1894">
        <f t="shared" si="293"/>
        <v>1226707</v>
      </c>
      <c r="W684" s="1894">
        <f t="shared" si="294"/>
        <v>217013</v>
      </c>
      <c r="X684" s="1894">
        <v>3000</v>
      </c>
      <c r="Y684" s="1894">
        <v>2781.6</v>
      </c>
      <c r="Z684" s="1894">
        <v>3000</v>
      </c>
      <c r="AA684" s="1894">
        <v>0.9456</v>
      </c>
      <c r="AB684" s="1894">
        <v>0</v>
      </c>
      <c r="AC684" s="1894">
        <v>1365210</v>
      </c>
      <c r="AD684" s="1894">
        <f t="shared" si="295"/>
        <v>1201651</v>
      </c>
      <c r="AE684" s="1894">
        <f t="shared" si="296"/>
        <v>163559</v>
      </c>
      <c r="AF684" s="1894">
        <v>3000</v>
      </c>
      <c r="AG684" s="1894">
        <v>2479.2000000000003</v>
      </c>
      <c r="AH684" s="1894">
        <v>3000</v>
      </c>
      <c r="AI684" s="1894">
        <v>0.99960000000000004</v>
      </c>
      <c r="AJ684" s="1894">
        <v>0</v>
      </c>
      <c r="AK684" s="1894">
        <v>1339680</v>
      </c>
      <c r="AL684" s="1894">
        <f t="shared" si="297"/>
        <v>1106715</v>
      </c>
      <c r="AM684" s="1894">
        <f t="shared" si="298"/>
        <v>232965</v>
      </c>
      <c r="AN684" s="1894">
        <v>3000</v>
      </c>
      <c r="AO684" s="1894">
        <v>2318.4</v>
      </c>
      <c r="AP684" s="1894">
        <v>3000</v>
      </c>
      <c r="AQ684" s="1894">
        <v>0.99960000000000004</v>
      </c>
      <c r="AR684" s="1894">
        <v>0</v>
      </c>
      <c r="AS684" s="1894">
        <v>1140330</v>
      </c>
      <c r="AT684" s="1894">
        <f t="shared" si="299"/>
        <v>1034934</v>
      </c>
      <c r="AU684" s="1894">
        <f t="shared" si="300"/>
        <v>105396</v>
      </c>
      <c r="AV684" s="1894">
        <v>3000</v>
      </c>
      <c r="AW684" s="1894">
        <v>2256</v>
      </c>
      <c r="AX684" s="1894">
        <v>3000</v>
      </c>
      <c r="AY684" s="1894">
        <v>0.99929999999999997</v>
      </c>
      <c r="AZ684" s="1894">
        <v>0</v>
      </c>
      <c r="BA684" s="1894">
        <v>1075560</v>
      </c>
      <c r="BB684" s="1894">
        <f t="shared" si="301"/>
        <v>974592</v>
      </c>
      <c r="BC684" s="1894">
        <f t="shared" si="302"/>
        <v>100968</v>
      </c>
      <c r="BD684" s="1894">
        <v>3000</v>
      </c>
      <c r="BE684" s="1894">
        <v>2248.8000000000002</v>
      </c>
      <c r="BF684" s="1894">
        <v>3000</v>
      </c>
      <c r="BG684" s="1894">
        <v>0.99960000000000004</v>
      </c>
      <c r="BH684" s="1894">
        <v>0</v>
      </c>
      <c r="BI684" s="1894">
        <v>1022400</v>
      </c>
      <c r="BJ684" s="1894">
        <f t="shared" si="303"/>
        <v>1003864</v>
      </c>
      <c r="BK684" s="1894">
        <f t="shared" si="304"/>
        <v>18536</v>
      </c>
      <c r="BL684" s="1894">
        <v>3000</v>
      </c>
      <c r="BM684" s="1894">
        <v>2064</v>
      </c>
      <c r="BN684" s="1894">
        <v>3000</v>
      </c>
      <c r="BO684" s="1894">
        <v>0.99980000000000002</v>
      </c>
      <c r="BP684" s="1894">
        <v>0</v>
      </c>
      <c r="BQ684" s="1894">
        <v>581130</v>
      </c>
      <c r="BR684" s="1894">
        <f t="shared" si="305"/>
        <v>891648</v>
      </c>
      <c r="BS684" s="1894">
        <f t="shared" si="306"/>
        <v>0</v>
      </c>
      <c r="BT684" s="1894">
        <v>3000</v>
      </c>
      <c r="BU684" s="1894">
        <v>1171.2</v>
      </c>
      <c r="BV684" s="1894">
        <v>3000</v>
      </c>
      <c r="BW684" s="1894">
        <v>1</v>
      </c>
      <c r="BX684" s="1894">
        <v>0</v>
      </c>
      <c r="BY684" s="1894">
        <v>493530</v>
      </c>
      <c r="BZ684" s="1894">
        <f t="shared" si="307"/>
        <v>522824</v>
      </c>
      <c r="CA684" s="1894">
        <f t="shared" si="308"/>
        <v>0</v>
      </c>
      <c r="CB684" s="1894">
        <v>3000</v>
      </c>
      <c r="CC684" s="1894">
        <v>1627.2</v>
      </c>
      <c r="CD684" s="1894">
        <v>3000</v>
      </c>
      <c r="CE684" s="1894">
        <v>0.99980000000000002</v>
      </c>
      <c r="CF684" s="1894">
        <v>0</v>
      </c>
      <c r="CG684" s="1894">
        <v>502050</v>
      </c>
      <c r="CH684" s="1894">
        <f t="shared" si="309"/>
        <v>726382</v>
      </c>
      <c r="CI684" s="1894">
        <f t="shared" si="310"/>
        <v>0</v>
      </c>
      <c r="CJ684" s="1894">
        <v>3000</v>
      </c>
      <c r="CK684" s="1894">
        <v>1809.6</v>
      </c>
      <c r="CL684" s="1894">
        <v>3000</v>
      </c>
      <c r="CM684" s="1894">
        <v>1</v>
      </c>
      <c r="CN684" s="1894">
        <v>0</v>
      </c>
      <c r="CO684" s="1894">
        <v>578730</v>
      </c>
      <c r="CP684" s="1894">
        <f t="shared" si="311"/>
        <v>729631</v>
      </c>
      <c r="CQ684" s="1894">
        <f t="shared" si="312"/>
        <v>0</v>
      </c>
      <c r="CR684" s="1924">
        <v>3000</v>
      </c>
      <c r="CS684" s="1924">
        <v>1651.2</v>
      </c>
      <c r="CT684" s="1924">
        <v>3000</v>
      </c>
      <c r="CU684" s="1924">
        <v>0.99980000000000002</v>
      </c>
      <c r="CV684" s="1924">
        <v>0</v>
      </c>
      <c r="CW684" s="1924">
        <v>577320</v>
      </c>
      <c r="CX684" s="1894">
        <f t="shared" si="313"/>
        <v>737096</v>
      </c>
      <c r="CY684" s="1894">
        <f t="shared" si="314"/>
        <v>0</v>
      </c>
    </row>
    <row r="685" spans="1:103">
      <c r="A685" s="982">
        <v>125000000048</v>
      </c>
      <c r="B685" s="1923">
        <f t="shared" si="315"/>
        <v>30</v>
      </c>
      <c r="C685" s="1895" t="s">
        <v>658</v>
      </c>
      <c r="D685" s="1894" t="s">
        <v>524</v>
      </c>
      <c r="E685" s="1895" t="s">
        <v>541</v>
      </c>
      <c r="F685" s="1894" t="s">
        <v>259</v>
      </c>
      <c r="G685" s="1924">
        <v>3500</v>
      </c>
      <c r="H685" s="1894">
        <v>0</v>
      </c>
      <c r="I685" s="1894">
        <v>0</v>
      </c>
      <c r="J685" s="1894">
        <v>0</v>
      </c>
      <c r="K685" s="1894">
        <v>0</v>
      </c>
      <c r="L685" s="1894">
        <v>0</v>
      </c>
      <c r="M685" s="1894">
        <v>0</v>
      </c>
      <c r="N685" s="1894">
        <f t="shared" si="291"/>
        <v>0</v>
      </c>
      <c r="O685" s="1894">
        <f t="shared" si="292"/>
        <v>0</v>
      </c>
      <c r="P685" s="1894">
        <v>0</v>
      </c>
      <c r="Q685" s="1894">
        <v>0</v>
      </c>
      <c r="R685" s="1894">
        <v>0</v>
      </c>
      <c r="S685" s="1894">
        <v>0</v>
      </c>
      <c r="T685" s="1894">
        <v>0</v>
      </c>
      <c r="U685" s="1894">
        <v>0</v>
      </c>
      <c r="V685" s="1894">
        <f t="shared" si="293"/>
        <v>0</v>
      </c>
      <c r="W685" s="1894">
        <f t="shared" si="294"/>
        <v>0</v>
      </c>
      <c r="X685" s="1894">
        <v>0</v>
      </c>
      <c r="Y685" s="1894">
        <v>0</v>
      </c>
      <c r="Z685" s="1894">
        <v>0</v>
      </c>
      <c r="AA685" s="1894">
        <v>0</v>
      </c>
      <c r="AB685" s="1894">
        <v>0</v>
      </c>
      <c r="AC685" s="1894">
        <v>0</v>
      </c>
      <c r="AD685" s="1894">
        <f t="shared" si="295"/>
        <v>0</v>
      </c>
      <c r="AE685" s="1894">
        <f t="shared" si="296"/>
        <v>0</v>
      </c>
      <c r="AF685" s="1894">
        <v>0</v>
      </c>
      <c r="AG685" s="1894">
        <v>0</v>
      </c>
      <c r="AH685" s="1894">
        <v>0</v>
      </c>
      <c r="AI685" s="1894">
        <v>0</v>
      </c>
      <c r="AJ685" s="1894">
        <v>0</v>
      </c>
      <c r="AK685" s="1894">
        <v>0</v>
      </c>
      <c r="AL685" s="1894">
        <f t="shared" si="297"/>
        <v>0</v>
      </c>
      <c r="AM685" s="1894">
        <f t="shared" si="298"/>
        <v>0</v>
      </c>
      <c r="AN685" s="1894">
        <v>0</v>
      </c>
      <c r="AO685" s="1894">
        <v>0</v>
      </c>
      <c r="AP685" s="1894">
        <v>0</v>
      </c>
      <c r="AQ685" s="1894">
        <v>0</v>
      </c>
      <c r="AR685" s="1894">
        <v>0</v>
      </c>
      <c r="AS685" s="1894">
        <v>0</v>
      </c>
      <c r="AT685" s="1894">
        <f t="shared" si="299"/>
        <v>0</v>
      </c>
      <c r="AU685" s="1894">
        <f t="shared" si="300"/>
        <v>0</v>
      </c>
      <c r="AV685" s="1894">
        <v>0</v>
      </c>
      <c r="AW685" s="1894">
        <v>0</v>
      </c>
      <c r="AX685" s="1894">
        <v>0</v>
      </c>
      <c r="AY685" s="1894">
        <v>0</v>
      </c>
      <c r="AZ685" s="1894">
        <v>0</v>
      </c>
      <c r="BA685" s="1894">
        <v>0</v>
      </c>
      <c r="BB685" s="1894">
        <f t="shared" si="301"/>
        <v>0</v>
      </c>
      <c r="BC685" s="1894">
        <f t="shared" si="302"/>
        <v>0</v>
      </c>
      <c r="BD685" s="1894">
        <v>0</v>
      </c>
      <c r="BE685" s="1894">
        <v>0</v>
      </c>
      <c r="BF685" s="1894">
        <v>0</v>
      </c>
      <c r="BG685" s="1894">
        <v>0</v>
      </c>
      <c r="BH685" s="1894">
        <v>0</v>
      </c>
      <c r="BI685" s="1894">
        <v>0</v>
      </c>
      <c r="BJ685" s="1894">
        <f t="shared" si="303"/>
        <v>0</v>
      </c>
      <c r="BK685" s="1894">
        <f t="shared" si="304"/>
        <v>0</v>
      </c>
      <c r="BL685" s="1894">
        <v>0</v>
      </c>
      <c r="BM685" s="1894">
        <v>0</v>
      </c>
      <c r="BN685" s="1894">
        <v>0</v>
      </c>
      <c r="BO685" s="1894">
        <v>0</v>
      </c>
      <c r="BP685" s="1894">
        <v>0</v>
      </c>
      <c r="BQ685" s="1894">
        <v>0</v>
      </c>
      <c r="BR685" s="1894">
        <f t="shared" si="305"/>
        <v>0</v>
      </c>
      <c r="BS685" s="1894">
        <f t="shared" si="306"/>
        <v>0</v>
      </c>
      <c r="BT685" s="1894">
        <v>0</v>
      </c>
      <c r="BU685" s="1894">
        <v>0</v>
      </c>
      <c r="BV685" s="1894">
        <v>0</v>
      </c>
      <c r="BW685" s="1894">
        <v>0</v>
      </c>
      <c r="BX685" s="1894">
        <v>0</v>
      </c>
      <c r="BY685" s="1894">
        <v>0</v>
      </c>
      <c r="BZ685" s="1894">
        <f t="shared" si="307"/>
        <v>0</v>
      </c>
      <c r="CA685" s="1894">
        <f t="shared" si="308"/>
        <v>0</v>
      </c>
      <c r="CB685" s="1894">
        <v>0</v>
      </c>
      <c r="CC685" s="1894">
        <v>0</v>
      </c>
      <c r="CD685" s="1894">
        <v>0</v>
      </c>
      <c r="CE685" s="1894">
        <v>0</v>
      </c>
      <c r="CF685" s="1894">
        <v>0</v>
      </c>
      <c r="CG685" s="1894">
        <v>0</v>
      </c>
      <c r="CH685" s="1894">
        <f t="shared" si="309"/>
        <v>0</v>
      </c>
      <c r="CI685" s="1894">
        <f t="shared" si="310"/>
        <v>0</v>
      </c>
      <c r="CJ685" s="1894">
        <v>3500</v>
      </c>
      <c r="CK685" s="1894">
        <v>292.8</v>
      </c>
      <c r="CL685" s="1894">
        <v>2800</v>
      </c>
      <c r="CM685" s="1894">
        <v>0.8</v>
      </c>
      <c r="CN685" s="1894">
        <v>7.4</v>
      </c>
      <c r="CO685" s="1894">
        <v>7800</v>
      </c>
      <c r="CP685" s="1894">
        <f t="shared" si="311"/>
        <v>118057</v>
      </c>
      <c r="CQ685" s="1894">
        <f t="shared" si="312"/>
        <v>0</v>
      </c>
      <c r="CR685" s="1924">
        <v>3500</v>
      </c>
      <c r="CS685" s="1924">
        <v>796.8</v>
      </c>
      <c r="CT685" s="1924">
        <v>2800</v>
      </c>
      <c r="CU685" s="1924">
        <v>0.81669999999999998</v>
      </c>
      <c r="CV685" s="1924">
        <v>11.5</v>
      </c>
      <c r="CW685" s="1924">
        <v>61560</v>
      </c>
      <c r="CX685" s="1894">
        <f t="shared" si="313"/>
        <v>355692</v>
      </c>
      <c r="CY685" s="1894">
        <f t="shared" si="314"/>
        <v>0</v>
      </c>
    </row>
    <row r="686" spans="1:103">
      <c r="A686" s="982">
        <v>124000000075</v>
      </c>
      <c r="B686" s="1923">
        <f t="shared" si="315"/>
        <v>31</v>
      </c>
      <c r="C686" s="1895" t="s">
        <v>708</v>
      </c>
      <c r="D686" s="1894" t="s">
        <v>524</v>
      </c>
      <c r="E686" s="1895" t="s">
        <v>709</v>
      </c>
      <c r="F686" s="1894" t="s">
        <v>259</v>
      </c>
      <c r="G686" s="1924">
        <v>3629</v>
      </c>
      <c r="H686" s="1894">
        <v>3629</v>
      </c>
      <c r="I686" s="1894">
        <v>0</v>
      </c>
      <c r="J686" s="1894">
        <v>2903.2</v>
      </c>
      <c r="K686" s="1894">
        <v>0</v>
      </c>
      <c r="L686" s="1894">
        <v>0</v>
      </c>
      <c r="M686" s="1894">
        <v>0</v>
      </c>
      <c r="N686" s="1894">
        <f t="shared" si="291"/>
        <v>0</v>
      </c>
      <c r="O686" s="1894">
        <f t="shared" si="292"/>
        <v>0</v>
      </c>
      <c r="P686" s="1894">
        <v>3629</v>
      </c>
      <c r="Q686" s="1894">
        <v>192</v>
      </c>
      <c r="R686" s="1894">
        <v>2903.2</v>
      </c>
      <c r="S686" s="1894">
        <v>0.15090000000000001</v>
      </c>
      <c r="T686" s="1894">
        <v>4.2</v>
      </c>
      <c r="U686" s="1894">
        <v>6000</v>
      </c>
      <c r="V686" s="1894">
        <f t="shared" si="293"/>
        <v>85709</v>
      </c>
      <c r="W686" s="1894">
        <f t="shared" si="294"/>
        <v>0</v>
      </c>
      <c r="X686" s="1894">
        <v>3629</v>
      </c>
      <c r="Y686" s="1894">
        <v>240</v>
      </c>
      <c r="Z686" s="1894">
        <v>2903.2</v>
      </c>
      <c r="AA686" s="1894">
        <v>0.999</v>
      </c>
      <c r="AB686" s="1894">
        <v>4.1900000000000004</v>
      </c>
      <c r="AC686" s="1894">
        <v>6996.4</v>
      </c>
      <c r="AD686" s="1894">
        <f t="shared" si="295"/>
        <v>103680</v>
      </c>
      <c r="AE686" s="1894">
        <f t="shared" si="296"/>
        <v>0</v>
      </c>
      <c r="AF686" s="1894">
        <v>3629</v>
      </c>
      <c r="AG686" s="1894">
        <v>228</v>
      </c>
      <c r="AH686" s="1894">
        <v>2903.2</v>
      </c>
      <c r="AI686" s="1894">
        <v>0.99950000000000006</v>
      </c>
      <c r="AJ686" s="1894">
        <v>5.44</v>
      </c>
      <c r="AK686" s="1894">
        <v>9815</v>
      </c>
      <c r="AL686" s="1894">
        <f t="shared" si="297"/>
        <v>101779</v>
      </c>
      <c r="AM686" s="1894">
        <f t="shared" si="298"/>
        <v>0</v>
      </c>
      <c r="AN686" s="1894">
        <v>3629</v>
      </c>
      <c r="AO686" s="1894">
        <v>720</v>
      </c>
      <c r="AP686" s="1894">
        <v>2903.2</v>
      </c>
      <c r="AQ686" s="1894">
        <v>0.97360000000000002</v>
      </c>
      <c r="AR686" s="1894">
        <v>3.71</v>
      </c>
      <c r="AS686" s="1894">
        <v>20520</v>
      </c>
      <c r="AT686" s="1894">
        <f t="shared" si="299"/>
        <v>321408</v>
      </c>
      <c r="AU686" s="1894">
        <f t="shared" si="300"/>
        <v>0</v>
      </c>
      <c r="AV686" s="1894">
        <v>3629</v>
      </c>
      <c r="AW686" s="1894">
        <v>426</v>
      </c>
      <c r="AX686" s="1894">
        <v>2903.2</v>
      </c>
      <c r="AY686" s="1894">
        <v>0.99839999999999995</v>
      </c>
      <c r="AZ686" s="1894">
        <v>7.11</v>
      </c>
      <c r="BA686" s="1894">
        <v>19620</v>
      </c>
      <c r="BB686" s="1894">
        <f t="shared" si="301"/>
        <v>184032</v>
      </c>
      <c r="BC686" s="1894">
        <f t="shared" si="302"/>
        <v>0</v>
      </c>
      <c r="BD686" s="1894">
        <v>3629</v>
      </c>
      <c r="BE686" s="1894">
        <v>420</v>
      </c>
      <c r="BF686" s="1894">
        <v>2903.2</v>
      </c>
      <c r="BG686" s="1894">
        <v>0.99199999999999999</v>
      </c>
      <c r="BH686" s="1894">
        <v>3.29</v>
      </c>
      <c r="BI686" s="1894">
        <v>11280</v>
      </c>
      <c r="BJ686" s="1894">
        <f t="shared" si="303"/>
        <v>187488</v>
      </c>
      <c r="BK686" s="1894">
        <f t="shared" si="304"/>
        <v>0</v>
      </c>
      <c r="BL686" s="1894">
        <v>3629</v>
      </c>
      <c r="BM686" s="1894">
        <v>240</v>
      </c>
      <c r="BN686" s="1894">
        <v>2903.2</v>
      </c>
      <c r="BO686" s="1894">
        <v>1</v>
      </c>
      <c r="BP686" s="1894">
        <v>5.87</v>
      </c>
      <c r="BQ686" s="1894">
        <v>10140</v>
      </c>
      <c r="BR686" s="1894">
        <f t="shared" si="305"/>
        <v>103680</v>
      </c>
      <c r="BS686" s="1894">
        <f t="shared" si="306"/>
        <v>0</v>
      </c>
      <c r="BT686" s="1894">
        <v>3629</v>
      </c>
      <c r="BU686" s="1894">
        <v>12</v>
      </c>
      <c r="BV686" s="1894">
        <v>2903.2</v>
      </c>
      <c r="BW686" s="1894">
        <v>0.99560000000000004</v>
      </c>
      <c r="BX686" s="1894">
        <v>77.28</v>
      </c>
      <c r="BY686" s="1894">
        <v>6900</v>
      </c>
      <c r="BZ686" s="1894">
        <f t="shared" si="307"/>
        <v>5357</v>
      </c>
      <c r="CA686" s="1894">
        <f t="shared" si="308"/>
        <v>1543</v>
      </c>
      <c r="CB686" s="1894">
        <v>3629</v>
      </c>
      <c r="CC686" s="1894">
        <v>420</v>
      </c>
      <c r="CD686" s="1894">
        <v>2903.2</v>
      </c>
      <c r="CE686" s="1894">
        <v>0.98829999999999996</v>
      </c>
      <c r="CF686" s="1894">
        <v>5.79</v>
      </c>
      <c r="CG686" s="1894">
        <v>18090</v>
      </c>
      <c r="CH686" s="1894">
        <f t="shared" si="309"/>
        <v>187488</v>
      </c>
      <c r="CI686" s="1894">
        <f t="shared" si="310"/>
        <v>0</v>
      </c>
      <c r="CJ686" s="1894">
        <v>3629</v>
      </c>
      <c r="CK686" s="1894">
        <v>438</v>
      </c>
      <c r="CL686" s="1894">
        <v>2903.2</v>
      </c>
      <c r="CM686" s="1894">
        <v>0.98150000000000004</v>
      </c>
      <c r="CN686" s="1894">
        <v>5.52</v>
      </c>
      <c r="CO686" s="1894">
        <v>16260</v>
      </c>
      <c r="CP686" s="1894">
        <f t="shared" si="311"/>
        <v>176602</v>
      </c>
      <c r="CQ686" s="1894">
        <f t="shared" si="312"/>
        <v>0</v>
      </c>
      <c r="CR686" s="1924">
        <v>3629</v>
      </c>
      <c r="CS686" s="1924">
        <v>414</v>
      </c>
      <c r="CT686" s="1924">
        <v>2903.2</v>
      </c>
      <c r="CU686" s="1924">
        <v>0.99529999999999996</v>
      </c>
      <c r="CV686" s="1924">
        <v>10.48</v>
      </c>
      <c r="CW686" s="1924">
        <v>32280</v>
      </c>
      <c r="CX686" s="1894">
        <f t="shared" si="313"/>
        <v>184810</v>
      </c>
      <c r="CY686" s="1894">
        <f t="shared" si="314"/>
        <v>0</v>
      </c>
    </row>
    <row r="687" spans="1:103">
      <c r="A687" s="982">
        <v>125000000047</v>
      </c>
      <c r="B687" s="1923">
        <f t="shared" si="315"/>
        <v>32</v>
      </c>
      <c r="C687" s="1895" t="s">
        <v>708</v>
      </c>
      <c r="D687" s="1894" t="s">
        <v>524</v>
      </c>
      <c r="E687" s="1895" t="s">
        <v>709</v>
      </c>
      <c r="F687" s="1894" t="s">
        <v>259</v>
      </c>
      <c r="G687" s="1924">
        <v>3928</v>
      </c>
      <c r="H687" s="1894">
        <v>0</v>
      </c>
      <c r="I687" s="1894">
        <v>0</v>
      </c>
      <c r="J687" s="1894">
        <v>0</v>
      </c>
      <c r="K687" s="1894">
        <v>0</v>
      </c>
      <c r="L687" s="1894">
        <v>0</v>
      </c>
      <c r="M687" s="1894">
        <v>0</v>
      </c>
      <c r="N687" s="1894">
        <f t="shared" si="291"/>
        <v>0</v>
      </c>
      <c r="O687" s="1894">
        <f t="shared" si="292"/>
        <v>0</v>
      </c>
      <c r="P687" s="1894">
        <v>0</v>
      </c>
      <c r="Q687" s="1894">
        <v>0</v>
      </c>
      <c r="R687" s="1894">
        <v>0</v>
      </c>
      <c r="S687" s="1894">
        <v>0</v>
      </c>
      <c r="T687" s="1894">
        <v>0</v>
      </c>
      <c r="U687" s="1894">
        <v>0</v>
      </c>
      <c r="V687" s="1894">
        <f t="shared" si="293"/>
        <v>0</v>
      </c>
      <c r="W687" s="1894">
        <f t="shared" si="294"/>
        <v>0</v>
      </c>
      <c r="X687" s="1894">
        <v>0</v>
      </c>
      <c r="Y687" s="1894">
        <v>0</v>
      </c>
      <c r="Z687" s="1894">
        <v>0</v>
      </c>
      <c r="AA687" s="1894">
        <v>0</v>
      </c>
      <c r="AB687" s="1894">
        <v>0</v>
      </c>
      <c r="AC687" s="1894">
        <v>0</v>
      </c>
      <c r="AD687" s="1894">
        <f t="shared" si="295"/>
        <v>0</v>
      </c>
      <c r="AE687" s="1894">
        <f t="shared" si="296"/>
        <v>0</v>
      </c>
      <c r="AF687" s="1894">
        <v>0</v>
      </c>
      <c r="AG687" s="1894">
        <v>0</v>
      </c>
      <c r="AH687" s="1894">
        <v>0</v>
      </c>
      <c r="AI687" s="1894">
        <v>0</v>
      </c>
      <c r="AJ687" s="1894">
        <v>0</v>
      </c>
      <c r="AK687" s="1894">
        <v>0</v>
      </c>
      <c r="AL687" s="1894">
        <f t="shared" si="297"/>
        <v>0</v>
      </c>
      <c r="AM687" s="1894">
        <f t="shared" si="298"/>
        <v>0</v>
      </c>
      <c r="AN687" s="1894">
        <v>0</v>
      </c>
      <c r="AO687" s="1894">
        <v>0</v>
      </c>
      <c r="AP687" s="1894">
        <v>0</v>
      </c>
      <c r="AQ687" s="1894">
        <v>0</v>
      </c>
      <c r="AR687" s="1894">
        <v>0</v>
      </c>
      <c r="AS687" s="1894">
        <v>0</v>
      </c>
      <c r="AT687" s="1894">
        <f t="shared" si="299"/>
        <v>0</v>
      </c>
      <c r="AU687" s="1894">
        <f t="shared" si="300"/>
        <v>0</v>
      </c>
      <c r="AV687" s="1894">
        <v>0</v>
      </c>
      <c r="AW687" s="1894">
        <v>0</v>
      </c>
      <c r="AX687" s="1894">
        <v>0</v>
      </c>
      <c r="AY687" s="1894">
        <v>0</v>
      </c>
      <c r="AZ687" s="1894">
        <v>0</v>
      </c>
      <c r="BA687" s="1894">
        <v>0</v>
      </c>
      <c r="BB687" s="1894">
        <f t="shared" si="301"/>
        <v>0</v>
      </c>
      <c r="BC687" s="1894">
        <f t="shared" si="302"/>
        <v>0</v>
      </c>
      <c r="BD687" s="1894">
        <v>0</v>
      </c>
      <c r="BE687" s="1894">
        <v>0</v>
      </c>
      <c r="BF687" s="1894">
        <v>0</v>
      </c>
      <c r="BG687" s="1894">
        <v>0</v>
      </c>
      <c r="BH687" s="1894">
        <v>0</v>
      </c>
      <c r="BI687" s="1894">
        <v>0</v>
      </c>
      <c r="BJ687" s="1894">
        <f t="shared" si="303"/>
        <v>0</v>
      </c>
      <c r="BK687" s="1894">
        <f t="shared" si="304"/>
        <v>0</v>
      </c>
      <c r="BL687" s="1894">
        <v>0</v>
      </c>
      <c r="BM687" s="1894">
        <v>0</v>
      </c>
      <c r="BN687" s="1894">
        <v>0</v>
      </c>
      <c r="BO687" s="1894">
        <v>0</v>
      </c>
      <c r="BP687" s="1894">
        <v>0</v>
      </c>
      <c r="BQ687" s="1894">
        <v>0</v>
      </c>
      <c r="BR687" s="1894">
        <f t="shared" si="305"/>
        <v>0</v>
      </c>
      <c r="BS687" s="1894">
        <f t="shared" si="306"/>
        <v>0</v>
      </c>
      <c r="BT687" s="1894">
        <v>0</v>
      </c>
      <c r="BU687" s="1894">
        <v>0</v>
      </c>
      <c r="BV687" s="1894">
        <v>0</v>
      </c>
      <c r="BW687" s="1894">
        <v>0</v>
      </c>
      <c r="BX687" s="1894">
        <v>0</v>
      </c>
      <c r="BY687" s="1894">
        <v>0</v>
      </c>
      <c r="BZ687" s="1894">
        <f t="shared" si="307"/>
        <v>0</v>
      </c>
      <c r="CA687" s="1894">
        <f t="shared" si="308"/>
        <v>0</v>
      </c>
      <c r="CB687" s="1894">
        <v>3928</v>
      </c>
      <c r="CC687" s="1894">
        <v>31.2</v>
      </c>
      <c r="CD687" s="1894">
        <v>3142.4</v>
      </c>
      <c r="CE687" s="1894">
        <v>1</v>
      </c>
      <c r="CF687" s="1894">
        <v>16.03</v>
      </c>
      <c r="CG687" s="1894">
        <v>2280</v>
      </c>
      <c r="CH687" s="1894">
        <f t="shared" si="309"/>
        <v>13928</v>
      </c>
      <c r="CI687" s="1894">
        <f t="shared" si="310"/>
        <v>0</v>
      </c>
      <c r="CJ687" s="1894">
        <v>3928</v>
      </c>
      <c r="CK687" s="1894">
        <v>9.6</v>
      </c>
      <c r="CL687" s="1894">
        <v>3142.4</v>
      </c>
      <c r="CM687" s="1894">
        <v>1</v>
      </c>
      <c r="CN687" s="1894">
        <v>14.88</v>
      </c>
      <c r="CO687" s="1894">
        <v>960</v>
      </c>
      <c r="CP687" s="1894">
        <f t="shared" si="311"/>
        <v>3871</v>
      </c>
      <c r="CQ687" s="1894">
        <f t="shared" si="312"/>
        <v>0</v>
      </c>
      <c r="CR687" s="1924">
        <v>3928</v>
      </c>
      <c r="CS687" s="1924">
        <v>19.2</v>
      </c>
      <c r="CT687" s="1924">
        <v>3142.4</v>
      </c>
      <c r="CU687" s="1924">
        <v>0.98929999999999996</v>
      </c>
      <c r="CV687" s="1924">
        <v>19.739999999999998</v>
      </c>
      <c r="CW687" s="1924">
        <v>2820</v>
      </c>
      <c r="CX687" s="1894">
        <f t="shared" si="313"/>
        <v>8571</v>
      </c>
      <c r="CY687" s="1894">
        <f t="shared" si="314"/>
        <v>0</v>
      </c>
    </row>
    <row r="688" spans="1:103">
      <c r="A688" s="982">
        <v>611000000113</v>
      </c>
      <c r="B688" s="1923">
        <f t="shared" si="315"/>
        <v>33</v>
      </c>
      <c r="C688" s="1895" t="s">
        <v>550</v>
      </c>
      <c r="D688" s="1894" t="s">
        <v>524</v>
      </c>
      <c r="E688" s="1895" t="s">
        <v>541</v>
      </c>
      <c r="F688" s="1894" t="s">
        <v>271</v>
      </c>
      <c r="G688" s="1924">
        <v>4000</v>
      </c>
      <c r="H688" s="1894">
        <v>4000</v>
      </c>
      <c r="I688" s="1894">
        <v>3576</v>
      </c>
      <c r="J688" s="1894">
        <v>3576</v>
      </c>
      <c r="K688" s="1894">
        <v>0.98150000000000004</v>
      </c>
      <c r="L688" s="1894">
        <v>56.35</v>
      </c>
      <c r="M688" s="1894">
        <v>1450800</v>
      </c>
      <c r="N688" s="1894">
        <f t="shared" si="291"/>
        <v>1544832</v>
      </c>
      <c r="O688" s="1894">
        <f t="shared" si="292"/>
        <v>0</v>
      </c>
      <c r="P688" s="1894">
        <v>4000</v>
      </c>
      <c r="Q688" s="1894">
        <v>3624</v>
      </c>
      <c r="R688" s="1894">
        <v>3624</v>
      </c>
      <c r="S688" s="1894">
        <v>0.98570000000000002</v>
      </c>
      <c r="T688" s="1894">
        <v>28.9</v>
      </c>
      <c r="U688" s="1894">
        <v>779100</v>
      </c>
      <c r="V688" s="1894">
        <f t="shared" si="293"/>
        <v>1617754</v>
      </c>
      <c r="W688" s="1894">
        <f t="shared" si="294"/>
        <v>0</v>
      </c>
      <c r="X688" s="1894">
        <v>4000</v>
      </c>
      <c r="Y688" s="1894">
        <v>3888.0000000000005</v>
      </c>
      <c r="Z688" s="1894">
        <v>3888</v>
      </c>
      <c r="AA688" s="1894">
        <v>0.98160000000000003</v>
      </c>
      <c r="AB688" s="1894">
        <v>23.35</v>
      </c>
      <c r="AC688" s="1894">
        <v>653700</v>
      </c>
      <c r="AD688" s="1894">
        <f t="shared" si="295"/>
        <v>1679616</v>
      </c>
      <c r="AE688" s="1894">
        <f t="shared" si="296"/>
        <v>0</v>
      </c>
      <c r="AF688" s="1894">
        <v>4000</v>
      </c>
      <c r="AG688" s="1894">
        <v>3864.0000000000005</v>
      </c>
      <c r="AH688" s="1894">
        <v>3864</v>
      </c>
      <c r="AI688" s="1894">
        <v>0.95840000000000003</v>
      </c>
      <c r="AJ688" s="1894">
        <v>30.36</v>
      </c>
      <c r="AK688" s="1894">
        <v>872700</v>
      </c>
      <c r="AL688" s="1894">
        <f t="shared" si="297"/>
        <v>1724890</v>
      </c>
      <c r="AM688" s="1894">
        <f t="shared" si="298"/>
        <v>0</v>
      </c>
      <c r="AN688" s="1894">
        <v>4000</v>
      </c>
      <c r="AO688" s="1894">
        <v>3768</v>
      </c>
      <c r="AP688" s="1894">
        <v>3768</v>
      </c>
      <c r="AQ688" s="1894">
        <v>0.96909999999999996</v>
      </c>
      <c r="AR688" s="1894">
        <v>24.66</v>
      </c>
      <c r="AS688" s="1894">
        <v>691200</v>
      </c>
      <c r="AT688" s="1894">
        <f t="shared" si="299"/>
        <v>1682035</v>
      </c>
      <c r="AU688" s="1894">
        <f t="shared" si="300"/>
        <v>0</v>
      </c>
      <c r="AV688" s="1894">
        <v>4000</v>
      </c>
      <c r="AW688" s="1894">
        <v>3540</v>
      </c>
      <c r="AX688" s="1894">
        <v>3540</v>
      </c>
      <c r="AY688" s="1894">
        <v>0.89410000000000001</v>
      </c>
      <c r="AZ688" s="1894">
        <v>1</v>
      </c>
      <c r="BA688" s="1894">
        <v>25500</v>
      </c>
      <c r="BB688" s="1894">
        <f t="shared" si="301"/>
        <v>1529280</v>
      </c>
      <c r="BC688" s="1894">
        <f t="shared" si="302"/>
        <v>0</v>
      </c>
      <c r="BD688" s="1894">
        <v>4000</v>
      </c>
      <c r="BE688" s="1894">
        <v>4320</v>
      </c>
      <c r="BF688" s="1894">
        <v>4320</v>
      </c>
      <c r="BG688" s="1894">
        <v>0.9345</v>
      </c>
      <c r="BH688" s="1894">
        <v>2</v>
      </c>
      <c r="BI688" s="1894">
        <v>64200</v>
      </c>
      <c r="BJ688" s="1894">
        <f t="shared" si="303"/>
        <v>1928448</v>
      </c>
      <c r="BK688" s="1894">
        <f t="shared" si="304"/>
        <v>0</v>
      </c>
      <c r="BL688" s="1894">
        <v>4000</v>
      </c>
      <c r="BM688" s="1894">
        <v>3900</v>
      </c>
      <c r="BN688" s="1894">
        <v>3900</v>
      </c>
      <c r="BO688" s="1894">
        <v>0.86109999999999998</v>
      </c>
      <c r="BP688" s="1894">
        <v>0.77</v>
      </c>
      <c r="BQ688" s="1894">
        <v>21600</v>
      </c>
      <c r="BR688" s="1894">
        <f t="shared" si="305"/>
        <v>1684800</v>
      </c>
      <c r="BS688" s="1894">
        <f t="shared" si="306"/>
        <v>0</v>
      </c>
      <c r="BT688" s="1894">
        <v>4000</v>
      </c>
      <c r="BU688" s="1894">
        <v>4440</v>
      </c>
      <c r="BV688" s="1894">
        <v>4440</v>
      </c>
      <c r="BW688" s="1894">
        <v>0.92200000000000004</v>
      </c>
      <c r="BX688" s="1894">
        <v>3.96</v>
      </c>
      <c r="BY688" s="1894">
        <v>130800</v>
      </c>
      <c r="BZ688" s="1894">
        <f t="shared" si="307"/>
        <v>1982016</v>
      </c>
      <c r="CA688" s="1894">
        <f t="shared" si="308"/>
        <v>0</v>
      </c>
      <c r="CB688" s="1894">
        <v>4000</v>
      </c>
      <c r="CC688" s="1894">
        <v>3600</v>
      </c>
      <c r="CD688" s="1894">
        <v>3600</v>
      </c>
      <c r="CE688" s="1894">
        <v>0.8196</v>
      </c>
      <c r="CF688" s="1894">
        <v>4.0999999999999996</v>
      </c>
      <c r="CG688" s="1894">
        <v>109800</v>
      </c>
      <c r="CH688" s="1894">
        <f t="shared" si="309"/>
        <v>1607040</v>
      </c>
      <c r="CI688" s="1894">
        <f t="shared" si="310"/>
        <v>0</v>
      </c>
      <c r="CJ688" s="1894">
        <v>4000</v>
      </c>
      <c r="CK688" s="1894">
        <v>5460</v>
      </c>
      <c r="CL688" s="1894">
        <v>5460</v>
      </c>
      <c r="CM688" s="1894">
        <v>0.97740000000000005</v>
      </c>
      <c r="CN688" s="1894">
        <v>6.52</v>
      </c>
      <c r="CO688" s="1894">
        <v>239400</v>
      </c>
      <c r="CP688" s="1894">
        <f t="shared" si="311"/>
        <v>2201472</v>
      </c>
      <c r="CQ688" s="1894">
        <f t="shared" si="312"/>
        <v>0</v>
      </c>
      <c r="CR688" s="1924">
        <v>4000</v>
      </c>
      <c r="CS688" s="1924">
        <v>3432</v>
      </c>
      <c r="CT688" s="1924">
        <v>3432</v>
      </c>
      <c r="CU688" s="1924">
        <v>0.98939999999999995</v>
      </c>
      <c r="CV688" s="1924">
        <v>4.46</v>
      </c>
      <c r="CW688" s="1924">
        <v>114000</v>
      </c>
      <c r="CX688" s="1894">
        <f t="shared" si="313"/>
        <v>1532045</v>
      </c>
      <c r="CY688" s="1894">
        <f t="shared" si="314"/>
        <v>0</v>
      </c>
    </row>
    <row r="689" spans="1:103">
      <c r="A689" s="982">
        <v>621000000005</v>
      </c>
      <c r="B689" s="1923">
        <f t="shared" si="315"/>
        <v>34</v>
      </c>
      <c r="C689" s="1895" t="s">
        <v>676</v>
      </c>
      <c r="D689" s="1894" t="s">
        <v>524</v>
      </c>
      <c r="E689" s="1895" t="s">
        <v>541</v>
      </c>
      <c r="F689" s="1894" t="s">
        <v>259</v>
      </c>
      <c r="G689" s="1924">
        <v>4000</v>
      </c>
      <c r="H689" s="1894">
        <v>555</v>
      </c>
      <c r="I689" s="1894">
        <v>374.4</v>
      </c>
      <c r="J689" s="1894">
        <v>444</v>
      </c>
      <c r="K689" s="1894">
        <v>0.98009999999999997</v>
      </c>
      <c r="L689" s="1894">
        <v>44.78</v>
      </c>
      <c r="M689" s="1894">
        <v>120720</v>
      </c>
      <c r="N689" s="1894">
        <f t="shared" si="291"/>
        <v>161741</v>
      </c>
      <c r="O689" s="1894">
        <f t="shared" si="292"/>
        <v>0</v>
      </c>
      <c r="P689" s="1894">
        <v>555</v>
      </c>
      <c r="Q689" s="1894">
        <v>384</v>
      </c>
      <c r="R689" s="1894">
        <v>444</v>
      </c>
      <c r="S689" s="1894">
        <v>0.94769999999999999</v>
      </c>
      <c r="T689" s="1894">
        <v>48.22</v>
      </c>
      <c r="U689" s="1894">
        <v>137760</v>
      </c>
      <c r="V689" s="1894">
        <f t="shared" si="293"/>
        <v>171418</v>
      </c>
      <c r="W689" s="1894">
        <f t="shared" si="294"/>
        <v>0</v>
      </c>
      <c r="X689" s="1894">
        <v>4000</v>
      </c>
      <c r="Y689" s="1894">
        <v>566.4</v>
      </c>
      <c r="Z689" s="1894">
        <v>3200</v>
      </c>
      <c r="AA689" s="1894">
        <v>0.87</v>
      </c>
      <c r="AB689" s="1894">
        <v>40.31</v>
      </c>
      <c r="AC689" s="1894">
        <v>164400</v>
      </c>
      <c r="AD689" s="1894">
        <f t="shared" si="295"/>
        <v>244685</v>
      </c>
      <c r="AE689" s="1894">
        <f t="shared" si="296"/>
        <v>0</v>
      </c>
      <c r="AF689" s="1894">
        <v>4000</v>
      </c>
      <c r="AG689" s="1894">
        <v>758.40000000000009</v>
      </c>
      <c r="AH689" s="1894">
        <v>3200</v>
      </c>
      <c r="AI689" s="1894">
        <v>0.88690000000000002</v>
      </c>
      <c r="AJ689" s="1894">
        <v>31.22</v>
      </c>
      <c r="AK689" s="1894">
        <v>176160</v>
      </c>
      <c r="AL689" s="1894">
        <f t="shared" si="297"/>
        <v>338550</v>
      </c>
      <c r="AM689" s="1894">
        <f t="shared" si="298"/>
        <v>0</v>
      </c>
      <c r="AN689" s="1894">
        <v>4000</v>
      </c>
      <c r="AO689" s="1894">
        <v>796.8</v>
      </c>
      <c r="AP689" s="1894">
        <v>3200</v>
      </c>
      <c r="AQ689" s="1894">
        <v>0.92359999999999998</v>
      </c>
      <c r="AR689" s="1894">
        <v>28.62</v>
      </c>
      <c r="AS689" s="1894">
        <v>169680</v>
      </c>
      <c r="AT689" s="1894">
        <f t="shared" si="299"/>
        <v>355692</v>
      </c>
      <c r="AU689" s="1894">
        <f t="shared" si="300"/>
        <v>0</v>
      </c>
      <c r="AV689" s="1894">
        <v>4000</v>
      </c>
      <c r="AW689" s="1894">
        <v>1603.2</v>
      </c>
      <c r="AX689" s="1894">
        <v>3200</v>
      </c>
      <c r="AY689" s="1894">
        <v>0.9254</v>
      </c>
      <c r="AZ689" s="1894">
        <v>24.14</v>
      </c>
      <c r="BA689" s="1894">
        <v>278640</v>
      </c>
      <c r="BB689" s="1894">
        <f t="shared" si="301"/>
        <v>692582</v>
      </c>
      <c r="BC689" s="1894">
        <f t="shared" si="302"/>
        <v>0</v>
      </c>
      <c r="BD689" s="1894">
        <v>4000</v>
      </c>
      <c r="BE689" s="1894">
        <v>1891.1999999999998</v>
      </c>
      <c r="BF689" s="1894">
        <v>3200</v>
      </c>
      <c r="BG689" s="1894">
        <v>0.95230000000000004</v>
      </c>
      <c r="BH689" s="1894">
        <v>35.950000000000003</v>
      </c>
      <c r="BI689" s="1894">
        <v>505800</v>
      </c>
      <c r="BJ689" s="1894">
        <f t="shared" si="303"/>
        <v>844232</v>
      </c>
      <c r="BK689" s="1894">
        <f t="shared" si="304"/>
        <v>0</v>
      </c>
      <c r="BL689" s="1894">
        <v>4000</v>
      </c>
      <c r="BM689" s="1894">
        <v>2601.6</v>
      </c>
      <c r="BN689" s="1894">
        <v>3200</v>
      </c>
      <c r="BO689" s="1894">
        <v>0.96519999999999995</v>
      </c>
      <c r="BP689" s="1894">
        <v>43.38</v>
      </c>
      <c r="BQ689" s="1894">
        <v>812520</v>
      </c>
      <c r="BR689" s="1894">
        <f t="shared" si="305"/>
        <v>1123891</v>
      </c>
      <c r="BS689" s="1894">
        <f t="shared" si="306"/>
        <v>0</v>
      </c>
      <c r="BT689" s="1894">
        <v>4000</v>
      </c>
      <c r="BU689" s="1894">
        <v>2745.6</v>
      </c>
      <c r="BV689" s="1894">
        <v>3200</v>
      </c>
      <c r="BW689" s="1894">
        <v>0.98570000000000002</v>
      </c>
      <c r="BX689" s="1894">
        <v>10.28</v>
      </c>
      <c r="BY689" s="1894">
        <v>210000</v>
      </c>
      <c r="BZ689" s="1894">
        <f t="shared" si="307"/>
        <v>1225636</v>
      </c>
      <c r="CA689" s="1894">
        <f t="shared" si="308"/>
        <v>0</v>
      </c>
      <c r="CB689" s="1894">
        <v>4000</v>
      </c>
      <c r="CC689" s="1894">
        <v>3110.3999999999996</v>
      </c>
      <c r="CD689" s="1894">
        <v>3200</v>
      </c>
      <c r="CE689" s="1894">
        <v>0.93379999999999996</v>
      </c>
      <c r="CF689" s="1894">
        <v>13.08</v>
      </c>
      <c r="CG689" s="1894">
        <v>302760</v>
      </c>
      <c r="CH689" s="1894">
        <f t="shared" si="309"/>
        <v>1388483</v>
      </c>
      <c r="CI689" s="1894">
        <f t="shared" si="310"/>
        <v>0</v>
      </c>
      <c r="CJ689" s="1894">
        <v>4000</v>
      </c>
      <c r="CK689" s="1894">
        <v>3388.7999999999997</v>
      </c>
      <c r="CL689" s="1894">
        <v>3388.8</v>
      </c>
      <c r="CM689" s="1894">
        <v>0.89149999999999996</v>
      </c>
      <c r="CN689" s="1894">
        <v>10.25</v>
      </c>
      <c r="CO689" s="1894">
        <v>233400</v>
      </c>
      <c r="CP689" s="1894">
        <f t="shared" si="311"/>
        <v>1366364</v>
      </c>
      <c r="CQ689" s="1894">
        <f t="shared" si="312"/>
        <v>0</v>
      </c>
      <c r="CR689" s="1924">
        <v>4000</v>
      </c>
      <c r="CS689" s="1924">
        <v>3235.2000000000003</v>
      </c>
      <c r="CT689" s="1924">
        <v>3235.2</v>
      </c>
      <c r="CU689" s="1924">
        <v>0.94340000000000002</v>
      </c>
      <c r="CV689" s="1924">
        <v>12.25</v>
      </c>
      <c r="CW689" s="1924">
        <v>294960</v>
      </c>
      <c r="CX689" s="1894">
        <f t="shared" si="313"/>
        <v>1444193</v>
      </c>
      <c r="CY689" s="1894">
        <f t="shared" si="314"/>
        <v>0</v>
      </c>
    </row>
    <row r="690" spans="1:103">
      <c r="A690" s="982">
        <v>615000000009</v>
      </c>
      <c r="B690" s="1923">
        <f t="shared" si="315"/>
        <v>35</v>
      </c>
      <c r="C690" s="1895" t="s">
        <v>672</v>
      </c>
      <c r="D690" s="1894" t="s">
        <v>524</v>
      </c>
      <c r="E690" s="1895" t="s">
        <v>541</v>
      </c>
      <c r="F690" s="1894" t="s">
        <v>259</v>
      </c>
      <c r="G690" s="1924">
        <v>4400</v>
      </c>
      <c r="H690" s="1894">
        <v>4400</v>
      </c>
      <c r="I690" s="1894">
        <v>4624.8</v>
      </c>
      <c r="J690" s="1894">
        <v>4624.8</v>
      </c>
      <c r="K690" s="1894">
        <v>0.98160000000000003</v>
      </c>
      <c r="L690" s="1894">
        <v>78.790000000000006</v>
      </c>
      <c r="M690" s="1894">
        <v>2623470</v>
      </c>
      <c r="N690" s="1894">
        <f t="shared" si="291"/>
        <v>1997914</v>
      </c>
      <c r="O690" s="1894">
        <f t="shared" si="292"/>
        <v>625556</v>
      </c>
      <c r="P690" s="1894">
        <v>4400</v>
      </c>
      <c r="Q690" s="1894">
        <v>4252.8</v>
      </c>
      <c r="R690" s="1894">
        <v>4252.8</v>
      </c>
      <c r="S690" s="1894">
        <v>0.99519999999999997</v>
      </c>
      <c r="T690" s="1894">
        <v>82.96</v>
      </c>
      <c r="U690" s="1894">
        <v>2625030</v>
      </c>
      <c r="V690" s="1894">
        <f t="shared" si="293"/>
        <v>1898450</v>
      </c>
      <c r="W690" s="1894">
        <f t="shared" si="294"/>
        <v>726580</v>
      </c>
      <c r="X690" s="1894">
        <v>4400</v>
      </c>
      <c r="Y690" s="1894">
        <v>4548</v>
      </c>
      <c r="Z690" s="1894">
        <v>4548</v>
      </c>
      <c r="AA690" s="1894">
        <v>0.99539999999999995</v>
      </c>
      <c r="AB690" s="1894">
        <v>80.33</v>
      </c>
      <c r="AC690" s="1894">
        <v>2630310</v>
      </c>
      <c r="AD690" s="1894">
        <f t="shared" si="295"/>
        <v>1964736</v>
      </c>
      <c r="AE690" s="1894">
        <f t="shared" si="296"/>
        <v>665574</v>
      </c>
      <c r="AF690" s="1894">
        <v>4400</v>
      </c>
      <c r="AG690" s="1894">
        <v>4447.2</v>
      </c>
      <c r="AH690" s="1894">
        <v>4447.2</v>
      </c>
      <c r="AI690" s="1894">
        <v>0.99770000000000003</v>
      </c>
      <c r="AJ690" s="1894">
        <v>84.06</v>
      </c>
      <c r="AK690" s="1894">
        <v>2781210</v>
      </c>
      <c r="AL690" s="1894">
        <f t="shared" si="297"/>
        <v>1985230</v>
      </c>
      <c r="AM690" s="1894">
        <f t="shared" si="298"/>
        <v>795980</v>
      </c>
      <c r="AN690" s="1894">
        <v>4400</v>
      </c>
      <c r="AO690" s="1894">
        <v>4214.4000000000005</v>
      </c>
      <c r="AP690" s="1894">
        <v>4214.3999999999996</v>
      </c>
      <c r="AQ690" s="1894">
        <v>0.99809999999999999</v>
      </c>
      <c r="AR690" s="1894">
        <v>88.82</v>
      </c>
      <c r="AS690" s="1894">
        <v>2784930</v>
      </c>
      <c r="AT690" s="1894">
        <f t="shared" si="299"/>
        <v>1881308</v>
      </c>
      <c r="AU690" s="1894">
        <f t="shared" si="300"/>
        <v>903622</v>
      </c>
      <c r="AV690" s="1894">
        <v>4400</v>
      </c>
      <c r="AW690" s="1894">
        <v>4224</v>
      </c>
      <c r="AX690" s="1894">
        <v>4224</v>
      </c>
      <c r="AY690" s="1894">
        <v>0.99890000000000001</v>
      </c>
      <c r="AZ690" s="1894">
        <v>91.66</v>
      </c>
      <c r="BA690" s="1894">
        <v>2787780</v>
      </c>
      <c r="BB690" s="1894">
        <f t="shared" si="301"/>
        <v>1824768</v>
      </c>
      <c r="BC690" s="1894">
        <f t="shared" si="302"/>
        <v>963012</v>
      </c>
      <c r="BD690" s="1894">
        <v>4400</v>
      </c>
      <c r="BE690" s="1894">
        <v>4411.2</v>
      </c>
      <c r="BF690" s="1894">
        <v>4411.2</v>
      </c>
      <c r="BG690" s="1894">
        <v>0.99670000000000003</v>
      </c>
      <c r="BH690" s="1894">
        <v>85.88</v>
      </c>
      <c r="BI690" s="1894">
        <v>2818560</v>
      </c>
      <c r="BJ690" s="1894">
        <f t="shared" si="303"/>
        <v>1969160</v>
      </c>
      <c r="BK690" s="1894">
        <f t="shared" si="304"/>
        <v>849400</v>
      </c>
      <c r="BL690" s="1894">
        <v>4400</v>
      </c>
      <c r="BM690" s="1894">
        <v>4176</v>
      </c>
      <c r="BN690" s="1894">
        <v>4176</v>
      </c>
      <c r="BO690" s="1894">
        <v>0.99380000000000002</v>
      </c>
      <c r="BP690" s="1894">
        <v>91.72</v>
      </c>
      <c r="BQ690" s="1894">
        <v>2757720</v>
      </c>
      <c r="BR690" s="1894">
        <f t="shared" si="305"/>
        <v>1804032</v>
      </c>
      <c r="BS690" s="1894">
        <f t="shared" si="306"/>
        <v>953688</v>
      </c>
      <c r="BT690" s="1894">
        <v>4400</v>
      </c>
      <c r="BU690" s="1894">
        <v>4298.4000000000005</v>
      </c>
      <c r="BV690" s="1894">
        <v>4298.3999999999996</v>
      </c>
      <c r="BW690" s="1894">
        <v>0.98370000000000002</v>
      </c>
      <c r="BX690" s="1894">
        <v>63.37</v>
      </c>
      <c r="BY690" s="1894">
        <v>2026710</v>
      </c>
      <c r="BZ690" s="1894">
        <f t="shared" si="307"/>
        <v>1918806</v>
      </c>
      <c r="CA690" s="1894">
        <f t="shared" si="308"/>
        <v>107904</v>
      </c>
      <c r="CB690" s="1894">
        <v>4400</v>
      </c>
      <c r="CC690" s="1894">
        <v>4248</v>
      </c>
      <c r="CD690" s="1894">
        <v>4248</v>
      </c>
      <c r="CE690" s="1894">
        <v>0.9929</v>
      </c>
      <c r="CF690" s="1894">
        <v>80.41</v>
      </c>
      <c r="CG690" s="1894">
        <v>2541390</v>
      </c>
      <c r="CH690" s="1894">
        <f t="shared" si="309"/>
        <v>1896307</v>
      </c>
      <c r="CI690" s="1894">
        <f t="shared" si="310"/>
        <v>645083</v>
      </c>
      <c r="CJ690" s="1894">
        <v>4400</v>
      </c>
      <c r="CK690" s="1894">
        <v>4243.2000000000007</v>
      </c>
      <c r="CL690" s="1894">
        <v>4243.2</v>
      </c>
      <c r="CM690" s="1894">
        <v>0.99239999999999995</v>
      </c>
      <c r="CN690" s="1894">
        <v>79.61</v>
      </c>
      <c r="CO690" s="1894">
        <v>2270160</v>
      </c>
      <c r="CP690" s="1894">
        <f t="shared" si="311"/>
        <v>1710858</v>
      </c>
      <c r="CQ690" s="1894">
        <f t="shared" si="312"/>
        <v>559302</v>
      </c>
      <c r="CR690" s="1924">
        <v>4400</v>
      </c>
      <c r="CS690" s="1924">
        <v>4236</v>
      </c>
      <c r="CT690" s="1924">
        <v>4236</v>
      </c>
      <c r="CU690" s="1924">
        <v>0.98560000000000003</v>
      </c>
      <c r="CV690" s="1924">
        <v>71.069999999999993</v>
      </c>
      <c r="CW690" s="1924">
        <v>2239980</v>
      </c>
      <c r="CX690" s="1894">
        <f t="shared" si="313"/>
        <v>1890950</v>
      </c>
      <c r="CY690" s="1894">
        <f t="shared" si="314"/>
        <v>349030</v>
      </c>
    </row>
    <row r="691" spans="1:103">
      <c r="A691" s="982">
        <v>622000000200</v>
      </c>
      <c r="B691" s="1923">
        <f t="shared" si="315"/>
        <v>36</v>
      </c>
      <c r="C691" s="1895" t="s">
        <v>587</v>
      </c>
      <c r="D691" s="1894" t="s">
        <v>524</v>
      </c>
      <c r="E691" s="1895" t="s">
        <v>541</v>
      </c>
      <c r="F691" s="1894" t="s">
        <v>271</v>
      </c>
      <c r="G691" s="1924">
        <v>4445</v>
      </c>
      <c r="H691" s="1894">
        <v>4445</v>
      </c>
      <c r="I691" s="1894">
        <v>3240</v>
      </c>
      <c r="J691" s="1894">
        <v>3556</v>
      </c>
      <c r="K691" s="1894">
        <v>0.76049999999999995</v>
      </c>
      <c r="L691" s="1894">
        <v>18.41</v>
      </c>
      <c r="M691" s="1894">
        <v>429480</v>
      </c>
      <c r="N691" s="1894">
        <f t="shared" si="291"/>
        <v>1399680</v>
      </c>
      <c r="O691" s="1894">
        <f t="shared" si="292"/>
        <v>0</v>
      </c>
      <c r="P691" s="1894">
        <v>4445</v>
      </c>
      <c r="Q691" s="1894">
        <v>3240</v>
      </c>
      <c r="R691" s="1894">
        <v>3556</v>
      </c>
      <c r="S691" s="1894">
        <v>0.71730000000000005</v>
      </c>
      <c r="T691" s="1894">
        <v>24.5</v>
      </c>
      <c r="U691" s="1894">
        <v>590640</v>
      </c>
      <c r="V691" s="1894">
        <f t="shared" si="293"/>
        <v>1446336</v>
      </c>
      <c r="W691" s="1894">
        <f t="shared" si="294"/>
        <v>0</v>
      </c>
      <c r="X691" s="1894">
        <v>4445</v>
      </c>
      <c r="Y691" s="1894">
        <v>3000</v>
      </c>
      <c r="Z691" s="1894">
        <v>3556</v>
      </c>
      <c r="AA691" s="1894">
        <v>0.97360000000000002</v>
      </c>
      <c r="AB691" s="1894">
        <v>24.47</v>
      </c>
      <c r="AC691" s="1894">
        <v>528480</v>
      </c>
      <c r="AD691" s="1894">
        <f t="shared" si="295"/>
        <v>1296000</v>
      </c>
      <c r="AE691" s="1894">
        <f t="shared" si="296"/>
        <v>0</v>
      </c>
      <c r="AF691" s="1894">
        <v>4445</v>
      </c>
      <c r="AG691" s="1894">
        <v>3360</v>
      </c>
      <c r="AH691" s="1894">
        <v>3556</v>
      </c>
      <c r="AI691" s="1894">
        <v>0.78590000000000004</v>
      </c>
      <c r="AJ691" s="1894">
        <v>6.91</v>
      </c>
      <c r="AK691" s="1894">
        <v>172680</v>
      </c>
      <c r="AL691" s="1894">
        <f t="shared" si="297"/>
        <v>1499904</v>
      </c>
      <c r="AM691" s="1894">
        <f t="shared" si="298"/>
        <v>0</v>
      </c>
      <c r="AN691" s="1894">
        <v>4445</v>
      </c>
      <c r="AO691" s="1894">
        <v>3240</v>
      </c>
      <c r="AP691" s="1894">
        <v>3556</v>
      </c>
      <c r="AQ691" s="1894">
        <v>0.60340000000000005</v>
      </c>
      <c r="AR691" s="1894">
        <v>16.260000000000002</v>
      </c>
      <c r="AS691" s="1894">
        <v>391920</v>
      </c>
      <c r="AT691" s="1894">
        <f t="shared" si="299"/>
        <v>1446336</v>
      </c>
      <c r="AU691" s="1894">
        <f t="shared" si="300"/>
        <v>0</v>
      </c>
      <c r="AV691" s="1894">
        <v>4445</v>
      </c>
      <c r="AW691" s="1894">
        <v>1524</v>
      </c>
      <c r="AX691" s="1894">
        <v>3556</v>
      </c>
      <c r="AY691" s="1894">
        <v>0.48099999999999998</v>
      </c>
      <c r="AZ691" s="1894">
        <v>37.43</v>
      </c>
      <c r="BA691" s="1894">
        <v>410700</v>
      </c>
      <c r="BB691" s="1894">
        <f t="shared" si="301"/>
        <v>658368</v>
      </c>
      <c r="BC691" s="1894">
        <f t="shared" si="302"/>
        <v>0</v>
      </c>
      <c r="BD691" s="1894">
        <v>4445</v>
      </c>
      <c r="BE691" s="1894">
        <v>3168</v>
      </c>
      <c r="BF691" s="1894">
        <v>3556</v>
      </c>
      <c r="BG691" s="1894">
        <v>0.82850000000000001</v>
      </c>
      <c r="BH691" s="1894">
        <v>0.18</v>
      </c>
      <c r="BI691" s="1894">
        <v>4200</v>
      </c>
      <c r="BJ691" s="1894">
        <f t="shared" si="303"/>
        <v>1414195</v>
      </c>
      <c r="BK691" s="1894">
        <f t="shared" si="304"/>
        <v>0</v>
      </c>
      <c r="BL691" s="1894">
        <v>4445</v>
      </c>
      <c r="BM691" s="1894">
        <v>3444</v>
      </c>
      <c r="BN691" s="1894">
        <v>3556</v>
      </c>
      <c r="BO691" s="1894">
        <v>0.92530000000000001</v>
      </c>
      <c r="BP691" s="1894">
        <v>3.37</v>
      </c>
      <c r="BQ691" s="1894">
        <v>83580</v>
      </c>
      <c r="BR691" s="1894">
        <f t="shared" si="305"/>
        <v>1487808</v>
      </c>
      <c r="BS691" s="1894">
        <f t="shared" si="306"/>
        <v>0</v>
      </c>
      <c r="BT691" s="1894">
        <v>4445</v>
      </c>
      <c r="BU691" s="1894">
        <v>3360</v>
      </c>
      <c r="BV691" s="1894">
        <v>3556</v>
      </c>
      <c r="BW691" s="1894">
        <v>0.87050000000000005</v>
      </c>
      <c r="BX691" s="1894">
        <v>1.74</v>
      </c>
      <c r="BY691" s="1894">
        <v>43560</v>
      </c>
      <c r="BZ691" s="1894">
        <f t="shared" si="307"/>
        <v>1499904</v>
      </c>
      <c r="CA691" s="1894">
        <f t="shared" si="308"/>
        <v>0</v>
      </c>
      <c r="CB691" s="1894">
        <v>4445</v>
      </c>
      <c r="CC691" s="1894">
        <v>2952</v>
      </c>
      <c r="CD691" s="1894">
        <v>3556</v>
      </c>
      <c r="CE691" s="1894">
        <v>0.28749999999999998</v>
      </c>
      <c r="CF691" s="1894">
        <v>2.38</v>
      </c>
      <c r="CG691" s="1894">
        <v>52380</v>
      </c>
      <c r="CH691" s="1894">
        <f t="shared" si="309"/>
        <v>1317773</v>
      </c>
      <c r="CI691" s="1894">
        <f t="shared" si="310"/>
        <v>0</v>
      </c>
      <c r="CJ691" s="1894">
        <v>4445</v>
      </c>
      <c r="CK691" s="1894">
        <v>1368</v>
      </c>
      <c r="CL691" s="1894">
        <v>3556</v>
      </c>
      <c r="CM691" s="1894">
        <v>0.4945</v>
      </c>
      <c r="CN691" s="1894">
        <v>1.81</v>
      </c>
      <c r="CO691" s="1894">
        <v>16620</v>
      </c>
      <c r="CP691" s="1894">
        <f t="shared" si="311"/>
        <v>551578</v>
      </c>
      <c r="CQ691" s="1894">
        <f t="shared" si="312"/>
        <v>0</v>
      </c>
      <c r="CR691" s="1924">
        <v>4445</v>
      </c>
      <c r="CS691" s="1924">
        <v>1392</v>
      </c>
      <c r="CT691" s="1924">
        <v>3556</v>
      </c>
      <c r="CU691" s="1924">
        <v>0.37230000000000002</v>
      </c>
      <c r="CV691" s="1924">
        <v>5.99</v>
      </c>
      <c r="CW691" s="1924">
        <v>62040</v>
      </c>
      <c r="CX691" s="1894">
        <f t="shared" si="313"/>
        <v>621389</v>
      </c>
      <c r="CY691" s="1894">
        <f t="shared" si="314"/>
        <v>0</v>
      </c>
    </row>
    <row r="692" spans="1:103">
      <c r="A692" s="982">
        <v>621000000048</v>
      </c>
      <c r="B692" s="1923">
        <f t="shared" si="315"/>
        <v>37</v>
      </c>
      <c r="C692" s="1895" t="s">
        <v>3522</v>
      </c>
      <c r="D692" s="1894" t="s">
        <v>524</v>
      </c>
      <c r="E692" s="1895" t="s">
        <v>541</v>
      </c>
      <c r="F692" s="1894" t="s">
        <v>259</v>
      </c>
      <c r="G692" s="1924">
        <v>4500</v>
      </c>
      <c r="H692" s="1894">
        <v>4500</v>
      </c>
      <c r="I692" s="1894">
        <v>5112</v>
      </c>
      <c r="J692" s="1894">
        <v>5112</v>
      </c>
      <c r="K692" s="1894">
        <v>0.96450000000000002</v>
      </c>
      <c r="L692" s="1894">
        <v>83.7</v>
      </c>
      <c r="M692" s="1894">
        <v>3388800</v>
      </c>
      <c r="N692" s="1894">
        <f t="shared" si="291"/>
        <v>2208384</v>
      </c>
      <c r="O692" s="1894">
        <f t="shared" si="292"/>
        <v>1180416</v>
      </c>
      <c r="P692" s="1894">
        <v>4500</v>
      </c>
      <c r="Q692" s="1894">
        <v>5136</v>
      </c>
      <c r="R692" s="1894">
        <v>5136</v>
      </c>
      <c r="S692" s="1894">
        <v>0.95679999999999998</v>
      </c>
      <c r="T692" s="1894">
        <v>81.459999999999994</v>
      </c>
      <c r="U692" s="1894">
        <v>3112740</v>
      </c>
      <c r="V692" s="1894">
        <f t="shared" si="293"/>
        <v>2292710</v>
      </c>
      <c r="W692" s="1894">
        <f t="shared" si="294"/>
        <v>820030</v>
      </c>
      <c r="X692" s="1894">
        <v>4500</v>
      </c>
      <c r="Y692" s="1894">
        <v>5198.3999999999996</v>
      </c>
      <c r="Z692" s="1894">
        <v>5198.3999999999996</v>
      </c>
      <c r="AA692" s="1894">
        <v>0.95179999999999998</v>
      </c>
      <c r="AB692" s="1894">
        <v>79.83</v>
      </c>
      <c r="AC692" s="1894">
        <v>2987940</v>
      </c>
      <c r="AD692" s="1894">
        <f t="shared" si="295"/>
        <v>2245709</v>
      </c>
      <c r="AE692" s="1894">
        <f t="shared" si="296"/>
        <v>742231</v>
      </c>
      <c r="AF692" s="1894">
        <v>4500</v>
      </c>
      <c r="AG692" s="1894">
        <v>5136</v>
      </c>
      <c r="AH692" s="1894">
        <v>5136</v>
      </c>
      <c r="AI692" s="1894">
        <v>0.95309999999999995</v>
      </c>
      <c r="AJ692" s="1894">
        <v>81.95</v>
      </c>
      <c r="AK692" s="1894">
        <v>3131400</v>
      </c>
      <c r="AL692" s="1894">
        <f t="shared" si="297"/>
        <v>2292710</v>
      </c>
      <c r="AM692" s="1894">
        <f t="shared" si="298"/>
        <v>838690</v>
      </c>
      <c r="AN692" s="1894">
        <v>4500</v>
      </c>
      <c r="AO692" s="1894">
        <v>4977.6000000000004</v>
      </c>
      <c r="AP692" s="1894">
        <v>4977.6000000000004</v>
      </c>
      <c r="AQ692" s="1894">
        <v>0.95899999999999996</v>
      </c>
      <c r="AR692" s="1894">
        <v>77.48</v>
      </c>
      <c r="AS692" s="1894">
        <v>2869200</v>
      </c>
      <c r="AT692" s="1894">
        <f t="shared" si="299"/>
        <v>2222001</v>
      </c>
      <c r="AU692" s="1894">
        <f t="shared" si="300"/>
        <v>647199</v>
      </c>
      <c r="AV692" s="1894">
        <v>4500</v>
      </c>
      <c r="AW692" s="1894">
        <v>5088</v>
      </c>
      <c r="AX692" s="1894">
        <v>5088</v>
      </c>
      <c r="AY692" s="1894">
        <v>0.95430000000000004</v>
      </c>
      <c r="AZ692" s="1894">
        <v>75.760000000000005</v>
      </c>
      <c r="BA692" s="1894">
        <v>2775300</v>
      </c>
      <c r="BB692" s="1894">
        <f t="shared" si="301"/>
        <v>2198016</v>
      </c>
      <c r="BC692" s="1894">
        <f t="shared" si="302"/>
        <v>577284</v>
      </c>
      <c r="BD692" s="1894">
        <v>4500</v>
      </c>
      <c r="BE692" s="1894">
        <v>5121.6000000000004</v>
      </c>
      <c r="BF692" s="1894">
        <v>5121.6000000000004</v>
      </c>
      <c r="BG692" s="1894">
        <v>0.95499999999999996</v>
      </c>
      <c r="BH692" s="1894">
        <v>76.64</v>
      </c>
      <c r="BI692" s="1894">
        <v>2920440</v>
      </c>
      <c r="BJ692" s="1894">
        <f t="shared" si="303"/>
        <v>2286282</v>
      </c>
      <c r="BK692" s="1894">
        <f t="shared" si="304"/>
        <v>634158</v>
      </c>
      <c r="BL692" s="1894">
        <v>4500</v>
      </c>
      <c r="BM692" s="1894">
        <v>5174.4000000000005</v>
      </c>
      <c r="BN692" s="1894">
        <v>5174.3999999999996</v>
      </c>
      <c r="BO692" s="1894">
        <v>0.95150000000000001</v>
      </c>
      <c r="BP692" s="1894">
        <v>78.72</v>
      </c>
      <c r="BQ692" s="1894">
        <v>2932920</v>
      </c>
      <c r="BR692" s="1894">
        <f t="shared" si="305"/>
        <v>2235341</v>
      </c>
      <c r="BS692" s="1894">
        <f t="shared" si="306"/>
        <v>697579</v>
      </c>
      <c r="BT692" s="1894">
        <v>4500</v>
      </c>
      <c r="BU692" s="1894">
        <v>5203.2</v>
      </c>
      <c r="BV692" s="1894">
        <v>5203.2</v>
      </c>
      <c r="BW692" s="1894">
        <v>0.96160000000000001</v>
      </c>
      <c r="BX692" s="1894">
        <v>79.5</v>
      </c>
      <c r="BY692" s="1894">
        <v>3077640</v>
      </c>
      <c r="BZ692" s="1894">
        <f t="shared" si="307"/>
        <v>2322708</v>
      </c>
      <c r="CA692" s="1894">
        <f t="shared" si="308"/>
        <v>754932</v>
      </c>
      <c r="CB692" s="1894">
        <v>4500</v>
      </c>
      <c r="CC692" s="1894">
        <v>5198.3999999999996</v>
      </c>
      <c r="CD692" s="1894">
        <v>5198.3999999999996</v>
      </c>
      <c r="CE692" s="1894">
        <v>0.95550000000000002</v>
      </c>
      <c r="CF692" s="1894">
        <v>77.53</v>
      </c>
      <c r="CG692" s="1894">
        <v>2998440</v>
      </c>
      <c r="CH692" s="1894">
        <f t="shared" si="309"/>
        <v>2320566</v>
      </c>
      <c r="CI692" s="1894">
        <f t="shared" si="310"/>
        <v>677874</v>
      </c>
      <c r="CJ692" s="1894">
        <v>4500</v>
      </c>
      <c r="CK692" s="1894">
        <v>4944</v>
      </c>
      <c r="CL692" s="1894">
        <v>4944</v>
      </c>
      <c r="CM692" s="1894">
        <v>0.96779999999999999</v>
      </c>
      <c r="CN692" s="1894">
        <v>82.03</v>
      </c>
      <c r="CO692" s="1894">
        <v>2725200</v>
      </c>
      <c r="CP692" s="1894">
        <f t="shared" si="311"/>
        <v>1993421</v>
      </c>
      <c r="CQ692" s="1894">
        <f t="shared" si="312"/>
        <v>731779</v>
      </c>
      <c r="CR692" s="1924">
        <v>4500</v>
      </c>
      <c r="CS692" s="1924">
        <v>4804.8</v>
      </c>
      <c r="CT692" s="1924">
        <v>4804.8</v>
      </c>
      <c r="CU692" s="1924">
        <v>0.97330000000000005</v>
      </c>
      <c r="CV692" s="1924">
        <v>73.19</v>
      </c>
      <c r="CW692" s="1924">
        <v>2616480</v>
      </c>
      <c r="CX692" s="1894">
        <f t="shared" si="313"/>
        <v>2144863</v>
      </c>
      <c r="CY692" s="1894">
        <f t="shared" si="314"/>
        <v>471617</v>
      </c>
    </row>
    <row r="693" spans="1:103">
      <c r="A693" s="982">
        <v>611000000115</v>
      </c>
      <c r="B693" s="1923">
        <f t="shared" si="315"/>
        <v>38</v>
      </c>
      <c r="C693" s="1895" t="s">
        <v>3648</v>
      </c>
      <c r="D693" s="1894" t="s">
        <v>2930</v>
      </c>
      <c r="E693" s="1895" t="s">
        <v>3392</v>
      </c>
      <c r="F693" s="1894" t="s">
        <v>259</v>
      </c>
      <c r="G693" s="1894">
        <v>5000</v>
      </c>
      <c r="H693" s="1894">
        <v>5000</v>
      </c>
      <c r="I693" s="1894">
        <v>933.59999999999991</v>
      </c>
      <c r="J693" s="1894">
        <v>4000</v>
      </c>
      <c r="K693" s="1894">
        <v>0.97940000000000005</v>
      </c>
      <c r="L693" s="1894">
        <v>50.85</v>
      </c>
      <c r="M693" s="1925">
        <v>284835</v>
      </c>
      <c r="N693" s="1894">
        <f t="shared" si="291"/>
        <v>403315</v>
      </c>
      <c r="O693" s="1894">
        <f t="shared" si="292"/>
        <v>0</v>
      </c>
      <c r="P693" s="1894">
        <v>5000</v>
      </c>
      <c r="Q693" s="1894">
        <v>943.2</v>
      </c>
      <c r="R693" s="1894">
        <v>4000</v>
      </c>
      <c r="S693" s="1894">
        <v>0.98370000000000002</v>
      </c>
      <c r="T693" s="1894">
        <v>48.59</v>
      </c>
      <c r="U693" s="1894">
        <v>396000</v>
      </c>
      <c r="V693" s="1894">
        <f t="shared" si="293"/>
        <v>421044</v>
      </c>
      <c r="W693" s="1894">
        <f t="shared" si="294"/>
        <v>0</v>
      </c>
      <c r="X693" s="1894">
        <v>5000</v>
      </c>
      <c r="Y693" s="1894">
        <v>984</v>
      </c>
      <c r="Z693" s="1894">
        <v>4000</v>
      </c>
      <c r="AA693" s="1894">
        <v>0.99709999999999999</v>
      </c>
      <c r="AB693" s="1894">
        <v>42.67</v>
      </c>
      <c r="AC693" s="1894">
        <v>302280</v>
      </c>
      <c r="AD693" s="1894">
        <f t="shared" si="295"/>
        <v>425088</v>
      </c>
      <c r="AE693" s="1894">
        <f t="shared" si="296"/>
        <v>0</v>
      </c>
      <c r="AF693" s="1894">
        <v>5000</v>
      </c>
      <c r="AG693" s="1894">
        <v>1456.8</v>
      </c>
      <c r="AH693" s="1894">
        <v>4000</v>
      </c>
      <c r="AI693" s="1894">
        <v>0.96199999999999997</v>
      </c>
      <c r="AJ693" s="1894">
        <v>38.56</v>
      </c>
      <c r="AK693" s="1894">
        <v>417930</v>
      </c>
      <c r="AL693" s="1894">
        <v>650316</v>
      </c>
      <c r="AM693" s="1894">
        <v>0</v>
      </c>
      <c r="AN693" s="1894">
        <v>5000</v>
      </c>
      <c r="AO693" s="1894">
        <v>2181.6</v>
      </c>
      <c r="AP693" s="1894">
        <v>4000</v>
      </c>
      <c r="AQ693" s="1894">
        <v>0.81210000000000004</v>
      </c>
      <c r="AR693" s="1894">
        <v>38.83</v>
      </c>
      <c r="AS693" s="1894">
        <v>589650</v>
      </c>
      <c r="AT693" s="1894">
        <f t="shared" si="299"/>
        <v>973866</v>
      </c>
      <c r="AU693" s="1894">
        <f t="shared" si="300"/>
        <v>0</v>
      </c>
      <c r="AV693" s="1894">
        <v>5000</v>
      </c>
      <c r="AW693" s="1894">
        <v>4118.3999999999996</v>
      </c>
      <c r="AX693" s="1894">
        <v>4118.3999999999996</v>
      </c>
      <c r="AY693" s="1894">
        <v>0.72840000000000005</v>
      </c>
      <c r="AZ693" s="1894">
        <v>39.82</v>
      </c>
      <c r="BA693" s="1894">
        <v>865860</v>
      </c>
      <c r="BB693" s="1894">
        <f t="shared" si="301"/>
        <v>1779149</v>
      </c>
      <c r="BC693" s="1894">
        <f t="shared" si="302"/>
        <v>0</v>
      </c>
      <c r="BD693" s="1894">
        <v>0</v>
      </c>
      <c r="BE693" s="1894">
        <v>0</v>
      </c>
      <c r="BF693" s="1894">
        <v>0</v>
      </c>
      <c r="BG693" s="1894">
        <v>0</v>
      </c>
      <c r="BH693" s="1894">
        <v>0</v>
      </c>
      <c r="BI693" s="1894">
        <v>0</v>
      </c>
      <c r="BJ693" s="1894">
        <f t="shared" si="303"/>
        <v>0</v>
      </c>
      <c r="BK693" s="1894">
        <f t="shared" si="304"/>
        <v>0</v>
      </c>
      <c r="BL693" s="1894">
        <v>0</v>
      </c>
      <c r="BM693" s="1894">
        <v>0</v>
      </c>
      <c r="BN693" s="1894">
        <v>0</v>
      </c>
      <c r="BO693" s="1894">
        <v>0</v>
      </c>
      <c r="BP693" s="1894">
        <v>0</v>
      </c>
      <c r="BQ693" s="1894">
        <v>0</v>
      </c>
      <c r="BR693" s="1894">
        <f t="shared" si="305"/>
        <v>0</v>
      </c>
      <c r="BS693" s="1894">
        <f t="shared" si="306"/>
        <v>0</v>
      </c>
      <c r="BT693" s="1894">
        <v>0</v>
      </c>
      <c r="BU693" s="1894">
        <v>0</v>
      </c>
      <c r="BV693" s="1894">
        <v>0</v>
      </c>
      <c r="BW693" s="1894">
        <v>0</v>
      </c>
      <c r="BX693" s="1894">
        <v>0</v>
      </c>
      <c r="BY693" s="1894">
        <v>0</v>
      </c>
      <c r="BZ693" s="1894">
        <f t="shared" si="307"/>
        <v>0</v>
      </c>
      <c r="CA693" s="1894">
        <f t="shared" si="308"/>
        <v>0</v>
      </c>
      <c r="CB693" s="1894">
        <v>5000</v>
      </c>
      <c r="CC693" s="1894">
        <v>0</v>
      </c>
      <c r="CD693" s="1894">
        <v>0</v>
      </c>
      <c r="CE693" s="1894">
        <v>0</v>
      </c>
      <c r="CF693" s="1894">
        <v>0</v>
      </c>
      <c r="CG693" s="1894">
        <v>0</v>
      </c>
      <c r="CH693" s="1894">
        <f t="shared" si="309"/>
        <v>0</v>
      </c>
      <c r="CI693" s="1894">
        <f t="shared" si="310"/>
        <v>0</v>
      </c>
      <c r="CJ693" s="1894">
        <v>0</v>
      </c>
      <c r="CK693" s="1894">
        <v>0</v>
      </c>
      <c r="CL693" s="1894">
        <v>0</v>
      </c>
      <c r="CM693" s="1894">
        <v>0</v>
      </c>
      <c r="CN693" s="1894">
        <v>0</v>
      </c>
      <c r="CO693" s="1894">
        <v>0</v>
      </c>
      <c r="CP693" s="1894">
        <f t="shared" si="311"/>
        <v>0</v>
      </c>
      <c r="CQ693" s="1894">
        <f t="shared" si="312"/>
        <v>0</v>
      </c>
      <c r="CR693" s="1894">
        <v>0</v>
      </c>
      <c r="CS693" s="1894">
        <v>0</v>
      </c>
      <c r="CT693" s="1894">
        <v>0</v>
      </c>
      <c r="CU693" s="1894">
        <v>0</v>
      </c>
      <c r="CV693" s="1894">
        <v>0</v>
      </c>
      <c r="CW693" s="1894">
        <v>0</v>
      </c>
      <c r="CX693" s="1894">
        <f t="shared" si="313"/>
        <v>0</v>
      </c>
      <c r="CY693" s="1894">
        <f t="shared" si="314"/>
        <v>0</v>
      </c>
    </row>
    <row r="694" spans="1:103">
      <c r="A694" s="982">
        <v>615000000035</v>
      </c>
      <c r="B694" s="1923">
        <f t="shared" si="315"/>
        <v>39</v>
      </c>
      <c r="C694" s="1895" t="s">
        <v>718</v>
      </c>
      <c r="D694" s="1894" t="s">
        <v>524</v>
      </c>
      <c r="E694" s="1895" t="s">
        <v>709</v>
      </c>
      <c r="F694" s="1894" t="s">
        <v>259</v>
      </c>
      <c r="G694" s="1924">
        <v>5092</v>
      </c>
      <c r="H694" s="1894">
        <v>5092</v>
      </c>
      <c r="I694" s="1894">
        <v>522</v>
      </c>
      <c r="J694" s="1894">
        <v>4073.6</v>
      </c>
      <c r="K694" s="1894">
        <v>1</v>
      </c>
      <c r="L694" s="1894">
        <v>4.8600000000000003</v>
      </c>
      <c r="M694" s="1894">
        <v>19500</v>
      </c>
      <c r="N694" s="1894">
        <f t="shared" si="291"/>
        <v>225504</v>
      </c>
      <c r="O694" s="1894">
        <f t="shared" si="292"/>
        <v>0</v>
      </c>
      <c r="P694" s="1894">
        <v>5092</v>
      </c>
      <c r="Q694" s="1894">
        <v>78</v>
      </c>
      <c r="R694" s="1894">
        <v>4073.6</v>
      </c>
      <c r="S694" s="1894">
        <v>1</v>
      </c>
      <c r="T694" s="1894">
        <v>20.83</v>
      </c>
      <c r="U694" s="1894">
        <v>12090</v>
      </c>
      <c r="V694" s="1894">
        <f t="shared" si="293"/>
        <v>34819</v>
      </c>
      <c r="W694" s="1894">
        <f t="shared" si="294"/>
        <v>0</v>
      </c>
      <c r="X694" s="1894">
        <v>5092</v>
      </c>
      <c r="Y694" s="1894">
        <v>36</v>
      </c>
      <c r="Z694" s="1894">
        <v>4073.6</v>
      </c>
      <c r="AA694" s="1894">
        <v>1</v>
      </c>
      <c r="AB694" s="1894">
        <v>37.619999999999997</v>
      </c>
      <c r="AC694" s="1894">
        <v>9750</v>
      </c>
      <c r="AD694" s="1894">
        <f t="shared" si="295"/>
        <v>15552</v>
      </c>
      <c r="AE694" s="1894">
        <f t="shared" si="296"/>
        <v>0</v>
      </c>
      <c r="AF694" s="1894">
        <v>5092</v>
      </c>
      <c r="AG694" s="1894">
        <v>942</v>
      </c>
      <c r="AH694" s="1894">
        <v>4073.6</v>
      </c>
      <c r="AI694" s="1894">
        <v>0.98170000000000002</v>
      </c>
      <c r="AJ694" s="1894">
        <v>10.3</v>
      </c>
      <c r="AK694" s="1894">
        <v>72180</v>
      </c>
      <c r="AL694" s="1894">
        <f>+ROUND((24*31*0.6*AG694),0)</f>
        <v>420509</v>
      </c>
      <c r="AM694" s="1894">
        <f>+MAX((AK694-AL694),0)</f>
        <v>0</v>
      </c>
      <c r="AN694" s="1894">
        <v>5092</v>
      </c>
      <c r="AO694" s="1894">
        <v>996.00000000000011</v>
      </c>
      <c r="AP694" s="1894">
        <v>4073.6</v>
      </c>
      <c r="AQ694" s="1894">
        <v>0.97909999999999997</v>
      </c>
      <c r="AR694" s="1894">
        <v>11.06</v>
      </c>
      <c r="AS694" s="1894">
        <v>81960</v>
      </c>
      <c r="AT694" s="1894">
        <f t="shared" si="299"/>
        <v>444614</v>
      </c>
      <c r="AU694" s="1894">
        <f t="shared" si="300"/>
        <v>0</v>
      </c>
      <c r="AV694" s="1894">
        <v>5092</v>
      </c>
      <c r="AW694" s="1894">
        <v>960</v>
      </c>
      <c r="AX694" s="1894">
        <v>4073.6</v>
      </c>
      <c r="AY694" s="1894">
        <v>0.97960000000000003</v>
      </c>
      <c r="AZ694" s="1894">
        <v>15.36</v>
      </c>
      <c r="BA694" s="1894">
        <v>106170</v>
      </c>
      <c r="BB694" s="1894">
        <f t="shared" si="301"/>
        <v>414720</v>
      </c>
      <c r="BC694" s="1894">
        <f t="shared" si="302"/>
        <v>0</v>
      </c>
      <c r="BD694" s="1894">
        <v>5092</v>
      </c>
      <c r="BE694" s="1894">
        <v>564</v>
      </c>
      <c r="BF694" s="1894">
        <v>4073.6</v>
      </c>
      <c r="BG694" s="1894">
        <v>1</v>
      </c>
      <c r="BH694" s="1894">
        <v>6.38</v>
      </c>
      <c r="BI694" s="1894">
        <v>26760</v>
      </c>
      <c r="BJ694" s="1894">
        <f t="shared" si="303"/>
        <v>251770</v>
      </c>
      <c r="BK694" s="1894">
        <f t="shared" si="304"/>
        <v>0</v>
      </c>
      <c r="BL694" s="1894">
        <v>5092</v>
      </c>
      <c r="BM694" s="1894">
        <v>276</v>
      </c>
      <c r="BN694" s="1894">
        <v>4073.6</v>
      </c>
      <c r="BO694" s="1894">
        <v>0.99890000000000001</v>
      </c>
      <c r="BP694" s="1894">
        <v>14.34</v>
      </c>
      <c r="BQ694" s="1894">
        <v>28500</v>
      </c>
      <c r="BR694" s="1894">
        <f t="shared" si="305"/>
        <v>119232</v>
      </c>
      <c r="BS694" s="1894">
        <f t="shared" si="306"/>
        <v>0</v>
      </c>
      <c r="BT694" s="1894">
        <v>5092</v>
      </c>
      <c r="BU694" s="1894">
        <v>60</v>
      </c>
      <c r="BV694" s="1894">
        <v>4073.6</v>
      </c>
      <c r="BW694" s="1894">
        <v>1</v>
      </c>
      <c r="BX694" s="1894">
        <v>8.1300000000000008</v>
      </c>
      <c r="BY694" s="1894">
        <v>3630</v>
      </c>
      <c r="BZ694" s="1894">
        <f t="shared" si="307"/>
        <v>26784</v>
      </c>
      <c r="CA694" s="1894">
        <f t="shared" si="308"/>
        <v>0</v>
      </c>
      <c r="CB694" s="1894">
        <v>5092</v>
      </c>
      <c r="CC694" s="1894">
        <v>48</v>
      </c>
      <c r="CD694" s="1894">
        <v>4073.6</v>
      </c>
      <c r="CE694" s="1894">
        <v>1</v>
      </c>
      <c r="CF694" s="1894">
        <v>48.05</v>
      </c>
      <c r="CG694" s="1894">
        <v>17160</v>
      </c>
      <c r="CH694" s="1894">
        <f t="shared" si="309"/>
        <v>21427</v>
      </c>
      <c r="CI694" s="1894">
        <f t="shared" si="310"/>
        <v>0</v>
      </c>
      <c r="CJ694" s="1894">
        <v>5092</v>
      </c>
      <c r="CK694" s="1894">
        <v>54</v>
      </c>
      <c r="CL694" s="1894">
        <v>4073.6</v>
      </c>
      <c r="CM694" s="1894">
        <v>1</v>
      </c>
      <c r="CN694" s="1894">
        <v>56.71</v>
      </c>
      <c r="CO694" s="1894">
        <v>20580</v>
      </c>
      <c r="CP694" s="1894">
        <f t="shared" si="311"/>
        <v>21773</v>
      </c>
      <c r="CQ694" s="1894">
        <f t="shared" si="312"/>
        <v>0</v>
      </c>
      <c r="CR694" s="1924">
        <v>5092</v>
      </c>
      <c r="CS694" s="1924">
        <v>54</v>
      </c>
      <c r="CT694" s="1924">
        <v>4073.6</v>
      </c>
      <c r="CU694" s="1924">
        <v>1.0016</v>
      </c>
      <c r="CV694" s="1924">
        <v>46.45</v>
      </c>
      <c r="CW694" s="1924">
        <v>18660</v>
      </c>
      <c r="CX694" s="1894">
        <f t="shared" si="313"/>
        <v>24106</v>
      </c>
      <c r="CY694" s="1894">
        <f t="shared" si="314"/>
        <v>0</v>
      </c>
    </row>
    <row r="695" spans="1:103">
      <c r="A695" s="982">
        <v>622000000004</v>
      </c>
      <c r="B695" s="1923">
        <f t="shared" si="315"/>
        <v>40</v>
      </c>
      <c r="C695" s="1895" t="s">
        <v>578</v>
      </c>
      <c r="D695" s="1894" t="s">
        <v>524</v>
      </c>
      <c r="E695" s="1895" t="s">
        <v>541</v>
      </c>
      <c r="F695" s="1894" t="s">
        <v>271</v>
      </c>
      <c r="G695" s="1924">
        <v>5500</v>
      </c>
      <c r="H695" s="1894">
        <v>5500</v>
      </c>
      <c r="I695" s="1894">
        <v>4752</v>
      </c>
      <c r="J695" s="1894">
        <v>4752</v>
      </c>
      <c r="K695" s="1894">
        <v>0.97170000000000001</v>
      </c>
      <c r="L695" s="1894">
        <v>50</v>
      </c>
      <c r="M695" s="1894">
        <v>1900800</v>
      </c>
      <c r="N695" s="1894">
        <f t="shared" si="291"/>
        <v>2052864</v>
      </c>
      <c r="O695" s="1894">
        <f t="shared" si="292"/>
        <v>0</v>
      </c>
      <c r="P695" s="1894">
        <v>5500</v>
      </c>
      <c r="Q695" s="1894">
        <v>5232</v>
      </c>
      <c r="R695" s="1894">
        <v>5232</v>
      </c>
      <c r="S695" s="1894">
        <v>0.9577</v>
      </c>
      <c r="T695" s="1894">
        <v>47.04</v>
      </c>
      <c r="U695" s="1894">
        <v>2034720</v>
      </c>
      <c r="V695" s="1894">
        <f t="shared" si="293"/>
        <v>2335565</v>
      </c>
      <c r="W695" s="1894">
        <f t="shared" si="294"/>
        <v>0</v>
      </c>
      <c r="X695" s="1894">
        <v>5500</v>
      </c>
      <c r="Y695" s="1894">
        <v>4896</v>
      </c>
      <c r="Z695" s="1894">
        <v>4896</v>
      </c>
      <c r="AA695" s="1894">
        <v>0.95509999999999995</v>
      </c>
      <c r="AB695" s="1894">
        <v>50.11</v>
      </c>
      <c r="AC695" s="1894">
        <v>1962720</v>
      </c>
      <c r="AD695" s="1894">
        <f t="shared" si="295"/>
        <v>2115072</v>
      </c>
      <c r="AE695" s="1894">
        <f t="shared" si="296"/>
        <v>0</v>
      </c>
      <c r="AF695" s="1894">
        <v>5500</v>
      </c>
      <c r="AG695" s="1894">
        <v>4704</v>
      </c>
      <c r="AH695" s="1894">
        <v>4704</v>
      </c>
      <c r="AI695" s="1894">
        <v>0.96730000000000005</v>
      </c>
      <c r="AJ695" s="1894">
        <v>51.49</v>
      </c>
      <c r="AK695" s="1894">
        <v>2002320</v>
      </c>
      <c r="AL695" s="1894">
        <f>+ROUND((24*31*0.6*AG695),0)</f>
        <v>2099866</v>
      </c>
      <c r="AM695" s="1894">
        <f>+MAX((AK695-AL695),0)</f>
        <v>0</v>
      </c>
      <c r="AN695" s="1894">
        <v>5500</v>
      </c>
      <c r="AO695" s="1894">
        <v>5136</v>
      </c>
      <c r="AP695" s="1894">
        <v>5136</v>
      </c>
      <c r="AQ695" s="1894">
        <v>0.95669999999999999</v>
      </c>
      <c r="AR695" s="1894">
        <v>47.27</v>
      </c>
      <c r="AS695" s="1894">
        <v>2006880</v>
      </c>
      <c r="AT695" s="1894">
        <f t="shared" si="299"/>
        <v>2292710</v>
      </c>
      <c r="AU695" s="1894">
        <f t="shared" si="300"/>
        <v>0</v>
      </c>
      <c r="AV695" s="1894">
        <v>5500</v>
      </c>
      <c r="AW695" s="1894">
        <v>5040</v>
      </c>
      <c r="AX695" s="1894">
        <v>5040</v>
      </c>
      <c r="AY695" s="1894">
        <v>0.94499999999999995</v>
      </c>
      <c r="AZ695" s="1894">
        <v>47.99</v>
      </c>
      <c r="BA695" s="1894">
        <v>1935120</v>
      </c>
      <c r="BB695" s="1894">
        <f t="shared" si="301"/>
        <v>2177280</v>
      </c>
      <c r="BC695" s="1894">
        <f t="shared" si="302"/>
        <v>0</v>
      </c>
      <c r="BD695" s="1894">
        <v>5500</v>
      </c>
      <c r="BE695" s="1894">
        <v>4944</v>
      </c>
      <c r="BF695" s="1894">
        <v>4944</v>
      </c>
      <c r="BG695" s="1894">
        <v>0.93120000000000003</v>
      </c>
      <c r="BH695" s="1894">
        <v>46.2</v>
      </c>
      <c r="BI695" s="1894">
        <v>1888320</v>
      </c>
      <c r="BJ695" s="1894">
        <f t="shared" si="303"/>
        <v>2207002</v>
      </c>
      <c r="BK695" s="1894">
        <f t="shared" si="304"/>
        <v>0</v>
      </c>
      <c r="BL695" s="1894">
        <v>5500</v>
      </c>
      <c r="BM695" s="1894">
        <v>4656</v>
      </c>
      <c r="BN695" s="1894">
        <v>4656</v>
      </c>
      <c r="BO695" s="1894">
        <v>0.93840000000000001</v>
      </c>
      <c r="BP695" s="1894">
        <v>49.75</v>
      </c>
      <c r="BQ695" s="1894">
        <v>1853040</v>
      </c>
      <c r="BR695" s="1894">
        <f t="shared" si="305"/>
        <v>2011392</v>
      </c>
      <c r="BS695" s="1894">
        <f t="shared" si="306"/>
        <v>0</v>
      </c>
      <c r="BT695" s="1894">
        <v>5500</v>
      </c>
      <c r="BU695" s="1894">
        <v>4944</v>
      </c>
      <c r="BV695" s="1894">
        <v>4944</v>
      </c>
      <c r="BW695" s="1894">
        <v>0.93500000000000005</v>
      </c>
      <c r="BX695" s="1894">
        <v>49.63</v>
      </c>
      <c r="BY695" s="1894">
        <v>2028240</v>
      </c>
      <c r="BZ695" s="1894">
        <f t="shared" si="307"/>
        <v>2207002</v>
      </c>
      <c r="CA695" s="1894">
        <f t="shared" si="308"/>
        <v>0</v>
      </c>
      <c r="CB695" s="1894">
        <v>5500</v>
      </c>
      <c r="CC695" s="1894">
        <v>5280</v>
      </c>
      <c r="CD695" s="1894">
        <v>5280</v>
      </c>
      <c r="CE695" s="1894">
        <v>0.93540000000000001</v>
      </c>
      <c r="CF695" s="1894">
        <v>48.04</v>
      </c>
      <c r="CG695" s="1894">
        <v>2096640</v>
      </c>
      <c r="CH695" s="1894">
        <f t="shared" si="309"/>
        <v>2356992</v>
      </c>
      <c r="CI695" s="1894">
        <f t="shared" si="310"/>
        <v>0</v>
      </c>
      <c r="CJ695" s="1894">
        <v>5500</v>
      </c>
      <c r="CK695" s="1894">
        <v>5088</v>
      </c>
      <c r="CL695" s="1894">
        <v>5088</v>
      </c>
      <c r="CM695" s="1894">
        <v>0.91839999999999999</v>
      </c>
      <c r="CN695" s="1894">
        <v>49.88</v>
      </c>
      <c r="CO695" s="1894">
        <v>1895040</v>
      </c>
      <c r="CP695" s="1894">
        <f t="shared" si="311"/>
        <v>2051482</v>
      </c>
      <c r="CQ695" s="1894">
        <f t="shared" si="312"/>
        <v>0</v>
      </c>
      <c r="CR695" s="1924">
        <v>5500</v>
      </c>
      <c r="CS695" s="1924">
        <v>4848</v>
      </c>
      <c r="CT695" s="1924">
        <v>4848</v>
      </c>
      <c r="CU695" s="1924">
        <v>0.94410000000000005</v>
      </c>
      <c r="CV695" s="1924">
        <v>49.03</v>
      </c>
      <c r="CW695" s="1924">
        <v>1964880</v>
      </c>
      <c r="CX695" s="1894">
        <f t="shared" si="313"/>
        <v>2164147</v>
      </c>
      <c r="CY695" s="1894">
        <f t="shared" si="314"/>
        <v>0</v>
      </c>
    </row>
    <row r="696" spans="1:103">
      <c r="A696" s="982">
        <v>621000000004</v>
      </c>
      <c r="B696" s="1923">
        <f t="shared" si="315"/>
        <v>41</v>
      </c>
      <c r="C696" s="1895" t="s">
        <v>674</v>
      </c>
      <c r="D696" s="1894" t="s">
        <v>524</v>
      </c>
      <c r="E696" s="1895" t="s">
        <v>541</v>
      </c>
      <c r="F696" s="1894" t="s">
        <v>259</v>
      </c>
      <c r="G696" s="1924">
        <v>5500</v>
      </c>
      <c r="H696" s="1894">
        <v>4200</v>
      </c>
      <c r="I696" s="1894">
        <v>4279.2</v>
      </c>
      <c r="J696" s="1894">
        <v>4279.2</v>
      </c>
      <c r="K696" s="1894">
        <v>0.94750000000000001</v>
      </c>
      <c r="L696" s="1894">
        <v>63.67</v>
      </c>
      <c r="M696" s="1894">
        <v>1961760</v>
      </c>
      <c r="N696" s="1894">
        <f t="shared" si="291"/>
        <v>1848614</v>
      </c>
      <c r="O696" s="1894">
        <f t="shared" si="292"/>
        <v>113146</v>
      </c>
      <c r="P696" s="1894">
        <v>4200</v>
      </c>
      <c r="Q696" s="1894">
        <v>4353.6000000000004</v>
      </c>
      <c r="R696" s="1894">
        <v>4353.6000000000004</v>
      </c>
      <c r="S696" s="1894">
        <v>0.94410000000000005</v>
      </c>
      <c r="T696" s="1894">
        <v>84.38</v>
      </c>
      <c r="U696" s="1894">
        <v>2733270</v>
      </c>
      <c r="V696" s="1894">
        <f t="shared" si="293"/>
        <v>1943447</v>
      </c>
      <c r="W696" s="1894">
        <f t="shared" si="294"/>
        <v>789823</v>
      </c>
      <c r="X696" s="1894">
        <v>4200</v>
      </c>
      <c r="Y696" s="1894">
        <v>4336.8</v>
      </c>
      <c r="Z696" s="1894">
        <v>4336.8</v>
      </c>
      <c r="AA696" s="1894">
        <v>0.94440000000000002</v>
      </c>
      <c r="AB696" s="1894">
        <v>91.81</v>
      </c>
      <c r="AC696" s="1894">
        <v>2866680</v>
      </c>
      <c r="AD696" s="1894">
        <f t="shared" si="295"/>
        <v>1873498</v>
      </c>
      <c r="AE696" s="1894">
        <f t="shared" si="296"/>
        <v>993182</v>
      </c>
      <c r="AF696" s="1894">
        <v>4200</v>
      </c>
      <c r="AG696" s="1894">
        <v>4519.2</v>
      </c>
      <c r="AH696" s="1894">
        <v>4519.2</v>
      </c>
      <c r="AI696" s="1894">
        <v>0.94789999999999996</v>
      </c>
      <c r="AJ696" s="1894">
        <v>69.83</v>
      </c>
      <c r="AK696" s="1894">
        <v>2347830</v>
      </c>
      <c r="AL696" s="1894">
        <f>+ROUND((24*31*0.6*AG696),0)</f>
        <v>2017371</v>
      </c>
      <c r="AM696" s="1894">
        <f>+MAX((AK696-AL696),0)</f>
        <v>330459</v>
      </c>
      <c r="AN696" s="1894">
        <v>4200</v>
      </c>
      <c r="AO696" s="1894">
        <v>4413.6000000000004</v>
      </c>
      <c r="AP696" s="1894">
        <v>4413.6000000000004</v>
      </c>
      <c r="AQ696" s="1894">
        <v>0.95040000000000002</v>
      </c>
      <c r="AR696" s="1894">
        <v>47.76</v>
      </c>
      <c r="AS696" s="1894">
        <v>1568190</v>
      </c>
      <c r="AT696" s="1894">
        <f t="shared" si="299"/>
        <v>1970231</v>
      </c>
      <c r="AU696" s="1894">
        <f t="shared" si="300"/>
        <v>0</v>
      </c>
      <c r="AV696" s="1894">
        <v>4200</v>
      </c>
      <c r="AW696" s="1894">
        <v>4039.2000000000003</v>
      </c>
      <c r="AX696" s="1894">
        <v>4039.2</v>
      </c>
      <c r="AY696" s="1894">
        <v>0.96319999999999995</v>
      </c>
      <c r="AZ696" s="1894">
        <v>14.27</v>
      </c>
      <c r="BA696" s="1894">
        <v>415110</v>
      </c>
      <c r="BB696" s="1894">
        <f t="shared" si="301"/>
        <v>1744934</v>
      </c>
      <c r="BC696" s="1894">
        <f t="shared" si="302"/>
        <v>0</v>
      </c>
      <c r="BD696" s="1894">
        <v>4200</v>
      </c>
      <c r="BE696" s="1894">
        <v>4197.6000000000004</v>
      </c>
      <c r="BF696" s="1894">
        <v>4197.6000000000004</v>
      </c>
      <c r="BG696" s="1894">
        <v>0.98719999999999997</v>
      </c>
      <c r="BH696" s="1894">
        <v>89.88</v>
      </c>
      <c r="BI696" s="1894">
        <v>2807010</v>
      </c>
      <c r="BJ696" s="1894">
        <f t="shared" si="303"/>
        <v>1873809</v>
      </c>
      <c r="BK696" s="1894">
        <f t="shared" si="304"/>
        <v>933201</v>
      </c>
      <c r="BL696" s="1894">
        <v>4200</v>
      </c>
      <c r="BM696" s="1894">
        <v>4142.3999999999996</v>
      </c>
      <c r="BN696" s="1894">
        <v>4142.3999999999996</v>
      </c>
      <c r="BO696" s="1894">
        <v>0.99099999999999999</v>
      </c>
      <c r="BP696" s="1894">
        <v>87.41</v>
      </c>
      <c r="BQ696" s="1894">
        <v>2606970</v>
      </c>
      <c r="BR696" s="1894">
        <f t="shared" si="305"/>
        <v>1789517</v>
      </c>
      <c r="BS696" s="1894">
        <f t="shared" si="306"/>
        <v>817453</v>
      </c>
      <c r="BT696" s="1894">
        <v>4200</v>
      </c>
      <c r="BU696" s="1894">
        <v>4315.2</v>
      </c>
      <c r="BV696" s="1894">
        <v>4315.2</v>
      </c>
      <c r="BW696" s="1894">
        <v>0.99299999999999999</v>
      </c>
      <c r="BX696" s="1894">
        <v>80.41</v>
      </c>
      <c r="BY696" s="1894">
        <v>2581560</v>
      </c>
      <c r="BZ696" s="1894">
        <f t="shared" si="307"/>
        <v>1926305</v>
      </c>
      <c r="CA696" s="1894">
        <f t="shared" si="308"/>
        <v>655255</v>
      </c>
      <c r="CB696" s="1894">
        <v>4200</v>
      </c>
      <c r="CC696" s="1894">
        <v>4284</v>
      </c>
      <c r="CD696" s="1894">
        <v>4284</v>
      </c>
      <c r="CE696" s="1894">
        <v>0.99250000000000005</v>
      </c>
      <c r="CF696" s="1894">
        <v>86.78</v>
      </c>
      <c r="CG696" s="1894">
        <v>2766030</v>
      </c>
      <c r="CH696" s="1894">
        <f t="shared" si="309"/>
        <v>1912378</v>
      </c>
      <c r="CI696" s="1894">
        <f t="shared" si="310"/>
        <v>853652</v>
      </c>
      <c r="CJ696" s="1894">
        <v>5500</v>
      </c>
      <c r="CK696" s="1894">
        <v>8280</v>
      </c>
      <c r="CL696" s="1894">
        <v>4400</v>
      </c>
      <c r="CM696" s="1894">
        <v>0.99380000000000002</v>
      </c>
      <c r="CN696" s="1894">
        <v>83.07</v>
      </c>
      <c r="CO696" s="1894">
        <v>2317650</v>
      </c>
      <c r="CP696" s="1894">
        <f t="shared" si="311"/>
        <v>3338496</v>
      </c>
      <c r="CQ696" s="1894">
        <f t="shared" si="312"/>
        <v>0</v>
      </c>
      <c r="CR696" s="1924">
        <v>5500</v>
      </c>
      <c r="CS696" s="1924">
        <v>4075.2000000000003</v>
      </c>
      <c r="CT696" s="1924">
        <v>4400</v>
      </c>
      <c r="CU696" s="1924">
        <v>0.99080000000000001</v>
      </c>
      <c r="CV696" s="1924">
        <v>75.150000000000006</v>
      </c>
      <c r="CW696" s="1924">
        <v>2278620</v>
      </c>
      <c r="CX696" s="1894">
        <f t="shared" si="313"/>
        <v>1819169</v>
      </c>
      <c r="CY696" s="1894">
        <f t="shared" si="314"/>
        <v>459451</v>
      </c>
    </row>
    <row r="697" spans="1:103" ht="15">
      <c r="A697" s="982"/>
      <c r="B697" s="1899">
        <f>+B696</f>
        <v>41</v>
      </c>
      <c r="C697" s="1900" t="s">
        <v>3523</v>
      </c>
      <c r="D697" s="1894"/>
      <c r="E697" s="1895"/>
      <c r="F697" s="1894"/>
      <c r="G697" s="1926">
        <f>ROUND(SUM(G656:G696),0)</f>
        <v>106999</v>
      </c>
      <c r="H697" s="1926">
        <f>ROUND(SUM(H656:H696),0)</f>
        <v>88690</v>
      </c>
      <c r="I697" s="1926">
        <f t="shared" ref="I697:J697" si="316">ROUND(SUM(I656:I696),0)</f>
        <v>51723</v>
      </c>
      <c r="J697" s="1926">
        <f t="shared" si="316"/>
        <v>77864</v>
      </c>
      <c r="K697" s="1926">
        <f>ROUND(AVERAGE(K50:K696),4)</f>
        <v>0.79390000000000005</v>
      </c>
      <c r="L697" s="1926">
        <f>ROUND(AVERAGE(L50:L696),2)</f>
        <v>25.71</v>
      </c>
      <c r="M697" s="1926">
        <f t="shared" ref="M697:O697" si="317">ROUND(SUM(M656:M696),0)</f>
        <v>21605295</v>
      </c>
      <c r="N697" s="1926">
        <f t="shared" si="317"/>
        <v>22344525</v>
      </c>
      <c r="O697" s="1926">
        <f t="shared" si="317"/>
        <v>2878239</v>
      </c>
      <c r="P697" s="1926">
        <f>ROUND(SUM(P656:P696),0)</f>
        <v>88690</v>
      </c>
      <c r="Q697" s="1926">
        <f t="shared" ref="Q697:R697" si="318">ROUND(SUM(Q656:Q696),0)</f>
        <v>61912</v>
      </c>
      <c r="R697" s="1926">
        <f t="shared" si="318"/>
        <v>85988</v>
      </c>
      <c r="S697" s="1926">
        <f>ROUND(AVERAGE(S50:S696),4)</f>
        <v>0.80810000000000004</v>
      </c>
      <c r="T697" s="1926">
        <f>ROUND(AVERAGE(T50:T696),2)</f>
        <v>25.43</v>
      </c>
      <c r="U697" s="1926">
        <f t="shared" ref="U697" si="319">ROUND(SUM(U656:U696),0)</f>
        <v>22248989</v>
      </c>
      <c r="V697" s="1926">
        <f t="shared" ref="V697:W697" si="320">ROUND(SUM(V656:V696),0)</f>
        <v>27637552</v>
      </c>
      <c r="W697" s="1926">
        <f t="shared" si="320"/>
        <v>3054082</v>
      </c>
      <c r="X697" s="1926">
        <f>ROUND(SUM(X656:X696),0)</f>
        <v>93780</v>
      </c>
      <c r="Y697" s="1926">
        <f t="shared" ref="Y697:Z697" si="321">ROUND(SUM(Y656:Y696),0)</f>
        <v>56050</v>
      </c>
      <c r="Z697" s="1926">
        <f t="shared" si="321"/>
        <v>83677</v>
      </c>
      <c r="AA697" s="1926">
        <f>ROUND(AVERAGE(AA50:AA696),4)</f>
        <v>0.81020000000000003</v>
      </c>
      <c r="AB697" s="1926">
        <f>ROUND(AVERAGE(AB50:AB696),2)</f>
        <v>25.53</v>
      </c>
      <c r="AC697" s="1926">
        <f t="shared" ref="AC697" si="322">ROUND(SUM(AC656:AC696),0)</f>
        <v>21252740</v>
      </c>
      <c r="AD697" s="1926">
        <f t="shared" ref="AD697:AE697" si="323">ROUND(SUM(AD656:AD696),0)</f>
        <v>24213635</v>
      </c>
      <c r="AE697" s="1926">
        <f t="shared" si="323"/>
        <v>2724834</v>
      </c>
      <c r="AF697" s="1926">
        <f>ROUND(SUM(AF656:AF696),0)</f>
        <v>93780</v>
      </c>
      <c r="AG697" s="1926">
        <f t="shared" ref="AG697:AH697" si="324">ROUND(SUM(AG656:AG696),0)</f>
        <v>61459</v>
      </c>
      <c r="AH697" s="1926">
        <f t="shared" si="324"/>
        <v>86192</v>
      </c>
      <c r="AI697" s="1926">
        <f>ROUND(AVERAGE(AI50:AI696),4)</f>
        <v>0.80289999999999995</v>
      </c>
      <c r="AJ697" s="1926">
        <f>ROUND(AVERAGE(AJ50:AJ696),2)</f>
        <v>24.7</v>
      </c>
      <c r="AK697" s="1926">
        <f t="shared" ref="AK697" si="325">ROUND(SUM(AK656:AK696),0)</f>
        <v>22045476</v>
      </c>
      <c r="AL697" s="1926">
        <f t="shared" ref="AL697:AM697" si="326">ROUND(SUM(AL656:AL696),0)</f>
        <v>27435244</v>
      </c>
      <c r="AM697" s="1926">
        <f t="shared" si="326"/>
        <v>2529943</v>
      </c>
      <c r="AN697" s="1926">
        <f>ROUND(SUM(AN656:AN696),0)</f>
        <v>93780</v>
      </c>
      <c r="AO697" s="1926">
        <f t="shared" ref="AO697:AP697" si="327">ROUND(SUM(AO656:AO696),0)</f>
        <v>60451</v>
      </c>
      <c r="AP697" s="1926">
        <f t="shared" si="327"/>
        <v>82939</v>
      </c>
      <c r="AQ697" s="1926">
        <f>ROUND(AVERAGE(AQ50:AQ696),4)</f>
        <v>0.78480000000000005</v>
      </c>
      <c r="AR697" s="1926">
        <f>ROUND(AVERAGE(AR50:AR696),2)</f>
        <v>36.44</v>
      </c>
      <c r="AS697" s="1926">
        <f t="shared" ref="AS697" si="328">ROUND(SUM(AS656:AS696),0)</f>
        <v>20992780</v>
      </c>
      <c r="AT697" s="1926">
        <f t="shared" ref="AT697:AU697" si="329">ROUND(SUM(AT656:AT696),0)</f>
        <v>26985291</v>
      </c>
      <c r="AU697" s="1926">
        <f t="shared" si="329"/>
        <v>2044935</v>
      </c>
      <c r="AV697" s="1926">
        <f>ROUND(SUM(AV656:AV696),0)</f>
        <v>94758</v>
      </c>
      <c r="AW697" s="1926">
        <f t="shared" ref="AW697:AX697" si="330">ROUND(SUM(AW656:AW696),0)</f>
        <v>60843</v>
      </c>
      <c r="AX697" s="1926">
        <f t="shared" si="330"/>
        <v>85946</v>
      </c>
      <c r="AY697" s="1926">
        <f>ROUND(AVERAGE(AY50:AY696),4)</f>
        <v>0.79190000000000005</v>
      </c>
      <c r="AZ697" s="1926">
        <f>ROUND(AVERAGE(AZ50:AZ696),2)</f>
        <v>24.19</v>
      </c>
      <c r="BA697" s="1926">
        <f t="shared" ref="BA697" si="331">ROUND(SUM(BA656:BA696),0)</f>
        <v>19206593</v>
      </c>
      <c r="BB697" s="1926">
        <f t="shared" ref="BB697:BC697" si="332">ROUND(SUM(BB656:BB696),0)</f>
        <v>26284331</v>
      </c>
      <c r="BC697" s="1926">
        <f t="shared" si="332"/>
        <v>1912477</v>
      </c>
      <c r="BD697" s="1926">
        <f>ROUND(SUM(BD656:BD696),0)</f>
        <v>90358</v>
      </c>
      <c r="BE697" s="1926">
        <f t="shared" ref="BE697:BF697" si="333">ROUND(SUM(BE656:BE696),0)</f>
        <v>64998</v>
      </c>
      <c r="BF697" s="1926">
        <f t="shared" si="333"/>
        <v>88243</v>
      </c>
      <c r="BG697" s="1926">
        <f>ROUND(AVERAGE(BG50:BG696),4)</f>
        <v>0.78</v>
      </c>
      <c r="BH697" s="1926">
        <f>ROUND(AVERAGE(BH50:BH696),2)</f>
        <v>24.22</v>
      </c>
      <c r="BI697" s="1926">
        <f t="shared" ref="BI697" si="334">ROUND(SUM(BI656:BI696),0)</f>
        <v>20193787</v>
      </c>
      <c r="BJ697" s="1926">
        <f t="shared" ref="BJ697:BK697" si="335">ROUND(SUM(BJ656:BJ696),0)</f>
        <v>29015322</v>
      </c>
      <c r="BK697" s="1926">
        <f t="shared" si="335"/>
        <v>2863316</v>
      </c>
      <c r="BL697" s="1926">
        <f>ROUND(SUM(BL656:BL696),0)</f>
        <v>90358</v>
      </c>
      <c r="BM697" s="1926">
        <f t="shared" ref="BM697:BN697" si="336">ROUND(SUM(BM656:BM696),0)</f>
        <v>66628</v>
      </c>
      <c r="BN697" s="1926">
        <f t="shared" si="336"/>
        <v>87604</v>
      </c>
      <c r="BO697" s="1926">
        <f>ROUND(AVERAGE(BO50:BO696),4)</f>
        <v>0.76259999999999994</v>
      </c>
      <c r="BP697" s="1926">
        <f>ROUND(AVERAGE(BP50:BP696),2)</f>
        <v>24.89</v>
      </c>
      <c r="BQ697" s="1926">
        <f t="shared" ref="BQ697" si="337">ROUND(SUM(BQ656:BQ696),0)</f>
        <v>21185956</v>
      </c>
      <c r="BR697" s="1926">
        <f t="shared" ref="BR697:BS697" si="338">ROUND(SUM(BR656:BR696),0)</f>
        <v>28783415</v>
      </c>
      <c r="BS697" s="1926">
        <f t="shared" si="338"/>
        <v>3059356</v>
      </c>
      <c r="BT697" s="1926">
        <f>ROUND(SUM(BT656:BT696),0)</f>
        <v>90358</v>
      </c>
      <c r="BU697" s="1926">
        <f t="shared" ref="BU697:BV697" si="339">ROUND(SUM(BU656:BU696),0)</f>
        <v>64363</v>
      </c>
      <c r="BV697" s="1926">
        <f t="shared" si="339"/>
        <v>87312</v>
      </c>
      <c r="BW697" s="1926">
        <f>ROUND(AVERAGE(BW50:BW696),4)</f>
        <v>0.75529999999999997</v>
      </c>
      <c r="BX697" s="1926">
        <f>ROUND(AVERAGE(BX50:BX696),2)</f>
        <v>24.11</v>
      </c>
      <c r="BY697" s="1926">
        <f t="shared" ref="BY697" si="340">ROUND(SUM(BY656:BY696),0)</f>
        <v>19706572</v>
      </c>
      <c r="BZ697" s="1926">
        <f t="shared" ref="BZ697:CA697" si="341">ROUND(SUM(BZ656:BZ696),0)</f>
        <v>28731520</v>
      </c>
      <c r="CA697" s="1926">
        <f t="shared" si="341"/>
        <v>1947239</v>
      </c>
      <c r="CB697" s="1926">
        <f>ROUND(SUM(CB656:CB696),0)</f>
        <v>102199</v>
      </c>
      <c r="CC697" s="1926">
        <f t="shared" ref="CC697:CD697" si="342">ROUND(SUM(CC656:CC696),0)</f>
        <v>63792</v>
      </c>
      <c r="CD697" s="1926">
        <f t="shared" si="342"/>
        <v>91945</v>
      </c>
      <c r="CE697" s="1926">
        <f>ROUND(AVERAGE(CE50:CE696),4)</f>
        <v>0.79349999999999998</v>
      </c>
      <c r="CF697" s="1926">
        <f>ROUND(AVERAGE(CF50:CF696),2)</f>
        <v>26.33</v>
      </c>
      <c r="CG697" s="1926">
        <f t="shared" ref="CG697" si="343">ROUND(SUM(CG656:CG696),0)</f>
        <v>20731224</v>
      </c>
      <c r="CH697" s="1926">
        <f t="shared" ref="CH697:CI697" si="344">ROUND(SUM(CH656:CH696),0)</f>
        <v>28476751</v>
      </c>
      <c r="CI697" s="1926">
        <f t="shared" si="344"/>
        <v>2666004</v>
      </c>
      <c r="CJ697" s="1926">
        <f>ROUND(SUM(CJ656:CJ696),0)</f>
        <v>101999</v>
      </c>
      <c r="CK697" s="1926">
        <f t="shared" ref="CK697:CL697" si="345">ROUND(SUM(CK656:CK696),0)</f>
        <v>64048</v>
      </c>
      <c r="CL697" s="1926">
        <f t="shared" si="345"/>
        <v>92461</v>
      </c>
      <c r="CM697" s="1926">
        <f>ROUND(AVERAGE(CM50:CM696),4)</f>
        <v>0.81569999999999998</v>
      </c>
      <c r="CN697" s="1926">
        <f>ROUND(AVERAGE(CN50:CN696),2)</f>
        <v>27.94</v>
      </c>
      <c r="CO697" s="1926">
        <f t="shared" ref="CO697" si="346">ROUND(SUM(CO656:CO696),0)</f>
        <v>18586679</v>
      </c>
      <c r="CP697" s="1926">
        <f t="shared" ref="CP697:CQ697" si="347">ROUND(SUM(CP656:CP696),0)</f>
        <v>25824028</v>
      </c>
      <c r="CQ697" s="1926">
        <f t="shared" si="347"/>
        <v>1808506</v>
      </c>
      <c r="CR697" s="1926">
        <f>ROUND(SUM(CR656:CR696),0)</f>
        <v>101999</v>
      </c>
      <c r="CS697" s="1926">
        <f t="shared" ref="CS697:CT697" si="348">ROUND(SUM(CS656:CS696),0)</f>
        <v>53055</v>
      </c>
      <c r="CT697" s="1926">
        <f t="shared" si="348"/>
        <v>87602</v>
      </c>
      <c r="CU697" s="1926">
        <f>ROUND(AVERAGE(CU50:CU696),4)</f>
        <v>0.83320000000000005</v>
      </c>
      <c r="CV697" s="1926">
        <f>ROUND(AVERAGE(CV50:CV696),2)</f>
        <v>27.06</v>
      </c>
      <c r="CW697" s="1926">
        <f t="shared" ref="CW697" si="349">ROUND(SUM(CW656:CW696),0)</f>
        <v>19098961</v>
      </c>
      <c r="CX697" s="1926">
        <f t="shared" ref="CX697:CY697" si="350">ROUND(SUM(CX656:CX696),0)</f>
        <v>23683680</v>
      </c>
      <c r="CY697" s="1926">
        <f t="shared" si="350"/>
        <v>1910093</v>
      </c>
    </row>
    <row r="698" spans="1:103" ht="15">
      <c r="A698" s="982"/>
      <c r="B698" s="1894"/>
      <c r="C698" s="1891" t="s">
        <v>3524</v>
      </c>
      <c r="D698" s="1894"/>
      <c r="E698" s="1895"/>
      <c r="F698" s="1894"/>
      <c r="G698" s="1924"/>
      <c r="H698" s="1894"/>
      <c r="I698" s="1894"/>
      <c r="J698" s="1894"/>
      <c r="K698" s="1894"/>
      <c r="L698" s="1894"/>
      <c r="M698" s="1894"/>
      <c r="N698" s="1894"/>
      <c r="O698" s="1894"/>
      <c r="P698" s="1894"/>
      <c r="Q698" s="1894"/>
      <c r="R698" s="1894"/>
      <c r="S698" s="1894"/>
      <c r="T698" s="1894"/>
      <c r="U698" s="1894"/>
      <c r="V698" s="1894"/>
      <c r="W698" s="1894"/>
      <c r="X698" s="1894"/>
      <c r="Y698" s="1894"/>
      <c r="Z698" s="1894"/>
      <c r="AA698" s="1894"/>
      <c r="AB698" s="1894"/>
      <c r="AC698" s="1894"/>
      <c r="AD698" s="1894"/>
      <c r="AE698" s="1894"/>
      <c r="AF698" s="1894"/>
      <c r="AG698" s="1894"/>
      <c r="AH698" s="1894"/>
      <c r="AI698" s="1894"/>
      <c r="AJ698" s="1894"/>
      <c r="AK698" s="1894"/>
      <c r="AL698" s="1894"/>
      <c r="AM698" s="1894"/>
      <c r="AN698" s="1894"/>
      <c r="AO698" s="1894"/>
      <c r="AP698" s="1894"/>
      <c r="AQ698" s="1894"/>
      <c r="AR698" s="1894"/>
      <c r="AS698" s="1894"/>
      <c r="AT698" s="1894"/>
      <c r="AU698" s="1894"/>
      <c r="AV698" s="1894"/>
      <c r="AW698" s="1894"/>
      <c r="AX698" s="1894"/>
      <c r="AY698" s="1894"/>
      <c r="AZ698" s="1894"/>
      <c r="BA698" s="1894"/>
      <c r="BB698" s="1894"/>
      <c r="BC698" s="1894"/>
      <c r="BD698" s="1894"/>
      <c r="BE698" s="1894"/>
      <c r="BF698" s="1894"/>
      <c r="BG698" s="1894"/>
      <c r="BH698" s="1894"/>
      <c r="BI698" s="1894"/>
      <c r="BJ698" s="1894"/>
      <c r="BK698" s="1894"/>
      <c r="BL698" s="1894"/>
      <c r="BM698" s="1894"/>
      <c r="BN698" s="1894"/>
      <c r="BO698" s="1894"/>
      <c r="BP698" s="1894"/>
      <c r="BQ698" s="1894"/>
      <c r="BR698" s="1894"/>
      <c r="BS698" s="1894"/>
      <c r="BT698" s="1894"/>
      <c r="BU698" s="1894"/>
      <c r="BV698" s="1894"/>
      <c r="BW698" s="1894"/>
      <c r="BX698" s="1894"/>
      <c r="BY698" s="1894"/>
      <c r="BZ698" s="1894"/>
      <c r="CA698" s="1894"/>
      <c r="CB698" s="1894"/>
      <c r="CC698" s="1894"/>
      <c r="CD698" s="1894"/>
      <c r="CE698" s="1894"/>
      <c r="CF698" s="1894"/>
      <c r="CG698" s="1894"/>
      <c r="CH698" s="1894"/>
      <c r="CI698" s="1894"/>
      <c r="CJ698" s="1894"/>
      <c r="CK698" s="1894"/>
      <c r="CL698" s="1894"/>
      <c r="CM698" s="1894"/>
      <c r="CN698" s="1894"/>
      <c r="CO698" s="1894"/>
      <c r="CP698" s="1894"/>
      <c r="CQ698" s="1894"/>
      <c r="CR698" s="1924"/>
      <c r="CS698" s="1924"/>
      <c r="CT698" s="1924"/>
      <c r="CU698" s="1924"/>
      <c r="CV698" s="1924"/>
      <c r="CW698" s="1924"/>
      <c r="CX698" s="1894"/>
      <c r="CY698" s="1894"/>
    </row>
    <row r="699" spans="1:103">
      <c r="A699" s="982">
        <v>421000000006</v>
      </c>
      <c r="B699" s="1923">
        <v>1</v>
      </c>
      <c r="C699" s="1895" t="s">
        <v>528</v>
      </c>
      <c r="D699" s="1894" t="s">
        <v>524</v>
      </c>
      <c r="E699" s="1895" t="s">
        <v>525</v>
      </c>
      <c r="F699" s="1894" t="s">
        <v>271</v>
      </c>
      <c r="G699" s="1924">
        <v>5555</v>
      </c>
      <c r="H699" s="1894">
        <v>5555</v>
      </c>
      <c r="I699" s="1894">
        <v>3552</v>
      </c>
      <c r="J699" s="1894">
        <v>4444</v>
      </c>
      <c r="K699" s="1894">
        <v>0.85329999999999995</v>
      </c>
      <c r="L699" s="1894">
        <v>0.7</v>
      </c>
      <c r="M699" s="1894">
        <v>18000</v>
      </c>
      <c r="N699" s="1894">
        <f t="shared" ref="N699:N740" si="351">+ROUND((24*30*0.6*I699),0)</f>
        <v>1534464</v>
      </c>
      <c r="O699" s="1894">
        <f t="shared" ref="O699:O740" si="352">+MAX((M699-N699),0)</f>
        <v>0</v>
      </c>
      <c r="P699" s="1894">
        <v>5555</v>
      </c>
      <c r="Q699" s="1894">
        <v>3888</v>
      </c>
      <c r="R699" s="1894">
        <v>3888</v>
      </c>
      <c r="S699" s="1894">
        <v>0.86839999999999995</v>
      </c>
      <c r="T699" s="1894">
        <v>1.26</v>
      </c>
      <c r="U699" s="1894">
        <v>36480</v>
      </c>
      <c r="V699" s="1894">
        <f t="shared" ref="V699:V740" si="353">+ROUND((24*31*0.6*Q699),0)</f>
        <v>1735603</v>
      </c>
      <c r="W699" s="1894">
        <f t="shared" ref="W699:W740" si="354">+MAX((U699-V699),0)</f>
        <v>0</v>
      </c>
      <c r="X699" s="1894">
        <v>5555</v>
      </c>
      <c r="Y699" s="1894">
        <v>3072</v>
      </c>
      <c r="Z699" s="1894">
        <v>4444</v>
      </c>
      <c r="AA699" s="1894">
        <v>0.94430000000000003</v>
      </c>
      <c r="AB699" s="1894">
        <v>12.29</v>
      </c>
      <c r="AC699" s="1894">
        <v>271920</v>
      </c>
      <c r="AD699" s="1894">
        <f t="shared" ref="AD699:AD740" si="355">+ROUND((24*30*0.6*Y699),0)</f>
        <v>1327104</v>
      </c>
      <c r="AE699" s="1894">
        <f t="shared" ref="AE699:AE740" si="356">+MAX((AC699-AD699),0)</f>
        <v>0</v>
      </c>
      <c r="AF699" s="1894">
        <v>5555</v>
      </c>
      <c r="AG699" s="1894">
        <v>1536</v>
      </c>
      <c r="AH699" s="1894">
        <v>4444</v>
      </c>
      <c r="AI699" s="1894">
        <v>0.98360000000000003</v>
      </c>
      <c r="AJ699" s="1894">
        <v>20.56</v>
      </c>
      <c r="AK699" s="1894">
        <v>234960</v>
      </c>
      <c r="AL699" s="1894">
        <f t="shared" ref="AL699:AL740" si="357">+ROUND((24*31*0.6*AG699),0)</f>
        <v>685670</v>
      </c>
      <c r="AM699" s="1894">
        <f t="shared" ref="AM699:AM740" si="358">+MAX((AK699-AL699),0)</f>
        <v>0</v>
      </c>
      <c r="AN699" s="1894">
        <v>5555</v>
      </c>
      <c r="AO699" s="1894">
        <v>4224</v>
      </c>
      <c r="AP699" s="1894">
        <v>4444</v>
      </c>
      <c r="AQ699" s="1894">
        <v>0.95509999999999995</v>
      </c>
      <c r="AR699" s="1894">
        <v>4.7699999999999996</v>
      </c>
      <c r="AS699" s="1894">
        <v>149760</v>
      </c>
      <c r="AT699" s="1894">
        <f t="shared" ref="AT699:AT740" si="359">+ROUND((24*31*0.6*AO699),0)</f>
        <v>1885594</v>
      </c>
      <c r="AU699" s="1894">
        <f t="shared" ref="AU699:AU740" si="360">+MAX((AS699-AT699),0)</f>
        <v>0</v>
      </c>
      <c r="AV699" s="1894">
        <v>5555</v>
      </c>
      <c r="AW699" s="1894">
        <v>3072</v>
      </c>
      <c r="AX699" s="1894">
        <v>4444</v>
      </c>
      <c r="AY699" s="1894">
        <v>0.91559999999999997</v>
      </c>
      <c r="AZ699" s="1894">
        <v>0.9</v>
      </c>
      <c r="BA699" s="1894">
        <v>19920</v>
      </c>
      <c r="BB699" s="1894">
        <f t="shared" ref="BB699:BB740" si="361">+ROUND((24*30*0.6*AW699),0)</f>
        <v>1327104</v>
      </c>
      <c r="BC699" s="1894">
        <f t="shared" ref="BC699:BC740" si="362">+MAX((BA699-BB699),0)</f>
        <v>0</v>
      </c>
      <c r="BD699" s="1894">
        <v>5555</v>
      </c>
      <c r="BE699" s="1894">
        <v>3216</v>
      </c>
      <c r="BF699" s="1894">
        <v>4444</v>
      </c>
      <c r="BG699" s="1894">
        <v>0.95140000000000002</v>
      </c>
      <c r="BH699" s="1894">
        <v>8.0500000000000007</v>
      </c>
      <c r="BI699" s="1894">
        <v>192720</v>
      </c>
      <c r="BJ699" s="1894">
        <f t="shared" ref="BJ699:BJ740" si="363">+ROUND((24*31*0.6*BE699),0)</f>
        <v>1435622</v>
      </c>
      <c r="BK699" s="1894">
        <f t="shared" ref="BK699:BK740" si="364">+MAX((BI699-BJ699),0)</f>
        <v>0</v>
      </c>
      <c r="BL699" s="1894">
        <v>5555</v>
      </c>
      <c r="BM699" s="1894">
        <v>3408</v>
      </c>
      <c r="BN699" s="1894">
        <v>4444</v>
      </c>
      <c r="BO699" s="1894">
        <v>0.96660000000000001</v>
      </c>
      <c r="BP699" s="1894">
        <v>3.23</v>
      </c>
      <c r="BQ699" s="1894">
        <v>79200</v>
      </c>
      <c r="BR699" s="1894">
        <f t="shared" ref="BR699:BR740" si="365">+ROUND((24*30*0.6*BM699),0)</f>
        <v>1472256</v>
      </c>
      <c r="BS699" s="1894">
        <f t="shared" ref="BS699:BS740" si="366">+MAX((BQ699-BR699),0)</f>
        <v>0</v>
      </c>
      <c r="BT699" s="1894">
        <v>5555</v>
      </c>
      <c r="BU699" s="1894">
        <v>1680</v>
      </c>
      <c r="BV699" s="1894">
        <v>4444</v>
      </c>
      <c r="BW699" s="1894">
        <v>0.72219999999999995</v>
      </c>
      <c r="BX699" s="1894">
        <v>0.35</v>
      </c>
      <c r="BY699" s="1894">
        <v>4320</v>
      </c>
      <c r="BZ699" s="1894">
        <f t="shared" ref="BZ699:BZ740" si="367">+ROUND((24*31*0.6*BU699),0)</f>
        <v>749952</v>
      </c>
      <c r="CA699" s="1894">
        <f t="shared" ref="CA699:CA740" si="368">+MAX((BY699-BZ699),0)</f>
        <v>0</v>
      </c>
      <c r="CB699" s="1894">
        <v>5555</v>
      </c>
      <c r="CC699" s="1894">
        <v>1200</v>
      </c>
      <c r="CD699" s="1894">
        <v>4444</v>
      </c>
      <c r="CE699" s="1894">
        <v>0.8</v>
      </c>
      <c r="CF699" s="1894">
        <v>0.27</v>
      </c>
      <c r="CG699" s="1894">
        <v>2400</v>
      </c>
      <c r="CH699" s="1894">
        <f t="shared" ref="CH699:CH740" si="369">+ROUND((24*31*0.6*CC699),0)</f>
        <v>535680</v>
      </c>
      <c r="CI699" s="1894">
        <f t="shared" ref="CI699:CI740" si="370">+MAX((CG699-CH699),0)</f>
        <v>0</v>
      </c>
      <c r="CJ699" s="1894">
        <v>5555</v>
      </c>
      <c r="CK699" s="1894">
        <v>192</v>
      </c>
      <c r="CL699" s="1894">
        <v>4444</v>
      </c>
      <c r="CM699" s="1894">
        <v>1.1666000000000001</v>
      </c>
      <c r="CN699" s="1894">
        <v>1.1200000000000001</v>
      </c>
      <c r="CO699" s="1894">
        <v>1440</v>
      </c>
      <c r="CP699" s="1894">
        <f t="shared" ref="CP699:CP740" si="371">+ROUND((24*28*0.6*CK699),0)</f>
        <v>77414</v>
      </c>
      <c r="CQ699" s="1894">
        <f t="shared" ref="CQ699:CQ740" si="372">+MAX((CO699-CP699),0)</f>
        <v>0</v>
      </c>
      <c r="CR699" s="1924">
        <v>5555</v>
      </c>
      <c r="CS699" s="1924">
        <v>3024</v>
      </c>
      <c r="CT699" s="1924">
        <v>4444</v>
      </c>
      <c r="CU699" s="1924">
        <v>0.91569999999999996</v>
      </c>
      <c r="CV699" s="1924">
        <v>4.05</v>
      </c>
      <c r="CW699" s="1924">
        <v>91200</v>
      </c>
      <c r="CX699" s="1894">
        <f t="shared" ref="CX699:CX740" si="373">+ROUND((24*31*0.6*CS699),0)</f>
        <v>1349914</v>
      </c>
      <c r="CY699" s="1894">
        <f t="shared" ref="CY699:CY740" si="374">+MAX((CW699-CX699),0)</f>
        <v>0</v>
      </c>
    </row>
    <row r="700" spans="1:103">
      <c r="A700" s="982">
        <v>122000000076</v>
      </c>
      <c r="B700" s="1923">
        <f t="shared" ref="B700:B740" si="375">+B699+1</f>
        <v>2</v>
      </c>
      <c r="C700" s="1895" t="s">
        <v>652</v>
      </c>
      <c r="D700" s="1894" t="s">
        <v>524</v>
      </c>
      <c r="E700" s="1895" t="s">
        <v>541</v>
      </c>
      <c r="F700" s="1894" t="s">
        <v>259</v>
      </c>
      <c r="G700" s="1924">
        <v>5911</v>
      </c>
      <c r="H700" s="1894">
        <v>5911</v>
      </c>
      <c r="I700" s="1894">
        <v>3600</v>
      </c>
      <c r="J700" s="1894">
        <v>4728.8</v>
      </c>
      <c r="K700" s="1894">
        <v>0.88839999999999997</v>
      </c>
      <c r="L700" s="1894">
        <v>64.72</v>
      </c>
      <c r="M700" s="1894">
        <v>1677600</v>
      </c>
      <c r="N700" s="1894">
        <f t="shared" si="351"/>
        <v>1555200</v>
      </c>
      <c r="O700" s="1894">
        <f t="shared" si="352"/>
        <v>122400</v>
      </c>
      <c r="P700" s="1894">
        <v>5911</v>
      </c>
      <c r="Q700" s="1894">
        <v>3240</v>
      </c>
      <c r="R700" s="1894">
        <v>4728.8</v>
      </c>
      <c r="S700" s="1894">
        <v>0.66520000000000001</v>
      </c>
      <c r="T700" s="1894">
        <v>41.18</v>
      </c>
      <c r="U700" s="1894">
        <v>992640</v>
      </c>
      <c r="V700" s="1894">
        <f t="shared" si="353"/>
        <v>1446336</v>
      </c>
      <c r="W700" s="1894">
        <f t="shared" si="354"/>
        <v>0</v>
      </c>
      <c r="X700" s="1894">
        <v>5911</v>
      </c>
      <c r="Y700" s="1894">
        <v>6480</v>
      </c>
      <c r="Z700" s="1894">
        <v>6480</v>
      </c>
      <c r="AA700" s="1894">
        <v>0.98799999999999999</v>
      </c>
      <c r="AB700" s="1894">
        <v>68.34</v>
      </c>
      <c r="AC700" s="1894">
        <v>3188640</v>
      </c>
      <c r="AD700" s="1894">
        <f t="shared" si="355"/>
        <v>2799360</v>
      </c>
      <c r="AE700" s="1894">
        <f t="shared" si="356"/>
        <v>389280</v>
      </c>
      <c r="AF700" s="1894">
        <v>5911</v>
      </c>
      <c r="AG700" s="1894">
        <v>3240</v>
      </c>
      <c r="AH700" s="1894">
        <v>4728.8</v>
      </c>
      <c r="AI700" s="1894">
        <v>0.88780000000000003</v>
      </c>
      <c r="AJ700" s="1894">
        <v>73.150000000000006</v>
      </c>
      <c r="AK700" s="1894">
        <v>1763400</v>
      </c>
      <c r="AL700" s="1894">
        <f t="shared" si="357"/>
        <v>1446336</v>
      </c>
      <c r="AM700" s="1894">
        <f t="shared" si="358"/>
        <v>317064</v>
      </c>
      <c r="AN700" s="1894">
        <v>5911</v>
      </c>
      <c r="AO700" s="1894">
        <v>3120</v>
      </c>
      <c r="AP700" s="1894">
        <v>4728.8</v>
      </c>
      <c r="AQ700" s="1894">
        <v>0.71779999999999999</v>
      </c>
      <c r="AR700" s="1894">
        <v>47.37</v>
      </c>
      <c r="AS700" s="1894">
        <v>1099560</v>
      </c>
      <c r="AT700" s="1894">
        <f t="shared" si="359"/>
        <v>1392768</v>
      </c>
      <c r="AU700" s="1894">
        <f t="shared" si="360"/>
        <v>0</v>
      </c>
      <c r="AV700" s="1894">
        <v>5911</v>
      </c>
      <c r="AW700" s="1894">
        <v>3300</v>
      </c>
      <c r="AX700" s="1894">
        <v>4728.8</v>
      </c>
      <c r="AY700" s="1894">
        <v>0.93700000000000006</v>
      </c>
      <c r="AZ700" s="1894">
        <v>78.349999999999994</v>
      </c>
      <c r="BA700" s="1894">
        <v>1860240</v>
      </c>
      <c r="BB700" s="1894">
        <f t="shared" si="361"/>
        <v>1425600</v>
      </c>
      <c r="BC700" s="1894">
        <f t="shared" si="362"/>
        <v>434640</v>
      </c>
      <c r="BD700" s="1894">
        <v>5911</v>
      </c>
      <c r="BE700" s="1894">
        <v>3600</v>
      </c>
      <c r="BF700" s="1894">
        <v>4728.8</v>
      </c>
      <c r="BG700" s="1894">
        <v>0.87960000000000005</v>
      </c>
      <c r="BH700" s="1894">
        <v>64.41</v>
      </c>
      <c r="BI700" s="1894">
        <v>1725240</v>
      </c>
      <c r="BJ700" s="1894">
        <f t="shared" si="363"/>
        <v>1607040</v>
      </c>
      <c r="BK700" s="1894">
        <f t="shared" si="364"/>
        <v>118200</v>
      </c>
      <c r="BL700" s="1894">
        <v>5911</v>
      </c>
      <c r="BM700" s="1894">
        <v>3240</v>
      </c>
      <c r="BN700" s="1894">
        <v>4728.8</v>
      </c>
      <c r="BO700" s="1894">
        <v>0.88649999999999995</v>
      </c>
      <c r="BP700" s="1894">
        <v>74.25</v>
      </c>
      <c r="BQ700" s="1894">
        <v>1732080</v>
      </c>
      <c r="BR700" s="1894">
        <f t="shared" si="365"/>
        <v>1399680</v>
      </c>
      <c r="BS700" s="1894">
        <f t="shared" si="366"/>
        <v>332400</v>
      </c>
      <c r="BT700" s="1894">
        <v>5911</v>
      </c>
      <c r="BU700" s="1894">
        <v>5040</v>
      </c>
      <c r="BV700" s="1894">
        <v>5040</v>
      </c>
      <c r="BW700" s="1894">
        <v>0.92459999999999998</v>
      </c>
      <c r="BX700" s="1894">
        <v>49.94</v>
      </c>
      <c r="BY700" s="1894">
        <v>1872600</v>
      </c>
      <c r="BZ700" s="1894">
        <f t="shared" si="367"/>
        <v>2249856</v>
      </c>
      <c r="CA700" s="1894">
        <f t="shared" si="368"/>
        <v>0</v>
      </c>
      <c r="CB700" s="1894">
        <v>5911</v>
      </c>
      <c r="CC700" s="1894">
        <v>3276</v>
      </c>
      <c r="CD700" s="1894">
        <v>4728.8</v>
      </c>
      <c r="CE700" s="1894">
        <v>0.61570000000000003</v>
      </c>
      <c r="CF700" s="1894">
        <v>47.97</v>
      </c>
      <c r="CG700" s="1894">
        <v>1169280</v>
      </c>
      <c r="CH700" s="1894">
        <f t="shared" si="369"/>
        <v>1462406</v>
      </c>
      <c r="CI700" s="1894">
        <f t="shared" si="370"/>
        <v>0</v>
      </c>
      <c r="CJ700" s="1894">
        <v>5911</v>
      </c>
      <c r="CK700" s="1894">
        <v>3384</v>
      </c>
      <c r="CL700" s="1894">
        <v>4728.8</v>
      </c>
      <c r="CM700" s="1894">
        <v>0.95379999999999998</v>
      </c>
      <c r="CN700" s="1894">
        <v>81.099999999999994</v>
      </c>
      <c r="CO700" s="1894">
        <v>1844160</v>
      </c>
      <c r="CP700" s="1894">
        <f t="shared" si="371"/>
        <v>1364429</v>
      </c>
      <c r="CQ700" s="1894">
        <f t="shared" si="372"/>
        <v>479731</v>
      </c>
      <c r="CR700" s="1924">
        <v>5911</v>
      </c>
      <c r="CS700" s="1924">
        <v>3360</v>
      </c>
      <c r="CT700" s="1924">
        <v>4728.8</v>
      </c>
      <c r="CU700" s="1924">
        <v>0.89490000000000003</v>
      </c>
      <c r="CV700" s="1924">
        <v>63.74</v>
      </c>
      <c r="CW700" s="1924">
        <v>1593480</v>
      </c>
      <c r="CX700" s="1894">
        <f t="shared" si="373"/>
        <v>1499904</v>
      </c>
      <c r="CY700" s="1894">
        <f t="shared" si="374"/>
        <v>93576</v>
      </c>
    </row>
    <row r="701" spans="1:103">
      <c r="A701" s="982">
        <v>622000000204</v>
      </c>
      <c r="B701" s="1923">
        <f t="shared" si="375"/>
        <v>3</v>
      </c>
      <c r="C701" s="1895" t="s">
        <v>589</v>
      </c>
      <c r="D701" s="1894" t="s">
        <v>524</v>
      </c>
      <c r="E701" s="1895" t="s">
        <v>541</v>
      </c>
      <c r="F701" s="1894" t="s">
        <v>271</v>
      </c>
      <c r="G701" s="1924">
        <v>6500</v>
      </c>
      <c r="H701" s="1894">
        <v>6500</v>
      </c>
      <c r="I701" s="1894">
        <v>4368</v>
      </c>
      <c r="J701" s="1894">
        <v>5200</v>
      </c>
      <c r="K701" s="1894">
        <v>0.95960000000000001</v>
      </c>
      <c r="L701" s="1894">
        <v>28.83</v>
      </c>
      <c r="M701" s="1894">
        <v>906840</v>
      </c>
      <c r="N701" s="1894">
        <f t="shared" si="351"/>
        <v>1886976</v>
      </c>
      <c r="O701" s="1894">
        <f t="shared" si="352"/>
        <v>0</v>
      </c>
      <c r="P701" s="1894">
        <v>6500</v>
      </c>
      <c r="Q701" s="1894">
        <v>2832</v>
      </c>
      <c r="R701" s="1894">
        <v>5200</v>
      </c>
      <c r="S701" s="1894">
        <v>0.95930000000000004</v>
      </c>
      <c r="T701" s="1894">
        <v>36.549999999999997</v>
      </c>
      <c r="U701" s="1894">
        <v>770040</v>
      </c>
      <c r="V701" s="1894">
        <f t="shared" si="353"/>
        <v>1264205</v>
      </c>
      <c r="W701" s="1894">
        <f t="shared" si="354"/>
        <v>0</v>
      </c>
      <c r="X701" s="1894">
        <v>6500</v>
      </c>
      <c r="Y701" s="1894">
        <v>3408</v>
      </c>
      <c r="Z701" s="1894">
        <v>5200</v>
      </c>
      <c r="AA701" s="1894">
        <v>0.98</v>
      </c>
      <c r="AB701" s="1894">
        <v>52.28</v>
      </c>
      <c r="AC701" s="1894">
        <v>1282800</v>
      </c>
      <c r="AD701" s="1894">
        <f t="shared" si="355"/>
        <v>1472256</v>
      </c>
      <c r="AE701" s="1894">
        <f t="shared" si="356"/>
        <v>0</v>
      </c>
      <c r="AF701" s="1894">
        <v>6500</v>
      </c>
      <c r="AG701" s="1894">
        <v>3000</v>
      </c>
      <c r="AH701" s="1894">
        <v>5200</v>
      </c>
      <c r="AI701" s="1894">
        <v>0.9627</v>
      </c>
      <c r="AJ701" s="1894">
        <v>35.82</v>
      </c>
      <c r="AK701" s="1894">
        <v>799440</v>
      </c>
      <c r="AL701" s="1894">
        <f t="shared" si="357"/>
        <v>1339200</v>
      </c>
      <c r="AM701" s="1894">
        <f t="shared" si="358"/>
        <v>0</v>
      </c>
      <c r="AN701" s="1894">
        <v>6500</v>
      </c>
      <c r="AO701" s="1894">
        <v>2856</v>
      </c>
      <c r="AP701" s="1894">
        <v>5200</v>
      </c>
      <c r="AQ701" s="1894">
        <v>0.94120000000000004</v>
      </c>
      <c r="AR701" s="1894">
        <v>24.15</v>
      </c>
      <c r="AS701" s="1894">
        <v>495960</v>
      </c>
      <c r="AT701" s="1894">
        <f t="shared" si="359"/>
        <v>1274918</v>
      </c>
      <c r="AU701" s="1894">
        <f t="shared" si="360"/>
        <v>0</v>
      </c>
      <c r="AV701" s="1894">
        <v>6500</v>
      </c>
      <c r="AW701" s="1894">
        <v>3180</v>
      </c>
      <c r="AX701" s="1894">
        <v>5200</v>
      </c>
      <c r="AY701" s="1894">
        <v>0.93159999999999998</v>
      </c>
      <c r="AZ701" s="1894">
        <v>16.71</v>
      </c>
      <c r="BA701" s="1894">
        <v>382680</v>
      </c>
      <c r="BB701" s="1894">
        <f t="shared" si="361"/>
        <v>1373760</v>
      </c>
      <c r="BC701" s="1894">
        <f t="shared" si="362"/>
        <v>0</v>
      </c>
      <c r="BD701" s="1894">
        <v>6500</v>
      </c>
      <c r="BE701" s="1894">
        <v>2731.2000000000003</v>
      </c>
      <c r="BF701" s="1894">
        <v>5200</v>
      </c>
      <c r="BG701" s="1894">
        <v>0.93479999999999996</v>
      </c>
      <c r="BH701" s="1894">
        <v>22.22</v>
      </c>
      <c r="BI701" s="1894">
        <v>451440</v>
      </c>
      <c r="BJ701" s="1894">
        <f t="shared" si="363"/>
        <v>1219208</v>
      </c>
      <c r="BK701" s="1894">
        <f t="shared" si="364"/>
        <v>0</v>
      </c>
      <c r="BL701" s="1894">
        <v>6500</v>
      </c>
      <c r="BM701" s="1894">
        <v>3192</v>
      </c>
      <c r="BN701" s="1894">
        <v>5200</v>
      </c>
      <c r="BO701" s="1894">
        <v>0.95099999999999996</v>
      </c>
      <c r="BP701" s="1894">
        <v>26.36</v>
      </c>
      <c r="BQ701" s="1894">
        <v>605880</v>
      </c>
      <c r="BR701" s="1894">
        <f t="shared" si="365"/>
        <v>1378944</v>
      </c>
      <c r="BS701" s="1894">
        <f t="shared" si="366"/>
        <v>0</v>
      </c>
      <c r="BT701" s="1894">
        <v>6500</v>
      </c>
      <c r="BU701" s="1894">
        <v>3168</v>
      </c>
      <c r="BV701" s="1894">
        <v>5200</v>
      </c>
      <c r="BW701" s="1894">
        <v>0.96089999999999998</v>
      </c>
      <c r="BX701" s="1894">
        <v>24.78</v>
      </c>
      <c r="BY701" s="1894">
        <v>584160</v>
      </c>
      <c r="BZ701" s="1894">
        <f t="shared" si="367"/>
        <v>1414195</v>
      </c>
      <c r="CA701" s="1894">
        <f t="shared" si="368"/>
        <v>0</v>
      </c>
      <c r="CB701" s="1894">
        <v>6500</v>
      </c>
      <c r="CC701" s="1894">
        <v>3048</v>
      </c>
      <c r="CD701" s="1894">
        <v>5200</v>
      </c>
      <c r="CE701" s="1894">
        <v>0.95750000000000002</v>
      </c>
      <c r="CF701" s="1894">
        <v>40.69</v>
      </c>
      <c r="CG701" s="1894">
        <v>922680</v>
      </c>
      <c r="CH701" s="1894">
        <f t="shared" si="369"/>
        <v>1360627</v>
      </c>
      <c r="CI701" s="1894">
        <f t="shared" si="370"/>
        <v>0</v>
      </c>
      <c r="CJ701" s="1894">
        <v>6500</v>
      </c>
      <c r="CK701" s="1894">
        <v>2952</v>
      </c>
      <c r="CL701" s="1894">
        <v>5200</v>
      </c>
      <c r="CM701" s="1894">
        <v>0.97340000000000004</v>
      </c>
      <c r="CN701" s="1894">
        <v>30.68</v>
      </c>
      <c r="CO701" s="1894">
        <v>608520</v>
      </c>
      <c r="CP701" s="1894">
        <f t="shared" si="371"/>
        <v>1190246</v>
      </c>
      <c r="CQ701" s="1894">
        <f t="shared" si="372"/>
        <v>0</v>
      </c>
      <c r="CR701" s="1924">
        <v>6500</v>
      </c>
      <c r="CS701" s="1924">
        <v>2556</v>
      </c>
      <c r="CT701" s="1924">
        <v>5200</v>
      </c>
      <c r="CU701" s="1924">
        <v>0.99470000000000003</v>
      </c>
      <c r="CV701" s="1924">
        <v>28.32</v>
      </c>
      <c r="CW701" s="1924">
        <v>538560</v>
      </c>
      <c r="CX701" s="1894">
        <f t="shared" si="373"/>
        <v>1140998</v>
      </c>
      <c r="CY701" s="1894">
        <f t="shared" si="374"/>
        <v>0</v>
      </c>
    </row>
    <row r="702" spans="1:103">
      <c r="A702" s="982">
        <v>622000000211</v>
      </c>
      <c r="B702" s="1923">
        <f t="shared" si="375"/>
        <v>4</v>
      </c>
      <c r="C702" s="1895" t="s">
        <v>724</v>
      </c>
      <c r="D702" s="1894" t="s">
        <v>524</v>
      </c>
      <c r="E702" s="1895" t="s">
        <v>709</v>
      </c>
      <c r="F702" s="1894" t="s">
        <v>259</v>
      </c>
      <c r="G702" s="1924">
        <v>7021</v>
      </c>
      <c r="H702" s="1894">
        <v>0</v>
      </c>
      <c r="I702" s="1894">
        <v>0</v>
      </c>
      <c r="J702" s="1894">
        <v>0</v>
      </c>
      <c r="K702" s="1894">
        <v>0</v>
      </c>
      <c r="L702" s="1894">
        <v>0</v>
      </c>
      <c r="M702" s="1894">
        <v>0</v>
      </c>
      <c r="N702" s="1894">
        <f t="shared" si="351"/>
        <v>0</v>
      </c>
      <c r="O702" s="1894">
        <f t="shared" si="352"/>
        <v>0</v>
      </c>
      <c r="P702" s="1894">
        <v>0</v>
      </c>
      <c r="Q702" s="1894">
        <v>0</v>
      </c>
      <c r="R702" s="1894">
        <v>0</v>
      </c>
      <c r="S702" s="1894">
        <v>0</v>
      </c>
      <c r="T702" s="1894">
        <v>0</v>
      </c>
      <c r="U702" s="1894">
        <v>0</v>
      </c>
      <c r="V702" s="1894">
        <f t="shared" si="353"/>
        <v>0</v>
      </c>
      <c r="W702" s="1894">
        <f t="shared" si="354"/>
        <v>0</v>
      </c>
      <c r="X702" s="1894">
        <v>0</v>
      </c>
      <c r="Y702" s="1894">
        <v>0</v>
      </c>
      <c r="Z702" s="1894">
        <v>0</v>
      </c>
      <c r="AA702" s="1894">
        <v>0</v>
      </c>
      <c r="AB702" s="1894">
        <v>0</v>
      </c>
      <c r="AC702" s="1894">
        <v>0</v>
      </c>
      <c r="AD702" s="1894">
        <f t="shared" si="355"/>
        <v>0</v>
      </c>
      <c r="AE702" s="1894">
        <f t="shared" si="356"/>
        <v>0</v>
      </c>
      <c r="AF702" s="1894">
        <v>0</v>
      </c>
      <c r="AG702" s="1894">
        <v>0</v>
      </c>
      <c r="AH702" s="1894">
        <v>0</v>
      </c>
      <c r="AI702" s="1894">
        <v>0</v>
      </c>
      <c r="AJ702" s="1894">
        <v>0</v>
      </c>
      <c r="AK702" s="1894">
        <v>0</v>
      </c>
      <c r="AL702" s="1894">
        <f t="shared" si="357"/>
        <v>0</v>
      </c>
      <c r="AM702" s="1894">
        <f t="shared" si="358"/>
        <v>0</v>
      </c>
      <c r="AN702" s="1894">
        <v>0</v>
      </c>
      <c r="AO702" s="1894">
        <v>0</v>
      </c>
      <c r="AP702" s="1894">
        <v>0</v>
      </c>
      <c r="AQ702" s="1894">
        <v>0</v>
      </c>
      <c r="AR702" s="1894">
        <v>0</v>
      </c>
      <c r="AS702" s="1894">
        <v>0</v>
      </c>
      <c r="AT702" s="1894">
        <f t="shared" si="359"/>
        <v>0</v>
      </c>
      <c r="AU702" s="1894">
        <f t="shared" si="360"/>
        <v>0</v>
      </c>
      <c r="AV702" s="1894">
        <v>0</v>
      </c>
      <c r="AW702" s="1894">
        <v>0</v>
      </c>
      <c r="AX702" s="1894">
        <v>0</v>
      </c>
      <c r="AY702" s="1894">
        <v>0</v>
      </c>
      <c r="AZ702" s="1894">
        <v>0</v>
      </c>
      <c r="BA702" s="1894">
        <v>0</v>
      </c>
      <c r="BB702" s="1894">
        <f t="shared" si="361"/>
        <v>0</v>
      </c>
      <c r="BC702" s="1894">
        <f t="shared" si="362"/>
        <v>0</v>
      </c>
      <c r="BD702" s="1894">
        <v>0</v>
      </c>
      <c r="BE702" s="1894">
        <v>0</v>
      </c>
      <c r="BF702" s="1894">
        <v>0</v>
      </c>
      <c r="BG702" s="1894">
        <v>0</v>
      </c>
      <c r="BH702" s="1894">
        <v>0</v>
      </c>
      <c r="BI702" s="1894">
        <v>0</v>
      </c>
      <c r="BJ702" s="1894">
        <f t="shared" si="363"/>
        <v>0</v>
      </c>
      <c r="BK702" s="1894">
        <f t="shared" si="364"/>
        <v>0</v>
      </c>
      <c r="BL702" s="1894">
        <v>0</v>
      </c>
      <c r="BM702" s="1894">
        <v>0</v>
      </c>
      <c r="BN702" s="1894">
        <v>0</v>
      </c>
      <c r="BO702" s="1894">
        <v>0</v>
      </c>
      <c r="BP702" s="1894">
        <v>0</v>
      </c>
      <c r="BQ702" s="1894">
        <v>0</v>
      </c>
      <c r="BR702" s="1894">
        <f t="shared" si="365"/>
        <v>0</v>
      </c>
      <c r="BS702" s="1894">
        <f t="shared" si="366"/>
        <v>0</v>
      </c>
      <c r="BT702" s="1894">
        <v>0</v>
      </c>
      <c r="BU702" s="1894">
        <v>0</v>
      </c>
      <c r="BV702" s="1894">
        <v>0</v>
      </c>
      <c r="BW702" s="1894">
        <v>0</v>
      </c>
      <c r="BX702" s="1894">
        <v>0</v>
      </c>
      <c r="BY702" s="1894">
        <v>0</v>
      </c>
      <c r="BZ702" s="1894">
        <f t="shared" si="367"/>
        <v>0</v>
      </c>
      <c r="CA702" s="1894">
        <f t="shared" si="368"/>
        <v>0</v>
      </c>
      <c r="CB702" s="1894">
        <v>7021</v>
      </c>
      <c r="CC702" s="1894">
        <v>1310.4000000000001</v>
      </c>
      <c r="CD702" s="1894">
        <v>5616.8</v>
      </c>
      <c r="CE702" s="1894">
        <v>0.7722</v>
      </c>
      <c r="CF702" s="1894">
        <v>0.8</v>
      </c>
      <c r="CG702" s="1894">
        <v>6060</v>
      </c>
      <c r="CH702" s="1894">
        <f t="shared" si="369"/>
        <v>584963</v>
      </c>
      <c r="CI702" s="1894">
        <f t="shared" si="370"/>
        <v>0</v>
      </c>
      <c r="CJ702" s="1894">
        <v>7021</v>
      </c>
      <c r="CK702" s="1894">
        <v>662.4</v>
      </c>
      <c r="CL702" s="1894">
        <v>5616.8</v>
      </c>
      <c r="CM702" s="1894">
        <v>0.84550000000000003</v>
      </c>
      <c r="CN702" s="1894">
        <v>1.83</v>
      </c>
      <c r="CO702" s="1894">
        <v>8160</v>
      </c>
      <c r="CP702" s="1894">
        <f t="shared" si="371"/>
        <v>267080</v>
      </c>
      <c r="CQ702" s="1894">
        <f t="shared" si="372"/>
        <v>0</v>
      </c>
      <c r="CR702" s="1924">
        <v>7021</v>
      </c>
      <c r="CS702" s="1924">
        <v>1233.6000000000001</v>
      </c>
      <c r="CT702" s="1924">
        <v>5616.8</v>
      </c>
      <c r="CU702" s="1924">
        <v>0.79479999999999995</v>
      </c>
      <c r="CV702" s="1924">
        <v>1.02</v>
      </c>
      <c r="CW702" s="1924">
        <v>9360</v>
      </c>
      <c r="CX702" s="1894">
        <f t="shared" si="373"/>
        <v>550679</v>
      </c>
      <c r="CY702" s="1894">
        <f t="shared" si="374"/>
        <v>0</v>
      </c>
    </row>
    <row r="703" spans="1:103">
      <c r="A703" s="982">
        <v>611000000119</v>
      </c>
      <c r="B703" s="1923">
        <f t="shared" si="375"/>
        <v>5</v>
      </c>
      <c r="C703" s="1895" t="s">
        <v>572</v>
      </c>
      <c r="D703" s="1894" t="s">
        <v>524</v>
      </c>
      <c r="E703" s="1895" t="s">
        <v>541</v>
      </c>
      <c r="F703" s="1894" t="s">
        <v>271</v>
      </c>
      <c r="G703" s="1924">
        <v>7500</v>
      </c>
      <c r="H703" s="1894">
        <v>0</v>
      </c>
      <c r="I703" s="1894">
        <v>0</v>
      </c>
      <c r="J703" s="1894">
        <v>0</v>
      </c>
      <c r="K703" s="1894">
        <v>0</v>
      </c>
      <c r="L703" s="1894">
        <v>0</v>
      </c>
      <c r="M703" s="1894">
        <v>0</v>
      </c>
      <c r="N703" s="1894">
        <f t="shared" si="351"/>
        <v>0</v>
      </c>
      <c r="O703" s="1894">
        <f t="shared" si="352"/>
        <v>0</v>
      </c>
      <c r="P703" s="1894">
        <v>0</v>
      </c>
      <c r="Q703" s="1894">
        <v>0</v>
      </c>
      <c r="R703" s="1894">
        <v>0</v>
      </c>
      <c r="S703" s="1894">
        <v>0</v>
      </c>
      <c r="T703" s="1894">
        <v>0</v>
      </c>
      <c r="U703" s="1894">
        <v>0</v>
      </c>
      <c r="V703" s="1894">
        <f t="shared" si="353"/>
        <v>0</v>
      </c>
      <c r="W703" s="1894">
        <f t="shared" si="354"/>
        <v>0</v>
      </c>
      <c r="X703" s="1894">
        <v>5000</v>
      </c>
      <c r="Y703" s="1894">
        <v>5112</v>
      </c>
      <c r="Z703" s="1894">
        <v>5112</v>
      </c>
      <c r="AA703" s="1894">
        <v>0.75019999999999998</v>
      </c>
      <c r="AB703" s="1894">
        <v>32.520000000000003</v>
      </c>
      <c r="AC703" s="1894">
        <v>558540</v>
      </c>
      <c r="AD703" s="1894">
        <f t="shared" si="355"/>
        <v>2208384</v>
      </c>
      <c r="AE703" s="1894">
        <f t="shared" si="356"/>
        <v>0</v>
      </c>
      <c r="AF703" s="1894">
        <v>5000</v>
      </c>
      <c r="AG703" s="1894">
        <v>5472</v>
      </c>
      <c r="AH703" s="1894">
        <v>5472</v>
      </c>
      <c r="AI703" s="1894">
        <v>0.93840000000000001</v>
      </c>
      <c r="AJ703" s="1894">
        <v>42.23</v>
      </c>
      <c r="AK703" s="1894">
        <v>1719120</v>
      </c>
      <c r="AL703" s="1894">
        <f t="shared" si="357"/>
        <v>2442701</v>
      </c>
      <c r="AM703" s="1894">
        <f t="shared" si="358"/>
        <v>0</v>
      </c>
      <c r="AN703" s="1894">
        <v>5000</v>
      </c>
      <c r="AO703" s="1894">
        <v>4785.6000000000004</v>
      </c>
      <c r="AP703" s="1894">
        <v>4785.6000000000004</v>
      </c>
      <c r="AQ703" s="1894">
        <v>0.91890000000000005</v>
      </c>
      <c r="AR703" s="1894">
        <v>13.65</v>
      </c>
      <c r="AS703" s="1894">
        <v>486120</v>
      </c>
      <c r="AT703" s="1894">
        <f t="shared" si="359"/>
        <v>2136292</v>
      </c>
      <c r="AU703" s="1894">
        <f t="shared" si="360"/>
        <v>0</v>
      </c>
      <c r="AV703" s="1894">
        <v>5000</v>
      </c>
      <c r="AW703" s="1894">
        <v>4843.2</v>
      </c>
      <c r="AX703" s="1894">
        <v>4843.2</v>
      </c>
      <c r="AY703" s="1894">
        <v>0.97870000000000001</v>
      </c>
      <c r="AZ703" s="1894">
        <v>14.79</v>
      </c>
      <c r="BA703" s="1894">
        <v>515580</v>
      </c>
      <c r="BB703" s="1894">
        <f t="shared" si="361"/>
        <v>2092262</v>
      </c>
      <c r="BC703" s="1894">
        <f t="shared" si="362"/>
        <v>0</v>
      </c>
      <c r="BD703" s="1894">
        <v>5000</v>
      </c>
      <c r="BE703" s="1894">
        <v>5016</v>
      </c>
      <c r="BF703" s="1894">
        <v>5016</v>
      </c>
      <c r="BG703" s="1894">
        <v>0.9486</v>
      </c>
      <c r="BH703" s="1894">
        <v>43.85</v>
      </c>
      <c r="BI703" s="1894">
        <v>1636560</v>
      </c>
      <c r="BJ703" s="1894">
        <f t="shared" si="363"/>
        <v>2239142</v>
      </c>
      <c r="BK703" s="1894">
        <f t="shared" si="364"/>
        <v>0</v>
      </c>
      <c r="BL703" s="1894">
        <v>5000</v>
      </c>
      <c r="BM703" s="1894">
        <v>7588.8</v>
      </c>
      <c r="BN703" s="1894">
        <v>7588.8</v>
      </c>
      <c r="BO703" s="1894">
        <v>0.96009999999999995</v>
      </c>
      <c r="BP703" s="1894">
        <v>63.86</v>
      </c>
      <c r="BQ703" s="1894">
        <v>3489540</v>
      </c>
      <c r="BR703" s="1894">
        <f t="shared" si="365"/>
        <v>3278362</v>
      </c>
      <c r="BS703" s="1894">
        <f t="shared" si="366"/>
        <v>211178</v>
      </c>
      <c r="BT703" s="1894">
        <v>7500</v>
      </c>
      <c r="BU703" s="1894">
        <v>7598.4</v>
      </c>
      <c r="BV703" s="1894">
        <v>7598.4</v>
      </c>
      <c r="BW703" s="1894">
        <v>0.99250000000000005</v>
      </c>
      <c r="BX703" s="1894">
        <v>84.59</v>
      </c>
      <c r="BY703" s="1894">
        <v>4782300</v>
      </c>
      <c r="BZ703" s="1894">
        <f t="shared" si="367"/>
        <v>3391926</v>
      </c>
      <c r="CA703" s="1894">
        <f t="shared" si="368"/>
        <v>1390374</v>
      </c>
      <c r="CB703" s="1894">
        <v>7500</v>
      </c>
      <c r="CC703" s="1894">
        <v>7732.7999999999993</v>
      </c>
      <c r="CD703" s="1894">
        <v>7732.8</v>
      </c>
      <c r="CE703" s="1894">
        <v>0.99539999999999995</v>
      </c>
      <c r="CF703" s="1894">
        <v>90.03</v>
      </c>
      <c r="CG703" s="1894">
        <v>5179800</v>
      </c>
      <c r="CH703" s="1894">
        <f t="shared" si="369"/>
        <v>3451922</v>
      </c>
      <c r="CI703" s="1894">
        <f t="shared" si="370"/>
        <v>1727878</v>
      </c>
      <c r="CJ703" s="1894">
        <v>7500</v>
      </c>
      <c r="CK703" s="1894">
        <v>7871.9999999999991</v>
      </c>
      <c r="CL703" s="1894">
        <v>7872</v>
      </c>
      <c r="CM703" s="1894">
        <v>0.99099999999999999</v>
      </c>
      <c r="CN703" s="1894">
        <v>78.569999999999993</v>
      </c>
      <c r="CO703" s="1894">
        <v>4156380</v>
      </c>
      <c r="CP703" s="1894">
        <f t="shared" si="371"/>
        <v>3173990</v>
      </c>
      <c r="CQ703" s="1894">
        <f t="shared" si="372"/>
        <v>982390</v>
      </c>
      <c r="CR703" s="1924">
        <v>7500</v>
      </c>
      <c r="CS703" s="1924">
        <v>7838.4</v>
      </c>
      <c r="CT703" s="1924">
        <v>7838.4</v>
      </c>
      <c r="CU703" s="1924">
        <v>0.9758</v>
      </c>
      <c r="CV703" s="1924">
        <v>71.77</v>
      </c>
      <c r="CW703" s="1924">
        <v>4185540</v>
      </c>
      <c r="CX703" s="1894">
        <f t="shared" si="373"/>
        <v>3499062</v>
      </c>
      <c r="CY703" s="1894">
        <f t="shared" si="374"/>
        <v>686478</v>
      </c>
    </row>
    <row r="704" spans="1:103">
      <c r="A704" s="982">
        <v>615000000040</v>
      </c>
      <c r="B704" s="1923">
        <f t="shared" si="375"/>
        <v>6</v>
      </c>
      <c r="C704" s="1895" t="s">
        <v>574</v>
      </c>
      <c r="D704" s="1894" t="s">
        <v>524</v>
      </c>
      <c r="E704" s="1895" t="s">
        <v>541</v>
      </c>
      <c r="F704" s="1894" t="s">
        <v>271</v>
      </c>
      <c r="G704" s="1924">
        <v>7500</v>
      </c>
      <c r="H704" s="1894">
        <v>7500</v>
      </c>
      <c r="I704" s="1894">
        <v>6320</v>
      </c>
      <c r="J704" s="1894">
        <v>6320</v>
      </c>
      <c r="K704" s="1894">
        <v>0.99770000000000003</v>
      </c>
      <c r="L704" s="1894">
        <v>71.66</v>
      </c>
      <c r="M704" s="1894">
        <v>3261000</v>
      </c>
      <c r="N704" s="1894">
        <f t="shared" si="351"/>
        <v>2730240</v>
      </c>
      <c r="O704" s="1894">
        <f t="shared" si="352"/>
        <v>530760</v>
      </c>
      <c r="P704" s="1894">
        <v>7500</v>
      </c>
      <c r="Q704" s="1894">
        <v>6400</v>
      </c>
      <c r="R704" s="1894">
        <v>6400</v>
      </c>
      <c r="S704" s="1894">
        <v>0.99629999999999996</v>
      </c>
      <c r="T704" s="1894">
        <v>76.19</v>
      </c>
      <c r="U704" s="1894">
        <v>3627800</v>
      </c>
      <c r="V704" s="1894">
        <f t="shared" si="353"/>
        <v>2856960</v>
      </c>
      <c r="W704" s="1894">
        <f t="shared" si="354"/>
        <v>770840</v>
      </c>
      <c r="X704" s="1894">
        <v>7500</v>
      </c>
      <c r="Y704" s="1894">
        <v>6280</v>
      </c>
      <c r="Z704" s="1894">
        <v>6280</v>
      </c>
      <c r="AA704" s="1894">
        <v>0.99560000000000004</v>
      </c>
      <c r="AB704" s="1894">
        <v>76.55</v>
      </c>
      <c r="AC704" s="1894">
        <v>3461200</v>
      </c>
      <c r="AD704" s="1894">
        <f t="shared" si="355"/>
        <v>2712960</v>
      </c>
      <c r="AE704" s="1894">
        <f t="shared" si="356"/>
        <v>748240</v>
      </c>
      <c r="AF704" s="1894">
        <v>7500</v>
      </c>
      <c r="AG704" s="1894">
        <v>6440</v>
      </c>
      <c r="AH704" s="1894">
        <v>6440</v>
      </c>
      <c r="AI704" s="1894">
        <v>0.99580000000000002</v>
      </c>
      <c r="AJ704" s="1894">
        <v>62.55</v>
      </c>
      <c r="AK704" s="1894">
        <v>2900400</v>
      </c>
      <c r="AL704" s="1894">
        <f t="shared" si="357"/>
        <v>2874816</v>
      </c>
      <c r="AM704" s="1894">
        <f t="shared" si="358"/>
        <v>25584</v>
      </c>
      <c r="AN704" s="1894">
        <v>7500</v>
      </c>
      <c r="AO704" s="1894">
        <v>6280</v>
      </c>
      <c r="AP704" s="1894">
        <v>6280</v>
      </c>
      <c r="AQ704" s="1894">
        <v>0.99829999999999997</v>
      </c>
      <c r="AR704" s="1894">
        <v>58.73</v>
      </c>
      <c r="AS704" s="1894">
        <v>2832600</v>
      </c>
      <c r="AT704" s="1894">
        <f t="shared" si="359"/>
        <v>2803392</v>
      </c>
      <c r="AU704" s="1894">
        <f t="shared" si="360"/>
        <v>29208</v>
      </c>
      <c r="AV704" s="1894">
        <v>7500</v>
      </c>
      <c r="AW704" s="1894">
        <v>6600</v>
      </c>
      <c r="AX704" s="1894">
        <v>6600</v>
      </c>
      <c r="AY704" s="1894">
        <v>0.99529999999999996</v>
      </c>
      <c r="AZ704" s="1894">
        <v>66.81</v>
      </c>
      <c r="BA704" s="1894">
        <v>3174800</v>
      </c>
      <c r="BB704" s="1894">
        <f t="shared" si="361"/>
        <v>2851200</v>
      </c>
      <c r="BC704" s="1894">
        <f t="shared" si="362"/>
        <v>323600</v>
      </c>
      <c r="BD704" s="1894">
        <v>7500</v>
      </c>
      <c r="BE704" s="1894">
        <v>6680</v>
      </c>
      <c r="BF704" s="1894">
        <v>6680</v>
      </c>
      <c r="BG704" s="1894">
        <v>0.99880000000000002</v>
      </c>
      <c r="BH704" s="1894">
        <v>74.17</v>
      </c>
      <c r="BI704" s="1894">
        <v>3686200</v>
      </c>
      <c r="BJ704" s="1894">
        <f t="shared" si="363"/>
        <v>2981952</v>
      </c>
      <c r="BK704" s="1894">
        <f t="shared" si="364"/>
        <v>704248</v>
      </c>
      <c r="BL704" s="1894">
        <v>7500</v>
      </c>
      <c r="BM704" s="1894">
        <v>6840</v>
      </c>
      <c r="BN704" s="1894">
        <v>6840</v>
      </c>
      <c r="BO704" s="1894">
        <v>0.99980000000000002</v>
      </c>
      <c r="BP704" s="1894">
        <v>70.92</v>
      </c>
      <c r="BQ704" s="1894">
        <v>3492800</v>
      </c>
      <c r="BR704" s="1894">
        <f t="shared" si="365"/>
        <v>2954880</v>
      </c>
      <c r="BS704" s="1894">
        <f t="shared" si="366"/>
        <v>537920</v>
      </c>
      <c r="BT704" s="1894">
        <v>7500</v>
      </c>
      <c r="BU704" s="1894">
        <v>6760</v>
      </c>
      <c r="BV704" s="1894">
        <v>6760</v>
      </c>
      <c r="BW704" s="1894">
        <v>0.99970000000000003</v>
      </c>
      <c r="BX704" s="1894">
        <v>74.61</v>
      </c>
      <c r="BY704" s="1894">
        <v>3752400</v>
      </c>
      <c r="BZ704" s="1894">
        <f t="shared" si="367"/>
        <v>3017664</v>
      </c>
      <c r="CA704" s="1894">
        <f t="shared" si="368"/>
        <v>734736</v>
      </c>
      <c r="CB704" s="1894">
        <v>7500</v>
      </c>
      <c r="CC704" s="1894">
        <v>6800</v>
      </c>
      <c r="CD704" s="1894">
        <v>6800</v>
      </c>
      <c r="CE704" s="1894">
        <v>0.99939999999999996</v>
      </c>
      <c r="CF704" s="1894">
        <v>75.98</v>
      </c>
      <c r="CG704" s="1894">
        <v>3844200</v>
      </c>
      <c r="CH704" s="1894">
        <f t="shared" si="369"/>
        <v>3035520</v>
      </c>
      <c r="CI704" s="1894">
        <f t="shared" si="370"/>
        <v>808680</v>
      </c>
      <c r="CJ704" s="1894">
        <v>7500</v>
      </c>
      <c r="CK704" s="1894">
        <v>6640</v>
      </c>
      <c r="CL704" s="1894">
        <v>6640</v>
      </c>
      <c r="CM704" s="1894">
        <v>0.99929999999999997</v>
      </c>
      <c r="CN704" s="1894">
        <v>62.44</v>
      </c>
      <c r="CO704" s="1894">
        <v>2786000</v>
      </c>
      <c r="CP704" s="1894">
        <f t="shared" si="371"/>
        <v>2677248</v>
      </c>
      <c r="CQ704" s="1894">
        <f t="shared" si="372"/>
        <v>108752</v>
      </c>
      <c r="CR704" s="1924">
        <v>7500</v>
      </c>
      <c r="CS704" s="1924">
        <v>6960</v>
      </c>
      <c r="CT704" s="1924">
        <v>6960</v>
      </c>
      <c r="CU704" s="1924">
        <v>0.99739999999999995</v>
      </c>
      <c r="CV704" s="1924">
        <v>75.13</v>
      </c>
      <c r="CW704" s="1924">
        <v>3890600</v>
      </c>
      <c r="CX704" s="1894">
        <f t="shared" si="373"/>
        <v>3106944</v>
      </c>
      <c r="CY704" s="1894">
        <f t="shared" si="374"/>
        <v>783656</v>
      </c>
    </row>
    <row r="705" spans="1:103">
      <c r="A705" s="982">
        <v>622000000005</v>
      </c>
      <c r="B705" s="1923">
        <f t="shared" si="375"/>
        <v>7</v>
      </c>
      <c r="C705" s="1895" t="s">
        <v>523</v>
      </c>
      <c r="D705" s="1894" t="s">
        <v>524</v>
      </c>
      <c r="E705" s="1895" t="s">
        <v>525</v>
      </c>
      <c r="F705" s="1894" t="s">
        <v>271</v>
      </c>
      <c r="G705" s="1924">
        <v>7778</v>
      </c>
      <c r="H705" s="1894">
        <v>7778</v>
      </c>
      <c r="I705" s="1894">
        <v>6840</v>
      </c>
      <c r="J705" s="1894">
        <v>6840</v>
      </c>
      <c r="K705" s="1894">
        <v>0.83330000000000004</v>
      </c>
      <c r="L705" s="1894">
        <v>0.37</v>
      </c>
      <c r="M705" s="1894">
        <v>18000</v>
      </c>
      <c r="N705" s="1894">
        <f t="shared" si="351"/>
        <v>2954880</v>
      </c>
      <c r="O705" s="1894">
        <f t="shared" si="352"/>
        <v>0</v>
      </c>
      <c r="P705" s="1894">
        <v>7778</v>
      </c>
      <c r="Q705" s="1894">
        <v>120</v>
      </c>
      <c r="R705" s="1894">
        <v>6222.4</v>
      </c>
      <c r="S705" s="1894">
        <v>0</v>
      </c>
      <c r="T705" s="1894">
        <v>0</v>
      </c>
      <c r="U705" s="1894">
        <v>0</v>
      </c>
      <c r="V705" s="1894">
        <f t="shared" si="353"/>
        <v>53568</v>
      </c>
      <c r="W705" s="1894">
        <f t="shared" si="354"/>
        <v>0</v>
      </c>
      <c r="X705" s="1894">
        <v>7778</v>
      </c>
      <c r="Y705" s="1894">
        <v>8400</v>
      </c>
      <c r="Z705" s="1894">
        <v>8400</v>
      </c>
      <c r="AA705" s="1894">
        <v>0.79159999999999997</v>
      </c>
      <c r="AB705" s="1894">
        <v>0.24</v>
      </c>
      <c r="AC705" s="1894">
        <v>14400</v>
      </c>
      <c r="AD705" s="1894">
        <f t="shared" si="355"/>
        <v>3628800</v>
      </c>
      <c r="AE705" s="1894">
        <f t="shared" si="356"/>
        <v>0</v>
      </c>
      <c r="AF705" s="1894">
        <v>7778</v>
      </c>
      <c r="AG705" s="1894">
        <v>1560</v>
      </c>
      <c r="AH705" s="1894">
        <v>6222.4</v>
      </c>
      <c r="AI705" s="1894">
        <v>1</v>
      </c>
      <c r="AJ705" s="1894">
        <v>0.21</v>
      </c>
      <c r="AK705" s="1894">
        <v>2400</v>
      </c>
      <c r="AL705" s="1894">
        <f t="shared" si="357"/>
        <v>696384</v>
      </c>
      <c r="AM705" s="1894">
        <f t="shared" si="358"/>
        <v>0</v>
      </c>
      <c r="AN705" s="1894">
        <v>7778</v>
      </c>
      <c r="AO705" s="1894">
        <v>120</v>
      </c>
      <c r="AP705" s="1894">
        <v>6222.4</v>
      </c>
      <c r="AQ705" s="1894">
        <v>1</v>
      </c>
      <c r="AR705" s="1894">
        <v>0.67</v>
      </c>
      <c r="AS705" s="1894">
        <v>600</v>
      </c>
      <c r="AT705" s="1894">
        <f t="shared" si="359"/>
        <v>53568</v>
      </c>
      <c r="AU705" s="1894">
        <f t="shared" si="360"/>
        <v>0</v>
      </c>
      <c r="AV705" s="1894">
        <v>7778</v>
      </c>
      <c r="AW705" s="1894">
        <v>600</v>
      </c>
      <c r="AX705" s="1894">
        <v>6222.4</v>
      </c>
      <c r="AY705" s="1894">
        <v>0</v>
      </c>
      <c r="AZ705" s="1894">
        <v>0</v>
      </c>
      <c r="BA705" s="1894">
        <v>0</v>
      </c>
      <c r="BB705" s="1894">
        <f t="shared" si="361"/>
        <v>259200</v>
      </c>
      <c r="BC705" s="1894">
        <f t="shared" si="362"/>
        <v>0</v>
      </c>
      <c r="BD705" s="1894">
        <v>7778</v>
      </c>
      <c r="BE705" s="1894">
        <v>240</v>
      </c>
      <c r="BF705" s="1894">
        <v>6222.4</v>
      </c>
      <c r="BG705" s="1894">
        <v>0</v>
      </c>
      <c r="BH705" s="1894">
        <v>0.34</v>
      </c>
      <c r="BI705" s="1894">
        <v>600</v>
      </c>
      <c r="BJ705" s="1894">
        <f t="shared" si="363"/>
        <v>107136</v>
      </c>
      <c r="BK705" s="1894">
        <f t="shared" si="364"/>
        <v>0</v>
      </c>
      <c r="BL705" s="1894">
        <v>7778</v>
      </c>
      <c r="BM705" s="1894">
        <v>0</v>
      </c>
      <c r="BN705" s="1894">
        <v>6222.4</v>
      </c>
      <c r="BO705" s="1894">
        <v>0</v>
      </c>
      <c r="BP705" s="1894">
        <v>0</v>
      </c>
      <c r="BQ705" s="1894">
        <v>0</v>
      </c>
      <c r="BR705" s="1894">
        <f t="shared" si="365"/>
        <v>0</v>
      </c>
      <c r="BS705" s="1894">
        <f t="shared" si="366"/>
        <v>0</v>
      </c>
      <c r="BT705" s="1894">
        <v>7778</v>
      </c>
      <c r="BU705" s="1894">
        <v>9000</v>
      </c>
      <c r="BV705" s="1894">
        <v>9000</v>
      </c>
      <c r="BW705" s="1894">
        <v>0.82050000000000001</v>
      </c>
      <c r="BX705" s="1894">
        <v>1.05</v>
      </c>
      <c r="BY705" s="1894">
        <v>70200</v>
      </c>
      <c r="BZ705" s="1894">
        <f t="shared" si="367"/>
        <v>4017600</v>
      </c>
      <c r="CA705" s="1894">
        <f t="shared" si="368"/>
        <v>0</v>
      </c>
      <c r="CB705" s="1894">
        <v>7778</v>
      </c>
      <c r="CC705" s="1894">
        <v>6480</v>
      </c>
      <c r="CD705" s="1894">
        <v>6480</v>
      </c>
      <c r="CE705" s="1894">
        <v>0.82140000000000002</v>
      </c>
      <c r="CF705" s="1894">
        <v>0.35</v>
      </c>
      <c r="CG705" s="1894">
        <v>16800</v>
      </c>
      <c r="CH705" s="1894">
        <f t="shared" si="369"/>
        <v>2892672</v>
      </c>
      <c r="CI705" s="1894">
        <f t="shared" si="370"/>
        <v>0</v>
      </c>
      <c r="CJ705" s="1894">
        <v>7778</v>
      </c>
      <c r="CK705" s="1894">
        <v>0</v>
      </c>
      <c r="CL705" s="1894">
        <v>6222.4</v>
      </c>
      <c r="CM705" s="1894">
        <v>0</v>
      </c>
      <c r="CN705" s="1894">
        <v>0</v>
      </c>
      <c r="CO705" s="1894">
        <v>0</v>
      </c>
      <c r="CP705" s="1894">
        <f t="shared" si="371"/>
        <v>0</v>
      </c>
      <c r="CQ705" s="1894">
        <f t="shared" si="372"/>
        <v>0</v>
      </c>
      <c r="CR705" s="1924">
        <v>7778</v>
      </c>
      <c r="CS705" s="1924">
        <v>120</v>
      </c>
      <c r="CT705" s="1924">
        <v>6222.4</v>
      </c>
      <c r="CU705" s="1924">
        <v>0</v>
      </c>
      <c r="CV705" s="1924">
        <v>0</v>
      </c>
      <c r="CW705" s="1924">
        <v>0</v>
      </c>
      <c r="CX705" s="1894">
        <f t="shared" si="373"/>
        <v>53568</v>
      </c>
      <c r="CY705" s="1894">
        <f t="shared" si="374"/>
        <v>0</v>
      </c>
    </row>
    <row r="706" spans="1:103">
      <c r="A706" s="982">
        <v>611000000100</v>
      </c>
      <c r="B706" s="1923">
        <f t="shared" si="375"/>
        <v>8</v>
      </c>
      <c r="C706" s="1895" t="s">
        <v>570</v>
      </c>
      <c r="D706" s="1894" t="s">
        <v>524</v>
      </c>
      <c r="E706" s="1895" t="s">
        <v>541</v>
      </c>
      <c r="F706" s="1894" t="s">
        <v>271</v>
      </c>
      <c r="G706" s="1924">
        <v>8000</v>
      </c>
      <c r="H706" s="1894">
        <v>8000</v>
      </c>
      <c r="I706" s="1894">
        <v>6048</v>
      </c>
      <c r="J706" s="1894">
        <v>6400</v>
      </c>
      <c r="K706" s="1894">
        <v>0.99550000000000005</v>
      </c>
      <c r="L706" s="1894">
        <v>35.729999999999997</v>
      </c>
      <c r="M706" s="1894">
        <v>1555680</v>
      </c>
      <c r="N706" s="1894">
        <f t="shared" si="351"/>
        <v>2612736</v>
      </c>
      <c r="O706" s="1894">
        <f t="shared" si="352"/>
        <v>0</v>
      </c>
      <c r="P706" s="1894">
        <v>8000</v>
      </c>
      <c r="Q706" s="1894">
        <v>4483.2</v>
      </c>
      <c r="R706" s="1894">
        <v>6400</v>
      </c>
      <c r="S706" s="1894">
        <v>0.99339999999999995</v>
      </c>
      <c r="T706" s="1894">
        <v>52.03</v>
      </c>
      <c r="U706" s="1894">
        <v>1873800</v>
      </c>
      <c r="V706" s="1894">
        <f t="shared" si="353"/>
        <v>2001300</v>
      </c>
      <c r="W706" s="1894">
        <f t="shared" si="354"/>
        <v>0</v>
      </c>
      <c r="X706" s="1894">
        <v>8000</v>
      </c>
      <c r="Y706" s="1894">
        <v>4108.8</v>
      </c>
      <c r="Z706" s="1894">
        <v>6400</v>
      </c>
      <c r="AA706" s="1894">
        <v>0.995</v>
      </c>
      <c r="AB706" s="1894">
        <v>47.25</v>
      </c>
      <c r="AC706" s="1894">
        <v>1502520</v>
      </c>
      <c r="AD706" s="1894">
        <f t="shared" si="355"/>
        <v>1775002</v>
      </c>
      <c r="AE706" s="1894">
        <f t="shared" si="356"/>
        <v>0</v>
      </c>
      <c r="AF706" s="1894">
        <v>8000</v>
      </c>
      <c r="AG706" s="1894">
        <v>4156.8</v>
      </c>
      <c r="AH706" s="1894">
        <v>6400</v>
      </c>
      <c r="AI706" s="1894">
        <v>0.99519999999999997</v>
      </c>
      <c r="AJ706" s="1894">
        <v>42.29</v>
      </c>
      <c r="AK706" s="1894">
        <v>1450440</v>
      </c>
      <c r="AL706" s="1894">
        <f t="shared" si="357"/>
        <v>1855596</v>
      </c>
      <c r="AM706" s="1894">
        <f t="shared" si="358"/>
        <v>0</v>
      </c>
      <c r="AN706" s="1894">
        <v>8000</v>
      </c>
      <c r="AO706" s="1894">
        <v>4300.8</v>
      </c>
      <c r="AP706" s="1894">
        <v>6400</v>
      </c>
      <c r="AQ706" s="1894">
        <v>0.99490000000000001</v>
      </c>
      <c r="AR706" s="1894">
        <v>36.36</v>
      </c>
      <c r="AS706" s="1894">
        <v>1159200</v>
      </c>
      <c r="AT706" s="1894">
        <f t="shared" si="359"/>
        <v>1919877</v>
      </c>
      <c r="AU706" s="1894">
        <f t="shared" si="360"/>
        <v>0</v>
      </c>
      <c r="AV706" s="1894">
        <v>8000</v>
      </c>
      <c r="AW706" s="1894">
        <v>4195.2</v>
      </c>
      <c r="AX706" s="1894">
        <v>6400</v>
      </c>
      <c r="AY706" s="1894">
        <v>0.99219999999999997</v>
      </c>
      <c r="AZ706" s="1894">
        <v>42.51</v>
      </c>
      <c r="BA706" s="1894">
        <v>1412760</v>
      </c>
      <c r="BB706" s="1894">
        <f t="shared" si="361"/>
        <v>1812326</v>
      </c>
      <c r="BC706" s="1894">
        <f t="shared" si="362"/>
        <v>0</v>
      </c>
      <c r="BD706" s="1894">
        <v>8000</v>
      </c>
      <c r="BE706" s="1894">
        <v>4224</v>
      </c>
      <c r="BF706" s="1894">
        <v>6400</v>
      </c>
      <c r="BG706" s="1894">
        <v>0.99570000000000003</v>
      </c>
      <c r="BH706" s="1894">
        <v>30.84</v>
      </c>
      <c r="BI706" s="1894">
        <v>1110480</v>
      </c>
      <c r="BJ706" s="1894">
        <f t="shared" si="363"/>
        <v>1885594</v>
      </c>
      <c r="BK706" s="1894">
        <f t="shared" si="364"/>
        <v>0</v>
      </c>
      <c r="BL706" s="1894">
        <v>8000</v>
      </c>
      <c r="BM706" s="1894">
        <v>4440</v>
      </c>
      <c r="BN706" s="1894">
        <v>6400</v>
      </c>
      <c r="BO706" s="1894">
        <v>0.99539999999999995</v>
      </c>
      <c r="BP706" s="1894">
        <v>48.83</v>
      </c>
      <c r="BQ706" s="1894">
        <v>1572360</v>
      </c>
      <c r="BR706" s="1894">
        <f t="shared" si="365"/>
        <v>1918080</v>
      </c>
      <c r="BS706" s="1894">
        <f t="shared" si="366"/>
        <v>0</v>
      </c>
      <c r="BT706" s="1894">
        <v>8000</v>
      </c>
      <c r="BU706" s="1894">
        <v>4608</v>
      </c>
      <c r="BV706" s="1894">
        <v>6400</v>
      </c>
      <c r="BW706" s="1894">
        <v>0.99490000000000001</v>
      </c>
      <c r="BX706" s="1894">
        <v>57.84</v>
      </c>
      <c r="BY706" s="1894">
        <v>2255880</v>
      </c>
      <c r="BZ706" s="1894">
        <f t="shared" si="367"/>
        <v>2057011</v>
      </c>
      <c r="CA706" s="1894">
        <f t="shared" si="368"/>
        <v>198869</v>
      </c>
      <c r="CB706" s="1894">
        <v>8000</v>
      </c>
      <c r="CC706" s="1894">
        <v>4704</v>
      </c>
      <c r="CD706" s="1894">
        <v>6400</v>
      </c>
      <c r="CE706" s="1894">
        <v>0.99460000000000004</v>
      </c>
      <c r="CF706" s="1894">
        <v>50.28</v>
      </c>
      <c r="CG706" s="1894">
        <v>1965360</v>
      </c>
      <c r="CH706" s="1894">
        <f t="shared" si="369"/>
        <v>2099866</v>
      </c>
      <c r="CI706" s="1894">
        <f t="shared" si="370"/>
        <v>0</v>
      </c>
      <c r="CJ706" s="1894">
        <v>8000</v>
      </c>
      <c r="CK706" s="1894">
        <v>4992</v>
      </c>
      <c r="CL706" s="1894">
        <v>6400</v>
      </c>
      <c r="CM706" s="1894">
        <v>0.99370000000000003</v>
      </c>
      <c r="CN706" s="1894">
        <v>46.07</v>
      </c>
      <c r="CO706" s="1894">
        <v>1545480</v>
      </c>
      <c r="CP706" s="1894">
        <f t="shared" si="371"/>
        <v>2012774</v>
      </c>
      <c r="CQ706" s="1894">
        <f t="shared" si="372"/>
        <v>0</v>
      </c>
      <c r="CR706" s="1924">
        <v>8000</v>
      </c>
      <c r="CS706" s="1924">
        <v>7404</v>
      </c>
      <c r="CT706" s="1924">
        <v>7401.6</v>
      </c>
      <c r="CU706" s="1924">
        <v>0.99099999999999999</v>
      </c>
      <c r="CV706" s="1924">
        <v>39.86</v>
      </c>
      <c r="CW706" s="1924">
        <v>2287200</v>
      </c>
      <c r="CX706" s="1894">
        <f t="shared" si="373"/>
        <v>3305146</v>
      </c>
      <c r="CY706" s="1894">
        <f t="shared" si="374"/>
        <v>0</v>
      </c>
    </row>
    <row r="707" spans="1:103">
      <c r="A707" s="982">
        <v>611000000103</v>
      </c>
      <c r="B707" s="1923">
        <f t="shared" si="375"/>
        <v>9</v>
      </c>
      <c r="C707" s="1895" t="s">
        <v>670</v>
      </c>
      <c r="D707" s="1894" t="s">
        <v>524</v>
      </c>
      <c r="E707" s="1895" t="s">
        <v>541</v>
      </c>
      <c r="F707" s="1894" t="s">
        <v>259</v>
      </c>
      <c r="G707" s="1924">
        <v>8000</v>
      </c>
      <c r="H707" s="1894">
        <v>8000</v>
      </c>
      <c r="I707" s="1894">
        <v>4012.7999999999997</v>
      </c>
      <c r="J707" s="1894">
        <v>6400</v>
      </c>
      <c r="K707" s="1894">
        <v>0.98340000000000005</v>
      </c>
      <c r="L707" s="1894">
        <v>19.2</v>
      </c>
      <c r="M707" s="1894">
        <v>554700</v>
      </c>
      <c r="N707" s="1894">
        <f t="shared" si="351"/>
        <v>1733530</v>
      </c>
      <c r="O707" s="1894">
        <f t="shared" si="352"/>
        <v>0</v>
      </c>
      <c r="P707" s="1894">
        <v>8000</v>
      </c>
      <c r="Q707" s="1894">
        <v>5942.4</v>
      </c>
      <c r="R707" s="1894">
        <v>6400</v>
      </c>
      <c r="S707" s="1894">
        <v>0.99329999999999996</v>
      </c>
      <c r="T707" s="1894">
        <v>10.19</v>
      </c>
      <c r="U707" s="1894">
        <v>450720</v>
      </c>
      <c r="V707" s="1894">
        <f t="shared" si="353"/>
        <v>2652687</v>
      </c>
      <c r="W707" s="1894">
        <f t="shared" si="354"/>
        <v>0</v>
      </c>
      <c r="X707" s="1894">
        <v>8000</v>
      </c>
      <c r="Y707" s="1894">
        <v>6268.7999999999993</v>
      </c>
      <c r="Z707" s="1894">
        <v>6400</v>
      </c>
      <c r="AA707" s="1894">
        <v>0.99580000000000002</v>
      </c>
      <c r="AB707" s="1894">
        <v>14.58</v>
      </c>
      <c r="AC707" s="1894">
        <v>658140</v>
      </c>
      <c r="AD707" s="1894">
        <f t="shared" si="355"/>
        <v>2708122</v>
      </c>
      <c r="AE707" s="1894">
        <f t="shared" si="356"/>
        <v>0</v>
      </c>
      <c r="AF707" s="1894">
        <v>8000</v>
      </c>
      <c r="AG707" s="1894">
        <v>6153.6</v>
      </c>
      <c r="AH707" s="1894">
        <v>6400</v>
      </c>
      <c r="AI707" s="1894">
        <v>0.99660000000000004</v>
      </c>
      <c r="AJ707" s="1894">
        <v>11.42</v>
      </c>
      <c r="AK707" s="1894">
        <v>522900</v>
      </c>
      <c r="AL707" s="1894">
        <f t="shared" si="357"/>
        <v>2746967</v>
      </c>
      <c r="AM707" s="1894">
        <f t="shared" si="358"/>
        <v>0</v>
      </c>
      <c r="AN707" s="1894">
        <v>8000</v>
      </c>
      <c r="AO707" s="1894">
        <v>6124.7999999999993</v>
      </c>
      <c r="AP707" s="1894">
        <v>6400</v>
      </c>
      <c r="AQ707" s="1894">
        <v>0.99539999999999995</v>
      </c>
      <c r="AR707" s="1894">
        <v>10.07</v>
      </c>
      <c r="AS707" s="1894">
        <v>458940</v>
      </c>
      <c r="AT707" s="1894">
        <f t="shared" si="359"/>
        <v>2734111</v>
      </c>
      <c r="AU707" s="1894">
        <f t="shared" si="360"/>
        <v>0</v>
      </c>
      <c r="AV707" s="1894">
        <v>8000</v>
      </c>
      <c r="AW707" s="1894">
        <v>6038.4</v>
      </c>
      <c r="AX707" s="1894">
        <v>6400</v>
      </c>
      <c r="AY707" s="1894">
        <v>0.99609999999999999</v>
      </c>
      <c r="AZ707" s="1894">
        <v>16.989999999999998</v>
      </c>
      <c r="BA707" s="1894">
        <v>738600</v>
      </c>
      <c r="BB707" s="1894">
        <f t="shared" si="361"/>
        <v>2608589</v>
      </c>
      <c r="BC707" s="1894">
        <f t="shared" si="362"/>
        <v>0</v>
      </c>
      <c r="BD707" s="1894">
        <v>8000</v>
      </c>
      <c r="BE707" s="1894">
        <v>6038.4</v>
      </c>
      <c r="BF707" s="1894">
        <v>6400</v>
      </c>
      <c r="BG707" s="1894">
        <v>0.99509999999999998</v>
      </c>
      <c r="BH707" s="1894">
        <v>15.02</v>
      </c>
      <c r="BI707" s="1894">
        <v>674940</v>
      </c>
      <c r="BJ707" s="1894">
        <f t="shared" si="363"/>
        <v>2695542</v>
      </c>
      <c r="BK707" s="1894">
        <f t="shared" si="364"/>
        <v>0</v>
      </c>
      <c r="BL707" s="1894">
        <v>8000</v>
      </c>
      <c r="BM707" s="1894">
        <v>5985.6</v>
      </c>
      <c r="BN707" s="1894">
        <v>6400</v>
      </c>
      <c r="BO707" s="1894">
        <v>0.99429999999999996</v>
      </c>
      <c r="BP707" s="1894">
        <v>18.37</v>
      </c>
      <c r="BQ707" s="1894">
        <v>791520</v>
      </c>
      <c r="BR707" s="1894">
        <f t="shared" si="365"/>
        <v>2585779</v>
      </c>
      <c r="BS707" s="1894">
        <f t="shared" si="366"/>
        <v>0</v>
      </c>
      <c r="BT707" s="1894">
        <v>8000</v>
      </c>
      <c r="BU707" s="1894">
        <v>6144</v>
      </c>
      <c r="BV707" s="1894">
        <v>6400</v>
      </c>
      <c r="BW707" s="1894">
        <v>0.99480000000000002</v>
      </c>
      <c r="BX707" s="1894">
        <v>19.97</v>
      </c>
      <c r="BY707" s="1894">
        <v>912840</v>
      </c>
      <c r="BZ707" s="1894">
        <f t="shared" si="367"/>
        <v>2742682</v>
      </c>
      <c r="CA707" s="1894">
        <f t="shared" si="368"/>
        <v>0</v>
      </c>
      <c r="CB707" s="1894">
        <v>8000</v>
      </c>
      <c r="CC707" s="1894">
        <v>6297.6</v>
      </c>
      <c r="CD707" s="1894">
        <v>6400</v>
      </c>
      <c r="CE707" s="1894">
        <v>0.9929</v>
      </c>
      <c r="CF707" s="1894">
        <v>17.98</v>
      </c>
      <c r="CG707" s="1894">
        <v>842400</v>
      </c>
      <c r="CH707" s="1894">
        <f t="shared" si="369"/>
        <v>2811249</v>
      </c>
      <c r="CI707" s="1894">
        <f t="shared" si="370"/>
        <v>0</v>
      </c>
      <c r="CJ707" s="1894">
        <v>8000</v>
      </c>
      <c r="CK707" s="1894">
        <v>6547.2</v>
      </c>
      <c r="CL707" s="1894">
        <v>6547.2</v>
      </c>
      <c r="CM707" s="1894">
        <v>0.99460000000000004</v>
      </c>
      <c r="CN707" s="1894">
        <v>17.12</v>
      </c>
      <c r="CO707" s="1894">
        <v>753360</v>
      </c>
      <c r="CP707" s="1894">
        <f t="shared" si="371"/>
        <v>2639831</v>
      </c>
      <c r="CQ707" s="1894">
        <f t="shared" si="372"/>
        <v>0</v>
      </c>
      <c r="CR707" s="1924">
        <v>8000</v>
      </c>
      <c r="CS707" s="1924">
        <v>6523.2</v>
      </c>
      <c r="CT707" s="1924">
        <v>6523.2</v>
      </c>
      <c r="CU707" s="1924">
        <v>0.99419999999999997</v>
      </c>
      <c r="CV707" s="1924">
        <v>14.19</v>
      </c>
      <c r="CW707" s="1924">
        <v>688500</v>
      </c>
      <c r="CX707" s="1894">
        <f t="shared" si="373"/>
        <v>2911956</v>
      </c>
      <c r="CY707" s="1894">
        <f t="shared" si="374"/>
        <v>0</v>
      </c>
    </row>
    <row r="708" spans="1:103">
      <c r="A708" s="982">
        <v>129000000006</v>
      </c>
      <c r="B708" s="1923">
        <f t="shared" si="375"/>
        <v>10</v>
      </c>
      <c r="C708" s="1895" t="s">
        <v>714</v>
      </c>
      <c r="D708" s="1894" t="s">
        <v>524</v>
      </c>
      <c r="E708" s="1895" t="s">
        <v>709</v>
      </c>
      <c r="F708" s="1894" t="s">
        <v>259</v>
      </c>
      <c r="G708" s="1924">
        <v>8319</v>
      </c>
      <c r="H708" s="1894">
        <v>0</v>
      </c>
      <c r="I708" s="1894">
        <v>0</v>
      </c>
      <c r="J708" s="1894">
        <v>0</v>
      </c>
      <c r="K708" s="1894">
        <v>0</v>
      </c>
      <c r="L708" s="1894">
        <v>0</v>
      </c>
      <c r="M708" s="1894">
        <v>0</v>
      </c>
      <c r="N708" s="1894">
        <f t="shared" si="351"/>
        <v>0</v>
      </c>
      <c r="O708" s="1894">
        <f t="shared" si="352"/>
        <v>0</v>
      </c>
      <c r="P708" s="1894">
        <v>0</v>
      </c>
      <c r="Q708" s="1894">
        <v>0</v>
      </c>
      <c r="R708" s="1894">
        <v>0</v>
      </c>
      <c r="S708" s="1894">
        <v>0</v>
      </c>
      <c r="T708" s="1894">
        <v>0</v>
      </c>
      <c r="U708" s="1894">
        <v>0</v>
      </c>
      <c r="V708" s="1894">
        <f t="shared" si="353"/>
        <v>0</v>
      </c>
      <c r="W708" s="1894">
        <f t="shared" si="354"/>
        <v>0</v>
      </c>
      <c r="X708" s="1894">
        <v>0</v>
      </c>
      <c r="Y708" s="1894">
        <v>0</v>
      </c>
      <c r="Z708" s="1894">
        <v>0</v>
      </c>
      <c r="AA708" s="1894">
        <v>0</v>
      </c>
      <c r="AB708" s="1894">
        <v>0</v>
      </c>
      <c r="AC708" s="1894">
        <v>0</v>
      </c>
      <c r="AD708" s="1894">
        <f t="shared" si="355"/>
        <v>0</v>
      </c>
      <c r="AE708" s="1894">
        <f t="shared" si="356"/>
        <v>0</v>
      </c>
      <c r="AF708" s="1894">
        <v>0</v>
      </c>
      <c r="AG708" s="1894">
        <v>0</v>
      </c>
      <c r="AH708" s="1894">
        <v>0</v>
      </c>
      <c r="AI708" s="1894">
        <v>0</v>
      </c>
      <c r="AJ708" s="1894">
        <v>0</v>
      </c>
      <c r="AK708" s="1894">
        <v>0</v>
      </c>
      <c r="AL708" s="1894">
        <f t="shared" si="357"/>
        <v>0</v>
      </c>
      <c r="AM708" s="1894">
        <f t="shared" si="358"/>
        <v>0</v>
      </c>
      <c r="AN708" s="1894">
        <v>0</v>
      </c>
      <c r="AO708" s="1894">
        <v>0</v>
      </c>
      <c r="AP708" s="1894">
        <v>0</v>
      </c>
      <c r="AQ708" s="1894">
        <v>0</v>
      </c>
      <c r="AR708" s="1894">
        <v>0</v>
      </c>
      <c r="AS708" s="1894">
        <v>0</v>
      </c>
      <c r="AT708" s="1894">
        <f t="shared" si="359"/>
        <v>0</v>
      </c>
      <c r="AU708" s="1894">
        <f t="shared" si="360"/>
        <v>0</v>
      </c>
      <c r="AV708" s="1894">
        <v>8319</v>
      </c>
      <c r="AW708" s="1894">
        <v>0</v>
      </c>
      <c r="AX708" s="1894">
        <v>6655.2</v>
      </c>
      <c r="AY708" s="1894">
        <v>0</v>
      </c>
      <c r="AZ708" s="1894">
        <v>0</v>
      </c>
      <c r="BA708" s="1894">
        <v>0</v>
      </c>
      <c r="BB708" s="1894">
        <f t="shared" si="361"/>
        <v>0</v>
      </c>
      <c r="BC708" s="1894">
        <f t="shared" si="362"/>
        <v>0</v>
      </c>
      <c r="BD708" s="1894">
        <v>8319</v>
      </c>
      <c r="BE708" s="1894">
        <v>135</v>
      </c>
      <c r="BF708" s="1894">
        <v>6655.2</v>
      </c>
      <c r="BG708" s="1894">
        <v>0.98329999999999995</v>
      </c>
      <c r="BH708" s="1894">
        <v>2.25</v>
      </c>
      <c r="BI708" s="1894">
        <v>2700</v>
      </c>
      <c r="BJ708" s="1894">
        <f t="shared" si="363"/>
        <v>60264</v>
      </c>
      <c r="BK708" s="1894">
        <f t="shared" si="364"/>
        <v>0</v>
      </c>
      <c r="BL708" s="1894">
        <v>8319</v>
      </c>
      <c r="BM708" s="1894">
        <v>413.99999999999994</v>
      </c>
      <c r="BN708" s="1894">
        <v>6655.2</v>
      </c>
      <c r="BO708" s="1894">
        <v>1</v>
      </c>
      <c r="BP708" s="1894">
        <v>1.4</v>
      </c>
      <c r="BQ708" s="1894">
        <v>4185</v>
      </c>
      <c r="BR708" s="1894">
        <f t="shared" si="365"/>
        <v>178848</v>
      </c>
      <c r="BS708" s="1894">
        <f t="shared" si="366"/>
        <v>0</v>
      </c>
      <c r="BT708" s="1894">
        <v>8319</v>
      </c>
      <c r="BU708" s="1894">
        <v>27</v>
      </c>
      <c r="BV708" s="1894">
        <v>6655.2</v>
      </c>
      <c r="BW708" s="1894">
        <v>0.99460000000000004</v>
      </c>
      <c r="BX708" s="1894">
        <v>41.67</v>
      </c>
      <c r="BY708" s="1894">
        <v>8370</v>
      </c>
      <c r="BZ708" s="1894">
        <f t="shared" si="367"/>
        <v>12053</v>
      </c>
      <c r="CA708" s="1894">
        <f t="shared" si="368"/>
        <v>0</v>
      </c>
      <c r="CB708" s="1894">
        <v>8319</v>
      </c>
      <c r="CC708" s="1894">
        <v>18</v>
      </c>
      <c r="CD708" s="1894">
        <v>6655.2</v>
      </c>
      <c r="CE708" s="1894">
        <v>1</v>
      </c>
      <c r="CF708" s="1894">
        <v>74.930000000000007</v>
      </c>
      <c r="CG708" s="1894">
        <v>10035</v>
      </c>
      <c r="CH708" s="1894">
        <f t="shared" si="369"/>
        <v>8035</v>
      </c>
      <c r="CI708" s="1894">
        <f t="shared" si="370"/>
        <v>2000</v>
      </c>
      <c r="CJ708" s="1894">
        <v>8319</v>
      </c>
      <c r="CK708" s="1894">
        <v>18</v>
      </c>
      <c r="CL708" s="1894">
        <v>6655.2</v>
      </c>
      <c r="CM708" s="1894">
        <v>1.0055000000000001</v>
      </c>
      <c r="CN708" s="1894">
        <v>66.59</v>
      </c>
      <c r="CO708" s="1894">
        <v>8055</v>
      </c>
      <c r="CP708" s="1894">
        <f t="shared" si="371"/>
        <v>7258</v>
      </c>
      <c r="CQ708" s="1894">
        <f t="shared" si="372"/>
        <v>797</v>
      </c>
      <c r="CR708" s="1924">
        <v>8319</v>
      </c>
      <c r="CS708" s="1924">
        <v>18</v>
      </c>
      <c r="CT708" s="1924">
        <v>6655.2</v>
      </c>
      <c r="CU708" s="1924">
        <v>0.99399999999999999</v>
      </c>
      <c r="CV708" s="1924">
        <v>56.45</v>
      </c>
      <c r="CW708" s="1924">
        <v>7560</v>
      </c>
      <c r="CX708" s="1894">
        <f t="shared" si="373"/>
        <v>8035</v>
      </c>
      <c r="CY708" s="1894">
        <f t="shared" si="374"/>
        <v>0</v>
      </c>
    </row>
    <row r="709" spans="1:103">
      <c r="A709" s="982">
        <v>622000000191</v>
      </c>
      <c r="B709" s="1923">
        <f t="shared" si="375"/>
        <v>11</v>
      </c>
      <c r="C709" s="1895" t="s">
        <v>3525</v>
      </c>
      <c r="D709" s="1894" t="s">
        <v>524</v>
      </c>
      <c r="E709" s="1895" t="s">
        <v>541</v>
      </c>
      <c r="F709" s="1894" t="s">
        <v>259</v>
      </c>
      <c r="G709" s="1924">
        <v>9500</v>
      </c>
      <c r="H709" s="1894">
        <v>7000</v>
      </c>
      <c r="I709" s="1894">
        <v>7516.7999999999993</v>
      </c>
      <c r="J709" s="1894">
        <v>7516.8</v>
      </c>
      <c r="K709" s="1894">
        <v>0.86060000000000003</v>
      </c>
      <c r="L709" s="1894">
        <v>61.3</v>
      </c>
      <c r="M709" s="1894">
        <v>3427740</v>
      </c>
      <c r="N709" s="1894">
        <f t="shared" si="351"/>
        <v>3247258</v>
      </c>
      <c r="O709" s="1894">
        <f t="shared" si="352"/>
        <v>180482</v>
      </c>
      <c r="P709" s="1894">
        <v>7000</v>
      </c>
      <c r="Q709" s="1894">
        <v>7598.4</v>
      </c>
      <c r="R709" s="1894">
        <v>7598.4</v>
      </c>
      <c r="S709" s="1894">
        <v>0.80659999999999998</v>
      </c>
      <c r="T709" s="1894">
        <v>63.34</v>
      </c>
      <c r="U709" s="1894">
        <v>4158180</v>
      </c>
      <c r="V709" s="1894">
        <f t="shared" si="353"/>
        <v>3391926</v>
      </c>
      <c r="W709" s="1894">
        <f t="shared" si="354"/>
        <v>766254</v>
      </c>
      <c r="X709" s="1894">
        <v>7000</v>
      </c>
      <c r="Y709" s="1894">
        <v>7584</v>
      </c>
      <c r="Z709" s="1894">
        <v>7584</v>
      </c>
      <c r="AA709" s="1894">
        <v>0.83440000000000003</v>
      </c>
      <c r="AB709" s="1894">
        <v>80.78</v>
      </c>
      <c r="AC709" s="1894">
        <v>4411080</v>
      </c>
      <c r="AD709" s="1894">
        <f t="shared" si="355"/>
        <v>3276288</v>
      </c>
      <c r="AE709" s="1894">
        <f t="shared" si="356"/>
        <v>1134792</v>
      </c>
      <c r="AF709" s="1894">
        <v>7000</v>
      </c>
      <c r="AG709" s="1894">
        <v>7593.6</v>
      </c>
      <c r="AH709" s="1894">
        <v>7593.6</v>
      </c>
      <c r="AI709" s="1894">
        <v>0.84209999999999996</v>
      </c>
      <c r="AJ709" s="1894">
        <v>61.24</v>
      </c>
      <c r="AK709" s="1894">
        <v>3348420</v>
      </c>
      <c r="AL709" s="1894">
        <f t="shared" si="357"/>
        <v>3389783</v>
      </c>
      <c r="AM709" s="1894">
        <f t="shared" si="358"/>
        <v>0</v>
      </c>
      <c r="AN709" s="1894">
        <v>7000</v>
      </c>
      <c r="AO709" s="1894">
        <v>8356.8000000000011</v>
      </c>
      <c r="AP709" s="1894">
        <v>8356.7999999999993</v>
      </c>
      <c r="AQ709" s="1894">
        <v>0.94750000000000001</v>
      </c>
      <c r="AR709" s="1894">
        <v>49.87</v>
      </c>
      <c r="AS709" s="1894">
        <v>3200580</v>
      </c>
      <c r="AT709" s="1894">
        <f t="shared" si="359"/>
        <v>3730476</v>
      </c>
      <c r="AU709" s="1894">
        <f t="shared" si="360"/>
        <v>0</v>
      </c>
      <c r="AV709" s="1894">
        <v>7000</v>
      </c>
      <c r="AW709" s="1894">
        <v>8112.0000000000009</v>
      </c>
      <c r="AX709" s="1894">
        <v>8112</v>
      </c>
      <c r="AY709" s="1894">
        <v>0.96460000000000001</v>
      </c>
      <c r="AZ709" s="1894">
        <v>55.75</v>
      </c>
      <c r="BA709" s="1894">
        <v>3256320</v>
      </c>
      <c r="BB709" s="1894">
        <f t="shared" si="361"/>
        <v>3504384</v>
      </c>
      <c r="BC709" s="1894">
        <f t="shared" si="362"/>
        <v>0</v>
      </c>
      <c r="BD709" s="1894">
        <v>7000</v>
      </c>
      <c r="BE709" s="1894">
        <v>8092.8</v>
      </c>
      <c r="BF709" s="1894">
        <v>8092.8</v>
      </c>
      <c r="BG709" s="1894">
        <v>0.96960000000000002</v>
      </c>
      <c r="BH709" s="1894">
        <v>55.62</v>
      </c>
      <c r="BI709" s="1894">
        <v>3348960</v>
      </c>
      <c r="BJ709" s="1894">
        <f t="shared" si="363"/>
        <v>3612626</v>
      </c>
      <c r="BK709" s="1894">
        <f t="shared" si="364"/>
        <v>0</v>
      </c>
      <c r="BL709" s="1894">
        <v>7000</v>
      </c>
      <c r="BM709" s="1894">
        <v>9470.4</v>
      </c>
      <c r="BN709" s="1894">
        <v>9470.4</v>
      </c>
      <c r="BO709" s="1894">
        <v>0.97860000000000003</v>
      </c>
      <c r="BP709" s="1894">
        <v>46.28</v>
      </c>
      <c r="BQ709" s="1894">
        <v>3156000</v>
      </c>
      <c r="BR709" s="1894">
        <f t="shared" si="365"/>
        <v>4091213</v>
      </c>
      <c r="BS709" s="1894">
        <f t="shared" si="366"/>
        <v>0</v>
      </c>
      <c r="BT709" s="1894">
        <v>7000</v>
      </c>
      <c r="BU709" s="1894">
        <v>10248</v>
      </c>
      <c r="BV709" s="1894">
        <v>10248</v>
      </c>
      <c r="BW709" s="1894">
        <v>0.98819999999999997</v>
      </c>
      <c r="BX709" s="1894">
        <v>58.51</v>
      </c>
      <c r="BY709" s="1894">
        <v>4461240</v>
      </c>
      <c r="BZ709" s="1894">
        <f t="shared" si="367"/>
        <v>4574707</v>
      </c>
      <c r="CA709" s="1894">
        <f t="shared" si="368"/>
        <v>0</v>
      </c>
      <c r="CB709" s="1894">
        <v>7000</v>
      </c>
      <c r="CC709" s="1894">
        <v>10243.200000000001</v>
      </c>
      <c r="CD709" s="1894">
        <v>10243.200000000001</v>
      </c>
      <c r="CE709" s="1894">
        <v>0.98640000000000005</v>
      </c>
      <c r="CF709" s="1894">
        <v>54.28</v>
      </c>
      <c r="CG709" s="1894">
        <v>4136820</v>
      </c>
      <c r="CH709" s="1894">
        <f t="shared" si="369"/>
        <v>4572564</v>
      </c>
      <c r="CI709" s="1894">
        <f t="shared" si="370"/>
        <v>0</v>
      </c>
      <c r="CJ709" s="1894">
        <v>9500</v>
      </c>
      <c r="CK709" s="1894">
        <v>10392</v>
      </c>
      <c r="CL709" s="1894">
        <v>10392</v>
      </c>
      <c r="CM709" s="1894">
        <v>0.9798</v>
      </c>
      <c r="CN709" s="1894">
        <v>52.58</v>
      </c>
      <c r="CO709" s="1894">
        <v>3671820</v>
      </c>
      <c r="CP709" s="1894">
        <f t="shared" si="371"/>
        <v>4190054</v>
      </c>
      <c r="CQ709" s="1894">
        <f t="shared" si="372"/>
        <v>0</v>
      </c>
      <c r="CR709" s="1924">
        <v>9500</v>
      </c>
      <c r="CS709" s="1924">
        <v>10233.6</v>
      </c>
      <c r="CT709" s="1924">
        <v>10233.6</v>
      </c>
      <c r="CU709" s="1924">
        <v>0.98629999999999995</v>
      </c>
      <c r="CV709" s="1924">
        <v>57.24</v>
      </c>
      <c r="CW709" s="1924">
        <v>4357800</v>
      </c>
      <c r="CX709" s="1894">
        <f t="shared" si="373"/>
        <v>4568279</v>
      </c>
      <c r="CY709" s="1894">
        <f t="shared" si="374"/>
        <v>0</v>
      </c>
    </row>
    <row r="710" spans="1:103">
      <c r="A710" s="982">
        <v>123000000054</v>
      </c>
      <c r="B710" s="1923">
        <f t="shared" si="375"/>
        <v>12</v>
      </c>
      <c r="C710" s="1895" t="s">
        <v>558</v>
      </c>
      <c r="D710" s="1894" t="s">
        <v>524</v>
      </c>
      <c r="E710" s="1895" t="s">
        <v>541</v>
      </c>
      <c r="F710" s="1894" t="s">
        <v>271</v>
      </c>
      <c r="G710" s="1924">
        <v>10000</v>
      </c>
      <c r="H710" s="1894">
        <v>10000</v>
      </c>
      <c r="I710" s="1894">
        <v>9396</v>
      </c>
      <c r="J710" s="1894">
        <v>9396</v>
      </c>
      <c r="K710" s="1894">
        <v>0.97060000000000002</v>
      </c>
      <c r="L710" s="1894">
        <v>77.25</v>
      </c>
      <c r="M710" s="1894">
        <v>5226360</v>
      </c>
      <c r="N710" s="1894">
        <f t="shared" si="351"/>
        <v>4059072</v>
      </c>
      <c r="O710" s="1894">
        <f t="shared" si="352"/>
        <v>1167288</v>
      </c>
      <c r="P710" s="1894">
        <v>10000</v>
      </c>
      <c r="Q710" s="1894">
        <v>11640</v>
      </c>
      <c r="R710" s="1894">
        <v>11640</v>
      </c>
      <c r="S710" s="1894">
        <v>0.97609999999999997</v>
      </c>
      <c r="T710" s="1894">
        <v>74.16</v>
      </c>
      <c r="U710" s="1894">
        <v>6453720</v>
      </c>
      <c r="V710" s="1894">
        <f t="shared" si="353"/>
        <v>5196096</v>
      </c>
      <c r="W710" s="1894">
        <f t="shared" si="354"/>
        <v>1257624</v>
      </c>
      <c r="X710" s="1894">
        <v>10000</v>
      </c>
      <c r="Y710" s="1894">
        <v>11531.279999999999</v>
      </c>
      <c r="Z710" s="1894">
        <v>11531.28</v>
      </c>
      <c r="AA710" s="1894">
        <v>0.98329999999999995</v>
      </c>
      <c r="AB710" s="1894">
        <v>76.14</v>
      </c>
      <c r="AC710" s="1894">
        <v>6354480</v>
      </c>
      <c r="AD710" s="1894">
        <f t="shared" si="355"/>
        <v>4981513</v>
      </c>
      <c r="AE710" s="1894">
        <f t="shared" si="356"/>
        <v>1372967</v>
      </c>
      <c r="AF710" s="1894">
        <v>10000</v>
      </c>
      <c r="AG710" s="1894">
        <v>8917.2000000000007</v>
      </c>
      <c r="AH710" s="1894">
        <v>8917.2000000000007</v>
      </c>
      <c r="AI710" s="1894">
        <v>0.98450000000000004</v>
      </c>
      <c r="AJ710" s="1894">
        <v>76.150000000000006</v>
      </c>
      <c r="AK710" s="1894">
        <v>5074320</v>
      </c>
      <c r="AL710" s="1894">
        <f t="shared" si="357"/>
        <v>3980638</v>
      </c>
      <c r="AM710" s="1894">
        <f t="shared" si="358"/>
        <v>1093682</v>
      </c>
      <c r="AN710" s="1894">
        <v>10000</v>
      </c>
      <c r="AO710" s="1894">
        <v>12195</v>
      </c>
      <c r="AP710" s="1894">
        <v>12195</v>
      </c>
      <c r="AQ710" s="1894">
        <v>0.9859</v>
      </c>
      <c r="AR710" s="1894">
        <v>54.46</v>
      </c>
      <c r="AS710" s="1894">
        <v>4955400</v>
      </c>
      <c r="AT710" s="1894">
        <f t="shared" si="359"/>
        <v>5443848</v>
      </c>
      <c r="AU710" s="1894">
        <f t="shared" si="360"/>
        <v>0</v>
      </c>
      <c r="AV710" s="1894">
        <v>10000</v>
      </c>
      <c r="AW710" s="1894">
        <v>9922.56</v>
      </c>
      <c r="AX710" s="1894">
        <v>9922.56</v>
      </c>
      <c r="AY710" s="1894">
        <v>0.97989999999999999</v>
      </c>
      <c r="AZ710" s="1894">
        <v>65.180000000000007</v>
      </c>
      <c r="BA710" s="1894">
        <v>4694280</v>
      </c>
      <c r="BB710" s="1894">
        <f t="shared" si="361"/>
        <v>4286546</v>
      </c>
      <c r="BC710" s="1894">
        <f t="shared" si="362"/>
        <v>407734</v>
      </c>
      <c r="BD710" s="1894">
        <v>10000</v>
      </c>
      <c r="BE710" s="1894">
        <v>9847.56</v>
      </c>
      <c r="BF710" s="1894">
        <v>9847.56</v>
      </c>
      <c r="BG710" s="1894">
        <v>0.98680000000000001</v>
      </c>
      <c r="BH710" s="1894">
        <v>63.97</v>
      </c>
      <c r="BI710" s="1894">
        <v>4758240</v>
      </c>
      <c r="BJ710" s="1894">
        <f t="shared" si="363"/>
        <v>4395951</v>
      </c>
      <c r="BK710" s="1894">
        <f t="shared" si="364"/>
        <v>362289</v>
      </c>
      <c r="BL710" s="1894">
        <v>10000</v>
      </c>
      <c r="BM710" s="1894">
        <v>9903.7559999999994</v>
      </c>
      <c r="BN710" s="1894">
        <v>9903.76</v>
      </c>
      <c r="BO710" s="1894">
        <v>0.98760000000000003</v>
      </c>
      <c r="BP710" s="1894">
        <v>62.12</v>
      </c>
      <c r="BQ710" s="1894">
        <v>4429920</v>
      </c>
      <c r="BR710" s="1894">
        <f t="shared" si="365"/>
        <v>4278423</v>
      </c>
      <c r="BS710" s="1894">
        <f t="shared" si="366"/>
        <v>151497</v>
      </c>
      <c r="BT710" s="1894">
        <v>10000</v>
      </c>
      <c r="BU710" s="1894">
        <v>8088.7560000000003</v>
      </c>
      <c r="BV710" s="1894">
        <v>8088.76</v>
      </c>
      <c r="BW710" s="1894">
        <v>0.99309999999999998</v>
      </c>
      <c r="BX710" s="1894">
        <v>42.26</v>
      </c>
      <c r="BY710" s="1894">
        <v>2543160</v>
      </c>
      <c r="BZ710" s="1894">
        <f t="shared" si="367"/>
        <v>3610821</v>
      </c>
      <c r="CA710" s="1894">
        <f t="shared" si="368"/>
        <v>0</v>
      </c>
      <c r="CB710" s="1894">
        <v>10000</v>
      </c>
      <c r="CC710" s="1894">
        <v>8407.5</v>
      </c>
      <c r="CD710" s="1894">
        <v>8407.5</v>
      </c>
      <c r="CE710" s="1894">
        <v>0.99870000000000003</v>
      </c>
      <c r="CF710" s="1894">
        <v>28.22</v>
      </c>
      <c r="CG710" s="1894">
        <v>1765440</v>
      </c>
      <c r="CH710" s="1894">
        <f t="shared" si="369"/>
        <v>3753108</v>
      </c>
      <c r="CI710" s="1894">
        <f t="shared" si="370"/>
        <v>0</v>
      </c>
      <c r="CJ710" s="1894">
        <v>10000</v>
      </c>
      <c r="CK710" s="1894">
        <v>9120</v>
      </c>
      <c r="CL710" s="1894">
        <v>9120</v>
      </c>
      <c r="CM710" s="1894">
        <v>0.98040000000000005</v>
      </c>
      <c r="CN710" s="1894">
        <v>67.42</v>
      </c>
      <c r="CO710" s="1894">
        <v>4132080</v>
      </c>
      <c r="CP710" s="1894">
        <f t="shared" si="371"/>
        <v>3677184</v>
      </c>
      <c r="CQ710" s="1894">
        <f t="shared" si="372"/>
        <v>454896</v>
      </c>
      <c r="CR710" s="1924">
        <v>10000</v>
      </c>
      <c r="CS710" s="1924">
        <v>9060</v>
      </c>
      <c r="CT710" s="1924">
        <v>9060</v>
      </c>
      <c r="CU710" s="1924">
        <v>0.9768</v>
      </c>
      <c r="CV710" s="1924">
        <v>70.64</v>
      </c>
      <c r="CW710" s="1924">
        <v>4761840</v>
      </c>
      <c r="CX710" s="1894">
        <f t="shared" si="373"/>
        <v>4044384</v>
      </c>
      <c r="CY710" s="1894">
        <f t="shared" si="374"/>
        <v>717456</v>
      </c>
    </row>
    <row r="711" spans="1:103">
      <c r="A711" s="982">
        <v>611000000021</v>
      </c>
      <c r="B711" s="1923">
        <f t="shared" si="375"/>
        <v>13</v>
      </c>
      <c r="C711" s="1895" t="s">
        <v>564</v>
      </c>
      <c r="D711" s="1894" t="s">
        <v>524</v>
      </c>
      <c r="E711" s="1895" t="s">
        <v>541</v>
      </c>
      <c r="F711" s="1894" t="s">
        <v>271</v>
      </c>
      <c r="G711" s="1924">
        <v>10000</v>
      </c>
      <c r="H711" s="1894">
        <v>10000</v>
      </c>
      <c r="I711" s="1894">
        <v>9720</v>
      </c>
      <c r="J711" s="1894">
        <v>9720</v>
      </c>
      <c r="K711" s="1894">
        <v>0.99839999999999995</v>
      </c>
      <c r="L711" s="1894">
        <v>94.22</v>
      </c>
      <c r="M711" s="1894">
        <v>6594000</v>
      </c>
      <c r="N711" s="1894">
        <f t="shared" si="351"/>
        <v>4199040</v>
      </c>
      <c r="O711" s="1894">
        <f t="shared" si="352"/>
        <v>2394960</v>
      </c>
      <c r="P711" s="1894">
        <v>10000</v>
      </c>
      <c r="Q711" s="1894">
        <v>9760</v>
      </c>
      <c r="R711" s="1894">
        <v>9760</v>
      </c>
      <c r="S711" s="1894">
        <v>0.99639999999999995</v>
      </c>
      <c r="T711" s="1894">
        <v>94.75</v>
      </c>
      <c r="U711" s="1894">
        <v>6880100</v>
      </c>
      <c r="V711" s="1894">
        <f t="shared" si="353"/>
        <v>4356864</v>
      </c>
      <c r="W711" s="1894">
        <f t="shared" si="354"/>
        <v>2523236</v>
      </c>
      <c r="X711" s="1894">
        <v>10000</v>
      </c>
      <c r="Y711" s="1894">
        <v>9760</v>
      </c>
      <c r="Z711" s="1894">
        <v>9760</v>
      </c>
      <c r="AA711" s="1894">
        <v>0.996</v>
      </c>
      <c r="AB711" s="1894">
        <v>90.3</v>
      </c>
      <c r="AC711" s="1894">
        <v>6345800</v>
      </c>
      <c r="AD711" s="1894">
        <f t="shared" si="355"/>
        <v>4216320</v>
      </c>
      <c r="AE711" s="1894">
        <f t="shared" si="356"/>
        <v>2129480</v>
      </c>
      <c r="AF711" s="1894">
        <v>10000</v>
      </c>
      <c r="AG711" s="1894">
        <v>9720</v>
      </c>
      <c r="AH711" s="1894">
        <v>9720</v>
      </c>
      <c r="AI711" s="1894">
        <v>0.99880000000000002</v>
      </c>
      <c r="AJ711" s="1894">
        <v>95.25</v>
      </c>
      <c r="AK711" s="1894">
        <v>6888400</v>
      </c>
      <c r="AL711" s="1894">
        <f t="shared" si="357"/>
        <v>4339008</v>
      </c>
      <c r="AM711" s="1894">
        <f t="shared" si="358"/>
        <v>2549392</v>
      </c>
      <c r="AN711" s="1894">
        <v>10000</v>
      </c>
      <c r="AO711" s="1894">
        <v>9720</v>
      </c>
      <c r="AP711" s="1894">
        <v>9720</v>
      </c>
      <c r="AQ711" s="1894">
        <v>0.998</v>
      </c>
      <c r="AR711" s="1894">
        <v>92.36</v>
      </c>
      <c r="AS711" s="1894">
        <v>6679500</v>
      </c>
      <c r="AT711" s="1894">
        <f t="shared" si="359"/>
        <v>4339008</v>
      </c>
      <c r="AU711" s="1894">
        <f t="shared" si="360"/>
        <v>2340492</v>
      </c>
      <c r="AV711" s="1894">
        <v>10000</v>
      </c>
      <c r="AW711" s="1894">
        <v>10040</v>
      </c>
      <c r="AX711" s="1894">
        <v>10040</v>
      </c>
      <c r="AY711" s="1894">
        <v>0.99729999999999996</v>
      </c>
      <c r="AZ711" s="1894">
        <v>89.58</v>
      </c>
      <c r="BA711" s="1894">
        <v>6475500</v>
      </c>
      <c r="BB711" s="1894">
        <f t="shared" si="361"/>
        <v>4337280</v>
      </c>
      <c r="BC711" s="1894">
        <f t="shared" si="362"/>
        <v>2138220</v>
      </c>
      <c r="BD711" s="1894">
        <v>10000</v>
      </c>
      <c r="BE711" s="1894">
        <v>9960</v>
      </c>
      <c r="BF711" s="1894">
        <v>9960</v>
      </c>
      <c r="BG711" s="1894">
        <v>0.99539999999999995</v>
      </c>
      <c r="BH711" s="1894">
        <v>83.41</v>
      </c>
      <c r="BI711" s="1894">
        <v>6180900</v>
      </c>
      <c r="BJ711" s="1894">
        <f t="shared" si="363"/>
        <v>4446144</v>
      </c>
      <c r="BK711" s="1894">
        <f t="shared" si="364"/>
        <v>1734756</v>
      </c>
      <c r="BL711" s="1894">
        <v>10000</v>
      </c>
      <c r="BM711" s="1894">
        <v>10320</v>
      </c>
      <c r="BN711" s="1894">
        <v>10320</v>
      </c>
      <c r="BO711" s="1894">
        <v>0.99780000000000002</v>
      </c>
      <c r="BP711" s="1894">
        <v>88.91</v>
      </c>
      <c r="BQ711" s="1894">
        <v>6606700</v>
      </c>
      <c r="BR711" s="1894">
        <f t="shared" si="365"/>
        <v>4458240</v>
      </c>
      <c r="BS711" s="1894">
        <f t="shared" si="366"/>
        <v>2148460</v>
      </c>
      <c r="BT711" s="1894">
        <v>10000</v>
      </c>
      <c r="BU711" s="1894">
        <v>9840</v>
      </c>
      <c r="BV711" s="1894">
        <v>9840</v>
      </c>
      <c r="BW711" s="1894">
        <v>0.99860000000000004</v>
      </c>
      <c r="BX711" s="1894">
        <v>91.27</v>
      </c>
      <c r="BY711" s="1894">
        <v>6682200</v>
      </c>
      <c r="BZ711" s="1894">
        <f t="shared" si="367"/>
        <v>4392576</v>
      </c>
      <c r="CA711" s="1894">
        <f t="shared" si="368"/>
        <v>2289624</v>
      </c>
      <c r="CB711" s="1894">
        <v>10000</v>
      </c>
      <c r="CC711" s="1894">
        <v>9960</v>
      </c>
      <c r="CD711" s="1894">
        <v>9960</v>
      </c>
      <c r="CE711" s="1894">
        <v>0.99199999999999999</v>
      </c>
      <c r="CF711" s="1894">
        <v>86.52</v>
      </c>
      <c r="CG711" s="1894">
        <v>6411700</v>
      </c>
      <c r="CH711" s="1894">
        <f t="shared" si="369"/>
        <v>4446144</v>
      </c>
      <c r="CI711" s="1894">
        <f t="shared" si="370"/>
        <v>1965556</v>
      </c>
      <c r="CJ711" s="1894">
        <v>10000</v>
      </c>
      <c r="CK711" s="1894">
        <v>10360</v>
      </c>
      <c r="CL711" s="1894">
        <v>10360</v>
      </c>
      <c r="CM711" s="1894">
        <v>0.996</v>
      </c>
      <c r="CN711" s="1894">
        <v>79.12</v>
      </c>
      <c r="CO711" s="1894">
        <v>5508600</v>
      </c>
      <c r="CP711" s="1894">
        <f t="shared" si="371"/>
        <v>4177152</v>
      </c>
      <c r="CQ711" s="1894">
        <f t="shared" si="372"/>
        <v>1331448</v>
      </c>
      <c r="CR711" s="1924">
        <v>10000</v>
      </c>
      <c r="CS711" s="1924">
        <v>9960</v>
      </c>
      <c r="CT711" s="1924">
        <v>9960</v>
      </c>
      <c r="CU711" s="1924">
        <v>0.99909999999999999</v>
      </c>
      <c r="CV711" s="1924">
        <v>88.64</v>
      </c>
      <c r="CW711" s="1924">
        <v>6568600</v>
      </c>
      <c r="CX711" s="1894">
        <f t="shared" si="373"/>
        <v>4446144</v>
      </c>
      <c r="CY711" s="1894">
        <f t="shared" si="374"/>
        <v>2122456</v>
      </c>
    </row>
    <row r="712" spans="1:103">
      <c r="A712" s="982">
        <v>622000000003</v>
      </c>
      <c r="B712" s="1923">
        <f t="shared" si="375"/>
        <v>14</v>
      </c>
      <c r="C712" s="1895" t="s">
        <v>599</v>
      </c>
      <c r="D712" s="1894" t="s">
        <v>524</v>
      </c>
      <c r="E712" s="1895" t="s">
        <v>595</v>
      </c>
      <c r="F712" s="1894" t="s">
        <v>271</v>
      </c>
      <c r="G712" s="1924">
        <v>10000</v>
      </c>
      <c r="H712" s="1894">
        <v>10000</v>
      </c>
      <c r="I712" s="1894">
        <v>17808</v>
      </c>
      <c r="J712" s="1894">
        <v>9078</v>
      </c>
      <c r="K712" s="1894">
        <v>0.99419999999999997</v>
      </c>
      <c r="L712" s="1894">
        <v>58.5</v>
      </c>
      <c r="M712" s="1894">
        <v>12145320</v>
      </c>
      <c r="N712" s="1894">
        <f t="shared" si="351"/>
        <v>7693056</v>
      </c>
      <c r="O712" s="1894">
        <f t="shared" si="352"/>
        <v>4452264</v>
      </c>
      <c r="P712" s="1894">
        <v>10000</v>
      </c>
      <c r="Q712" s="1894">
        <v>17856</v>
      </c>
      <c r="R712" s="1894">
        <v>9054</v>
      </c>
      <c r="S712" s="1894">
        <v>0.99539999999999995</v>
      </c>
      <c r="T712" s="1894">
        <v>42.61</v>
      </c>
      <c r="U712" s="1894">
        <v>12475320</v>
      </c>
      <c r="V712" s="1894">
        <f t="shared" si="353"/>
        <v>7970918</v>
      </c>
      <c r="W712" s="1894">
        <f t="shared" si="354"/>
        <v>4504402</v>
      </c>
      <c r="X712" s="1894">
        <v>10000</v>
      </c>
      <c r="Y712" s="1894">
        <v>18096</v>
      </c>
      <c r="Z712" s="1894">
        <v>9150</v>
      </c>
      <c r="AA712" s="1894">
        <v>0.99339999999999995</v>
      </c>
      <c r="AB712" s="1894">
        <v>40.450000000000003</v>
      </c>
      <c r="AC712" s="1894">
        <v>12077520</v>
      </c>
      <c r="AD712" s="1894">
        <f t="shared" si="355"/>
        <v>7817472</v>
      </c>
      <c r="AE712" s="1894">
        <f t="shared" si="356"/>
        <v>4260048</v>
      </c>
      <c r="AF712" s="1894">
        <v>10000</v>
      </c>
      <c r="AG712" s="1894">
        <v>18120</v>
      </c>
      <c r="AH712" s="1894">
        <v>8886</v>
      </c>
      <c r="AI712" s="1894">
        <v>0.99199999999999999</v>
      </c>
      <c r="AJ712" s="1894">
        <v>43.31</v>
      </c>
      <c r="AK712" s="1894">
        <v>12250440</v>
      </c>
      <c r="AL712" s="1894">
        <f t="shared" si="357"/>
        <v>8088768</v>
      </c>
      <c r="AM712" s="1894">
        <f t="shared" si="358"/>
        <v>4161672</v>
      </c>
      <c r="AN712" s="1894">
        <v>10000</v>
      </c>
      <c r="AO712" s="1894">
        <v>18336</v>
      </c>
      <c r="AP712" s="1894">
        <v>9270</v>
      </c>
      <c r="AQ712" s="1894">
        <v>0.98970000000000002</v>
      </c>
      <c r="AR712" s="1894">
        <v>56.2</v>
      </c>
      <c r="AS712" s="1894">
        <v>12397200</v>
      </c>
      <c r="AT712" s="1894">
        <f t="shared" si="359"/>
        <v>8185190</v>
      </c>
      <c r="AU712" s="1894">
        <f t="shared" si="360"/>
        <v>4212010</v>
      </c>
      <c r="AV712" s="1894">
        <v>10000</v>
      </c>
      <c r="AW712" s="1894">
        <v>18072</v>
      </c>
      <c r="AX712" s="1894">
        <v>10945.6</v>
      </c>
      <c r="AY712" s="1894">
        <v>0.99119999999999997</v>
      </c>
      <c r="AZ712" s="1894">
        <v>40.880000000000003</v>
      </c>
      <c r="BA712" s="1894">
        <v>11851980</v>
      </c>
      <c r="BB712" s="1894">
        <f t="shared" si="361"/>
        <v>7807104</v>
      </c>
      <c r="BC712" s="1894">
        <f t="shared" si="362"/>
        <v>4044876</v>
      </c>
      <c r="BD712" s="1894">
        <v>10000</v>
      </c>
      <c r="BE712" s="1894">
        <v>18396</v>
      </c>
      <c r="BF712" s="1894">
        <v>14890.8</v>
      </c>
      <c r="BG712" s="1894">
        <v>0.99170000000000003</v>
      </c>
      <c r="BH712" s="1894">
        <v>26.23</v>
      </c>
      <c r="BI712" s="1894">
        <v>12460200</v>
      </c>
      <c r="BJ712" s="1894">
        <f t="shared" si="363"/>
        <v>8211974</v>
      </c>
      <c r="BK712" s="1894">
        <f t="shared" si="364"/>
        <v>4248226</v>
      </c>
      <c r="BL712" s="1894">
        <v>10000</v>
      </c>
      <c r="BM712" s="1894">
        <v>18192</v>
      </c>
      <c r="BN712" s="1894">
        <v>9860.7999999999993</v>
      </c>
      <c r="BO712" s="1894">
        <v>0.99439999999999995</v>
      </c>
      <c r="BP712" s="1894">
        <v>24.19</v>
      </c>
      <c r="BQ712" s="1894">
        <v>11929680</v>
      </c>
      <c r="BR712" s="1894">
        <f t="shared" si="365"/>
        <v>7858944</v>
      </c>
      <c r="BS712" s="1894">
        <f t="shared" si="366"/>
        <v>4070736</v>
      </c>
      <c r="BT712" s="1894">
        <v>10000</v>
      </c>
      <c r="BU712" s="1894">
        <v>18912</v>
      </c>
      <c r="BV712" s="1894">
        <v>13669.7</v>
      </c>
      <c r="BW712" s="1894">
        <v>0.99529999999999996</v>
      </c>
      <c r="BX712" s="1894">
        <v>23.1</v>
      </c>
      <c r="BY712" s="1894">
        <v>13244760</v>
      </c>
      <c r="BZ712" s="1894">
        <f t="shared" si="367"/>
        <v>8442317</v>
      </c>
      <c r="CA712" s="1894">
        <f t="shared" si="368"/>
        <v>4802443</v>
      </c>
      <c r="CB712" s="1894">
        <v>10000</v>
      </c>
      <c r="CC712" s="1894">
        <v>18972</v>
      </c>
      <c r="CD712" s="1894">
        <v>14355.2</v>
      </c>
      <c r="CE712" s="1894">
        <v>0.99380000000000002</v>
      </c>
      <c r="CF712" s="1894">
        <v>15.68</v>
      </c>
      <c r="CG712" s="1894">
        <v>8254560</v>
      </c>
      <c r="CH712" s="1894">
        <f t="shared" si="369"/>
        <v>8469101</v>
      </c>
      <c r="CI712" s="1894">
        <f t="shared" si="370"/>
        <v>0</v>
      </c>
      <c r="CJ712" s="1894">
        <v>10000</v>
      </c>
      <c r="CK712" s="1894">
        <v>432</v>
      </c>
      <c r="CL712" s="1894">
        <v>8000</v>
      </c>
      <c r="CM712" s="1894">
        <v>0.9718</v>
      </c>
      <c r="CN712" s="1894">
        <v>38.92</v>
      </c>
      <c r="CO712" s="1894">
        <v>112980</v>
      </c>
      <c r="CP712" s="1894">
        <f t="shared" si="371"/>
        <v>174182</v>
      </c>
      <c r="CQ712" s="1894">
        <f t="shared" si="372"/>
        <v>0</v>
      </c>
      <c r="CR712" s="1924">
        <v>10000</v>
      </c>
      <c r="CS712" s="1924">
        <v>13272</v>
      </c>
      <c r="CT712" s="1924">
        <v>13272</v>
      </c>
      <c r="CU712" s="1924">
        <v>0.70889999999999997</v>
      </c>
      <c r="CV712" s="1924">
        <v>16.75</v>
      </c>
      <c r="CW712" s="1924">
        <v>1653780</v>
      </c>
      <c r="CX712" s="1894">
        <f t="shared" si="373"/>
        <v>5924621</v>
      </c>
      <c r="CY712" s="1894">
        <f t="shared" si="374"/>
        <v>0</v>
      </c>
    </row>
    <row r="713" spans="1:103">
      <c r="A713" s="982">
        <v>622000000181</v>
      </c>
      <c r="B713" s="1923">
        <f t="shared" si="375"/>
        <v>15</v>
      </c>
      <c r="C713" s="1895" t="s">
        <v>554</v>
      </c>
      <c r="D713" s="1894" t="s">
        <v>524</v>
      </c>
      <c r="E713" s="1895" t="s">
        <v>541</v>
      </c>
      <c r="F713" s="1894" t="s">
        <v>271</v>
      </c>
      <c r="G713" s="1924">
        <v>10000</v>
      </c>
      <c r="H713" s="1894">
        <v>10000</v>
      </c>
      <c r="I713" s="1894">
        <v>10200</v>
      </c>
      <c r="J713" s="1894">
        <v>8000</v>
      </c>
      <c r="K713" s="1894">
        <v>1.0345</v>
      </c>
      <c r="L713" s="1894">
        <v>33.5</v>
      </c>
      <c r="M713" s="1894">
        <v>5018400</v>
      </c>
      <c r="N713" s="1894">
        <f t="shared" si="351"/>
        <v>4406400</v>
      </c>
      <c r="O713" s="1894">
        <f t="shared" si="352"/>
        <v>612000</v>
      </c>
      <c r="P713" s="1894">
        <v>10000</v>
      </c>
      <c r="Q713" s="1894">
        <v>9720</v>
      </c>
      <c r="R713" s="1894">
        <v>8000</v>
      </c>
      <c r="S713" s="1894">
        <v>1.0198</v>
      </c>
      <c r="T713" s="1894">
        <v>40.08</v>
      </c>
      <c r="U713" s="1894">
        <v>5244000</v>
      </c>
      <c r="V713" s="1894">
        <f t="shared" si="353"/>
        <v>4339008</v>
      </c>
      <c r="W713" s="1894">
        <f t="shared" si="354"/>
        <v>904992</v>
      </c>
      <c r="X713" s="1894">
        <v>10000</v>
      </c>
      <c r="Y713" s="1894">
        <v>10800</v>
      </c>
      <c r="Z713" s="1894">
        <v>8000</v>
      </c>
      <c r="AA713" s="1894">
        <v>1.0202</v>
      </c>
      <c r="AB713" s="1894">
        <v>33.17</v>
      </c>
      <c r="AC713" s="1894">
        <v>5087400</v>
      </c>
      <c r="AD713" s="1894">
        <f t="shared" si="355"/>
        <v>4665600</v>
      </c>
      <c r="AE713" s="1894">
        <f t="shared" si="356"/>
        <v>421800</v>
      </c>
      <c r="AF713" s="1894">
        <v>10000</v>
      </c>
      <c r="AG713" s="1894">
        <v>10200</v>
      </c>
      <c r="AH713" s="1894">
        <v>8000</v>
      </c>
      <c r="AI713" s="1894">
        <v>1.0470999999999999</v>
      </c>
      <c r="AJ713" s="1894">
        <v>29.4</v>
      </c>
      <c r="AK713" s="1894">
        <v>4925400</v>
      </c>
      <c r="AL713" s="1894">
        <f t="shared" si="357"/>
        <v>4553280</v>
      </c>
      <c r="AM713" s="1894">
        <f t="shared" si="358"/>
        <v>372120</v>
      </c>
      <c r="AN713" s="1894">
        <v>10000</v>
      </c>
      <c r="AO713" s="1894">
        <v>9420</v>
      </c>
      <c r="AP713" s="1894">
        <v>9372</v>
      </c>
      <c r="AQ713" s="1894">
        <v>0.98319999999999996</v>
      </c>
      <c r="AR713" s="1894">
        <v>20.63</v>
      </c>
      <c r="AS713" s="1894">
        <v>4932600</v>
      </c>
      <c r="AT713" s="1894">
        <f t="shared" si="359"/>
        <v>4205088</v>
      </c>
      <c r="AU713" s="1894">
        <f t="shared" si="360"/>
        <v>727512</v>
      </c>
      <c r="AV713" s="1894">
        <v>10000</v>
      </c>
      <c r="AW713" s="1894">
        <v>9420</v>
      </c>
      <c r="AX713" s="1894">
        <v>8000</v>
      </c>
      <c r="AY713" s="1894">
        <v>0.99280000000000002</v>
      </c>
      <c r="AZ713" s="1894">
        <v>36.1</v>
      </c>
      <c r="BA713" s="1894">
        <v>4823700</v>
      </c>
      <c r="BB713" s="1894">
        <f t="shared" si="361"/>
        <v>4069440</v>
      </c>
      <c r="BC713" s="1894">
        <f t="shared" si="362"/>
        <v>754260</v>
      </c>
      <c r="BD713" s="1894">
        <v>10000</v>
      </c>
      <c r="BE713" s="1894">
        <v>9540</v>
      </c>
      <c r="BF713" s="1894">
        <v>8000</v>
      </c>
      <c r="BG713" s="1894">
        <v>0.98</v>
      </c>
      <c r="BH713" s="1894">
        <v>35.619999999999997</v>
      </c>
      <c r="BI713" s="1894">
        <v>5037300</v>
      </c>
      <c r="BJ713" s="1894">
        <f t="shared" si="363"/>
        <v>4258656</v>
      </c>
      <c r="BK713" s="1894">
        <f t="shared" si="364"/>
        <v>778644</v>
      </c>
      <c r="BL713" s="1894">
        <v>10000</v>
      </c>
      <c r="BM713" s="1894">
        <v>9840</v>
      </c>
      <c r="BN713" s="1894">
        <v>8000</v>
      </c>
      <c r="BO713" s="1894">
        <v>0.98850000000000005</v>
      </c>
      <c r="BP713" s="1894">
        <v>31.23</v>
      </c>
      <c r="BQ713" s="1894">
        <v>4652100</v>
      </c>
      <c r="BR713" s="1894">
        <f t="shared" si="365"/>
        <v>4250880</v>
      </c>
      <c r="BS713" s="1894">
        <f t="shared" si="366"/>
        <v>401220</v>
      </c>
      <c r="BT713" s="1894">
        <v>10000</v>
      </c>
      <c r="BU713" s="1894">
        <v>9660</v>
      </c>
      <c r="BV713" s="1894">
        <v>8000</v>
      </c>
      <c r="BW713" s="1894">
        <v>0.98929999999999996</v>
      </c>
      <c r="BX713" s="1894">
        <v>31.5</v>
      </c>
      <c r="BY713" s="1894">
        <v>4840800</v>
      </c>
      <c r="BZ713" s="1894">
        <f t="shared" si="367"/>
        <v>4312224</v>
      </c>
      <c r="CA713" s="1894">
        <f t="shared" si="368"/>
        <v>528576</v>
      </c>
      <c r="CB713" s="1894">
        <v>10000</v>
      </c>
      <c r="CC713" s="1894">
        <v>9900</v>
      </c>
      <c r="CD713" s="1894">
        <v>8000</v>
      </c>
      <c r="CE713" s="1894">
        <v>0.996</v>
      </c>
      <c r="CF713" s="1894">
        <v>29.31</v>
      </c>
      <c r="CG713" s="1894">
        <v>4782900</v>
      </c>
      <c r="CH713" s="1894">
        <f t="shared" si="369"/>
        <v>4419360</v>
      </c>
      <c r="CI713" s="1894">
        <f t="shared" si="370"/>
        <v>363540</v>
      </c>
      <c r="CJ713" s="1894">
        <v>10000</v>
      </c>
      <c r="CK713" s="1894">
        <v>9360</v>
      </c>
      <c r="CL713" s="1894">
        <v>8000</v>
      </c>
      <c r="CM713" s="1894">
        <v>0.99890000000000001</v>
      </c>
      <c r="CN713" s="1894">
        <v>27.66</v>
      </c>
      <c r="CO713" s="1894">
        <v>4117800</v>
      </c>
      <c r="CP713" s="1894">
        <f t="shared" si="371"/>
        <v>3773952</v>
      </c>
      <c r="CQ713" s="1894">
        <f t="shared" si="372"/>
        <v>343848</v>
      </c>
      <c r="CR713" s="1924">
        <v>10000</v>
      </c>
      <c r="CS713" s="1924">
        <v>9720</v>
      </c>
      <c r="CT713" s="1924">
        <v>8000</v>
      </c>
      <c r="CU713" s="1924">
        <v>0.99219999999999997</v>
      </c>
      <c r="CV713" s="1924">
        <v>26.92</v>
      </c>
      <c r="CW713" s="1924">
        <v>4626900</v>
      </c>
      <c r="CX713" s="1894">
        <f t="shared" si="373"/>
        <v>4339008</v>
      </c>
      <c r="CY713" s="1894">
        <f t="shared" si="374"/>
        <v>287892</v>
      </c>
    </row>
    <row r="714" spans="1:103">
      <c r="A714" s="982">
        <v>611000000002</v>
      </c>
      <c r="B714" s="1923">
        <f t="shared" si="375"/>
        <v>16</v>
      </c>
      <c r="C714" s="1895" t="s">
        <v>597</v>
      </c>
      <c r="D714" s="1894" t="s">
        <v>524</v>
      </c>
      <c r="E714" s="1895" t="s">
        <v>595</v>
      </c>
      <c r="F714" s="1894" t="s">
        <v>271</v>
      </c>
      <c r="G714" s="1924">
        <v>12000</v>
      </c>
      <c r="H714" s="1894">
        <v>12000</v>
      </c>
      <c r="I714" s="1894">
        <v>22920</v>
      </c>
      <c r="J714" s="1894">
        <v>13180</v>
      </c>
      <c r="K714" s="1894">
        <v>1.0530999999999999</v>
      </c>
      <c r="L714" s="1894">
        <v>64.7</v>
      </c>
      <c r="M714" s="1894">
        <v>13281800</v>
      </c>
      <c r="N714" s="1894">
        <f t="shared" si="351"/>
        <v>9901440</v>
      </c>
      <c r="O714" s="1894">
        <f t="shared" si="352"/>
        <v>3380360</v>
      </c>
      <c r="P714" s="1894">
        <v>12000</v>
      </c>
      <c r="Q714" s="1894">
        <v>22800</v>
      </c>
      <c r="R714" s="1894">
        <v>12180</v>
      </c>
      <c r="S714" s="1894">
        <v>1.0327</v>
      </c>
      <c r="T714" s="1894">
        <v>46.98</v>
      </c>
      <c r="U714" s="1894">
        <v>13693600</v>
      </c>
      <c r="V714" s="1894">
        <f t="shared" si="353"/>
        <v>10177920</v>
      </c>
      <c r="W714" s="1894">
        <f t="shared" si="354"/>
        <v>3515680</v>
      </c>
      <c r="X714" s="1894">
        <v>12000</v>
      </c>
      <c r="Y714" s="1894">
        <v>22040</v>
      </c>
      <c r="Z714" s="1894">
        <v>12060</v>
      </c>
      <c r="AA714" s="1894">
        <v>1.0506</v>
      </c>
      <c r="AB714" s="1894">
        <v>33.96</v>
      </c>
      <c r="AC714" s="1894">
        <v>13581000</v>
      </c>
      <c r="AD714" s="1894">
        <f t="shared" si="355"/>
        <v>9521280</v>
      </c>
      <c r="AE714" s="1894">
        <f t="shared" si="356"/>
        <v>4059720</v>
      </c>
      <c r="AF714" s="1894">
        <v>12000</v>
      </c>
      <c r="AG714" s="1894">
        <v>21520</v>
      </c>
      <c r="AH714" s="1894">
        <v>11340</v>
      </c>
      <c r="AI714" s="1894">
        <v>1.0454000000000001</v>
      </c>
      <c r="AJ714" s="1894">
        <v>27.64</v>
      </c>
      <c r="AK714" s="1894">
        <v>11591000</v>
      </c>
      <c r="AL714" s="1894">
        <f t="shared" si="357"/>
        <v>9606528</v>
      </c>
      <c r="AM714" s="1894">
        <f t="shared" si="358"/>
        <v>1984472</v>
      </c>
      <c r="AN714" s="1894">
        <v>12000</v>
      </c>
      <c r="AO714" s="1894">
        <v>22560</v>
      </c>
      <c r="AP714" s="1894">
        <v>11980</v>
      </c>
      <c r="AQ714" s="1894">
        <v>1.0232000000000001</v>
      </c>
      <c r="AR714" s="1894">
        <v>42.39</v>
      </c>
      <c r="AS714" s="1894">
        <v>12434800</v>
      </c>
      <c r="AT714" s="1894">
        <f t="shared" si="359"/>
        <v>10070784</v>
      </c>
      <c r="AU714" s="1894">
        <f t="shared" si="360"/>
        <v>2364016</v>
      </c>
      <c r="AV714" s="1894">
        <v>12000</v>
      </c>
      <c r="AW714" s="1894">
        <v>21880</v>
      </c>
      <c r="AX714" s="1894">
        <v>12180</v>
      </c>
      <c r="AY714" s="1894">
        <v>1.0317000000000001</v>
      </c>
      <c r="AZ714" s="1894">
        <v>28.21</v>
      </c>
      <c r="BA714" s="1894">
        <v>12136200</v>
      </c>
      <c r="BB714" s="1894">
        <f t="shared" si="361"/>
        <v>9452160</v>
      </c>
      <c r="BC714" s="1894">
        <f t="shared" si="362"/>
        <v>2684040</v>
      </c>
      <c r="BD714" s="1894">
        <v>12000</v>
      </c>
      <c r="BE714" s="1894">
        <v>23120</v>
      </c>
      <c r="BF714" s="1894">
        <v>12800</v>
      </c>
      <c r="BG714" s="1894">
        <v>1.0161</v>
      </c>
      <c r="BH714" s="1894">
        <v>31.15</v>
      </c>
      <c r="BI714" s="1894">
        <v>14065000</v>
      </c>
      <c r="BJ714" s="1894">
        <f t="shared" si="363"/>
        <v>10320768</v>
      </c>
      <c r="BK714" s="1894">
        <f t="shared" si="364"/>
        <v>3744232</v>
      </c>
      <c r="BL714" s="1894">
        <v>12000</v>
      </c>
      <c r="BM714" s="1894">
        <v>22040</v>
      </c>
      <c r="BN714" s="1894">
        <v>13160</v>
      </c>
      <c r="BO714" s="1894">
        <v>1.0304</v>
      </c>
      <c r="BP714" s="1894">
        <v>23.58</v>
      </c>
      <c r="BQ714" s="1894">
        <v>11601600</v>
      </c>
      <c r="BR714" s="1894">
        <f t="shared" si="365"/>
        <v>9521280</v>
      </c>
      <c r="BS714" s="1894">
        <f t="shared" si="366"/>
        <v>2080320</v>
      </c>
      <c r="BT714" s="1894">
        <v>12000</v>
      </c>
      <c r="BU714" s="1894">
        <v>21960</v>
      </c>
      <c r="BV714" s="1894">
        <v>18520</v>
      </c>
      <c r="BW714" s="1894">
        <v>1.0107999999999999</v>
      </c>
      <c r="BX714" s="1894">
        <v>31.34</v>
      </c>
      <c r="BY714" s="1894">
        <v>12977000</v>
      </c>
      <c r="BZ714" s="1894">
        <f t="shared" si="367"/>
        <v>9802944</v>
      </c>
      <c r="CA714" s="1894">
        <f t="shared" si="368"/>
        <v>3174056</v>
      </c>
      <c r="CB714" s="1894">
        <v>12000</v>
      </c>
      <c r="CC714" s="1894">
        <v>24560</v>
      </c>
      <c r="CD714" s="1894">
        <v>12500</v>
      </c>
      <c r="CE714" s="1894">
        <v>1.0091000000000001</v>
      </c>
      <c r="CF714" s="1894">
        <v>36.64</v>
      </c>
      <c r="CG714" s="1894">
        <v>13808800</v>
      </c>
      <c r="CH714" s="1894">
        <f t="shared" si="369"/>
        <v>10963584</v>
      </c>
      <c r="CI714" s="1894">
        <f t="shared" si="370"/>
        <v>2845216</v>
      </c>
      <c r="CJ714" s="1894">
        <v>12000</v>
      </c>
      <c r="CK714" s="1894">
        <v>21920</v>
      </c>
      <c r="CL714" s="1894">
        <v>13110</v>
      </c>
      <c r="CM714" s="1894">
        <v>1.0123</v>
      </c>
      <c r="CN714" s="1894">
        <v>24.35</v>
      </c>
      <c r="CO714" s="1894">
        <v>10791400</v>
      </c>
      <c r="CP714" s="1894">
        <f t="shared" si="371"/>
        <v>8838144</v>
      </c>
      <c r="CQ714" s="1894">
        <f t="shared" si="372"/>
        <v>1953256</v>
      </c>
      <c r="CR714" s="1924">
        <v>12000</v>
      </c>
      <c r="CS714" s="1924">
        <v>21480</v>
      </c>
      <c r="CT714" s="1924">
        <v>10615</v>
      </c>
      <c r="CU714" s="1924">
        <v>1.0077</v>
      </c>
      <c r="CV714" s="1924">
        <v>31.24</v>
      </c>
      <c r="CW714" s="1924">
        <v>13986800</v>
      </c>
      <c r="CX714" s="1894">
        <f t="shared" si="373"/>
        <v>9588672</v>
      </c>
      <c r="CY714" s="1894">
        <f t="shared" si="374"/>
        <v>4398128</v>
      </c>
    </row>
    <row r="715" spans="1:103">
      <c r="A715" s="982">
        <v>622000000175</v>
      </c>
      <c r="B715" s="1923">
        <f t="shared" si="375"/>
        <v>17</v>
      </c>
      <c r="C715" s="1895" t="s">
        <v>686</v>
      </c>
      <c r="D715" s="1894" t="s">
        <v>524</v>
      </c>
      <c r="E715" s="1895" t="s">
        <v>541</v>
      </c>
      <c r="F715" s="1894" t="s">
        <v>259</v>
      </c>
      <c r="G715" s="1924">
        <v>12000</v>
      </c>
      <c r="H715" s="1894">
        <v>12000</v>
      </c>
      <c r="I715" s="1894">
        <v>8601.6</v>
      </c>
      <c r="J715" s="1894">
        <v>9600</v>
      </c>
      <c r="K715" s="1894">
        <v>0.89390000000000003</v>
      </c>
      <c r="L715" s="1894">
        <v>36</v>
      </c>
      <c r="M715" s="1894">
        <v>2229720</v>
      </c>
      <c r="N715" s="1894">
        <f t="shared" si="351"/>
        <v>3715891</v>
      </c>
      <c r="O715" s="1894">
        <f t="shared" si="352"/>
        <v>0</v>
      </c>
      <c r="P715" s="1894">
        <v>12000</v>
      </c>
      <c r="Q715" s="1894">
        <v>10560</v>
      </c>
      <c r="R715" s="1894">
        <v>10560</v>
      </c>
      <c r="S715" s="1894">
        <v>0.89019999999999999</v>
      </c>
      <c r="T715" s="1894">
        <v>51.9</v>
      </c>
      <c r="U715" s="1894">
        <v>4077960</v>
      </c>
      <c r="V715" s="1894">
        <f t="shared" si="353"/>
        <v>4713984</v>
      </c>
      <c r="W715" s="1894">
        <f t="shared" si="354"/>
        <v>0</v>
      </c>
      <c r="X715" s="1894">
        <v>12000</v>
      </c>
      <c r="Y715" s="1894">
        <v>11116.8</v>
      </c>
      <c r="Z715" s="1894">
        <v>11116.8</v>
      </c>
      <c r="AA715" s="1894">
        <v>0.90700000000000003</v>
      </c>
      <c r="AB715" s="1894">
        <v>31.06</v>
      </c>
      <c r="AC715" s="1894">
        <v>2485920</v>
      </c>
      <c r="AD715" s="1894">
        <f t="shared" si="355"/>
        <v>4802458</v>
      </c>
      <c r="AE715" s="1894">
        <f t="shared" si="356"/>
        <v>0</v>
      </c>
      <c r="AF715" s="1894">
        <v>12000</v>
      </c>
      <c r="AG715" s="1894">
        <v>9792</v>
      </c>
      <c r="AH715" s="1894">
        <v>9792</v>
      </c>
      <c r="AI715" s="1894">
        <v>0.90800000000000003</v>
      </c>
      <c r="AJ715" s="1894">
        <v>34.049999999999997</v>
      </c>
      <c r="AK715" s="1894">
        <v>2480640</v>
      </c>
      <c r="AL715" s="1894">
        <f t="shared" si="357"/>
        <v>4371149</v>
      </c>
      <c r="AM715" s="1894">
        <f t="shared" si="358"/>
        <v>0</v>
      </c>
      <c r="AN715" s="1894">
        <v>12000</v>
      </c>
      <c r="AO715" s="1894">
        <v>10012.800000000001</v>
      </c>
      <c r="AP715" s="1894">
        <v>10012.799999999999</v>
      </c>
      <c r="AQ715" s="1894">
        <v>0.89410000000000001</v>
      </c>
      <c r="AR715" s="1894">
        <v>48.01</v>
      </c>
      <c r="AS715" s="1894">
        <v>3576240</v>
      </c>
      <c r="AT715" s="1894">
        <f t="shared" si="359"/>
        <v>4469714</v>
      </c>
      <c r="AU715" s="1894">
        <f t="shared" si="360"/>
        <v>0</v>
      </c>
      <c r="AV715" s="1894">
        <v>12000</v>
      </c>
      <c r="AW715" s="1894">
        <v>10012.800000000001</v>
      </c>
      <c r="AX715" s="1894">
        <v>10012.799999999999</v>
      </c>
      <c r="AY715" s="1894">
        <v>0.89429999999999998</v>
      </c>
      <c r="AZ715" s="1894">
        <v>36.880000000000003</v>
      </c>
      <c r="BA715" s="1894">
        <v>2658960</v>
      </c>
      <c r="BB715" s="1894">
        <f t="shared" si="361"/>
        <v>4325530</v>
      </c>
      <c r="BC715" s="1894">
        <f t="shared" si="362"/>
        <v>0</v>
      </c>
      <c r="BD715" s="1894">
        <v>12000</v>
      </c>
      <c r="BE715" s="1894">
        <v>9100.7999999999993</v>
      </c>
      <c r="BF715" s="1894">
        <v>9600</v>
      </c>
      <c r="BG715" s="1894">
        <v>0.88300000000000001</v>
      </c>
      <c r="BH715" s="1894">
        <v>62.7</v>
      </c>
      <c r="BI715" s="1894">
        <v>4245360</v>
      </c>
      <c r="BJ715" s="1894">
        <f t="shared" si="363"/>
        <v>4062597</v>
      </c>
      <c r="BK715" s="1894">
        <f t="shared" si="364"/>
        <v>182763</v>
      </c>
      <c r="BL715" s="1894">
        <v>12000</v>
      </c>
      <c r="BM715" s="1894">
        <v>9139.2000000000007</v>
      </c>
      <c r="BN715" s="1894">
        <v>9600</v>
      </c>
      <c r="BO715" s="1894">
        <v>0.89449999999999996</v>
      </c>
      <c r="BP715" s="1894">
        <v>36.909999999999997</v>
      </c>
      <c r="BQ715" s="1894">
        <v>2428440</v>
      </c>
      <c r="BR715" s="1894">
        <f t="shared" si="365"/>
        <v>3948134</v>
      </c>
      <c r="BS715" s="1894">
        <f t="shared" si="366"/>
        <v>0</v>
      </c>
      <c r="BT715" s="1894">
        <v>12000</v>
      </c>
      <c r="BU715" s="1894">
        <v>11808</v>
      </c>
      <c r="BV715" s="1894">
        <v>11808</v>
      </c>
      <c r="BW715" s="1894">
        <v>0.87909999999999999</v>
      </c>
      <c r="BX715" s="1894">
        <v>53.77</v>
      </c>
      <c r="BY715" s="1894">
        <v>4723440</v>
      </c>
      <c r="BZ715" s="1894">
        <f t="shared" si="367"/>
        <v>5271091</v>
      </c>
      <c r="CA715" s="1894">
        <f t="shared" si="368"/>
        <v>0</v>
      </c>
      <c r="CB715" s="1894">
        <v>12000</v>
      </c>
      <c r="CC715" s="1894">
        <v>11779.2</v>
      </c>
      <c r="CD715" s="1894">
        <v>11779.2</v>
      </c>
      <c r="CE715" s="1894">
        <v>0.86550000000000005</v>
      </c>
      <c r="CF715" s="1894">
        <v>70.510000000000005</v>
      </c>
      <c r="CG715" s="1894">
        <v>6178920</v>
      </c>
      <c r="CH715" s="1894">
        <f t="shared" si="369"/>
        <v>5258235</v>
      </c>
      <c r="CI715" s="1894">
        <f t="shared" si="370"/>
        <v>920685</v>
      </c>
      <c r="CJ715" s="1894">
        <v>12000</v>
      </c>
      <c r="CK715" s="1894">
        <v>11174.4</v>
      </c>
      <c r="CL715" s="1894">
        <v>11174.4</v>
      </c>
      <c r="CM715" s="1894">
        <v>0.86339999999999995</v>
      </c>
      <c r="CN715" s="1894">
        <v>67.58</v>
      </c>
      <c r="CO715" s="1894">
        <v>5074680</v>
      </c>
      <c r="CP715" s="1894">
        <f t="shared" si="371"/>
        <v>4505518</v>
      </c>
      <c r="CQ715" s="1894">
        <f t="shared" si="372"/>
        <v>569162</v>
      </c>
      <c r="CR715" s="1924">
        <v>12000</v>
      </c>
      <c r="CS715" s="1924">
        <v>10579.2</v>
      </c>
      <c r="CT715" s="1924">
        <v>10579.2</v>
      </c>
      <c r="CU715" s="1924">
        <v>0.87870000000000004</v>
      </c>
      <c r="CV715" s="1924">
        <v>70.77</v>
      </c>
      <c r="CW715" s="1924">
        <v>5569920</v>
      </c>
      <c r="CX715" s="1894">
        <f t="shared" si="373"/>
        <v>4722555</v>
      </c>
      <c r="CY715" s="1894">
        <f t="shared" si="374"/>
        <v>847365</v>
      </c>
    </row>
    <row r="716" spans="1:103">
      <c r="A716" s="982">
        <v>622000000006</v>
      </c>
      <c r="B716" s="1923">
        <f t="shared" si="375"/>
        <v>18</v>
      </c>
      <c r="C716" s="1895" t="s">
        <v>580</v>
      </c>
      <c r="D716" s="1894" t="s">
        <v>524</v>
      </c>
      <c r="E716" s="1895" t="s">
        <v>541</v>
      </c>
      <c r="F716" s="1894" t="s">
        <v>271</v>
      </c>
      <c r="G716" s="1924">
        <v>12500</v>
      </c>
      <c r="H716" s="1894">
        <v>10000</v>
      </c>
      <c r="I716" s="1894">
        <v>8058.7200000000012</v>
      </c>
      <c r="J716" s="1894">
        <v>8058.72</v>
      </c>
      <c r="K716" s="1894">
        <v>0.99960000000000004</v>
      </c>
      <c r="L716" s="1894">
        <v>76.5</v>
      </c>
      <c r="M716" s="1894">
        <v>4582680</v>
      </c>
      <c r="N716" s="1894">
        <f t="shared" si="351"/>
        <v>3481367</v>
      </c>
      <c r="O716" s="1894">
        <f t="shared" si="352"/>
        <v>1101313</v>
      </c>
      <c r="P716" s="1894">
        <v>12500</v>
      </c>
      <c r="Q716" s="1894">
        <v>2677.56</v>
      </c>
      <c r="R716" s="1894">
        <v>10000</v>
      </c>
      <c r="S716" s="1894">
        <v>0.98660000000000003</v>
      </c>
      <c r="T716" s="1894">
        <v>40.11</v>
      </c>
      <c r="U716" s="1894">
        <v>856200</v>
      </c>
      <c r="V716" s="1894">
        <f t="shared" si="353"/>
        <v>1195263</v>
      </c>
      <c r="W716" s="1894">
        <f t="shared" si="354"/>
        <v>0</v>
      </c>
      <c r="X716" s="1894">
        <v>12500</v>
      </c>
      <c r="Y716" s="1894">
        <v>8268.7200000000012</v>
      </c>
      <c r="Z716" s="1894">
        <v>10000</v>
      </c>
      <c r="AA716" s="1894">
        <v>0.99609999999999999</v>
      </c>
      <c r="AB716" s="1894">
        <v>39.28</v>
      </c>
      <c r="AC716" s="1894">
        <v>2391000</v>
      </c>
      <c r="AD716" s="1894">
        <f t="shared" si="355"/>
        <v>3572087</v>
      </c>
      <c r="AE716" s="1894">
        <f t="shared" si="356"/>
        <v>0</v>
      </c>
      <c r="AF716" s="1894">
        <v>12500</v>
      </c>
      <c r="AG716" s="1894">
        <v>9427.56</v>
      </c>
      <c r="AH716" s="1894">
        <v>10000</v>
      </c>
      <c r="AI716" s="1894">
        <v>0.99929999999999997</v>
      </c>
      <c r="AJ716" s="1894">
        <v>75.150000000000006</v>
      </c>
      <c r="AK716" s="1894">
        <v>5315040</v>
      </c>
      <c r="AL716" s="1894">
        <f t="shared" si="357"/>
        <v>4208463</v>
      </c>
      <c r="AM716" s="1894">
        <f t="shared" si="358"/>
        <v>1106577</v>
      </c>
      <c r="AN716" s="1894">
        <v>12500</v>
      </c>
      <c r="AO716" s="1894">
        <v>9900</v>
      </c>
      <c r="AP716" s="1894">
        <v>10000</v>
      </c>
      <c r="AQ716" s="1894">
        <v>0.98980000000000001</v>
      </c>
      <c r="AR716" s="1894">
        <v>65.010000000000005</v>
      </c>
      <c r="AS716" s="1894">
        <v>4828320</v>
      </c>
      <c r="AT716" s="1894">
        <f t="shared" si="359"/>
        <v>4419360</v>
      </c>
      <c r="AU716" s="1894">
        <f t="shared" si="360"/>
        <v>408960</v>
      </c>
      <c r="AV716" s="1894">
        <v>12500</v>
      </c>
      <c r="AW716" s="1894">
        <v>9840</v>
      </c>
      <c r="AX716" s="1894">
        <v>10000</v>
      </c>
      <c r="AY716" s="1894">
        <v>0.99199999999999999</v>
      </c>
      <c r="AZ716" s="1894">
        <v>69.569999999999993</v>
      </c>
      <c r="BA716" s="1894">
        <v>4968900</v>
      </c>
      <c r="BB716" s="1894">
        <f t="shared" si="361"/>
        <v>4250880</v>
      </c>
      <c r="BC716" s="1894">
        <f t="shared" si="362"/>
        <v>718020</v>
      </c>
      <c r="BD716" s="1894">
        <v>12500</v>
      </c>
      <c r="BE716" s="1894">
        <v>9768</v>
      </c>
      <c r="BF716" s="1894">
        <v>10000</v>
      </c>
      <c r="BG716" s="1894">
        <v>0.99719999999999998</v>
      </c>
      <c r="BH716" s="1894">
        <v>52.59</v>
      </c>
      <c r="BI716" s="1894">
        <v>3857460</v>
      </c>
      <c r="BJ716" s="1894">
        <f t="shared" si="363"/>
        <v>4360435</v>
      </c>
      <c r="BK716" s="1894">
        <f t="shared" si="364"/>
        <v>0</v>
      </c>
      <c r="BL716" s="1894">
        <v>12500</v>
      </c>
      <c r="BM716" s="1894">
        <v>10464</v>
      </c>
      <c r="BN716" s="1894">
        <v>10464</v>
      </c>
      <c r="BO716" s="1894">
        <v>0.98480000000000001</v>
      </c>
      <c r="BP716" s="1894">
        <v>74</v>
      </c>
      <c r="BQ716" s="1894">
        <v>5608200</v>
      </c>
      <c r="BR716" s="1894">
        <f t="shared" si="365"/>
        <v>4520448</v>
      </c>
      <c r="BS716" s="1894">
        <f t="shared" si="366"/>
        <v>1087752</v>
      </c>
      <c r="BT716" s="1894">
        <v>12500</v>
      </c>
      <c r="BU716" s="1894">
        <v>10704</v>
      </c>
      <c r="BV716" s="1894">
        <v>10704</v>
      </c>
      <c r="BW716" s="1894">
        <v>0.9859</v>
      </c>
      <c r="BX716" s="1894">
        <v>54.01</v>
      </c>
      <c r="BY716" s="1894">
        <v>4336440</v>
      </c>
      <c r="BZ716" s="1894">
        <f t="shared" si="367"/>
        <v>4778266</v>
      </c>
      <c r="CA716" s="1894">
        <f t="shared" si="368"/>
        <v>0</v>
      </c>
      <c r="CB716" s="1894">
        <v>12500</v>
      </c>
      <c r="CC716" s="1894">
        <v>10428</v>
      </c>
      <c r="CD716" s="1894">
        <v>10428</v>
      </c>
      <c r="CE716" s="1894">
        <v>0.99890000000000001</v>
      </c>
      <c r="CF716" s="1894">
        <v>70.59</v>
      </c>
      <c r="CG716" s="1894">
        <v>5513640</v>
      </c>
      <c r="CH716" s="1894">
        <f t="shared" si="369"/>
        <v>4655059</v>
      </c>
      <c r="CI716" s="1894">
        <f t="shared" si="370"/>
        <v>858581</v>
      </c>
      <c r="CJ716" s="1894">
        <v>12500</v>
      </c>
      <c r="CK716" s="1894">
        <v>10440</v>
      </c>
      <c r="CL716" s="1894">
        <v>10440</v>
      </c>
      <c r="CM716" s="1894">
        <v>0.98650000000000004</v>
      </c>
      <c r="CN716" s="1894">
        <v>71.64</v>
      </c>
      <c r="CO716" s="1894">
        <v>5056680</v>
      </c>
      <c r="CP716" s="1894">
        <f t="shared" si="371"/>
        <v>4209408</v>
      </c>
      <c r="CQ716" s="1894">
        <f t="shared" si="372"/>
        <v>847272</v>
      </c>
      <c r="CR716" s="1924">
        <v>12500</v>
      </c>
      <c r="CS716" s="1924">
        <v>10608</v>
      </c>
      <c r="CT716" s="1924">
        <v>10608</v>
      </c>
      <c r="CU716" s="1924">
        <v>0.98180000000000001</v>
      </c>
      <c r="CV716" s="1924">
        <v>67.150000000000006</v>
      </c>
      <c r="CW716" s="1924">
        <v>5333520</v>
      </c>
      <c r="CX716" s="1894">
        <f t="shared" si="373"/>
        <v>4735411</v>
      </c>
      <c r="CY716" s="1894">
        <f t="shared" si="374"/>
        <v>598109</v>
      </c>
    </row>
    <row r="717" spans="1:103">
      <c r="A717" s="982">
        <v>121000000009</v>
      </c>
      <c r="B717" s="1923">
        <f t="shared" si="375"/>
        <v>19</v>
      </c>
      <c r="C717" s="1895" t="s">
        <v>3526</v>
      </c>
      <c r="D717" s="1894" t="s">
        <v>524</v>
      </c>
      <c r="E717" s="1895" t="s">
        <v>538</v>
      </c>
      <c r="F717" s="1894" t="s">
        <v>271</v>
      </c>
      <c r="G717" s="1924">
        <v>13000</v>
      </c>
      <c r="H717" s="1894">
        <v>13000</v>
      </c>
      <c r="I717" s="1894">
        <v>10545</v>
      </c>
      <c r="J717" s="1894">
        <v>10545</v>
      </c>
      <c r="K717" s="1894">
        <v>0.99470000000000003</v>
      </c>
      <c r="L717" s="1894">
        <v>43.9</v>
      </c>
      <c r="M717" s="1894">
        <v>3408000</v>
      </c>
      <c r="N717" s="1894">
        <f t="shared" si="351"/>
        <v>4555440</v>
      </c>
      <c r="O717" s="1894">
        <f t="shared" si="352"/>
        <v>0</v>
      </c>
      <c r="P717" s="1894">
        <v>13000</v>
      </c>
      <c r="Q717" s="1894">
        <v>14188.8</v>
      </c>
      <c r="R717" s="1894">
        <v>14188.8</v>
      </c>
      <c r="S717" s="1894">
        <v>0.99850000000000005</v>
      </c>
      <c r="T717" s="1894">
        <v>60.8</v>
      </c>
      <c r="U717" s="1894">
        <v>6497280</v>
      </c>
      <c r="V717" s="1894">
        <f t="shared" si="353"/>
        <v>6333880</v>
      </c>
      <c r="W717" s="1894">
        <f t="shared" si="354"/>
        <v>163400</v>
      </c>
      <c r="X717" s="1894">
        <v>13000</v>
      </c>
      <c r="Y717" s="1894">
        <v>32438.399999999998</v>
      </c>
      <c r="Z717" s="1894">
        <v>13000</v>
      </c>
      <c r="AA717" s="1894">
        <v>0.99980000000000002</v>
      </c>
      <c r="AB717" s="1894">
        <v>158.44</v>
      </c>
      <c r="AC717" s="1894">
        <v>20522880</v>
      </c>
      <c r="AD717" s="1894">
        <f t="shared" si="355"/>
        <v>14013389</v>
      </c>
      <c r="AE717" s="1894">
        <f t="shared" si="356"/>
        <v>6509491</v>
      </c>
      <c r="AF717" s="1894">
        <v>13000</v>
      </c>
      <c r="AG717" s="1894">
        <v>1296</v>
      </c>
      <c r="AH717" s="1894">
        <v>10400</v>
      </c>
      <c r="AI717" s="1894">
        <v>0.97499999999999998</v>
      </c>
      <c r="AJ717" s="1894">
        <v>29.21</v>
      </c>
      <c r="AK717" s="1894">
        <v>312960</v>
      </c>
      <c r="AL717" s="1894">
        <f t="shared" si="357"/>
        <v>578534</v>
      </c>
      <c r="AM717" s="1894">
        <f t="shared" si="358"/>
        <v>0</v>
      </c>
      <c r="AN717" s="1894">
        <v>13000</v>
      </c>
      <c r="AO717" s="1894">
        <v>33648</v>
      </c>
      <c r="AP717" s="1894">
        <v>13000</v>
      </c>
      <c r="AQ717" s="1894">
        <v>0.98960000000000004</v>
      </c>
      <c r="AR717" s="1894">
        <v>120.33</v>
      </c>
      <c r="AS717" s="1894">
        <v>13298760</v>
      </c>
      <c r="AT717" s="1894">
        <f t="shared" si="359"/>
        <v>15020467</v>
      </c>
      <c r="AU717" s="1894">
        <f t="shared" si="360"/>
        <v>0</v>
      </c>
      <c r="AV717" s="1894">
        <v>13000</v>
      </c>
      <c r="AW717" s="1894">
        <v>35347.199999999997</v>
      </c>
      <c r="AX717" s="1894">
        <v>13000</v>
      </c>
      <c r="AY717" s="1894">
        <v>0.99960000000000004</v>
      </c>
      <c r="AZ717" s="1894">
        <v>162.38</v>
      </c>
      <c r="BA717" s="1894">
        <v>15640320</v>
      </c>
      <c r="BB717" s="1894">
        <f t="shared" si="361"/>
        <v>15269990</v>
      </c>
      <c r="BC717" s="1894">
        <f t="shared" si="362"/>
        <v>370330</v>
      </c>
      <c r="BD717" s="1894">
        <v>13000</v>
      </c>
      <c r="BE717" s="1894">
        <v>35788.800000000003</v>
      </c>
      <c r="BF717" s="1894">
        <v>13000</v>
      </c>
      <c r="BG717" s="1894">
        <v>0.99939999999999996</v>
      </c>
      <c r="BH717" s="1894">
        <v>155.66999999999999</v>
      </c>
      <c r="BI717" s="1894">
        <v>19514520</v>
      </c>
      <c r="BJ717" s="1894">
        <f t="shared" si="363"/>
        <v>15976120</v>
      </c>
      <c r="BK717" s="1894">
        <f t="shared" si="364"/>
        <v>3538400</v>
      </c>
      <c r="BL717" s="1894">
        <v>13000</v>
      </c>
      <c r="BM717" s="1894">
        <v>35304</v>
      </c>
      <c r="BN717" s="1894">
        <v>13000</v>
      </c>
      <c r="BO717" s="1894">
        <v>0.99139999999999995</v>
      </c>
      <c r="BP717" s="1894">
        <v>131.22999999999999</v>
      </c>
      <c r="BQ717" s="1894">
        <v>14009520</v>
      </c>
      <c r="BR717" s="1894">
        <f t="shared" si="365"/>
        <v>15251328</v>
      </c>
      <c r="BS717" s="1894">
        <f t="shared" si="366"/>
        <v>0</v>
      </c>
      <c r="BT717" s="1894">
        <v>13000</v>
      </c>
      <c r="BU717" s="1894">
        <v>24936</v>
      </c>
      <c r="BV717" s="1894">
        <v>13000</v>
      </c>
      <c r="BW717" s="1894">
        <v>0.96689999999999998</v>
      </c>
      <c r="BX717" s="1894">
        <v>146.63999999999999</v>
      </c>
      <c r="BY717" s="1894">
        <v>14228040</v>
      </c>
      <c r="BZ717" s="1894">
        <f t="shared" si="367"/>
        <v>11131430</v>
      </c>
      <c r="CA717" s="1894">
        <f t="shared" si="368"/>
        <v>3096610</v>
      </c>
      <c r="CB717" s="1894">
        <v>13000</v>
      </c>
      <c r="CC717" s="1894">
        <v>36748.800000000003</v>
      </c>
      <c r="CD717" s="1894">
        <v>15416</v>
      </c>
      <c r="CE717" s="1894">
        <v>0.97409999999999997</v>
      </c>
      <c r="CF717" s="1894">
        <v>147.1</v>
      </c>
      <c r="CG717" s="1894">
        <v>15374280</v>
      </c>
      <c r="CH717" s="1894">
        <f t="shared" si="369"/>
        <v>16404664</v>
      </c>
      <c r="CI717" s="1894">
        <f t="shared" si="370"/>
        <v>0</v>
      </c>
      <c r="CJ717" s="1894">
        <v>13000</v>
      </c>
      <c r="CK717" s="1894">
        <v>33216</v>
      </c>
      <c r="CL717" s="1894">
        <v>13457.6</v>
      </c>
      <c r="CM717" s="1894">
        <v>0.99039999999999995</v>
      </c>
      <c r="CN717" s="1894">
        <v>139.52000000000001</v>
      </c>
      <c r="CO717" s="1894">
        <v>12499560</v>
      </c>
      <c r="CP717" s="1894">
        <f t="shared" si="371"/>
        <v>13392691</v>
      </c>
      <c r="CQ717" s="1894">
        <f t="shared" si="372"/>
        <v>0</v>
      </c>
      <c r="CR717" s="1924">
        <v>13000</v>
      </c>
      <c r="CS717" s="1924">
        <v>36240</v>
      </c>
      <c r="CT717" s="1924">
        <v>13000</v>
      </c>
      <c r="CU717" s="1924">
        <v>0.99729999999999996</v>
      </c>
      <c r="CV717" s="1924">
        <v>129.68</v>
      </c>
      <c r="CW717" s="1924">
        <v>13186080</v>
      </c>
      <c r="CX717" s="1894">
        <f t="shared" si="373"/>
        <v>16177536</v>
      </c>
      <c r="CY717" s="1894">
        <f t="shared" si="374"/>
        <v>0</v>
      </c>
    </row>
    <row r="718" spans="1:103">
      <c r="A718" s="982">
        <v>611000000094</v>
      </c>
      <c r="B718" s="1923">
        <f t="shared" si="375"/>
        <v>20</v>
      </c>
      <c r="C718" s="1895" t="s">
        <v>548</v>
      </c>
      <c r="D718" s="1894" t="s">
        <v>524</v>
      </c>
      <c r="E718" s="1895" t="s">
        <v>541</v>
      </c>
      <c r="F718" s="1894" t="s">
        <v>271</v>
      </c>
      <c r="G718" s="1924">
        <v>13000</v>
      </c>
      <c r="H718" s="1894">
        <v>13000</v>
      </c>
      <c r="I718" s="1894">
        <v>11832</v>
      </c>
      <c r="J718" s="1894">
        <v>11832</v>
      </c>
      <c r="K718" s="1894">
        <v>0.99370000000000003</v>
      </c>
      <c r="L718" s="1894">
        <v>43.54</v>
      </c>
      <c r="M718" s="1894">
        <v>3709500</v>
      </c>
      <c r="N718" s="1894">
        <f t="shared" si="351"/>
        <v>5111424</v>
      </c>
      <c r="O718" s="1894">
        <f t="shared" si="352"/>
        <v>0</v>
      </c>
      <c r="P718" s="1894">
        <v>13000</v>
      </c>
      <c r="Q718" s="1894">
        <v>11856.000000000002</v>
      </c>
      <c r="R718" s="1894">
        <v>11856</v>
      </c>
      <c r="S718" s="1894">
        <v>0.995</v>
      </c>
      <c r="T718" s="1894">
        <v>44.66</v>
      </c>
      <c r="U718" s="1894">
        <v>3939300</v>
      </c>
      <c r="V718" s="1894">
        <f t="shared" si="353"/>
        <v>5292518</v>
      </c>
      <c r="W718" s="1894">
        <f t="shared" si="354"/>
        <v>0</v>
      </c>
      <c r="X718" s="1894">
        <v>13000</v>
      </c>
      <c r="Y718" s="1894">
        <v>11928</v>
      </c>
      <c r="Z718" s="1894">
        <v>11928</v>
      </c>
      <c r="AA718" s="1894">
        <v>0.99590000000000001</v>
      </c>
      <c r="AB718" s="1894">
        <v>41.24</v>
      </c>
      <c r="AC718" s="1894">
        <v>3542100</v>
      </c>
      <c r="AD718" s="1894">
        <f t="shared" si="355"/>
        <v>5152896</v>
      </c>
      <c r="AE718" s="1894">
        <f t="shared" si="356"/>
        <v>0</v>
      </c>
      <c r="AF718" s="1894">
        <v>13000</v>
      </c>
      <c r="AG718" s="1894">
        <v>11976</v>
      </c>
      <c r="AH718" s="1894">
        <v>11976</v>
      </c>
      <c r="AI718" s="1894">
        <v>0.99480000000000002</v>
      </c>
      <c r="AJ718" s="1894">
        <v>33.630000000000003</v>
      </c>
      <c r="AK718" s="1894">
        <v>2996100</v>
      </c>
      <c r="AL718" s="1894">
        <f t="shared" si="357"/>
        <v>5346086</v>
      </c>
      <c r="AM718" s="1894">
        <f t="shared" si="358"/>
        <v>0</v>
      </c>
      <c r="AN718" s="1894">
        <v>13000</v>
      </c>
      <c r="AO718" s="1894">
        <v>11447.999999999998</v>
      </c>
      <c r="AP718" s="1894">
        <v>11448</v>
      </c>
      <c r="AQ718" s="1894">
        <v>0.99690000000000001</v>
      </c>
      <c r="AR718" s="1894">
        <v>25.42</v>
      </c>
      <c r="AS718" s="1894">
        <v>2164800</v>
      </c>
      <c r="AT718" s="1894">
        <f t="shared" si="359"/>
        <v>5110387</v>
      </c>
      <c r="AU718" s="1894">
        <f t="shared" si="360"/>
        <v>0</v>
      </c>
      <c r="AV718" s="1894">
        <v>13000</v>
      </c>
      <c r="AW718" s="1894">
        <v>11328</v>
      </c>
      <c r="AX718" s="1894">
        <v>11328</v>
      </c>
      <c r="AY718" s="1894">
        <v>0.99719999999999998</v>
      </c>
      <c r="AZ718" s="1894">
        <v>31.05</v>
      </c>
      <c r="BA718" s="1894">
        <v>2652600</v>
      </c>
      <c r="BB718" s="1894">
        <f t="shared" si="361"/>
        <v>4893696</v>
      </c>
      <c r="BC718" s="1894">
        <f t="shared" si="362"/>
        <v>0</v>
      </c>
      <c r="BD718" s="1894">
        <v>13000</v>
      </c>
      <c r="BE718" s="1894">
        <v>11760</v>
      </c>
      <c r="BF718" s="1894">
        <v>11736</v>
      </c>
      <c r="BG718" s="1894">
        <v>0.998</v>
      </c>
      <c r="BH718" s="1894">
        <v>21.46</v>
      </c>
      <c r="BI718" s="1894">
        <v>2321100</v>
      </c>
      <c r="BJ718" s="1894">
        <f t="shared" si="363"/>
        <v>5249664</v>
      </c>
      <c r="BK718" s="1894">
        <f t="shared" si="364"/>
        <v>0</v>
      </c>
      <c r="BL718" s="1894">
        <v>13000</v>
      </c>
      <c r="BM718" s="1894">
        <v>11280</v>
      </c>
      <c r="BN718" s="1894">
        <v>11280</v>
      </c>
      <c r="BO718" s="1894">
        <v>0.99870000000000003</v>
      </c>
      <c r="BP718" s="1894">
        <v>28.8</v>
      </c>
      <c r="BQ718" s="1894">
        <v>2406300</v>
      </c>
      <c r="BR718" s="1894">
        <f t="shared" si="365"/>
        <v>4872960</v>
      </c>
      <c r="BS718" s="1894">
        <f t="shared" si="366"/>
        <v>0</v>
      </c>
      <c r="BT718" s="1894">
        <v>13000</v>
      </c>
      <c r="BU718" s="1894">
        <v>11664</v>
      </c>
      <c r="BV718" s="1894">
        <v>11664</v>
      </c>
      <c r="BW718" s="1894">
        <v>0.99839999999999995</v>
      </c>
      <c r="BX718" s="1894">
        <v>27.05</v>
      </c>
      <c r="BY718" s="1894">
        <v>2752800</v>
      </c>
      <c r="BZ718" s="1894">
        <f t="shared" si="367"/>
        <v>5206810</v>
      </c>
      <c r="CA718" s="1894">
        <f t="shared" si="368"/>
        <v>0</v>
      </c>
      <c r="CB718" s="1894">
        <v>13000</v>
      </c>
      <c r="CC718" s="1894">
        <v>11832</v>
      </c>
      <c r="CD718" s="1894">
        <v>11832</v>
      </c>
      <c r="CE718" s="1894">
        <v>0.997</v>
      </c>
      <c r="CF718" s="1894">
        <v>30.86</v>
      </c>
      <c r="CG718" s="1894">
        <v>2892900</v>
      </c>
      <c r="CH718" s="1894">
        <f t="shared" si="369"/>
        <v>5281805</v>
      </c>
      <c r="CI718" s="1894">
        <f t="shared" si="370"/>
        <v>0</v>
      </c>
      <c r="CJ718" s="1894">
        <v>13000</v>
      </c>
      <c r="CK718" s="1894">
        <v>11712</v>
      </c>
      <c r="CL718" s="1894">
        <v>11712</v>
      </c>
      <c r="CM718" s="1894">
        <v>0.99809999999999999</v>
      </c>
      <c r="CN718" s="1894">
        <v>31.88</v>
      </c>
      <c r="CO718" s="1894">
        <v>2545200</v>
      </c>
      <c r="CP718" s="1894">
        <f t="shared" si="371"/>
        <v>4722278</v>
      </c>
      <c r="CQ718" s="1894">
        <f t="shared" si="372"/>
        <v>0</v>
      </c>
      <c r="CR718" s="1924">
        <v>13000</v>
      </c>
      <c r="CS718" s="1924">
        <v>11400</v>
      </c>
      <c r="CT718" s="1924">
        <v>11400</v>
      </c>
      <c r="CU718" s="1924">
        <v>0.99839999999999995</v>
      </c>
      <c r="CV718" s="1924">
        <v>36.22</v>
      </c>
      <c r="CW718" s="1924">
        <v>3072000</v>
      </c>
      <c r="CX718" s="1894">
        <f t="shared" si="373"/>
        <v>5088960</v>
      </c>
      <c r="CY718" s="1894">
        <f t="shared" si="374"/>
        <v>0</v>
      </c>
    </row>
    <row r="719" spans="1:103">
      <c r="A719" s="982">
        <v>622000000026</v>
      </c>
      <c r="B719" s="1923">
        <f t="shared" si="375"/>
        <v>21</v>
      </c>
      <c r="C719" s="1895" t="s">
        <v>568</v>
      </c>
      <c r="D719" s="1894" t="s">
        <v>524</v>
      </c>
      <c r="E719" s="1895" t="s">
        <v>541</v>
      </c>
      <c r="F719" s="1894" t="s">
        <v>271</v>
      </c>
      <c r="G719" s="1924">
        <v>13000</v>
      </c>
      <c r="H719" s="1894">
        <v>13000</v>
      </c>
      <c r="I719" s="1894">
        <v>10896</v>
      </c>
      <c r="J719" s="1894">
        <v>10896</v>
      </c>
      <c r="K719" s="1894">
        <v>0.99370000000000003</v>
      </c>
      <c r="L719" s="1894">
        <v>67.989999999999995</v>
      </c>
      <c r="M719" s="1894">
        <v>5334000</v>
      </c>
      <c r="N719" s="1894">
        <f t="shared" si="351"/>
        <v>4707072</v>
      </c>
      <c r="O719" s="1894">
        <f t="shared" si="352"/>
        <v>626928</v>
      </c>
      <c r="P719" s="1894">
        <v>13000</v>
      </c>
      <c r="Q719" s="1894">
        <v>10944</v>
      </c>
      <c r="R719" s="1894">
        <v>10944</v>
      </c>
      <c r="S719" s="1894">
        <v>0.99229999999999996</v>
      </c>
      <c r="T719" s="1894">
        <v>61.89</v>
      </c>
      <c r="U719" s="1894">
        <v>5039280</v>
      </c>
      <c r="V719" s="1894">
        <f t="shared" si="353"/>
        <v>4885402</v>
      </c>
      <c r="W719" s="1894">
        <f t="shared" si="354"/>
        <v>153878</v>
      </c>
      <c r="X719" s="1894">
        <v>13000</v>
      </c>
      <c r="Y719" s="1894">
        <v>10896</v>
      </c>
      <c r="Z719" s="1894">
        <v>10896</v>
      </c>
      <c r="AA719" s="1894">
        <v>0.99419999999999997</v>
      </c>
      <c r="AB719" s="1894">
        <v>73.92</v>
      </c>
      <c r="AC719" s="1894">
        <v>5798880</v>
      </c>
      <c r="AD719" s="1894">
        <f t="shared" si="355"/>
        <v>4707072</v>
      </c>
      <c r="AE719" s="1894">
        <f t="shared" si="356"/>
        <v>1091808</v>
      </c>
      <c r="AF719" s="1894">
        <v>13000</v>
      </c>
      <c r="AG719" s="1894">
        <v>10896</v>
      </c>
      <c r="AH719" s="1894">
        <v>10896</v>
      </c>
      <c r="AI719" s="1894">
        <v>0.99480000000000002</v>
      </c>
      <c r="AJ719" s="1894">
        <v>83.35</v>
      </c>
      <c r="AK719" s="1894">
        <v>6756720</v>
      </c>
      <c r="AL719" s="1894">
        <f t="shared" si="357"/>
        <v>4863974</v>
      </c>
      <c r="AM719" s="1894">
        <f t="shared" si="358"/>
        <v>1892746</v>
      </c>
      <c r="AN719" s="1894">
        <v>13000</v>
      </c>
      <c r="AO719" s="1894">
        <v>10560</v>
      </c>
      <c r="AP719" s="1894">
        <v>10560</v>
      </c>
      <c r="AQ719" s="1894">
        <v>0.99639999999999995</v>
      </c>
      <c r="AR719" s="1894">
        <v>69.37</v>
      </c>
      <c r="AS719" s="1894">
        <v>5450160</v>
      </c>
      <c r="AT719" s="1894">
        <f t="shared" si="359"/>
        <v>4713984</v>
      </c>
      <c r="AU719" s="1894">
        <f t="shared" si="360"/>
        <v>736176</v>
      </c>
      <c r="AV719" s="1894">
        <v>13000</v>
      </c>
      <c r="AW719" s="1894">
        <v>10512</v>
      </c>
      <c r="AX719" s="1894">
        <v>10512</v>
      </c>
      <c r="AY719" s="1894">
        <v>0.99890000000000001</v>
      </c>
      <c r="AZ719" s="1894">
        <v>76.760000000000005</v>
      </c>
      <c r="BA719" s="1894">
        <v>5809680</v>
      </c>
      <c r="BB719" s="1894">
        <f t="shared" si="361"/>
        <v>4541184</v>
      </c>
      <c r="BC719" s="1894">
        <f t="shared" si="362"/>
        <v>1268496</v>
      </c>
      <c r="BD719" s="1894">
        <v>13000</v>
      </c>
      <c r="BE719" s="1894">
        <v>10617.6</v>
      </c>
      <c r="BF719" s="1894">
        <v>10617.6</v>
      </c>
      <c r="BG719" s="1894">
        <v>0.99760000000000004</v>
      </c>
      <c r="BH719" s="1894">
        <v>77.66</v>
      </c>
      <c r="BI719" s="1894">
        <v>6134640</v>
      </c>
      <c r="BJ719" s="1894">
        <f t="shared" si="363"/>
        <v>4739697</v>
      </c>
      <c r="BK719" s="1894">
        <f t="shared" si="364"/>
        <v>1394943</v>
      </c>
      <c r="BL719" s="1894">
        <v>13000</v>
      </c>
      <c r="BM719" s="1894">
        <v>10848</v>
      </c>
      <c r="BN719" s="1894">
        <v>10848</v>
      </c>
      <c r="BO719" s="1894">
        <v>0.99829999999999997</v>
      </c>
      <c r="BP719" s="1894">
        <v>43.42</v>
      </c>
      <c r="BQ719" s="1894">
        <v>3391440</v>
      </c>
      <c r="BR719" s="1894">
        <f t="shared" si="365"/>
        <v>4686336</v>
      </c>
      <c r="BS719" s="1894">
        <f t="shared" si="366"/>
        <v>0</v>
      </c>
      <c r="BT719" s="1894">
        <v>13000</v>
      </c>
      <c r="BU719" s="1894">
        <v>10632</v>
      </c>
      <c r="BV719" s="1894">
        <v>10632</v>
      </c>
      <c r="BW719" s="1894">
        <v>0.99770000000000003</v>
      </c>
      <c r="BX719" s="1894">
        <v>75.650000000000006</v>
      </c>
      <c r="BY719" s="1894">
        <v>5983680</v>
      </c>
      <c r="BZ719" s="1894">
        <f t="shared" si="367"/>
        <v>4746125</v>
      </c>
      <c r="CA719" s="1894">
        <f t="shared" si="368"/>
        <v>1237555</v>
      </c>
      <c r="CB719" s="1894">
        <v>13000</v>
      </c>
      <c r="CC719" s="1894">
        <v>10512</v>
      </c>
      <c r="CD719" s="1894">
        <v>10512</v>
      </c>
      <c r="CE719" s="1894">
        <v>0.99650000000000005</v>
      </c>
      <c r="CF719" s="1894">
        <v>74.010000000000005</v>
      </c>
      <c r="CG719" s="1894">
        <v>5788560</v>
      </c>
      <c r="CH719" s="1894">
        <f t="shared" si="369"/>
        <v>4692557</v>
      </c>
      <c r="CI719" s="1894">
        <f t="shared" si="370"/>
        <v>1096003</v>
      </c>
      <c r="CJ719" s="1894">
        <v>13000</v>
      </c>
      <c r="CK719" s="1894">
        <v>10536</v>
      </c>
      <c r="CL719" s="1894">
        <v>10536</v>
      </c>
      <c r="CM719" s="1894">
        <v>0.996</v>
      </c>
      <c r="CN719" s="1894">
        <v>71</v>
      </c>
      <c r="CO719" s="1894">
        <v>5026800</v>
      </c>
      <c r="CP719" s="1894">
        <f t="shared" si="371"/>
        <v>4248115</v>
      </c>
      <c r="CQ719" s="1894">
        <f t="shared" si="372"/>
        <v>778685</v>
      </c>
      <c r="CR719" s="1924">
        <v>13000</v>
      </c>
      <c r="CS719" s="1924">
        <v>10608</v>
      </c>
      <c r="CT719" s="1924">
        <v>10608</v>
      </c>
      <c r="CU719" s="1924">
        <v>0.99509999999999998</v>
      </c>
      <c r="CV719" s="1924">
        <v>77.02</v>
      </c>
      <c r="CW719" s="1924">
        <v>6078720</v>
      </c>
      <c r="CX719" s="1894">
        <f t="shared" si="373"/>
        <v>4735411</v>
      </c>
      <c r="CY719" s="1894">
        <f t="shared" si="374"/>
        <v>1343309</v>
      </c>
    </row>
    <row r="720" spans="1:103">
      <c r="A720" s="982">
        <v>621000000006</v>
      </c>
      <c r="B720" s="1923">
        <f t="shared" si="375"/>
        <v>22</v>
      </c>
      <c r="C720" s="1895" t="s">
        <v>576</v>
      </c>
      <c r="D720" s="1894" t="s">
        <v>524</v>
      </c>
      <c r="E720" s="1895" t="s">
        <v>541</v>
      </c>
      <c r="F720" s="1894" t="s">
        <v>271</v>
      </c>
      <c r="G720" s="1924">
        <v>14000</v>
      </c>
      <c r="H720" s="1894">
        <v>8000</v>
      </c>
      <c r="I720" s="1894">
        <v>11904</v>
      </c>
      <c r="J720" s="1894">
        <v>11904</v>
      </c>
      <c r="K720" s="1894">
        <v>0.93840000000000001</v>
      </c>
      <c r="L720" s="1894">
        <v>75.819999999999993</v>
      </c>
      <c r="M720" s="1894">
        <v>6498360</v>
      </c>
      <c r="N720" s="1894">
        <f t="shared" si="351"/>
        <v>5142528</v>
      </c>
      <c r="O720" s="1894">
        <f t="shared" si="352"/>
        <v>1355832</v>
      </c>
      <c r="P720" s="1894">
        <v>14000</v>
      </c>
      <c r="Q720" s="1894">
        <v>12648</v>
      </c>
      <c r="R720" s="1894">
        <v>12648</v>
      </c>
      <c r="S720" s="1894">
        <v>0.94699999999999995</v>
      </c>
      <c r="T720" s="1894">
        <v>80.099999999999994</v>
      </c>
      <c r="U720" s="1894">
        <v>7537800</v>
      </c>
      <c r="V720" s="1894">
        <f t="shared" si="353"/>
        <v>5646067</v>
      </c>
      <c r="W720" s="1894">
        <f t="shared" si="354"/>
        <v>1891733</v>
      </c>
      <c r="X720" s="1894">
        <v>14000</v>
      </c>
      <c r="Y720" s="1894">
        <v>12624</v>
      </c>
      <c r="Z720" s="1894">
        <v>12624</v>
      </c>
      <c r="AA720" s="1894">
        <v>0.94979999999999998</v>
      </c>
      <c r="AB720" s="1894">
        <v>81.61</v>
      </c>
      <c r="AC720" s="1894">
        <v>7417440</v>
      </c>
      <c r="AD720" s="1894">
        <f t="shared" si="355"/>
        <v>5453568</v>
      </c>
      <c r="AE720" s="1894">
        <f t="shared" si="356"/>
        <v>1963872</v>
      </c>
      <c r="AF720" s="1894">
        <v>14000</v>
      </c>
      <c r="AG720" s="1894">
        <v>14208</v>
      </c>
      <c r="AH720" s="1894">
        <v>14208</v>
      </c>
      <c r="AI720" s="1894">
        <v>0.94010000000000005</v>
      </c>
      <c r="AJ720" s="1894">
        <v>82.01</v>
      </c>
      <c r="AK720" s="1894">
        <v>8669280</v>
      </c>
      <c r="AL720" s="1894">
        <f t="shared" si="357"/>
        <v>6342451</v>
      </c>
      <c r="AM720" s="1894">
        <f t="shared" si="358"/>
        <v>2326829</v>
      </c>
      <c r="AN720" s="1894">
        <v>14000</v>
      </c>
      <c r="AO720" s="1894">
        <v>12240</v>
      </c>
      <c r="AP720" s="1894">
        <v>12240</v>
      </c>
      <c r="AQ720" s="1894">
        <v>0.9446</v>
      </c>
      <c r="AR720" s="1894">
        <v>79.569999999999993</v>
      </c>
      <c r="AS720" s="1894">
        <v>7245960</v>
      </c>
      <c r="AT720" s="1894">
        <f t="shared" si="359"/>
        <v>5463936</v>
      </c>
      <c r="AU720" s="1894">
        <f t="shared" si="360"/>
        <v>1782024</v>
      </c>
      <c r="AV720" s="1894">
        <v>14000</v>
      </c>
      <c r="AW720" s="1894">
        <v>13224</v>
      </c>
      <c r="AX720" s="1894">
        <v>13224</v>
      </c>
      <c r="AY720" s="1894">
        <v>0.94269999999999998</v>
      </c>
      <c r="AZ720" s="1894">
        <v>80.09</v>
      </c>
      <c r="BA720" s="1894">
        <v>7625940</v>
      </c>
      <c r="BB720" s="1894">
        <f t="shared" si="361"/>
        <v>5712768</v>
      </c>
      <c r="BC720" s="1894">
        <f t="shared" si="362"/>
        <v>1913172</v>
      </c>
      <c r="BD720" s="1894">
        <v>14000</v>
      </c>
      <c r="BE720" s="1894">
        <v>11184</v>
      </c>
      <c r="BF720" s="1894">
        <v>11200</v>
      </c>
      <c r="BG720" s="1894">
        <v>0.94640000000000002</v>
      </c>
      <c r="BH720" s="1894">
        <v>76.44</v>
      </c>
      <c r="BI720" s="1894">
        <v>6360480</v>
      </c>
      <c r="BJ720" s="1894">
        <f t="shared" si="363"/>
        <v>4992538</v>
      </c>
      <c r="BK720" s="1894">
        <f t="shared" si="364"/>
        <v>1367942</v>
      </c>
      <c r="BL720" s="1894">
        <v>14000</v>
      </c>
      <c r="BM720" s="1894">
        <v>13116</v>
      </c>
      <c r="BN720" s="1894">
        <v>13116</v>
      </c>
      <c r="BO720" s="1894">
        <v>0.94179999999999997</v>
      </c>
      <c r="BP720" s="1894">
        <v>81.790000000000006</v>
      </c>
      <c r="BQ720" s="1894">
        <v>7723440</v>
      </c>
      <c r="BR720" s="1894">
        <f t="shared" si="365"/>
        <v>5666112</v>
      </c>
      <c r="BS720" s="1894">
        <f t="shared" si="366"/>
        <v>2057328</v>
      </c>
      <c r="BT720" s="1894">
        <v>14000</v>
      </c>
      <c r="BU720" s="1894">
        <v>10752</v>
      </c>
      <c r="BV720" s="1894">
        <v>11200</v>
      </c>
      <c r="BW720" s="1894">
        <v>0.94669999999999999</v>
      </c>
      <c r="BX720" s="1894">
        <v>66.41</v>
      </c>
      <c r="BY720" s="1894">
        <v>5312160</v>
      </c>
      <c r="BZ720" s="1894">
        <f t="shared" si="367"/>
        <v>4799693</v>
      </c>
      <c r="CA720" s="1894">
        <f t="shared" si="368"/>
        <v>512467</v>
      </c>
      <c r="CB720" s="1894">
        <v>14000</v>
      </c>
      <c r="CC720" s="1894">
        <v>8136</v>
      </c>
      <c r="CD720" s="1894">
        <v>11200</v>
      </c>
      <c r="CE720" s="1894">
        <v>0.94750000000000001</v>
      </c>
      <c r="CF720" s="1894">
        <v>70.95</v>
      </c>
      <c r="CG720" s="1894">
        <v>4294560</v>
      </c>
      <c r="CH720" s="1894">
        <f t="shared" si="369"/>
        <v>3631910</v>
      </c>
      <c r="CI720" s="1894">
        <f t="shared" si="370"/>
        <v>662650</v>
      </c>
      <c r="CJ720" s="1894">
        <v>14000</v>
      </c>
      <c r="CK720" s="1894">
        <v>8004</v>
      </c>
      <c r="CL720" s="1894">
        <v>11200</v>
      </c>
      <c r="CM720" s="1894">
        <v>0.94799999999999995</v>
      </c>
      <c r="CN720" s="1894">
        <v>73.22</v>
      </c>
      <c r="CO720" s="1894">
        <v>3938160</v>
      </c>
      <c r="CP720" s="1894">
        <f t="shared" si="371"/>
        <v>3227213</v>
      </c>
      <c r="CQ720" s="1894">
        <f t="shared" si="372"/>
        <v>710947</v>
      </c>
      <c r="CR720" s="1924">
        <v>14000</v>
      </c>
      <c r="CS720" s="1924">
        <v>7788.0000000000009</v>
      </c>
      <c r="CT720" s="1924">
        <v>11200</v>
      </c>
      <c r="CU720" s="1924">
        <v>0.95479999999999998</v>
      </c>
      <c r="CV720" s="1924">
        <v>67.64</v>
      </c>
      <c r="CW720" s="1924">
        <v>3919500</v>
      </c>
      <c r="CX720" s="1894">
        <f t="shared" si="373"/>
        <v>3476563</v>
      </c>
      <c r="CY720" s="1894">
        <f t="shared" si="374"/>
        <v>442937</v>
      </c>
    </row>
    <row r="721" spans="1:103">
      <c r="A721" s="982">
        <v>123000000136</v>
      </c>
      <c r="B721" s="1923">
        <f t="shared" si="375"/>
        <v>23</v>
      </c>
      <c r="C721" s="1895" t="s">
        <v>560</v>
      </c>
      <c r="D721" s="1894" t="s">
        <v>524</v>
      </c>
      <c r="E721" s="1895" t="s">
        <v>538</v>
      </c>
      <c r="F721" s="1894" t="s">
        <v>271</v>
      </c>
      <c r="G721" s="1924">
        <v>15000</v>
      </c>
      <c r="H721" s="1894">
        <v>0</v>
      </c>
      <c r="I721" s="1894">
        <v>0</v>
      </c>
      <c r="J721" s="1894">
        <v>0</v>
      </c>
      <c r="K721" s="1894">
        <v>0</v>
      </c>
      <c r="L721" s="1894">
        <v>0</v>
      </c>
      <c r="M721" s="1894">
        <v>0</v>
      </c>
      <c r="N721" s="1894">
        <f t="shared" si="351"/>
        <v>0</v>
      </c>
      <c r="O721" s="1894">
        <f t="shared" si="352"/>
        <v>0</v>
      </c>
      <c r="P721" s="1894">
        <v>0</v>
      </c>
      <c r="Q721" s="1894">
        <v>0</v>
      </c>
      <c r="R721" s="1894">
        <v>0</v>
      </c>
      <c r="S721" s="1894">
        <v>0</v>
      </c>
      <c r="T721" s="1894">
        <v>0</v>
      </c>
      <c r="U721" s="1894">
        <v>0</v>
      </c>
      <c r="V721" s="1894">
        <f t="shared" si="353"/>
        <v>0</v>
      </c>
      <c r="W721" s="1894">
        <f t="shared" si="354"/>
        <v>0</v>
      </c>
      <c r="X721" s="1894">
        <v>0</v>
      </c>
      <c r="Y721" s="1894">
        <v>0</v>
      </c>
      <c r="Z721" s="1894">
        <v>0</v>
      </c>
      <c r="AA721" s="1894">
        <v>0</v>
      </c>
      <c r="AB721" s="1894">
        <v>0</v>
      </c>
      <c r="AC721" s="1894">
        <v>0</v>
      </c>
      <c r="AD721" s="1894">
        <f t="shared" si="355"/>
        <v>0</v>
      </c>
      <c r="AE721" s="1894">
        <f t="shared" si="356"/>
        <v>0</v>
      </c>
      <c r="AF721" s="1894">
        <v>0</v>
      </c>
      <c r="AG721" s="1894">
        <v>0</v>
      </c>
      <c r="AH721" s="1894">
        <v>0</v>
      </c>
      <c r="AI721" s="1894">
        <v>0</v>
      </c>
      <c r="AJ721" s="1894">
        <v>0</v>
      </c>
      <c r="AK721" s="1894">
        <v>0</v>
      </c>
      <c r="AL721" s="1894">
        <f t="shared" si="357"/>
        <v>0</v>
      </c>
      <c r="AM721" s="1894">
        <f t="shared" si="358"/>
        <v>0</v>
      </c>
      <c r="AN721" s="1894">
        <v>0</v>
      </c>
      <c r="AO721" s="1894">
        <v>0</v>
      </c>
      <c r="AP721" s="1894">
        <v>0</v>
      </c>
      <c r="AQ721" s="1894">
        <v>0</v>
      </c>
      <c r="AR721" s="1894">
        <v>0</v>
      </c>
      <c r="AS721" s="1894">
        <v>0</v>
      </c>
      <c r="AT721" s="1894">
        <f t="shared" si="359"/>
        <v>0</v>
      </c>
      <c r="AU721" s="1894">
        <f t="shared" si="360"/>
        <v>0</v>
      </c>
      <c r="AV721" s="1894">
        <v>7000</v>
      </c>
      <c r="AW721" s="1894">
        <v>1920</v>
      </c>
      <c r="AX721" s="1894">
        <v>5600</v>
      </c>
      <c r="AY721" s="1894">
        <v>0.58460000000000001</v>
      </c>
      <c r="AZ721" s="1894">
        <v>4.2300000000000004</v>
      </c>
      <c r="BA721" s="1894">
        <v>15600</v>
      </c>
      <c r="BB721" s="1894">
        <f t="shared" si="361"/>
        <v>829440</v>
      </c>
      <c r="BC721" s="1894">
        <f t="shared" si="362"/>
        <v>0</v>
      </c>
      <c r="BD721" s="1894">
        <v>7000</v>
      </c>
      <c r="BE721" s="1894">
        <v>480</v>
      </c>
      <c r="BF721" s="1894">
        <v>5600</v>
      </c>
      <c r="BG721" s="1894">
        <v>0.74790000000000001</v>
      </c>
      <c r="BH721" s="1894">
        <v>41.06</v>
      </c>
      <c r="BI721" s="1894">
        <v>146640</v>
      </c>
      <c r="BJ721" s="1894">
        <f t="shared" si="363"/>
        <v>214272</v>
      </c>
      <c r="BK721" s="1894">
        <f t="shared" si="364"/>
        <v>0</v>
      </c>
      <c r="BL721" s="1894">
        <v>15000</v>
      </c>
      <c r="BM721" s="1894">
        <v>4320</v>
      </c>
      <c r="BN721" s="1894">
        <v>5600</v>
      </c>
      <c r="BO721" s="1894">
        <v>0.77710000000000001</v>
      </c>
      <c r="BP721" s="1894">
        <v>10.220000000000001</v>
      </c>
      <c r="BQ721" s="1894">
        <v>317760</v>
      </c>
      <c r="BR721" s="1894">
        <f t="shared" si="365"/>
        <v>1866240</v>
      </c>
      <c r="BS721" s="1894">
        <f t="shared" si="366"/>
        <v>0</v>
      </c>
      <c r="BT721" s="1894">
        <v>15000</v>
      </c>
      <c r="BU721" s="1894">
        <v>13920</v>
      </c>
      <c r="BV721" s="1894">
        <v>13920</v>
      </c>
      <c r="BW721" s="1894">
        <v>0.97609999999999997</v>
      </c>
      <c r="BX721" s="1894">
        <v>62.75</v>
      </c>
      <c r="BY721" s="1894">
        <v>6498240</v>
      </c>
      <c r="BZ721" s="1894">
        <f t="shared" si="367"/>
        <v>6213888</v>
      </c>
      <c r="CA721" s="1894">
        <f t="shared" si="368"/>
        <v>284352</v>
      </c>
      <c r="CB721" s="1894">
        <v>15000</v>
      </c>
      <c r="CC721" s="1894">
        <v>18960</v>
      </c>
      <c r="CD721" s="1894">
        <v>14563.2</v>
      </c>
      <c r="CE721" s="1894">
        <v>0.98380000000000001</v>
      </c>
      <c r="CF721" s="1894">
        <v>61.5</v>
      </c>
      <c r="CG721" s="1894">
        <v>9200640</v>
      </c>
      <c r="CH721" s="1894">
        <f t="shared" si="369"/>
        <v>8463744</v>
      </c>
      <c r="CI721" s="1894">
        <f t="shared" si="370"/>
        <v>736896</v>
      </c>
      <c r="CJ721" s="1894">
        <v>15000</v>
      </c>
      <c r="CK721" s="1894">
        <v>23664</v>
      </c>
      <c r="CL721" s="1894">
        <v>23664</v>
      </c>
      <c r="CM721" s="1894">
        <v>0.9849</v>
      </c>
      <c r="CN721" s="1894">
        <v>71.78</v>
      </c>
      <c r="CO721" s="1894">
        <v>11530920</v>
      </c>
      <c r="CP721" s="1894">
        <f t="shared" si="371"/>
        <v>9541325</v>
      </c>
      <c r="CQ721" s="1894">
        <f t="shared" si="372"/>
        <v>1989595</v>
      </c>
      <c r="CR721" s="1924">
        <v>15000</v>
      </c>
      <c r="CS721" s="1924">
        <v>23817.599999999999</v>
      </c>
      <c r="CT721" s="1924">
        <v>15000</v>
      </c>
      <c r="CU721" s="1924">
        <v>0.97960000000000003</v>
      </c>
      <c r="CV721" s="1924">
        <v>130.47</v>
      </c>
      <c r="CW721" s="1924">
        <v>14560320</v>
      </c>
      <c r="CX721" s="1894">
        <f t="shared" si="373"/>
        <v>10632177</v>
      </c>
      <c r="CY721" s="1894">
        <f t="shared" si="374"/>
        <v>3928143</v>
      </c>
    </row>
    <row r="722" spans="1:103">
      <c r="A722" s="982">
        <v>121000000007</v>
      </c>
      <c r="B722" s="1923">
        <f t="shared" si="375"/>
        <v>24</v>
      </c>
      <c r="C722" s="1895" t="s">
        <v>3527</v>
      </c>
      <c r="D722" s="1894" t="s">
        <v>524</v>
      </c>
      <c r="E722" s="1895" t="s">
        <v>602</v>
      </c>
      <c r="F722" s="1894" t="s">
        <v>271</v>
      </c>
      <c r="G722" s="1924">
        <v>15000</v>
      </c>
      <c r="H722" s="1894">
        <v>15000</v>
      </c>
      <c r="I722" s="1894">
        <v>14880</v>
      </c>
      <c r="J722" s="1894">
        <v>14880</v>
      </c>
      <c r="K722" s="1894">
        <v>0.98460000000000003</v>
      </c>
      <c r="L722" s="1894">
        <v>49.53</v>
      </c>
      <c r="M722" s="1894">
        <v>5306400</v>
      </c>
      <c r="N722" s="1894">
        <f t="shared" si="351"/>
        <v>6428160</v>
      </c>
      <c r="O722" s="1894">
        <f t="shared" si="352"/>
        <v>0</v>
      </c>
      <c r="P722" s="1894">
        <v>15000</v>
      </c>
      <c r="Q722" s="1894">
        <v>14400</v>
      </c>
      <c r="R722" s="1894">
        <v>14400</v>
      </c>
      <c r="S722" s="1894">
        <v>0.98660000000000003</v>
      </c>
      <c r="T722" s="1894">
        <v>48.52</v>
      </c>
      <c r="U722" s="1894">
        <v>5198400</v>
      </c>
      <c r="V722" s="1894">
        <f t="shared" si="353"/>
        <v>6428160</v>
      </c>
      <c r="W722" s="1894">
        <f t="shared" si="354"/>
        <v>0</v>
      </c>
      <c r="X722" s="1894">
        <v>15000</v>
      </c>
      <c r="Y722" s="1894">
        <v>14880</v>
      </c>
      <c r="Z722" s="1894">
        <v>14880</v>
      </c>
      <c r="AA722" s="1894">
        <v>0.9879</v>
      </c>
      <c r="AB722" s="1894">
        <v>42.85</v>
      </c>
      <c r="AC722" s="1894">
        <v>4591200</v>
      </c>
      <c r="AD722" s="1894">
        <f t="shared" si="355"/>
        <v>6428160</v>
      </c>
      <c r="AE722" s="1894">
        <f t="shared" si="356"/>
        <v>0</v>
      </c>
      <c r="AF722" s="1894">
        <v>15000</v>
      </c>
      <c r="AG722" s="1894">
        <v>14880</v>
      </c>
      <c r="AH722" s="1894">
        <v>14880</v>
      </c>
      <c r="AI722" s="1894">
        <v>0.98750000000000004</v>
      </c>
      <c r="AJ722" s="1894">
        <v>47.15</v>
      </c>
      <c r="AK722" s="1894">
        <v>5220000</v>
      </c>
      <c r="AL722" s="1894">
        <f t="shared" si="357"/>
        <v>6642432</v>
      </c>
      <c r="AM722" s="1894">
        <f t="shared" si="358"/>
        <v>0</v>
      </c>
      <c r="AN722" s="1894">
        <v>15000</v>
      </c>
      <c r="AO722" s="1894">
        <v>15360</v>
      </c>
      <c r="AP722" s="1894">
        <v>15360</v>
      </c>
      <c r="AQ722" s="1894">
        <v>0.98799999999999999</v>
      </c>
      <c r="AR722" s="1894">
        <v>47.38</v>
      </c>
      <c r="AS722" s="1894">
        <v>5414400</v>
      </c>
      <c r="AT722" s="1894">
        <f t="shared" si="359"/>
        <v>6856704</v>
      </c>
      <c r="AU722" s="1894">
        <f t="shared" si="360"/>
        <v>0</v>
      </c>
      <c r="AV722" s="1894">
        <v>15000</v>
      </c>
      <c r="AW722" s="1894">
        <v>15360</v>
      </c>
      <c r="AX722" s="1894">
        <v>15360</v>
      </c>
      <c r="AY722" s="1894">
        <v>0.99180000000000001</v>
      </c>
      <c r="AZ722" s="1894">
        <v>45.05</v>
      </c>
      <c r="BA722" s="1894">
        <v>4982400</v>
      </c>
      <c r="BB722" s="1894">
        <f t="shared" si="361"/>
        <v>6635520</v>
      </c>
      <c r="BC722" s="1894">
        <f t="shared" si="362"/>
        <v>0</v>
      </c>
      <c r="BD722" s="1894">
        <v>15000</v>
      </c>
      <c r="BE722" s="1894">
        <v>12960</v>
      </c>
      <c r="BF722" s="1894">
        <v>12960</v>
      </c>
      <c r="BG722" s="1894">
        <v>0.99239999999999995</v>
      </c>
      <c r="BH722" s="1894">
        <v>53.07</v>
      </c>
      <c r="BI722" s="1894">
        <v>5116800</v>
      </c>
      <c r="BJ722" s="1894">
        <f t="shared" si="363"/>
        <v>5785344</v>
      </c>
      <c r="BK722" s="1894">
        <f t="shared" si="364"/>
        <v>0</v>
      </c>
      <c r="BL722" s="1894">
        <v>15000</v>
      </c>
      <c r="BM722" s="1894">
        <v>18240</v>
      </c>
      <c r="BN722" s="1894">
        <v>18240</v>
      </c>
      <c r="BO722" s="1894">
        <v>0.98939999999999995</v>
      </c>
      <c r="BP722" s="1894">
        <v>38.19</v>
      </c>
      <c r="BQ722" s="1894">
        <v>5016000</v>
      </c>
      <c r="BR722" s="1894">
        <f t="shared" si="365"/>
        <v>7879680</v>
      </c>
      <c r="BS722" s="1894">
        <f t="shared" si="366"/>
        <v>0</v>
      </c>
      <c r="BT722" s="1894">
        <v>15000</v>
      </c>
      <c r="BU722" s="1894">
        <v>15840</v>
      </c>
      <c r="BV722" s="1894">
        <v>15840</v>
      </c>
      <c r="BW722" s="1894">
        <v>0.9919</v>
      </c>
      <c r="BX722" s="1894">
        <v>45.33</v>
      </c>
      <c r="BY722" s="1894">
        <v>5342400</v>
      </c>
      <c r="BZ722" s="1894">
        <f t="shared" si="367"/>
        <v>7070976</v>
      </c>
      <c r="CA722" s="1894">
        <f t="shared" si="368"/>
        <v>0</v>
      </c>
      <c r="CB722" s="1894">
        <v>15000</v>
      </c>
      <c r="CC722" s="1894">
        <v>14400</v>
      </c>
      <c r="CD722" s="1894">
        <v>14400</v>
      </c>
      <c r="CE722" s="1894">
        <v>0.99219999999999997</v>
      </c>
      <c r="CF722" s="1894">
        <v>49.19</v>
      </c>
      <c r="CG722" s="1894">
        <v>5270400</v>
      </c>
      <c r="CH722" s="1894">
        <f t="shared" si="369"/>
        <v>6428160</v>
      </c>
      <c r="CI722" s="1894">
        <f t="shared" si="370"/>
        <v>0</v>
      </c>
      <c r="CJ722" s="1894">
        <v>15000</v>
      </c>
      <c r="CK722" s="1894">
        <v>20160</v>
      </c>
      <c r="CL722" s="1894">
        <v>20160</v>
      </c>
      <c r="CM722" s="1894">
        <v>0.99170000000000003</v>
      </c>
      <c r="CN722" s="1894">
        <v>36.409999999999997</v>
      </c>
      <c r="CO722" s="1894">
        <v>4932000</v>
      </c>
      <c r="CP722" s="1894">
        <f t="shared" si="371"/>
        <v>8128512</v>
      </c>
      <c r="CQ722" s="1894">
        <f t="shared" si="372"/>
        <v>0</v>
      </c>
      <c r="CR722" s="1924">
        <v>15000</v>
      </c>
      <c r="CS722" s="1924">
        <v>14880</v>
      </c>
      <c r="CT722" s="1924">
        <v>14880</v>
      </c>
      <c r="CU722" s="1924">
        <v>0.9899</v>
      </c>
      <c r="CV722" s="1924">
        <v>47.32</v>
      </c>
      <c r="CW722" s="1924">
        <v>5239200</v>
      </c>
      <c r="CX722" s="1894">
        <f t="shared" si="373"/>
        <v>6642432</v>
      </c>
      <c r="CY722" s="1894">
        <f t="shared" si="374"/>
        <v>0</v>
      </c>
    </row>
    <row r="723" spans="1:103">
      <c r="A723" s="982">
        <v>611000000056</v>
      </c>
      <c r="B723" s="1923">
        <f t="shared" si="375"/>
        <v>25</v>
      </c>
      <c r="C723" s="1895" t="s">
        <v>566</v>
      </c>
      <c r="D723" s="1894" t="s">
        <v>524</v>
      </c>
      <c r="E723" s="1895" t="s">
        <v>541</v>
      </c>
      <c r="F723" s="1894" t="s">
        <v>271</v>
      </c>
      <c r="G723" s="1924">
        <v>16000</v>
      </c>
      <c r="H723" s="1894">
        <v>8000</v>
      </c>
      <c r="I723" s="1894">
        <v>7248</v>
      </c>
      <c r="J723" s="1894">
        <v>7248</v>
      </c>
      <c r="K723" s="1894">
        <v>0.99450000000000005</v>
      </c>
      <c r="L723" s="1894">
        <v>77.790000000000006</v>
      </c>
      <c r="M723" s="1894">
        <v>4465680</v>
      </c>
      <c r="N723" s="1894">
        <f t="shared" si="351"/>
        <v>3131136</v>
      </c>
      <c r="O723" s="1894">
        <f t="shared" si="352"/>
        <v>1334544</v>
      </c>
      <c r="P723" s="1894">
        <v>8000</v>
      </c>
      <c r="Q723" s="1894">
        <v>7243.2000000000007</v>
      </c>
      <c r="R723" s="1894">
        <v>7243.2</v>
      </c>
      <c r="S723" s="1894">
        <v>0.99909999999999999</v>
      </c>
      <c r="T723" s="1894">
        <v>86.66</v>
      </c>
      <c r="U723" s="1894">
        <v>4670280</v>
      </c>
      <c r="V723" s="1894">
        <f t="shared" si="353"/>
        <v>3233364</v>
      </c>
      <c r="W723" s="1894">
        <f t="shared" si="354"/>
        <v>1436916</v>
      </c>
      <c r="X723" s="1894">
        <v>8000</v>
      </c>
      <c r="Y723" s="1894">
        <v>7430.4000000000005</v>
      </c>
      <c r="Z723" s="1894">
        <v>7430.4</v>
      </c>
      <c r="AA723" s="1894">
        <v>0.99970000000000003</v>
      </c>
      <c r="AB723" s="1894">
        <v>90.29</v>
      </c>
      <c r="AC723" s="1894">
        <v>4830300</v>
      </c>
      <c r="AD723" s="1894">
        <f t="shared" si="355"/>
        <v>3209933</v>
      </c>
      <c r="AE723" s="1894">
        <f t="shared" si="356"/>
        <v>1620367</v>
      </c>
      <c r="AF723" s="1894">
        <v>8000</v>
      </c>
      <c r="AG723" s="1894">
        <v>7401.5999999999995</v>
      </c>
      <c r="AH723" s="1894">
        <v>7401.6</v>
      </c>
      <c r="AI723" s="1894">
        <v>0.99860000000000004</v>
      </c>
      <c r="AJ723" s="1894">
        <v>87.77</v>
      </c>
      <c r="AK723" s="1894">
        <v>4833540</v>
      </c>
      <c r="AL723" s="1894">
        <f t="shared" si="357"/>
        <v>3304074</v>
      </c>
      <c r="AM723" s="1894">
        <f t="shared" si="358"/>
        <v>1529466</v>
      </c>
      <c r="AN723" s="1894">
        <v>8000</v>
      </c>
      <c r="AO723" s="1894">
        <v>7286.4</v>
      </c>
      <c r="AP723" s="1894">
        <v>7286.4</v>
      </c>
      <c r="AQ723" s="1894">
        <v>0.99850000000000005</v>
      </c>
      <c r="AR723" s="1894">
        <v>85.17</v>
      </c>
      <c r="AS723" s="1894">
        <v>4617360</v>
      </c>
      <c r="AT723" s="1894">
        <f t="shared" si="359"/>
        <v>3252649</v>
      </c>
      <c r="AU723" s="1894">
        <f t="shared" si="360"/>
        <v>1364711</v>
      </c>
      <c r="AV723" s="1894">
        <v>8000</v>
      </c>
      <c r="AW723" s="1894">
        <v>7343.9999999999991</v>
      </c>
      <c r="AX723" s="1894">
        <v>7344</v>
      </c>
      <c r="AY723" s="1894">
        <v>0.99650000000000005</v>
      </c>
      <c r="AZ723" s="1894">
        <v>88.31</v>
      </c>
      <c r="BA723" s="1894">
        <v>4669740</v>
      </c>
      <c r="BB723" s="1894">
        <f t="shared" si="361"/>
        <v>3172608</v>
      </c>
      <c r="BC723" s="1894">
        <f t="shared" si="362"/>
        <v>1497132</v>
      </c>
      <c r="BD723" s="1894">
        <v>16000</v>
      </c>
      <c r="BE723" s="1894">
        <v>13680</v>
      </c>
      <c r="BF723" s="1894">
        <v>13680</v>
      </c>
      <c r="BG723" s="1894">
        <v>0.9929</v>
      </c>
      <c r="BH723" s="1894">
        <v>77.06</v>
      </c>
      <c r="BI723" s="1894">
        <v>7843320</v>
      </c>
      <c r="BJ723" s="1894">
        <f t="shared" si="363"/>
        <v>6106752</v>
      </c>
      <c r="BK723" s="1894">
        <f t="shared" si="364"/>
        <v>1736568</v>
      </c>
      <c r="BL723" s="1894">
        <v>16000</v>
      </c>
      <c r="BM723" s="1894">
        <v>13176</v>
      </c>
      <c r="BN723" s="1894">
        <v>13176</v>
      </c>
      <c r="BO723" s="1894">
        <v>0.99909999999999999</v>
      </c>
      <c r="BP723" s="1894">
        <v>87.09</v>
      </c>
      <c r="BQ723" s="1894">
        <v>8261640</v>
      </c>
      <c r="BR723" s="1894">
        <f t="shared" si="365"/>
        <v>5692032</v>
      </c>
      <c r="BS723" s="1894">
        <f t="shared" si="366"/>
        <v>2569608</v>
      </c>
      <c r="BT723" s="1894">
        <v>16000</v>
      </c>
      <c r="BU723" s="1894">
        <v>14112.000000000002</v>
      </c>
      <c r="BV723" s="1894">
        <v>14112</v>
      </c>
      <c r="BW723" s="1894">
        <v>0.99919999999999998</v>
      </c>
      <c r="BX723" s="1894">
        <v>90.93</v>
      </c>
      <c r="BY723" s="1894">
        <v>9546660</v>
      </c>
      <c r="BZ723" s="1894">
        <f t="shared" si="367"/>
        <v>6299597</v>
      </c>
      <c r="CA723" s="1894">
        <f t="shared" si="368"/>
        <v>3247063</v>
      </c>
      <c r="CB723" s="1894">
        <v>16000</v>
      </c>
      <c r="CC723" s="1894">
        <v>13967.999999999998</v>
      </c>
      <c r="CD723" s="1894">
        <v>13968</v>
      </c>
      <c r="CE723" s="1894">
        <v>0.99560000000000004</v>
      </c>
      <c r="CF723" s="1894">
        <v>89.97</v>
      </c>
      <c r="CG723" s="1894">
        <v>9349560</v>
      </c>
      <c r="CH723" s="1894">
        <f t="shared" si="369"/>
        <v>6235315</v>
      </c>
      <c r="CI723" s="1894">
        <f t="shared" si="370"/>
        <v>3114245</v>
      </c>
      <c r="CJ723" s="1894">
        <v>16000</v>
      </c>
      <c r="CK723" s="1894">
        <v>13967.999999999998</v>
      </c>
      <c r="CL723" s="1894">
        <v>13968</v>
      </c>
      <c r="CM723" s="1894">
        <v>0.99560000000000004</v>
      </c>
      <c r="CN723" s="1894">
        <v>86.07</v>
      </c>
      <c r="CO723" s="1894">
        <v>8079300</v>
      </c>
      <c r="CP723" s="1894">
        <f t="shared" si="371"/>
        <v>5631898</v>
      </c>
      <c r="CQ723" s="1894">
        <f t="shared" si="372"/>
        <v>2447402</v>
      </c>
      <c r="CR723" s="1924">
        <v>16000</v>
      </c>
      <c r="CS723" s="1924">
        <v>13896</v>
      </c>
      <c r="CT723" s="1924">
        <v>13896</v>
      </c>
      <c r="CU723" s="1924">
        <v>0.99539999999999995</v>
      </c>
      <c r="CV723" s="1924">
        <v>62.32</v>
      </c>
      <c r="CW723" s="1924">
        <v>6443100</v>
      </c>
      <c r="CX723" s="1894">
        <f t="shared" si="373"/>
        <v>6203174</v>
      </c>
      <c r="CY723" s="1894">
        <f t="shared" si="374"/>
        <v>239926</v>
      </c>
    </row>
    <row r="724" spans="1:103">
      <c r="A724" s="982">
        <v>127000000001</v>
      </c>
      <c r="B724" s="1923">
        <f t="shared" si="375"/>
        <v>26</v>
      </c>
      <c r="C724" s="1895" t="s">
        <v>606</v>
      </c>
      <c r="D724" s="1894" t="s">
        <v>524</v>
      </c>
      <c r="E724" s="1895" t="s">
        <v>602</v>
      </c>
      <c r="F724" s="1894" t="s">
        <v>271</v>
      </c>
      <c r="G724" s="1924">
        <v>16500</v>
      </c>
      <c r="H724" s="1894">
        <v>16500</v>
      </c>
      <c r="I724" s="1894">
        <v>11736</v>
      </c>
      <c r="J724" s="1894">
        <v>13200</v>
      </c>
      <c r="K724" s="1894">
        <v>0.97019999999999995</v>
      </c>
      <c r="L724" s="1894">
        <v>62.75</v>
      </c>
      <c r="M724" s="1894">
        <v>5302680</v>
      </c>
      <c r="N724" s="1894">
        <f t="shared" si="351"/>
        <v>5069952</v>
      </c>
      <c r="O724" s="1894">
        <f t="shared" si="352"/>
        <v>232728</v>
      </c>
      <c r="P724" s="1894">
        <v>16500</v>
      </c>
      <c r="Q724" s="1894">
        <v>15288</v>
      </c>
      <c r="R724" s="1894">
        <v>15288</v>
      </c>
      <c r="S724" s="1894">
        <v>0.96709999999999996</v>
      </c>
      <c r="T724" s="1894">
        <v>44.79</v>
      </c>
      <c r="U724" s="1894">
        <v>5094120</v>
      </c>
      <c r="V724" s="1894">
        <f t="shared" si="353"/>
        <v>6824563</v>
      </c>
      <c r="W724" s="1894">
        <f t="shared" si="354"/>
        <v>0</v>
      </c>
      <c r="X724" s="1894">
        <v>16500</v>
      </c>
      <c r="Y724" s="1894">
        <v>14760</v>
      </c>
      <c r="Z724" s="1894">
        <v>14760</v>
      </c>
      <c r="AA724" s="1894">
        <v>0.96640000000000004</v>
      </c>
      <c r="AB724" s="1894">
        <v>43.17</v>
      </c>
      <c r="AC724" s="1894">
        <v>4588200</v>
      </c>
      <c r="AD724" s="1894">
        <f t="shared" si="355"/>
        <v>6376320</v>
      </c>
      <c r="AE724" s="1894">
        <f t="shared" si="356"/>
        <v>0</v>
      </c>
      <c r="AF724" s="1894">
        <v>16500</v>
      </c>
      <c r="AG724" s="1894">
        <v>17544</v>
      </c>
      <c r="AH724" s="1894">
        <v>17544</v>
      </c>
      <c r="AI724" s="1894">
        <v>0.97099999999999997</v>
      </c>
      <c r="AJ724" s="1894">
        <v>40.69</v>
      </c>
      <c r="AK724" s="1894">
        <v>5310600</v>
      </c>
      <c r="AL724" s="1894">
        <f t="shared" si="357"/>
        <v>7831642</v>
      </c>
      <c r="AM724" s="1894">
        <f t="shared" si="358"/>
        <v>0</v>
      </c>
      <c r="AN724" s="1894">
        <v>16500</v>
      </c>
      <c r="AO724" s="1894">
        <v>16536</v>
      </c>
      <c r="AP724" s="1894">
        <v>16536</v>
      </c>
      <c r="AQ724" s="1894">
        <v>0.97250000000000003</v>
      </c>
      <c r="AR724" s="1894">
        <v>44.8</v>
      </c>
      <c r="AS724" s="1894">
        <v>5511840</v>
      </c>
      <c r="AT724" s="1894">
        <f t="shared" si="359"/>
        <v>7381670</v>
      </c>
      <c r="AU724" s="1894">
        <f t="shared" si="360"/>
        <v>0</v>
      </c>
      <c r="AV724" s="1894">
        <v>16500</v>
      </c>
      <c r="AW724" s="1894">
        <v>16008</v>
      </c>
      <c r="AX724" s="1894">
        <v>16008</v>
      </c>
      <c r="AY724" s="1894">
        <v>0.97360000000000002</v>
      </c>
      <c r="AZ724" s="1894">
        <v>43.45</v>
      </c>
      <c r="BA724" s="1894">
        <v>5008440</v>
      </c>
      <c r="BB724" s="1894">
        <f t="shared" si="361"/>
        <v>6915456</v>
      </c>
      <c r="BC724" s="1894">
        <f t="shared" si="362"/>
        <v>0</v>
      </c>
      <c r="BD724" s="1894">
        <v>16500</v>
      </c>
      <c r="BE724" s="1894">
        <v>16392</v>
      </c>
      <c r="BF724" s="1894">
        <v>16392</v>
      </c>
      <c r="BG724" s="1894">
        <v>0.97560000000000002</v>
      </c>
      <c r="BH724" s="1894">
        <v>42.57</v>
      </c>
      <c r="BI724" s="1894">
        <v>5192280</v>
      </c>
      <c r="BJ724" s="1894">
        <f t="shared" si="363"/>
        <v>7317389</v>
      </c>
      <c r="BK724" s="1894">
        <f t="shared" si="364"/>
        <v>0</v>
      </c>
      <c r="BL724" s="1894">
        <v>16500</v>
      </c>
      <c r="BM724" s="1894">
        <v>20424</v>
      </c>
      <c r="BN724" s="1894">
        <v>20424</v>
      </c>
      <c r="BO724" s="1894">
        <v>0.97599999999999998</v>
      </c>
      <c r="BP724" s="1894">
        <v>34.72</v>
      </c>
      <c r="BQ724" s="1894">
        <v>5105040</v>
      </c>
      <c r="BR724" s="1894">
        <f t="shared" si="365"/>
        <v>8823168</v>
      </c>
      <c r="BS724" s="1894">
        <f t="shared" si="366"/>
        <v>0</v>
      </c>
      <c r="BT724" s="1894">
        <v>16500</v>
      </c>
      <c r="BU724" s="1894">
        <v>17664</v>
      </c>
      <c r="BV724" s="1894">
        <v>17664</v>
      </c>
      <c r="BW724" s="1894">
        <v>0.97829999999999995</v>
      </c>
      <c r="BX724" s="1894">
        <v>40.65</v>
      </c>
      <c r="BY724" s="1894">
        <v>5342520</v>
      </c>
      <c r="BZ724" s="1894">
        <f t="shared" si="367"/>
        <v>7885210</v>
      </c>
      <c r="CA724" s="1894">
        <f t="shared" si="368"/>
        <v>0</v>
      </c>
      <c r="CB724" s="1894">
        <v>16500</v>
      </c>
      <c r="CC724" s="1894">
        <v>14760</v>
      </c>
      <c r="CD724" s="1894">
        <v>14760</v>
      </c>
      <c r="CE724" s="1894">
        <v>0.97550000000000003</v>
      </c>
      <c r="CF724" s="1894">
        <v>47.35</v>
      </c>
      <c r="CG724" s="1894">
        <v>5199600</v>
      </c>
      <c r="CH724" s="1894">
        <f t="shared" si="369"/>
        <v>6588864</v>
      </c>
      <c r="CI724" s="1894">
        <f t="shared" si="370"/>
        <v>0</v>
      </c>
      <c r="CJ724" s="1894">
        <v>16500</v>
      </c>
      <c r="CK724" s="1894">
        <v>20616</v>
      </c>
      <c r="CL724" s="1894">
        <v>20616</v>
      </c>
      <c r="CM724" s="1894">
        <v>0.97709999999999997</v>
      </c>
      <c r="CN724" s="1894">
        <v>37.1</v>
      </c>
      <c r="CO724" s="1894">
        <v>5139960</v>
      </c>
      <c r="CP724" s="1894">
        <f t="shared" si="371"/>
        <v>8312371</v>
      </c>
      <c r="CQ724" s="1894">
        <f t="shared" si="372"/>
        <v>0</v>
      </c>
      <c r="CR724" s="1924">
        <v>16500</v>
      </c>
      <c r="CS724" s="1924">
        <v>16103.999999999998</v>
      </c>
      <c r="CT724" s="1924">
        <v>16104</v>
      </c>
      <c r="CU724" s="1924">
        <v>0.97350000000000003</v>
      </c>
      <c r="CV724" s="1924">
        <v>43.01</v>
      </c>
      <c r="CW724" s="1924">
        <v>5153760</v>
      </c>
      <c r="CX724" s="1894">
        <f t="shared" si="373"/>
        <v>7188826</v>
      </c>
      <c r="CY724" s="1894">
        <f t="shared" si="374"/>
        <v>0</v>
      </c>
    </row>
    <row r="725" spans="1:103">
      <c r="A725" s="982">
        <v>622000000007</v>
      </c>
      <c r="B725" s="1923">
        <f t="shared" si="375"/>
        <v>27</v>
      </c>
      <c r="C725" s="1895" t="s">
        <v>537</v>
      </c>
      <c r="D725" s="1894" t="s">
        <v>524</v>
      </c>
      <c r="E725" s="1895" t="s">
        <v>538</v>
      </c>
      <c r="F725" s="1894" t="s">
        <v>271</v>
      </c>
      <c r="G725" s="1924">
        <v>16667</v>
      </c>
      <c r="H725" s="1894">
        <v>16667</v>
      </c>
      <c r="I725" s="1894">
        <v>54900</v>
      </c>
      <c r="J725" s="1894">
        <v>23967.4</v>
      </c>
      <c r="K725" s="1894">
        <v>0.97640000000000005</v>
      </c>
      <c r="L725" s="1894">
        <v>11.92</v>
      </c>
      <c r="M725" s="1894">
        <v>30055200</v>
      </c>
      <c r="N725" s="1894">
        <f t="shared" si="351"/>
        <v>23716800</v>
      </c>
      <c r="O725" s="1894">
        <f t="shared" si="352"/>
        <v>6338400</v>
      </c>
      <c r="P725" s="1894">
        <v>16667</v>
      </c>
      <c r="Q725" s="1894">
        <v>56025.600000000006</v>
      </c>
      <c r="R725" s="1894">
        <v>17271.8</v>
      </c>
      <c r="S725" s="1894">
        <v>0.97889999999999999</v>
      </c>
      <c r="T725" s="1894">
        <v>19.5</v>
      </c>
      <c r="U725" s="1894">
        <v>36825600</v>
      </c>
      <c r="V725" s="1894">
        <f t="shared" si="353"/>
        <v>25009828</v>
      </c>
      <c r="W725" s="1894">
        <f t="shared" si="354"/>
        <v>11815772</v>
      </c>
      <c r="X725" s="1894">
        <v>16667</v>
      </c>
      <c r="Y725" s="1894">
        <v>58162.8</v>
      </c>
      <c r="Z725" s="1894">
        <v>13333.6</v>
      </c>
      <c r="AA725" s="1894">
        <v>0.98070000000000002</v>
      </c>
      <c r="AB725" s="1894">
        <v>27.94</v>
      </c>
      <c r="AC725" s="1894">
        <v>33685200</v>
      </c>
      <c r="AD725" s="1894">
        <f t="shared" si="355"/>
        <v>25126330</v>
      </c>
      <c r="AE725" s="1894">
        <f t="shared" si="356"/>
        <v>8558870</v>
      </c>
      <c r="AF725" s="1894">
        <v>16667</v>
      </c>
      <c r="AG725" s="1894">
        <v>54375.600000000006</v>
      </c>
      <c r="AH725" s="1894">
        <v>13333.6</v>
      </c>
      <c r="AI725" s="1894">
        <v>0.98299999999999998</v>
      </c>
      <c r="AJ725" s="1894">
        <v>20.67</v>
      </c>
      <c r="AK725" s="1894">
        <v>33411600</v>
      </c>
      <c r="AL725" s="1894">
        <f t="shared" si="357"/>
        <v>24273268</v>
      </c>
      <c r="AM725" s="1894">
        <f t="shared" si="358"/>
        <v>9138332</v>
      </c>
      <c r="AN725" s="1894">
        <v>16667</v>
      </c>
      <c r="AO725" s="1894">
        <v>51825.600000000006</v>
      </c>
      <c r="AP725" s="1894">
        <v>16667</v>
      </c>
      <c r="AQ725" s="1894">
        <v>0.97989999999999999</v>
      </c>
      <c r="AR725" s="1894">
        <v>142.77000000000001</v>
      </c>
      <c r="AS725" s="1894">
        <v>33481200</v>
      </c>
      <c r="AT725" s="1894">
        <f t="shared" si="359"/>
        <v>23134948</v>
      </c>
      <c r="AU725" s="1894">
        <f t="shared" si="360"/>
        <v>10346252</v>
      </c>
      <c r="AV725" s="1894">
        <v>16667</v>
      </c>
      <c r="AW725" s="1894">
        <v>55320</v>
      </c>
      <c r="AX725" s="1894">
        <v>16667</v>
      </c>
      <c r="AY725" s="1894">
        <v>0.98040000000000005</v>
      </c>
      <c r="AZ725" s="1894">
        <v>146.47</v>
      </c>
      <c r="BA725" s="1894">
        <v>33084000</v>
      </c>
      <c r="BB725" s="1894">
        <f t="shared" si="361"/>
        <v>23898240</v>
      </c>
      <c r="BC725" s="1894">
        <f t="shared" si="362"/>
        <v>9185760</v>
      </c>
      <c r="BD725" s="1894">
        <v>16667</v>
      </c>
      <c r="BE725" s="1894">
        <v>56280</v>
      </c>
      <c r="BF725" s="1894">
        <v>16667</v>
      </c>
      <c r="BG725" s="1894">
        <v>0.97740000000000005</v>
      </c>
      <c r="BH725" s="1894">
        <v>159.66</v>
      </c>
      <c r="BI725" s="1894">
        <v>37708800</v>
      </c>
      <c r="BJ725" s="1894">
        <f t="shared" si="363"/>
        <v>25123392</v>
      </c>
      <c r="BK725" s="1894">
        <f t="shared" si="364"/>
        <v>12585408</v>
      </c>
      <c r="BL725" s="1894">
        <v>16667</v>
      </c>
      <c r="BM725" s="1894">
        <v>54960</v>
      </c>
      <c r="BN725" s="1894">
        <v>16667</v>
      </c>
      <c r="BO725" s="1894">
        <v>0.98329999999999995</v>
      </c>
      <c r="BP725" s="1894">
        <v>143.78</v>
      </c>
      <c r="BQ725" s="1894">
        <v>34192200</v>
      </c>
      <c r="BR725" s="1894">
        <f t="shared" si="365"/>
        <v>23742720</v>
      </c>
      <c r="BS725" s="1894">
        <f t="shared" si="366"/>
        <v>10449480</v>
      </c>
      <c r="BT725" s="1894">
        <v>16667</v>
      </c>
      <c r="BU725" s="1894">
        <v>56280</v>
      </c>
      <c r="BV725" s="1894">
        <v>16667</v>
      </c>
      <c r="BW725" s="1894">
        <v>0.98240000000000005</v>
      </c>
      <c r="BX725" s="1894">
        <v>142.12</v>
      </c>
      <c r="BY725" s="1894">
        <v>36706200</v>
      </c>
      <c r="BZ725" s="1894">
        <f t="shared" si="367"/>
        <v>25123392</v>
      </c>
      <c r="CA725" s="1894">
        <f t="shared" si="368"/>
        <v>11582808</v>
      </c>
      <c r="CB725" s="1894">
        <v>16667</v>
      </c>
      <c r="CC725" s="1894">
        <v>56640</v>
      </c>
      <c r="CD725" s="1894">
        <v>16667</v>
      </c>
      <c r="CE725" s="1894">
        <v>0.98370000000000002</v>
      </c>
      <c r="CF725" s="1894">
        <v>129.30000000000001</v>
      </c>
      <c r="CG725" s="1894">
        <v>36567000</v>
      </c>
      <c r="CH725" s="1894">
        <f t="shared" si="369"/>
        <v>25284096</v>
      </c>
      <c r="CI725" s="1894">
        <f t="shared" si="370"/>
        <v>11282904</v>
      </c>
      <c r="CJ725" s="1894">
        <v>16667</v>
      </c>
      <c r="CK725" s="1894">
        <v>54360</v>
      </c>
      <c r="CL725" s="1894">
        <v>25372.3</v>
      </c>
      <c r="CM725" s="1894">
        <v>0.98660000000000003</v>
      </c>
      <c r="CN725" s="1894">
        <v>111.66</v>
      </c>
      <c r="CO725" s="1894">
        <v>31263000</v>
      </c>
      <c r="CP725" s="1894">
        <f t="shared" si="371"/>
        <v>21917952</v>
      </c>
      <c r="CQ725" s="1894">
        <f t="shared" si="372"/>
        <v>9345048</v>
      </c>
      <c r="CR725" s="1924">
        <v>16667</v>
      </c>
      <c r="CS725" s="1924">
        <v>53760</v>
      </c>
      <c r="CT725" s="1924">
        <v>16667</v>
      </c>
      <c r="CU725" s="1924">
        <v>0.98160000000000003</v>
      </c>
      <c r="CV725" s="1924">
        <v>117.35</v>
      </c>
      <c r="CW725" s="1924">
        <v>35326200</v>
      </c>
      <c r="CX725" s="1894">
        <f t="shared" si="373"/>
        <v>23998464</v>
      </c>
      <c r="CY725" s="1894">
        <f t="shared" si="374"/>
        <v>11327736</v>
      </c>
    </row>
    <row r="726" spans="1:103">
      <c r="A726" s="982">
        <v>611000000075</v>
      </c>
      <c r="B726" s="1923">
        <f t="shared" si="375"/>
        <v>28</v>
      </c>
      <c r="C726" s="1895" t="s">
        <v>610</v>
      </c>
      <c r="D726" s="1894" t="s">
        <v>524</v>
      </c>
      <c r="E726" s="1895" t="s">
        <v>602</v>
      </c>
      <c r="F726" s="1894" t="s">
        <v>271</v>
      </c>
      <c r="G726" s="1924">
        <v>17500</v>
      </c>
      <c r="H726" s="1894">
        <v>15500</v>
      </c>
      <c r="I726" s="1894">
        <v>18864</v>
      </c>
      <c r="J726" s="1894">
        <v>18864</v>
      </c>
      <c r="K726" s="1894">
        <v>0.97619999999999996</v>
      </c>
      <c r="L726" s="1894">
        <v>24.94</v>
      </c>
      <c r="M726" s="1894">
        <v>3387120</v>
      </c>
      <c r="N726" s="1894">
        <f t="shared" si="351"/>
        <v>8149248</v>
      </c>
      <c r="O726" s="1894">
        <f t="shared" si="352"/>
        <v>0</v>
      </c>
      <c r="P726" s="1894">
        <v>15500</v>
      </c>
      <c r="Q726" s="1894">
        <v>17472</v>
      </c>
      <c r="R726" s="1894">
        <v>17472</v>
      </c>
      <c r="S726" s="1894">
        <v>0.98080000000000001</v>
      </c>
      <c r="T726" s="1894">
        <v>23.08</v>
      </c>
      <c r="U726" s="1894">
        <v>3000480</v>
      </c>
      <c r="V726" s="1894">
        <f t="shared" si="353"/>
        <v>7799501</v>
      </c>
      <c r="W726" s="1894">
        <f t="shared" si="354"/>
        <v>0</v>
      </c>
      <c r="X726" s="1894">
        <v>15500</v>
      </c>
      <c r="Y726" s="1894">
        <v>12864</v>
      </c>
      <c r="Z726" s="1894">
        <v>12864</v>
      </c>
      <c r="AA726" s="1894">
        <v>0.99050000000000005</v>
      </c>
      <c r="AB726" s="1894">
        <v>20.04</v>
      </c>
      <c r="AC726" s="1894">
        <v>1856400</v>
      </c>
      <c r="AD726" s="1894">
        <f t="shared" si="355"/>
        <v>5557248</v>
      </c>
      <c r="AE726" s="1894">
        <f t="shared" si="356"/>
        <v>0</v>
      </c>
      <c r="AF726" s="1894">
        <v>15500</v>
      </c>
      <c r="AG726" s="1894">
        <v>16944</v>
      </c>
      <c r="AH726" s="1894">
        <v>16944</v>
      </c>
      <c r="AI726" s="1894">
        <v>0.99039999999999995</v>
      </c>
      <c r="AJ726" s="1894">
        <v>17.899999999999999</v>
      </c>
      <c r="AK726" s="1894">
        <v>2256000</v>
      </c>
      <c r="AL726" s="1894">
        <f t="shared" si="357"/>
        <v>7563802</v>
      </c>
      <c r="AM726" s="1894">
        <f t="shared" si="358"/>
        <v>0</v>
      </c>
      <c r="AN726" s="1894">
        <v>15500</v>
      </c>
      <c r="AO726" s="1894">
        <v>14016</v>
      </c>
      <c r="AP726" s="1894">
        <v>14016</v>
      </c>
      <c r="AQ726" s="1894">
        <v>0.98499999999999999</v>
      </c>
      <c r="AR726" s="1894">
        <v>23.43</v>
      </c>
      <c r="AS726" s="1894">
        <v>2443440</v>
      </c>
      <c r="AT726" s="1894">
        <f t="shared" si="359"/>
        <v>6256742</v>
      </c>
      <c r="AU726" s="1894">
        <f t="shared" si="360"/>
        <v>0</v>
      </c>
      <c r="AV726" s="1894">
        <v>15500</v>
      </c>
      <c r="AW726" s="1894">
        <v>14832</v>
      </c>
      <c r="AX726" s="1894">
        <v>14832</v>
      </c>
      <c r="AY726" s="1894">
        <v>0.98929999999999996</v>
      </c>
      <c r="AZ726" s="1894">
        <v>21.83</v>
      </c>
      <c r="BA726" s="1894">
        <v>2331360</v>
      </c>
      <c r="BB726" s="1894">
        <f t="shared" si="361"/>
        <v>6407424</v>
      </c>
      <c r="BC726" s="1894">
        <f t="shared" si="362"/>
        <v>0</v>
      </c>
      <c r="BD726" s="1894">
        <v>17500</v>
      </c>
      <c r="BE726" s="1894">
        <v>12672</v>
      </c>
      <c r="BF726" s="1894">
        <v>14000</v>
      </c>
      <c r="BG726" s="1894">
        <v>0.99070000000000003</v>
      </c>
      <c r="BH726" s="1894">
        <v>24.84</v>
      </c>
      <c r="BI726" s="1894">
        <v>2341680</v>
      </c>
      <c r="BJ726" s="1894">
        <f t="shared" si="363"/>
        <v>5656781</v>
      </c>
      <c r="BK726" s="1894">
        <f t="shared" si="364"/>
        <v>0</v>
      </c>
      <c r="BL726" s="1894">
        <v>17500</v>
      </c>
      <c r="BM726" s="1894">
        <v>17568</v>
      </c>
      <c r="BN726" s="1894">
        <v>17568</v>
      </c>
      <c r="BO726" s="1894">
        <v>0.98760000000000003</v>
      </c>
      <c r="BP726" s="1894">
        <v>19.28</v>
      </c>
      <c r="BQ726" s="1894">
        <v>2520240</v>
      </c>
      <c r="BR726" s="1894">
        <f t="shared" si="365"/>
        <v>7589376</v>
      </c>
      <c r="BS726" s="1894">
        <f t="shared" si="366"/>
        <v>0</v>
      </c>
      <c r="BT726" s="1894">
        <v>17500</v>
      </c>
      <c r="BU726" s="1894">
        <v>17664</v>
      </c>
      <c r="BV726" s="1894">
        <v>17664</v>
      </c>
      <c r="BW726" s="1894">
        <v>0.98099999999999998</v>
      </c>
      <c r="BX726" s="1894">
        <v>19.98</v>
      </c>
      <c r="BY726" s="1894">
        <v>2541360</v>
      </c>
      <c r="BZ726" s="1894">
        <f t="shared" si="367"/>
        <v>7885210</v>
      </c>
      <c r="CA726" s="1894">
        <f t="shared" si="368"/>
        <v>0</v>
      </c>
      <c r="CB726" s="1894">
        <v>17500</v>
      </c>
      <c r="CC726" s="1894">
        <v>13392</v>
      </c>
      <c r="CD726" s="1894">
        <v>14000</v>
      </c>
      <c r="CE726" s="1894">
        <v>0.98770000000000002</v>
      </c>
      <c r="CF726" s="1894">
        <v>25.19</v>
      </c>
      <c r="CG726" s="1894">
        <v>2509920</v>
      </c>
      <c r="CH726" s="1894">
        <f t="shared" si="369"/>
        <v>5978189</v>
      </c>
      <c r="CI726" s="1894">
        <f t="shared" si="370"/>
        <v>0</v>
      </c>
      <c r="CJ726" s="1894">
        <v>17500</v>
      </c>
      <c r="CK726" s="1894">
        <v>14304</v>
      </c>
      <c r="CL726" s="1894">
        <v>14304</v>
      </c>
      <c r="CM726" s="1894">
        <v>0.98350000000000004</v>
      </c>
      <c r="CN726" s="1894">
        <v>25.66</v>
      </c>
      <c r="CO726" s="1894">
        <v>2466960</v>
      </c>
      <c r="CP726" s="1894">
        <f t="shared" si="371"/>
        <v>5767373</v>
      </c>
      <c r="CQ726" s="1894">
        <f t="shared" si="372"/>
        <v>0</v>
      </c>
      <c r="CR726" s="1924">
        <v>17500</v>
      </c>
      <c r="CS726" s="1924">
        <v>15600</v>
      </c>
      <c r="CT726" s="1924">
        <v>15600</v>
      </c>
      <c r="CU726" s="1924">
        <v>0.97419999999999995</v>
      </c>
      <c r="CV726" s="1924">
        <v>25.99</v>
      </c>
      <c r="CW726" s="1924">
        <v>3016800</v>
      </c>
      <c r="CX726" s="1894">
        <f t="shared" si="373"/>
        <v>6963840</v>
      </c>
      <c r="CY726" s="1894">
        <f t="shared" si="374"/>
        <v>0</v>
      </c>
    </row>
    <row r="727" spans="1:103">
      <c r="A727" s="982">
        <v>122000000039</v>
      </c>
      <c r="B727" s="1923">
        <f t="shared" si="375"/>
        <v>29</v>
      </c>
      <c r="C727" s="1895" t="s">
        <v>604</v>
      </c>
      <c r="D727" s="1894" t="s">
        <v>524</v>
      </c>
      <c r="E727" s="1895" t="s">
        <v>602</v>
      </c>
      <c r="F727" s="1894" t="s">
        <v>271</v>
      </c>
      <c r="G727" s="1924">
        <v>18000</v>
      </c>
      <c r="H727" s="1894">
        <v>18000</v>
      </c>
      <c r="I727" s="1894">
        <v>18120</v>
      </c>
      <c r="J727" s="1894">
        <v>18120</v>
      </c>
      <c r="K727" s="1894">
        <v>0.96130000000000004</v>
      </c>
      <c r="L727" s="1894">
        <v>42.75</v>
      </c>
      <c r="M727" s="1894">
        <v>5577880</v>
      </c>
      <c r="N727" s="1894">
        <f t="shared" si="351"/>
        <v>7827840</v>
      </c>
      <c r="O727" s="1894">
        <f t="shared" si="352"/>
        <v>0</v>
      </c>
      <c r="P727" s="1894">
        <v>18000</v>
      </c>
      <c r="Q727" s="1894">
        <v>17320</v>
      </c>
      <c r="R727" s="1894">
        <v>17320</v>
      </c>
      <c r="S727" s="1894">
        <v>0.96</v>
      </c>
      <c r="T727" s="1894">
        <v>42.08</v>
      </c>
      <c r="U727" s="1894">
        <v>5422370</v>
      </c>
      <c r="V727" s="1894">
        <f t="shared" si="353"/>
        <v>7731648</v>
      </c>
      <c r="W727" s="1894">
        <f t="shared" si="354"/>
        <v>0</v>
      </c>
      <c r="X727" s="1894">
        <v>18000</v>
      </c>
      <c r="Y727" s="1894">
        <v>16280.000000000002</v>
      </c>
      <c r="Z727" s="1894">
        <v>16280</v>
      </c>
      <c r="AA727" s="1894">
        <v>0.96050000000000002</v>
      </c>
      <c r="AB727" s="1894">
        <v>43.15</v>
      </c>
      <c r="AC727" s="1894">
        <v>5058290</v>
      </c>
      <c r="AD727" s="1894">
        <f t="shared" si="355"/>
        <v>7032960</v>
      </c>
      <c r="AE727" s="1894">
        <f t="shared" si="356"/>
        <v>0</v>
      </c>
      <c r="AF727" s="1894">
        <v>18000</v>
      </c>
      <c r="AG727" s="1894">
        <v>15120</v>
      </c>
      <c r="AH727" s="1894">
        <v>15120</v>
      </c>
      <c r="AI727" s="1894">
        <v>0.96599999999999997</v>
      </c>
      <c r="AJ727" s="1894">
        <v>48.49</v>
      </c>
      <c r="AK727" s="1894">
        <v>5455190</v>
      </c>
      <c r="AL727" s="1894">
        <f t="shared" si="357"/>
        <v>6749568</v>
      </c>
      <c r="AM727" s="1894">
        <f t="shared" si="358"/>
        <v>0</v>
      </c>
      <c r="AN727" s="1894">
        <v>18000</v>
      </c>
      <c r="AO727" s="1894">
        <v>16520</v>
      </c>
      <c r="AP727" s="1894">
        <v>16520</v>
      </c>
      <c r="AQ727" s="1894">
        <v>0.96989999999999998</v>
      </c>
      <c r="AR727" s="1894">
        <v>47.61</v>
      </c>
      <c r="AS727" s="1894">
        <v>5851330</v>
      </c>
      <c r="AT727" s="1894">
        <f t="shared" si="359"/>
        <v>7374528</v>
      </c>
      <c r="AU727" s="1894">
        <f t="shared" si="360"/>
        <v>0</v>
      </c>
      <c r="AV727" s="1894">
        <v>18000</v>
      </c>
      <c r="AW727" s="1894">
        <v>15680</v>
      </c>
      <c r="AX727" s="1894">
        <v>15680</v>
      </c>
      <c r="AY727" s="1894">
        <v>0.97109999999999996</v>
      </c>
      <c r="AZ727" s="1894">
        <v>47.49</v>
      </c>
      <c r="BA727" s="1894">
        <v>5361240</v>
      </c>
      <c r="BB727" s="1894">
        <f t="shared" si="361"/>
        <v>6773760</v>
      </c>
      <c r="BC727" s="1894">
        <f t="shared" si="362"/>
        <v>0</v>
      </c>
      <c r="BD727" s="1894">
        <v>18000</v>
      </c>
      <c r="BE727" s="1894">
        <v>17640</v>
      </c>
      <c r="BF727" s="1894">
        <v>17640</v>
      </c>
      <c r="BG727" s="1894">
        <v>0.97489999999999999</v>
      </c>
      <c r="BH727" s="1894">
        <v>43.35</v>
      </c>
      <c r="BI727" s="1894">
        <v>5689890</v>
      </c>
      <c r="BJ727" s="1894">
        <f t="shared" si="363"/>
        <v>7874496</v>
      </c>
      <c r="BK727" s="1894">
        <f t="shared" si="364"/>
        <v>0</v>
      </c>
      <c r="BL727" s="1894">
        <v>18000</v>
      </c>
      <c r="BM727" s="1894">
        <v>18520</v>
      </c>
      <c r="BN727" s="1894">
        <v>18520</v>
      </c>
      <c r="BO727" s="1894">
        <v>0.97389999999999999</v>
      </c>
      <c r="BP727" s="1894">
        <v>41.29</v>
      </c>
      <c r="BQ727" s="1894">
        <v>5505990</v>
      </c>
      <c r="BR727" s="1894">
        <f t="shared" si="365"/>
        <v>8000640</v>
      </c>
      <c r="BS727" s="1894">
        <f t="shared" si="366"/>
        <v>0</v>
      </c>
      <c r="BT727" s="1894">
        <v>18000</v>
      </c>
      <c r="BU727" s="1894">
        <v>19640</v>
      </c>
      <c r="BV727" s="1894">
        <v>19640</v>
      </c>
      <c r="BW727" s="1894">
        <v>0.9758</v>
      </c>
      <c r="BX727" s="1894">
        <v>38.380000000000003</v>
      </c>
      <c r="BY727" s="1894">
        <v>5608680</v>
      </c>
      <c r="BZ727" s="1894">
        <f t="shared" si="367"/>
        <v>8767296</v>
      </c>
      <c r="CA727" s="1894">
        <f t="shared" si="368"/>
        <v>0</v>
      </c>
      <c r="CB727" s="1894">
        <v>18000</v>
      </c>
      <c r="CC727" s="1894">
        <v>16120.000000000002</v>
      </c>
      <c r="CD727" s="1894">
        <v>16120</v>
      </c>
      <c r="CE727" s="1894">
        <v>0.97319999999999995</v>
      </c>
      <c r="CF727" s="1894">
        <v>46.46</v>
      </c>
      <c r="CG727" s="1894">
        <v>5572400</v>
      </c>
      <c r="CH727" s="1894">
        <f t="shared" si="369"/>
        <v>7195968</v>
      </c>
      <c r="CI727" s="1894">
        <f t="shared" si="370"/>
        <v>0</v>
      </c>
      <c r="CJ727" s="1894">
        <v>18000</v>
      </c>
      <c r="CK727" s="1894">
        <v>18040</v>
      </c>
      <c r="CL727" s="1894">
        <v>18040</v>
      </c>
      <c r="CM727" s="1894">
        <v>0.97209999999999996</v>
      </c>
      <c r="CN727" s="1894">
        <v>43.7</v>
      </c>
      <c r="CO727" s="1894">
        <v>5298150</v>
      </c>
      <c r="CP727" s="1894">
        <f t="shared" si="371"/>
        <v>7273728</v>
      </c>
      <c r="CQ727" s="1894">
        <f t="shared" si="372"/>
        <v>0</v>
      </c>
      <c r="CR727" s="1924">
        <v>18000</v>
      </c>
      <c r="CS727" s="1924">
        <v>16160</v>
      </c>
      <c r="CT727" s="1924">
        <v>16160</v>
      </c>
      <c r="CU727" s="1924">
        <v>0.97119999999999995</v>
      </c>
      <c r="CV727" s="1924">
        <v>47.08</v>
      </c>
      <c r="CW727" s="1924">
        <v>5660000</v>
      </c>
      <c r="CX727" s="1894">
        <f t="shared" si="373"/>
        <v>7213824</v>
      </c>
      <c r="CY727" s="1894">
        <f t="shared" si="374"/>
        <v>0</v>
      </c>
    </row>
    <row r="728" spans="1:103">
      <c r="A728" s="982">
        <v>611000000035</v>
      </c>
      <c r="B728" s="1923">
        <f t="shared" si="375"/>
        <v>30</v>
      </c>
      <c r="C728" s="1895" t="s">
        <v>546</v>
      </c>
      <c r="D728" s="1894" t="s">
        <v>524</v>
      </c>
      <c r="E728" s="1895" t="s">
        <v>541</v>
      </c>
      <c r="F728" s="1894" t="s">
        <v>271</v>
      </c>
      <c r="G728" s="1924">
        <v>18000</v>
      </c>
      <c r="H728" s="1894">
        <v>18000</v>
      </c>
      <c r="I728" s="1894">
        <v>17448</v>
      </c>
      <c r="J728" s="1894">
        <v>17448</v>
      </c>
      <c r="K728" s="1894">
        <v>0.99139999999999995</v>
      </c>
      <c r="L728" s="1894">
        <v>47.54</v>
      </c>
      <c r="M728" s="1894">
        <v>5972100</v>
      </c>
      <c r="N728" s="1894">
        <f t="shared" si="351"/>
        <v>7537536</v>
      </c>
      <c r="O728" s="1894">
        <f t="shared" si="352"/>
        <v>0</v>
      </c>
      <c r="P728" s="1894">
        <v>18000</v>
      </c>
      <c r="Q728" s="1894">
        <v>21360</v>
      </c>
      <c r="R728" s="1894">
        <v>21360</v>
      </c>
      <c r="S728" s="1894">
        <v>0.99939999999999996</v>
      </c>
      <c r="T728" s="1894">
        <v>79.12</v>
      </c>
      <c r="U728" s="1894">
        <v>12573600</v>
      </c>
      <c r="V728" s="1894">
        <f t="shared" si="353"/>
        <v>9535104</v>
      </c>
      <c r="W728" s="1894">
        <f t="shared" si="354"/>
        <v>3038496</v>
      </c>
      <c r="X728" s="1894">
        <v>18000</v>
      </c>
      <c r="Y728" s="1894">
        <v>35568</v>
      </c>
      <c r="Z728" s="1894">
        <v>18000</v>
      </c>
      <c r="AA728" s="1894">
        <v>0.99980000000000002</v>
      </c>
      <c r="AB728" s="1894">
        <v>180.84</v>
      </c>
      <c r="AC728" s="1894">
        <v>23436600</v>
      </c>
      <c r="AD728" s="1894">
        <f t="shared" si="355"/>
        <v>15365376</v>
      </c>
      <c r="AE728" s="1894">
        <f t="shared" si="356"/>
        <v>8071224</v>
      </c>
      <c r="AF728" s="1894">
        <v>18000</v>
      </c>
      <c r="AG728" s="1894">
        <v>35328</v>
      </c>
      <c r="AH728" s="1894">
        <v>18000</v>
      </c>
      <c r="AI728" s="1894">
        <v>0.99909999999999999</v>
      </c>
      <c r="AJ728" s="1894">
        <v>155.13</v>
      </c>
      <c r="AK728" s="1894">
        <v>20775600</v>
      </c>
      <c r="AL728" s="1894">
        <f t="shared" si="357"/>
        <v>15770419</v>
      </c>
      <c r="AM728" s="1894">
        <f t="shared" si="358"/>
        <v>5005181</v>
      </c>
      <c r="AN728" s="1894">
        <v>18000</v>
      </c>
      <c r="AO728" s="1894">
        <v>33360</v>
      </c>
      <c r="AP728" s="1894">
        <v>18000</v>
      </c>
      <c r="AQ728" s="1894">
        <v>0.99490000000000001</v>
      </c>
      <c r="AR728" s="1894">
        <v>104.45</v>
      </c>
      <c r="AS728" s="1894">
        <v>13987800</v>
      </c>
      <c r="AT728" s="1894">
        <f t="shared" si="359"/>
        <v>14891904</v>
      </c>
      <c r="AU728" s="1894">
        <f t="shared" si="360"/>
        <v>0</v>
      </c>
      <c r="AV728" s="1894">
        <v>18000</v>
      </c>
      <c r="AW728" s="1894">
        <v>35640</v>
      </c>
      <c r="AX728" s="1894">
        <v>18000</v>
      </c>
      <c r="AY728" s="1894">
        <v>0.99960000000000004</v>
      </c>
      <c r="AZ728" s="1894">
        <v>160.72999999999999</v>
      </c>
      <c r="BA728" s="1894">
        <v>20830200</v>
      </c>
      <c r="BB728" s="1894">
        <f t="shared" si="361"/>
        <v>15396480</v>
      </c>
      <c r="BC728" s="1894">
        <f t="shared" si="362"/>
        <v>5433720</v>
      </c>
      <c r="BD728" s="1894">
        <v>18000</v>
      </c>
      <c r="BE728" s="1894">
        <v>43260</v>
      </c>
      <c r="BF728" s="1894">
        <v>25260</v>
      </c>
      <c r="BG728" s="1894">
        <v>0.99990000000000001</v>
      </c>
      <c r="BH728" s="1894">
        <v>192.98</v>
      </c>
      <c r="BI728" s="1894">
        <v>25844400</v>
      </c>
      <c r="BJ728" s="1894">
        <f t="shared" si="363"/>
        <v>19311264</v>
      </c>
      <c r="BK728" s="1894">
        <f t="shared" si="364"/>
        <v>6533136</v>
      </c>
      <c r="BL728" s="1894">
        <v>18000</v>
      </c>
      <c r="BM728" s="1894">
        <v>42060</v>
      </c>
      <c r="BN728" s="1894">
        <v>24060</v>
      </c>
      <c r="BO728" s="1894">
        <v>0.99980000000000002</v>
      </c>
      <c r="BP728" s="1894">
        <v>205.11</v>
      </c>
      <c r="BQ728" s="1894">
        <v>26582100</v>
      </c>
      <c r="BR728" s="1894">
        <f t="shared" si="365"/>
        <v>18169920</v>
      </c>
      <c r="BS728" s="1894">
        <f t="shared" si="366"/>
        <v>8412180</v>
      </c>
      <c r="BT728" s="1894">
        <v>18000</v>
      </c>
      <c r="BU728" s="1894">
        <v>35100</v>
      </c>
      <c r="BV728" s="1894">
        <v>18000</v>
      </c>
      <c r="BW728" s="1894">
        <v>0.99960000000000004</v>
      </c>
      <c r="BX728" s="1894">
        <v>35.28</v>
      </c>
      <c r="BY728" s="1894">
        <v>4725000</v>
      </c>
      <c r="BZ728" s="1894">
        <f t="shared" si="367"/>
        <v>15668640</v>
      </c>
      <c r="CA728" s="1894">
        <f t="shared" si="368"/>
        <v>0</v>
      </c>
      <c r="CB728" s="1894">
        <v>18000</v>
      </c>
      <c r="CC728" s="1894">
        <v>0</v>
      </c>
      <c r="CD728" s="1894">
        <v>14400</v>
      </c>
      <c r="CE728" s="1894">
        <v>0</v>
      </c>
      <c r="CF728" s="1894">
        <v>0</v>
      </c>
      <c r="CG728" s="1894">
        <v>0</v>
      </c>
      <c r="CH728" s="1894">
        <f t="shared" si="369"/>
        <v>0</v>
      </c>
      <c r="CI728" s="1894">
        <f t="shared" si="370"/>
        <v>0</v>
      </c>
      <c r="CJ728" s="1894">
        <v>18000</v>
      </c>
      <c r="CK728" s="1894">
        <v>13800</v>
      </c>
      <c r="CL728" s="1894">
        <v>14400</v>
      </c>
      <c r="CM728" s="1894">
        <v>0.99939999999999996</v>
      </c>
      <c r="CN728" s="1894">
        <v>12.91</v>
      </c>
      <c r="CO728" s="1894">
        <v>1197000</v>
      </c>
      <c r="CP728" s="1894">
        <f t="shared" si="371"/>
        <v>5564160</v>
      </c>
      <c r="CQ728" s="1894">
        <f t="shared" si="372"/>
        <v>0</v>
      </c>
      <c r="CR728" s="1924">
        <v>18000</v>
      </c>
      <c r="CS728" s="1924">
        <v>20352</v>
      </c>
      <c r="CT728" s="1924">
        <v>20352</v>
      </c>
      <c r="CU728" s="1924">
        <v>0.99919999999999998</v>
      </c>
      <c r="CV728" s="1924">
        <v>72.349999999999994</v>
      </c>
      <c r="CW728" s="1924">
        <v>10955400</v>
      </c>
      <c r="CX728" s="1894">
        <f t="shared" si="373"/>
        <v>9085133</v>
      </c>
      <c r="CY728" s="1894">
        <f t="shared" si="374"/>
        <v>1870267</v>
      </c>
    </row>
    <row r="729" spans="1:103">
      <c r="A729" s="982">
        <v>622000000002</v>
      </c>
      <c r="B729" s="1923">
        <f t="shared" si="375"/>
        <v>31</v>
      </c>
      <c r="C729" s="1895" t="s">
        <v>617</v>
      </c>
      <c r="D729" s="1894" t="s">
        <v>524</v>
      </c>
      <c r="E729" s="1895" t="s">
        <v>602</v>
      </c>
      <c r="F729" s="1894" t="s">
        <v>271</v>
      </c>
      <c r="G729" s="1924">
        <v>19000</v>
      </c>
      <c r="H729" s="1894">
        <v>19000</v>
      </c>
      <c r="I729" s="1894">
        <v>18960</v>
      </c>
      <c r="J729" s="1894">
        <v>18960</v>
      </c>
      <c r="K729" s="1894">
        <v>0.97570000000000001</v>
      </c>
      <c r="L729" s="1894">
        <v>42.49</v>
      </c>
      <c r="M729" s="1894">
        <v>5800800</v>
      </c>
      <c r="N729" s="1894">
        <f t="shared" si="351"/>
        <v>8190720</v>
      </c>
      <c r="O729" s="1894">
        <f t="shared" si="352"/>
        <v>0</v>
      </c>
      <c r="P729" s="1894">
        <v>19000</v>
      </c>
      <c r="Q729" s="1894">
        <v>19440</v>
      </c>
      <c r="R729" s="1894">
        <v>19440</v>
      </c>
      <c r="S729" s="1894">
        <v>0.97650000000000003</v>
      </c>
      <c r="T729" s="1894">
        <v>42.77</v>
      </c>
      <c r="U729" s="1894">
        <v>6186000</v>
      </c>
      <c r="V729" s="1894">
        <f t="shared" si="353"/>
        <v>8678016</v>
      </c>
      <c r="W729" s="1894">
        <f t="shared" si="354"/>
        <v>0</v>
      </c>
      <c r="X729" s="1894">
        <v>19000</v>
      </c>
      <c r="Y729" s="1894">
        <v>17184</v>
      </c>
      <c r="Z729" s="1894">
        <v>17184</v>
      </c>
      <c r="AA729" s="1894">
        <v>0.98399999999999999</v>
      </c>
      <c r="AB729" s="1894">
        <v>41.18</v>
      </c>
      <c r="AC729" s="1894">
        <v>5094720</v>
      </c>
      <c r="AD729" s="1894">
        <f t="shared" si="355"/>
        <v>7423488</v>
      </c>
      <c r="AE729" s="1894">
        <f t="shared" si="356"/>
        <v>0</v>
      </c>
      <c r="AF729" s="1894">
        <v>19000</v>
      </c>
      <c r="AG729" s="1894">
        <v>19296</v>
      </c>
      <c r="AH729" s="1894">
        <v>19296</v>
      </c>
      <c r="AI729" s="1894">
        <v>0.97689999999999999</v>
      </c>
      <c r="AJ729" s="1894">
        <v>39.68</v>
      </c>
      <c r="AK729" s="1894">
        <v>5696160</v>
      </c>
      <c r="AL729" s="1894">
        <f t="shared" si="357"/>
        <v>8613734</v>
      </c>
      <c r="AM729" s="1894">
        <f t="shared" si="358"/>
        <v>0</v>
      </c>
      <c r="AN729" s="1894">
        <v>19000</v>
      </c>
      <c r="AO729" s="1894">
        <v>20256</v>
      </c>
      <c r="AP729" s="1894">
        <v>20256</v>
      </c>
      <c r="AQ729" s="1894">
        <v>0.97699999999999998</v>
      </c>
      <c r="AR729" s="1894">
        <v>37.729999999999997</v>
      </c>
      <c r="AS729" s="1894">
        <v>5685360</v>
      </c>
      <c r="AT729" s="1894">
        <f t="shared" si="359"/>
        <v>9042278</v>
      </c>
      <c r="AU729" s="1894">
        <f t="shared" si="360"/>
        <v>0</v>
      </c>
      <c r="AV729" s="1894">
        <v>19000</v>
      </c>
      <c r="AW729" s="1894">
        <v>19824</v>
      </c>
      <c r="AX729" s="1894">
        <v>19824</v>
      </c>
      <c r="AY729" s="1894">
        <v>0.98270000000000002</v>
      </c>
      <c r="AZ729" s="1894">
        <v>37.229999999999997</v>
      </c>
      <c r="BA729" s="1894">
        <v>5314080</v>
      </c>
      <c r="BB729" s="1894">
        <f t="shared" si="361"/>
        <v>8563968</v>
      </c>
      <c r="BC729" s="1894">
        <f t="shared" si="362"/>
        <v>0</v>
      </c>
      <c r="BD729" s="1894">
        <v>19000</v>
      </c>
      <c r="BE729" s="1894">
        <v>16608</v>
      </c>
      <c r="BF729" s="1894">
        <v>16608</v>
      </c>
      <c r="BG729" s="1894">
        <v>0.98319999999999996</v>
      </c>
      <c r="BH729" s="1894">
        <v>21.56</v>
      </c>
      <c r="BI729" s="1894">
        <v>2664480</v>
      </c>
      <c r="BJ729" s="1894">
        <f t="shared" si="363"/>
        <v>7413811</v>
      </c>
      <c r="BK729" s="1894">
        <f t="shared" si="364"/>
        <v>0</v>
      </c>
      <c r="BL729" s="1894">
        <v>19000</v>
      </c>
      <c r="BM729" s="1894">
        <v>19056</v>
      </c>
      <c r="BN729" s="1894">
        <v>19056</v>
      </c>
      <c r="BO729" s="1894">
        <v>0.97809999999999997</v>
      </c>
      <c r="BP729" s="1894">
        <v>19.22</v>
      </c>
      <c r="BQ729" s="1894">
        <v>2637600</v>
      </c>
      <c r="BR729" s="1894">
        <f t="shared" si="365"/>
        <v>8232192</v>
      </c>
      <c r="BS729" s="1894">
        <f t="shared" si="366"/>
        <v>0</v>
      </c>
      <c r="BT729" s="1894">
        <v>19000</v>
      </c>
      <c r="BU729" s="1894">
        <v>10848</v>
      </c>
      <c r="BV729" s="1894">
        <v>15200</v>
      </c>
      <c r="BW729" s="1894">
        <v>0.98040000000000005</v>
      </c>
      <c r="BX729" s="1894">
        <v>32.25</v>
      </c>
      <c r="BY729" s="1894">
        <v>2602560</v>
      </c>
      <c r="BZ729" s="1894">
        <f t="shared" si="367"/>
        <v>4842547</v>
      </c>
      <c r="CA729" s="1894">
        <f t="shared" si="368"/>
        <v>0</v>
      </c>
      <c r="CB729" s="1894">
        <v>19000</v>
      </c>
      <c r="CC729" s="1894">
        <v>11712</v>
      </c>
      <c r="CD729" s="1894">
        <v>15200</v>
      </c>
      <c r="CE729" s="1894">
        <v>0.97860000000000003</v>
      </c>
      <c r="CF729" s="1894">
        <v>28.55</v>
      </c>
      <c r="CG729" s="1894">
        <v>2487840</v>
      </c>
      <c r="CH729" s="1894">
        <f t="shared" si="369"/>
        <v>5228237</v>
      </c>
      <c r="CI729" s="1894">
        <f t="shared" si="370"/>
        <v>0</v>
      </c>
      <c r="CJ729" s="1894">
        <v>19000</v>
      </c>
      <c r="CK729" s="1894">
        <v>20208</v>
      </c>
      <c r="CL729" s="1894">
        <v>20208</v>
      </c>
      <c r="CM729" s="1894">
        <v>0.98050000000000004</v>
      </c>
      <c r="CN729" s="1894">
        <v>17.5</v>
      </c>
      <c r="CO729" s="1894">
        <v>2376960</v>
      </c>
      <c r="CP729" s="1894">
        <f t="shared" si="371"/>
        <v>8147866</v>
      </c>
      <c r="CQ729" s="1894">
        <f t="shared" si="372"/>
        <v>0</v>
      </c>
      <c r="CR729" s="1924">
        <v>19000</v>
      </c>
      <c r="CS729" s="1924">
        <v>12816</v>
      </c>
      <c r="CT729" s="1924">
        <v>15200</v>
      </c>
      <c r="CU729" s="1924">
        <v>0.97960000000000003</v>
      </c>
      <c r="CV729" s="1924">
        <v>28.08</v>
      </c>
      <c r="CW729" s="1924">
        <v>2677680</v>
      </c>
      <c r="CX729" s="1894">
        <f t="shared" si="373"/>
        <v>5721062</v>
      </c>
      <c r="CY729" s="1894">
        <f t="shared" si="374"/>
        <v>0</v>
      </c>
    </row>
    <row r="730" spans="1:103">
      <c r="A730" s="982">
        <v>622000000159</v>
      </c>
      <c r="B730" s="1923">
        <f t="shared" si="375"/>
        <v>32</v>
      </c>
      <c r="C730" s="1895" t="s">
        <v>3528</v>
      </c>
      <c r="D730" s="1894" t="s">
        <v>524</v>
      </c>
      <c r="E730" s="1895" t="s">
        <v>602</v>
      </c>
      <c r="F730" s="1894" t="s">
        <v>271</v>
      </c>
      <c r="G730" s="1924">
        <v>19000</v>
      </c>
      <c r="H730" s="1894">
        <v>19000</v>
      </c>
      <c r="I730" s="1894">
        <v>16992</v>
      </c>
      <c r="J730" s="1894">
        <v>16992</v>
      </c>
      <c r="K730" s="1894">
        <v>0.98660000000000003</v>
      </c>
      <c r="L730" s="1894">
        <v>37.08</v>
      </c>
      <c r="M730" s="1894">
        <v>4536720</v>
      </c>
      <c r="N730" s="1894">
        <f t="shared" si="351"/>
        <v>7340544</v>
      </c>
      <c r="O730" s="1894">
        <f t="shared" si="352"/>
        <v>0</v>
      </c>
      <c r="P730" s="1894">
        <v>19000</v>
      </c>
      <c r="Q730" s="1894">
        <v>18432</v>
      </c>
      <c r="R730" s="1894">
        <v>18432</v>
      </c>
      <c r="S730" s="1894">
        <v>0.98529999999999995</v>
      </c>
      <c r="T730" s="1894">
        <v>33.85</v>
      </c>
      <c r="U730" s="1894">
        <v>4641840</v>
      </c>
      <c r="V730" s="1894">
        <f t="shared" si="353"/>
        <v>8228045</v>
      </c>
      <c r="W730" s="1894">
        <f t="shared" si="354"/>
        <v>0</v>
      </c>
      <c r="X730" s="1894">
        <v>19000</v>
      </c>
      <c r="Y730" s="1894">
        <v>18336</v>
      </c>
      <c r="Z730" s="1894">
        <v>18336</v>
      </c>
      <c r="AA730" s="1894">
        <v>0.9919</v>
      </c>
      <c r="AB730" s="1894">
        <v>29.96</v>
      </c>
      <c r="AC730" s="1894">
        <v>3955200</v>
      </c>
      <c r="AD730" s="1894">
        <f t="shared" si="355"/>
        <v>7921152</v>
      </c>
      <c r="AE730" s="1894">
        <f t="shared" si="356"/>
        <v>0</v>
      </c>
      <c r="AF730" s="1894">
        <v>19000</v>
      </c>
      <c r="AG730" s="1894">
        <v>19488</v>
      </c>
      <c r="AH730" s="1894">
        <v>19488</v>
      </c>
      <c r="AI730" s="1894">
        <v>0.98839999999999995</v>
      </c>
      <c r="AJ730" s="1894">
        <v>32.1</v>
      </c>
      <c r="AK730" s="1894">
        <v>4654320</v>
      </c>
      <c r="AL730" s="1894">
        <f t="shared" si="357"/>
        <v>8699443</v>
      </c>
      <c r="AM730" s="1894">
        <f t="shared" si="358"/>
        <v>0</v>
      </c>
      <c r="AN730" s="1894">
        <v>19000</v>
      </c>
      <c r="AO730" s="1894">
        <v>19440</v>
      </c>
      <c r="AP730" s="1894">
        <v>19440</v>
      </c>
      <c r="AQ730" s="1894">
        <v>0.98119999999999996</v>
      </c>
      <c r="AR730" s="1894">
        <v>35.57</v>
      </c>
      <c r="AS730" s="1894">
        <v>5144160</v>
      </c>
      <c r="AT730" s="1894">
        <f t="shared" si="359"/>
        <v>8678016</v>
      </c>
      <c r="AU730" s="1894">
        <f t="shared" si="360"/>
        <v>0</v>
      </c>
      <c r="AV730" s="1894">
        <v>19000</v>
      </c>
      <c r="AW730" s="1894">
        <v>20736</v>
      </c>
      <c r="AX730" s="1894">
        <v>20736</v>
      </c>
      <c r="AY730" s="1894">
        <v>0.98980000000000001</v>
      </c>
      <c r="AZ730" s="1894">
        <v>29.62</v>
      </c>
      <c r="BA730" s="1894">
        <v>4421520</v>
      </c>
      <c r="BB730" s="1894">
        <f t="shared" si="361"/>
        <v>8957952</v>
      </c>
      <c r="BC730" s="1894">
        <f t="shared" si="362"/>
        <v>0</v>
      </c>
      <c r="BD730" s="1894">
        <v>19000</v>
      </c>
      <c r="BE730" s="1894">
        <v>20736</v>
      </c>
      <c r="BF730" s="1894">
        <v>20736</v>
      </c>
      <c r="BG730" s="1894">
        <v>0.98380000000000001</v>
      </c>
      <c r="BH730" s="1894">
        <v>34.33</v>
      </c>
      <c r="BI730" s="1894">
        <v>5295840</v>
      </c>
      <c r="BJ730" s="1894">
        <f t="shared" si="363"/>
        <v>9256550</v>
      </c>
      <c r="BK730" s="1894">
        <f t="shared" si="364"/>
        <v>0</v>
      </c>
      <c r="BL730" s="1894">
        <v>19000</v>
      </c>
      <c r="BM730" s="1894">
        <v>19200</v>
      </c>
      <c r="BN730" s="1894">
        <v>19200</v>
      </c>
      <c r="BO730" s="1894">
        <v>0.9768</v>
      </c>
      <c r="BP730" s="1894">
        <v>35.49</v>
      </c>
      <c r="BQ730" s="1894">
        <v>4905600</v>
      </c>
      <c r="BR730" s="1894">
        <f t="shared" si="365"/>
        <v>8294400</v>
      </c>
      <c r="BS730" s="1894">
        <f t="shared" si="366"/>
        <v>0</v>
      </c>
      <c r="BT730" s="1894">
        <v>19000</v>
      </c>
      <c r="BU730" s="1894">
        <v>20544</v>
      </c>
      <c r="BV730" s="1894">
        <v>20544</v>
      </c>
      <c r="BW730" s="1894">
        <v>0.98440000000000005</v>
      </c>
      <c r="BX730" s="1894">
        <v>30.12</v>
      </c>
      <c r="BY730" s="1894">
        <v>4603680</v>
      </c>
      <c r="BZ730" s="1894">
        <f t="shared" si="367"/>
        <v>9170842</v>
      </c>
      <c r="CA730" s="1894">
        <f t="shared" si="368"/>
        <v>0</v>
      </c>
      <c r="CB730" s="1894">
        <v>19000</v>
      </c>
      <c r="CC730" s="1894">
        <v>18864</v>
      </c>
      <c r="CD730" s="1894">
        <v>18864</v>
      </c>
      <c r="CE730" s="1894">
        <v>0.98729999999999996</v>
      </c>
      <c r="CF730" s="1894">
        <v>31.55</v>
      </c>
      <c r="CG730" s="1894">
        <v>4428480</v>
      </c>
      <c r="CH730" s="1894">
        <f t="shared" si="369"/>
        <v>8420890</v>
      </c>
      <c r="CI730" s="1894">
        <f t="shared" si="370"/>
        <v>0</v>
      </c>
      <c r="CJ730" s="1894">
        <v>19000</v>
      </c>
      <c r="CK730" s="1894">
        <v>19248</v>
      </c>
      <c r="CL730" s="1894">
        <v>19248</v>
      </c>
      <c r="CM730" s="1894">
        <v>0.98729999999999996</v>
      </c>
      <c r="CN730" s="1894">
        <v>31.44</v>
      </c>
      <c r="CO730" s="1894">
        <v>4067040</v>
      </c>
      <c r="CP730" s="1894">
        <f t="shared" si="371"/>
        <v>7760794</v>
      </c>
      <c r="CQ730" s="1894">
        <f t="shared" si="372"/>
        <v>0</v>
      </c>
      <c r="CR730" s="1924">
        <v>19000</v>
      </c>
      <c r="CS730" s="1924">
        <v>18672</v>
      </c>
      <c r="CT730" s="1924">
        <v>18672</v>
      </c>
      <c r="CU730" s="1924">
        <v>0.98419999999999996</v>
      </c>
      <c r="CV730" s="1924">
        <v>35.51</v>
      </c>
      <c r="CW730" s="1924">
        <v>4933200</v>
      </c>
      <c r="CX730" s="1894">
        <f t="shared" si="373"/>
        <v>8335181</v>
      </c>
      <c r="CY730" s="1894">
        <f t="shared" si="374"/>
        <v>0</v>
      </c>
    </row>
    <row r="731" spans="1:103">
      <c r="A731" s="982">
        <v>121000000021</v>
      </c>
      <c r="B731" s="1923">
        <f t="shared" si="375"/>
        <v>33</v>
      </c>
      <c r="C731" s="1895" t="s">
        <v>531</v>
      </c>
      <c r="D731" s="1894" t="s">
        <v>524</v>
      </c>
      <c r="E731" s="1895" t="s">
        <v>532</v>
      </c>
      <c r="F731" s="1894" t="s">
        <v>271</v>
      </c>
      <c r="G731" s="1924">
        <v>20000</v>
      </c>
      <c r="H731" s="1894">
        <v>20000</v>
      </c>
      <c r="I731" s="1894">
        <v>18750</v>
      </c>
      <c r="J731" s="1894">
        <v>18750</v>
      </c>
      <c r="K731" s="1894">
        <v>0.99880000000000002</v>
      </c>
      <c r="L731" s="1894">
        <v>60.11</v>
      </c>
      <c r="M731" s="1894">
        <v>8115000</v>
      </c>
      <c r="N731" s="1894">
        <f t="shared" si="351"/>
        <v>8100000</v>
      </c>
      <c r="O731" s="1894">
        <f t="shared" si="352"/>
        <v>15000</v>
      </c>
      <c r="P731" s="1894">
        <v>20000</v>
      </c>
      <c r="Q731" s="1894">
        <v>19875</v>
      </c>
      <c r="R731" s="1894">
        <v>19875</v>
      </c>
      <c r="S731" s="1894">
        <v>1</v>
      </c>
      <c r="T731" s="1894">
        <v>54.39</v>
      </c>
      <c r="U731" s="1894">
        <v>8299000</v>
      </c>
      <c r="V731" s="1894">
        <f t="shared" si="353"/>
        <v>8872200</v>
      </c>
      <c r="W731" s="1894">
        <f t="shared" si="354"/>
        <v>0</v>
      </c>
      <c r="X731" s="1894">
        <v>20000</v>
      </c>
      <c r="Y731" s="1894">
        <v>17437.5</v>
      </c>
      <c r="Z731" s="1894">
        <v>17437.5</v>
      </c>
      <c r="AA731" s="1894">
        <v>1</v>
      </c>
      <c r="AB731" s="1894">
        <v>56.84</v>
      </c>
      <c r="AC731" s="1894">
        <v>7204000</v>
      </c>
      <c r="AD731" s="1894">
        <f t="shared" si="355"/>
        <v>7533000</v>
      </c>
      <c r="AE731" s="1894">
        <f t="shared" si="356"/>
        <v>0</v>
      </c>
      <c r="AF731" s="1894">
        <v>20000</v>
      </c>
      <c r="AG731" s="1894">
        <v>18562.5</v>
      </c>
      <c r="AH731" s="1894">
        <v>17187.5</v>
      </c>
      <c r="AI731" s="1894">
        <v>1</v>
      </c>
      <c r="AJ731" s="1894">
        <v>54.44</v>
      </c>
      <c r="AK731" s="1894">
        <v>7448000</v>
      </c>
      <c r="AL731" s="1894">
        <f t="shared" si="357"/>
        <v>8286300</v>
      </c>
      <c r="AM731" s="1894">
        <f t="shared" si="358"/>
        <v>0</v>
      </c>
      <c r="AN731" s="1894">
        <v>20000</v>
      </c>
      <c r="AO731" s="1894">
        <v>18625</v>
      </c>
      <c r="AP731" s="1894">
        <v>18625</v>
      </c>
      <c r="AQ731" s="1894">
        <v>1</v>
      </c>
      <c r="AR731" s="1894">
        <v>60.15</v>
      </c>
      <c r="AS731" s="1894">
        <v>8503000</v>
      </c>
      <c r="AT731" s="1894">
        <f t="shared" si="359"/>
        <v>8314200</v>
      </c>
      <c r="AU731" s="1894">
        <f t="shared" si="360"/>
        <v>188800</v>
      </c>
      <c r="AV731" s="1894">
        <v>20000</v>
      </c>
      <c r="AW731" s="1894">
        <v>19437.5</v>
      </c>
      <c r="AX731" s="1894">
        <v>19437.5</v>
      </c>
      <c r="AY731" s="1894">
        <v>1</v>
      </c>
      <c r="AZ731" s="1894">
        <v>52.42</v>
      </c>
      <c r="BA731" s="1894">
        <v>7441000</v>
      </c>
      <c r="BB731" s="1894">
        <f t="shared" si="361"/>
        <v>8397000</v>
      </c>
      <c r="BC731" s="1894">
        <f t="shared" si="362"/>
        <v>0</v>
      </c>
      <c r="BD731" s="1894">
        <v>20000</v>
      </c>
      <c r="BE731" s="1894">
        <v>17000</v>
      </c>
      <c r="BF731" s="1894">
        <v>17000</v>
      </c>
      <c r="BG731" s="1894">
        <v>1</v>
      </c>
      <c r="BH731" s="1894">
        <v>52</v>
      </c>
      <c r="BI731" s="1894">
        <v>7219000</v>
      </c>
      <c r="BJ731" s="1894">
        <f t="shared" si="363"/>
        <v>7588800</v>
      </c>
      <c r="BK731" s="1894">
        <f t="shared" si="364"/>
        <v>0</v>
      </c>
      <c r="BL731" s="1894">
        <v>20000</v>
      </c>
      <c r="BM731" s="1894">
        <v>16187.5</v>
      </c>
      <c r="BN731" s="1894">
        <v>16187.5</v>
      </c>
      <c r="BO731" s="1894">
        <v>1</v>
      </c>
      <c r="BP731" s="1894">
        <v>55.81</v>
      </c>
      <c r="BQ731" s="1894">
        <v>6506000</v>
      </c>
      <c r="BR731" s="1894">
        <f t="shared" si="365"/>
        <v>6993000</v>
      </c>
      <c r="BS731" s="1894">
        <f t="shared" si="366"/>
        <v>0</v>
      </c>
      <c r="BT731" s="1894">
        <v>20000</v>
      </c>
      <c r="BU731" s="1894">
        <v>16938</v>
      </c>
      <c r="BV731" s="1894">
        <v>16938</v>
      </c>
      <c r="BW731" s="1894">
        <v>1</v>
      </c>
      <c r="BX731" s="1894">
        <v>53.15</v>
      </c>
      <c r="BY731" s="1894">
        <v>6732000</v>
      </c>
      <c r="BZ731" s="1894">
        <f t="shared" si="367"/>
        <v>7561123</v>
      </c>
      <c r="CA731" s="1894">
        <f t="shared" si="368"/>
        <v>0</v>
      </c>
      <c r="CB731" s="1894">
        <v>20000</v>
      </c>
      <c r="CC731" s="1894">
        <v>17312.5</v>
      </c>
      <c r="CD731" s="1894">
        <v>17312.5</v>
      </c>
      <c r="CE731" s="1894">
        <v>1</v>
      </c>
      <c r="CF731" s="1894">
        <v>48.19</v>
      </c>
      <c r="CG731" s="1894">
        <v>6779000</v>
      </c>
      <c r="CH731" s="1894">
        <f t="shared" si="369"/>
        <v>7728300</v>
      </c>
      <c r="CI731" s="1894">
        <f t="shared" si="370"/>
        <v>0</v>
      </c>
      <c r="CJ731" s="1894">
        <v>20000</v>
      </c>
      <c r="CK731" s="1894">
        <v>17937.5</v>
      </c>
      <c r="CL731" s="1894">
        <v>17937.5</v>
      </c>
      <c r="CM731" s="1894">
        <v>1</v>
      </c>
      <c r="CN731" s="1894">
        <v>54.72</v>
      </c>
      <c r="CO731" s="1894">
        <v>6614000</v>
      </c>
      <c r="CP731" s="1894">
        <f t="shared" si="371"/>
        <v>7232400</v>
      </c>
      <c r="CQ731" s="1894">
        <f t="shared" si="372"/>
        <v>0</v>
      </c>
      <c r="CR731" s="1924">
        <v>20000</v>
      </c>
      <c r="CS731" s="1924">
        <v>18562.5</v>
      </c>
      <c r="CT731" s="1924">
        <v>18562.5</v>
      </c>
      <c r="CU731" s="1924">
        <v>1</v>
      </c>
      <c r="CV731" s="1924">
        <v>54.12</v>
      </c>
      <c r="CW731" s="1924">
        <v>7717000</v>
      </c>
      <c r="CX731" s="1894">
        <f t="shared" si="373"/>
        <v>8286300</v>
      </c>
      <c r="CY731" s="1894">
        <f t="shared" si="374"/>
        <v>0</v>
      </c>
    </row>
    <row r="732" spans="1:103">
      <c r="A732" s="982">
        <v>611000000022</v>
      </c>
      <c r="B732" s="1923">
        <f t="shared" si="375"/>
        <v>34</v>
      </c>
      <c r="C732" s="1895" t="s">
        <v>534</v>
      </c>
      <c r="D732" s="1894" t="s">
        <v>524</v>
      </c>
      <c r="E732" s="1895" t="s">
        <v>538</v>
      </c>
      <c r="F732" s="1894" t="s">
        <v>271</v>
      </c>
      <c r="G732" s="1924">
        <v>22000</v>
      </c>
      <c r="H732" s="1894">
        <v>22000</v>
      </c>
      <c r="I732" s="1894">
        <v>74063</v>
      </c>
      <c r="J732" s="1894">
        <v>74063</v>
      </c>
      <c r="K732" s="1894">
        <v>0.99329999999999996</v>
      </c>
      <c r="L732" s="1894">
        <v>11.73</v>
      </c>
      <c r="M732" s="1894">
        <v>7199000</v>
      </c>
      <c r="N732" s="1894">
        <f t="shared" si="351"/>
        <v>31995216</v>
      </c>
      <c r="O732" s="1894">
        <f t="shared" si="352"/>
        <v>0</v>
      </c>
      <c r="P732" s="1894">
        <v>22000</v>
      </c>
      <c r="Q732" s="1894">
        <v>61062.5</v>
      </c>
      <c r="R732" s="1894">
        <v>20312.5</v>
      </c>
      <c r="S732" s="1894">
        <v>0.99370000000000003</v>
      </c>
      <c r="T732" s="1894">
        <v>48.32</v>
      </c>
      <c r="U732" s="1894">
        <v>11803000</v>
      </c>
      <c r="V732" s="1894">
        <f t="shared" si="353"/>
        <v>27258300</v>
      </c>
      <c r="W732" s="1894">
        <f t="shared" si="354"/>
        <v>0</v>
      </c>
      <c r="X732" s="1894">
        <v>22000</v>
      </c>
      <c r="Y732" s="1894">
        <v>42938</v>
      </c>
      <c r="Z732" s="1894">
        <v>22000</v>
      </c>
      <c r="AA732" s="1894">
        <v>0.99160000000000004</v>
      </c>
      <c r="AB732" s="1894">
        <v>145.22999999999999</v>
      </c>
      <c r="AC732" s="1894">
        <v>23005000</v>
      </c>
      <c r="AD732" s="1894">
        <f t="shared" si="355"/>
        <v>18549216</v>
      </c>
      <c r="AE732" s="1894">
        <f t="shared" si="356"/>
        <v>4455784</v>
      </c>
      <c r="AF732" s="1894">
        <v>22000</v>
      </c>
      <c r="AG732" s="1894">
        <v>94000</v>
      </c>
      <c r="AH732" s="1894">
        <v>22000</v>
      </c>
      <c r="AI732" s="1894">
        <v>0.99819999999999998</v>
      </c>
      <c r="AJ732" s="1894">
        <v>138.94</v>
      </c>
      <c r="AK732" s="1894">
        <v>41616000</v>
      </c>
      <c r="AL732" s="1894">
        <f t="shared" si="357"/>
        <v>41961600</v>
      </c>
      <c r="AM732" s="1894">
        <f t="shared" si="358"/>
        <v>0</v>
      </c>
      <c r="AN732" s="1894">
        <v>22000</v>
      </c>
      <c r="AO732" s="1894">
        <v>90375</v>
      </c>
      <c r="AP732" s="1894">
        <v>22000</v>
      </c>
      <c r="AQ732" s="1894">
        <v>0.99880000000000002</v>
      </c>
      <c r="AR732" s="1894">
        <v>123.03</v>
      </c>
      <c r="AS732" s="1894">
        <v>33097000</v>
      </c>
      <c r="AT732" s="1894">
        <f t="shared" si="359"/>
        <v>40343400</v>
      </c>
      <c r="AU732" s="1894">
        <f t="shared" si="360"/>
        <v>0</v>
      </c>
      <c r="AV732" s="1894">
        <v>22000</v>
      </c>
      <c r="AW732" s="1894">
        <v>91062.5</v>
      </c>
      <c r="AX732" s="1894">
        <v>22000</v>
      </c>
      <c r="AY732" s="1894">
        <v>0.99670000000000003</v>
      </c>
      <c r="AZ732" s="1894">
        <v>122.98</v>
      </c>
      <c r="BA732" s="1894">
        <v>19711000</v>
      </c>
      <c r="BB732" s="1894">
        <f t="shared" si="361"/>
        <v>39339000</v>
      </c>
      <c r="BC732" s="1894">
        <f t="shared" si="362"/>
        <v>0</v>
      </c>
      <c r="BD732" s="1894">
        <v>22000</v>
      </c>
      <c r="BE732" s="1894">
        <v>59500</v>
      </c>
      <c r="BF732" s="1894">
        <v>22000</v>
      </c>
      <c r="BG732" s="1894">
        <v>0.999</v>
      </c>
      <c r="BH732" s="1894">
        <v>136.6</v>
      </c>
      <c r="BI732" s="1894">
        <v>23732000</v>
      </c>
      <c r="BJ732" s="1894">
        <f t="shared" si="363"/>
        <v>26560800</v>
      </c>
      <c r="BK732" s="1894">
        <f t="shared" si="364"/>
        <v>0</v>
      </c>
      <c r="BL732" s="1894">
        <v>22000</v>
      </c>
      <c r="BM732" s="1894">
        <v>45937.5</v>
      </c>
      <c r="BN732" s="1894">
        <v>22000</v>
      </c>
      <c r="BO732" s="1894">
        <v>0.99839999999999995</v>
      </c>
      <c r="BP732" s="1894">
        <v>126.49</v>
      </c>
      <c r="BQ732" s="1894">
        <v>20059000</v>
      </c>
      <c r="BR732" s="1894">
        <f t="shared" si="365"/>
        <v>19845000</v>
      </c>
      <c r="BS732" s="1894">
        <f t="shared" si="366"/>
        <v>214000</v>
      </c>
      <c r="BT732" s="1894">
        <v>22000</v>
      </c>
      <c r="BU732" s="1894">
        <v>104875</v>
      </c>
      <c r="BV732" s="1894">
        <v>22000</v>
      </c>
      <c r="BW732" s="1894">
        <v>0.99970000000000003</v>
      </c>
      <c r="BX732" s="1894">
        <v>132.01</v>
      </c>
      <c r="BY732" s="1894">
        <v>22442000</v>
      </c>
      <c r="BZ732" s="1894">
        <f t="shared" si="367"/>
        <v>46816200</v>
      </c>
      <c r="CA732" s="1894">
        <f t="shared" si="368"/>
        <v>0</v>
      </c>
      <c r="CB732" s="1894">
        <v>22000</v>
      </c>
      <c r="CC732" s="1894">
        <v>46375</v>
      </c>
      <c r="CD732" s="1894">
        <v>22000</v>
      </c>
      <c r="CE732" s="1894">
        <v>0.99890000000000001</v>
      </c>
      <c r="CF732" s="1894">
        <v>101.11</v>
      </c>
      <c r="CG732" s="1894">
        <v>16652000</v>
      </c>
      <c r="CH732" s="1894">
        <f t="shared" si="369"/>
        <v>20701800</v>
      </c>
      <c r="CI732" s="1894">
        <f t="shared" si="370"/>
        <v>0</v>
      </c>
      <c r="CJ732" s="1894">
        <v>22000</v>
      </c>
      <c r="CK732" s="1894">
        <v>78312.5</v>
      </c>
      <c r="CL732" s="1894">
        <v>22000</v>
      </c>
      <c r="CM732" s="1894">
        <v>0.99870000000000003</v>
      </c>
      <c r="CN732" s="1894">
        <v>125.65</v>
      </c>
      <c r="CO732" s="1894">
        <v>18704000</v>
      </c>
      <c r="CP732" s="1894">
        <f t="shared" si="371"/>
        <v>31575600</v>
      </c>
      <c r="CQ732" s="1894">
        <f t="shared" si="372"/>
        <v>0</v>
      </c>
      <c r="CR732" s="1924">
        <v>22000</v>
      </c>
      <c r="CS732" s="1924">
        <v>42187.5</v>
      </c>
      <c r="CT732" s="1924">
        <v>22000</v>
      </c>
      <c r="CU732" s="1924">
        <v>0.99709999999999999</v>
      </c>
      <c r="CV732" s="1924">
        <v>136.94</v>
      </c>
      <c r="CW732" s="1924">
        <v>22414000</v>
      </c>
      <c r="CX732" s="1894">
        <f t="shared" si="373"/>
        <v>18832500</v>
      </c>
      <c r="CY732" s="1894">
        <f t="shared" si="374"/>
        <v>3581500</v>
      </c>
    </row>
    <row r="733" spans="1:103">
      <c r="A733" s="982">
        <v>611000000025</v>
      </c>
      <c r="B733" s="1923">
        <f t="shared" si="375"/>
        <v>35</v>
      </c>
      <c r="C733" s="1895" t="s">
        <v>608</v>
      </c>
      <c r="D733" s="1894" t="s">
        <v>524</v>
      </c>
      <c r="E733" s="1895" t="s">
        <v>602</v>
      </c>
      <c r="F733" s="1894" t="s">
        <v>271</v>
      </c>
      <c r="G733" s="1924">
        <v>22000</v>
      </c>
      <c r="H733" s="1894">
        <v>20000</v>
      </c>
      <c r="I733" s="1894">
        <v>19200</v>
      </c>
      <c r="J733" s="1894">
        <v>19200</v>
      </c>
      <c r="K733" s="1894">
        <v>0.97030000000000005</v>
      </c>
      <c r="L733" s="1894">
        <v>53.54</v>
      </c>
      <c r="M733" s="1894">
        <v>7401900</v>
      </c>
      <c r="N733" s="1894">
        <f t="shared" si="351"/>
        <v>8294400</v>
      </c>
      <c r="O733" s="1894">
        <f t="shared" si="352"/>
        <v>0</v>
      </c>
      <c r="P733" s="1894">
        <v>20000</v>
      </c>
      <c r="Q733" s="1894">
        <v>20400</v>
      </c>
      <c r="R733" s="1894">
        <v>20400</v>
      </c>
      <c r="S733" s="1894">
        <v>0.96960000000000002</v>
      </c>
      <c r="T733" s="1894">
        <v>48.35</v>
      </c>
      <c r="U733" s="1894">
        <v>7338600</v>
      </c>
      <c r="V733" s="1894">
        <f t="shared" si="353"/>
        <v>9106560</v>
      </c>
      <c r="W733" s="1894">
        <f t="shared" si="354"/>
        <v>0</v>
      </c>
      <c r="X733" s="1894">
        <v>20000</v>
      </c>
      <c r="Y733" s="1894">
        <v>20800</v>
      </c>
      <c r="Z733" s="1894">
        <v>20800</v>
      </c>
      <c r="AA733" s="1894">
        <v>0.9718</v>
      </c>
      <c r="AB733" s="1894">
        <v>48.13</v>
      </c>
      <c r="AC733" s="1894">
        <v>7208400</v>
      </c>
      <c r="AD733" s="1894">
        <f t="shared" si="355"/>
        <v>8985600</v>
      </c>
      <c r="AE733" s="1894">
        <f t="shared" si="356"/>
        <v>0</v>
      </c>
      <c r="AF733" s="1894">
        <v>20000</v>
      </c>
      <c r="AG733" s="1894">
        <v>18800</v>
      </c>
      <c r="AH733" s="1894">
        <v>18800</v>
      </c>
      <c r="AI733" s="1894">
        <v>0.97299999999999998</v>
      </c>
      <c r="AJ733" s="1894">
        <v>54.11</v>
      </c>
      <c r="AK733" s="1894">
        <v>7568700</v>
      </c>
      <c r="AL733" s="1894">
        <f t="shared" si="357"/>
        <v>8392320</v>
      </c>
      <c r="AM733" s="1894">
        <f t="shared" si="358"/>
        <v>0</v>
      </c>
      <c r="AN733" s="1894">
        <v>20000</v>
      </c>
      <c r="AO733" s="1894">
        <v>20000</v>
      </c>
      <c r="AP733" s="1894">
        <v>20000</v>
      </c>
      <c r="AQ733" s="1894">
        <v>0.97360000000000002</v>
      </c>
      <c r="AR733" s="1894">
        <v>52.74</v>
      </c>
      <c r="AS733" s="1894">
        <v>7848000</v>
      </c>
      <c r="AT733" s="1894">
        <f t="shared" si="359"/>
        <v>8928000</v>
      </c>
      <c r="AU733" s="1894">
        <f t="shared" si="360"/>
        <v>0</v>
      </c>
      <c r="AV733" s="1894">
        <v>20000</v>
      </c>
      <c r="AW733" s="1894">
        <v>20000</v>
      </c>
      <c r="AX733" s="1894">
        <v>20000</v>
      </c>
      <c r="AY733" s="1894">
        <v>0.97450000000000003</v>
      </c>
      <c r="AZ733" s="1894">
        <v>52.7</v>
      </c>
      <c r="BA733" s="1894">
        <v>7588800</v>
      </c>
      <c r="BB733" s="1894">
        <f t="shared" si="361"/>
        <v>8640000</v>
      </c>
      <c r="BC733" s="1894">
        <f t="shared" si="362"/>
        <v>0</v>
      </c>
      <c r="BD733" s="1894">
        <v>22000</v>
      </c>
      <c r="BE733" s="1894">
        <v>20000</v>
      </c>
      <c r="BF733" s="1894">
        <v>20000</v>
      </c>
      <c r="BG733" s="1894">
        <v>0.97540000000000004</v>
      </c>
      <c r="BH733" s="1894">
        <v>53.56</v>
      </c>
      <c r="BI733" s="1894">
        <v>7970200</v>
      </c>
      <c r="BJ733" s="1894">
        <f t="shared" si="363"/>
        <v>8928000</v>
      </c>
      <c r="BK733" s="1894">
        <f t="shared" si="364"/>
        <v>0</v>
      </c>
      <c r="BL733" s="1894">
        <v>22000</v>
      </c>
      <c r="BM733" s="1894">
        <v>19200</v>
      </c>
      <c r="BN733" s="1894">
        <v>19200</v>
      </c>
      <c r="BO733" s="1894">
        <v>0.97550000000000003</v>
      </c>
      <c r="BP733" s="1894">
        <v>54.17</v>
      </c>
      <c r="BQ733" s="1894">
        <v>7488900</v>
      </c>
      <c r="BR733" s="1894">
        <f t="shared" si="365"/>
        <v>8294400</v>
      </c>
      <c r="BS733" s="1894">
        <f t="shared" si="366"/>
        <v>0</v>
      </c>
      <c r="BT733" s="1894">
        <v>22000</v>
      </c>
      <c r="BU733" s="1894">
        <v>22400</v>
      </c>
      <c r="BV733" s="1894">
        <v>22400</v>
      </c>
      <c r="BW733" s="1894">
        <v>0.97689999999999999</v>
      </c>
      <c r="BX733" s="1894">
        <v>48.72</v>
      </c>
      <c r="BY733" s="1894">
        <v>8119400</v>
      </c>
      <c r="BZ733" s="1894">
        <f t="shared" si="367"/>
        <v>9999360</v>
      </c>
      <c r="CA733" s="1894">
        <f t="shared" si="368"/>
        <v>0</v>
      </c>
      <c r="CB733" s="1894">
        <v>22000</v>
      </c>
      <c r="CC733" s="1894">
        <v>22400</v>
      </c>
      <c r="CD733" s="1894">
        <v>22400</v>
      </c>
      <c r="CE733" s="1894">
        <v>0.97640000000000005</v>
      </c>
      <c r="CF733" s="1894">
        <v>44.74</v>
      </c>
      <c r="CG733" s="1894">
        <v>7455800</v>
      </c>
      <c r="CH733" s="1894">
        <f t="shared" si="369"/>
        <v>9999360</v>
      </c>
      <c r="CI733" s="1894">
        <f t="shared" si="370"/>
        <v>0</v>
      </c>
      <c r="CJ733" s="1894">
        <v>22000</v>
      </c>
      <c r="CK733" s="1894">
        <v>21200</v>
      </c>
      <c r="CL733" s="1894">
        <v>21200</v>
      </c>
      <c r="CM733" s="1894">
        <v>0.97489999999999999</v>
      </c>
      <c r="CN733" s="1894">
        <v>50.94</v>
      </c>
      <c r="CO733" s="1894">
        <v>7257400</v>
      </c>
      <c r="CP733" s="1894">
        <f t="shared" si="371"/>
        <v>8547840</v>
      </c>
      <c r="CQ733" s="1894">
        <f t="shared" si="372"/>
        <v>0</v>
      </c>
      <c r="CR733" s="1924">
        <v>22000</v>
      </c>
      <c r="CS733" s="1924">
        <v>19200</v>
      </c>
      <c r="CT733" s="1924">
        <v>19200</v>
      </c>
      <c r="CU733" s="1924">
        <v>0.97450000000000003</v>
      </c>
      <c r="CV733" s="1924">
        <v>55.12</v>
      </c>
      <c r="CW733" s="1924">
        <v>7874200</v>
      </c>
      <c r="CX733" s="1894">
        <f t="shared" si="373"/>
        <v>8570880</v>
      </c>
      <c r="CY733" s="1894">
        <f t="shared" si="374"/>
        <v>0</v>
      </c>
    </row>
    <row r="734" spans="1:103">
      <c r="A734" s="982">
        <v>611000000066</v>
      </c>
      <c r="B734" s="1923">
        <f t="shared" si="375"/>
        <v>36</v>
      </c>
      <c r="C734" s="1895" t="s">
        <v>568</v>
      </c>
      <c r="D734" s="1894" t="s">
        <v>524</v>
      </c>
      <c r="E734" s="1895" t="s">
        <v>541</v>
      </c>
      <c r="F734" s="1894" t="s">
        <v>271</v>
      </c>
      <c r="G734" s="1924">
        <v>22222</v>
      </c>
      <c r="H734" s="1894">
        <v>22222</v>
      </c>
      <c r="I734" s="1894">
        <v>19200</v>
      </c>
      <c r="J734" s="1894">
        <v>19200</v>
      </c>
      <c r="K734" s="1894">
        <v>0.99750000000000005</v>
      </c>
      <c r="L734" s="1894">
        <v>80.62</v>
      </c>
      <c r="M734" s="1894">
        <v>11144520</v>
      </c>
      <c r="N734" s="1894">
        <f t="shared" si="351"/>
        <v>8294400</v>
      </c>
      <c r="O734" s="1894">
        <f t="shared" si="352"/>
        <v>2850120</v>
      </c>
      <c r="P734" s="1894">
        <v>22222</v>
      </c>
      <c r="Q734" s="1894">
        <v>19209.600000000002</v>
      </c>
      <c r="R734" s="1894">
        <v>19209.599999999999</v>
      </c>
      <c r="S734" s="1894">
        <v>0.99819999999999998</v>
      </c>
      <c r="T734" s="1894">
        <v>70.010000000000005</v>
      </c>
      <c r="U734" s="1894">
        <v>10005600</v>
      </c>
      <c r="V734" s="1894">
        <f t="shared" si="353"/>
        <v>8575165</v>
      </c>
      <c r="W734" s="1894">
        <f t="shared" si="354"/>
        <v>1430435</v>
      </c>
      <c r="X734" s="1894">
        <v>22222</v>
      </c>
      <c r="Y734" s="1894">
        <v>16752</v>
      </c>
      <c r="Z734" s="1894">
        <v>17777.599999999999</v>
      </c>
      <c r="AA734" s="1894">
        <v>0.998</v>
      </c>
      <c r="AB734" s="1894">
        <v>66.489999999999995</v>
      </c>
      <c r="AC734" s="1894">
        <v>8019840</v>
      </c>
      <c r="AD734" s="1894">
        <f t="shared" si="355"/>
        <v>7236864</v>
      </c>
      <c r="AE734" s="1894">
        <f t="shared" si="356"/>
        <v>782976</v>
      </c>
      <c r="AF734" s="1894">
        <v>22222</v>
      </c>
      <c r="AG734" s="1894">
        <v>16742.400000000001</v>
      </c>
      <c r="AH734" s="1894">
        <v>17777.599999999999</v>
      </c>
      <c r="AI734" s="1894">
        <v>0.998</v>
      </c>
      <c r="AJ734" s="1894">
        <v>76.13</v>
      </c>
      <c r="AK734" s="1894">
        <v>9483600</v>
      </c>
      <c r="AL734" s="1894">
        <f t="shared" si="357"/>
        <v>7473807</v>
      </c>
      <c r="AM734" s="1894">
        <f t="shared" si="358"/>
        <v>2009793</v>
      </c>
      <c r="AN734" s="1894">
        <v>22222</v>
      </c>
      <c r="AO734" s="1894">
        <v>16435.2</v>
      </c>
      <c r="AP734" s="1894">
        <v>17777.599999999999</v>
      </c>
      <c r="AQ734" s="1894">
        <v>0.99809999999999999</v>
      </c>
      <c r="AR734" s="1894">
        <v>68.209999999999994</v>
      </c>
      <c r="AS734" s="1894">
        <v>8340960</v>
      </c>
      <c r="AT734" s="1894">
        <f t="shared" si="359"/>
        <v>7336673</v>
      </c>
      <c r="AU734" s="1894">
        <f t="shared" si="360"/>
        <v>1004287</v>
      </c>
      <c r="AV734" s="1894">
        <v>22222</v>
      </c>
      <c r="AW734" s="1894">
        <v>18028.800000000003</v>
      </c>
      <c r="AX734" s="1894">
        <v>18028.8</v>
      </c>
      <c r="AY734" s="1894">
        <v>0.99819999999999998</v>
      </c>
      <c r="AZ734" s="1894">
        <v>81.64</v>
      </c>
      <c r="BA734" s="1894">
        <v>10597440</v>
      </c>
      <c r="BB734" s="1894">
        <f t="shared" si="361"/>
        <v>7788442</v>
      </c>
      <c r="BC734" s="1894">
        <f t="shared" si="362"/>
        <v>2808998</v>
      </c>
      <c r="BD734" s="1894">
        <v>22222</v>
      </c>
      <c r="BE734" s="1894">
        <v>17356.8</v>
      </c>
      <c r="BF734" s="1894">
        <v>17777.599999999999</v>
      </c>
      <c r="BG734" s="1894">
        <v>0.99839999999999995</v>
      </c>
      <c r="BH734" s="1894">
        <v>77.819999999999993</v>
      </c>
      <c r="BI734" s="1894">
        <v>10049400</v>
      </c>
      <c r="BJ734" s="1894">
        <f t="shared" si="363"/>
        <v>7748076</v>
      </c>
      <c r="BK734" s="1894">
        <f t="shared" si="364"/>
        <v>2301324</v>
      </c>
      <c r="BL734" s="1894">
        <v>22222</v>
      </c>
      <c r="BM734" s="1894">
        <v>16665.599999999999</v>
      </c>
      <c r="BN734" s="1894">
        <v>17777.599999999999</v>
      </c>
      <c r="BO734" s="1894">
        <v>0.99739999999999995</v>
      </c>
      <c r="BP734" s="1894">
        <v>54.21</v>
      </c>
      <c r="BQ734" s="1894">
        <v>6504240</v>
      </c>
      <c r="BR734" s="1894">
        <f t="shared" si="365"/>
        <v>7199539</v>
      </c>
      <c r="BS734" s="1894">
        <f t="shared" si="366"/>
        <v>0</v>
      </c>
      <c r="BT734" s="1894">
        <v>22222</v>
      </c>
      <c r="BU734" s="1894">
        <v>17884.8</v>
      </c>
      <c r="BV734" s="1894">
        <v>17884.8</v>
      </c>
      <c r="BW734" s="1894">
        <v>0.998</v>
      </c>
      <c r="BX734" s="1894">
        <v>85.57</v>
      </c>
      <c r="BY734" s="1894">
        <v>11386320</v>
      </c>
      <c r="BZ734" s="1894">
        <f t="shared" si="367"/>
        <v>7983775</v>
      </c>
      <c r="CA734" s="1894">
        <f t="shared" si="368"/>
        <v>3402545</v>
      </c>
      <c r="CB734" s="1894">
        <v>22222</v>
      </c>
      <c r="CC734" s="1894">
        <v>18192</v>
      </c>
      <c r="CD734" s="1894">
        <v>18192</v>
      </c>
      <c r="CE734" s="1894">
        <v>0.99829999999999997</v>
      </c>
      <c r="CF734" s="1894">
        <v>86.23</v>
      </c>
      <c r="CG734" s="1894">
        <v>11671320</v>
      </c>
      <c r="CH734" s="1894">
        <f t="shared" si="369"/>
        <v>8120909</v>
      </c>
      <c r="CI734" s="1894">
        <f t="shared" si="370"/>
        <v>3550411</v>
      </c>
      <c r="CJ734" s="1894">
        <v>22222</v>
      </c>
      <c r="CK734" s="1894">
        <v>18432</v>
      </c>
      <c r="CL734" s="1894">
        <v>18432</v>
      </c>
      <c r="CM734" s="1894">
        <v>0.99780000000000002</v>
      </c>
      <c r="CN734" s="1894">
        <v>82.46</v>
      </c>
      <c r="CO734" s="1894">
        <v>10213440</v>
      </c>
      <c r="CP734" s="1894">
        <f t="shared" si="371"/>
        <v>7431782</v>
      </c>
      <c r="CQ734" s="1894">
        <f t="shared" si="372"/>
        <v>2781658</v>
      </c>
      <c r="CR734" s="1924">
        <v>22222</v>
      </c>
      <c r="CS734" s="1924">
        <v>18460.8</v>
      </c>
      <c r="CT734" s="1924">
        <v>18460.8</v>
      </c>
      <c r="CU734" s="1924">
        <v>0.998</v>
      </c>
      <c r="CV734" s="1924">
        <v>76.27</v>
      </c>
      <c r="CW734" s="1924">
        <v>10475400</v>
      </c>
      <c r="CX734" s="1894">
        <f t="shared" si="373"/>
        <v>8240901</v>
      </c>
      <c r="CY734" s="1894">
        <f t="shared" si="374"/>
        <v>2234499</v>
      </c>
    </row>
    <row r="735" spans="1:103">
      <c r="A735" s="982">
        <v>621000000029</v>
      </c>
      <c r="B735" s="1923">
        <f t="shared" si="375"/>
        <v>37</v>
      </c>
      <c r="C735" s="1895" t="s">
        <v>3529</v>
      </c>
      <c r="D735" s="1894" t="s">
        <v>524</v>
      </c>
      <c r="E735" s="1895" t="s">
        <v>602</v>
      </c>
      <c r="F735" s="1894" t="s">
        <v>271</v>
      </c>
      <c r="G735" s="1924">
        <v>24000</v>
      </c>
      <c r="H735" s="1894">
        <v>22000</v>
      </c>
      <c r="I735" s="1894">
        <v>18000</v>
      </c>
      <c r="J735" s="1894">
        <v>18000</v>
      </c>
      <c r="K735" s="1894">
        <v>0.93179999999999996</v>
      </c>
      <c r="L735" s="1894">
        <v>29.06</v>
      </c>
      <c r="M735" s="1894">
        <v>3765840</v>
      </c>
      <c r="N735" s="1894">
        <f t="shared" si="351"/>
        <v>7776000</v>
      </c>
      <c r="O735" s="1894">
        <f t="shared" si="352"/>
        <v>0</v>
      </c>
      <c r="P735" s="1894">
        <v>22000</v>
      </c>
      <c r="Q735" s="1894">
        <v>19440</v>
      </c>
      <c r="R735" s="1894">
        <v>19440</v>
      </c>
      <c r="S735" s="1894">
        <v>0.98760000000000003</v>
      </c>
      <c r="T735" s="1894">
        <v>29.6</v>
      </c>
      <c r="U735" s="1894">
        <v>4280880</v>
      </c>
      <c r="V735" s="1894">
        <f t="shared" si="353"/>
        <v>8678016</v>
      </c>
      <c r="W735" s="1894">
        <f t="shared" si="354"/>
        <v>0</v>
      </c>
      <c r="X735" s="1894">
        <v>22000</v>
      </c>
      <c r="Y735" s="1894">
        <v>22320</v>
      </c>
      <c r="Z735" s="1894">
        <v>22320</v>
      </c>
      <c r="AA735" s="1894">
        <v>0.99250000000000005</v>
      </c>
      <c r="AB735" s="1894">
        <v>25.13</v>
      </c>
      <c r="AC735" s="1894">
        <v>4038960</v>
      </c>
      <c r="AD735" s="1894">
        <f t="shared" si="355"/>
        <v>9642240</v>
      </c>
      <c r="AE735" s="1894">
        <f t="shared" si="356"/>
        <v>0</v>
      </c>
      <c r="AF735" s="1894">
        <v>22000</v>
      </c>
      <c r="AG735" s="1894">
        <v>20592</v>
      </c>
      <c r="AH735" s="1894">
        <v>20592</v>
      </c>
      <c r="AI735" s="1894">
        <v>0.98809999999999998</v>
      </c>
      <c r="AJ735" s="1894">
        <v>30.35</v>
      </c>
      <c r="AK735" s="1894">
        <v>4650480</v>
      </c>
      <c r="AL735" s="1894">
        <f t="shared" si="357"/>
        <v>9192269</v>
      </c>
      <c r="AM735" s="1894">
        <f t="shared" si="358"/>
        <v>0</v>
      </c>
      <c r="AN735" s="1894">
        <v>22000</v>
      </c>
      <c r="AO735" s="1894">
        <v>22848</v>
      </c>
      <c r="AP735" s="1894">
        <v>22848</v>
      </c>
      <c r="AQ735" s="1894">
        <v>0.98519999999999996</v>
      </c>
      <c r="AR735" s="1894">
        <v>30.69</v>
      </c>
      <c r="AS735" s="1894">
        <v>5216640</v>
      </c>
      <c r="AT735" s="1894">
        <f t="shared" si="359"/>
        <v>10199347</v>
      </c>
      <c r="AU735" s="1894">
        <f t="shared" si="360"/>
        <v>0</v>
      </c>
      <c r="AV735" s="1894">
        <v>22000</v>
      </c>
      <c r="AW735" s="1894">
        <v>21888</v>
      </c>
      <c r="AX735" s="1894">
        <v>21888</v>
      </c>
      <c r="AY735" s="1894">
        <v>0.98480000000000001</v>
      </c>
      <c r="AZ735" s="1894">
        <v>31.31</v>
      </c>
      <c r="BA735" s="1894">
        <v>4933920</v>
      </c>
      <c r="BB735" s="1894">
        <f t="shared" si="361"/>
        <v>9455616</v>
      </c>
      <c r="BC735" s="1894">
        <f t="shared" si="362"/>
        <v>0</v>
      </c>
      <c r="BD735" s="1894">
        <v>22000</v>
      </c>
      <c r="BE735" s="1894">
        <v>22704</v>
      </c>
      <c r="BF735" s="1894">
        <v>22704</v>
      </c>
      <c r="BG735" s="1894">
        <v>0.98740000000000006</v>
      </c>
      <c r="BH735" s="1894">
        <v>29.84</v>
      </c>
      <c r="BI735" s="1894">
        <v>5040000</v>
      </c>
      <c r="BJ735" s="1894">
        <f t="shared" si="363"/>
        <v>10135066</v>
      </c>
      <c r="BK735" s="1894">
        <f t="shared" si="364"/>
        <v>0</v>
      </c>
      <c r="BL735" s="1894">
        <v>22000</v>
      </c>
      <c r="BM735" s="1894">
        <v>24480</v>
      </c>
      <c r="BN735" s="1894">
        <v>24480</v>
      </c>
      <c r="BO735" s="1894">
        <v>0.98560000000000003</v>
      </c>
      <c r="BP735" s="1894">
        <v>27.26</v>
      </c>
      <c r="BQ735" s="1894">
        <v>4805520</v>
      </c>
      <c r="BR735" s="1894">
        <f t="shared" si="365"/>
        <v>10575360</v>
      </c>
      <c r="BS735" s="1894">
        <f t="shared" si="366"/>
        <v>0</v>
      </c>
      <c r="BT735" s="1894">
        <v>22000</v>
      </c>
      <c r="BU735" s="1894">
        <v>21120</v>
      </c>
      <c r="BV735" s="1894">
        <v>21120</v>
      </c>
      <c r="BW735" s="1894">
        <v>0.98199999999999998</v>
      </c>
      <c r="BX735" s="1894">
        <v>31.25</v>
      </c>
      <c r="BY735" s="1894">
        <v>4910640</v>
      </c>
      <c r="BZ735" s="1894">
        <f t="shared" si="367"/>
        <v>9427968</v>
      </c>
      <c r="CA735" s="1894">
        <f t="shared" si="368"/>
        <v>0</v>
      </c>
      <c r="CB735" s="1894">
        <v>22000</v>
      </c>
      <c r="CC735" s="1894">
        <v>27072</v>
      </c>
      <c r="CD735" s="1894">
        <v>27072</v>
      </c>
      <c r="CE735" s="1894">
        <v>0.98280000000000001</v>
      </c>
      <c r="CF735" s="1894">
        <v>25.34</v>
      </c>
      <c r="CG735" s="1894">
        <v>5103360</v>
      </c>
      <c r="CH735" s="1894">
        <f t="shared" si="369"/>
        <v>12084941</v>
      </c>
      <c r="CI735" s="1894">
        <f t="shared" si="370"/>
        <v>0</v>
      </c>
      <c r="CJ735" s="1894">
        <v>24000</v>
      </c>
      <c r="CK735" s="1894">
        <v>24576</v>
      </c>
      <c r="CL735" s="1894">
        <v>24576</v>
      </c>
      <c r="CM735" s="1894">
        <v>0.9829</v>
      </c>
      <c r="CN735" s="1894">
        <v>30.36</v>
      </c>
      <c r="CO735" s="1894">
        <v>5014560</v>
      </c>
      <c r="CP735" s="1894">
        <f t="shared" si="371"/>
        <v>9909043</v>
      </c>
      <c r="CQ735" s="1894">
        <f t="shared" si="372"/>
        <v>0</v>
      </c>
      <c r="CR735" s="1924">
        <v>24000</v>
      </c>
      <c r="CS735" s="1924">
        <v>24000</v>
      </c>
      <c r="CT735" s="1924">
        <v>24000</v>
      </c>
      <c r="CU735" s="1924">
        <v>0.97529999999999994</v>
      </c>
      <c r="CV735" s="1924">
        <v>29.52</v>
      </c>
      <c r="CW735" s="1924">
        <v>5270640</v>
      </c>
      <c r="CX735" s="1894">
        <f t="shared" si="373"/>
        <v>10713600</v>
      </c>
      <c r="CY735" s="1894">
        <f t="shared" si="374"/>
        <v>0</v>
      </c>
    </row>
    <row r="736" spans="1:103">
      <c r="A736" s="982">
        <v>622000000170</v>
      </c>
      <c r="B736" s="1923">
        <f t="shared" si="375"/>
        <v>38</v>
      </c>
      <c r="C736" s="1895" t="s">
        <v>585</v>
      </c>
      <c r="D736" s="1894" t="s">
        <v>524</v>
      </c>
      <c r="E736" s="1895" t="s">
        <v>541</v>
      </c>
      <c r="F736" s="1894" t="s">
        <v>271</v>
      </c>
      <c r="G736" s="1924">
        <v>27000</v>
      </c>
      <c r="H736" s="1894">
        <v>23000</v>
      </c>
      <c r="I736" s="1894">
        <v>22800</v>
      </c>
      <c r="J736" s="1894">
        <v>22800</v>
      </c>
      <c r="K736" s="1894">
        <v>0.9859</v>
      </c>
      <c r="L736" s="1894">
        <v>72.97</v>
      </c>
      <c r="M736" s="1894">
        <v>11978640</v>
      </c>
      <c r="N736" s="1894">
        <f t="shared" si="351"/>
        <v>9849600</v>
      </c>
      <c r="O736" s="1894">
        <f t="shared" si="352"/>
        <v>2129040</v>
      </c>
      <c r="P736" s="1894">
        <v>23000</v>
      </c>
      <c r="Q736" s="1894">
        <v>23568</v>
      </c>
      <c r="R736" s="1894">
        <v>23568</v>
      </c>
      <c r="S736" s="1894">
        <v>0.98580000000000001</v>
      </c>
      <c r="T736" s="1894">
        <v>68.12</v>
      </c>
      <c r="U736" s="1894">
        <v>11944800</v>
      </c>
      <c r="V736" s="1894">
        <f t="shared" si="353"/>
        <v>10520755</v>
      </c>
      <c r="W736" s="1894">
        <f t="shared" si="354"/>
        <v>1424045</v>
      </c>
      <c r="X736" s="1894">
        <v>23000</v>
      </c>
      <c r="Y736" s="1894">
        <v>22416</v>
      </c>
      <c r="Z736" s="1894">
        <v>22416</v>
      </c>
      <c r="AA736" s="1894">
        <v>0.99550000000000005</v>
      </c>
      <c r="AB736" s="1894">
        <v>39.43</v>
      </c>
      <c r="AC736" s="1894">
        <v>6363600</v>
      </c>
      <c r="AD736" s="1894">
        <f t="shared" si="355"/>
        <v>9683712</v>
      </c>
      <c r="AE736" s="1894">
        <f t="shared" si="356"/>
        <v>0</v>
      </c>
      <c r="AF736" s="1894">
        <v>23000</v>
      </c>
      <c r="AG736" s="1894">
        <v>15552</v>
      </c>
      <c r="AH736" s="1894">
        <v>18400</v>
      </c>
      <c r="AI736" s="1894">
        <v>0.997</v>
      </c>
      <c r="AJ736" s="1894">
        <v>56.22</v>
      </c>
      <c r="AK736" s="1894">
        <v>6314160</v>
      </c>
      <c r="AL736" s="1894">
        <f t="shared" si="357"/>
        <v>6942413</v>
      </c>
      <c r="AM736" s="1894">
        <f t="shared" si="358"/>
        <v>0</v>
      </c>
      <c r="AN736" s="1894">
        <v>23000</v>
      </c>
      <c r="AO736" s="1894">
        <v>15383.999999999998</v>
      </c>
      <c r="AP736" s="1894">
        <v>18400</v>
      </c>
      <c r="AQ736" s="1894">
        <v>0.99719999999999998</v>
      </c>
      <c r="AR736" s="1894">
        <v>58.42</v>
      </c>
      <c r="AS736" s="1894">
        <v>6686880</v>
      </c>
      <c r="AT736" s="1894">
        <f t="shared" si="359"/>
        <v>6867418</v>
      </c>
      <c r="AU736" s="1894">
        <f t="shared" si="360"/>
        <v>0</v>
      </c>
      <c r="AV736" s="1894">
        <v>23000</v>
      </c>
      <c r="AW736" s="1894">
        <v>21120</v>
      </c>
      <c r="AX736" s="1894">
        <v>21120</v>
      </c>
      <c r="AY736" s="1894">
        <v>0.99790000000000001</v>
      </c>
      <c r="AZ736" s="1894">
        <v>32.69</v>
      </c>
      <c r="BA736" s="1894">
        <v>4970520</v>
      </c>
      <c r="BB736" s="1894">
        <f t="shared" si="361"/>
        <v>9123840</v>
      </c>
      <c r="BC736" s="1894">
        <f t="shared" si="362"/>
        <v>0</v>
      </c>
      <c r="BD736" s="1894">
        <v>23000</v>
      </c>
      <c r="BE736" s="1894">
        <v>14976</v>
      </c>
      <c r="BF736" s="1894">
        <v>18400</v>
      </c>
      <c r="BG736" s="1894">
        <v>0.99750000000000005</v>
      </c>
      <c r="BH736" s="1894">
        <v>42.33</v>
      </c>
      <c r="BI736" s="1894">
        <v>4716240</v>
      </c>
      <c r="BJ736" s="1894">
        <f t="shared" si="363"/>
        <v>6685286</v>
      </c>
      <c r="BK736" s="1894">
        <f t="shared" si="364"/>
        <v>0</v>
      </c>
      <c r="BL736" s="1894">
        <v>27000</v>
      </c>
      <c r="BM736" s="1894">
        <v>23520</v>
      </c>
      <c r="BN736" s="1894">
        <v>23520</v>
      </c>
      <c r="BO736" s="1894">
        <v>0.99360000000000004</v>
      </c>
      <c r="BP736" s="1894">
        <v>44.61</v>
      </c>
      <c r="BQ736" s="1894">
        <v>7555200</v>
      </c>
      <c r="BR736" s="1894">
        <f t="shared" si="365"/>
        <v>10160640</v>
      </c>
      <c r="BS736" s="1894">
        <f t="shared" si="366"/>
        <v>0</v>
      </c>
      <c r="BT736" s="1894">
        <v>27000</v>
      </c>
      <c r="BU736" s="1894">
        <v>23784</v>
      </c>
      <c r="BV736" s="1894">
        <v>23784</v>
      </c>
      <c r="BW736" s="1894">
        <v>0.98519999999999996</v>
      </c>
      <c r="BX736" s="1894">
        <v>70.709999999999994</v>
      </c>
      <c r="BY736" s="1894">
        <v>12511680</v>
      </c>
      <c r="BZ736" s="1894">
        <f t="shared" si="367"/>
        <v>10617178</v>
      </c>
      <c r="CA736" s="1894">
        <f t="shared" si="368"/>
        <v>1894502</v>
      </c>
      <c r="CB736" s="1894">
        <v>27000</v>
      </c>
      <c r="CC736" s="1894">
        <v>24864</v>
      </c>
      <c r="CD736" s="1894">
        <v>24864</v>
      </c>
      <c r="CE736" s="1894">
        <v>0.97929999999999995</v>
      </c>
      <c r="CF736" s="1894">
        <v>56.81</v>
      </c>
      <c r="CG736" s="1894">
        <v>10509240</v>
      </c>
      <c r="CH736" s="1894">
        <f t="shared" si="369"/>
        <v>11099290</v>
      </c>
      <c r="CI736" s="1894">
        <f t="shared" si="370"/>
        <v>0</v>
      </c>
      <c r="CJ736" s="1894">
        <v>27000</v>
      </c>
      <c r="CK736" s="1894">
        <v>23544</v>
      </c>
      <c r="CL736" s="1894">
        <v>23544</v>
      </c>
      <c r="CM736" s="1894">
        <v>0.99299999999999999</v>
      </c>
      <c r="CN736" s="1894">
        <v>65.06</v>
      </c>
      <c r="CO736" s="1894">
        <v>10293480</v>
      </c>
      <c r="CP736" s="1894">
        <f t="shared" si="371"/>
        <v>9492941</v>
      </c>
      <c r="CQ736" s="1894">
        <f t="shared" si="372"/>
        <v>800539</v>
      </c>
      <c r="CR736" s="1924">
        <v>27000</v>
      </c>
      <c r="CS736" s="1924">
        <v>22598.399999999998</v>
      </c>
      <c r="CT736" s="1924">
        <v>22598.400000000001</v>
      </c>
      <c r="CU736" s="1924">
        <v>0.99809999999999999</v>
      </c>
      <c r="CV736" s="1924">
        <v>45.19</v>
      </c>
      <c r="CW736" s="1924">
        <v>7598640</v>
      </c>
      <c r="CX736" s="1894">
        <f t="shared" si="373"/>
        <v>10087926</v>
      </c>
      <c r="CY736" s="1894">
        <f t="shared" si="374"/>
        <v>0</v>
      </c>
    </row>
    <row r="737" spans="1:103">
      <c r="A737" s="982">
        <v>611000000032</v>
      </c>
      <c r="B737" s="1923">
        <f t="shared" si="375"/>
        <v>39</v>
      </c>
      <c r="C737" s="1895" t="s">
        <v>544</v>
      </c>
      <c r="D737" s="1894" t="s">
        <v>524</v>
      </c>
      <c r="E737" s="1895" t="s">
        <v>541</v>
      </c>
      <c r="F737" s="1894" t="s">
        <v>271</v>
      </c>
      <c r="G737" s="1924">
        <v>35000</v>
      </c>
      <c r="H737" s="1894">
        <v>55000</v>
      </c>
      <c r="I737" s="1894">
        <v>504</v>
      </c>
      <c r="J737" s="1894">
        <v>44000</v>
      </c>
      <c r="K737" s="1894">
        <v>1</v>
      </c>
      <c r="L737" s="1894">
        <v>66.180000000000007</v>
      </c>
      <c r="M737" s="1894">
        <v>152100</v>
      </c>
      <c r="N737" s="1894">
        <f t="shared" si="351"/>
        <v>217728</v>
      </c>
      <c r="O737" s="1894">
        <f t="shared" si="352"/>
        <v>0</v>
      </c>
      <c r="P737" s="1894">
        <v>55000</v>
      </c>
      <c r="Q737" s="1894">
        <v>648</v>
      </c>
      <c r="R737" s="1894">
        <v>44000</v>
      </c>
      <c r="S737" s="1894">
        <v>0.99890000000000001</v>
      </c>
      <c r="T737" s="1894">
        <v>60.36</v>
      </c>
      <c r="U737" s="1894">
        <v>291000</v>
      </c>
      <c r="V737" s="1894">
        <f t="shared" si="353"/>
        <v>289267</v>
      </c>
      <c r="W737" s="1894">
        <f t="shared" si="354"/>
        <v>1733</v>
      </c>
      <c r="X737" s="1894">
        <v>55000</v>
      </c>
      <c r="Y737" s="1894">
        <v>9647.9999999999982</v>
      </c>
      <c r="Z737" s="1894">
        <v>44000</v>
      </c>
      <c r="AA737" s="1894">
        <v>0.9627</v>
      </c>
      <c r="AB737" s="1894">
        <v>15.07</v>
      </c>
      <c r="AC737" s="1894">
        <v>1047000</v>
      </c>
      <c r="AD737" s="1894">
        <f t="shared" si="355"/>
        <v>4167936</v>
      </c>
      <c r="AE737" s="1894">
        <f t="shared" si="356"/>
        <v>0</v>
      </c>
      <c r="AF737" s="1894">
        <v>55000</v>
      </c>
      <c r="AG737" s="1894">
        <v>10392</v>
      </c>
      <c r="AH737" s="1894">
        <v>44000</v>
      </c>
      <c r="AI737" s="1894">
        <v>0.95150000000000001</v>
      </c>
      <c r="AJ737" s="1894">
        <v>79.94</v>
      </c>
      <c r="AK737" s="1894">
        <v>6180900</v>
      </c>
      <c r="AL737" s="1894">
        <f t="shared" si="357"/>
        <v>4638989</v>
      </c>
      <c r="AM737" s="1894">
        <f t="shared" si="358"/>
        <v>1541911</v>
      </c>
      <c r="AN737" s="1894">
        <v>55000</v>
      </c>
      <c r="AO737" s="1894">
        <v>20687.999999999996</v>
      </c>
      <c r="AP737" s="1894">
        <v>44000</v>
      </c>
      <c r="AQ737" s="1894">
        <v>0.96630000000000005</v>
      </c>
      <c r="AR737" s="1894">
        <v>72.3</v>
      </c>
      <c r="AS737" s="1894">
        <v>11128200</v>
      </c>
      <c r="AT737" s="1894">
        <f t="shared" si="359"/>
        <v>9235123</v>
      </c>
      <c r="AU737" s="1894">
        <f t="shared" si="360"/>
        <v>1893077</v>
      </c>
      <c r="AV737" s="1894">
        <v>55000</v>
      </c>
      <c r="AW737" s="1894">
        <v>27984</v>
      </c>
      <c r="AX737" s="1894">
        <v>44000</v>
      </c>
      <c r="AY737" s="1894">
        <v>0.97319999999999995</v>
      </c>
      <c r="AZ737" s="1894">
        <v>70.61</v>
      </c>
      <c r="BA737" s="1894">
        <v>14227500</v>
      </c>
      <c r="BB737" s="1894">
        <f t="shared" si="361"/>
        <v>12089088</v>
      </c>
      <c r="BC737" s="1894">
        <f t="shared" si="362"/>
        <v>2138412</v>
      </c>
      <c r="BD737" s="1894">
        <v>55000</v>
      </c>
      <c r="BE737" s="1894">
        <v>29520</v>
      </c>
      <c r="BF737" s="1894">
        <v>44000</v>
      </c>
      <c r="BG737" s="1894">
        <v>0.97009999999999996</v>
      </c>
      <c r="BH737" s="1894">
        <v>83.39</v>
      </c>
      <c r="BI737" s="1894">
        <v>18313800</v>
      </c>
      <c r="BJ737" s="1894">
        <f t="shared" si="363"/>
        <v>13177728</v>
      </c>
      <c r="BK737" s="1894">
        <f t="shared" si="364"/>
        <v>5136072</v>
      </c>
      <c r="BL737" s="1894">
        <v>55000</v>
      </c>
      <c r="BM737" s="1894">
        <v>28680</v>
      </c>
      <c r="BN737" s="1894">
        <v>44000</v>
      </c>
      <c r="BO737" s="1894">
        <v>0.97929999999999995</v>
      </c>
      <c r="BP737" s="1894">
        <v>81.96</v>
      </c>
      <c r="BQ737" s="1894">
        <v>16923600</v>
      </c>
      <c r="BR737" s="1894">
        <f t="shared" si="365"/>
        <v>12389760</v>
      </c>
      <c r="BS737" s="1894">
        <f t="shared" si="366"/>
        <v>4533840</v>
      </c>
      <c r="BT737" s="1894">
        <v>55000</v>
      </c>
      <c r="BU737" s="1894">
        <v>32687.999999999996</v>
      </c>
      <c r="BV737" s="1894">
        <v>44000</v>
      </c>
      <c r="BW737" s="1894">
        <v>0.98440000000000005</v>
      </c>
      <c r="BX737" s="1894">
        <v>84.06</v>
      </c>
      <c r="BY737" s="1894">
        <v>20444100</v>
      </c>
      <c r="BZ737" s="1894">
        <f t="shared" si="367"/>
        <v>14591923</v>
      </c>
      <c r="CA737" s="1894">
        <f t="shared" si="368"/>
        <v>5852177</v>
      </c>
      <c r="CB737" s="1894">
        <v>55000</v>
      </c>
      <c r="CC737" s="1894">
        <v>32760</v>
      </c>
      <c r="CD737" s="1894">
        <v>44000</v>
      </c>
      <c r="CE737" s="1894">
        <v>0.98909999999999998</v>
      </c>
      <c r="CF737" s="1894">
        <v>94.93</v>
      </c>
      <c r="CG737" s="1894">
        <v>23136900</v>
      </c>
      <c r="CH737" s="1894">
        <f t="shared" si="369"/>
        <v>14624064</v>
      </c>
      <c r="CI737" s="1894">
        <f t="shared" si="370"/>
        <v>8512836</v>
      </c>
      <c r="CJ737" s="1894">
        <v>35000</v>
      </c>
      <c r="CK737" s="1894">
        <v>33780</v>
      </c>
      <c r="CL737" s="1894">
        <v>32798</v>
      </c>
      <c r="CM737" s="1894">
        <v>0.98270000000000002</v>
      </c>
      <c r="CN737" s="1894">
        <v>92.8</v>
      </c>
      <c r="CO737" s="1894">
        <v>21069300</v>
      </c>
      <c r="CP737" s="1894">
        <f t="shared" si="371"/>
        <v>13620096</v>
      </c>
      <c r="CQ737" s="1894">
        <f t="shared" si="372"/>
        <v>7449204</v>
      </c>
      <c r="CR737" s="1924">
        <v>35000</v>
      </c>
      <c r="CS737" s="1924">
        <v>33624</v>
      </c>
      <c r="CT737" s="1924">
        <v>32654</v>
      </c>
      <c r="CU737" s="1924">
        <v>0.9829</v>
      </c>
      <c r="CV737" s="1924">
        <v>94.2</v>
      </c>
      <c r="CW737" s="1924">
        <v>23619000</v>
      </c>
      <c r="CX737" s="1894">
        <f t="shared" si="373"/>
        <v>15009754</v>
      </c>
      <c r="CY737" s="1894">
        <f t="shared" si="374"/>
        <v>8609246</v>
      </c>
    </row>
    <row r="738" spans="1:103">
      <c r="A738" s="982">
        <v>123000000139</v>
      </c>
      <c r="B738" s="1923">
        <f t="shared" si="375"/>
        <v>40</v>
      </c>
      <c r="C738" s="1895" t="s">
        <v>3530</v>
      </c>
      <c r="D738" s="1894" t="s">
        <v>524</v>
      </c>
      <c r="E738" s="1895" t="s">
        <v>541</v>
      </c>
      <c r="F738" s="1894" t="s">
        <v>271</v>
      </c>
      <c r="G738" s="1924">
        <v>50000</v>
      </c>
      <c r="H738" s="1894">
        <v>0</v>
      </c>
      <c r="I738" s="1894">
        <v>0</v>
      </c>
      <c r="J738" s="1894">
        <v>0</v>
      </c>
      <c r="K738" s="1894">
        <v>0</v>
      </c>
      <c r="L738" s="1894">
        <v>0</v>
      </c>
      <c r="M738" s="1894">
        <v>0</v>
      </c>
      <c r="N738" s="1894">
        <f t="shared" si="351"/>
        <v>0</v>
      </c>
      <c r="O738" s="1894">
        <f t="shared" si="352"/>
        <v>0</v>
      </c>
      <c r="P738" s="1894">
        <v>0</v>
      </c>
      <c r="Q738" s="1894">
        <v>0</v>
      </c>
      <c r="R738" s="1894">
        <v>0</v>
      </c>
      <c r="S738" s="1894">
        <v>0</v>
      </c>
      <c r="T738" s="1894">
        <v>0</v>
      </c>
      <c r="U738" s="1894">
        <v>0</v>
      </c>
      <c r="V738" s="1894">
        <f t="shared" si="353"/>
        <v>0</v>
      </c>
      <c r="W738" s="1894">
        <f t="shared" si="354"/>
        <v>0</v>
      </c>
      <c r="X738" s="1894">
        <v>0</v>
      </c>
      <c r="Y738" s="1894">
        <v>0</v>
      </c>
      <c r="Z738" s="1894">
        <v>0</v>
      </c>
      <c r="AA738" s="1894">
        <v>0</v>
      </c>
      <c r="AB738" s="1894">
        <v>0</v>
      </c>
      <c r="AC738" s="1894">
        <v>0</v>
      </c>
      <c r="AD738" s="1894">
        <f t="shared" si="355"/>
        <v>0</v>
      </c>
      <c r="AE738" s="1894">
        <f t="shared" si="356"/>
        <v>0</v>
      </c>
      <c r="AF738" s="1894">
        <v>0</v>
      </c>
      <c r="AG738" s="1894">
        <v>0</v>
      </c>
      <c r="AH738" s="1894">
        <v>0</v>
      </c>
      <c r="AI738" s="1894">
        <v>0</v>
      </c>
      <c r="AJ738" s="1894">
        <v>0</v>
      </c>
      <c r="AK738" s="1894">
        <v>0</v>
      </c>
      <c r="AL738" s="1894">
        <f t="shared" si="357"/>
        <v>0</v>
      </c>
      <c r="AM738" s="1894">
        <f t="shared" si="358"/>
        <v>0</v>
      </c>
      <c r="AN738" s="1894">
        <v>0</v>
      </c>
      <c r="AO738" s="1894">
        <v>0</v>
      </c>
      <c r="AP738" s="1894">
        <v>0</v>
      </c>
      <c r="AQ738" s="1894">
        <v>0</v>
      </c>
      <c r="AR738" s="1894">
        <v>0</v>
      </c>
      <c r="AS738" s="1894">
        <v>0</v>
      </c>
      <c r="AT738" s="1894">
        <f t="shared" si="359"/>
        <v>0</v>
      </c>
      <c r="AU738" s="1894">
        <f t="shared" si="360"/>
        <v>0</v>
      </c>
      <c r="AV738" s="1894">
        <v>0</v>
      </c>
      <c r="AW738" s="1894">
        <v>0</v>
      </c>
      <c r="AX738" s="1894">
        <v>0</v>
      </c>
      <c r="AY738" s="1894">
        <v>0</v>
      </c>
      <c r="AZ738" s="1894">
        <v>0</v>
      </c>
      <c r="BA738" s="1894">
        <v>0</v>
      </c>
      <c r="BB738" s="1894">
        <f t="shared" si="361"/>
        <v>0</v>
      </c>
      <c r="BC738" s="1894">
        <f t="shared" si="362"/>
        <v>0</v>
      </c>
      <c r="BD738" s="1894">
        <v>0</v>
      </c>
      <c r="BE738" s="1894">
        <v>0</v>
      </c>
      <c r="BF738" s="1894">
        <v>0</v>
      </c>
      <c r="BG738" s="1894">
        <v>0</v>
      </c>
      <c r="BH738" s="1894">
        <v>0</v>
      </c>
      <c r="BI738" s="1894">
        <v>0</v>
      </c>
      <c r="BJ738" s="1894">
        <f t="shared" si="363"/>
        <v>0</v>
      </c>
      <c r="BK738" s="1894">
        <f t="shared" si="364"/>
        <v>0</v>
      </c>
      <c r="BL738" s="1894">
        <v>0</v>
      </c>
      <c r="BM738" s="1894">
        <v>0</v>
      </c>
      <c r="BN738" s="1894">
        <v>0</v>
      </c>
      <c r="BO738" s="1894">
        <v>0</v>
      </c>
      <c r="BP738" s="1894">
        <v>0</v>
      </c>
      <c r="BQ738" s="1894">
        <v>0</v>
      </c>
      <c r="BR738" s="1894">
        <f t="shared" si="365"/>
        <v>0</v>
      </c>
      <c r="BS738" s="1894">
        <f t="shared" si="366"/>
        <v>0</v>
      </c>
      <c r="BT738" s="1894">
        <v>28000</v>
      </c>
      <c r="BU738" s="1894">
        <v>34160</v>
      </c>
      <c r="BV738" s="1894">
        <v>34160</v>
      </c>
      <c r="BW738" s="1894">
        <v>0.98670000000000002</v>
      </c>
      <c r="BX738" s="1894">
        <v>58.24</v>
      </c>
      <c r="BY738" s="1894">
        <v>11936000</v>
      </c>
      <c r="BZ738" s="1894">
        <f t="shared" si="367"/>
        <v>15249024</v>
      </c>
      <c r="CA738" s="1894">
        <f t="shared" si="368"/>
        <v>0</v>
      </c>
      <c r="CB738" s="1894">
        <v>50000</v>
      </c>
      <c r="CC738" s="1894">
        <v>48520</v>
      </c>
      <c r="CD738" s="1894">
        <v>48520</v>
      </c>
      <c r="CE738" s="1894">
        <v>0.99719999999999998</v>
      </c>
      <c r="CF738" s="1894">
        <v>77.790000000000006</v>
      </c>
      <c r="CG738" s="1894">
        <v>28082000</v>
      </c>
      <c r="CH738" s="1894">
        <f t="shared" si="369"/>
        <v>21659328</v>
      </c>
      <c r="CI738" s="1894">
        <f t="shared" si="370"/>
        <v>6422672</v>
      </c>
      <c r="CJ738" s="1894">
        <v>50000</v>
      </c>
      <c r="CK738" s="1894">
        <v>49920</v>
      </c>
      <c r="CL738" s="1894">
        <v>49920</v>
      </c>
      <c r="CM738" s="1894">
        <v>0.99719999999999998</v>
      </c>
      <c r="CN738" s="1894">
        <v>84.3</v>
      </c>
      <c r="CO738" s="1894">
        <v>28278000</v>
      </c>
      <c r="CP738" s="1894">
        <f t="shared" si="371"/>
        <v>20127744</v>
      </c>
      <c r="CQ738" s="1894">
        <f t="shared" si="372"/>
        <v>8150256</v>
      </c>
      <c r="CR738" s="1924">
        <v>50000</v>
      </c>
      <c r="CS738" s="1924">
        <v>58800</v>
      </c>
      <c r="CT738" s="1924">
        <v>58800</v>
      </c>
      <c r="CU738" s="1924">
        <v>0.99729999999999996</v>
      </c>
      <c r="CV738" s="1924">
        <v>76.38</v>
      </c>
      <c r="CW738" s="1924">
        <v>33412000</v>
      </c>
      <c r="CX738" s="1894">
        <f t="shared" si="373"/>
        <v>26248320</v>
      </c>
      <c r="CY738" s="1894">
        <f t="shared" si="374"/>
        <v>7163680</v>
      </c>
    </row>
    <row r="739" spans="1:103">
      <c r="A739" s="982">
        <v>611000000122</v>
      </c>
      <c r="B739" s="1923">
        <f t="shared" si="375"/>
        <v>41</v>
      </c>
      <c r="C739" s="1895" t="s">
        <v>552</v>
      </c>
      <c r="D739" s="1894" t="s">
        <v>524</v>
      </c>
      <c r="E739" s="1895" t="s">
        <v>541</v>
      </c>
      <c r="F739" s="1894" t="s">
        <v>271</v>
      </c>
      <c r="G739" s="1924">
        <v>50000</v>
      </c>
      <c r="H739" s="1894">
        <v>0</v>
      </c>
      <c r="I739" s="1894">
        <v>0</v>
      </c>
      <c r="J739" s="1894">
        <v>0</v>
      </c>
      <c r="K739" s="1894">
        <v>0</v>
      </c>
      <c r="L739" s="1894">
        <v>0</v>
      </c>
      <c r="M739" s="1894">
        <v>0</v>
      </c>
      <c r="N739" s="1894">
        <f t="shared" si="351"/>
        <v>0</v>
      </c>
      <c r="O739" s="1894">
        <f t="shared" si="352"/>
        <v>0</v>
      </c>
      <c r="P739" s="1894">
        <v>0</v>
      </c>
      <c r="Q739" s="1894">
        <v>0</v>
      </c>
      <c r="R739" s="1894">
        <v>0</v>
      </c>
      <c r="S739" s="1894">
        <v>0</v>
      </c>
      <c r="T739" s="1894">
        <v>0</v>
      </c>
      <c r="U739" s="1894">
        <v>0</v>
      </c>
      <c r="V739" s="1894">
        <f t="shared" si="353"/>
        <v>0</v>
      </c>
      <c r="W739" s="1894">
        <f t="shared" si="354"/>
        <v>0</v>
      </c>
      <c r="X739" s="1894">
        <v>0</v>
      </c>
      <c r="Y739" s="1894">
        <v>0</v>
      </c>
      <c r="Z739" s="1894">
        <v>0</v>
      </c>
      <c r="AA739" s="1894">
        <v>0</v>
      </c>
      <c r="AB739" s="1894">
        <v>0</v>
      </c>
      <c r="AC739" s="1894">
        <v>0</v>
      </c>
      <c r="AD739" s="1894">
        <f t="shared" si="355"/>
        <v>0</v>
      </c>
      <c r="AE739" s="1894">
        <f t="shared" si="356"/>
        <v>0</v>
      </c>
      <c r="AF739" s="1894">
        <v>0</v>
      </c>
      <c r="AG739" s="1894">
        <v>0</v>
      </c>
      <c r="AH739" s="1894">
        <v>0</v>
      </c>
      <c r="AI739" s="1894">
        <v>0</v>
      </c>
      <c r="AJ739" s="1894">
        <v>0</v>
      </c>
      <c r="AK739" s="1894">
        <v>0</v>
      </c>
      <c r="AL739" s="1894">
        <f t="shared" si="357"/>
        <v>0</v>
      </c>
      <c r="AM739" s="1894">
        <f t="shared" si="358"/>
        <v>0</v>
      </c>
      <c r="AN739" s="1894">
        <v>0</v>
      </c>
      <c r="AO739" s="1894">
        <v>0</v>
      </c>
      <c r="AP739" s="1894">
        <v>0</v>
      </c>
      <c r="AQ739" s="1894">
        <v>0</v>
      </c>
      <c r="AR739" s="1894">
        <v>0</v>
      </c>
      <c r="AS739" s="1894">
        <v>0</v>
      </c>
      <c r="AT739" s="1894">
        <f t="shared" si="359"/>
        <v>0</v>
      </c>
      <c r="AU739" s="1894">
        <f t="shared" si="360"/>
        <v>0</v>
      </c>
      <c r="AV739" s="1894">
        <v>25000</v>
      </c>
      <c r="AW739" s="1894">
        <v>5100</v>
      </c>
      <c r="AX739" s="1894">
        <v>20000</v>
      </c>
      <c r="AY739" s="1894">
        <v>0.97419999999999995</v>
      </c>
      <c r="AZ739" s="1894">
        <v>53.63</v>
      </c>
      <c r="BA739" s="1894">
        <v>722100</v>
      </c>
      <c r="BB739" s="1894">
        <f t="shared" si="361"/>
        <v>2203200</v>
      </c>
      <c r="BC739" s="1894">
        <f t="shared" si="362"/>
        <v>0</v>
      </c>
      <c r="BD739" s="1894">
        <v>50000</v>
      </c>
      <c r="BE739" s="1894">
        <v>32736</v>
      </c>
      <c r="BF739" s="1894">
        <v>40000</v>
      </c>
      <c r="BG739" s="1894">
        <v>0.90580000000000005</v>
      </c>
      <c r="BH739" s="1894">
        <v>25.25</v>
      </c>
      <c r="BI739" s="1894">
        <v>6150900</v>
      </c>
      <c r="BJ739" s="1894">
        <f t="shared" si="363"/>
        <v>14613350</v>
      </c>
      <c r="BK739" s="1894">
        <f t="shared" si="364"/>
        <v>0</v>
      </c>
      <c r="BL739" s="1894">
        <v>50000</v>
      </c>
      <c r="BM739" s="1894">
        <v>33060</v>
      </c>
      <c r="BN739" s="1894">
        <v>40000</v>
      </c>
      <c r="BO739" s="1894">
        <v>0.92979999999999996</v>
      </c>
      <c r="BP739" s="1894">
        <v>42.34</v>
      </c>
      <c r="BQ739" s="1894">
        <v>10078500</v>
      </c>
      <c r="BR739" s="1894">
        <f t="shared" si="365"/>
        <v>14281920</v>
      </c>
      <c r="BS739" s="1894">
        <f t="shared" si="366"/>
        <v>0</v>
      </c>
      <c r="BT739" s="1894">
        <v>50000</v>
      </c>
      <c r="BU739" s="1894">
        <v>39360</v>
      </c>
      <c r="BV739" s="1894">
        <v>40000</v>
      </c>
      <c r="BW739" s="1894">
        <v>0.93730000000000002</v>
      </c>
      <c r="BX739" s="1894">
        <v>50.36</v>
      </c>
      <c r="BY739" s="1894">
        <v>14748300</v>
      </c>
      <c r="BZ739" s="1894">
        <f t="shared" si="367"/>
        <v>17570304</v>
      </c>
      <c r="CA739" s="1894">
        <f t="shared" si="368"/>
        <v>0</v>
      </c>
      <c r="CB739" s="1894">
        <v>50000</v>
      </c>
      <c r="CC739" s="1894">
        <v>38580</v>
      </c>
      <c r="CD739" s="1894">
        <v>40000</v>
      </c>
      <c r="CE739" s="1894">
        <v>0.96930000000000005</v>
      </c>
      <c r="CF739" s="1894">
        <v>60.88</v>
      </c>
      <c r="CG739" s="1894">
        <v>17474400</v>
      </c>
      <c r="CH739" s="1894">
        <f t="shared" si="369"/>
        <v>17222112</v>
      </c>
      <c r="CI739" s="1894">
        <f t="shared" si="370"/>
        <v>252288</v>
      </c>
      <c r="CJ739" s="1894">
        <v>50000</v>
      </c>
      <c r="CK739" s="1894">
        <v>40500</v>
      </c>
      <c r="CL739" s="1894">
        <v>40500</v>
      </c>
      <c r="CM739" s="1894">
        <v>0.99419999999999997</v>
      </c>
      <c r="CN739" s="1894">
        <v>53.4</v>
      </c>
      <c r="CO739" s="1894">
        <v>14533200</v>
      </c>
      <c r="CP739" s="1894">
        <f t="shared" si="371"/>
        <v>16329600</v>
      </c>
      <c r="CQ739" s="1894">
        <f t="shared" si="372"/>
        <v>0</v>
      </c>
      <c r="CR739" s="1924">
        <v>50000</v>
      </c>
      <c r="CS739" s="1924">
        <v>41040</v>
      </c>
      <c r="CT739" s="1924">
        <v>41040</v>
      </c>
      <c r="CU739" s="1924">
        <v>0.99070000000000003</v>
      </c>
      <c r="CV739" s="1924">
        <v>61.81</v>
      </c>
      <c r="CW739" s="1924">
        <v>18872400</v>
      </c>
      <c r="CX739" s="1894">
        <f t="shared" si="373"/>
        <v>18320256</v>
      </c>
      <c r="CY739" s="1894">
        <f t="shared" si="374"/>
        <v>552144</v>
      </c>
    </row>
    <row r="740" spans="1:103">
      <c r="A740" s="982">
        <v>611000000078</v>
      </c>
      <c r="B740" s="1923">
        <f t="shared" si="375"/>
        <v>42</v>
      </c>
      <c r="C740" s="1895" t="s">
        <v>540</v>
      </c>
      <c r="D740" s="1894" t="s">
        <v>524</v>
      </c>
      <c r="E740" s="1895" t="s">
        <v>541</v>
      </c>
      <c r="F740" s="1894" t="s">
        <v>271</v>
      </c>
      <c r="G740" s="1924">
        <v>110000</v>
      </c>
      <c r="H740" s="1894">
        <v>110000</v>
      </c>
      <c r="I740" s="1894">
        <v>157500</v>
      </c>
      <c r="J740" s="1894">
        <v>96415</v>
      </c>
      <c r="K740" s="1894">
        <v>1</v>
      </c>
      <c r="L740" s="1894">
        <v>25.12</v>
      </c>
      <c r="M740" s="1894">
        <v>57520000</v>
      </c>
      <c r="N740" s="1894">
        <f t="shared" si="351"/>
        <v>68040000</v>
      </c>
      <c r="O740" s="1894">
        <f t="shared" si="352"/>
        <v>0</v>
      </c>
      <c r="P740" s="1894">
        <v>110000</v>
      </c>
      <c r="Q740" s="1894">
        <v>161900</v>
      </c>
      <c r="R740" s="1894">
        <v>96350</v>
      </c>
      <c r="S740" s="1894">
        <v>1.0004999999999999</v>
      </c>
      <c r="T740" s="1894">
        <v>20.37</v>
      </c>
      <c r="U740" s="1894">
        <v>55070000</v>
      </c>
      <c r="V740" s="1894">
        <f t="shared" si="353"/>
        <v>72272160</v>
      </c>
      <c r="W740" s="1894">
        <f t="shared" si="354"/>
        <v>0</v>
      </c>
      <c r="X740" s="1894">
        <v>110000</v>
      </c>
      <c r="Y740" s="1894">
        <v>120000</v>
      </c>
      <c r="Z740" s="1894">
        <v>90105</v>
      </c>
      <c r="AA740" s="1894">
        <v>1</v>
      </c>
      <c r="AB740" s="1894">
        <v>30.21</v>
      </c>
      <c r="AC740" s="1894">
        <v>52600000</v>
      </c>
      <c r="AD740" s="1894">
        <f t="shared" si="355"/>
        <v>51840000</v>
      </c>
      <c r="AE740" s="1894">
        <f t="shared" si="356"/>
        <v>760000</v>
      </c>
      <c r="AF740" s="1894">
        <v>110000</v>
      </c>
      <c r="AG740" s="1894">
        <v>144400</v>
      </c>
      <c r="AH740" s="1894">
        <v>88000</v>
      </c>
      <c r="AI740" s="1894">
        <v>1</v>
      </c>
      <c r="AJ740" s="1894">
        <v>22.49</v>
      </c>
      <c r="AK740" s="1894">
        <v>46420000</v>
      </c>
      <c r="AL740" s="1894">
        <f t="shared" si="357"/>
        <v>64460160</v>
      </c>
      <c r="AM740" s="1894">
        <f t="shared" si="358"/>
        <v>0</v>
      </c>
      <c r="AN740" s="1894">
        <v>110000</v>
      </c>
      <c r="AO740" s="1894">
        <v>133100</v>
      </c>
      <c r="AP740" s="1894">
        <v>96250</v>
      </c>
      <c r="AQ740" s="1894">
        <v>1</v>
      </c>
      <c r="AR740" s="1894">
        <v>27.16</v>
      </c>
      <c r="AS740" s="1894">
        <v>46780000</v>
      </c>
      <c r="AT740" s="1894">
        <f t="shared" si="359"/>
        <v>59415840</v>
      </c>
      <c r="AU740" s="1894">
        <f t="shared" si="360"/>
        <v>0</v>
      </c>
      <c r="AV740" s="1894">
        <v>110000</v>
      </c>
      <c r="AW740" s="1894">
        <v>144400</v>
      </c>
      <c r="AX740" s="1894">
        <v>88000</v>
      </c>
      <c r="AY740" s="1894">
        <v>1</v>
      </c>
      <c r="AZ740" s="1894">
        <v>22.52</v>
      </c>
      <c r="BA740" s="1894">
        <v>46400000</v>
      </c>
      <c r="BB740" s="1894">
        <f t="shared" si="361"/>
        <v>62380800</v>
      </c>
      <c r="BC740" s="1894">
        <f t="shared" si="362"/>
        <v>0</v>
      </c>
      <c r="BD740" s="1894">
        <v>110000</v>
      </c>
      <c r="BE740" s="1894">
        <v>145000</v>
      </c>
      <c r="BF740" s="1894">
        <v>98100</v>
      </c>
      <c r="BG740" s="1894">
        <v>1</v>
      </c>
      <c r="BH740" s="1894">
        <v>26.01</v>
      </c>
      <c r="BI740" s="1894">
        <v>60340000</v>
      </c>
      <c r="BJ740" s="1894">
        <f t="shared" si="363"/>
        <v>64728000</v>
      </c>
      <c r="BK740" s="1894">
        <f t="shared" si="364"/>
        <v>0</v>
      </c>
      <c r="BL740" s="1894">
        <v>110000</v>
      </c>
      <c r="BM740" s="1894">
        <v>160000</v>
      </c>
      <c r="BN740" s="1894">
        <v>103590</v>
      </c>
      <c r="BO740" s="1894">
        <v>1</v>
      </c>
      <c r="BP740" s="1894">
        <v>28.95</v>
      </c>
      <c r="BQ740" s="1894">
        <v>69830000</v>
      </c>
      <c r="BR740" s="1894">
        <f t="shared" si="365"/>
        <v>69120000</v>
      </c>
      <c r="BS740" s="1894">
        <f t="shared" si="366"/>
        <v>710000</v>
      </c>
      <c r="BT740" s="1894">
        <v>110000</v>
      </c>
      <c r="BU740" s="1894">
        <v>155600</v>
      </c>
      <c r="BV740" s="1894">
        <v>100956.5</v>
      </c>
      <c r="BW740" s="1894">
        <v>1</v>
      </c>
      <c r="BX740" s="1894">
        <v>22.92</v>
      </c>
      <c r="BY740" s="1894">
        <v>57410000</v>
      </c>
      <c r="BZ740" s="1894">
        <f t="shared" si="367"/>
        <v>69459840</v>
      </c>
      <c r="CA740" s="1894">
        <f t="shared" si="368"/>
        <v>0</v>
      </c>
      <c r="CB740" s="1894">
        <v>110000</v>
      </c>
      <c r="CC740" s="1894">
        <v>131900</v>
      </c>
      <c r="CD740" s="1894">
        <v>88000</v>
      </c>
      <c r="CE740" s="1894">
        <v>1</v>
      </c>
      <c r="CF740" s="1894">
        <v>24.75</v>
      </c>
      <c r="CG740" s="1894">
        <v>49370000</v>
      </c>
      <c r="CH740" s="1894">
        <f t="shared" si="369"/>
        <v>58880160</v>
      </c>
      <c r="CI740" s="1894">
        <f t="shared" si="370"/>
        <v>0</v>
      </c>
      <c r="CJ740" s="1894">
        <v>110000</v>
      </c>
      <c r="CK740" s="1894">
        <v>163800</v>
      </c>
      <c r="CL740" s="1894">
        <v>92595</v>
      </c>
      <c r="CM740" s="1894">
        <v>1</v>
      </c>
      <c r="CN740" s="1894">
        <v>25.78</v>
      </c>
      <c r="CO740" s="1894">
        <v>47740000</v>
      </c>
      <c r="CP740" s="1894">
        <f t="shared" si="371"/>
        <v>66044160</v>
      </c>
      <c r="CQ740" s="1894">
        <f t="shared" si="372"/>
        <v>0</v>
      </c>
      <c r="CR740" s="1924">
        <v>110000</v>
      </c>
      <c r="CS740" s="1924">
        <v>142500</v>
      </c>
      <c r="CT740" s="1924">
        <v>94970</v>
      </c>
      <c r="CU740" s="1924">
        <v>1</v>
      </c>
      <c r="CV740" s="1924">
        <v>26.95</v>
      </c>
      <c r="CW740" s="1924">
        <v>59820000</v>
      </c>
      <c r="CX740" s="1894">
        <f t="shared" si="373"/>
        <v>63612000</v>
      </c>
      <c r="CY740" s="1894">
        <f t="shared" si="374"/>
        <v>0</v>
      </c>
    </row>
    <row r="741" spans="1:103" ht="15">
      <c r="B741" s="1927">
        <f>+B740</f>
        <v>42</v>
      </c>
      <c r="C741" s="1900" t="s">
        <v>3531</v>
      </c>
      <c r="D741" s="1928"/>
      <c r="E741" s="1929"/>
      <c r="F741" s="1928"/>
      <c r="G741" s="1930">
        <f>ROUND(SUM(G699:G740),0)</f>
        <v>763973</v>
      </c>
      <c r="H741" s="1930">
        <f t="shared" ref="H741:O741" si="376">ROUND(SUM(H699:H740),0)</f>
        <v>617133</v>
      </c>
      <c r="I741" s="1930">
        <f t="shared" si="376"/>
        <v>683304</v>
      </c>
      <c r="J741" s="1930">
        <f t="shared" si="376"/>
        <v>622167</v>
      </c>
      <c r="K741" s="1930">
        <f>ROUND(AVERAGE(K699:K740),4)</f>
        <v>0.83169999999999999</v>
      </c>
      <c r="L741" s="1930">
        <f>ROUND(AVERAGE(L699:L740),2)</f>
        <v>41.68</v>
      </c>
      <c r="M741" s="1930">
        <f t="shared" si="376"/>
        <v>257129280</v>
      </c>
      <c r="N741" s="1930">
        <f t="shared" si="376"/>
        <v>295187294</v>
      </c>
      <c r="O741" s="1930">
        <f t="shared" si="376"/>
        <v>28824419</v>
      </c>
      <c r="P741" s="1930">
        <f t="shared" ref="P741" si="377">ROUND(SUM(P699:P740),0)</f>
        <v>625633</v>
      </c>
      <c r="Q741" s="1930">
        <f t="shared" ref="Q741:R741" si="378">ROUND(SUM(Q699:Q740),0)</f>
        <v>682238</v>
      </c>
      <c r="R741" s="1930">
        <f t="shared" si="378"/>
        <v>579051</v>
      </c>
      <c r="S741" s="1930">
        <f>ROUND(AVERAGE(S699:S740),4)</f>
        <v>0.80669999999999997</v>
      </c>
      <c r="T741" s="1930">
        <f>ROUND(AVERAGE(T699:T740),2)</f>
        <v>41.4</v>
      </c>
      <c r="U741" s="1930">
        <f t="shared" ref="U741" si="379">ROUND(SUM(U699:U740),0)</f>
        <v>277249790</v>
      </c>
      <c r="V741" s="1930">
        <f t="shared" ref="V741:Z741" si="380">ROUND(SUM(V699:V740),0)</f>
        <v>304551157</v>
      </c>
      <c r="W741" s="1930">
        <f t="shared" si="380"/>
        <v>35599436</v>
      </c>
      <c r="X741" s="1930">
        <f t="shared" si="380"/>
        <v>630633</v>
      </c>
      <c r="Y741" s="1930">
        <f t="shared" si="380"/>
        <v>677990</v>
      </c>
      <c r="Z741" s="1930">
        <f t="shared" si="380"/>
        <v>566290</v>
      </c>
      <c r="AA741" s="1930">
        <f>ROUND(AVERAGE(AA699:AA740),4)</f>
        <v>0.85560000000000003</v>
      </c>
      <c r="AB741" s="1930">
        <f>ROUND(AVERAGE(AB699:AB740),2)</f>
        <v>48.34</v>
      </c>
      <c r="AC741" s="1930">
        <f t="shared" ref="AC741" si="381">ROUND(SUM(AC699:AC740),0)</f>
        <v>297536570</v>
      </c>
      <c r="AD741" s="1930">
        <f t="shared" ref="AD741:AH741" si="382">ROUND(SUM(AD699:AD740),0)</f>
        <v>292891466</v>
      </c>
      <c r="AE741" s="1930">
        <f t="shared" si="382"/>
        <v>48330719</v>
      </c>
      <c r="AF741" s="1930">
        <f t="shared" si="382"/>
        <v>630633</v>
      </c>
      <c r="AG741" s="1930">
        <f t="shared" si="382"/>
        <v>704643</v>
      </c>
      <c r="AH741" s="1930">
        <f t="shared" si="382"/>
        <v>555800</v>
      </c>
      <c r="AI741" s="1930">
        <f>ROUND(AVERAGE(AI699:AI740),4)</f>
        <v>0.86309999999999998</v>
      </c>
      <c r="AJ741" s="1930">
        <f>ROUND(AVERAGE(AJ699:AJ740),2)</f>
        <v>46.69</v>
      </c>
      <c r="AK741" s="1930">
        <f t="shared" ref="AK741" si="383">ROUND(SUM(AK699:AK740),0)</f>
        <v>297296630</v>
      </c>
      <c r="AL741" s="1930">
        <f t="shared" ref="AL741:AP741" si="384">ROUND(SUM(AL699:AL740),0)</f>
        <v>314552572</v>
      </c>
      <c r="AM741" s="1930">
        <f t="shared" si="384"/>
        <v>35054821</v>
      </c>
      <c r="AN741" s="1930">
        <f t="shared" si="384"/>
        <v>630633</v>
      </c>
      <c r="AO741" s="1930">
        <f t="shared" si="384"/>
        <v>732263</v>
      </c>
      <c r="AP741" s="1930">
        <f t="shared" si="384"/>
        <v>576597</v>
      </c>
      <c r="AQ741" s="1930">
        <f>ROUND(AVERAGE(AQ699:AQ740),4)</f>
        <v>0.85780000000000001</v>
      </c>
      <c r="AR741" s="1930">
        <f>ROUND(AVERAGE(AR699:AR740),2)</f>
        <v>47.17</v>
      </c>
      <c r="AS741" s="1930">
        <f t="shared" ref="AS741" si="385">ROUND(SUM(AS699:AS740),0)</f>
        <v>297584630</v>
      </c>
      <c r="AT741" s="1930">
        <f t="shared" ref="AT741:AX741" si="386">ROUND(SUM(AT699:AT740),0)</f>
        <v>326882202</v>
      </c>
      <c r="AU741" s="1930">
        <f t="shared" si="386"/>
        <v>27397525</v>
      </c>
      <c r="AV741" s="1930">
        <f t="shared" si="386"/>
        <v>670952</v>
      </c>
      <c r="AW741" s="1930">
        <f t="shared" si="386"/>
        <v>771224</v>
      </c>
      <c r="AX741" s="1930">
        <f t="shared" si="386"/>
        <v>603296</v>
      </c>
      <c r="AY741" s="1930">
        <f>ROUND(AVERAGE(AY699:AY740),4)</f>
        <v>0.87829999999999997</v>
      </c>
      <c r="AZ741" s="1930">
        <f>ROUND(AVERAGE(AZ699:AZ740),2)</f>
        <v>51.3</v>
      </c>
      <c r="BA741" s="1930">
        <f t="shared" ref="BA741" si="387">ROUND(SUM(BA699:BA740),0)</f>
        <v>293309820</v>
      </c>
      <c r="BB741" s="1930">
        <f t="shared" ref="BB741:BF741" si="388">ROUND(SUM(BB699:BB740),0)</f>
        <v>333168837</v>
      </c>
      <c r="BC741" s="1930">
        <f t="shared" si="388"/>
        <v>36121410</v>
      </c>
      <c r="BD741" s="1930">
        <f t="shared" si="388"/>
        <v>707952</v>
      </c>
      <c r="BE741" s="1930">
        <f t="shared" si="388"/>
        <v>768557</v>
      </c>
      <c r="BF741" s="1930">
        <f t="shared" si="388"/>
        <v>641016</v>
      </c>
      <c r="BG741" s="1930">
        <f>ROUND(AVERAGE(BG699:BG740),4)</f>
        <v>0.90239999999999998</v>
      </c>
      <c r="BH741" s="1930">
        <f>ROUND(AVERAGE(BH699:BH740),2)</f>
        <v>52.88</v>
      </c>
      <c r="BI741" s="1930">
        <f t="shared" ref="BI741" si="389">ROUND(SUM(BI699:BI740),0)</f>
        <v>339140710</v>
      </c>
      <c r="BJ741" s="1930">
        <f t="shared" ref="BJ741:BN741" si="390">ROUND(SUM(BJ699:BJ740),0)</f>
        <v>343083827</v>
      </c>
      <c r="BK741" s="1930">
        <f t="shared" si="390"/>
        <v>46467151</v>
      </c>
      <c r="BL741" s="1930">
        <f t="shared" si="390"/>
        <v>719952</v>
      </c>
      <c r="BM741" s="1930">
        <f t="shared" si="390"/>
        <v>800280</v>
      </c>
      <c r="BN741" s="1930">
        <f t="shared" si="390"/>
        <v>666768</v>
      </c>
      <c r="BO741" s="1930">
        <f>ROUND(AVERAGE(BO699:BO740),4)</f>
        <v>0.90569999999999995</v>
      </c>
      <c r="BP741" s="1930">
        <f>ROUND(AVERAGE(BP699:BP740),2)</f>
        <v>50.71</v>
      </c>
      <c r="BQ741" s="1930">
        <f t="shared" ref="BQ741" si="391">ROUND(SUM(BQ699:BQ740),0)</f>
        <v>334506035</v>
      </c>
      <c r="BR741" s="1930">
        <f t="shared" ref="BR741:BV741" si="392">ROUND(SUM(BR699:BR740),0)</f>
        <v>345721114</v>
      </c>
      <c r="BS741" s="1930">
        <f t="shared" si="392"/>
        <v>39967919</v>
      </c>
      <c r="BT741" s="1930">
        <f t="shared" si="392"/>
        <v>750452</v>
      </c>
      <c r="BU741" s="1930">
        <f t="shared" si="392"/>
        <v>893652</v>
      </c>
      <c r="BV741" s="1930">
        <f t="shared" si="392"/>
        <v>707366</v>
      </c>
      <c r="BW741" s="1930">
        <f>ROUND(AVERAGE(BW699:BW740),4)</f>
        <v>0.94889999999999997</v>
      </c>
      <c r="BX741" s="1930">
        <f>ROUND(AVERAGE(BX699:BX740),2)</f>
        <v>53.12</v>
      </c>
      <c r="BY741" s="1930">
        <f t="shared" ref="BY741" si="393">ROUND(SUM(BY699:BY740),0)</f>
        <v>350486530</v>
      </c>
      <c r="BZ741" s="1930">
        <f t="shared" ref="BZ741:CD741" si="394">ROUND(SUM(BZ699:BZ740),0)</f>
        <v>398926236</v>
      </c>
      <c r="CA741" s="1930">
        <f t="shared" si="394"/>
        <v>44228757</v>
      </c>
      <c r="CB741" s="1930">
        <f t="shared" si="394"/>
        <v>779473</v>
      </c>
      <c r="CC741" s="1930">
        <f t="shared" si="394"/>
        <v>799137</v>
      </c>
      <c r="CD741" s="1930">
        <f t="shared" si="394"/>
        <v>700393</v>
      </c>
      <c r="CE741" s="1930">
        <f>ROUND(AVERAGE(CE699:CE740),4)</f>
        <v>0.93940000000000001</v>
      </c>
      <c r="CF741" s="1930">
        <f>ROUND(AVERAGE(CF699:CF740),2)</f>
        <v>53.42</v>
      </c>
      <c r="CG741" s="1930">
        <f t="shared" ref="CG741" si="395">ROUND(SUM(CG699:CG740),0)</f>
        <v>349981955</v>
      </c>
      <c r="CH741" s="1930">
        <f t="shared" ref="CH741:CL741" si="396">ROUND(SUM(CH699:CH740),0)</f>
        <v>356734758</v>
      </c>
      <c r="CI741" s="1930">
        <f t="shared" si="396"/>
        <v>45123041</v>
      </c>
      <c r="CJ741" s="1930">
        <f t="shared" si="396"/>
        <v>763973</v>
      </c>
      <c r="CK741" s="1930">
        <f t="shared" si="396"/>
        <v>870296</v>
      </c>
      <c r="CL741" s="1930">
        <f t="shared" si="396"/>
        <v>721311</v>
      </c>
      <c r="CM741" s="1930">
        <f>ROUND(AVERAGE(CM699:CM740),4)</f>
        <v>0.96250000000000002</v>
      </c>
      <c r="CN741" s="1930">
        <f>ROUND(AVERAGE(CN699:CN740),2)</f>
        <v>54.05</v>
      </c>
      <c r="CO741" s="1930">
        <f t="shared" ref="CO741" si="397">ROUND(SUM(CO699:CO740),0)</f>
        <v>320255985</v>
      </c>
      <c r="CP741" s="1930">
        <f t="shared" ref="CP741:CT741" si="398">ROUND(SUM(CP699:CP740),0)</f>
        <v>350903346</v>
      </c>
      <c r="CQ741" s="1930">
        <f t="shared" si="398"/>
        <v>41524886</v>
      </c>
      <c r="CR741" s="1930">
        <f t="shared" si="398"/>
        <v>763973</v>
      </c>
      <c r="CS741" s="1930">
        <f t="shared" si="398"/>
        <v>827017</v>
      </c>
      <c r="CT741" s="1930">
        <f t="shared" si="398"/>
        <v>704943</v>
      </c>
      <c r="CU741" s="1930">
        <f>ROUND(AVERAGE(CU699:CU740),4)</f>
        <v>0.94699999999999995</v>
      </c>
      <c r="CV741" s="1930">
        <f>ROUND(AVERAGE(CV699:CV740),2)</f>
        <v>56.2</v>
      </c>
      <c r="CW741" s="1930">
        <f t="shared" ref="CW741" si="399">ROUND(SUM(CW699:CW740),0)</f>
        <v>377446400</v>
      </c>
      <c r="CX741" s="1930">
        <f t="shared" ref="CX741:CY741" si="400">ROUND(SUM(CX699:CX740),0)</f>
        <v>369180300</v>
      </c>
      <c r="CY741" s="1930">
        <f t="shared" si="400"/>
        <v>51828503</v>
      </c>
    </row>
    <row r="742" spans="1:103" ht="15">
      <c r="B742" s="1927">
        <f>B654+B697+B741</f>
        <v>730</v>
      </c>
      <c r="C742" s="1900" t="s">
        <v>282</v>
      </c>
      <c r="D742" s="1928"/>
      <c r="E742" s="1929"/>
      <c r="F742" s="1928"/>
      <c r="G742" s="1930">
        <f>ROUND(G741+G697+G654,0)</f>
        <v>1060411</v>
      </c>
      <c r="H742" s="1930">
        <f t="shared" ref="H742:J742" si="401">ROUND(H741+H697+H654,0)</f>
        <v>874243</v>
      </c>
      <c r="I742" s="1930">
        <f t="shared" si="401"/>
        <v>844348</v>
      </c>
      <c r="J742" s="1930">
        <f t="shared" si="401"/>
        <v>858552</v>
      </c>
      <c r="K742" s="1930">
        <f>ROUND(AVERAGE(K741,K697,K654),4)</f>
        <v>0.80489999999999995</v>
      </c>
      <c r="L742" s="1930">
        <f>ROUND(AVERAGE(L741,L697,L654),2)</f>
        <v>30.76</v>
      </c>
      <c r="M742" s="1930">
        <f>ROUND(M741+M697+M654,0)</f>
        <v>311401048</v>
      </c>
      <c r="N742" s="1930">
        <f t="shared" ref="N742:R742" si="402">N741+N697+N654</f>
        <v>364758611</v>
      </c>
      <c r="O742" s="1930">
        <f t="shared" si="402"/>
        <v>33170171</v>
      </c>
      <c r="P742" s="1930">
        <f t="shared" si="402"/>
        <v>886361.83000000007</v>
      </c>
      <c r="Q742" s="1930">
        <f t="shared" si="402"/>
        <v>859053.48899999994</v>
      </c>
      <c r="R742" s="1930">
        <f t="shared" si="402"/>
        <v>827380.73200000008</v>
      </c>
      <c r="S742" s="1930">
        <f>ROUND(AVERAGE(S741,S697,S654),4)</f>
        <v>0.80500000000000005</v>
      </c>
      <c r="T742" s="1930">
        <f>ROUND(AVERAGE(T741,T697,T654),2)</f>
        <v>30.48</v>
      </c>
      <c r="U742" s="1930">
        <f>ROUND(U741+U697+U654,0)</f>
        <v>333539980</v>
      </c>
      <c r="V742" s="1930">
        <f t="shared" ref="V742:Z742" si="403">V741+V697+V654</f>
        <v>383481610</v>
      </c>
      <c r="W742" s="1930">
        <f t="shared" si="403"/>
        <v>39725009</v>
      </c>
      <c r="X742" s="1930">
        <f t="shared" si="403"/>
        <v>899133.83000000007</v>
      </c>
      <c r="Y742" s="1930">
        <f t="shared" si="403"/>
        <v>844491.04800000007</v>
      </c>
      <c r="Z742" s="1930">
        <f t="shared" si="403"/>
        <v>809761.48200000008</v>
      </c>
      <c r="AA742" s="1930">
        <f>ROUND(AVERAGE(AA741,AA697,AA654),4)</f>
        <v>0.82250000000000001</v>
      </c>
      <c r="AB742" s="1930">
        <f>ROUND(AVERAGE(AB741,AB697,AB654),2)</f>
        <v>32.86</v>
      </c>
      <c r="AC742" s="1930">
        <f>ROUND(AC741+AC697+AC654,0)</f>
        <v>350602724</v>
      </c>
      <c r="AD742" s="1930">
        <f t="shared" ref="AD742:AH742" si="404">AD741+AD697+AD654</f>
        <v>364819950</v>
      </c>
      <c r="AE742" s="1930">
        <f t="shared" si="404"/>
        <v>52596933</v>
      </c>
      <c r="AF742" s="1930">
        <f t="shared" si="404"/>
        <v>900978.83000000007</v>
      </c>
      <c r="AG742" s="1930">
        <f t="shared" si="404"/>
        <v>873403.071</v>
      </c>
      <c r="AH742" s="1930">
        <f t="shared" si="404"/>
        <v>802560.50199999998</v>
      </c>
      <c r="AI742" s="1930">
        <f>ROUND(AVERAGE(AI741,AI697,AI654),4)</f>
        <v>0.82140000000000002</v>
      </c>
      <c r="AJ742" s="1930">
        <f>ROUND(AVERAGE(AJ741,AJ697,AJ654),2)</f>
        <v>31.84</v>
      </c>
      <c r="AK742" s="1930">
        <f>ROUND(AK741+AK697+AK654,0)</f>
        <v>348662157</v>
      </c>
      <c r="AL742" s="1930">
        <f t="shared" ref="AL742:AP742" si="405">AL741+AL697+AL654</f>
        <v>390039479</v>
      </c>
      <c r="AM742" s="1930">
        <f t="shared" si="405"/>
        <v>38367336</v>
      </c>
      <c r="AN742" s="1930">
        <f t="shared" si="405"/>
        <v>901833.83000000007</v>
      </c>
      <c r="AO742" s="1930">
        <f t="shared" si="405"/>
        <v>889039.85899999994</v>
      </c>
      <c r="AP742" s="1930">
        <f t="shared" si="405"/>
        <v>815695.67200000002</v>
      </c>
      <c r="AQ742" s="1930">
        <f>ROUND(AVERAGE(AQ741,AQ697,AQ654),4)</f>
        <v>0.80800000000000005</v>
      </c>
      <c r="AR742" s="1930">
        <f>ROUND(AVERAGE(AR741,AR697,AR654),2)</f>
        <v>40.380000000000003</v>
      </c>
      <c r="AS742" s="1930">
        <f>ROUND(AS741+AS697+AS654,0)</f>
        <v>345684061</v>
      </c>
      <c r="AT742" s="1930">
        <f t="shared" ref="AT742:AX742" si="406">AT741+AT697+AT654</f>
        <v>396867358</v>
      </c>
      <c r="AU742" s="1930">
        <f t="shared" si="406"/>
        <v>31022475</v>
      </c>
      <c r="AV742" s="1930">
        <f t="shared" si="406"/>
        <v>944658.83000000007</v>
      </c>
      <c r="AW742" s="1930">
        <f t="shared" si="406"/>
        <v>931537.00400000007</v>
      </c>
      <c r="AX742" s="1930">
        <f t="shared" si="406"/>
        <v>847944.79200000002</v>
      </c>
      <c r="AY742" s="1930">
        <f>ROUND(AVERAGE(AY741,AY697,AY654),4)</f>
        <v>0.81969999999999998</v>
      </c>
      <c r="AZ742" s="1930">
        <f>ROUND(AVERAGE(AZ741,AZ697,AZ654),2)</f>
        <v>33.159999999999997</v>
      </c>
      <c r="BA742" s="1930">
        <f>ROUND(BA741+BA697+BA654,0)</f>
        <v>338641135</v>
      </c>
      <c r="BB742" s="1930">
        <f t="shared" ref="BB742:BF742" si="407">BB741+BB697+BB654</f>
        <v>402424219</v>
      </c>
      <c r="BC742" s="1930">
        <f t="shared" si="407"/>
        <v>38685059</v>
      </c>
      <c r="BD742" s="1930">
        <f t="shared" si="407"/>
        <v>978256.83000000007</v>
      </c>
      <c r="BE742" s="1930">
        <f t="shared" si="407"/>
        <v>928814.69</v>
      </c>
      <c r="BF742" s="1930">
        <f t="shared" si="407"/>
        <v>888177.07200000016</v>
      </c>
      <c r="BG742" s="1930">
        <f>ROUND(AVERAGE(BG741,BG697,BG654),4)</f>
        <v>0.82</v>
      </c>
      <c r="BH742" s="1930">
        <f>ROUND(AVERAGE(BH741,BH697,BH654),2)</f>
        <v>33.630000000000003</v>
      </c>
      <c r="BI742" s="1930">
        <f>ROUND(BI741+BI697+BI654,0)</f>
        <v>384778111</v>
      </c>
      <c r="BJ742" s="1930">
        <f t="shared" ref="BJ742:BN742" si="408">BJ741+BJ697+BJ654</f>
        <v>414623076</v>
      </c>
      <c r="BK742" s="1930">
        <f t="shared" si="408"/>
        <v>50081042</v>
      </c>
      <c r="BL742" s="1930">
        <f t="shared" si="408"/>
        <v>991359.83000000007</v>
      </c>
      <c r="BM742" s="1930">
        <f t="shared" si="408"/>
        <v>954763.61999999988</v>
      </c>
      <c r="BN742" s="1930">
        <f t="shared" si="408"/>
        <v>913516.902</v>
      </c>
      <c r="BO742" s="1930">
        <f>ROUND(AVERAGE(BO741,BO697,BO654),4)</f>
        <v>0.80920000000000003</v>
      </c>
      <c r="BP742" s="1930">
        <f>ROUND(AVERAGE(BP741,BP697,BP654),2)</f>
        <v>33.32</v>
      </c>
      <c r="BQ742" s="1930">
        <f>ROUND(BQ741+BQ697+BQ654,0)</f>
        <v>379248241</v>
      </c>
      <c r="BR742" s="1930">
        <f t="shared" ref="BR742:BV742" si="409">BR741+BR697+BR654</f>
        <v>412458148</v>
      </c>
      <c r="BS742" s="1930">
        <f t="shared" si="409"/>
        <v>44028812</v>
      </c>
      <c r="BT742" s="1930">
        <f t="shared" si="409"/>
        <v>1023745.8300000001</v>
      </c>
      <c r="BU742" s="1930">
        <f t="shared" si="409"/>
        <v>1048158.66</v>
      </c>
      <c r="BV742" s="1930">
        <f t="shared" si="409"/>
        <v>954653.36200000008</v>
      </c>
      <c r="BW742" s="1930">
        <f>ROUND(AVERAGE(BW741,BW697,BW654),4)</f>
        <v>0.81820000000000004</v>
      </c>
      <c r="BX742" s="1930">
        <f>ROUND(AVERAGE(BX741,BX697,BX654),2)</f>
        <v>33.590000000000003</v>
      </c>
      <c r="BY742" s="1930">
        <f>ROUND(BY741+BY697+BY654,0)</f>
        <v>394066761</v>
      </c>
      <c r="BZ742" s="1930">
        <f t="shared" ref="BZ742:CD742" si="410">BZ741+BZ697+BZ654</f>
        <v>467897886</v>
      </c>
      <c r="CA742" s="1930">
        <f t="shared" si="410"/>
        <v>47089795</v>
      </c>
      <c r="CB742" s="1930">
        <f t="shared" si="410"/>
        <v>1068212.6000000001</v>
      </c>
      <c r="CC742" s="1930">
        <f t="shared" si="410"/>
        <v>957194.94640000002</v>
      </c>
      <c r="CD742" s="1930">
        <f t="shared" si="410"/>
        <v>955604.27800000005</v>
      </c>
      <c r="CE742" s="1930">
        <f>ROUND(AVERAGE(CE741,CE697,CE654),4)</f>
        <v>0.84050000000000002</v>
      </c>
      <c r="CF742" s="1930">
        <f>ROUND(AVERAGE(CF741,CF697,CF654),2)</f>
        <v>35.200000000000003</v>
      </c>
      <c r="CG742" s="1930">
        <f>ROUND(CG741+CG697+CG654,0)</f>
        <v>396804698</v>
      </c>
      <c r="CH742" s="1930">
        <f t="shared" ref="CH742:CL742" si="411">CH741+CH697+CH654</f>
        <v>427291830</v>
      </c>
      <c r="CI742" s="1930">
        <f t="shared" si="411"/>
        <v>48522114</v>
      </c>
      <c r="CJ742" s="1930">
        <f t="shared" si="411"/>
        <v>1051649.7</v>
      </c>
      <c r="CK742" s="1930">
        <f t="shared" si="411"/>
        <v>1035157.3759</v>
      </c>
      <c r="CL742" s="1930">
        <f t="shared" si="411"/>
        <v>978944.89800000004</v>
      </c>
      <c r="CM742" s="1930">
        <f>ROUND(AVERAGE(CM741,CM697,CM654),4)</f>
        <v>0.86350000000000005</v>
      </c>
      <c r="CN742" s="1930">
        <f>ROUND(AVERAGE(CN741,CN697,CN654),2)</f>
        <v>36.47</v>
      </c>
      <c r="CO742" s="1930">
        <f>ROUND(CO741+CO697+CO654,0)</f>
        <v>365690050</v>
      </c>
      <c r="CP742" s="1930">
        <f t="shared" ref="CP742:CT742" si="412">CP741+CP697+CP654</f>
        <v>417375340</v>
      </c>
      <c r="CQ742" s="1930">
        <f t="shared" si="412"/>
        <v>44378995</v>
      </c>
      <c r="CR742" s="1930">
        <f t="shared" si="412"/>
        <v>1051657.7</v>
      </c>
      <c r="CS742" s="1930">
        <f t="shared" si="412"/>
        <v>986192.32349999994</v>
      </c>
      <c r="CT742" s="1930">
        <f t="shared" si="412"/>
        <v>957341.07799999998</v>
      </c>
      <c r="CU742" s="1930">
        <f>ROUND(AVERAGE(CU741,CU697,CU654),4)</f>
        <v>0.87029999999999996</v>
      </c>
      <c r="CV742" s="1930">
        <f>ROUND(AVERAGE(CV741,CV697,CV654),2)</f>
        <v>36.61</v>
      </c>
      <c r="CW742" s="1930">
        <f t="shared" ref="CW742:CY742" si="413">ROUND(CW741+CW697+CW654,0)</f>
        <v>426487604</v>
      </c>
      <c r="CX742" s="1930">
        <f t="shared" si="413"/>
        <v>440236100</v>
      </c>
      <c r="CY742" s="1930">
        <f t="shared" si="413"/>
        <v>54701476</v>
      </c>
    </row>
  </sheetData>
  <mergeCells count="12">
    <mergeCell ref="CR4:CY4"/>
    <mergeCell ref="H4:O4"/>
    <mergeCell ref="P4:W4"/>
    <mergeCell ref="X4:AE4"/>
    <mergeCell ref="AF4:AM4"/>
    <mergeCell ref="AN4:AU4"/>
    <mergeCell ref="AV4:BC4"/>
    <mergeCell ref="BD4:BK4"/>
    <mergeCell ref="BL4:BS4"/>
    <mergeCell ref="BT4:CA4"/>
    <mergeCell ref="CB4:CI4"/>
    <mergeCell ref="CJ4:CQ4"/>
  </mergeCells>
  <pageMargins left="0" right="0" top="0.39370078740157483" bottom="0" header="0" footer="0"/>
  <pageSetup paperSize="9" scale="85" orientation="landscape" r:id="rId1"/>
  <colBreaks count="6" manualBreakCount="6">
    <brk id="15" max="741" man="1"/>
    <brk id="31" max="741" man="1"/>
    <brk id="47" max="741" man="1"/>
    <brk id="63" max="741" man="1"/>
    <brk id="79" max="1048575" man="1"/>
    <brk id="95" max="741"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8000"/>
  </sheetPr>
  <dimension ref="A1:BK831"/>
  <sheetViews>
    <sheetView view="pageBreakPreview" topLeftCell="AN1" zoomScale="80" zoomScaleNormal="100" zoomScaleSheetLayoutView="80" workbookViewId="0">
      <selection activeCell="BM15" sqref="BM15"/>
    </sheetView>
  </sheetViews>
  <sheetFormatPr defaultColWidth="7.7109375" defaultRowHeight="12.75"/>
  <cols>
    <col min="1" max="1" width="14" style="982" hidden="1" customWidth="1"/>
    <col min="2" max="2" width="7.7109375" style="1979"/>
    <col min="3" max="3" width="35" style="517" customWidth="1"/>
    <col min="4" max="4" width="7.7109375" style="1793"/>
    <col min="5" max="5" width="13.140625" style="517" customWidth="1"/>
    <col min="6" max="8" width="7.7109375" style="194"/>
    <col min="9" max="9" width="7.7109375" style="1931"/>
    <col min="10" max="10" width="8.5703125" style="194" customWidth="1"/>
    <col min="11" max="12" width="7.7109375" style="194"/>
    <col min="13" max="13" width="12" style="194" customWidth="1"/>
    <col min="14" max="14" width="11.28515625" style="194" customWidth="1"/>
    <col min="15" max="15" width="13.5703125" style="194" customWidth="1"/>
    <col min="16" max="17" width="7.7109375" style="194"/>
    <col min="18" max="18" width="8.5703125" style="194" customWidth="1"/>
    <col min="19" max="20" width="7.7109375" style="194"/>
    <col min="21" max="23" width="11.42578125" style="194" customWidth="1"/>
    <col min="24" max="25" width="7.7109375" style="194"/>
    <col min="26" max="26" width="9.140625" style="194" customWidth="1"/>
    <col min="27" max="28" width="7.7109375" style="194"/>
    <col min="29" max="29" width="12.5703125" style="194" customWidth="1"/>
    <col min="30" max="30" width="12.140625" style="194" customWidth="1"/>
    <col min="31" max="31" width="12" style="194" customWidth="1"/>
    <col min="32" max="32" width="8.5703125" style="194" customWidth="1"/>
    <col min="33" max="33" width="7.7109375" style="194"/>
    <col min="34" max="34" width="9" style="194" customWidth="1"/>
    <col min="35" max="36" width="7.7109375" style="194"/>
    <col min="37" max="37" width="11.28515625" style="194" customWidth="1"/>
    <col min="38" max="38" width="11" style="194" customWidth="1"/>
    <col min="39" max="39" width="10.28515625" style="194" customWidth="1"/>
    <col min="40" max="41" width="7.7109375" style="194"/>
    <col min="42" max="42" width="9.140625" style="194" customWidth="1"/>
    <col min="43" max="45" width="7.7109375" style="194"/>
    <col min="46" max="46" width="11.85546875" style="194" customWidth="1"/>
    <col min="47" max="47" width="10.85546875" style="194" customWidth="1"/>
    <col min="48" max="49" width="7.7109375" style="194"/>
    <col min="50" max="50" width="9.28515625" style="194" customWidth="1"/>
    <col min="51" max="52" width="7.7109375" style="194"/>
    <col min="53" max="53" width="11.7109375" style="194" customWidth="1"/>
    <col min="54" max="54" width="11.5703125" style="194" customWidth="1"/>
    <col min="55" max="55" width="9.85546875" style="194" customWidth="1"/>
    <col min="56" max="60" width="7.7109375" style="194"/>
    <col min="61" max="61" width="11.42578125" style="194" customWidth="1"/>
    <col min="62" max="62" width="12.28515625" style="194" customWidth="1"/>
    <col min="63" max="63" width="11.140625" style="194" customWidth="1"/>
    <col min="64" max="16384" width="7.7109375" style="517"/>
  </cols>
  <sheetData>
    <row r="1" spans="1:63" ht="15">
      <c r="B1" s="985" t="s">
        <v>506</v>
      </c>
      <c r="C1" s="980"/>
    </row>
    <row r="2" spans="1:63" ht="15">
      <c r="B2" s="985" t="s">
        <v>3649</v>
      </c>
      <c r="C2" s="980"/>
    </row>
    <row r="3" spans="1:63" ht="15">
      <c r="A3" s="1932"/>
      <c r="B3" s="985" t="s">
        <v>3650</v>
      </c>
      <c r="C3" s="980"/>
      <c r="D3" s="1933"/>
      <c r="E3" s="1934"/>
      <c r="F3" s="871"/>
      <c r="G3" s="871"/>
      <c r="H3" s="871"/>
      <c r="I3" s="1935"/>
      <c r="J3" s="871"/>
      <c r="K3" s="871"/>
      <c r="L3" s="871"/>
      <c r="M3" s="871"/>
      <c r="N3" s="871"/>
      <c r="O3" s="871"/>
      <c r="P3" s="871"/>
      <c r="Q3" s="871"/>
      <c r="R3" s="871"/>
      <c r="S3" s="871"/>
      <c r="T3" s="871"/>
      <c r="U3" s="871"/>
      <c r="V3" s="871"/>
      <c r="W3" s="1936"/>
      <c r="X3" s="1937"/>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c r="AY3" s="871"/>
      <c r="AZ3" s="871"/>
      <c r="BA3" s="871"/>
      <c r="BB3" s="871"/>
      <c r="BC3" s="871"/>
      <c r="BD3" s="871"/>
      <c r="BE3" s="871"/>
      <c r="BF3" s="871"/>
      <c r="BG3" s="871"/>
      <c r="BH3" s="871"/>
      <c r="BI3" s="871"/>
      <c r="BJ3" s="871"/>
      <c r="BK3" s="871"/>
    </row>
    <row r="4" spans="1:63" ht="15">
      <c r="A4" s="1932"/>
      <c r="B4" s="1794"/>
      <c r="C4" s="980"/>
      <c r="D4" s="1933"/>
      <c r="E4" s="1934"/>
      <c r="F4" s="871"/>
      <c r="G4" s="871"/>
      <c r="H4" s="2787" t="s">
        <v>3651</v>
      </c>
      <c r="I4" s="2785"/>
      <c r="J4" s="2785"/>
      <c r="K4" s="2785"/>
      <c r="L4" s="2785"/>
      <c r="M4" s="2785"/>
      <c r="N4" s="2785"/>
      <c r="O4" s="2785"/>
      <c r="P4" s="2785" t="s">
        <v>3652</v>
      </c>
      <c r="Q4" s="2785"/>
      <c r="R4" s="2785"/>
      <c r="S4" s="2785"/>
      <c r="T4" s="2785"/>
      <c r="U4" s="2785"/>
      <c r="V4" s="2785"/>
      <c r="W4" s="2785"/>
      <c r="X4" s="2785" t="s">
        <v>3653</v>
      </c>
      <c r="Y4" s="2785"/>
      <c r="Z4" s="2785"/>
      <c r="AA4" s="2785"/>
      <c r="AB4" s="2785"/>
      <c r="AC4" s="2785"/>
      <c r="AD4" s="2785"/>
      <c r="AE4" s="2785"/>
      <c r="AF4" s="2785" t="s">
        <v>3654</v>
      </c>
      <c r="AG4" s="2785"/>
      <c r="AH4" s="2785"/>
      <c r="AI4" s="2785"/>
      <c r="AJ4" s="2785"/>
      <c r="AK4" s="2785"/>
      <c r="AL4" s="2785"/>
      <c r="AM4" s="2785"/>
      <c r="AN4" s="2785" t="s">
        <v>3655</v>
      </c>
      <c r="AO4" s="2785"/>
      <c r="AP4" s="2785"/>
      <c r="AQ4" s="2785"/>
      <c r="AR4" s="2785"/>
      <c r="AS4" s="2785"/>
      <c r="AT4" s="2785"/>
      <c r="AU4" s="2785"/>
      <c r="AV4" s="2785" t="s">
        <v>3656</v>
      </c>
      <c r="AW4" s="2785"/>
      <c r="AX4" s="2785"/>
      <c r="AY4" s="2785"/>
      <c r="AZ4" s="2785"/>
      <c r="BA4" s="2785"/>
      <c r="BB4" s="2785"/>
      <c r="BC4" s="2785"/>
      <c r="BD4" s="2785" t="s">
        <v>3657</v>
      </c>
      <c r="BE4" s="2785"/>
      <c r="BF4" s="2785"/>
      <c r="BG4" s="2785"/>
      <c r="BH4" s="2785"/>
      <c r="BI4" s="2785"/>
      <c r="BJ4" s="2785"/>
      <c r="BK4" s="2786"/>
    </row>
    <row r="5" spans="1:63" s="1945" customFormat="1" ht="24">
      <c r="A5" s="1938" t="s">
        <v>3624</v>
      </c>
      <c r="B5" s="1939" t="s">
        <v>3658</v>
      </c>
      <c r="C5" s="1940" t="s">
        <v>3625</v>
      </c>
      <c r="D5" s="1941" t="s">
        <v>3659</v>
      </c>
      <c r="E5" s="1941" t="s">
        <v>512</v>
      </c>
      <c r="F5" s="1941" t="s">
        <v>497</v>
      </c>
      <c r="G5" s="1920" t="s">
        <v>3660</v>
      </c>
      <c r="H5" s="1941" t="s">
        <v>3627</v>
      </c>
      <c r="I5" s="1942" t="s">
        <v>3628</v>
      </c>
      <c r="J5" s="1941" t="s">
        <v>3629</v>
      </c>
      <c r="K5" s="1941" t="s">
        <v>1867</v>
      </c>
      <c r="L5" s="1943" t="s">
        <v>3630</v>
      </c>
      <c r="M5" s="1941" t="s">
        <v>3631</v>
      </c>
      <c r="N5" s="1922" t="s">
        <v>3632</v>
      </c>
      <c r="O5" s="1941" t="s">
        <v>3633</v>
      </c>
      <c r="P5" s="1941" t="s">
        <v>3627</v>
      </c>
      <c r="Q5" s="1941" t="s">
        <v>3628</v>
      </c>
      <c r="R5" s="1941" t="s">
        <v>3629</v>
      </c>
      <c r="S5" s="1941" t="s">
        <v>1867</v>
      </c>
      <c r="T5" s="1943" t="s">
        <v>3630</v>
      </c>
      <c r="U5" s="1941" t="s">
        <v>3631</v>
      </c>
      <c r="V5" s="1922" t="s">
        <v>3632</v>
      </c>
      <c r="W5" s="1941" t="s">
        <v>3633</v>
      </c>
      <c r="X5" s="1941" t="s">
        <v>3627</v>
      </c>
      <c r="Y5" s="1941" t="s">
        <v>3628</v>
      </c>
      <c r="Z5" s="1941" t="s">
        <v>3629</v>
      </c>
      <c r="AA5" s="1941" t="s">
        <v>1867</v>
      </c>
      <c r="AB5" s="1943" t="s">
        <v>3630</v>
      </c>
      <c r="AC5" s="1941" t="s">
        <v>3631</v>
      </c>
      <c r="AD5" s="1922" t="s">
        <v>3632</v>
      </c>
      <c r="AE5" s="1941" t="s">
        <v>3633</v>
      </c>
      <c r="AF5" s="1941" t="s">
        <v>3627</v>
      </c>
      <c r="AG5" s="1941" t="s">
        <v>3628</v>
      </c>
      <c r="AH5" s="1941" t="s">
        <v>3629</v>
      </c>
      <c r="AI5" s="1941" t="s">
        <v>1867</v>
      </c>
      <c r="AJ5" s="1943" t="s">
        <v>3630</v>
      </c>
      <c r="AK5" s="1941" t="s">
        <v>3631</v>
      </c>
      <c r="AL5" s="1922" t="s">
        <v>3632</v>
      </c>
      <c r="AM5" s="1941" t="s">
        <v>3633</v>
      </c>
      <c r="AN5" s="1941" t="s">
        <v>3627</v>
      </c>
      <c r="AO5" s="1941" t="s">
        <v>3628</v>
      </c>
      <c r="AP5" s="1941" t="s">
        <v>3629</v>
      </c>
      <c r="AQ5" s="1941" t="s">
        <v>1867</v>
      </c>
      <c r="AR5" s="1943" t="s">
        <v>3630</v>
      </c>
      <c r="AS5" s="1941" t="s">
        <v>3631</v>
      </c>
      <c r="AT5" s="1922" t="s">
        <v>3632</v>
      </c>
      <c r="AU5" s="1941" t="s">
        <v>3633</v>
      </c>
      <c r="AV5" s="1941" t="s">
        <v>3627</v>
      </c>
      <c r="AW5" s="1941" t="s">
        <v>3628</v>
      </c>
      <c r="AX5" s="1941" t="s">
        <v>3629</v>
      </c>
      <c r="AY5" s="1941" t="s">
        <v>1867</v>
      </c>
      <c r="AZ5" s="1943" t="s">
        <v>3630</v>
      </c>
      <c r="BA5" s="1941" t="s">
        <v>3631</v>
      </c>
      <c r="BB5" s="1922" t="s">
        <v>3632</v>
      </c>
      <c r="BC5" s="1941" t="s">
        <v>3633</v>
      </c>
      <c r="BD5" s="1944" t="s">
        <v>3627</v>
      </c>
      <c r="BE5" s="1941" t="s">
        <v>3628</v>
      </c>
      <c r="BF5" s="1941" t="s">
        <v>3629</v>
      </c>
      <c r="BG5" s="1941" t="s">
        <v>1867</v>
      </c>
      <c r="BH5" s="1943" t="s">
        <v>3630</v>
      </c>
      <c r="BI5" s="1941" t="s">
        <v>3631</v>
      </c>
      <c r="BJ5" s="1922" t="s">
        <v>3632</v>
      </c>
      <c r="BK5" s="1941" t="s">
        <v>3633</v>
      </c>
    </row>
    <row r="6" spans="1:63" s="1945" customFormat="1" ht="30">
      <c r="A6" s="1938"/>
      <c r="B6" s="1939"/>
      <c r="C6" s="1891" t="s">
        <v>2904</v>
      </c>
      <c r="D6" s="1941"/>
      <c r="E6" s="1941"/>
      <c r="F6" s="1941"/>
      <c r="G6" s="1920"/>
      <c r="H6" s="1941"/>
      <c r="I6" s="1942"/>
      <c r="J6" s="1941"/>
      <c r="K6" s="1941"/>
      <c r="L6" s="1943"/>
      <c r="M6" s="1941"/>
      <c r="N6" s="1922"/>
      <c r="O6" s="1941"/>
      <c r="P6" s="1941"/>
      <c r="Q6" s="1941"/>
      <c r="R6" s="1941"/>
      <c r="S6" s="1941"/>
      <c r="T6" s="1943"/>
      <c r="U6" s="1941"/>
      <c r="V6" s="1922"/>
      <c r="W6" s="1941"/>
      <c r="X6" s="1941"/>
      <c r="Y6" s="1941"/>
      <c r="Z6" s="1941"/>
      <c r="AA6" s="1941"/>
      <c r="AB6" s="1943"/>
      <c r="AC6" s="1941"/>
      <c r="AD6" s="1922"/>
      <c r="AE6" s="1941"/>
      <c r="AF6" s="1941"/>
      <c r="AG6" s="1941"/>
      <c r="AH6" s="1941"/>
      <c r="AI6" s="1941"/>
      <c r="AJ6" s="1943"/>
      <c r="AK6" s="1941"/>
      <c r="AL6" s="1922"/>
      <c r="AM6" s="1941"/>
      <c r="AN6" s="1941"/>
      <c r="AO6" s="1941"/>
      <c r="AP6" s="1941"/>
      <c r="AQ6" s="1941"/>
      <c r="AR6" s="1943"/>
      <c r="AS6" s="1941"/>
      <c r="AT6" s="1922"/>
      <c r="AU6" s="1941"/>
      <c r="AV6" s="1941"/>
      <c r="AW6" s="1941"/>
      <c r="AX6" s="1941"/>
      <c r="AY6" s="1941"/>
      <c r="AZ6" s="1943"/>
      <c r="BA6" s="1941"/>
      <c r="BB6" s="1922"/>
      <c r="BC6" s="1941"/>
      <c r="BD6" s="1944"/>
      <c r="BE6" s="1941"/>
      <c r="BF6" s="1941"/>
      <c r="BG6" s="1941"/>
      <c r="BH6" s="1943"/>
      <c r="BI6" s="1941"/>
      <c r="BJ6" s="1922"/>
      <c r="BK6" s="1941"/>
    </row>
    <row r="7" spans="1:63" ht="15">
      <c r="A7" s="1946">
        <v>123000000078</v>
      </c>
      <c r="B7" s="1947">
        <v>1</v>
      </c>
      <c r="C7" s="1906" t="s">
        <v>2910</v>
      </c>
      <c r="D7" s="1907" t="s">
        <v>524</v>
      </c>
      <c r="E7" s="1906" t="s">
        <v>541</v>
      </c>
      <c r="F7" s="1948" t="s">
        <v>259</v>
      </c>
      <c r="G7" s="1949">
        <v>110</v>
      </c>
      <c r="H7" s="1948">
        <v>110</v>
      </c>
      <c r="I7" s="1950">
        <v>105.44</v>
      </c>
      <c r="J7" s="1948">
        <v>105.44</v>
      </c>
      <c r="K7" s="1948">
        <v>0.99160000000000004</v>
      </c>
      <c r="L7" s="1948">
        <v>28.39</v>
      </c>
      <c r="M7" s="1948">
        <v>21550</v>
      </c>
      <c r="N7" s="1948">
        <f t="shared" ref="N7:N70" si="0">+ROUND(24*30*0.6*I7,0)</f>
        <v>45550</v>
      </c>
      <c r="O7" s="1948">
        <f t="shared" ref="O7:O70" si="1">+MAX((M7-N7),0)</f>
        <v>0</v>
      </c>
      <c r="P7" s="1948">
        <v>110</v>
      </c>
      <c r="Q7" s="1948">
        <v>132.4</v>
      </c>
      <c r="R7" s="1948">
        <v>132.4</v>
      </c>
      <c r="S7" s="1948">
        <v>0.99160000000000004</v>
      </c>
      <c r="T7" s="1948">
        <v>17.940000000000001</v>
      </c>
      <c r="U7" s="1948">
        <v>17674</v>
      </c>
      <c r="V7" s="1948">
        <f t="shared" ref="V7:V70" si="2">+ROUND(24*31*0.6*Q7,0)</f>
        <v>59103</v>
      </c>
      <c r="W7" s="1948">
        <f t="shared" ref="W7:W70" si="3">+MAX((U7-V7),0)</f>
        <v>0</v>
      </c>
      <c r="X7" s="1948">
        <v>110</v>
      </c>
      <c r="Y7" s="1948">
        <v>105.52</v>
      </c>
      <c r="Z7" s="1948">
        <v>105.52</v>
      </c>
      <c r="AA7" s="1948">
        <v>0.98460000000000003</v>
      </c>
      <c r="AB7" s="1948">
        <v>24.43</v>
      </c>
      <c r="AC7" s="1948">
        <v>18557</v>
      </c>
      <c r="AD7" s="1948">
        <f t="shared" ref="AD7:AD70" si="4">+ROUND(24*30*0.6*Y7,0)</f>
        <v>45585</v>
      </c>
      <c r="AE7" s="1948">
        <f t="shared" ref="AE7:AE70" si="5">+MAX((AC7-AD7),0)</f>
        <v>0</v>
      </c>
      <c r="AF7" s="1948">
        <v>110</v>
      </c>
      <c r="AG7" s="1948">
        <v>109.52</v>
      </c>
      <c r="AH7" s="1948">
        <v>109.52</v>
      </c>
      <c r="AI7" s="1948">
        <v>0.98409999999999997</v>
      </c>
      <c r="AJ7" s="1948">
        <v>29.53</v>
      </c>
      <c r="AK7" s="1948">
        <v>24060</v>
      </c>
      <c r="AL7" s="1948">
        <f t="shared" ref="AL7:AL70" si="6">+ROUND(24*31*0.6*AG7,0)</f>
        <v>48890</v>
      </c>
      <c r="AM7" s="1948">
        <f t="shared" ref="AM7:AM70" si="7">+MAX((AK7-AL7),0)</f>
        <v>0</v>
      </c>
      <c r="AN7" s="1948">
        <v>110</v>
      </c>
      <c r="AO7" s="1948">
        <v>113.99999999999999</v>
      </c>
      <c r="AP7" s="1948">
        <v>114</v>
      </c>
      <c r="AQ7" s="1948">
        <v>0.98419999999999996</v>
      </c>
      <c r="AR7" s="1948">
        <v>28.25</v>
      </c>
      <c r="AS7" s="1948">
        <v>23959</v>
      </c>
      <c r="AT7" s="1948">
        <f t="shared" ref="AT7:AT70" si="8">+ROUND(24*31*0.6*AO7,0)</f>
        <v>50890</v>
      </c>
      <c r="AU7" s="1948">
        <f t="shared" ref="AU7:AU70" si="9">+MAX((AS7-AT7),0)</f>
        <v>0</v>
      </c>
      <c r="AV7" s="1948">
        <v>110</v>
      </c>
      <c r="AW7" s="1948">
        <v>114.88000000000001</v>
      </c>
      <c r="AX7" s="1948">
        <v>114.88</v>
      </c>
      <c r="AY7" s="1948">
        <v>0.97</v>
      </c>
      <c r="AZ7" s="1948">
        <v>27.84</v>
      </c>
      <c r="BA7" s="1948">
        <v>23024</v>
      </c>
      <c r="BB7" s="1948">
        <f t="shared" ref="BB7:BB70" si="10">+ROUND(24*30*0.6*AW7,0)</f>
        <v>49628</v>
      </c>
      <c r="BC7" s="1948">
        <f t="shared" ref="BC7:BC70" si="11">+MAX((BA7-BB7),0)</f>
        <v>0</v>
      </c>
      <c r="BD7" s="1949">
        <v>110</v>
      </c>
      <c r="BE7" s="1948">
        <v>115.92</v>
      </c>
      <c r="BF7" s="1949">
        <v>115.92</v>
      </c>
      <c r="BG7" s="1949">
        <v>0.98419999999999996</v>
      </c>
      <c r="BH7" s="1949">
        <v>25.22</v>
      </c>
      <c r="BI7" s="1948">
        <v>21753</v>
      </c>
      <c r="BJ7" s="1948">
        <f t="shared" ref="BJ7:BJ70" si="12">+ROUND(24*31*0.6*BE7,0)</f>
        <v>51747</v>
      </c>
      <c r="BK7" s="1948">
        <f t="shared" ref="BK7:BK70" si="13">+MAX((BI7-BJ7),0)</f>
        <v>0</v>
      </c>
    </row>
    <row r="8" spans="1:63" ht="15">
      <c r="A8" s="1946">
        <v>123000000109</v>
      </c>
      <c r="B8" s="1947">
        <f>+B7+1</f>
        <v>2</v>
      </c>
      <c r="C8" s="1906" t="s">
        <v>2911</v>
      </c>
      <c r="D8" s="1907" t="s">
        <v>524</v>
      </c>
      <c r="E8" s="1906" t="s">
        <v>636</v>
      </c>
      <c r="F8" s="1948" t="s">
        <v>259</v>
      </c>
      <c r="G8" s="1949">
        <v>110</v>
      </c>
      <c r="H8" s="1948">
        <v>110</v>
      </c>
      <c r="I8" s="1950">
        <v>104.88000000000001</v>
      </c>
      <c r="J8" s="1948">
        <v>104.88</v>
      </c>
      <c r="K8" s="1948">
        <v>0.99319999999999997</v>
      </c>
      <c r="L8" s="1948">
        <v>20.239999999999998</v>
      </c>
      <c r="M8" s="1948">
        <v>15286</v>
      </c>
      <c r="N8" s="1948">
        <f t="shared" si="0"/>
        <v>45308</v>
      </c>
      <c r="O8" s="1948">
        <f t="shared" si="1"/>
        <v>0</v>
      </c>
      <c r="P8" s="1948">
        <v>110</v>
      </c>
      <c r="Q8" s="1948">
        <v>100.08</v>
      </c>
      <c r="R8" s="1948">
        <v>100.08</v>
      </c>
      <c r="S8" s="1948">
        <v>0.99080000000000001</v>
      </c>
      <c r="T8" s="1948">
        <v>25.42</v>
      </c>
      <c r="U8" s="1948">
        <v>18930</v>
      </c>
      <c r="V8" s="1948">
        <f t="shared" si="2"/>
        <v>44676</v>
      </c>
      <c r="W8" s="1948">
        <f t="shared" si="3"/>
        <v>0</v>
      </c>
      <c r="X8" s="1948">
        <v>110</v>
      </c>
      <c r="Y8" s="1948">
        <v>115.67999999999999</v>
      </c>
      <c r="Z8" s="1948">
        <v>115.68</v>
      </c>
      <c r="AA8" s="1948">
        <v>0.98880000000000001</v>
      </c>
      <c r="AB8" s="1948">
        <v>22.96</v>
      </c>
      <c r="AC8" s="1948">
        <v>19121</v>
      </c>
      <c r="AD8" s="1948">
        <f t="shared" si="4"/>
        <v>49974</v>
      </c>
      <c r="AE8" s="1948">
        <f t="shared" si="5"/>
        <v>0</v>
      </c>
      <c r="AF8" s="1948">
        <v>110</v>
      </c>
      <c r="AG8" s="1948">
        <v>95.16</v>
      </c>
      <c r="AH8" s="1948">
        <v>95.16</v>
      </c>
      <c r="AI8" s="1948">
        <v>0.99080000000000001</v>
      </c>
      <c r="AJ8" s="1948">
        <v>24.26</v>
      </c>
      <c r="AK8" s="1948">
        <v>17177</v>
      </c>
      <c r="AL8" s="1948">
        <f t="shared" si="6"/>
        <v>42479</v>
      </c>
      <c r="AM8" s="1948">
        <f t="shared" si="7"/>
        <v>0</v>
      </c>
      <c r="AN8" s="1948">
        <v>110</v>
      </c>
      <c r="AO8" s="1948">
        <v>84.960000000000008</v>
      </c>
      <c r="AP8" s="1948">
        <v>88</v>
      </c>
      <c r="AQ8" s="1948">
        <v>0.9929</v>
      </c>
      <c r="AR8" s="1948">
        <v>24.29</v>
      </c>
      <c r="AS8" s="1948">
        <v>15354</v>
      </c>
      <c r="AT8" s="1948">
        <f t="shared" si="8"/>
        <v>37926</v>
      </c>
      <c r="AU8" s="1948">
        <f t="shared" si="9"/>
        <v>0</v>
      </c>
      <c r="AV8" s="1948">
        <v>110</v>
      </c>
      <c r="AW8" s="1948">
        <v>93.72</v>
      </c>
      <c r="AX8" s="1948">
        <v>93.72</v>
      </c>
      <c r="AY8" s="1948">
        <v>0.98870000000000002</v>
      </c>
      <c r="AZ8" s="1948">
        <v>23.97</v>
      </c>
      <c r="BA8" s="1948">
        <v>16175</v>
      </c>
      <c r="BB8" s="1948">
        <f t="shared" si="10"/>
        <v>40487</v>
      </c>
      <c r="BC8" s="1948">
        <f t="shared" si="11"/>
        <v>0</v>
      </c>
      <c r="BD8" s="1949">
        <v>110</v>
      </c>
      <c r="BE8" s="1948">
        <v>93</v>
      </c>
      <c r="BF8" s="1949">
        <v>93</v>
      </c>
      <c r="BG8" s="1949">
        <v>0.98939999999999995</v>
      </c>
      <c r="BH8" s="1949">
        <v>21.47</v>
      </c>
      <c r="BI8" s="1948">
        <v>14853</v>
      </c>
      <c r="BJ8" s="1948">
        <f t="shared" si="12"/>
        <v>41515</v>
      </c>
      <c r="BK8" s="1948">
        <f t="shared" si="13"/>
        <v>0</v>
      </c>
    </row>
    <row r="9" spans="1:63" ht="15">
      <c r="A9" s="1946">
        <v>126000000013</v>
      </c>
      <c r="B9" s="1947">
        <f t="shared" ref="B9:B72" si="14">+B8+1</f>
        <v>3</v>
      </c>
      <c r="C9" s="1906" t="s">
        <v>2913</v>
      </c>
      <c r="D9" s="1907" t="s">
        <v>524</v>
      </c>
      <c r="E9" s="1906" t="s">
        <v>541</v>
      </c>
      <c r="F9" s="1948" t="s">
        <v>259</v>
      </c>
      <c r="G9" s="1949">
        <v>110</v>
      </c>
      <c r="H9" s="1948">
        <v>110</v>
      </c>
      <c r="I9" s="1950">
        <v>14.4</v>
      </c>
      <c r="J9" s="1948">
        <v>88</v>
      </c>
      <c r="K9" s="1948">
        <v>0.95979999999999999</v>
      </c>
      <c r="L9" s="1948">
        <v>20.170000000000002</v>
      </c>
      <c r="M9" s="1948">
        <v>2091</v>
      </c>
      <c r="N9" s="1948">
        <f t="shared" si="0"/>
        <v>6221</v>
      </c>
      <c r="O9" s="1948">
        <f t="shared" si="1"/>
        <v>0</v>
      </c>
      <c r="P9" s="1948">
        <v>110</v>
      </c>
      <c r="Q9" s="1948">
        <v>0.13200000000000001</v>
      </c>
      <c r="R9" s="1948">
        <v>88</v>
      </c>
      <c r="S9" s="1948">
        <v>0.97829999999999995</v>
      </c>
      <c r="T9" s="1948">
        <v>19.77</v>
      </c>
      <c r="U9" s="1948">
        <v>1942</v>
      </c>
      <c r="V9" s="1948">
        <f t="shared" si="2"/>
        <v>59</v>
      </c>
      <c r="W9" s="1948">
        <f t="shared" si="3"/>
        <v>1883</v>
      </c>
      <c r="X9" s="1948">
        <v>110</v>
      </c>
      <c r="Y9" s="1948">
        <v>13.472999999999999</v>
      </c>
      <c r="Z9" s="1948">
        <v>88</v>
      </c>
      <c r="AA9" s="1948">
        <v>0.92659999999999998</v>
      </c>
      <c r="AB9" s="1948">
        <v>22.07</v>
      </c>
      <c r="AC9" s="1948">
        <v>2140</v>
      </c>
      <c r="AD9" s="1948">
        <f t="shared" si="4"/>
        <v>5820</v>
      </c>
      <c r="AE9" s="1948">
        <f t="shared" si="5"/>
        <v>0</v>
      </c>
      <c r="AF9" s="1948">
        <v>110</v>
      </c>
      <c r="AG9" s="1948">
        <v>11.5008</v>
      </c>
      <c r="AH9" s="1948">
        <v>88</v>
      </c>
      <c r="AI9" s="1948">
        <v>0.82599999999999996</v>
      </c>
      <c r="AJ9" s="1948">
        <v>29.36</v>
      </c>
      <c r="AK9" s="1948">
        <v>2512</v>
      </c>
      <c r="AL9" s="1948">
        <f t="shared" si="6"/>
        <v>5134</v>
      </c>
      <c r="AM9" s="1948">
        <f t="shared" si="7"/>
        <v>0</v>
      </c>
      <c r="AN9" s="1948">
        <v>110</v>
      </c>
      <c r="AO9" s="1948">
        <v>14.311200000000001</v>
      </c>
      <c r="AP9" s="1948">
        <v>88</v>
      </c>
      <c r="AQ9" s="1948">
        <v>0.78639999999999999</v>
      </c>
      <c r="AR9" s="1948">
        <v>22.92</v>
      </c>
      <c r="AS9" s="1948">
        <v>2440</v>
      </c>
      <c r="AT9" s="1948">
        <f t="shared" si="8"/>
        <v>6389</v>
      </c>
      <c r="AU9" s="1948">
        <f t="shared" si="9"/>
        <v>0</v>
      </c>
      <c r="AV9" s="1948">
        <v>110</v>
      </c>
      <c r="AW9" s="1948">
        <v>14.631</v>
      </c>
      <c r="AX9" s="1948">
        <v>88</v>
      </c>
      <c r="AY9" s="1948">
        <v>0.80820000000000003</v>
      </c>
      <c r="AZ9" s="1948">
        <v>23.36</v>
      </c>
      <c r="BA9" s="1948">
        <v>2461</v>
      </c>
      <c r="BB9" s="1948">
        <f t="shared" si="10"/>
        <v>6321</v>
      </c>
      <c r="BC9" s="1948">
        <f t="shared" si="11"/>
        <v>0</v>
      </c>
      <c r="BD9" s="1949">
        <v>110</v>
      </c>
      <c r="BE9" s="1948">
        <v>12.609000000000002</v>
      </c>
      <c r="BF9" s="1949">
        <v>88</v>
      </c>
      <c r="BG9" s="1949">
        <v>0.76229999999999998</v>
      </c>
      <c r="BH9" s="1949">
        <v>28.8</v>
      </c>
      <c r="BI9" s="1948">
        <v>2702</v>
      </c>
      <c r="BJ9" s="1948">
        <f t="shared" si="12"/>
        <v>5629</v>
      </c>
      <c r="BK9" s="1948">
        <f t="shared" si="13"/>
        <v>0</v>
      </c>
    </row>
    <row r="10" spans="1:63" ht="15">
      <c r="A10" s="1946">
        <v>124000000008</v>
      </c>
      <c r="B10" s="1947">
        <f t="shared" si="14"/>
        <v>4</v>
      </c>
      <c r="C10" s="1906" t="s">
        <v>2912</v>
      </c>
      <c r="D10" s="1907" t="s">
        <v>524</v>
      </c>
      <c r="E10" s="1906" t="s">
        <v>636</v>
      </c>
      <c r="F10" s="1948" t="s">
        <v>259</v>
      </c>
      <c r="G10" s="1949">
        <v>110</v>
      </c>
      <c r="H10" s="1948">
        <v>110</v>
      </c>
      <c r="I10" s="1950">
        <v>29.92</v>
      </c>
      <c r="J10" s="1948">
        <v>88</v>
      </c>
      <c r="K10" s="1948">
        <v>0.97740000000000005</v>
      </c>
      <c r="L10" s="1948">
        <v>27.19</v>
      </c>
      <c r="M10" s="1948">
        <v>5857</v>
      </c>
      <c r="N10" s="1948">
        <f t="shared" si="0"/>
        <v>12925</v>
      </c>
      <c r="O10" s="1948">
        <f t="shared" si="1"/>
        <v>0</v>
      </c>
      <c r="P10" s="1948">
        <v>110</v>
      </c>
      <c r="Q10" s="1948">
        <v>31.28</v>
      </c>
      <c r="R10" s="1948">
        <v>88</v>
      </c>
      <c r="S10" s="1948">
        <v>0.97770000000000001</v>
      </c>
      <c r="T10" s="1948">
        <v>27.59</v>
      </c>
      <c r="U10" s="1948">
        <v>6421</v>
      </c>
      <c r="V10" s="1948">
        <f t="shared" si="2"/>
        <v>13963</v>
      </c>
      <c r="W10" s="1948">
        <f t="shared" si="3"/>
        <v>0</v>
      </c>
      <c r="X10" s="1948">
        <v>110</v>
      </c>
      <c r="Y10" s="1948">
        <v>25.64</v>
      </c>
      <c r="Z10" s="1948">
        <v>88</v>
      </c>
      <c r="AA10" s="1948">
        <v>0.97850000000000004</v>
      </c>
      <c r="AB10" s="1948">
        <v>30.07</v>
      </c>
      <c r="AC10" s="1948">
        <v>5551</v>
      </c>
      <c r="AD10" s="1948">
        <f t="shared" si="4"/>
        <v>11076</v>
      </c>
      <c r="AE10" s="1948">
        <f t="shared" si="5"/>
        <v>0</v>
      </c>
      <c r="AF10" s="1948">
        <v>110</v>
      </c>
      <c r="AG10" s="1948">
        <v>25.2</v>
      </c>
      <c r="AH10" s="1948">
        <v>88</v>
      </c>
      <c r="AI10" s="1948">
        <v>0.97760000000000002</v>
      </c>
      <c r="AJ10" s="1948">
        <v>23.84</v>
      </c>
      <c r="AK10" s="1948">
        <v>4470</v>
      </c>
      <c r="AL10" s="1948">
        <f t="shared" si="6"/>
        <v>11249</v>
      </c>
      <c r="AM10" s="1948">
        <f t="shared" si="7"/>
        <v>0</v>
      </c>
      <c r="AN10" s="1948">
        <v>110</v>
      </c>
      <c r="AO10" s="1948">
        <v>25.64</v>
      </c>
      <c r="AP10" s="1948">
        <v>88</v>
      </c>
      <c r="AQ10" s="1948">
        <v>0.97350000000000003</v>
      </c>
      <c r="AR10" s="1948">
        <v>30.72</v>
      </c>
      <c r="AS10" s="1948">
        <v>5860</v>
      </c>
      <c r="AT10" s="1948">
        <f t="shared" si="8"/>
        <v>11446</v>
      </c>
      <c r="AU10" s="1948">
        <f t="shared" si="9"/>
        <v>0</v>
      </c>
      <c r="AV10" s="1948">
        <v>110</v>
      </c>
      <c r="AW10" s="1948">
        <v>33.119999999999997</v>
      </c>
      <c r="AX10" s="1948">
        <v>88</v>
      </c>
      <c r="AY10" s="1948">
        <v>0.97209999999999996</v>
      </c>
      <c r="AZ10" s="1948">
        <v>24.89</v>
      </c>
      <c r="BA10" s="1948">
        <v>5935</v>
      </c>
      <c r="BB10" s="1948">
        <f t="shared" si="10"/>
        <v>14308</v>
      </c>
      <c r="BC10" s="1948">
        <f t="shared" si="11"/>
        <v>0</v>
      </c>
      <c r="BD10" s="1949">
        <v>110</v>
      </c>
      <c r="BE10" s="1948">
        <v>30.680000000000003</v>
      </c>
      <c r="BF10" s="1949">
        <v>88</v>
      </c>
      <c r="BG10" s="1949">
        <v>0.96160000000000001</v>
      </c>
      <c r="BH10" s="1949">
        <v>25.15</v>
      </c>
      <c r="BI10" s="1948">
        <v>5741</v>
      </c>
      <c r="BJ10" s="1948">
        <f t="shared" si="12"/>
        <v>13696</v>
      </c>
      <c r="BK10" s="1948">
        <f t="shared" si="13"/>
        <v>0</v>
      </c>
    </row>
    <row r="11" spans="1:63" ht="15">
      <c r="A11" s="1946">
        <v>125000000046</v>
      </c>
      <c r="B11" s="1947">
        <f t="shared" si="14"/>
        <v>5</v>
      </c>
      <c r="C11" s="1906" t="s">
        <v>2907</v>
      </c>
      <c r="D11" s="1907" t="s">
        <v>524</v>
      </c>
      <c r="E11" s="1906" t="s">
        <v>541</v>
      </c>
      <c r="F11" s="1948" t="s">
        <v>259</v>
      </c>
      <c r="G11" s="1949">
        <v>110</v>
      </c>
      <c r="H11" s="1948">
        <v>110</v>
      </c>
      <c r="I11" s="1950">
        <v>21.36</v>
      </c>
      <c r="J11" s="1948">
        <v>88</v>
      </c>
      <c r="K11" s="1948">
        <v>0.96830000000000005</v>
      </c>
      <c r="L11" s="1948">
        <v>24.01</v>
      </c>
      <c r="M11" s="1948">
        <v>3693</v>
      </c>
      <c r="N11" s="1948">
        <f t="shared" si="0"/>
        <v>9228</v>
      </c>
      <c r="O11" s="1948">
        <f t="shared" si="1"/>
        <v>0</v>
      </c>
      <c r="P11" s="1948">
        <v>110</v>
      </c>
      <c r="Q11" s="1948">
        <v>22.319999999999997</v>
      </c>
      <c r="R11" s="1948">
        <v>88</v>
      </c>
      <c r="S11" s="1948">
        <v>0.9234</v>
      </c>
      <c r="T11" s="1948">
        <v>10.62</v>
      </c>
      <c r="U11" s="1948">
        <v>1764</v>
      </c>
      <c r="V11" s="1948">
        <f t="shared" si="2"/>
        <v>9964</v>
      </c>
      <c r="W11" s="1948">
        <f t="shared" si="3"/>
        <v>0</v>
      </c>
      <c r="X11" s="1948">
        <v>110</v>
      </c>
      <c r="Y11" s="1948">
        <v>5.52</v>
      </c>
      <c r="Z11" s="1948">
        <v>88</v>
      </c>
      <c r="AA11" s="1948">
        <v>1</v>
      </c>
      <c r="AB11" s="1948">
        <v>34.04</v>
      </c>
      <c r="AC11" s="1948">
        <v>1353</v>
      </c>
      <c r="AD11" s="1948">
        <f t="shared" si="4"/>
        <v>2385</v>
      </c>
      <c r="AE11" s="1948">
        <f t="shared" si="5"/>
        <v>0</v>
      </c>
      <c r="AF11" s="1948">
        <v>110</v>
      </c>
      <c r="AG11" s="1948">
        <v>4.8</v>
      </c>
      <c r="AH11" s="1948">
        <v>88</v>
      </c>
      <c r="AI11" s="1948">
        <v>1</v>
      </c>
      <c r="AJ11" s="1948">
        <v>43.18</v>
      </c>
      <c r="AK11" s="1948">
        <v>1542</v>
      </c>
      <c r="AL11" s="1948">
        <f t="shared" si="6"/>
        <v>2143</v>
      </c>
      <c r="AM11" s="1948">
        <f t="shared" si="7"/>
        <v>0</v>
      </c>
      <c r="AN11" s="1948">
        <v>110</v>
      </c>
      <c r="AO11" s="1948">
        <v>4.8</v>
      </c>
      <c r="AP11" s="1948">
        <v>88</v>
      </c>
      <c r="AQ11" s="1948">
        <v>1</v>
      </c>
      <c r="AR11" s="1948">
        <v>27.05</v>
      </c>
      <c r="AS11" s="1948">
        <v>966</v>
      </c>
      <c r="AT11" s="1948">
        <f t="shared" si="8"/>
        <v>2143</v>
      </c>
      <c r="AU11" s="1948">
        <f t="shared" si="9"/>
        <v>0</v>
      </c>
      <c r="AV11" s="1948">
        <v>110</v>
      </c>
      <c r="AW11" s="1948">
        <v>5.04</v>
      </c>
      <c r="AX11" s="1948">
        <v>88</v>
      </c>
      <c r="AY11" s="1948">
        <v>1.0018</v>
      </c>
      <c r="AZ11" s="1948">
        <v>44.06</v>
      </c>
      <c r="BA11" s="1948">
        <v>1599</v>
      </c>
      <c r="BB11" s="1948">
        <f t="shared" si="10"/>
        <v>2177</v>
      </c>
      <c r="BC11" s="1948">
        <f t="shared" si="11"/>
        <v>0</v>
      </c>
      <c r="BD11" s="1949">
        <v>110</v>
      </c>
      <c r="BE11" s="1948">
        <v>4.8</v>
      </c>
      <c r="BF11" s="1949">
        <v>88</v>
      </c>
      <c r="BG11" s="1949">
        <v>0.99739999999999995</v>
      </c>
      <c r="BH11" s="1949">
        <v>32.590000000000003</v>
      </c>
      <c r="BI11" s="1948">
        <v>1164</v>
      </c>
      <c r="BJ11" s="1948">
        <f t="shared" si="12"/>
        <v>2143</v>
      </c>
      <c r="BK11" s="1948">
        <f t="shared" si="13"/>
        <v>0</v>
      </c>
    </row>
    <row r="12" spans="1:63" ht="15">
      <c r="A12" s="1946">
        <v>129000000001</v>
      </c>
      <c r="B12" s="1947">
        <f t="shared" si="14"/>
        <v>6</v>
      </c>
      <c r="C12" s="1906" t="s">
        <v>2914</v>
      </c>
      <c r="D12" s="1907" t="s">
        <v>524</v>
      </c>
      <c r="E12" s="1906" t="s">
        <v>737</v>
      </c>
      <c r="F12" s="1948" t="s">
        <v>259</v>
      </c>
      <c r="G12" s="1949">
        <v>110</v>
      </c>
      <c r="H12" s="1948">
        <v>110</v>
      </c>
      <c r="I12" s="1950">
        <v>25.36</v>
      </c>
      <c r="J12" s="1948">
        <v>88</v>
      </c>
      <c r="K12" s="1948">
        <v>0.92410000000000003</v>
      </c>
      <c r="L12" s="1948">
        <v>50.63</v>
      </c>
      <c r="M12" s="1948">
        <v>9245</v>
      </c>
      <c r="N12" s="1948">
        <f t="shared" si="0"/>
        <v>10956</v>
      </c>
      <c r="O12" s="1948">
        <f t="shared" si="1"/>
        <v>0</v>
      </c>
      <c r="P12" s="1948">
        <v>110</v>
      </c>
      <c r="Q12" s="1948">
        <v>13.200000000000001</v>
      </c>
      <c r="R12" s="1948">
        <v>88</v>
      </c>
      <c r="S12" s="1948">
        <v>0.71719999999999995</v>
      </c>
      <c r="T12" s="1948">
        <v>33.24</v>
      </c>
      <c r="U12" s="1948">
        <v>3264</v>
      </c>
      <c r="V12" s="1948">
        <f t="shared" si="2"/>
        <v>5892</v>
      </c>
      <c r="W12" s="1948">
        <f t="shared" si="3"/>
        <v>0</v>
      </c>
      <c r="X12" s="1948">
        <v>110</v>
      </c>
      <c r="Y12" s="1948">
        <v>25.040000000000003</v>
      </c>
      <c r="Z12" s="1948">
        <v>88</v>
      </c>
      <c r="AA12" s="1948">
        <v>0.86550000000000005</v>
      </c>
      <c r="AB12" s="1948">
        <v>26.27</v>
      </c>
      <c r="AC12" s="1948">
        <v>4737</v>
      </c>
      <c r="AD12" s="1948">
        <f t="shared" si="4"/>
        <v>10817</v>
      </c>
      <c r="AE12" s="1948">
        <f t="shared" si="5"/>
        <v>0</v>
      </c>
      <c r="AF12" s="1948">
        <v>110</v>
      </c>
      <c r="AG12" s="1948">
        <v>32.72</v>
      </c>
      <c r="AH12" s="1948">
        <v>88</v>
      </c>
      <c r="AI12" s="1948">
        <v>0.93910000000000005</v>
      </c>
      <c r="AJ12" s="1948">
        <v>58.94</v>
      </c>
      <c r="AK12" s="1948">
        <v>14349</v>
      </c>
      <c r="AL12" s="1948">
        <f t="shared" si="6"/>
        <v>14606</v>
      </c>
      <c r="AM12" s="1948">
        <f t="shared" si="7"/>
        <v>0</v>
      </c>
      <c r="AN12" s="1948">
        <v>110</v>
      </c>
      <c r="AO12" s="1948">
        <v>33.6</v>
      </c>
      <c r="AP12" s="1948">
        <v>88</v>
      </c>
      <c r="AQ12" s="1948">
        <v>0.96540000000000004</v>
      </c>
      <c r="AR12" s="1948">
        <v>60.69</v>
      </c>
      <c r="AS12" s="1948">
        <v>15172</v>
      </c>
      <c r="AT12" s="1948">
        <f t="shared" si="8"/>
        <v>14999</v>
      </c>
      <c r="AU12" s="1948">
        <f t="shared" si="9"/>
        <v>173</v>
      </c>
      <c r="AV12" s="1948">
        <v>110</v>
      </c>
      <c r="AW12" s="1948">
        <v>32.56</v>
      </c>
      <c r="AX12" s="1948">
        <v>88</v>
      </c>
      <c r="AY12" s="1948">
        <v>0.93389999999999995</v>
      </c>
      <c r="AZ12" s="1948">
        <v>68.56</v>
      </c>
      <c r="BA12" s="1948">
        <v>16073</v>
      </c>
      <c r="BB12" s="1948">
        <f t="shared" si="10"/>
        <v>14066</v>
      </c>
      <c r="BC12" s="1948">
        <f t="shared" si="11"/>
        <v>2007</v>
      </c>
      <c r="BD12" s="1949">
        <v>110</v>
      </c>
      <c r="BE12" s="1948">
        <v>33.68</v>
      </c>
      <c r="BF12" s="1949">
        <v>88</v>
      </c>
      <c r="BG12" s="1949">
        <v>0.8115</v>
      </c>
      <c r="BH12" s="1949">
        <v>53.97</v>
      </c>
      <c r="BI12" s="1948">
        <v>13523</v>
      </c>
      <c r="BJ12" s="1948">
        <f t="shared" si="12"/>
        <v>15035</v>
      </c>
      <c r="BK12" s="1948">
        <f t="shared" si="13"/>
        <v>0</v>
      </c>
    </row>
    <row r="13" spans="1:63" ht="15">
      <c r="A13" s="1946">
        <v>615000000005</v>
      </c>
      <c r="B13" s="1947">
        <f t="shared" si="14"/>
        <v>7</v>
      </c>
      <c r="C13" s="1906" t="s">
        <v>2915</v>
      </c>
      <c r="D13" s="1907" t="s">
        <v>524</v>
      </c>
      <c r="E13" s="1906" t="s">
        <v>541</v>
      </c>
      <c r="F13" s="1948" t="s">
        <v>259</v>
      </c>
      <c r="G13" s="1949">
        <v>110</v>
      </c>
      <c r="H13" s="1948">
        <v>110</v>
      </c>
      <c r="I13" s="1950">
        <v>7.53</v>
      </c>
      <c r="J13" s="1948">
        <v>88</v>
      </c>
      <c r="K13" s="1948">
        <v>1</v>
      </c>
      <c r="L13" s="1948">
        <v>35.32</v>
      </c>
      <c r="M13" s="1948">
        <v>1915</v>
      </c>
      <c r="N13" s="1948">
        <f t="shared" si="0"/>
        <v>3253</v>
      </c>
      <c r="O13" s="1948">
        <f t="shared" si="1"/>
        <v>0</v>
      </c>
      <c r="P13" s="1948">
        <v>110</v>
      </c>
      <c r="Q13" s="1948">
        <v>7.21</v>
      </c>
      <c r="R13" s="1948">
        <v>88</v>
      </c>
      <c r="S13" s="1948">
        <v>1</v>
      </c>
      <c r="T13" s="1948">
        <v>38.89</v>
      </c>
      <c r="U13" s="1948">
        <v>2086</v>
      </c>
      <c r="V13" s="1948">
        <f t="shared" si="2"/>
        <v>3219</v>
      </c>
      <c r="W13" s="1948">
        <f t="shared" si="3"/>
        <v>0</v>
      </c>
      <c r="X13" s="1948">
        <v>110</v>
      </c>
      <c r="Y13" s="1948">
        <v>8.77</v>
      </c>
      <c r="Z13" s="1948">
        <v>88</v>
      </c>
      <c r="AA13" s="1948">
        <v>1</v>
      </c>
      <c r="AB13" s="1948">
        <v>32.07</v>
      </c>
      <c r="AC13" s="1948">
        <v>2025</v>
      </c>
      <c r="AD13" s="1948">
        <f t="shared" si="4"/>
        <v>3789</v>
      </c>
      <c r="AE13" s="1948">
        <f t="shared" si="5"/>
        <v>0</v>
      </c>
      <c r="AF13" s="1948">
        <v>110</v>
      </c>
      <c r="AG13" s="1948">
        <v>7.57</v>
      </c>
      <c r="AH13" s="1948">
        <v>88</v>
      </c>
      <c r="AI13" s="1948">
        <v>1</v>
      </c>
      <c r="AJ13" s="1948">
        <v>34.270000000000003</v>
      </c>
      <c r="AK13" s="1948">
        <v>1930</v>
      </c>
      <c r="AL13" s="1948">
        <f t="shared" si="6"/>
        <v>3379</v>
      </c>
      <c r="AM13" s="1948">
        <f t="shared" si="7"/>
        <v>0</v>
      </c>
      <c r="AN13" s="1948">
        <v>110</v>
      </c>
      <c r="AO13" s="1948">
        <v>6.65</v>
      </c>
      <c r="AP13" s="1948">
        <v>88</v>
      </c>
      <c r="AQ13" s="1948">
        <v>1</v>
      </c>
      <c r="AR13" s="1948">
        <v>37.76</v>
      </c>
      <c r="AS13" s="1948">
        <v>1868</v>
      </c>
      <c r="AT13" s="1948">
        <f t="shared" si="8"/>
        <v>2969</v>
      </c>
      <c r="AU13" s="1948">
        <f t="shared" si="9"/>
        <v>0</v>
      </c>
      <c r="AV13" s="1948">
        <v>110</v>
      </c>
      <c r="AW13" s="1948">
        <v>6.69</v>
      </c>
      <c r="AX13" s="1948">
        <v>88</v>
      </c>
      <c r="AY13" s="1948">
        <v>1</v>
      </c>
      <c r="AZ13" s="1948">
        <v>37.51</v>
      </c>
      <c r="BA13" s="1948">
        <v>1807</v>
      </c>
      <c r="BB13" s="1948">
        <f t="shared" si="10"/>
        <v>2890</v>
      </c>
      <c r="BC13" s="1948">
        <f t="shared" si="11"/>
        <v>0</v>
      </c>
      <c r="BD13" s="1949">
        <v>110</v>
      </c>
      <c r="BE13" s="1948">
        <v>6.69</v>
      </c>
      <c r="BF13" s="1949">
        <v>88</v>
      </c>
      <c r="BG13" s="1949">
        <v>1</v>
      </c>
      <c r="BH13" s="1949">
        <v>35.72</v>
      </c>
      <c r="BI13" s="1948">
        <v>1778</v>
      </c>
      <c r="BJ13" s="1948">
        <f t="shared" si="12"/>
        <v>2986</v>
      </c>
      <c r="BK13" s="1948">
        <f t="shared" si="13"/>
        <v>0</v>
      </c>
    </row>
    <row r="14" spans="1:63" ht="15">
      <c r="A14" s="1946">
        <v>615000000057</v>
      </c>
      <c r="B14" s="1947">
        <f t="shared" si="14"/>
        <v>8</v>
      </c>
      <c r="C14" s="1906" t="s">
        <v>2906</v>
      </c>
      <c r="D14" s="1907" t="s">
        <v>524</v>
      </c>
      <c r="E14" s="1906" t="s">
        <v>636</v>
      </c>
      <c r="F14" s="1948" t="s">
        <v>259</v>
      </c>
      <c r="G14" s="1949">
        <v>110</v>
      </c>
      <c r="H14" s="1948">
        <v>110</v>
      </c>
      <c r="I14" s="1950">
        <v>21.84</v>
      </c>
      <c r="J14" s="1948">
        <v>88</v>
      </c>
      <c r="K14" s="1948">
        <v>0.98829999999999996</v>
      </c>
      <c r="L14" s="1948">
        <v>8.1999999999999993</v>
      </c>
      <c r="M14" s="1948">
        <v>1290</v>
      </c>
      <c r="N14" s="1948">
        <f t="shared" si="0"/>
        <v>9435</v>
      </c>
      <c r="O14" s="1948">
        <f t="shared" si="1"/>
        <v>0</v>
      </c>
      <c r="P14" s="1948">
        <v>110</v>
      </c>
      <c r="Q14" s="1948">
        <v>17.28</v>
      </c>
      <c r="R14" s="1948">
        <v>88</v>
      </c>
      <c r="S14" s="1948">
        <v>0.99250000000000005</v>
      </c>
      <c r="T14" s="1948">
        <v>3.13</v>
      </c>
      <c r="U14" s="1948">
        <v>402</v>
      </c>
      <c r="V14" s="1948">
        <f t="shared" si="2"/>
        <v>7714</v>
      </c>
      <c r="W14" s="1948">
        <f t="shared" si="3"/>
        <v>0</v>
      </c>
      <c r="X14" s="1948">
        <v>110</v>
      </c>
      <c r="Y14" s="1948">
        <v>0.24000000000000002</v>
      </c>
      <c r="Z14" s="1948">
        <v>88</v>
      </c>
      <c r="AA14" s="1948">
        <v>1</v>
      </c>
      <c r="AB14" s="1948">
        <v>24.31</v>
      </c>
      <c r="AC14" s="1948">
        <v>42</v>
      </c>
      <c r="AD14" s="1948">
        <f t="shared" si="4"/>
        <v>104</v>
      </c>
      <c r="AE14" s="1948">
        <f t="shared" si="5"/>
        <v>0</v>
      </c>
      <c r="AF14" s="1948">
        <v>110</v>
      </c>
      <c r="AG14" s="1948">
        <v>0.24000000000000002</v>
      </c>
      <c r="AH14" s="1948">
        <v>88</v>
      </c>
      <c r="AI14" s="1948">
        <v>0.66659999999999997</v>
      </c>
      <c r="AJ14" s="1948">
        <v>5.04</v>
      </c>
      <c r="AK14" s="1948">
        <v>9</v>
      </c>
      <c r="AL14" s="1948">
        <f t="shared" si="6"/>
        <v>107</v>
      </c>
      <c r="AM14" s="1948">
        <f t="shared" si="7"/>
        <v>0</v>
      </c>
      <c r="AN14" s="1948">
        <v>110</v>
      </c>
      <c r="AO14" s="1948">
        <v>0.24000000000000002</v>
      </c>
      <c r="AP14" s="1948">
        <v>88</v>
      </c>
      <c r="AQ14" s="1948">
        <v>1</v>
      </c>
      <c r="AR14" s="1948">
        <v>3.36</v>
      </c>
      <c r="AS14" s="1948">
        <v>6</v>
      </c>
      <c r="AT14" s="1948">
        <f t="shared" si="8"/>
        <v>107</v>
      </c>
      <c r="AU14" s="1948">
        <f t="shared" si="9"/>
        <v>0</v>
      </c>
      <c r="AV14" s="1948">
        <v>110</v>
      </c>
      <c r="AW14" s="1948">
        <v>0.24000000000000002</v>
      </c>
      <c r="AX14" s="1948">
        <v>88</v>
      </c>
      <c r="AY14" s="1948">
        <v>1.5</v>
      </c>
      <c r="AZ14" s="1948">
        <v>3.47</v>
      </c>
      <c r="BA14" s="1948">
        <v>6</v>
      </c>
      <c r="BB14" s="1948">
        <f t="shared" si="10"/>
        <v>104</v>
      </c>
      <c r="BC14" s="1948">
        <f t="shared" si="11"/>
        <v>0</v>
      </c>
      <c r="BD14" s="1949">
        <v>110</v>
      </c>
      <c r="BE14" s="1948">
        <v>0.24000000000000002</v>
      </c>
      <c r="BF14" s="1949">
        <v>88</v>
      </c>
      <c r="BG14" s="1949">
        <v>1</v>
      </c>
      <c r="BH14" s="1949">
        <v>3.36</v>
      </c>
      <c r="BI14" s="1948">
        <v>6</v>
      </c>
      <c r="BJ14" s="1948">
        <f t="shared" si="12"/>
        <v>107</v>
      </c>
      <c r="BK14" s="1948">
        <f t="shared" si="13"/>
        <v>0</v>
      </c>
    </row>
    <row r="15" spans="1:63" ht="15">
      <c r="A15" s="1946">
        <v>621000000002</v>
      </c>
      <c r="B15" s="1947">
        <f t="shared" si="14"/>
        <v>9</v>
      </c>
      <c r="C15" s="1906" t="s">
        <v>2916</v>
      </c>
      <c r="D15" s="1907" t="s">
        <v>524</v>
      </c>
      <c r="E15" s="1906" t="s">
        <v>636</v>
      </c>
      <c r="F15" s="1948" t="s">
        <v>259</v>
      </c>
      <c r="G15" s="1949">
        <v>110</v>
      </c>
      <c r="H15" s="1948">
        <v>110</v>
      </c>
      <c r="I15" s="1950">
        <v>105.36000000000001</v>
      </c>
      <c r="J15" s="1948">
        <v>105.36</v>
      </c>
      <c r="K15" s="1948">
        <v>0.99980000000000002</v>
      </c>
      <c r="L15" s="1948">
        <v>55.24</v>
      </c>
      <c r="M15" s="1948">
        <v>41904</v>
      </c>
      <c r="N15" s="1948">
        <f t="shared" si="0"/>
        <v>45516</v>
      </c>
      <c r="O15" s="1948">
        <f t="shared" si="1"/>
        <v>0</v>
      </c>
      <c r="P15" s="1948">
        <v>110</v>
      </c>
      <c r="Q15" s="1948">
        <v>112.16</v>
      </c>
      <c r="R15" s="1948">
        <v>112.16</v>
      </c>
      <c r="S15" s="1948">
        <v>0.99980000000000002</v>
      </c>
      <c r="T15" s="1948">
        <v>56.04</v>
      </c>
      <c r="U15" s="1948">
        <v>46767</v>
      </c>
      <c r="V15" s="1948">
        <f t="shared" si="2"/>
        <v>50068</v>
      </c>
      <c r="W15" s="1948">
        <f t="shared" si="3"/>
        <v>0</v>
      </c>
      <c r="X15" s="1948">
        <v>110</v>
      </c>
      <c r="Y15" s="1948">
        <v>117.12</v>
      </c>
      <c r="Z15" s="1948">
        <v>117.12</v>
      </c>
      <c r="AA15" s="1948">
        <v>0.99970000000000003</v>
      </c>
      <c r="AB15" s="1948">
        <v>57.94</v>
      </c>
      <c r="AC15" s="1948">
        <v>48862</v>
      </c>
      <c r="AD15" s="1948">
        <f t="shared" si="4"/>
        <v>50596</v>
      </c>
      <c r="AE15" s="1948">
        <f t="shared" si="5"/>
        <v>0</v>
      </c>
      <c r="AF15" s="1948">
        <v>110</v>
      </c>
      <c r="AG15" s="1948">
        <v>117.12</v>
      </c>
      <c r="AH15" s="1948">
        <v>117.12</v>
      </c>
      <c r="AI15" s="1948">
        <v>0.99980000000000002</v>
      </c>
      <c r="AJ15" s="1948">
        <v>48.38</v>
      </c>
      <c r="AK15" s="1948">
        <v>42159</v>
      </c>
      <c r="AL15" s="1948">
        <f t="shared" si="6"/>
        <v>52282</v>
      </c>
      <c r="AM15" s="1948">
        <f t="shared" si="7"/>
        <v>0</v>
      </c>
      <c r="AN15" s="1948">
        <v>110</v>
      </c>
      <c r="AO15" s="1948">
        <v>110.96</v>
      </c>
      <c r="AP15" s="1948">
        <v>110.96</v>
      </c>
      <c r="AQ15" s="1948">
        <v>0.99980000000000002</v>
      </c>
      <c r="AR15" s="1948">
        <v>56.04</v>
      </c>
      <c r="AS15" s="1948">
        <v>46265</v>
      </c>
      <c r="AT15" s="1948">
        <f t="shared" si="8"/>
        <v>49533</v>
      </c>
      <c r="AU15" s="1948">
        <f t="shared" si="9"/>
        <v>0</v>
      </c>
      <c r="AV15" s="1948">
        <v>110</v>
      </c>
      <c r="AW15" s="1948">
        <v>102.47999999999999</v>
      </c>
      <c r="AX15" s="1948">
        <v>102.48</v>
      </c>
      <c r="AY15" s="1948">
        <v>0.99990000000000001</v>
      </c>
      <c r="AZ15" s="1948">
        <v>61.36</v>
      </c>
      <c r="BA15" s="1948">
        <v>45275</v>
      </c>
      <c r="BB15" s="1948">
        <f t="shared" si="10"/>
        <v>44271</v>
      </c>
      <c r="BC15" s="1948">
        <f t="shared" si="11"/>
        <v>1004</v>
      </c>
      <c r="BD15" s="1949">
        <v>110</v>
      </c>
      <c r="BE15" s="1948">
        <v>98.32</v>
      </c>
      <c r="BF15" s="1949">
        <v>98.32</v>
      </c>
      <c r="BG15" s="1949">
        <v>0.99990000000000001</v>
      </c>
      <c r="BH15" s="1949">
        <v>55.69</v>
      </c>
      <c r="BI15" s="1948">
        <v>40737</v>
      </c>
      <c r="BJ15" s="1948">
        <f t="shared" si="12"/>
        <v>43890</v>
      </c>
      <c r="BK15" s="1948">
        <f t="shared" si="13"/>
        <v>0</v>
      </c>
    </row>
    <row r="16" spans="1:63" ht="15">
      <c r="A16" s="982">
        <v>122000000021</v>
      </c>
      <c r="B16" s="1947">
        <f t="shared" si="14"/>
        <v>10</v>
      </c>
      <c r="C16" s="1895" t="s">
        <v>2909</v>
      </c>
      <c r="D16" s="1907" t="s">
        <v>3661</v>
      </c>
      <c r="E16" s="1895" t="s">
        <v>541</v>
      </c>
      <c r="F16" s="1951" t="s">
        <v>259</v>
      </c>
      <c r="G16" s="1948">
        <v>110</v>
      </c>
      <c r="H16" s="1948">
        <v>110</v>
      </c>
      <c r="I16" s="1950">
        <v>23.52</v>
      </c>
      <c r="J16" s="1948">
        <v>88</v>
      </c>
      <c r="K16" s="1948">
        <v>0.61799999999999999</v>
      </c>
      <c r="L16" s="1948">
        <v>16.649999999999999</v>
      </c>
      <c r="M16" s="1948">
        <v>2820</v>
      </c>
      <c r="N16" s="1948">
        <f t="shared" si="0"/>
        <v>10161</v>
      </c>
      <c r="O16" s="1948">
        <f t="shared" si="1"/>
        <v>0</v>
      </c>
      <c r="P16" s="1948">
        <v>110</v>
      </c>
      <c r="Q16" s="1948">
        <v>17.52</v>
      </c>
      <c r="R16" s="1948">
        <v>88</v>
      </c>
      <c r="S16" s="1948">
        <v>0.62129999999999996</v>
      </c>
      <c r="T16" s="1948">
        <v>21.82</v>
      </c>
      <c r="U16" s="1948">
        <v>2844</v>
      </c>
      <c r="V16" s="1948">
        <f t="shared" si="2"/>
        <v>7821</v>
      </c>
      <c r="W16" s="1948">
        <f t="shared" si="3"/>
        <v>0</v>
      </c>
      <c r="X16" s="1948">
        <v>110</v>
      </c>
      <c r="Y16" s="1948">
        <v>18.72</v>
      </c>
      <c r="Z16" s="1948">
        <v>88</v>
      </c>
      <c r="AA16" s="1948">
        <v>0.53669999999999995</v>
      </c>
      <c r="AB16" s="1948">
        <v>22.73</v>
      </c>
      <c r="AC16" s="1948">
        <v>3063</v>
      </c>
      <c r="AD16" s="1948">
        <f t="shared" si="4"/>
        <v>8087</v>
      </c>
      <c r="AE16" s="1948">
        <f t="shared" si="5"/>
        <v>0</v>
      </c>
      <c r="AF16" s="1948">
        <v>110</v>
      </c>
      <c r="AG16" s="1948">
        <v>30.96</v>
      </c>
      <c r="AH16" s="1948">
        <v>88</v>
      </c>
      <c r="AI16" s="1948">
        <v>0.54290000000000005</v>
      </c>
      <c r="AJ16" s="1948">
        <v>13.79</v>
      </c>
      <c r="AK16" s="1948">
        <v>3177</v>
      </c>
      <c r="AL16" s="1948">
        <f t="shared" si="6"/>
        <v>13821</v>
      </c>
      <c r="AM16" s="1948">
        <f t="shared" si="7"/>
        <v>0</v>
      </c>
      <c r="AN16" s="1948">
        <v>110</v>
      </c>
      <c r="AO16" s="1948">
        <v>17.760000000000002</v>
      </c>
      <c r="AP16" s="1948">
        <v>88</v>
      </c>
      <c r="AQ16" s="1948">
        <v>0.52780000000000005</v>
      </c>
      <c r="AR16" s="1948">
        <v>27.7</v>
      </c>
      <c r="AS16" s="1948">
        <v>3660</v>
      </c>
      <c r="AT16" s="1948">
        <f t="shared" si="8"/>
        <v>7928</v>
      </c>
      <c r="AU16" s="1948">
        <f t="shared" si="9"/>
        <v>0</v>
      </c>
      <c r="AV16" s="1948">
        <v>0</v>
      </c>
      <c r="AW16" s="1948">
        <v>0</v>
      </c>
      <c r="AX16" s="1948">
        <v>0</v>
      </c>
      <c r="AY16" s="1948">
        <v>0</v>
      </c>
      <c r="AZ16" s="1948">
        <v>0</v>
      </c>
      <c r="BA16" s="1948">
        <v>0</v>
      </c>
      <c r="BB16" s="1948">
        <f t="shared" si="10"/>
        <v>0</v>
      </c>
      <c r="BC16" s="1948">
        <f t="shared" si="11"/>
        <v>0</v>
      </c>
      <c r="BD16" s="1948">
        <v>0</v>
      </c>
      <c r="BE16" s="1948">
        <v>0</v>
      </c>
      <c r="BF16" s="1948">
        <v>0</v>
      </c>
      <c r="BG16" s="1948">
        <v>0</v>
      </c>
      <c r="BH16" s="1948">
        <v>0</v>
      </c>
      <c r="BI16" s="1948">
        <v>0</v>
      </c>
      <c r="BJ16" s="1948">
        <f t="shared" si="12"/>
        <v>0</v>
      </c>
      <c r="BK16" s="1948">
        <f t="shared" si="13"/>
        <v>0</v>
      </c>
    </row>
    <row r="17" spans="1:63" ht="15">
      <c r="A17" s="982">
        <v>611000000120</v>
      </c>
      <c r="B17" s="1947">
        <f t="shared" si="14"/>
        <v>11</v>
      </c>
      <c r="C17" s="1895" t="s">
        <v>2905</v>
      </c>
      <c r="D17" s="1907" t="s">
        <v>3661</v>
      </c>
      <c r="E17" s="1895" t="s">
        <v>737</v>
      </c>
      <c r="F17" s="1951" t="s">
        <v>232</v>
      </c>
      <c r="G17" s="1951">
        <v>110</v>
      </c>
      <c r="H17" s="1951">
        <v>110</v>
      </c>
      <c r="I17" s="1952">
        <v>46.4</v>
      </c>
      <c r="J17" s="1951">
        <v>110</v>
      </c>
      <c r="K17" s="1951">
        <v>0.99580000000000002</v>
      </c>
      <c r="L17" s="1951">
        <v>0</v>
      </c>
      <c r="M17" s="1951">
        <v>10145</v>
      </c>
      <c r="N17" s="1948">
        <f t="shared" si="0"/>
        <v>20045</v>
      </c>
      <c r="O17" s="1948">
        <f t="shared" si="1"/>
        <v>0</v>
      </c>
      <c r="P17" s="1948">
        <v>110</v>
      </c>
      <c r="Q17" s="1948">
        <v>23</v>
      </c>
      <c r="R17" s="1948">
        <v>110</v>
      </c>
      <c r="S17" s="1948">
        <v>0.98109999999999997</v>
      </c>
      <c r="T17" s="1948">
        <v>0</v>
      </c>
      <c r="U17" s="1948">
        <v>4827</v>
      </c>
      <c r="V17" s="1948">
        <f t="shared" si="2"/>
        <v>10267</v>
      </c>
      <c r="W17" s="1948">
        <f t="shared" si="3"/>
        <v>0</v>
      </c>
      <c r="X17" s="1948">
        <v>110</v>
      </c>
      <c r="Y17" s="1948">
        <v>41.4</v>
      </c>
      <c r="Z17" s="1948">
        <v>110</v>
      </c>
      <c r="AA17" s="1948">
        <v>0.99329999999999996</v>
      </c>
      <c r="AB17" s="1948">
        <v>0</v>
      </c>
      <c r="AC17" s="1948">
        <v>5099</v>
      </c>
      <c r="AD17" s="1948">
        <f t="shared" si="4"/>
        <v>17885</v>
      </c>
      <c r="AE17" s="1948">
        <f t="shared" si="5"/>
        <v>0</v>
      </c>
      <c r="AF17" s="1948">
        <v>110</v>
      </c>
      <c r="AG17" s="1948">
        <v>48.36</v>
      </c>
      <c r="AH17" s="1948">
        <v>110</v>
      </c>
      <c r="AI17" s="1948">
        <v>0.99590000000000001</v>
      </c>
      <c r="AJ17" s="1948">
        <v>0</v>
      </c>
      <c r="AK17" s="1948">
        <v>1739</v>
      </c>
      <c r="AL17" s="1948">
        <f t="shared" si="6"/>
        <v>21588</v>
      </c>
      <c r="AM17" s="1948">
        <f t="shared" si="7"/>
        <v>0</v>
      </c>
      <c r="AN17" s="1948">
        <v>0</v>
      </c>
      <c r="AO17" s="1948">
        <v>0</v>
      </c>
      <c r="AP17" s="1948">
        <v>0</v>
      </c>
      <c r="AQ17" s="1948">
        <v>0</v>
      </c>
      <c r="AR17" s="1948">
        <v>0</v>
      </c>
      <c r="AS17" s="1948">
        <v>0</v>
      </c>
      <c r="AT17" s="1948">
        <f t="shared" si="8"/>
        <v>0</v>
      </c>
      <c r="AU17" s="1948">
        <f t="shared" si="9"/>
        <v>0</v>
      </c>
      <c r="AV17" s="1948">
        <v>0</v>
      </c>
      <c r="AW17" s="1948">
        <v>0</v>
      </c>
      <c r="AX17" s="1948">
        <v>0</v>
      </c>
      <c r="AY17" s="1948">
        <v>0</v>
      </c>
      <c r="AZ17" s="1948">
        <v>0</v>
      </c>
      <c r="BA17" s="1948">
        <v>0</v>
      </c>
      <c r="BB17" s="1948">
        <f t="shared" si="10"/>
        <v>0</v>
      </c>
      <c r="BC17" s="1948">
        <f t="shared" si="11"/>
        <v>0</v>
      </c>
      <c r="BD17" s="1948">
        <v>0</v>
      </c>
      <c r="BE17" s="1948">
        <v>0</v>
      </c>
      <c r="BF17" s="1948">
        <v>0</v>
      </c>
      <c r="BG17" s="1948">
        <v>0</v>
      </c>
      <c r="BH17" s="1948">
        <v>0</v>
      </c>
      <c r="BI17" s="1948">
        <v>0</v>
      </c>
      <c r="BJ17" s="1948">
        <f t="shared" si="12"/>
        <v>0</v>
      </c>
      <c r="BK17" s="1948">
        <f t="shared" si="13"/>
        <v>0</v>
      </c>
    </row>
    <row r="18" spans="1:63" ht="15">
      <c r="A18" s="1946">
        <v>123000000071</v>
      </c>
      <c r="B18" s="1947">
        <f t="shared" si="14"/>
        <v>12</v>
      </c>
      <c r="C18" s="1906" t="s">
        <v>2917</v>
      </c>
      <c r="D18" s="1907" t="s">
        <v>524</v>
      </c>
      <c r="E18" s="1906" t="s">
        <v>636</v>
      </c>
      <c r="F18" s="1948" t="s">
        <v>259</v>
      </c>
      <c r="G18" s="1949">
        <v>110.2</v>
      </c>
      <c r="H18" s="1948">
        <v>110.2</v>
      </c>
      <c r="I18" s="1950">
        <v>29.439999999999998</v>
      </c>
      <c r="J18" s="1948">
        <v>88.16</v>
      </c>
      <c r="K18" s="1948">
        <v>0.85029999999999994</v>
      </c>
      <c r="L18" s="1948">
        <v>1.2</v>
      </c>
      <c r="M18" s="1948">
        <v>255.36310000000003</v>
      </c>
      <c r="N18" s="1948">
        <f t="shared" si="0"/>
        <v>12718</v>
      </c>
      <c r="O18" s="1948">
        <f t="shared" si="1"/>
        <v>0</v>
      </c>
      <c r="P18" s="1948">
        <v>110.2</v>
      </c>
      <c r="Q18" s="1948">
        <v>40</v>
      </c>
      <c r="R18" s="1948">
        <v>88.16</v>
      </c>
      <c r="S18" s="1948">
        <v>0.82830000000000004</v>
      </c>
      <c r="T18" s="1948">
        <v>3.92</v>
      </c>
      <c r="U18" s="1948">
        <v>1166.2973999999999</v>
      </c>
      <c r="V18" s="1948">
        <f t="shared" si="2"/>
        <v>17856</v>
      </c>
      <c r="W18" s="1948">
        <f t="shared" si="3"/>
        <v>0</v>
      </c>
      <c r="X18" s="1948">
        <v>110.2</v>
      </c>
      <c r="Y18" s="1948">
        <v>38.64</v>
      </c>
      <c r="Z18" s="1948">
        <v>88.16</v>
      </c>
      <c r="AA18" s="1948">
        <v>0.79710000000000003</v>
      </c>
      <c r="AB18" s="1948">
        <v>4.0999999999999996</v>
      </c>
      <c r="AC18" s="1948">
        <v>1142</v>
      </c>
      <c r="AD18" s="1948">
        <f t="shared" si="4"/>
        <v>16692</v>
      </c>
      <c r="AE18" s="1948">
        <f t="shared" si="5"/>
        <v>0</v>
      </c>
      <c r="AF18" s="1948">
        <v>110.2</v>
      </c>
      <c r="AG18" s="1948">
        <v>31.919999999999998</v>
      </c>
      <c r="AH18" s="1948">
        <v>88.16</v>
      </c>
      <c r="AI18" s="1948">
        <v>0.90049999999999997</v>
      </c>
      <c r="AJ18" s="1948">
        <v>14.58</v>
      </c>
      <c r="AK18" s="1948">
        <v>3463.4466000000002</v>
      </c>
      <c r="AL18" s="1948">
        <f t="shared" si="6"/>
        <v>14249</v>
      </c>
      <c r="AM18" s="1948">
        <f t="shared" si="7"/>
        <v>0</v>
      </c>
      <c r="AN18" s="1948">
        <v>110.2</v>
      </c>
      <c r="AO18" s="1948">
        <v>39.6</v>
      </c>
      <c r="AP18" s="1948">
        <v>88.16</v>
      </c>
      <c r="AQ18" s="1948">
        <v>0.92059999999999997</v>
      </c>
      <c r="AR18" s="1948">
        <v>10.029999999999999</v>
      </c>
      <c r="AS18" s="1948">
        <v>2954.3090999999999</v>
      </c>
      <c r="AT18" s="1948">
        <f t="shared" si="8"/>
        <v>17677</v>
      </c>
      <c r="AU18" s="1948">
        <f t="shared" si="9"/>
        <v>0</v>
      </c>
      <c r="AV18" s="1948">
        <v>110.2</v>
      </c>
      <c r="AW18" s="1948">
        <v>38.64</v>
      </c>
      <c r="AX18" s="1948">
        <v>88.16</v>
      </c>
      <c r="AY18" s="1948">
        <v>0.90290000000000004</v>
      </c>
      <c r="AZ18" s="1948">
        <v>5.8</v>
      </c>
      <c r="BA18" s="1948">
        <v>1615</v>
      </c>
      <c r="BB18" s="1948">
        <f t="shared" si="10"/>
        <v>16692</v>
      </c>
      <c r="BC18" s="1948">
        <f t="shared" si="11"/>
        <v>0</v>
      </c>
      <c r="BD18" s="1949">
        <v>110.2</v>
      </c>
      <c r="BE18" s="1948">
        <v>33.6</v>
      </c>
      <c r="BF18" s="1949">
        <v>88.16</v>
      </c>
      <c r="BG18" s="1949">
        <v>0.91339999999999999</v>
      </c>
      <c r="BH18" s="1949">
        <v>0.77</v>
      </c>
      <c r="BI18" s="1948">
        <v>191.4384</v>
      </c>
      <c r="BJ18" s="1948">
        <f t="shared" si="12"/>
        <v>14999</v>
      </c>
      <c r="BK18" s="1948">
        <f t="shared" si="13"/>
        <v>0</v>
      </c>
    </row>
    <row r="19" spans="1:63" ht="15">
      <c r="A19" s="1946">
        <v>123000000063</v>
      </c>
      <c r="B19" s="1947">
        <f t="shared" si="14"/>
        <v>13</v>
      </c>
      <c r="C19" s="1906" t="s">
        <v>2920</v>
      </c>
      <c r="D19" s="1907" t="s">
        <v>524</v>
      </c>
      <c r="E19" s="1906" t="s">
        <v>541</v>
      </c>
      <c r="F19" s="1948" t="s">
        <v>259</v>
      </c>
      <c r="G19" s="1949">
        <v>111</v>
      </c>
      <c r="H19" s="1948">
        <v>111</v>
      </c>
      <c r="I19" s="1950">
        <v>151.60000000000002</v>
      </c>
      <c r="J19" s="1948">
        <v>151.6</v>
      </c>
      <c r="K19" s="1948">
        <v>0.81359999999999999</v>
      </c>
      <c r="L19" s="1948">
        <v>11.45</v>
      </c>
      <c r="M19" s="1948">
        <v>12500</v>
      </c>
      <c r="N19" s="1948">
        <f t="shared" si="0"/>
        <v>65491</v>
      </c>
      <c r="O19" s="1948">
        <f t="shared" si="1"/>
        <v>0</v>
      </c>
      <c r="P19" s="1948">
        <v>111</v>
      </c>
      <c r="Q19" s="1948">
        <v>146.4</v>
      </c>
      <c r="R19" s="1948">
        <v>146.4</v>
      </c>
      <c r="S19" s="1948">
        <v>0.82840000000000003</v>
      </c>
      <c r="T19" s="1948">
        <v>11.03</v>
      </c>
      <c r="U19" s="1948">
        <v>12010</v>
      </c>
      <c r="V19" s="1948">
        <f t="shared" si="2"/>
        <v>65353</v>
      </c>
      <c r="W19" s="1948">
        <f t="shared" si="3"/>
        <v>0</v>
      </c>
      <c r="X19" s="1948">
        <v>111</v>
      </c>
      <c r="Y19" s="1948">
        <v>152.19999999999999</v>
      </c>
      <c r="Z19" s="1948">
        <v>152.19999999999999</v>
      </c>
      <c r="AA19" s="1948">
        <v>0.83740000000000003</v>
      </c>
      <c r="AB19" s="1948">
        <v>12.32</v>
      </c>
      <c r="AC19" s="1948">
        <v>13500</v>
      </c>
      <c r="AD19" s="1948">
        <f t="shared" si="4"/>
        <v>65750</v>
      </c>
      <c r="AE19" s="1948">
        <f t="shared" si="5"/>
        <v>0</v>
      </c>
      <c r="AF19" s="1948">
        <v>111</v>
      </c>
      <c r="AG19" s="1948">
        <v>140.19999999999999</v>
      </c>
      <c r="AH19" s="1948">
        <v>140.19999999999999</v>
      </c>
      <c r="AI19" s="1948">
        <v>0.8468</v>
      </c>
      <c r="AJ19" s="1948">
        <v>12.13</v>
      </c>
      <c r="AK19" s="1948">
        <v>12653</v>
      </c>
      <c r="AL19" s="1948">
        <f t="shared" si="6"/>
        <v>62585</v>
      </c>
      <c r="AM19" s="1948">
        <f t="shared" si="7"/>
        <v>0</v>
      </c>
      <c r="AN19" s="1948">
        <v>111</v>
      </c>
      <c r="AO19" s="1948">
        <v>137</v>
      </c>
      <c r="AP19" s="1948">
        <v>137</v>
      </c>
      <c r="AQ19" s="1948">
        <v>0.83360000000000001</v>
      </c>
      <c r="AR19" s="1948">
        <v>11.7</v>
      </c>
      <c r="AS19" s="1948">
        <v>11930</v>
      </c>
      <c r="AT19" s="1948">
        <f t="shared" si="8"/>
        <v>61157</v>
      </c>
      <c r="AU19" s="1948">
        <f t="shared" si="9"/>
        <v>0</v>
      </c>
      <c r="AV19" s="1948">
        <v>111</v>
      </c>
      <c r="AW19" s="1948">
        <v>137.80000000000001</v>
      </c>
      <c r="AX19" s="1948">
        <v>137.80000000000001</v>
      </c>
      <c r="AY19" s="1948">
        <v>0.84530000000000005</v>
      </c>
      <c r="AZ19" s="1948">
        <v>12.92</v>
      </c>
      <c r="BA19" s="1948">
        <v>12817</v>
      </c>
      <c r="BB19" s="1948">
        <f t="shared" si="10"/>
        <v>59530</v>
      </c>
      <c r="BC19" s="1948">
        <f t="shared" si="11"/>
        <v>0</v>
      </c>
      <c r="BD19" s="1949">
        <v>111</v>
      </c>
      <c r="BE19" s="1948">
        <v>152.79999999999998</v>
      </c>
      <c r="BF19" s="1949">
        <v>152.80000000000001</v>
      </c>
      <c r="BG19" s="1949">
        <v>0.81889999999999996</v>
      </c>
      <c r="BH19" s="1949">
        <v>11.78</v>
      </c>
      <c r="BI19" s="1948">
        <v>13395</v>
      </c>
      <c r="BJ19" s="1948">
        <f t="shared" si="12"/>
        <v>68210</v>
      </c>
      <c r="BK19" s="1948">
        <f t="shared" si="13"/>
        <v>0</v>
      </c>
    </row>
    <row r="20" spans="1:63" ht="15">
      <c r="A20" s="1946">
        <v>126000000022</v>
      </c>
      <c r="B20" s="1947">
        <f t="shared" si="14"/>
        <v>14</v>
      </c>
      <c r="C20" s="1906" t="s">
        <v>2923</v>
      </c>
      <c r="D20" s="1907" t="s">
        <v>2930</v>
      </c>
      <c r="E20" s="1906" t="s">
        <v>541</v>
      </c>
      <c r="F20" s="1948" t="s">
        <v>259</v>
      </c>
      <c r="G20" s="1949">
        <v>111</v>
      </c>
      <c r="H20" s="1948">
        <v>111</v>
      </c>
      <c r="I20" s="1950">
        <v>180.07999999999998</v>
      </c>
      <c r="J20" s="1948">
        <v>180.08</v>
      </c>
      <c r="K20" s="1948">
        <v>0.64359999999999995</v>
      </c>
      <c r="L20" s="1948">
        <v>12.67</v>
      </c>
      <c r="M20" s="1948">
        <v>16423</v>
      </c>
      <c r="N20" s="1948">
        <f t="shared" si="0"/>
        <v>77795</v>
      </c>
      <c r="O20" s="1948">
        <f t="shared" si="1"/>
        <v>0</v>
      </c>
      <c r="P20" s="1948">
        <v>111</v>
      </c>
      <c r="Q20" s="1948">
        <v>206.8</v>
      </c>
      <c r="R20" s="1948">
        <v>206.8</v>
      </c>
      <c r="S20" s="1948">
        <v>0.66659999999999997</v>
      </c>
      <c r="T20" s="1948">
        <v>5.33</v>
      </c>
      <c r="U20" s="1948">
        <v>8196</v>
      </c>
      <c r="V20" s="1948">
        <f t="shared" si="2"/>
        <v>92316</v>
      </c>
      <c r="W20" s="1948">
        <f t="shared" si="3"/>
        <v>0</v>
      </c>
      <c r="X20" s="1948">
        <v>111</v>
      </c>
      <c r="Y20" s="1948">
        <v>189.6</v>
      </c>
      <c r="Z20" s="1948">
        <v>189.6</v>
      </c>
      <c r="AA20" s="1948">
        <v>0.62660000000000005</v>
      </c>
      <c r="AB20" s="1948">
        <v>5.46</v>
      </c>
      <c r="AC20" s="1948">
        <v>4224</v>
      </c>
      <c r="AD20" s="1948">
        <f t="shared" si="4"/>
        <v>81907</v>
      </c>
      <c r="AE20" s="1948">
        <f t="shared" si="5"/>
        <v>0</v>
      </c>
      <c r="AF20" s="1948">
        <v>111</v>
      </c>
      <c r="AG20" s="1948">
        <v>6</v>
      </c>
      <c r="AH20" s="1948">
        <v>88.8</v>
      </c>
      <c r="AI20" s="1948">
        <v>0</v>
      </c>
      <c r="AJ20" s="1948">
        <v>0</v>
      </c>
      <c r="AK20" s="1948">
        <v>0</v>
      </c>
      <c r="AL20" s="1948">
        <f t="shared" si="6"/>
        <v>2678</v>
      </c>
      <c r="AM20" s="1948">
        <f t="shared" si="7"/>
        <v>0</v>
      </c>
      <c r="AN20" s="1948">
        <v>111</v>
      </c>
      <c r="AO20" s="1948">
        <v>0</v>
      </c>
      <c r="AP20" s="1948">
        <v>88.8</v>
      </c>
      <c r="AQ20" s="1948">
        <v>0</v>
      </c>
      <c r="AR20" s="1948">
        <v>0</v>
      </c>
      <c r="AS20" s="1948">
        <v>0</v>
      </c>
      <c r="AT20" s="1948">
        <f t="shared" si="8"/>
        <v>0</v>
      </c>
      <c r="AU20" s="1948">
        <f t="shared" si="9"/>
        <v>0</v>
      </c>
      <c r="AV20" s="1948">
        <v>111</v>
      </c>
      <c r="AW20" s="1948">
        <v>0</v>
      </c>
      <c r="AX20" s="1948">
        <v>88.8</v>
      </c>
      <c r="AY20" s="1948">
        <v>0</v>
      </c>
      <c r="AZ20" s="1948">
        <v>0</v>
      </c>
      <c r="BA20" s="1948">
        <v>0</v>
      </c>
      <c r="BB20" s="1948">
        <f t="shared" si="10"/>
        <v>0</v>
      </c>
      <c r="BC20" s="1948">
        <f t="shared" si="11"/>
        <v>0</v>
      </c>
      <c r="BD20" s="1949">
        <v>111</v>
      </c>
      <c r="BE20" s="1948">
        <v>0</v>
      </c>
      <c r="BF20" s="1949">
        <v>88.8</v>
      </c>
      <c r="BG20" s="1949">
        <v>0</v>
      </c>
      <c r="BH20" s="1949">
        <v>0</v>
      </c>
      <c r="BI20" s="1948">
        <v>0</v>
      </c>
      <c r="BJ20" s="1948">
        <f t="shared" si="12"/>
        <v>0</v>
      </c>
      <c r="BK20" s="1948">
        <f t="shared" si="13"/>
        <v>0</v>
      </c>
    </row>
    <row r="21" spans="1:63" ht="15">
      <c r="A21" s="1946">
        <v>125000000035</v>
      </c>
      <c r="B21" s="1947">
        <f t="shared" si="14"/>
        <v>15</v>
      </c>
      <c r="C21" s="1906" t="s">
        <v>2921</v>
      </c>
      <c r="D21" s="1907" t="s">
        <v>524</v>
      </c>
      <c r="E21" s="1906" t="s">
        <v>737</v>
      </c>
      <c r="F21" s="1948" t="s">
        <v>259</v>
      </c>
      <c r="G21" s="1949">
        <v>111</v>
      </c>
      <c r="H21" s="1948">
        <v>111</v>
      </c>
      <c r="I21" s="1950">
        <v>15.28</v>
      </c>
      <c r="J21" s="1948">
        <v>88.8</v>
      </c>
      <c r="K21" s="1948">
        <v>0.99670000000000003</v>
      </c>
      <c r="L21" s="1948">
        <v>36.9</v>
      </c>
      <c r="M21" s="1948">
        <v>4060</v>
      </c>
      <c r="N21" s="1948">
        <f t="shared" si="0"/>
        <v>6601</v>
      </c>
      <c r="O21" s="1948">
        <f t="shared" si="1"/>
        <v>0</v>
      </c>
      <c r="P21" s="1948">
        <v>111</v>
      </c>
      <c r="Q21" s="1948">
        <v>7.12</v>
      </c>
      <c r="R21" s="1948">
        <v>88.8</v>
      </c>
      <c r="S21" s="1948">
        <v>0.97529999999999994</v>
      </c>
      <c r="T21" s="1948">
        <v>24.52</v>
      </c>
      <c r="U21" s="1948">
        <v>1299</v>
      </c>
      <c r="V21" s="1948">
        <f t="shared" si="2"/>
        <v>3178</v>
      </c>
      <c r="W21" s="1948">
        <f t="shared" si="3"/>
        <v>0</v>
      </c>
      <c r="X21" s="1948">
        <v>111</v>
      </c>
      <c r="Y21" s="1948">
        <v>15.28</v>
      </c>
      <c r="Z21" s="1948">
        <v>88.8</v>
      </c>
      <c r="AA21" s="1948">
        <v>0.99039999999999995</v>
      </c>
      <c r="AB21" s="1948">
        <v>20.86</v>
      </c>
      <c r="AC21" s="1948">
        <v>2295</v>
      </c>
      <c r="AD21" s="1948">
        <f t="shared" si="4"/>
        <v>6601</v>
      </c>
      <c r="AE21" s="1948">
        <f t="shared" si="5"/>
        <v>0</v>
      </c>
      <c r="AF21" s="1948">
        <v>111</v>
      </c>
      <c r="AG21" s="1948">
        <v>15.2</v>
      </c>
      <c r="AH21" s="1948">
        <v>88.8</v>
      </c>
      <c r="AI21" s="1948">
        <v>0.99839999999999995</v>
      </c>
      <c r="AJ21" s="1948">
        <v>50.26</v>
      </c>
      <c r="AK21" s="1948">
        <v>5684</v>
      </c>
      <c r="AL21" s="1948">
        <f t="shared" si="6"/>
        <v>6785</v>
      </c>
      <c r="AM21" s="1948">
        <f t="shared" si="7"/>
        <v>0</v>
      </c>
      <c r="AN21" s="1948">
        <v>111</v>
      </c>
      <c r="AO21" s="1948">
        <v>17.28</v>
      </c>
      <c r="AP21" s="1948">
        <v>88.8</v>
      </c>
      <c r="AQ21" s="1948">
        <v>0.99850000000000005</v>
      </c>
      <c r="AR21" s="1948">
        <v>48.29</v>
      </c>
      <c r="AS21" s="1948">
        <v>6208</v>
      </c>
      <c r="AT21" s="1948">
        <f t="shared" si="8"/>
        <v>7714</v>
      </c>
      <c r="AU21" s="1948">
        <f t="shared" si="9"/>
        <v>0</v>
      </c>
      <c r="AV21" s="1948">
        <v>111</v>
      </c>
      <c r="AW21" s="1948">
        <v>16.72</v>
      </c>
      <c r="AX21" s="1948">
        <v>88.8</v>
      </c>
      <c r="AY21" s="1948">
        <v>0.99839999999999995</v>
      </c>
      <c r="AZ21" s="1948">
        <v>52.82</v>
      </c>
      <c r="BA21" s="1948">
        <v>6359</v>
      </c>
      <c r="BB21" s="1948">
        <f t="shared" si="10"/>
        <v>7223</v>
      </c>
      <c r="BC21" s="1948">
        <f t="shared" si="11"/>
        <v>0</v>
      </c>
      <c r="BD21" s="1949">
        <v>111</v>
      </c>
      <c r="BE21" s="1948">
        <v>16.32</v>
      </c>
      <c r="BF21" s="1949">
        <v>88.8</v>
      </c>
      <c r="BG21" s="1949">
        <v>0.98760000000000003</v>
      </c>
      <c r="BH21" s="1949">
        <v>38.630000000000003</v>
      </c>
      <c r="BI21" s="1948">
        <v>4690</v>
      </c>
      <c r="BJ21" s="1948">
        <f t="shared" si="12"/>
        <v>7285</v>
      </c>
      <c r="BK21" s="1948">
        <f t="shared" si="13"/>
        <v>0</v>
      </c>
    </row>
    <row r="22" spans="1:63" ht="15">
      <c r="A22" s="1946">
        <v>125000000039</v>
      </c>
      <c r="B22" s="1947">
        <f t="shared" si="14"/>
        <v>16</v>
      </c>
      <c r="C22" s="1906" t="s">
        <v>2922</v>
      </c>
      <c r="D22" s="1907" t="s">
        <v>524</v>
      </c>
      <c r="E22" s="1906" t="s">
        <v>636</v>
      </c>
      <c r="F22" s="1948" t="s">
        <v>259</v>
      </c>
      <c r="G22" s="1949">
        <v>111</v>
      </c>
      <c r="H22" s="1948">
        <v>111</v>
      </c>
      <c r="I22" s="1950">
        <v>30.64</v>
      </c>
      <c r="J22" s="1948">
        <v>88.8</v>
      </c>
      <c r="K22" s="1948">
        <v>0.99450000000000005</v>
      </c>
      <c r="L22" s="1948">
        <v>66.94</v>
      </c>
      <c r="M22" s="1948">
        <v>14767</v>
      </c>
      <c r="N22" s="1948">
        <f t="shared" si="0"/>
        <v>13236</v>
      </c>
      <c r="O22" s="1948">
        <f t="shared" si="1"/>
        <v>1531</v>
      </c>
      <c r="P22" s="1948">
        <v>111</v>
      </c>
      <c r="Q22" s="1948">
        <v>30.56</v>
      </c>
      <c r="R22" s="1948">
        <v>88.8</v>
      </c>
      <c r="S22" s="1948">
        <v>0.99419999999999997</v>
      </c>
      <c r="T22" s="1948">
        <v>66.23</v>
      </c>
      <c r="U22" s="1948">
        <v>15058</v>
      </c>
      <c r="V22" s="1948">
        <f t="shared" si="2"/>
        <v>13642</v>
      </c>
      <c r="W22" s="1948">
        <f t="shared" si="3"/>
        <v>1416</v>
      </c>
      <c r="X22" s="1948">
        <v>111</v>
      </c>
      <c r="Y22" s="1948">
        <v>41.44</v>
      </c>
      <c r="Z22" s="1948">
        <v>88.8</v>
      </c>
      <c r="AA22" s="1948">
        <v>0.99429999999999996</v>
      </c>
      <c r="AB22" s="1948">
        <v>52.05</v>
      </c>
      <c r="AC22" s="1948">
        <v>15531</v>
      </c>
      <c r="AD22" s="1948">
        <f t="shared" si="4"/>
        <v>17902</v>
      </c>
      <c r="AE22" s="1948">
        <f t="shared" si="5"/>
        <v>0</v>
      </c>
      <c r="AF22" s="1948">
        <v>111</v>
      </c>
      <c r="AG22" s="1948">
        <v>31.2</v>
      </c>
      <c r="AH22" s="1948">
        <v>88.8</v>
      </c>
      <c r="AI22" s="1948">
        <v>0.99399999999999999</v>
      </c>
      <c r="AJ22" s="1948">
        <v>64.06</v>
      </c>
      <c r="AK22" s="1948">
        <v>14871</v>
      </c>
      <c r="AL22" s="1948">
        <f t="shared" si="6"/>
        <v>13928</v>
      </c>
      <c r="AM22" s="1948">
        <f t="shared" si="7"/>
        <v>943</v>
      </c>
      <c r="AN22" s="1948">
        <v>111</v>
      </c>
      <c r="AO22" s="1948">
        <v>29.28</v>
      </c>
      <c r="AP22" s="1948">
        <v>88.8</v>
      </c>
      <c r="AQ22" s="1948">
        <v>0.99470000000000003</v>
      </c>
      <c r="AR22" s="1948">
        <v>69.27</v>
      </c>
      <c r="AS22" s="1948">
        <v>15090</v>
      </c>
      <c r="AT22" s="1948">
        <f t="shared" si="8"/>
        <v>13071</v>
      </c>
      <c r="AU22" s="1948">
        <f t="shared" si="9"/>
        <v>2019</v>
      </c>
      <c r="AV22" s="1948">
        <v>111</v>
      </c>
      <c r="AW22" s="1948">
        <v>28.48</v>
      </c>
      <c r="AX22" s="1948">
        <v>88.8</v>
      </c>
      <c r="AY22" s="1948">
        <v>0.99419999999999997</v>
      </c>
      <c r="AZ22" s="1948">
        <v>69.91</v>
      </c>
      <c r="BA22" s="1948">
        <v>14336</v>
      </c>
      <c r="BB22" s="1948">
        <f t="shared" si="10"/>
        <v>12303</v>
      </c>
      <c r="BC22" s="1948">
        <f t="shared" si="11"/>
        <v>2033</v>
      </c>
      <c r="BD22" s="1949">
        <v>111</v>
      </c>
      <c r="BE22" s="1948">
        <v>29.28</v>
      </c>
      <c r="BF22" s="1949">
        <v>88.8</v>
      </c>
      <c r="BG22" s="1949">
        <v>0.99280000000000002</v>
      </c>
      <c r="BH22" s="1949">
        <v>66.95</v>
      </c>
      <c r="BI22" s="1948">
        <v>14584</v>
      </c>
      <c r="BJ22" s="1948">
        <f t="shared" si="12"/>
        <v>13071</v>
      </c>
      <c r="BK22" s="1948">
        <f t="shared" si="13"/>
        <v>1513</v>
      </c>
    </row>
    <row r="23" spans="1:63" ht="15">
      <c r="A23" s="1946">
        <v>125000000043</v>
      </c>
      <c r="B23" s="1947">
        <f t="shared" si="14"/>
        <v>17</v>
      </c>
      <c r="C23" s="1906" t="s">
        <v>2924</v>
      </c>
      <c r="D23" s="1907" t="s">
        <v>524</v>
      </c>
      <c r="E23" s="1906" t="s">
        <v>737</v>
      </c>
      <c r="F23" s="1948" t="s">
        <v>259</v>
      </c>
      <c r="G23" s="1949">
        <v>111</v>
      </c>
      <c r="H23" s="1948">
        <v>111</v>
      </c>
      <c r="I23" s="1950">
        <v>12.24</v>
      </c>
      <c r="J23" s="1948">
        <v>88.8</v>
      </c>
      <c r="K23" s="1948">
        <v>0.97709999999999997</v>
      </c>
      <c r="L23" s="1948">
        <v>34.28</v>
      </c>
      <c r="M23" s="1948">
        <v>3021</v>
      </c>
      <c r="N23" s="1948">
        <f t="shared" si="0"/>
        <v>5288</v>
      </c>
      <c r="O23" s="1948">
        <f t="shared" si="1"/>
        <v>0</v>
      </c>
      <c r="P23" s="1948">
        <v>111</v>
      </c>
      <c r="Q23" s="1948">
        <v>5.2</v>
      </c>
      <c r="R23" s="1948">
        <v>88.8</v>
      </c>
      <c r="S23" s="1948">
        <v>0.96719999999999995</v>
      </c>
      <c r="T23" s="1948">
        <v>26.86</v>
      </c>
      <c r="U23" s="1948">
        <v>1039</v>
      </c>
      <c r="V23" s="1948">
        <f t="shared" si="2"/>
        <v>2321</v>
      </c>
      <c r="W23" s="1948">
        <f t="shared" si="3"/>
        <v>0</v>
      </c>
      <c r="X23" s="1948">
        <v>111</v>
      </c>
      <c r="Y23" s="1948">
        <v>12.16</v>
      </c>
      <c r="Z23" s="1948">
        <v>88.8</v>
      </c>
      <c r="AA23" s="1948">
        <v>0.99219999999999997</v>
      </c>
      <c r="AB23" s="1948">
        <v>20.71</v>
      </c>
      <c r="AC23" s="1948">
        <v>1813</v>
      </c>
      <c r="AD23" s="1948">
        <f t="shared" si="4"/>
        <v>5253</v>
      </c>
      <c r="AE23" s="1948">
        <f t="shared" si="5"/>
        <v>0</v>
      </c>
      <c r="AF23" s="1948">
        <v>111</v>
      </c>
      <c r="AG23" s="1948">
        <v>12.72</v>
      </c>
      <c r="AH23" s="1948">
        <v>88.8</v>
      </c>
      <c r="AI23" s="1948">
        <v>0.99919999999999998</v>
      </c>
      <c r="AJ23" s="1948">
        <v>41.98</v>
      </c>
      <c r="AK23" s="1948">
        <v>3973</v>
      </c>
      <c r="AL23" s="1948">
        <f t="shared" si="6"/>
        <v>5678</v>
      </c>
      <c r="AM23" s="1948">
        <f t="shared" si="7"/>
        <v>0</v>
      </c>
      <c r="AN23" s="1948">
        <v>111</v>
      </c>
      <c r="AO23" s="1948">
        <v>15.36</v>
      </c>
      <c r="AP23" s="1948">
        <v>88.8</v>
      </c>
      <c r="AQ23" s="1948">
        <v>0.99880000000000002</v>
      </c>
      <c r="AR23" s="1948">
        <v>39.4</v>
      </c>
      <c r="AS23" s="1948">
        <v>4503</v>
      </c>
      <c r="AT23" s="1948">
        <f t="shared" si="8"/>
        <v>6857</v>
      </c>
      <c r="AU23" s="1948">
        <f t="shared" si="9"/>
        <v>0</v>
      </c>
      <c r="AV23" s="1948">
        <v>111</v>
      </c>
      <c r="AW23" s="1948">
        <v>15.2</v>
      </c>
      <c r="AX23" s="1948">
        <v>88.8</v>
      </c>
      <c r="AY23" s="1948">
        <v>0.99950000000000006</v>
      </c>
      <c r="AZ23" s="1948">
        <v>38.82</v>
      </c>
      <c r="BA23" s="1948">
        <v>4248</v>
      </c>
      <c r="BB23" s="1948">
        <f t="shared" si="10"/>
        <v>6566</v>
      </c>
      <c r="BC23" s="1948">
        <f t="shared" si="11"/>
        <v>0</v>
      </c>
      <c r="BD23" s="1949">
        <v>111</v>
      </c>
      <c r="BE23" s="1948">
        <v>0.15840000000000001</v>
      </c>
      <c r="BF23" s="1949">
        <v>88.8</v>
      </c>
      <c r="BG23" s="1949">
        <v>0.99209999999999998</v>
      </c>
      <c r="BH23" s="1949">
        <v>28.77</v>
      </c>
      <c r="BI23" s="1948">
        <v>3391</v>
      </c>
      <c r="BJ23" s="1948">
        <f t="shared" si="12"/>
        <v>71</v>
      </c>
      <c r="BK23" s="1948">
        <f t="shared" si="13"/>
        <v>3320</v>
      </c>
    </row>
    <row r="24" spans="1:63" ht="15">
      <c r="A24" s="1946">
        <v>421000000012</v>
      </c>
      <c r="B24" s="1947">
        <f t="shared" si="14"/>
        <v>18</v>
      </c>
      <c r="C24" s="1906" t="s">
        <v>2925</v>
      </c>
      <c r="D24" s="1907" t="s">
        <v>524</v>
      </c>
      <c r="E24" s="1906" t="s">
        <v>636</v>
      </c>
      <c r="F24" s="1948" t="s">
        <v>259</v>
      </c>
      <c r="G24" s="1949">
        <v>111</v>
      </c>
      <c r="H24" s="1948">
        <v>111</v>
      </c>
      <c r="I24" s="1950">
        <v>9.44</v>
      </c>
      <c r="J24" s="1948">
        <v>88.8</v>
      </c>
      <c r="K24" s="1948">
        <v>1</v>
      </c>
      <c r="L24" s="1948">
        <v>30.34</v>
      </c>
      <c r="M24" s="1948">
        <v>2062</v>
      </c>
      <c r="N24" s="1948">
        <f t="shared" si="0"/>
        <v>4078</v>
      </c>
      <c r="O24" s="1948">
        <f t="shared" si="1"/>
        <v>0</v>
      </c>
      <c r="P24" s="1948">
        <v>111</v>
      </c>
      <c r="Q24" s="1948">
        <v>13.76</v>
      </c>
      <c r="R24" s="1948">
        <v>88.8</v>
      </c>
      <c r="S24" s="1948">
        <v>0.99909999999999999</v>
      </c>
      <c r="T24" s="1948">
        <v>21.79</v>
      </c>
      <c r="U24" s="1948">
        <v>2231</v>
      </c>
      <c r="V24" s="1948">
        <f t="shared" si="2"/>
        <v>6142</v>
      </c>
      <c r="W24" s="1948">
        <f t="shared" si="3"/>
        <v>0</v>
      </c>
      <c r="X24" s="1948">
        <v>111</v>
      </c>
      <c r="Y24" s="1948">
        <v>10.4</v>
      </c>
      <c r="Z24" s="1948">
        <v>88.8</v>
      </c>
      <c r="AA24" s="1948">
        <v>1.0004999999999999</v>
      </c>
      <c r="AB24" s="1948">
        <v>26.23</v>
      </c>
      <c r="AC24" s="1948">
        <v>1964</v>
      </c>
      <c r="AD24" s="1948">
        <f t="shared" si="4"/>
        <v>4493</v>
      </c>
      <c r="AE24" s="1948">
        <f t="shared" si="5"/>
        <v>0</v>
      </c>
      <c r="AF24" s="1948">
        <v>111</v>
      </c>
      <c r="AG24" s="1948">
        <v>10</v>
      </c>
      <c r="AH24" s="1948">
        <v>88.8</v>
      </c>
      <c r="AI24" s="1948">
        <v>0.99890000000000001</v>
      </c>
      <c r="AJ24" s="1948">
        <v>26.77</v>
      </c>
      <c r="AK24" s="1948">
        <v>1992</v>
      </c>
      <c r="AL24" s="1948">
        <f t="shared" si="6"/>
        <v>4464</v>
      </c>
      <c r="AM24" s="1948">
        <f t="shared" si="7"/>
        <v>0</v>
      </c>
      <c r="AN24" s="1948">
        <v>111</v>
      </c>
      <c r="AO24" s="1948">
        <v>9.76</v>
      </c>
      <c r="AP24" s="1948">
        <v>88.8</v>
      </c>
      <c r="AQ24" s="1948">
        <v>0.99760000000000004</v>
      </c>
      <c r="AR24" s="1948">
        <v>29.1</v>
      </c>
      <c r="AS24" s="1948">
        <v>2113</v>
      </c>
      <c r="AT24" s="1948">
        <f t="shared" si="8"/>
        <v>4357</v>
      </c>
      <c r="AU24" s="1948">
        <f t="shared" si="9"/>
        <v>0</v>
      </c>
      <c r="AV24" s="1948">
        <v>111</v>
      </c>
      <c r="AW24" s="1948">
        <v>9.120000000000001</v>
      </c>
      <c r="AX24" s="1948">
        <v>88.8</v>
      </c>
      <c r="AY24" s="1948">
        <v>0.999</v>
      </c>
      <c r="AZ24" s="1948">
        <v>31.02</v>
      </c>
      <c r="BA24" s="1948">
        <v>2037</v>
      </c>
      <c r="BB24" s="1948">
        <f t="shared" si="10"/>
        <v>3940</v>
      </c>
      <c r="BC24" s="1948">
        <f t="shared" si="11"/>
        <v>0</v>
      </c>
      <c r="BD24" s="1949">
        <v>111</v>
      </c>
      <c r="BE24" s="1948">
        <v>8.7200000000000006</v>
      </c>
      <c r="BF24" s="1949">
        <v>88.8</v>
      </c>
      <c r="BG24" s="1949">
        <v>0.999</v>
      </c>
      <c r="BH24" s="1949">
        <v>31.46</v>
      </c>
      <c r="BI24" s="1948">
        <v>2041</v>
      </c>
      <c r="BJ24" s="1948">
        <f t="shared" si="12"/>
        <v>3893</v>
      </c>
      <c r="BK24" s="1948">
        <f t="shared" si="13"/>
        <v>0</v>
      </c>
    </row>
    <row r="25" spans="1:63" ht="15">
      <c r="A25" s="1946">
        <v>421000000014</v>
      </c>
      <c r="B25" s="1947">
        <f t="shared" si="14"/>
        <v>19</v>
      </c>
      <c r="C25" s="1906" t="s">
        <v>2926</v>
      </c>
      <c r="D25" s="1907" t="s">
        <v>524</v>
      </c>
      <c r="E25" s="1906" t="s">
        <v>737</v>
      </c>
      <c r="F25" s="1948" t="s">
        <v>259</v>
      </c>
      <c r="G25" s="1949">
        <v>111</v>
      </c>
      <c r="H25" s="1948">
        <v>111</v>
      </c>
      <c r="I25" s="1950">
        <v>45.92</v>
      </c>
      <c r="J25" s="1948">
        <v>88.8</v>
      </c>
      <c r="K25" s="1948">
        <v>0.99980000000000002</v>
      </c>
      <c r="L25" s="1948">
        <v>20.72</v>
      </c>
      <c r="M25" s="1948">
        <v>6849</v>
      </c>
      <c r="N25" s="1948">
        <f t="shared" si="0"/>
        <v>19837</v>
      </c>
      <c r="O25" s="1948">
        <f t="shared" si="1"/>
        <v>0</v>
      </c>
      <c r="P25" s="1948">
        <v>111</v>
      </c>
      <c r="Q25" s="1948">
        <v>52.800000000000004</v>
      </c>
      <c r="R25" s="1948">
        <v>88.8</v>
      </c>
      <c r="S25" s="1948">
        <v>0.99919999999999998</v>
      </c>
      <c r="T25" s="1948">
        <v>17.440000000000001</v>
      </c>
      <c r="U25" s="1948">
        <v>6852</v>
      </c>
      <c r="V25" s="1948">
        <f t="shared" si="2"/>
        <v>23570</v>
      </c>
      <c r="W25" s="1948">
        <f t="shared" si="3"/>
        <v>0</v>
      </c>
      <c r="X25" s="1948">
        <v>111</v>
      </c>
      <c r="Y25" s="1948">
        <v>46.160000000000004</v>
      </c>
      <c r="Z25" s="1948">
        <v>88.8</v>
      </c>
      <c r="AA25" s="1948">
        <v>0.99950000000000006</v>
      </c>
      <c r="AB25" s="1948">
        <v>19.329999999999998</v>
      </c>
      <c r="AC25" s="1948">
        <v>6423</v>
      </c>
      <c r="AD25" s="1948">
        <f t="shared" si="4"/>
        <v>19941</v>
      </c>
      <c r="AE25" s="1948">
        <f t="shared" si="5"/>
        <v>0</v>
      </c>
      <c r="AF25" s="1948">
        <v>111</v>
      </c>
      <c r="AG25" s="1948">
        <v>40.400000000000006</v>
      </c>
      <c r="AH25" s="1948">
        <v>88.8</v>
      </c>
      <c r="AI25" s="1948">
        <v>0.99960000000000004</v>
      </c>
      <c r="AJ25" s="1948">
        <v>28.95</v>
      </c>
      <c r="AK25" s="1948">
        <v>8702</v>
      </c>
      <c r="AL25" s="1948">
        <f t="shared" si="6"/>
        <v>18035</v>
      </c>
      <c r="AM25" s="1948">
        <f t="shared" si="7"/>
        <v>0</v>
      </c>
      <c r="AN25" s="1948">
        <v>111</v>
      </c>
      <c r="AO25" s="1948">
        <v>41.760000000000005</v>
      </c>
      <c r="AP25" s="1948">
        <v>88.8</v>
      </c>
      <c r="AQ25" s="1948">
        <v>0.99980000000000002</v>
      </c>
      <c r="AR25" s="1948">
        <v>32.85</v>
      </c>
      <c r="AS25" s="1948">
        <v>10207</v>
      </c>
      <c r="AT25" s="1948">
        <f t="shared" si="8"/>
        <v>18642</v>
      </c>
      <c r="AU25" s="1948">
        <f t="shared" si="9"/>
        <v>0</v>
      </c>
      <c r="AV25" s="1948">
        <v>111</v>
      </c>
      <c r="AW25" s="1948">
        <v>45.76</v>
      </c>
      <c r="AX25" s="1948">
        <v>88.8</v>
      </c>
      <c r="AY25" s="1948">
        <v>0.99970000000000003</v>
      </c>
      <c r="AZ25" s="1948">
        <v>35.08</v>
      </c>
      <c r="BA25" s="1948">
        <v>11557</v>
      </c>
      <c r="BB25" s="1948">
        <f t="shared" si="10"/>
        <v>19768</v>
      </c>
      <c r="BC25" s="1948">
        <f t="shared" si="11"/>
        <v>0</v>
      </c>
      <c r="BD25" s="1949">
        <v>111</v>
      </c>
      <c r="BE25" s="1948">
        <v>53.839999999999996</v>
      </c>
      <c r="BF25" s="1949">
        <v>88.8</v>
      </c>
      <c r="BG25" s="1949">
        <v>0.99970000000000003</v>
      </c>
      <c r="BH25" s="1949">
        <v>25.65</v>
      </c>
      <c r="BI25" s="1948">
        <v>10275</v>
      </c>
      <c r="BJ25" s="1948">
        <f t="shared" si="12"/>
        <v>24034</v>
      </c>
      <c r="BK25" s="1948">
        <f t="shared" si="13"/>
        <v>0</v>
      </c>
    </row>
    <row r="26" spans="1:63" ht="15">
      <c r="A26" s="1946">
        <v>615000000028</v>
      </c>
      <c r="B26" s="1947">
        <f t="shared" si="14"/>
        <v>20</v>
      </c>
      <c r="C26" s="1906" t="s">
        <v>2927</v>
      </c>
      <c r="D26" s="1907" t="s">
        <v>524</v>
      </c>
      <c r="E26" s="1906" t="s">
        <v>737</v>
      </c>
      <c r="F26" s="1948" t="s">
        <v>259</v>
      </c>
      <c r="G26" s="1949">
        <v>111</v>
      </c>
      <c r="H26" s="1948">
        <v>111</v>
      </c>
      <c r="I26" s="1950">
        <v>5.12</v>
      </c>
      <c r="J26" s="1948">
        <v>88.8</v>
      </c>
      <c r="K26" s="1948">
        <v>0.75319999999999998</v>
      </c>
      <c r="L26" s="1948">
        <v>52.22</v>
      </c>
      <c r="M26" s="1948">
        <v>1925</v>
      </c>
      <c r="N26" s="1948">
        <f t="shared" si="0"/>
        <v>2212</v>
      </c>
      <c r="O26" s="1948">
        <f t="shared" si="1"/>
        <v>0</v>
      </c>
      <c r="P26" s="1948">
        <v>111</v>
      </c>
      <c r="Q26" s="1948">
        <v>6.72</v>
      </c>
      <c r="R26" s="1948">
        <v>88.8</v>
      </c>
      <c r="S26" s="1948">
        <v>0.82399999999999995</v>
      </c>
      <c r="T26" s="1948">
        <v>45</v>
      </c>
      <c r="U26" s="1948">
        <v>2250</v>
      </c>
      <c r="V26" s="1948">
        <f t="shared" si="2"/>
        <v>3000</v>
      </c>
      <c r="W26" s="1948">
        <f t="shared" si="3"/>
        <v>0</v>
      </c>
      <c r="X26" s="1948">
        <v>111</v>
      </c>
      <c r="Y26" s="1948">
        <v>8.64</v>
      </c>
      <c r="Z26" s="1948">
        <v>88.8</v>
      </c>
      <c r="AA26" s="1948">
        <v>0.87860000000000005</v>
      </c>
      <c r="AB26" s="1948">
        <v>40.54</v>
      </c>
      <c r="AC26" s="1948">
        <v>2522</v>
      </c>
      <c r="AD26" s="1948">
        <f t="shared" si="4"/>
        <v>3732</v>
      </c>
      <c r="AE26" s="1948">
        <f t="shared" si="5"/>
        <v>0</v>
      </c>
      <c r="AF26" s="1948">
        <v>111</v>
      </c>
      <c r="AG26" s="1948">
        <v>7.9200000000000008</v>
      </c>
      <c r="AH26" s="1948">
        <v>88.8</v>
      </c>
      <c r="AI26" s="1948">
        <v>0.89629999999999999</v>
      </c>
      <c r="AJ26" s="1948">
        <v>50.93</v>
      </c>
      <c r="AK26" s="1948">
        <v>3001</v>
      </c>
      <c r="AL26" s="1948">
        <f t="shared" si="6"/>
        <v>3535</v>
      </c>
      <c r="AM26" s="1948">
        <f t="shared" si="7"/>
        <v>0</v>
      </c>
      <c r="AN26" s="1948">
        <v>111</v>
      </c>
      <c r="AO26" s="1948">
        <v>8.32</v>
      </c>
      <c r="AP26" s="1948">
        <v>88.8</v>
      </c>
      <c r="AQ26" s="1948">
        <v>0.89049999999999996</v>
      </c>
      <c r="AR26" s="1948">
        <v>47.22</v>
      </c>
      <c r="AS26" s="1948">
        <v>2923</v>
      </c>
      <c r="AT26" s="1948">
        <f t="shared" si="8"/>
        <v>3714</v>
      </c>
      <c r="AU26" s="1948">
        <f t="shared" si="9"/>
        <v>0</v>
      </c>
      <c r="AV26" s="1948">
        <v>111</v>
      </c>
      <c r="AW26" s="1948">
        <v>6.88</v>
      </c>
      <c r="AX26" s="1948">
        <v>88.8</v>
      </c>
      <c r="AY26" s="1948">
        <v>0.86560000000000004</v>
      </c>
      <c r="AZ26" s="1948">
        <v>55.6</v>
      </c>
      <c r="BA26" s="1948">
        <v>2754</v>
      </c>
      <c r="BB26" s="1948">
        <f t="shared" si="10"/>
        <v>2972</v>
      </c>
      <c r="BC26" s="1948">
        <f t="shared" si="11"/>
        <v>0</v>
      </c>
      <c r="BD26" s="1949">
        <v>111</v>
      </c>
      <c r="BE26" s="1948">
        <v>7.9200000000000008</v>
      </c>
      <c r="BF26" s="1949">
        <v>88.8</v>
      </c>
      <c r="BG26" s="1949">
        <v>0.83850000000000002</v>
      </c>
      <c r="BH26" s="1949">
        <v>48.89</v>
      </c>
      <c r="BI26" s="1948">
        <v>2881</v>
      </c>
      <c r="BJ26" s="1948">
        <f t="shared" si="12"/>
        <v>3535</v>
      </c>
      <c r="BK26" s="1948">
        <f t="shared" si="13"/>
        <v>0</v>
      </c>
    </row>
    <row r="27" spans="1:63" ht="15">
      <c r="A27" s="1946">
        <v>615000000045</v>
      </c>
      <c r="B27" s="1947">
        <f t="shared" si="14"/>
        <v>21</v>
      </c>
      <c r="C27" s="1906" t="s">
        <v>2919</v>
      </c>
      <c r="D27" s="1907" t="s">
        <v>524</v>
      </c>
      <c r="E27" s="1906" t="s">
        <v>636</v>
      </c>
      <c r="F27" s="1948" t="s">
        <v>259</v>
      </c>
      <c r="G27" s="1949">
        <v>111</v>
      </c>
      <c r="H27" s="1948">
        <v>111</v>
      </c>
      <c r="I27" s="1950">
        <v>33.040000000000006</v>
      </c>
      <c r="J27" s="1948">
        <v>88.8</v>
      </c>
      <c r="K27" s="1948">
        <v>0.93089999999999995</v>
      </c>
      <c r="L27" s="1948">
        <v>22.22</v>
      </c>
      <c r="M27" s="1948">
        <v>5287</v>
      </c>
      <c r="N27" s="1948">
        <f t="shared" si="0"/>
        <v>14273</v>
      </c>
      <c r="O27" s="1948">
        <f t="shared" si="1"/>
        <v>0</v>
      </c>
      <c r="P27" s="1948">
        <v>111</v>
      </c>
      <c r="Q27" s="1948">
        <v>30.56</v>
      </c>
      <c r="R27" s="1948">
        <v>88.8</v>
      </c>
      <c r="S27" s="1948">
        <v>0.92659999999999998</v>
      </c>
      <c r="T27" s="1948">
        <v>24.29</v>
      </c>
      <c r="U27" s="1948">
        <v>5522</v>
      </c>
      <c r="V27" s="1948">
        <f t="shared" si="2"/>
        <v>13642</v>
      </c>
      <c r="W27" s="1948">
        <f t="shared" si="3"/>
        <v>0</v>
      </c>
      <c r="X27" s="1948">
        <v>111</v>
      </c>
      <c r="Y27" s="1948">
        <v>30.240000000000002</v>
      </c>
      <c r="Z27" s="1948">
        <v>88.8</v>
      </c>
      <c r="AA27" s="1948">
        <v>0.91080000000000005</v>
      </c>
      <c r="AB27" s="1948">
        <v>26.88</v>
      </c>
      <c r="AC27" s="1948">
        <v>5853</v>
      </c>
      <c r="AD27" s="1948">
        <f t="shared" si="4"/>
        <v>13064</v>
      </c>
      <c r="AE27" s="1948">
        <f t="shared" si="5"/>
        <v>0</v>
      </c>
      <c r="AF27" s="1948">
        <v>111</v>
      </c>
      <c r="AG27" s="1948">
        <v>36.08</v>
      </c>
      <c r="AH27" s="1948">
        <v>88.8</v>
      </c>
      <c r="AI27" s="1948">
        <v>0.87849999999999995</v>
      </c>
      <c r="AJ27" s="1948">
        <v>20.309999999999999</v>
      </c>
      <c r="AK27" s="1948">
        <v>5451</v>
      </c>
      <c r="AL27" s="1948">
        <f t="shared" si="6"/>
        <v>16106</v>
      </c>
      <c r="AM27" s="1948">
        <f t="shared" si="7"/>
        <v>0</v>
      </c>
      <c r="AN27" s="1948">
        <v>111</v>
      </c>
      <c r="AO27" s="1948">
        <v>24.72</v>
      </c>
      <c r="AP27" s="1948">
        <v>88.8</v>
      </c>
      <c r="AQ27" s="1948">
        <v>0.92200000000000004</v>
      </c>
      <c r="AR27" s="1948">
        <v>25.46</v>
      </c>
      <c r="AS27" s="1948">
        <v>4683</v>
      </c>
      <c r="AT27" s="1948">
        <f t="shared" si="8"/>
        <v>11035</v>
      </c>
      <c r="AU27" s="1948">
        <f t="shared" si="9"/>
        <v>0</v>
      </c>
      <c r="AV27" s="1948">
        <v>111</v>
      </c>
      <c r="AW27" s="1948">
        <v>29.599999999999998</v>
      </c>
      <c r="AX27" s="1948">
        <v>88.8</v>
      </c>
      <c r="AY27" s="1948">
        <v>0.93179999999999996</v>
      </c>
      <c r="AZ27" s="1948">
        <v>22.66</v>
      </c>
      <c r="BA27" s="1948">
        <v>4829</v>
      </c>
      <c r="BB27" s="1948">
        <f t="shared" si="10"/>
        <v>12787</v>
      </c>
      <c r="BC27" s="1948">
        <f t="shared" si="11"/>
        <v>0</v>
      </c>
      <c r="BD27" s="1949">
        <v>111</v>
      </c>
      <c r="BE27" s="1948">
        <v>36.480000000000004</v>
      </c>
      <c r="BF27" s="1949">
        <v>88.8</v>
      </c>
      <c r="BG27" s="1949">
        <v>0.90029999999999999</v>
      </c>
      <c r="BH27" s="1949">
        <v>21.03</v>
      </c>
      <c r="BI27" s="1948">
        <v>5709</v>
      </c>
      <c r="BJ27" s="1948">
        <f t="shared" si="12"/>
        <v>16285</v>
      </c>
      <c r="BK27" s="1948">
        <f t="shared" si="13"/>
        <v>0</v>
      </c>
    </row>
    <row r="28" spans="1:63" ht="15">
      <c r="A28" s="1946">
        <v>611000000126</v>
      </c>
      <c r="B28" s="1947">
        <f t="shared" si="14"/>
        <v>22</v>
      </c>
      <c r="C28" s="1906" t="s">
        <v>2928</v>
      </c>
      <c r="D28" s="1907" t="s">
        <v>524</v>
      </c>
      <c r="E28" s="1906" t="s">
        <v>737</v>
      </c>
      <c r="F28" s="1948" t="s">
        <v>259</v>
      </c>
      <c r="G28" s="1949">
        <v>111.1</v>
      </c>
      <c r="H28" s="1948">
        <v>111.1</v>
      </c>
      <c r="I28" s="1950">
        <v>47.68</v>
      </c>
      <c r="J28" s="1948">
        <v>88.88</v>
      </c>
      <c r="K28" s="1948">
        <v>0.28789999999999999</v>
      </c>
      <c r="L28" s="1948">
        <v>14.02</v>
      </c>
      <c r="M28" s="1948">
        <v>4814</v>
      </c>
      <c r="N28" s="1948">
        <f t="shared" si="0"/>
        <v>20598</v>
      </c>
      <c r="O28" s="1948">
        <f t="shared" si="1"/>
        <v>0</v>
      </c>
      <c r="P28" s="1948">
        <v>111.1</v>
      </c>
      <c r="Q28" s="1948">
        <v>53.839999999999996</v>
      </c>
      <c r="R28" s="1948">
        <v>88.88</v>
      </c>
      <c r="S28" s="1948">
        <v>0.4375</v>
      </c>
      <c r="T28" s="1948">
        <v>15.89</v>
      </c>
      <c r="U28" s="1948">
        <v>6365</v>
      </c>
      <c r="V28" s="1948">
        <f t="shared" si="2"/>
        <v>24034</v>
      </c>
      <c r="W28" s="1948">
        <f t="shared" si="3"/>
        <v>0</v>
      </c>
      <c r="X28" s="1948">
        <v>111.1</v>
      </c>
      <c r="Y28" s="1948">
        <v>54.24</v>
      </c>
      <c r="Z28" s="1948">
        <v>88.88</v>
      </c>
      <c r="AA28" s="1948">
        <v>0.4491</v>
      </c>
      <c r="AB28" s="1948">
        <v>16.72</v>
      </c>
      <c r="AC28" s="1948">
        <v>6530</v>
      </c>
      <c r="AD28" s="1948">
        <f t="shared" si="4"/>
        <v>23432</v>
      </c>
      <c r="AE28" s="1948">
        <f t="shared" si="5"/>
        <v>0</v>
      </c>
      <c r="AF28" s="1948">
        <v>111.1</v>
      </c>
      <c r="AG28" s="1948">
        <v>55.279999999999994</v>
      </c>
      <c r="AH28" s="1948">
        <v>88.88</v>
      </c>
      <c r="AI28" s="1948">
        <v>0.30220000000000002</v>
      </c>
      <c r="AJ28" s="1948">
        <v>14.21</v>
      </c>
      <c r="AK28" s="1948">
        <v>5843</v>
      </c>
      <c r="AL28" s="1948">
        <f t="shared" si="6"/>
        <v>24677</v>
      </c>
      <c r="AM28" s="1948">
        <f t="shared" si="7"/>
        <v>0</v>
      </c>
      <c r="AN28" s="1948">
        <v>111.1</v>
      </c>
      <c r="AO28" s="1948">
        <v>49.6</v>
      </c>
      <c r="AP28" s="1948">
        <v>88.88</v>
      </c>
      <c r="AQ28" s="1948">
        <v>0.26029999999999998</v>
      </c>
      <c r="AR28" s="1948">
        <v>19.16</v>
      </c>
      <c r="AS28" s="1948">
        <v>7071</v>
      </c>
      <c r="AT28" s="1948">
        <f t="shared" si="8"/>
        <v>22141</v>
      </c>
      <c r="AU28" s="1948">
        <f t="shared" si="9"/>
        <v>0</v>
      </c>
      <c r="AV28" s="1948">
        <v>111.1</v>
      </c>
      <c r="AW28" s="1948">
        <v>44.64</v>
      </c>
      <c r="AX28" s="1948">
        <v>88.88</v>
      </c>
      <c r="AY28" s="1948">
        <v>0.18060000000000001</v>
      </c>
      <c r="AZ28" s="1948">
        <v>20.29</v>
      </c>
      <c r="BA28" s="1948">
        <v>6520</v>
      </c>
      <c r="BB28" s="1948">
        <f t="shared" si="10"/>
        <v>19284</v>
      </c>
      <c r="BC28" s="1948">
        <f t="shared" si="11"/>
        <v>0</v>
      </c>
      <c r="BD28" s="1949">
        <v>111.1</v>
      </c>
      <c r="BE28" s="1948">
        <v>50.32</v>
      </c>
      <c r="BF28" s="1949">
        <v>88.88</v>
      </c>
      <c r="BG28" s="1949">
        <v>0.28100000000000003</v>
      </c>
      <c r="BH28" s="1949">
        <v>21.65</v>
      </c>
      <c r="BI28" s="1948">
        <v>8104</v>
      </c>
      <c r="BJ28" s="1948">
        <f t="shared" si="12"/>
        <v>22463</v>
      </c>
      <c r="BK28" s="1948">
        <f t="shared" si="13"/>
        <v>0</v>
      </c>
    </row>
    <row r="29" spans="1:63" ht="15">
      <c r="A29" s="1946">
        <v>124000000056</v>
      </c>
      <c r="B29" s="1947">
        <f t="shared" si="14"/>
        <v>23</v>
      </c>
      <c r="C29" s="1906" t="s">
        <v>2931</v>
      </c>
      <c r="D29" s="1907" t="s">
        <v>524</v>
      </c>
      <c r="E29" s="1906" t="s">
        <v>737</v>
      </c>
      <c r="F29" s="1948" t="s">
        <v>259</v>
      </c>
      <c r="G29" s="1949">
        <v>112</v>
      </c>
      <c r="H29" s="1948">
        <v>112</v>
      </c>
      <c r="I29" s="1950">
        <v>26.72</v>
      </c>
      <c r="J29" s="1948">
        <v>89.6</v>
      </c>
      <c r="K29" s="1948">
        <v>0.90820000000000001</v>
      </c>
      <c r="L29" s="1948">
        <v>35.229999999999997</v>
      </c>
      <c r="M29" s="1948">
        <v>6777</v>
      </c>
      <c r="N29" s="1948">
        <f t="shared" si="0"/>
        <v>11543</v>
      </c>
      <c r="O29" s="1948">
        <f t="shared" si="1"/>
        <v>0</v>
      </c>
      <c r="P29" s="1948">
        <v>112</v>
      </c>
      <c r="Q29" s="1948">
        <v>9.68</v>
      </c>
      <c r="R29" s="1948">
        <v>89.6</v>
      </c>
      <c r="S29" s="1948">
        <v>0.63819999999999999</v>
      </c>
      <c r="T29" s="1948">
        <v>44.14</v>
      </c>
      <c r="U29" s="1948">
        <v>3179</v>
      </c>
      <c r="V29" s="1948">
        <f t="shared" si="2"/>
        <v>4321</v>
      </c>
      <c r="W29" s="1948">
        <f t="shared" si="3"/>
        <v>0</v>
      </c>
      <c r="X29" s="1948">
        <v>112</v>
      </c>
      <c r="Y29" s="1948">
        <v>20</v>
      </c>
      <c r="Z29" s="1948">
        <v>89.6</v>
      </c>
      <c r="AA29" s="1948">
        <v>0.80449999999999999</v>
      </c>
      <c r="AB29" s="1948">
        <v>28.81</v>
      </c>
      <c r="AC29" s="1948">
        <v>4149</v>
      </c>
      <c r="AD29" s="1948">
        <f t="shared" si="4"/>
        <v>8640</v>
      </c>
      <c r="AE29" s="1948">
        <f t="shared" si="5"/>
        <v>0</v>
      </c>
      <c r="AF29" s="1948">
        <v>112</v>
      </c>
      <c r="AG29" s="1948">
        <v>22.88</v>
      </c>
      <c r="AH29" s="1948">
        <v>89.6</v>
      </c>
      <c r="AI29" s="1948">
        <v>0.94359999999999999</v>
      </c>
      <c r="AJ29" s="1948">
        <v>52.43</v>
      </c>
      <c r="AK29" s="1948">
        <v>8925</v>
      </c>
      <c r="AL29" s="1948">
        <f t="shared" si="6"/>
        <v>10214</v>
      </c>
      <c r="AM29" s="1948">
        <f t="shared" si="7"/>
        <v>0</v>
      </c>
      <c r="AN29" s="1948">
        <v>112</v>
      </c>
      <c r="AO29" s="1948">
        <v>23.52</v>
      </c>
      <c r="AP29" s="1948">
        <v>89.6</v>
      </c>
      <c r="AQ29" s="1948">
        <v>0.94579999999999997</v>
      </c>
      <c r="AR29" s="1948">
        <v>55.97</v>
      </c>
      <c r="AS29" s="1948">
        <v>9794</v>
      </c>
      <c r="AT29" s="1948">
        <f t="shared" si="8"/>
        <v>10499</v>
      </c>
      <c r="AU29" s="1948">
        <f t="shared" si="9"/>
        <v>0</v>
      </c>
      <c r="AV29" s="1948">
        <v>112</v>
      </c>
      <c r="AW29" s="1948">
        <v>24</v>
      </c>
      <c r="AX29" s="1948">
        <v>89.6</v>
      </c>
      <c r="AY29" s="1948">
        <v>0.94589999999999996</v>
      </c>
      <c r="AZ29" s="1948">
        <v>53.46</v>
      </c>
      <c r="BA29" s="1948">
        <v>9238</v>
      </c>
      <c r="BB29" s="1948">
        <f t="shared" si="10"/>
        <v>10368</v>
      </c>
      <c r="BC29" s="1948">
        <f t="shared" si="11"/>
        <v>0</v>
      </c>
      <c r="BD29" s="1949">
        <v>112</v>
      </c>
      <c r="BE29" s="1948">
        <v>24.48</v>
      </c>
      <c r="BF29" s="1949">
        <v>89.6</v>
      </c>
      <c r="BG29" s="1949">
        <v>0.89339999999999997</v>
      </c>
      <c r="BH29" s="1949">
        <v>49.45</v>
      </c>
      <c r="BI29" s="1948">
        <v>9007</v>
      </c>
      <c r="BJ29" s="1948">
        <f t="shared" si="12"/>
        <v>10928</v>
      </c>
      <c r="BK29" s="1948">
        <f t="shared" si="13"/>
        <v>0</v>
      </c>
    </row>
    <row r="30" spans="1:63" ht="15">
      <c r="A30" s="1946">
        <v>124000000059</v>
      </c>
      <c r="B30" s="1947">
        <f t="shared" si="14"/>
        <v>24</v>
      </c>
      <c r="C30" s="1906" t="s">
        <v>2932</v>
      </c>
      <c r="D30" s="1907" t="s">
        <v>524</v>
      </c>
      <c r="E30" s="1906" t="s">
        <v>636</v>
      </c>
      <c r="F30" s="1948" t="s">
        <v>259</v>
      </c>
      <c r="G30" s="1949">
        <v>112</v>
      </c>
      <c r="H30" s="1948">
        <v>112</v>
      </c>
      <c r="I30" s="1950">
        <v>62</v>
      </c>
      <c r="J30" s="1948">
        <v>89.6</v>
      </c>
      <c r="K30" s="1948">
        <v>0.9</v>
      </c>
      <c r="L30" s="1948">
        <v>111.77</v>
      </c>
      <c r="M30" s="1948">
        <v>49896</v>
      </c>
      <c r="N30" s="1948">
        <f t="shared" si="0"/>
        <v>26784</v>
      </c>
      <c r="O30" s="1948">
        <f t="shared" si="1"/>
        <v>23112</v>
      </c>
      <c r="P30" s="1948">
        <v>112</v>
      </c>
      <c r="Q30" s="1948">
        <v>69</v>
      </c>
      <c r="R30" s="1948">
        <v>89.6</v>
      </c>
      <c r="S30" s="1948">
        <v>0.9</v>
      </c>
      <c r="T30" s="1948">
        <v>111.02</v>
      </c>
      <c r="U30" s="1948">
        <v>56992</v>
      </c>
      <c r="V30" s="1948">
        <f t="shared" si="2"/>
        <v>30802</v>
      </c>
      <c r="W30" s="1948">
        <f t="shared" si="3"/>
        <v>26190</v>
      </c>
      <c r="X30" s="1948">
        <v>112</v>
      </c>
      <c r="Y30" s="1948">
        <v>76.454099999999997</v>
      </c>
      <c r="Z30" s="1948">
        <v>89.6</v>
      </c>
      <c r="AA30" s="1948">
        <v>0.9</v>
      </c>
      <c r="AB30" s="1948">
        <v>107.53</v>
      </c>
      <c r="AC30" s="1948">
        <v>61163</v>
      </c>
      <c r="AD30" s="1948">
        <f t="shared" si="4"/>
        <v>33028</v>
      </c>
      <c r="AE30" s="1948">
        <f t="shared" si="5"/>
        <v>28135</v>
      </c>
      <c r="AF30" s="1948">
        <v>112</v>
      </c>
      <c r="AG30" s="1948">
        <v>53.139000000000003</v>
      </c>
      <c r="AH30" s="1948">
        <v>89.6</v>
      </c>
      <c r="AI30" s="1948">
        <v>0.89990000000000003</v>
      </c>
      <c r="AJ30" s="1948">
        <v>114.81</v>
      </c>
      <c r="AK30" s="1948">
        <v>43929</v>
      </c>
      <c r="AL30" s="1948">
        <f t="shared" si="6"/>
        <v>23721</v>
      </c>
      <c r="AM30" s="1948">
        <f t="shared" si="7"/>
        <v>20208</v>
      </c>
      <c r="AN30" s="1948">
        <v>112</v>
      </c>
      <c r="AO30" s="1948">
        <v>64.536199999999994</v>
      </c>
      <c r="AP30" s="1948">
        <v>89.6</v>
      </c>
      <c r="AQ30" s="1948">
        <v>0.9</v>
      </c>
      <c r="AR30" s="1948">
        <v>111.1</v>
      </c>
      <c r="AS30" s="1948">
        <v>53350</v>
      </c>
      <c r="AT30" s="1948">
        <f t="shared" si="8"/>
        <v>28809</v>
      </c>
      <c r="AU30" s="1948">
        <f t="shared" si="9"/>
        <v>24541</v>
      </c>
      <c r="AV30" s="1948">
        <v>112</v>
      </c>
      <c r="AW30" s="1948">
        <v>53.3444</v>
      </c>
      <c r="AX30" s="1948">
        <v>89.6</v>
      </c>
      <c r="AY30" s="1948">
        <v>0.89990000000000003</v>
      </c>
      <c r="AZ30" s="1948">
        <v>107.54</v>
      </c>
      <c r="BA30" s="1948">
        <v>42676</v>
      </c>
      <c r="BB30" s="1948">
        <f t="shared" si="10"/>
        <v>23045</v>
      </c>
      <c r="BC30" s="1948">
        <f t="shared" si="11"/>
        <v>19631</v>
      </c>
      <c r="BD30" s="1949">
        <v>112</v>
      </c>
      <c r="BE30" s="1948">
        <v>58.904499999999999</v>
      </c>
      <c r="BF30" s="1949">
        <v>89.6</v>
      </c>
      <c r="BG30" s="1949">
        <v>0.9</v>
      </c>
      <c r="BH30" s="1949">
        <v>114.82</v>
      </c>
      <c r="BI30" s="1948">
        <v>48694</v>
      </c>
      <c r="BJ30" s="1948">
        <f t="shared" si="12"/>
        <v>26295</v>
      </c>
      <c r="BK30" s="1948">
        <f t="shared" si="13"/>
        <v>22399</v>
      </c>
    </row>
    <row r="31" spans="1:63" ht="15">
      <c r="A31" s="982">
        <v>121000000014</v>
      </c>
      <c r="B31" s="1947">
        <f t="shared" si="14"/>
        <v>25</v>
      </c>
      <c r="C31" s="1895" t="s">
        <v>2929</v>
      </c>
      <c r="D31" s="1907" t="s">
        <v>3661</v>
      </c>
      <c r="E31" s="1895" t="s">
        <v>541</v>
      </c>
      <c r="F31" s="1951" t="s">
        <v>259</v>
      </c>
      <c r="G31" s="1951">
        <v>112</v>
      </c>
      <c r="H31" s="1951">
        <v>112</v>
      </c>
      <c r="I31" s="1952">
        <v>0</v>
      </c>
      <c r="J31" s="1951">
        <v>89.6</v>
      </c>
      <c r="K31" s="1951">
        <v>0</v>
      </c>
      <c r="L31" s="1951">
        <v>0</v>
      </c>
      <c r="M31" s="1951">
        <v>0</v>
      </c>
      <c r="N31" s="1948">
        <f t="shared" si="0"/>
        <v>0</v>
      </c>
      <c r="O31" s="1948">
        <f t="shared" si="1"/>
        <v>0</v>
      </c>
      <c r="P31" s="1948">
        <v>112</v>
      </c>
      <c r="Q31" s="1948">
        <v>0</v>
      </c>
      <c r="R31" s="1948">
        <v>89.6</v>
      </c>
      <c r="S31" s="1948">
        <v>0</v>
      </c>
      <c r="T31" s="1948">
        <v>0</v>
      </c>
      <c r="U31" s="1948">
        <v>0</v>
      </c>
      <c r="V31" s="1948">
        <f t="shared" si="2"/>
        <v>0</v>
      </c>
      <c r="W31" s="1948">
        <f t="shared" si="3"/>
        <v>0</v>
      </c>
      <c r="X31" s="1948">
        <v>112</v>
      </c>
      <c r="Y31" s="1948">
        <v>0</v>
      </c>
      <c r="Z31" s="1948">
        <v>89.6</v>
      </c>
      <c r="AA31" s="1948">
        <v>0</v>
      </c>
      <c r="AB31" s="1948">
        <v>0</v>
      </c>
      <c r="AC31" s="1948">
        <v>0</v>
      </c>
      <c r="AD31" s="1948">
        <f t="shared" si="4"/>
        <v>0</v>
      </c>
      <c r="AE31" s="1948">
        <f t="shared" si="5"/>
        <v>0</v>
      </c>
      <c r="AF31" s="1948">
        <v>112</v>
      </c>
      <c r="AG31" s="1948">
        <v>0</v>
      </c>
      <c r="AH31" s="1948">
        <v>89.6</v>
      </c>
      <c r="AI31" s="1948">
        <v>0</v>
      </c>
      <c r="AJ31" s="1948">
        <v>0</v>
      </c>
      <c r="AK31" s="1948">
        <v>0</v>
      </c>
      <c r="AL31" s="1948">
        <f t="shared" si="6"/>
        <v>0</v>
      </c>
      <c r="AM31" s="1948">
        <f t="shared" si="7"/>
        <v>0</v>
      </c>
      <c r="AN31" s="1948">
        <v>112</v>
      </c>
      <c r="AO31" s="1948">
        <v>0</v>
      </c>
      <c r="AP31" s="1948">
        <v>89.6</v>
      </c>
      <c r="AQ31" s="1948">
        <v>0</v>
      </c>
      <c r="AR31" s="1948">
        <v>0</v>
      </c>
      <c r="AS31" s="1948">
        <v>0</v>
      </c>
      <c r="AT31" s="1948">
        <f t="shared" si="8"/>
        <v>0</v>
      </c>
      <c r="AU31" s="1948">
        <f t="shared" si="9"/>
        <v>0</v>
      </c>
      <c r="AV31" s="1948">
        <v>112</v>
      </c>
      <c r="AW31" s="1948">
        <v>0</v>
      </c>
      <c r="AX31" s="1948">
        <v>89.6</v>
      </c>
      <c r="AY31" s="1948">
        <v>0</v>
      </c>
      <c r="AZ31" s="1948">
        <v>0</v>
      </c>
      <c r="BA31" s="1948">
        <v>0</v>
      </c>
      <c r="BB31" s="1948">
        <f t="shared" si="10"/>
        <v>0</v>
      </c>
      <c r="BC31" s="1948">
        <f t="shared" si="11"/>
        <v>0</v>
      </c>
      <c r="BD31" s="1948">
        <v>0</v>
      </c>
      <c r="BE31" s="1948">
        <v>0</v>
      </c>
      <c r="BF31" s="1948">
        <v>0</v>
      </c>
      <c r="BG31" s="1948">
        <v>0</v>
      </c>
      <c r="BH31" s="1948">
        <v>0</v>
      </c>
      <c r="BI31" s="1948">
        <v>0</v>
      </c>
      <c r="BJ31" s="1948">
        <f t="shared" si="12"/>
        <v>0</v>
      </c>
      <c r="BK31" s="1948">
        <f t="shared" si="13"/>
        <v>0</v>
      </c>
    </row>
    <row r="32" spans="1:63" ht="15">
      <c r="A32" s="1946">
        <v>126000000026</v>
      </c>
      <c r="B32" s="1947">
        <f t="shared" si="14"/>
        <v>26</v>
      </c>
      <c r="C32" s="1906" t="s">
        <v>2933</v>
      </c>
      <c r="D32" s="1907" t="s">
        <v>524</v>
      </c>
      <c r="E32" s="1906" t="s">
        <v>541</v>
      </c>
      <c r="F32" s="1948" t="s">
        <v>259</v>
      </c>
      <c r="G32" s="1949">
        <v>114.5</v>
      </c>
      <c r="H32" s="1948">
        <v>114.5</v>
      </c>
      <c r="I32" s="1950">
        <v>19.52</v>
      </c>
      <c r="J32" s="1948">
        <v>91.6</v>
      </c>
      <c r="K32" s="1948">
        <v>0.89580000000000004</v>
      </c>
      <c r="L32" s="1948">
        <v>13.53</v>
      </c>
      <c r="M32" s="1948">
        <v>1902</v>
      </c>
      <c r="N32" s="1948">
        <f t="shared" si="0"/>
        <v>8433</v>
      </c>
      <c r="O32" s="1948">
        <f t="shared" si="1"/>
        <v>0</v>
      </c>
      <c r="P32" s="1948">
        <v>114.5</v>
      </c>
      <c r="Q32" s="1948">
        <v>22.400000000000002</v>
      </c>
      <c r="R32" s="1948">
        <v>91.6</v>
      </c>
      <c r="S32" s="1948">
        <v>0.89890000000000003</v>
      </c>
      <c r="T32" s="1948">
        <v>14.84</v>
      </c>
      <c r="U32" s="1948">
        <v>2474</v>
      </c>
      <c r="V32" s="1948">
        <f t="shared" si="2"/>
        <v>9999</v>
      </c>
      <c r="W32" s="1948">
        <f t="shared" si="3"/>
        <v>0</v>
      </c>
      <c r="X32" s="1948">
        <v>114.5</v>
      </c>
      <c r="Y32" s="1948">
        <v>21.279999999999998</v>
      </c>
      <c r="Z32" s="1948">
        <v>91.6</v>
      </c>
      <c r="AA32" s="1948">
        <v>0.89370000000000005</v>
      </c>
      <c r="AB32" s="1948">
        <v>9.69</v>
      </c>
      <c r="AC32" s="1948">
        <v>1336</v>
      </c>
      <c r="AD32" s="1948">
        <f t="shared" si="4"/>
        <v>9193</v>
      </c>
      <c r="AE32" s="1948">
        <f t="shared" si="5"/>
        <v>0</v>
      </c>
      <c r="AF32" s="1948">
        <v>114.5</v>
      </c>
      <c r="AG32" s="1948">
        <v>4.88</v>
      </c>
      <c r="AH32" s="1948">
        <v>91.6</v>
      </c>
      <c r="AI32" s="1948">
        <v>0.57110000000000005</v>
      </c>
      <c r="AJ32" s="1948">
        <v>38.119999999999997</v>
      </c>
      <c r="AK32" s="1948">
        <v>1518</v>
      </c>
      <c r="AL32" s="1948">
        <f t="shared" si="6"/>
        <v>2178</v>
      </c>
      <c r="AM32" s="1948">
        <f t="shared" si="7"/>
        <v>0</v>
      </c>
      <c r="AN32" s="1948">
        <v>114.5</v>
      </c>
      <c r="AO32" s="1948">
        <v>5.2</v>
      </c>
      <c r="AP32" s="1948">
        <v>91.6</v>
      </c>
      <c r="AQ32" s="1948">
        <v>0.4456</v>
      </c>
      <c r="AR32" s="1948">
        <v>49.01</v>
      </c>
      <c r="AS32" s="1948">
        <v>1896</v>
      </c>
      <c r="AT32" s="1948">
        <f t="shared" si="8"/>
        <v>2321</v>
      </c>
      <c r="AU32" s="1948">
        <f t="shared" si="9"/>
        <v>0</v>
      </c>
      <c r="AV32" s="1948">
        <v>114.5</v>
      </c>
      <c r="AW32" s="1948">
        <v>22.24</v>
      </c>
      <c r="AX32" s="1948">
        <v>91.6</v>
      </c>
      <c r="AY32" s="1948">
        <v>0.62090000000000001</v>
      </c>
      <c r="AZ32" s="1948">
        <v>17.73</v>
      </c>
      <c r="BA32" s="1948">
        <v>2839</v>
      </c>
      <c r="BB32" s="1948">
        <f t="shared" si="10"/>
        <v>9608</v>
      </c>
      <c r="BC32" s="1948">
        <f t="shared" si="11"/>
        <v>0</v>
      </c>
      <c r="BD32" s="1949">
        <v>114.5</v>
      </c>
      <c r="BE32" s="1948">
        <v>24.72</v>
      </c>
      <c r="BF32" s="1949">
        <v>91.6</v>
      </c>
      <c r="BG32" s="1949">
        <v>0.54100000000000004</v>
      </c>
      <c r="BH32" s="1949">
        <v>19.260000000000002</v>
      </c>
      <c r="BI32" s="1948">
        <v>3543</v>
      </c>
      <c r="BJ32" s="1948">
        <f t="shared" si="12"/>
        <v>11035</v>
      </c>
      <c r="BK32" s="1948">
        <f t="shared" si="13"/>
        <v>0</v>
      </c>
    </row>
    <row r="33" spans="1:63" ht="15">
      <c r="A33" s="1946">
        <v>122000000099</v>
      </c>
      <c r="B33" s="1947">
        <f t="shared" si="14"/>
        <v>27</v>
      </c>
      <c r="C33" s="1906" t="s">
        <v>2934</v>
      </c>
      <c r="D33" s="1907" t="s">
        <v>524</v>
      </c>
      <c r="E33" s="1906" t="s">
        <v>636</v>
      </c>
      <c r="F33" s="1948" t="s">
        <v>259</v>
      </c>
      <c r="G33" s="1949">
        <v>115</v>
      </c>
      <c r="H33" s="1948">
        <v>115</v>
      </c>
      <c r="I33" s="1950">
        <v>13.919999999999998</v>
      </c>
      <c r="J33" s="1948">
        <v>92</v>
      </c>
      <c r="K33" s="1948">
        <v>0.98760000000000003</v>
      </c>
      <c r="L33" s="1948">
        <v>26.58</v>
      </c>
      <c r="M33" s="1948">
        <v>2664</v>
      </c>
      <c r="N33" s="1948">
        <f t="shared" si="0"/>
        <v>6013</v>
      </c>
      <c r="O33" s="1948">
        <f t="shared" si="1"/>
        <v>0</v>
      </c>
      <c r="P33" s="1948">
        <v>115</v>
      </c>
      <c r="Q33" s="1948">
        <v>14.4</v>
      </c>
      <c r="R33" s="1948">
        <v>92</v>
      </c>
      <c r="S33" s="1948">
        <v>0.99070000000000003</v>
      </c>
      <c r="T33" s="1948">
        <v>27.27</v>
      </c>
      <c r="U33" s="1948">
        <v>2922</v>
      </c>
      <c r="V33" s="1948">
        <f t="shared" si="2"/>
        <v>6428</v>
      </c>
      <c r="W33" s="1948">
        <f t="shared" si="3"/>
        <v>0</v>
      </c>
      <c r="X33" s="1948">
        <v>115</v>
      </c>
      <c r="Y33" s="1948">
        <v>20.16</v>
      </c>
      <c r="Z33" s="1948">
        <v>92</v>
      </c>
      <c r="AA33" s="1948">
        <v>0.98829999999999996</v>
      </c>
      <c r="AB33" s="1948">
        <v>23.13</v>
      </c>
      <c r="AC33" s="1948">
        <v>3357</v>
      </c>
      <c r="AD33" s="1948">
        <f t="shared" si="4"/>
        <v>8709</v>
      </c>
      <c r="AE33" s="1948">
        <f t="shared" si="5"/>
        <v>0</v>
      </c>
      <c r="AF33" s="1948">
        <v>115</v>
      </c>
      <c r="AG33" s="1948">
        <v>15.6</v>
      </c>
      <c r="AH33" s="1948">
        <v>92</v>
      </c>
      <c r="AI33" s="1948">
        <v>0.98950000000000005</v>
      </c>
      <c r="AJ33" s="1948">
        <v>29.67</v>
      </c>
      <c r="AK33" s="1948">
        <v>3444</v>
      </c>
      <c r="AL33" s="1948">
        <f t="shared" si="6"/>
        <v>6964</v>
      </c>
      <c r="AM33" s="1948">
        <f t="shared" si="7"/>
        <v>0</v>
      </c>
      <c r="AN33" s="1948">
        <v>115</v>
      </c>
      <c r="AO33" s="1948">
        <v>11.52</v>
      </c>
      <c r="AP33" s="1948">
        <v>92</v>
      </c>
      <c r="AQ33" s="1948">
        <v>0.98519999999999996</v>
      </c>
      <c r="AR33" s="1948">
        <v>35.67</v>
      </c>
      <c r="AS33" s="1948">
        <v>3057</v>
      </c>
      <c r="AT33" s="1948">
        <f t="shared" si="8"/>
        <v>5143</v>
      </c>
      <c r="AU33" s="1948">
        <f t="shared" si="9"/>
        <v>0</v>
      </c>
      <c r="AV33" s="1948">
        <v>115</v>
      </c>
      <c r="AW33" s="1948">
        <v>10.799999999999999</v>
      </c>
      <c r="AX33" s="1948">
        <v>92</v>
      </c>
      <c r="AY33" s="1948">
        <v>0.98929999999999996</v>
      </c>
      <c r="AZ33" s="1948">
        <v>39.700000000000003</v>
      </c>
      <c r="BA33" s="1948">
        <v>3087</v>
      </c>
      <c r="BB33" s="1948">
        <f t="shared" si="10"/>
        <v>4666</v>
      </c>
      <c r="BC33" s="1948">
        <f t="shared" si="11"/>
        <v>0</v>
      </c>
      <c r="BD33" s="1949">
        <v>115</v>
      </c>
      <c r="BE33" s="1948">
        <v>10.56</v>
      </c>
      <c r="BF33" s="1949">
        <v>92</v>
      </c>
      <c r="BG33" s="1949">
        <v>0.98470000000000002</v>
      </c>
      <c r="BH33" s="1949">
        <v>35.049999999999997</v>
      </c>
      <c r="BI33" s="1948">
        <v>2754</v>
      </c>
      <c r="BJ33" s="1948">
        <f t="shared" si="12"/>
        <v>4714</v>
      </c>
      <c r="BK33" s="1948">
        <f t="shared" si="13"/>
        <v>0</v>
      </c>
    </row>
    <row r="34" spans="1:63" ht="15">
      <c r="A34" s="1946">
        <v>615000000019</v>
      </c>
      <c r="B34" s="1947">
        <f t="shared" si="14"/>
        <v>28</v>
      </c>
      <c r="C34" s="1906" t="s">
        <v>2935</v>
      </c>
      <c r="D34" s="1907" t="s">
        <v>524</v>
      </c>
      <c r="E34" s="1906" t="s">
        <v>541</v>
      </c>
      <c r="F34" s="1948" t="s">
        <v>259</v>
      </c>
      <c r="G34" s="1949">
        <v>115</v>
      </c>
      <c r="H34" s="1948">
        <v>115</v>
      </c>
      <c r="I34" s="1950">
        <v>81.599999999999994</v>
      </c>
      <c r="J34" s="1948">
        <v>92</v>
      </c>
      <c r="K34" s="1948">
        <v>0.63460000000000005</v>
      </c>
      <c r="L34" s="1948">
        <v>11.37</v>
      </c>
      <c r="M34" s="1948">
        <v>6682</v>
      </c>
      <c r="N34" s="1948">
        <f t="shared" si="0"/>
        <v>35251</v>
      </c>
      <c r="O34" s="1948">
        <f t="shared" si="1"/>
        <v>0</v>
      </c>
      <c r="P34" s="1948">
        <v>115</v>
      </c>
      <c r="Q34" s="1948">
        <v>85.92</v>
      </c>
      <c r="R34" s="1948">
        <v>92</v>
      </c>
      <c r="S34" s="1948">
        <v>0.66139999999999999</v>
      </c>
      <c r="T34" s="1948">
        <v>14.48</v>
      </c>
      <c r="U34" s="1948">
        <v>9259</v>
      </c>
      <c r="V34" s="1948">
        <f t="shared" si="2"/>
        <v>38355</v>
      </c>
      <c r="W34" s="1948">
        <f t="shared" si="3"/>
        <v>0</v>
      </c>
      <c r="X34" s="1948">
        <v>115</v>
      </c>
      <c r="Y34" s="1948">
        <v>68.64</v>
      </c>
      <c r="Z34" s="1948">
        <v>92</v>
      </c>
      <c r="AA34" s="1948">
        <v>0.62460000000000004</v>
      </c>
      <c r="AB34" s="1948">
        <v>8.7899999999999991</v>
      </c>
      <c r="AC34" s="1948">
        <v>4345</v>
      </c>
      <c r="AD34" s="1948">
        <f t="shared" si="4"/>
        <v>29652</v>
      </c>
      <c r="AE34" s="1948">
        <f t="shared" si="5"/>
        <v>0</v>
      </c>
      <c r="AF34" s="1948">
        <v>115</v>
      </c>
      <c r="AG34" s="1948">
        <v>113.04</v>
      </c>
      <c r="AH34" s="1948">
        <v>113.04</v>
      </c>
      <c r="AI34" s="1948">
        <v>0.52939999999999998</v>
      </c>
      <c r="AJ34" s="1948">
        <v>9.81</v>
      </c>
      <c r="AK34" s="1948">
        <v>8250</v>
      </c>
      <c r="AL34" s="1948">
        <f t="shared" si="6"/>
        <v>50461</v>
      </c>
      <c r="AM34" s="1948">
        <f t="shared" si="7"/>
        <v>0</v>
      </c>
      <c r="AN34" s="1948">
        <v>115</v>
      </c>
      <c r="AO34" s="1948">
        <v>106.72</v>
      </c>
      <c r="AP34" s="1948">
        <v>106.72</v>
      </c>
      <c r="AQ34" s="1948">
        <v>0.52559999999999996</v>
      </c>
      <c r="AR34" s="1948">
        <v>6.62</v>
      </c>
      <c r="AS34" s="1948">
        <v>5253</v>
      </c>
      <c r="AT34" s="1948">
        <f t="shared" si="8"/>
        <v>47640</v>
      </c>
      <c r="AU34" s="1948">
        <f t="shared" si="9"/>
        <v>0</v>
      </c>
      <c r="AV34" s="1948">
        <v>115</v>
      </c>
      <c r="AW34" s="1948">
        <v>110.08</v>
      </c>
      <c r="AX34" s="1948">
        <v>110.08</v>
      </c>
      <c r="AY34" s="1948">
        <v>0.49049999999999999</v>
      </c>
      <c r="AZ34" s="1948">
        <v>4.67</v>
      </c>
      <c r="BA34" s="1948">
        <v>3704</v>
      </c>
      <c r="BB34" s="1948">
        <f t="shared" si="10"/>
        <v>47555</v>
      </c>
      <c r="BC34" s="1948">
        <f t="shared" si="11"/>
        <v>0</v>
      </c>
      <c r="BD34" s="1949">
        <v>115</v>
      </c>
      <c r="BE34" s="1948">
        <v>115.75999999999999</v>
      </c>
      <c r="BF34" s="1949">
        <v>115.76</v>
      </c>
      <c r="BG34" s="1949">
        <v>0.55859999999999999</v>
      </c>
      <c r="BH34" s="1949">
        <v>13.43</v>
      </c>
      <c r="BI34" s="1948">
        <v>11569</v>
      </c>
      <c r="BJ34" s="1948">
        <f t="shared" si="12"/>
        <v>51675</v>
      </c>
      <c r="BK34" s="1948">
        <f t="shared" si="13"/>
        <v>0</v>
      </c>
    </row>
    <row r="35" spans="1:63" ht="15">
      <c r="A35" s="1946">
        <v>126000000010</v>
      </c>
      <c r="B35" s="1947">
        <f t="shared" si="14"/>
        <v>29</v>
      </c>
      <c r="C35" s="1906" t="s">
        <v>2936</v>
      </c>
      <c r="D35" s="1907" t="s">
        <v>524</v>
      </c>
      <c r="E35" s="1906" t="s">
        <v>541</v>
      </c>
      <c r="F35" s="1948" t="s">
        <v>259</v>
      </c>
      <c r="G35" s="1949">
        <v>116</v>
      </c>
      <c r="H35" s="1948">
        <v>116</v>
      </c>
      <c r="I35" s="1950">
        <v>213.20000000000002</v>
      </c>
      <c r="J35" s="1948">
        <v>213.2</v>
      </c>
      <c r="K35" s="1948">
        <v>0.73140000000000005</v>
      </c>
      <c r="L35" s="1948">
        <v>45.02</v>
      </c>
      <c r="M35" s="1948">
        <v>66811</v>
      </c>
      <c r="N35" s="1948">
        <f t="shared" si="0"/>
        <v>92102</v>
      </c>
      <c r="O35" s="1948">
        <f t="shared" si="1"/>
        <v>0</v>
      </c>
      <c r="P35" s="1948">
        <v>116</v>
      </c>
      <c r="Q35" s="1948">
        <v>183.92</v>
      </c>
      <c r="R35" s="1948">
        <v>183.92</v>
      </c>
      <c r="S35" s="1948">
        <v>0.73629999999999995</v>
      </c>
      <c r="T35" s="1948">
        <v>47.88</v>
      </c>
      <c r="U35" s="1948">
        <v>67635</v>
      </c>
      <c r="V35" s="1948">
        <f t="shared" si="2"/>
        <v>82102</v>
      </c>
      <c r="W35" s="1948">
        <f t="shared" si="3"/>
        <v>0</v>
      </c>
      <c r="X35" s="1948">
        <v>116</v>
      </c>
      <c r="Y35" s="1948">
        <v>197.36</v>
      </c>
      <c r="Z35" s="1948">
        <v>197.36</v>
      </c>
      <c r="AA35" s="1948">
        <v>0.72970000000000002</v>
      </c>
      <c r="AB35" s="1948">
        <v>32.340000000000003</v>
      </c>
      <c r="AC35" s="1948">
        <v>45955</v>
      </c>
      <c r="AD35" s="1948">
        <f t="shared" si="4"/>
        <v>85260</v>
      </c>
      <c r="AE35" s="1948">
        <f t="shared" si="5"/>
        <v>0</v>
      </c>
      <c r="AF35" s="1948">
        <v>116</v>
      </c>
      <c r="AG35" s="1948">
        <v>204.4</v>
      </c>
      <c r="AH35" s="1948">
        <v>204.4</v>
      </c>
      <c r="AI35" s="1948">
        <v>0.71660000000000001</v>
      </c>
      <c r="AJ35" s="1948">
        <v>38.29</v>
      </c>
      <c r="AK35" s="1948">
        <v>58223</v>
      </c>
      <c r="AL35" s="1948">
        <f t="shared" si="6"/>
        <v>91244</v>
      </c>
      <c r="AM35" s="1948">
        <f t="shared" si="7"/>
        <v>0</v>
      </c>
      <c r="AN35" s="1948">
        <v>116</v>
      </c>
      <c r="AO35" s="1948">
        <v>190</v>
      </c>
      <c r="AP35" s="1948">
        <v>190</v>
      </c>
      <c r="AQ35" s="1948">
        <v>0.71160000000000001</v>
      </c>
      <c r="AR35" s="1948">
        <v>36.96</v>
      </c>
      <c r="AS35" s="1948">
        <v>52249</v>
      </c>
      <c r="AT35" s="1948">
        <f t="shared" si="8"/>
        <v>84816</v>
      </c>
      <c r="AU35" s="1948">
        <f t="shared" si="9"/>
        <v>0</v>
      </c>
      <c r="AV35" s="1948">
        <v>116</v>
      </c>
      <c r="AW35" s="1948">
        <v>196.16</v>
      </c>
      <c r="AX35" s="1948">
        <v>196.16</v>
      </c>
      <c r="AY35" s="1948">
        <v>0.71440000000000003</v>
      </c>
      <c r="AZ35" s="1948">
        <v>36.43</v>
      </c>
      <c r="BA35" s="1948">
        <v>51455</v>
      </c>
      <c r="BB35" s="1948">
        <f t="shared" si="10"/>
        <v>84741</v>
      </c>
      <c r="BC35" s="1948">
        <f t="shared" si="11"/>
        <v>0</v>
      </c>
      <c r="BD35" s="1949">
        <v>116</v>
      </c>
      <c r="BE35" s="1948">
        <v>110.48</v>
      </c>
      <c r="BF35" s="1949">
        <v>110.48</v>
      </c>
      <c r="BG35" s="1949">
        <v>0.55810000000000004</v>
      </c>
      <c r="BH35" s="1949">
        <v>9.34</v>
      </c>
      <c r="BI35" s="1948">
        <v>7681</v>
      </c>
      <c r="BJ35" s="1948">
        <f t="shared" si="12"/>
        <v>49318</v>
      </c>
      <c r="BK35" s="1948">
        <f t="shared" si="13"/>
        <v>0</v>
      </c>
    </row>
    <row r="36" spans="1:63" ht="15">
      <c r="A36" s="1946">
        <v>615000000022</v>
      </c>
      <c r="B36" s="1947">
        <f t="shared" si="14"/>
        <v>30</v>
      </c>
      <c r="C36" s="1906" t="s">
        <v>2937</v>
      </c>
      <c r="D36" s="1907" t="s">
        <v>524</v>
      </c>
      <c r="E36" s="1906" t="s">
        <v>541</v>
      </c>
      <c r="F36" s="1948" t="s">
        <v>259</v>
      </c>
      <c r="G36" s="1949">
        <v>116</v>
      </c>
      <c r="H36" s="1948">
        <v>116</v>
      </c>
      <c r="I36" s="1950">
        <v>3.36</v>
      </c>
      <c r="J36" s="1948">
        <v>92.8</v>
      </c>
      <c r="K36" s="1948">
        <v>0.69330000000000003</v>
      </c>
      <c r="L36" s="1948">
        <v>32.49</v>
      </c>
      <c r="M36" s="1948">
        <v>786</v>
      </c>
      <c r="N36" s="1948">
        <f t="shared" si="0"/>
        <v>1452</v>
      </c>
      <c r="O36" s="1948">
        <f t="shared" si="1"/>
        <v>0</v>
      </c>
      <c r="P36" s="1948">
        <v>116</v>
      </c>
      <c r="Q36" s="1948">
        <v>3.1199999999999997</v>
      </c>
      <c r="R36" s="1948">
        <v>92.8</v>
      </c>
      <c r="S36" s="1948">
        <v>0.72370000000000001</v>
      </c>
      <c r="T36" s="1948">
        <v>34.619999999999997</v>
      </c>
      <c r="U36" s="1948">
        <v>648</v>
      </c>
      <c r="V36" s="1948">
        <f t="shared" si="2"/>
        <v>1393</v>
      </c>
      <c r="W36" s="1948">
        <f t="shared" si="3"/>
        <v>0</v>
      </c>
      <c r="X36" s="1948">
        <v>116</v>
      </c>
      <c r="Y36" s="1948">
        <v>3.92</v>
      </c>
      <c r="Z36" s="1948">
        <v>92.8</v>
      </c>
      <c r="AA36" s="1948">
        <v>0.73770000000000002</v>
      </c>
      <c r="AB36" s="1948">
        <v>22.85</v>
      </c>
      <c r="AC36" s="1948">
        <v>774</v>
      </c>
      <c r="AD36" s="1948">
        <f t="shared" si="4"/>
        <v>1693</v>
      </c>
      <c r="AE36" s="1948">
        <f t="shared" si="5"/>
        <v>0</v>
      </c>
      <c r="AF36" s="1948">
        <v>116</v>
      </c>
      <c r="AG36" s="1948">
        <v>4.32</v>
      </c>
      <c r="AH36" s="1948">
        <v>92.8</v>
      </c>
      <c r="AI36" s="1948">
        <v>0.70340000000000003</v>
      </c>
      <c r="AJ36" s="1948">
        <v>25.92</v>
      </c>
      <c r="AK36" s="1948">
        <v>833</v>
      </c>
      <c r="AL36" s="1948">
        <f t="shared" si="6"/>
        <v>1928</v>
      </c>
      <c r="AM36" s="1948">
        <f t="shared" si="7"/>
        <v>0</v>
      </c>
      <c r="AN36" s="1948">
        <v>116</v>
      </c>
      <c r="AO36" s="1948">
        <v>3.2800000000000002</v>
      </c>
      <c r="AP36" s="1948">
        <v>92.8</v>
      </c>
      <c r="AQ36" s="1948">
        <v>0.71760000000000002</v>
      </c>
      <c r="AR36" s="1948">
        <v>31.64</v>
      </c>
      <c r="AS36" s="1948">
        <v>772</v>
      </c>
      <c r="AT36" s="1948">
        <f t="shared" si="8"/>
        <v>1464</v>
      </c>
      <c r="AU36" s="1948">
        <f t="shared" si="9"/>
        <v>0</v>
      </c>
      <c r="AV36" s="1948">
        <v>116</v>
      </c>
      <c r="AW36" s="1948">
        <v>6.88</v>
      </c>
      <c r="AX36" s="1948">
        <v>92.8</v>
      </c>
      <c r="AY36" s="1948">
        <v>0.68540000000000001</v>
      </c>
      <c r="AZ36" s="1948">
        <v>15.79</v>
      </c>
      <c r="BA36" s="1948">
        <v>782</v>
      </c>
      <c r="BB36" s="1948">
        <f t="shared" si="10"/>
        <v>2972</v>
      </c>
      <c r="BC36" s="1948">
        <f t="shared" si="11"/>
        <v>0</v>
      </c>
      <c r="BD36" s="1949">
        <v>116</v>
      </c>
      <c r="BE36" s="1948">
        <v>4.24</v>
      </c>
      <c r="BF36" s="1949">
        <v>92.8</v>
      </c>
      <c r="BG36" s="1949">
        <v>0.64549999999999996</v>
      </c>
      <c r="BH36" s="1949">
        <v>26.47</v>
      </c>
      <c r="BI36" s="1948">
        <v>835</v>
      </c>
      <c r="BJ36" s="1948">
        <f t="shared" si="12"/>
        <v>1893</v>
      </c>
      <c r="BK36" s="1948">
        <f t="shared" si="13"/>
        <v>0</v>
      </c>
    </row>
    <row r="37" spans="1:63" ht="15">
      <c r="A37" s="1946">
        <v>615000000026</v>
      </c>
      <c r="B37" s="1947">
        <f t="shared" si="14"/>
        <v>31</v>
      </c>
      <c r="C37" s="1906" t="s">
        <v>2938</v>
      </c>
      <c r="D37" s="1907" t="s">
        <v>524</v>
      </c>
      <c r="E37" s="1906" t="s">
        <v>541</v>
      </c>
      <c r="F37" s="1948" t="s">
        <v>259</v>
      </c>
      <c r="G37" s="1949">
        <v>116</v>
      </c>
      <c r="H37" s="1948">
        <v>116</v>
      </c>
      <c r="I37" s="1950">
        <v>24.240000000000002</v>
      </c>
      <c r="J37" s="1948">
        <v>92.8</v>
      </c>
      <c r="K37" s="1948">
        <v>0.93779999999999997</v>
      </c>
      <c r="L37" s="1948">
        <v>48.1</v>
      </c>
      <c r="M37" s="1948">
        <v>8394</v>
      </c>
      <c r="N37" s="1948">
        <f t="shared" si="0"/>
        <v>10472</v>
      </c>
      <c r="O37" s="1948">
        <f t="shared" si="1"/>
        <v>0</v>
      </c>
      <c r="P37" s="1948">
        <v>116</v>
      </c>
      <c r="Q37" s="1948">
        <v>29.759999999999998</v>
      </c>
      <c r="R37" s="1948">
        <v>92.8</v>
      </c>
      <c r="S37" s="1948">
        <v>0.95130000000000003</v>
      </c>
      <c r="T37" s="1948">
        <v>41.14</v>
      </c>
      <c r="U37" s="1948">
        <v>9109</v>
      </c>
      <c r="V37" s="1948">
        <f t="shared" si="2"/>
        <v>13285</v>
      </c>
      <c r="W37" s="1948">
        <f t="shared" si="3"/>
        <v>0</v>
      </c>
      <c r="X37" s="1948">
        <v>116</v>
      </c>
      <c r="Y37" s="1948">
        <v>24.4</v>
      </c>
      <c r="Z37" s="1948">
        <v>92.8</v>
      </c>
      <c r="AA37" s="1948">
        <v>0.93869999999999998</v>
      </c>
      <c r="AB37" s="1948">
        <v>42.65</v>
      </c>
      <c r="AC37" s="1948">
        <v>7493</v>
      </c>
      <c r="AD37" s="1948">
        <f t="shared" si="4"/>
        <v>10541</v>
      </c>
      <c r="AE37" s="1948">
        <f t="shared" si="5"/>
        <v>0</v>
      </c>
      <c r="AF37" s="1948">
        <v>116</v>
      </c>
      <c r="AG37" s="1948">
        <v>29.84</v>
      </c>
      <c r="AH37" s="1948">
        <v>92.8</v>
      </c>
      <c r="AI37" s="1948">
        <v>0.94059999999999999</v>
      </c>
      <c r="AJ37" s="1948">
        <v>39.97</v>
      </c>
      <c r="AK37" s="1948">
        <v>8873</v>
      </c>
      <c r="AL37" s="1948">
        <f t="shared" si="6"/>
        <v>13321</v>
      </c>
      <c r="AM37" s="1948">
        <f t="shared" si="7"/>
        <v>0</v>
      </c>
      <c r="AN37" s="1948">
        <v>116</v>
      </c>
      <c r="AO37" s="1948">
        <v>24.64</v>
      </c>
      <c r="AP37" s="1948">
        <v>92.8</v>
      </c>
      <c r="AQ37" s="1948">
        <v>0.94530000000000003</v>
      </c>
      <c r="AR37" s="1948">
        <v>49.91</v>
      </c>
      <c r="AS37" s="1948">
        <v>9150</v>
      </c>
      <c r="AT37" s="1948">
        <f t="shared" si="8"/>
        <v>10999</v>
      </c>
      <c r="AU37" s="1948">
        <f t="shared" si="9"/>
        <v>0</v>
      </c>
      <c r="AV37" s="1948">
        <v>116</v>
      </c>
      <c r="AW37" s="1948">
        <v>25.679999999999996</v>
      </c>
      <c r="AX37" s="1948">
        <v>92.8</v>
      </c>
      <c r="AY37" s="1948">
        <v>0.94079999999999997</v>
      </c>
      <c r="AZ37" s="1948">
        <v>43.74</v>
      </c>
      <c r="BA37" s="1948">
        <v>8087</v>
      </c>
      <c r="BB37" s="1948">
        <f t="shared" si="10"/>
        <v>11094</v>
      </c>
      <c r="BC37" s="1948">
        <f t="shared" si="11"/>
        <v>0</v>
      </c>
      <c r="BD37" s="1949">
        <v>116</v>
      </c>
      <c r="BE37" s="1948">
        <v>26.72</v>
      </c>
      <c r="BF37" s="1949">
        <v>92.8</v>
      </c>
      <c r="BG37" s="1949">
        <v>0.92700000000000005</v>
      </c>
      <c r="BH37" s="1949">
        <v>44.77</v>
      </c>
      <c r="BI37" s="1948">
        <v>8900</v>
      </c>
      <c r="BJ37" s="1948">
        <f t="shared" si="12"/>
        <v>11928</v>
      </c>
      <c r="BK37" s="1948">
        <f t="shared" si="13"/>
        <v>0</v>
      </c>
    </row>
    <row r="38" spans="1:63" ht="15">
      <c r="A38" s="1946">
        <v>615000000066</v>
      </c>
      <c r="B38" s="1947">
        <f t="shared" si="14"/>
        <v>32</v>
      </c>
      <c r="C38" s="1906" t="s">
        <v>3535</v>
      </c>
      <c r="D38" s="1907" t="s">
        <v>524</v>
      </c>
      <c r="E38" s="1906" t="s">
        <v>541</v>
      </c>
      <c r="F38" s="1948" t="s">
        <v>259</v>
      </c>
      <c r="G38" s="1949">
        <v>116</v>
      </c>
      <c r="H38" s="1948">
        <v>116</v>
      </c>
      <c r="I38" s="1950">
        <v>106.08</v>
      </c>
      <c r="J38" s="1948">
        <v>106.08</v>
      </c>
      <c r="K38" s="1948">
        <v>0.81</v>
      </c>
      <c r="L38" s="1948">
        <v>17.739999999999998</v>
      </c>
      <c r="M38" s="1948">
        <v>15356</v>
      </c>
      <c r="N38" s="1948">
        <f t="shared" si="0"/>
        <v>45827</v>
      </c>
      <c r="O38" s="1948">
        <f t="shared" si="1"/>
        <v>0</v>
      </c>
      <c r="P38" s="1948">
        <v>116</v>
      </c>
      <c r="Q38" s="1948">
        <v>107.1784</v>
      </c>
      <c r="R38" s="1948">
        <v>107.18</v>
      </c>
      <c r="S38" s="1948">
        <v>0.84370000000000001</v>
      </c>
      <c r="T38" s="1948">
        <v>13.04</v>
      </c>
      <c r="U38" s="1948">
        <v>10402</v>
      </c>
      <c r="V38" s="1948">
        <f t="shared" si="2"/>
        <v>47844</v>
      </c>
      <c r="W38" s="1948">
        <f t="shared" si="3"/>
        <v>0</v>
      </c>
      <c r="X38" s="1948">
        <v>116</v>
      </c>
      <c r="Y38" s="1948">
        <v>56.11</v>
      </c>
      <c r="Z38" s="1948">
        <v>92.8</v>
      </c>
      <c r="AA38" s="1948">
        <v>0.8639</v>
      </c>
      <c r="AB38" s="1948">
        <v>21.87</v>
      </c>
      <c r="AC38" s="1948">
        <v>8837</v>
      </c>
      <c r="AD38" s="1948">
        <f t="shared" si="4"/>
        <v>24240</v>
      </c>
      <c r="AE38" s="1948">
        <f t="shared" si="5"/>
        <v>0</v>
      </c>
      <c r="AF38" s="1948">
        <v>116</v>
      </c>
      <c r="AG38" s="1948">
        <v>53.465600000000002</v>
      </c>
      <c r="AH38" s="1948">
        <v>92.8</v>
      </c>
      <c r="AI38" s="1948">
        <v>0.82609999999999995</v>
      </c>
      <c r="AJ38" s="1948">
        <v>28.95</v>
      </c>
      <c r="AK38" s="1948">
        <v>11518</v>
      </c>
      <c r="AL38" s="1948">
        <f t="shared" si="6"/>
        <v>23867</v>
      </c>
      <c r="AM38" s="1948">
        <f t="shared" si="7"/>
        <v>0</v>
      </c>
      <c r="AN38" s="1948">
        <v>116</v>
      </c>
      <c r="AO38" s="1948">
        <v>59.126399999999997</v>
      </c>
      <c r="AP38" s="1948">
        <v>92.8</v>
      </c>
      <c r="AQ38" s="1948">
        <v>0.79749999999999999</v>
      </c>
      <c r="AR38" s="1948">
        <v>30.21</v>
      </c>
      <c r="AS38" s="1948">
        <v>13289</v>
      </c>
      <c r="AT38" s="1948">
        <f t="shared" si="8"/>
        <v>26394</v>
      </c>
      <c r="AU38" s="1948">
        <f t="shared" si="9"/>
        <v>0</v>
      </c>
      <c r="AV38" s="1948">
        <v>116</v>
      </c>
      <c r="AW38" s="1948">
        <v>91.813999999999993</v>
      </c>
      <c r="AX38" s="1948">
        <v>92.8</v>
      </c>
      <c r="AY38" s="1948">
        <v>0.83240000000000003</v>
      </c>
      <c r="AZ38" s="1948">
        <v>20.48</v>
      </c>
      <c r="BA38" s="1948">
        <v>13535</v>
      </c>
      <c r="BB38" s="1948">
        <f t="shared" si="10"/>
        <v>39664</v>
      </c>
      <c r="BC38" s="1948">
        <f t="shared" si="11"/>
        <v>0</v>
      </c>
      <c r="BD38" s="1949">
        <v>116</v>
      </c>
      <c r="BE38" s="1948">
        <v>102.658</v>
      </c>
      <c r="BF38" s="1949">
        <v>102.66</v>
      </c>
      <c r="BG38" s="1949">
        <v>0.79359999999999997</v>
      </c>
      <c r="BH38" s="1949">
        <v>22.23</v>
      </c>
      <c r="BI38" s="1948">
        <v>16982</v>
      </c>
      <c r="BJ38" s="1948">
        <f t="shared" si="12"/>
        <v>45827</v>
      </c>
      <c r="BK38" s="1948">
        <f t="shared" si="13"/>
        <v>0</v>
      </c>
    </row>
    <row r="39" spans="1:63" ht="15">
      <c r="A39" s="1946">
        <v>611000000005</v>
      </c>
      <c r="B39" s="1947">
        <f t="shared" si="14"/>
        <v>33</v>
      </c>
      <c r="C39" s="1906" t="s">
        <v>2939</v>
      </c>
      <c r="D39" s="1907" t="s">
        <v>524</v>
      </c>
      <c r="E39" s="1906" t="s">
        <v>629</v>
      </c>
      <c r="F39" s="1948" t="s">
        <v>259</v>
      </c>
      <c r="G39" s="1949">
        <v>116.67</v>
      </c>
      <c r="H39" s="1948">
        <v>116.67</v>
      </c>
      <c r="I39" s="1950">
        <v>288.96000000000004</v>
      </c>
      <c r="J39" s="1948">
        <v>288.95999999999998</v>
      </c>
      <c r="K39" s="1948">
        <v>0.97529999999999994</v>
      </c>
      <c r="L39" s="1948">
        <v>0</v>
      </c>
      <c r="M39" s="1948">
        <v>76383</v>
      </c>
      <c r="N39" s="1948">
        <f t="shared" si="0"/>
        <v>124831</v>
      </c>
      <c r="O39" s="1948">
        <f t="shared" si="1"/>
        <v>0</v>
      </c>
      <c r="P39" s="1948">
        <v>116.67</v>
      </c>
      <c r="Q39" s="1948">
        <v>269.12</v>
      </c>
      <c r="R39" s="1948">
        <v>269.12</v>
      </c>
      <c r="S39" s="1948">
        <v>0.97640000000000005</v>
      </c>
      <c r="T39" s="1948">
        <v>0</v>
      </c>
      <c r="U39" s="1948">
        <v>87485</v>
      </c>
      <c r="V39" s="1948">
        <f t="shared" si="2"/>
        <v>120135</v>
      </c>
      <c r="W39" s="1948">
        <f t="shared" si="3"/>
        <v>0</v>
      </c>
      <c r="X39" s="1948">
        <v>116.67</v>
      </c>
      <c r="Y39" s="1948">
        <v>290.64</v>
      </c>
      <c r="Z39" s="1948">
        <v>290.64</v>
      </c>
      <c r="AA39" s="1948">
        <v>0.97699999999999998</v>
      </c>
      <c r="AB39" s="1948">
        <v>0</v>
      </c>
      <c r="AC39" s="1948">
        <v>94104</v>
      </c>
      <c r="AD39" s="1948">
        <f t="shared" si="4"/>
        <v>125556</v>
      </c>
      <c r="AE39" s="1948">
        <f t="shared" si="5"/>
        <v>0</v>
      </c>
      <c r="AF39" s="1948">
        <v>116.67</v>
      </c>
      <c r="AG39" s="1948">
        <v>253.84000000000003</v>
      </c>
      <c r="AH39" s="1948">
        <v>253.84</v>
      </c>
      <c r="AI39" s="1948">
        <v>0.97619999999999996</v>
      </c>
      <c r="AJ39" s="1948">
        <v>0</v>
      </c>
      <c r="AK39" s="1948">
        <v>65901</v>
      </c>
      <c r="AL39" s="1948">
        <f t="shared" si="6"/>
        <v>113314</v>
      </c>
      <c r="AM39" s="1948">
        <f t="shared" si="7"/>
        <v>0</v>
      </c>
      <c r="AN39" s="1948">
        <v>116.67</v>
      </c>
      <c r="AO39" s="1948">
        <v>220.48000000000002</v>
      </c>
      <c r="AP39" s="1948">
        <v>220.48</v>
      </c>
      <c r="AQ39" s="1948">
        <v>0.97460000000000002</v>
      </c>
      <c r="AR39" s="1948">
        <v>0</v>
      </c>
      <c r="AS39" s="1948">
        <v>43411</v>
      </c>
      <c r="AT39" s="1948">
        <f t="shared" si="8"/>
        <v>98422</v>
      </c>
      <c r="AU39" s="1948">
        <f t="shared" si="9"/>
        <v>0</v>
      </c>
      <c r="AV39" s="1948">
        <v>116.67</v>
      </c>
      <c r="AW39" s="1948">
        <v>210.95999999999998</v>
      </c>
      <c r="AX39" s="1948">
        <v>210.96</v>
      </c>
      <c r="AY39" s="1948">
        <v>0.98319999999999996</v>
      </c>
      <c r="AZ39" s="1948">
        <v>0</v>
      </c>
      <c r="BA39" s="1948">
        <v>74462</v>
      </c>
      <c r="BB39" s="1948">
        <f t="shared" si="10"/>
        <v>91135</v>
      </c>
      <c r="BC39" s="1948">
        <f t="shared" si="11"/>
        <v>0</v>
      </c>
      <c r="BD39" s="1949">
        <v>116.67</v>
      </c>
      <c r="BE39" s="1948">
        <v>197.36</v>
      </c>
      <c r="BF39" s="1949">
        <v>197.36</v>
      </c>
      <c r="BG39" s="1949">
        <v>0.97819999999999996</v>
      </c>
      <c r="BH39" s="1949">
        <v>0</v>
      </c>
      <c r="BI39" s="1948">
        <v>69572</v>
      </c>
      <c r="BJ39" s="1948">
        <f t="shared" si="12"/>
        <v>88102</v>
      </c>
      <c r="BK39" s="1948">
        <f t="shared" si="13"/>
        <v>0</v>
      </c>
    </row>
    <row r="40" spans="1:63" ht="15">
      <c r="A40" s="1946">
        <v>123000000110</v>
      </c>
      <c r="B40" s="1947">
        <f t="shared" si="14"/>
        <v>34</v>
      </c>
      <c r="C40" s="1906" t="s">
        <v>2940</v>
      </c>
      <c r="D40" s="1907" t="s">
        <v>524</v>
      </c>
      <c r="E40" s="1906" t="s">
        <v>541</v>
      </c>
      <c r="F40" s="1948" t="s">
        <v>259</v>
      </c>
      <c r="G40" s="1949">
        <v>117</v>
      </c>
      <c r="H40" s="1948">
        <v>117</v>
      </c>
      <c r="I40" s="1950">
        <v>117.92</v>
      </c>
      <c r="J40" s="1948">
        <v>117.92</v>
      </c>
      <c r="K40" s="1948">
        <v>0.80359999999999998</v>
      </c>
      <c r="L40" s="1948">
        <v>32.65</v>
      </c>
      <c r="M40" s="1948">
        <v>27722</v>
      </c>
      <c r="N40" s="1948">
        <f t="shared" si="0"/>
        <v>50941</v>
      </c>
      <c r="O40" s="1948">
        <f t="shared" si="1"/>
        <v>0</v>
      </c>
      <c r="P40" s="1948">
        <v>117</v>
      </c>
      <c r="Q40" s="1948">
        <v>128.96</v>
      </c>
      <c r="R40" s="1948">
        <v>128.96</v>
      </c>
      <c r="S40" s="1948">
        <v>0.8216</v>
      </c>
      <c r="T40" s="1948">
        <v>76.540000000000006</v>
      </c>
      <c r="U40" s="1948">
        <v>73442</v>
      </c>
      <c r="V40" s="1948">
        <f t="shared" si="2"/>
        <v>57568</v>
      </c>
      <c r="W40" s="1948">
        <f t="shared" si="3"/>
        <v>15874</v>
      </c>
      <c r="X40" s="1948">
        <v>117</v>
      </c>
      <c r="Y40" s="1948">
        <v>129.44</v>
      </c>
      <c r="Z40" s="1948">
        <v>129.44</v>
      </c>
      <c r="AA40" s="1948">
        <v>0.82640000000000002</v>
      </c>
      <c r="AB40" s="1948">
        <v>55.77</v>
      </c>
      <c r="AC40" s="1948">
        <v>51976</v>
      </c>
      <c r="AD40" s="1948">
        <f t="shared" si="4"/>
        <v>55918</v>
      </c>
      <c r="AE40" s="1948">
        <f t="shared" si="5"/>
        <v>0</v>
      </c>
      <c r="AF40" s="1948">
        <v>117</v>
      </c>
      <c r="AG40" s="1948">
        <v>131.51999999999998</v>
      </c>
      <c r="AH40" s="1948">
        <v>131.52000000000001</v>
      </c>
      <c r="AI40" s="1948">
        <v>0.8085</v>
      </c>
      <c r="AJ40" s="1948">
        <v>30.74</v>
      </c>
      <c r="AK40" s="1948">
        <v>30077</v>
      </c>
      <c r="AL40" s="1948">
        <f t="shared" si="6"/>
        <v>58711</v>
      </c>
      <c r="AM40" s="1948">
        <f t="shared" si="7"/>
        <v>0</v>
      </c>
      <c r="AN40" s="1948">
        <v>117</v>
      </c>
      <c r="AO40" s="1948">
        <v>130.56</v>
      </c>
      <c r="AP40" s="1948">
        <v>130.56</v>
      </c>
      <c r="AQ40" s="1948">
        <v>0.8266</v>
      </c>
      <c r="AR40" s="1948">
        <v>33.47</v>
      </c>
      <c r="AS40" s="1948">
        <v>32507</v>
      </c>
      <c r="AT40" s="1948">
        <f t="shared" si="8"/>
        <v>58282</v>
      </c>
      <c r="AU40" s="1948">
        <f t="shared" si="9"/>
        <v>0</v>
      </c>
      <c r="AV40" s="1948">
        <v>117</v>
      </c>
      <c r="AW40" s="1948">
        <v>124.96000000000001</v>
      </c>
      <c r="AX40" s="1948">
        <v>124.96</v>
      </c>
      <c r="AY40" s="1948">
        <v>0.86760000000000004</v>
      </c>
      <c r="AZ40" s="1948">
        <v>52.75</v>
      </c>
      <c r="BA40" s="1948">
        <v>47464</v>
      </c>
      <c r="BB40" s="1948">
        <f t="shared" si="10"/>
        <v>53983</v>
      </c>
      <c r="BC40" s="1948">
        <f t="shared" si="11"/>
        <v>0</v>
      </c>
      <c r="BD40" s="1949">
        <v>117</v>
      </c>
      <c r="BE40" s="1948">
        <v>108.96</v>
      </c>
      <c r="BF40" s="1949">
        <v>108.96</v>
      </c>
      <c r="BG40" s="1949">
        <v>0.91110000000000002</v>
      </c>
      <c r="BH40" s="1949">
        <v>58.93</v>
      </c>
      <c r="BI40" s="1948">
        <v>47772</v>
      </c>
      <c r="BJ40" s="1948">
        <f t="shared" si="12"/>
        <v>48640</v>
      </c>
      <c r="BK40" s="1948">
        <f t="shared" si="13"/>
        <v>0</v>
      </c>
    </row>
    <row r="41" spans="1:63" ht="15">
      <c r="A41" s="1946">
        <v>124000000080</v>
      </c>
      <c r="B41" s="1947">
        <f t="shared" si="14"/>
        <v>35</v>
      </c>
      <c r="C41" s="1906" t="s">
        <v>3536</v>
      </c>
      <c r="D41" s="1907" t="s">
        <v>524</v>
      </c>
      <c r="E41" s="1906" t="s">
        <v>541</v>
      </c>
      <c r="F41" s="1948" t="s">
        <v>259</v>
      </c>
      <c r="G41" s="1949">
        <v>117</v>
      </c>
      <c r="H41" s="1948">
        <v>0</v>
      </c>
      <c r="I41" s="1950">
        <v>0</v>
      </c>
      <c r="J41" s="1948">
        <v>0</v>
      </c>
      <c r="K41" s="1948">
        <v>0</v>
      </c>
      <c r="L41" s="1948">
        <v>0</v>
      </c>
      <c r="M41" s="1948">
        <v>0</v>
      </c>
      <c r="N41" s="1948">
        <f t="shared" si="0"/>
        <v>0</v>
      </c>
      <c r="O41" s="1948">
        <f t="shared" si="1"/>
        <v>0</v>
      </c>
      <c r="P41" s="1948">
        <v>117</v>
      </c>
      <c r="Q41" s="1948">
        <v>9.2119999999999997</v>
      </c>
      <c r="R41" s="1948">
        <v>93.6</v>
      </c>
      <c r="S41" s="1948">
        <v>0.71660000000000001</v>
      </c>
      <c r="T41" s="1948">
        <v>25.76</v>
      </c>
      <c r="U41" s="1948">
        <v>854</v>
      </c>
      <c r="V41" s="1948">
        <f t="shared" si="2"/>
        <v>4112</v>
      </c>
      <c r="W41" s="1948">
        <f t="shared" si="3"/>
        <v>0</v>
      </c>
      <c r="X41" s="1948">
        <v>117</v>
      </c>
      <c r="Y41" s="1948">
        <v>16.596</v>
      </c>
      <c r="Z41" s="1948">
        <v>93.6</v>
      </c>
      <c r="AA41" s="1948">
        <v>0.60499999999999998</v>
      </c>
      <c r="AB41" s="1948">
        <v>14.3</v>
      </c>
      <c r="AC41" s="1948">
        <v>1709</v>
      </c>
      <c r="AD41" s="1948">
        <f t="shared" si="4"/>
        <v>7169</v>
      </c>
      <c r="AE41" s="1948">
        <f t="shared" si="5"/>
        <v>0</v>
      </c>
      <c r="AF41" s="1948">
        <v>117</v>
      </c>
      <c r="AG41" s="1948">
        <v>27.391200000000001</v>
      </c>
      <c r="AH41" s="1948">
        <v>93.6</v>
      </c>
      <c r="AI41" s="1948">
        <v>0.58589999999999998</v>
      </c>
      <c r="AJ41" s="1948">
        <v>11.82</v>
      </c>
      <c r="AK41" s="1948">
        <v>2408</v>
      </c>
      <c r="AL41" s="1948">
        <f t="shared" si="6"/>
        <v>12227</v>
      </c>
      <c r="AM41" s="1948">
        <f t="shared" si="7"/>
        <v>0</v>
      </c>
      <c r="AN41" s="1948">
        <v>117</v>
      </c>
      <c r="AO41" s="1948">
        <v>28.2</v>
      </c>
      <c r="AP41" s="1948">
        <v>93.6</v>
      </c>
      <c r="AQ41" s="1948">
        <v>0.51659999999999995</v>
      </c>
      <c r="AR41" s="1948">
        <v>12.28</v>
      </c>
      <c r="AS41" s="1948">
        <v>2576</v>
      </c>
      <c r="AT41" s="1948">
        <f t="shared" si="8"/>
        <v>12588</v>
      </c>
      <c r="AU41" s="1948">
        <f t="shared" si="9"/>
        <v>0</v>
      </c>
      <c r="AV41" s="1948">
        <v>117</v>
      </c>
      <c r="AW41" s="1948">
        <v>23.388000000000002</v>
      </c>
      <c r="AX41" s="1948">
        <v>93.6</v>
      </c>
      <c r="AY41" s="1948">
        <v>0.53839999999999999</v>
      </c>
      <c r="AZ41" s="1948">
        <v>16.66</v>
      </c>
      <c r="BA41" s="1948">
        <v>2806</v>
      </c>
      <c r="BB41" s="1948">
        <f t="shared" si="10"/>
        <v>10104</v>
      </c>
      <c r="BC41" s="1948">
        <f t="shared" si="11"/>
        <v>0</v>
      </c>
      <c r="BD41" s="1949">
        <v>117</v>
      </c>
      <c r="BE41" s="1948">
        <v>24.948</v>
      </c>
      <c r="BF41" s="1949">
        <v>93.6</v>
      </c>
      <c r="BG41" s="1949">
        <v>0.54200000000000004</v>
      </c>
      <c r="BH41" s="1949">
        <v>14.67</v>
      </c>
      <c r="BI41" s="1948">
        <v>2723</v>
      </c>
      <c r="BJ41" s="1948">
        <f t="shared" si="12"/>
        <v>11137</v>
      </c>
      <c r="BK41" s="1948">
        <f t="shared" si="13"/>
        <v>0</v>
      </c>
    </row>
    <row r="42" spans="1:63" ht="15">
      <c r="A42" s="1946">
        <v>613000000043</v>
      </c>
      <c r="B42" s="1947">
        <f t="shared" si="14"/>
        <v>36</v>
      </c>
      <c r="C42" s="1906" t="s">
        <v>3537</v>
      </c>
      <c r="D42" s="1907" t="s">
        <v>524</v>
      </c>
      <c r="E42" s="1906" t="s">
        <v>636</v>
      </c>
      <c r="F42" s="1948" t="s">
        <v>259</v>
      </c>
      <c r="G42" s="1949">
        <v>117</v>
      </c>
      <c r="H42" s="1948">
        <v>117</v>
      </c>
      <c r="I42" s="1950">
        <v>6.2168000000000001</v>
      </c>
      <c r="J42" s="1948">
        <v>93.6</v>
      </c>
      <c r="K42" s="1948">
        <v>0.1545</v>
      </c>
      <c r="L42" s="1948">
        <v>73.69</v>
      </c>
      <c r="M42" s="1948">
        <v>220</v>
      </c>
      <c r="N42" s="1948">
        <f t="shared" si="0"/>
        <v>2686</v>
      </c>
      <c r="O42" s="1948">
        <f t="shared" si="1"/>
        <v>0</v>
      </c>
      <c r="P42" s="1948">
        <v>117</v>
      </c>
      <c r="Q42" s="1948">
        <v>8.8447999999999993</v>
      </c>
      <c r="R42" s="1948">
        <v>93.6</v>
      </c>
      <c r="S42" s="1948">
        <v>0.14879999999999999</v>
      </c>
      <c r="T42" s="1948">
        <v>17.88</v>
      </c>
      <c r="U42" s="1948">
        <v>1176</v>
      </c>
      <c r="V42" s="1948">
        <f t="shared" si="2"/>
        <v>3948</v>
      </c>
      <c r="W42" s="1948">
        <f t="shared" si="3"/>
        <v>0</v>
      </c>
      <c r="X42" s="1948">
        <v>117</v>
      </c>
      <c r="Y42" s="1948">
        <v>0.192</v>
      </c>
      <c r="Z42" s="1948">
        <v>93.6</v>
      </c>
      <c r="AA42" s="1948">
        <v>0</v>
      </c>
      <c r="AB42" s="1948">
        <v>0</v>
      </c>
      <c r="AC42" s="1948">
        <v>0</v>
      </c>
      <c r="AD42" s="1948">
        <f t="shared" si="4"/>
        <v>83</v>
      </c>
      <c r="AE42" s="1948">
        <f t="shared" si="5"/>
        <v>0</v>
      </c>
      <c r="AF42" s="1948">
        <v>117</v>
      </c>
      <c r="AG42" s="1948">
        <v>13.686400000000001</v>
      </c>
      <c r="AH42" s="1948">
        <v>93.6</v>
      </c>
      <c r="AI42" s="1948">
        <v>0.26019999999999999</v>
      </c>
      <c r="AJ42" s="1948">
        <v>0.72</v>
      </c>
      <c r="AK42" s="1948">
        <v>73</v>
      </c>
      <c r="AL42" s="1948">
        <f t="shared" si="6"/>
        <v>6110</v>
      </c>
      <c r="AM42" s="1948">
        <f t="shared" si="7"/>
        <v>0</v>
      </c>
      <c r="AN42" s="1948">
        <v>117</v>
      </c>
      <c r="AO42" s="1948">
        <v>24.186399999999999</v>
      </c>
      <c r="AP42" s="1948">
        <v>93.6</v>
      </c>
      <c r="AQ42" s="1948">
        <v>0.28199999999999997</v>
      </c>
      <c r="AR42" s="1948">
        <v>24.73</v>
      </c>
      <c r="AS42" s="1948">
        <v>4450</v>
      </c>
      <c r="AT42" s="1948">
        <f t="shared" si="8"/>
        <v>10797</v>
      </c>
      <c r="AU42" s="1948">
        <f t="shared" si="9"/>
        <v>0</v>
      </c>
      <c r="AV42" s="1948">
        <v>117</v>
      </c>
      <c r="AW42" s="1948">
        <v>28.32</v>
      </c>
      <c r="AX42" s="1948">
        <v>93.6</v>
      </c>
      <c r="AY42" s="1948">
        <v>0.20799999999999999</v>
      </c>
      <c r="AZ42" s="1948">
        <v>22.49</v>
      </c>
      <c r="BA42" s="1948">
        <v>4586</v>
      </c>
      <c r="BB42" s="1948">
        <f t="shared" si="10"/>
        <v>12234</v>
      </c>
      <c r="BC42" s="1948">
        <f t="shared" si="11"/>
        <v>0</v>
      </c>
      <c r="BD42" s="1949">
        <v>117</v>
      </c>
      <c r="BE42" s="1948">
        <v>13.906000000000001</v>
      </c>
      <c r="BF42" s="1949">
        <v>93.6</v>
      </c>
      <c r="BG42" s="1949">
        <v>0.18090000000000001</v>
      </c>
      <c r="BH42" s="1949">
        <v>47.58</v>
      </c>
      <c r="BI42" s="1948">
        <v>4924</v>
      </c>
      <c r="BJ42" s="1948">
        <f t="shared" si="12"/>
        <v>6208</v>
      </c>
      <c r="BK42" s="1948">
        <f t="shared" si="13"/>
        <v>0</v>
      </c>
    </row>
    <row r="43" spans="1:63" ht="15">
      <c r="A43" s="1946">
        <v>611000000068</v>
      </c>
      <c r="B43" s="1947">
        <f t="shared" si="14"/>
        <v>37</v>
      </c>
      <c r="C43" s="1906" t="s">
        <v>2941</v>
      </c>
      <c r="D43" s="1907" t="s">
        <v>524</v>
      </c>
      <c r="E43" s="1906" t="s">
        <v>636</v>
      </c>
      <c r="F43" s="1948" t="s">
        <v>259</v>
      </c>
      <c r="G43" s="1949">
        <v>117.2</v>
      </c>
      <c r="H43" s="1948">
        <v>117.2</v>
      </c>
      <c r="I43" s="1950">
        <v>209.92000000000002</v>
      </c>
      <c r="J43" s="1948">
        <v>209.92</v>
      </c>
      <c r="K43" s="1948">
        <v>0.93130000000000002</v>
      </c>
      <c r="L43" s="1948">
        <v>34.99</v>
      </c>
      <c r="M43" s="1948">
        <v>58170</v>
      </c>
      <c r="N43" s="1948">
        <f t="shared" si="0"/>
        <v>90685</v>
      </c>
      <c r="O43" s="1948">
        <f t="shared" si="1"/>
        <v>0</v>
      </c>
      <c r="P43" s="1948">
        <v>117.2</v>
      </c>
      <c r="Q43" s="1948">
        <v>229.2</v>
      </c>
      <c r="R43" s="1948">
        <v>229.2</v>
      </c>
      <c r="S43" s="1948">
        <v>0.93269999999999997</v>
      </c>
      <c r="T43" s="1948">
        <v>36.200000000000003</v>
      </c>
      <c r="U43" s="1948">
        <v>61724</v>
      </c>
      <c r="V43" s="1948">
        <f t="shared" si="2"/>
        <v>102315</v>
      </c>
      <c r="W43" s="1948">
        <f t="shared" si="3"/>
        <v>0</v>
      </c>
      <c r="X43" s="1948">
        <v>117.2</v>
      </c>
      <c r="Y43" s="1948">
        <v>243.04000000000002</v>
      </c>
      <c r="Z43" s="1948">
        <v>243.04</v>
      </c>
      <c r="AA43" s="1948">
        <v>0.93269999999999997</v>
      </c>
      <c r="AB43" s="1948">
        <v>33.11</v>
      </c>
      <c r="AC43" s="1948">
        <v>57940</v>
      </c>
      <c r="AD43" s="1948">
        <f t="shared" si="4"/>
        <v>104993</v>
      </c>
      <c r="AE43" s="1948">
        <f t="shared" si="5"/>
        <v>0</v>
      </c>
      <c r="AF43" s="1948">
        <v>117.2</v>
      </c>
      <c r="AG43" s="1948">
        <v>207.76</v>
      </c>
      <c r="AH43" s="1948">
        <v>207.76</v>
      </c>
      <c r="AI43" s="1948">
        <v>0.93500000000000005</v>
      </c>
      <c r="AJ43" s="1948">
        <v>43.02</v>
      </c>
      <c r="AK43" s="1948">
        <v>66497</v>
      </c>
      <c r="AL43" s="1948">
        <f t="shared" si="6"/>
        <v>92744</v>
      </c>
      <c r="AM43" s="1948">
        <f t="shared" si="7"/>
        <v>0</v>
      </c>
      <c r="AN43" s="1948">
        <v>117.2</v>
      </c>
      <c r="AO43" s="1948">
        <v>225.92</v>
      </c>
      <c r="AP43" s="1948">
        <v>225.92</v>
      </c>
      <c r="AQ43" s="1948">
        <v>0.91779999999999995</v>
      </c>
      <c r="AR43" s="1948">
        <v>36.44</v>
      </c>
      <c r="AS43" s="1948">
        <v>61250</v>
      </c>
      <c r="AT43" s="1948">
        <f t="shared" si="8"/>
        <v>100851</v>
      </c>
      <c r="AU43" s="1948">
        <f t="shared" si="9"/>
        <v>0</v>
      </c>
      <c r="AV43" s="1948">
        <v>117.2</v>
      </c>
      <c r="AW43" s="1948">
        <v>158.80000000000001</v>
      </c>
      <c r="AX43" s="1948">
        <v>158.80000000000001</v>
      </c>
      <c r="AY43" s="1948">
        <v>0.91690000000000005</v>
      </c>
      <c r="AZ43" s="1948">
        <v>51.5</v>
      </c>
      <c r="BA43" s="1948">
        <v>58879</v>
      </c>
      <c r="BB43" s="1948">
        <f t="shared" si="10"/>
        <v>68602</v>
      </c>
      <c r="BC43" s="1948">
        <f t="shared" si="11"/>
        <v>0</v>
      </c>
      <c r="BD43" s="1949">
        <v>117.2</v>
      </c>
      <c r="BE43" s="1948">
        <v>164</v>
      </c>
      <c r="BF43" s="1949">
        <v>164</v>
      </c>
      <c r="BG43" s="1949">
        <v>0.91690000000000005</v>
      </c>
      <c r="BH43" s="1949">
        <v>39.19</v>
      </c>
      <c r="BI43" s="1948">
        <v>47817</v>
      </c>
      <c r="BJ43" s="1948">
        <f t="shared" si="12"/>
        <v>73210</v>
      </c>
      <c r="BK43" s="1948">
        <f t="shared" si="13"/>
        <v>0</v>
      </c>
    </row>
    <row r="44" spans="1:63" ht="15">
      <c r="A44" s="1946">
        <v>622000000018</v>
      </c>
      <c r="B44" s="1947">
        <f t="shared" si="14"/>
        <v>38</v>
      </c>
      <c r="C44" s="1906" t="s">
        <v>2942</v>
      </c>
      <c r="D44" s="1907" t="s">
        <v>524</v>
      </c>
      <c r="E44" s="1906" t="s">
        <v>629</v>
      </c>
      <c r="F44" s="1948" t="s">
        <v>259</v>
      </c>
      <c r="G44" s="1949">
        <v>117.78</v>
      </c>
      <c r="H44" s="1948">
        <v>117.78</v>
      </c>
      <c r="I44" s="1950">
        <v>64.37</v>
      </c>
      <c r="J44" s="1948">
        <v>117.78</v>
      </c>
      <c r="K44" s="1948">
        <v>0.97589999999999999</v>
      </c>
      <c r="L44" s="1948">
        <v>0</v>
      </c>
      <c r="M44" s="1948">
        <v>17859</v>
      </c>
      <c r="N44" s="1948">
        <f t="shared" si="0"/>
        <v>27808</v>
      </c>
      <c r="O44" s="1948">
        <f t="shared" si="1"/>
        <v>0</v>
      </c>
      <c r="P44" s="1948">
        <v>117.78</v>
      </c>
      <c r="Q44" s="1948">
        <v>66.69</v>
      </c>
      <c r="R44" s="1948">
        <v>117.78</v>
      </c>
      <c r="S44" s="1948">
        <v>0.97750000000000004</v>
      </c>
      <c r="T44" s="1948">
        <v>0</v>
      </c>
      <c r="U44" s="1948">
        <v>18438</v>
      </c>
      <c r="V44" s="1948">
        <f t="shared" si="2"/>
        <v>29770</v>
      </c>
      <c r="W44" s="1948">
        <f t="shared" si="3"/>
        <v>0</v>
      </c>
      <c r="X44" s="1948">
        <v>117.78</v>
      </c>
      <c r="Y44" s="1948">
        <v>63.65</v>
      </c>
      <c r="Z44" s="1948">
        <v>117.78</v>
      </c>
      <c r="AA44" s="1948">
        <v>0.97960000000000003</v>
      </c>
      <c r="AB44" s="1948">
        <v>0</v>
      </c>
      <c r="AC44" s="1948">
        <v>17408</v>
      </c>
      <c r="AD44" s="1948">
        <f t="shared" si="4"/>
        <v>27497</v>
      </c>
      <c r="AE44" s="1948">
        <f t="shared" si="5"/>
        <v>0</v>
      </c>
      <c r="AF44" s="1948">
        <v>117.78</v>
      </c>
      <c r="AG44" s="1948">
        <v>59.65</v>
      </c>
      <c r="AH44" s="1948">
        <v>117.78</v>
      </c>
      <c r="AI44" s="1948">
        <v>0.98180000000000001</v>
      </c>
      <c r="AJ44" s="1948">
        <v>0</v>
      </c>
      <c r="AK44" s="1948">
        <v>12710</v>
      </c>
      <c r="AL44" s="1948">
        <f t="shared" si="6"/>
        <v>26628</v>
      </c>
      <c r="AM44" s="1948">
        <f t="shared" si="7"/>
        <v>0</v>
      </c>
      <c r="AN44" s="1948">
        <v>117.78</v>
      </c>
      <c r="AO44" s="1948">
        <v>60.21</v>
      </c>
      <c r="AP44" s="1948">
        <v>117.78</v>
      </c>
      <c r="AQ44" s="1948">
        <v>0.98619999999999997</v>
      </c>
      <c r="AR44" s="1948">
        <v>0</v>
      </c>
      <c r="AS44" s="1948">
        <v>15864</v>
      </c>
      <c r="AT44" s="1948">
        <f t="shared" si="8"/>
        <v>26878</v>
      </c>
      <c r="AU44" s="1948">
        <f t="shared" si="9"/>
        <v>0</v>
      </c>
      <c r="AV44" s="1948">
        <v>117.78</v>
      </c>
      <c r="AW44" s="1948">
        <v>55.49</v>
      </c>
      <c r="AX44" s="1948">
        <v>117.78</v>
      </c>
      <c r="AY44" s="1948">
        <v>0.98799999999999999</v>
      </c>
      <c r="AZ44" s="1948">
        <v>0</v>
      </c>
      <c r="BA44" s="1948">
        <v>16014</v>
      </c>
      <c r="BB44" s="1948">
        <f t="shared" si="10"/>
        <v>23972</v>
      </c>
      <c r="BC44" s="1948">
        <f t="shared" si="11"/>
        <v>0</v>
      </c>
      <c r="BD44" s="1949">
        <v>117.78</v>
      </c>
      <c r="BE44" s="1948">
        <v>64.05</v>
      </c>
      <c r="BF44" s="1949">
        <v>117.78</v>
      </c>
      <c r="BG44" s="1949">
        <v>0.98570000000000002</v>
      </c>
      <c r="BH44" s="1949">
        <v>0</v>
      </c>
      <c r="BI44" s="1948">
        <v>18100</v>
      </c>
      <c r="BJ44" s="1948">
        <f t="shared" si="12"/>
        <v>28592</v>
      </c>
      <c r="BK44" s="1948">
        <f t="shared" si="13"/>
        <v>0</v>
      </c>
    </row>
    <row r="45" spans="1:63" ht="15">
      <c r="A45" s="1946">
        <v>126000000002</v>
      </c>
      <c r="B45" s="1947">
        <f t="shared" si="14"/>
        <v>39</v>
      </c>
      <c r="C45" s="1906" t="s">
        <v>2944</v>
      </c>
      <c r="D45" s="1907" t="s">
        <v>524</v>
      </c>
      <c r="E45" s="1906" t="s">
        <v>636</v>
      </c>
      <c r="F45" s="1948" t="s">
        <v>259</v>
      </c>
      <c r="G45" s="1949">
        <v>118</v>
      </c>
      <c r="H45" s="1948">
        <v>118</v>
      </c>
      <c r="I45" s="1950">
        <v>3.95</v>
      </c>
      <c r="J45" s="1948">
        <v>94.4</v>
      </c>
      <c r="K45" s="1948">
        <v>0.997</v>
      </c>
      <c r="L45" s="1948">
        <v>66.23</v>
      </c>
      <c r="M45" s="1948">
        <v>3296</v>
      </c>
      <c r="N45" s="1948">
        <f t="shared" si="0"/>
        <v>1706</v>
      </c>
      <c r="O45" s="1948">
        <f t="shared" si="1"/>
        <v>1590</v>
      </c>
      <c r="P45" s="1948">
        <v>118</v>
      </c>
      <c r="Q45" s="1948">
        <v>11.058</v>
      </c>
      <c r="R45" s="1948">
        <v>94.4</v>
      </c>
      <c r="S45" s="1948">
        <v>0.9929</v>
      </c>
      <c r="T45" s="1948">
        <v>44.88</v>
      </c>
      <c r="U45" s="1948">
        <v>3812</v>
      </c>
      <c r="V45" s="1948">
        <f t="shared" si="2"/>
        <v>4936</v>
      </c>
      <c r="W45" s="1948">
        <f t="shared" si="3"/>
        <v>0</v>
      </c>
      <c r="X45" s="1948">
        <v>118</v>
      </c>
      <c r="Y45" s="1948">
        <v>10.97</v>
      </c>
      <c r="Z45" s="1948">
        <v>94.4</v>
      </c>
      <c r="AA45" s="1948">
        <v>0.99270000000000003</v>
      </c>
      <c r="AB45" s="1948">
        <v>46.93</v>
      </c>
      <c r="AC45" s="1948">
        <v>3707</v>
      </c>
      <c r="AD45" s="1948">
        <f t="shared" si="4"/>
        <v>4739</v>
      </c>
      <c r="AE45" s="1948">
        <f t="shared" si="5"/>
        <v>0</v>
      </c>
      <c r="AF45" s="1948">
        <v>118</v>
      </c>
      <c r="AG45" s="1948">
        <v>11.466000000000001</v>
      </c>
      <c r="AH45" s="1948">
        <v>94.4</v>
      </c>
      <c r="AI45" s="1948">
        <v>0.99109999999999998</v>
      </c>
      <c r="AJ45" s="1948">
        <v>43.36</v>
      </c>
      <c r="AK45" s="1948">
        <v>3700</v>
      </c>
      <c r="AL45" s="1948">
        <f t="shared" si="6"/>
        <v>5118</v>
      </c>
      <c r="AM45" s="1948">
        <f t="shared" si="7"/>
        <v>0</v>
      </c>
      <c r="AN45" s="1948">
        <v>118</v>
      </c>
      <c r="AO45" s="1948">
        <v>10.468</v>
      </c>
      <c r="AP45" s="1948">
        <v>94.4</v>
      </c>
      <c r="AQ45" s="1948">
        <v>0.99219999999999997</v>
      </c>
      <c r="AR45" s="1948">
        <v>46.63</v>
      </c>
      <c r="AS45" s="1948">
        <v>3632</v>
      </c>
      <c r="AT45" s="1948">
        <f t="shared" si="8"/>
        <v>4673</v>
      </c>
      <c r="AU45" s="1948">
        <f t="shared" si="9"/>
        <v>0</v>
      </c>
      <c r="AV45" s="1948">
        <v>118</v>
      </c>
      <c r="AW45" s="1948">
        <v>11.510000000000002</v>
      </c>
      <c r="AX45" s="1948">
        <v>94.4</v>
      </c>
      <c r="AY45" s="1948">
        <v>0.98850000000000005</v>
      </c>
      <c r="AZ45" s="1948">
        <v>42.32</v>
      </c>
      <c r="BA45" s="1948">
        <v>3507</v>
      </c>
      <c r="BB45" s="1948">
        <f t="shared" si="10"/>
        <v>4972</v>
      </c>
      <c r="BC45" s="1948">
        <f t="shared" si="11"/>
        <v>0</v>
      </c>
      <c r="BD45" s="1949">
        <v>118</v>
      </c>
      <c r="BE45" s="1948">
        <v>13.15</v>
      </c>
      <c r="BF45" s="1949">
        <v>94.4</v>
      </c>
      <c r="BG45" s="1949">
        <v>0.99060000000000004</v>
      </c>
      <c r="BH45" s="1949">
        <v>36.08</v>
      </c>
      <c r="BI45" s="1948">
        <v>3530</v>
      </c>
      <c r="BJ45" s="1948">
        <f t="shared" si="12"/>
        <v>5870</v>
      </c>
      <c r="BK45" s="1948">
        <f t="shared" si="13"/>
        <v>0</v>
      </c>
    </row>
    <row r="46" spans="1:63" ht="15">
      <c r="A46" s="1946">
        <v>124000000035</v>
      </c>
      <c r="B46" s="1947">
        <f t="shared" si="14"/>
        <v>40</v>
      </c>
      <c r="C46" s="1906" t="s">
        <v>2943</v>
      </c>
      <c r="D46" s="1907" t="s">
        <v>524</v>
      </c>
      <c r="E46" s="1906" t="s">
        <v>541</v>
      </c>
      <c r="F46" s="1948" t="s">
        <v>259</v>
      </c>
      <c r="G46" s="1949">
        <v>118</v>
      </c>
      <c r="H46" s="1948">
        <v>118</v>
      </c>
      <c r="I46" s="1950">
        <v>75.36</v>
      </c>
      <c r="J46" s="1948">
        <v>94.4</v>
      </c>
      <c r="K46" s="1948">
        <v>0.99280000000000002</v>
      </c>
      <c r="L46" s="1948">
        <v>16.850000000000001</v>
      </c>
      <c r="M46" s="1948">
        <v>9140</v>
      </c>
      <c r="N46" s="1948">
        <f t="shared" si="0"/>
        <v>32556</v>
      </c>
      <c r="O46" s="1948">
        <f t="shared" si="1"/>
        <v>0</v>
      </c>
      <c r="P46" s="1948">
        <v>118</v>
      </c>
      <c r="Q46" s="1948">
        <v>71.28</v>
      </c>
      <c r="R46" s="1948">
        <v>94.4</v>
      </c>
      <c r="S46" s="1948">
        <v>0.99219999999999997</v>
      </c>
      <c r="T46" s="1948">
        <v>15.05</v>
      </c>
      <c r="U46" s="1948">
        <v>7982</v>
      </c>
      <c r="V46" s="1948">
        <f t="shared" si="2"/>
        <v>31819</v>
      </c>
      <c r="W46" s="1948">
        <f t="shared" si="3"/>
        <v>0</v>
      </c>
      <c r="X46" s="1948">
        <v>118</v>
      </c>
      <c r="Y46" s="1948">
        <v>71.52</v>
      </c>
      <c r="Z46" s="1948">
        <v>94.4</v>
      </c>
      <c r="AA46" s="1948">
        <v>0.98350000000000004</v>
      </c>
      <c r="AB46" s="1948">
        <v>13.57</v>
      </c>
      <c r="AC46" s="1948">
        <v>6990</v>
      </c>
      <c r="AD46" s="1948">
        <f t="shared" si="4"/>
        <v>30897</v>
      </c>
      <c r="AE46" s="1948">
        <f t="shared" si="5"/>
        <v>0</v>
      </c>
      <c r="AF46" s="1948">
        <v>118</v>
      </c>
      <c r="AG46" s="1948">
        <v>74.88</v>
      </c>
      <c r="AH46" s="1948">
        <v>94.4</v>
      </c>
      <c r="AI46" s="1948">
        <v>0.98229999999999995</v>
      </c>
      <c r="AJ46" s="1948">
        <v>15.39</v>
      </c>
      <c r="AK46" s="1948">
        <v>8572</v>
      </c>
      <c r="AL46" s="1948">
        <f t="shared" si="6"/>
        <v>33426</v>
      </c>
      <c r="AM46" s="1948">
        <f t="shared" si="7"/>
        <v>0</v>
      </c>
      <c r="AN46" s="1948">
        <v>118</v>
      </c>
      <c r="AO46" s="1948">
        <v>80</v>
      </c>
      <c r="AP46" s="1948">
        <v>94.4</v>
      </c>
      <c r="AQ46" s="1948">
        <v>0.99050000000000005</v>
      </c>
      <c r="AR46" s="1948">
        <v>17.91</v>
      </c>
      <c r="AS46" s="1948">
        <v>10660</v>
      </c>
      <c r="AT46" s="1948">
        <f t="shared" si="8"/>
        <v>35712</v>
      </c>
      <c r="AU46" s="1948">
        <f t="shared" si="9"/>
        <v>0</v>
      </c>
      <c r="AV46" s="1948">
        <v>118</v>
      </c>
      <c r="AW46" s="1948">
        <v>86.240000000000009</v>
      </c>
      <c r="AX46" s="1948">
        <v>94.4</v>
      </c>
      <c r="AY46" s="1948">
        <v>0.98970000000000002</v>
      </c>
      <c r="AZ46" s="1948">
        <v>18.899999999999999</v>
      </c>
      <c r="BA46" s="1948">
        <v>11736</v>
      </c>
      <c r="BB46" s="1948">
        <f t="shared" si="10"/>
        <v>37256</v>
      </c>
      <c r="BC46" s="1948">
        <f t="shared" si="11"/>
        <v>0</v>
      </c>
      <c r="BD46" s="1949">
        <v>118</v>
      </c>
      <c r="BE46" s="1948">
        <v>83.36</v>
      </c>
      <c r="BF46" s="1949">
        <v>94.4</v>
      </c>
      <c r="BG46" s="1949">
        <v>0.9829</v>
      </c>
      <c r="BH46" s="1949">
        <v>19.100000000000001</v>
      </c>
      <c r="BI46" s="1948">
        <v>11845</v>
      </c>
      <c r="BJ46" s="1948">
        <f t="shared" si="12"/>
        <v>37212</v>
      </c>
      <c r="BK46" s="1948">
        <f t="shared" si="13"/>
        <v>0</v>
      </c>
    </row>
    <row r="47" spans="1:63" ht="15">
      <c r="A47" s="1946">
        <v>621000000054</v>
      </c>
      <c r="B47" s="1947">
        <f t="shared" si="14"/>
        <v>41</v>
      </c>
      <c r="C47" s="1906" t="s">
        <v>2922</v>
      </c>
      <c r="D47" s="1907" t="s">
        <v>524</v>
      </c>
      <c r="E47" s="1906" t="s">
        <v>636</v>
      </c>
      <c r="F47" s="1948" t="s">
        <v>259</v>
      </c>
      <c r="G47" s="1949">
        <v>118</v>
      </c>
      <c r="H47" s="1948">
        <v>118</v>
      </c>
      <c r="I47" s="1950">
        <v>59.28</v>
      </c>
      <c r="J47" s="1948">
        <v>94.4</v>
      </c>
      <c r="K47" s="1948">
        <v>0.95920000000000005</v>
      </c>
      <c r="L47" s="1948">
        <v>71.58</v>
      </c>
      <c r="M47" s="1948">
        <v>30551</v>
      </c>
      <c r="N47" s="1948">
        <f t="shared" si="0"/>
        <v>25609</v>
      </c>
      <c r="O47" s="1948">
        <f t="shared" si="1"/>
        <v>4942</v>
      </c>
      <c r="P47" s="1948">
        <v>118</v>
      </c>
      <c r="Q47" s="1948">
        <v>61.040000000000006</v>
      </c>
      <c r="R47" s="1948">
        <v>94.4</v>
      </c>
      <c r="S47" s="1948">
        <v>0.95940000000000003</v>
      </c>
      <c r="T47" s="1948">
        <v>66.03</v>
      </c>
      <c r="U47" s="1948">
        <v>29985</v>
      </c>
      <c r="V47" s="1948">
        <f t="shared" si="2"/>
        <v>27248</v>
      </c>
      <c r="W47" s="1948">
        <f t="shared" si="3"/>
        <v>2737</v>
      </c>
      <c r="X47" s="1948">
        <v>118</v>
      </c>
      <c r="Y47" s="1948">
        <v>62.160000000000004</v>
      </c>
      <c r="Z47" s="1948">
        <v>94.4</v>
      </c>
      <c r="AA47" s="1948">
        <v>0.95830000000000004</v>
      </c>
      <c r="AB47" s="1948">
        <v>64.67</v>
      </c>
      <c r="AC47" s="1948">
        <v>26050</v>
      </c>
      <c r="AD47" s="1948">
        <f t="shared" si="4"/>
        <v>26853</v>
      </c>
      <c r="AE47" s="1948">
        <f t="shared" si="5"/>
        <v>0</v>
      </c>
      <c r="AF47" s="1948">
        <v>118</v>
      </c>
      <c r="AG47" s="1948">
        <v>55.600000000000009</v>
      </c>
      <c r="AH47" s="1948">
        <v>94.4</v>
      </c>
      <c r="AI47" s="1948">
        <v>0.95669999999999999</v>
      </c>
      <c r="AJ47" s="1948">
        <v>71.87</v>
      </c>
      <c r="AK47" s="1948">
        <v>32606</v>
      </c>
      <c r="AL47" s="1948">
        <f t="shared" si="6"/>
        <v>24820</v>
      </c>
      <c r="AM47" s="1948">
        <f t="shared" si="7"/>
        <v>7786</v>
      </c>
      <c r="AN47" s="1948">
        <v>118</v>
      </c>
      <c r="AO47" s="1948">
        <v>62.639999999999993</v>
      </c>
      <c r="AP47" s="1948">
        <v>94.4</v>
      </c>
      <c r="AQ47" s="1948">
        <v>0.95330000000000004</v>
      </c>
      <c r="AR47" s="1948">
        <v>61.36</v>
      </c>
      <c r="AS47" s="1948">
        <v>28596</v>
      </c>
      <c r="AT47" s="1948">
        <f t="shared" si="8"/>
        <v>27962</v>
      </c>
      <c r="AU47" s="1948">
        <f t="shared" si="9"/>
        <v>634</v>
      </c>
      <c r="AV47" s="1948">
        <v>118</v>
      </c>
      <c r="AW47" s="1948">
        <v>51.12</v>
      </c>
      <c r="AX47" s="1948">
        <v>94.4</v>
      </c>
      <c r="AY47" s="1948">
        <v>0.95269999999999999</v>
      </c>
      <c r="AZ47" s="1948">
        <v>72.78</v>
      </c>
      <c r="BA47" s="1948">
        <v>26787</v>
      </c>
      <c r="BB47" s="1948">
        <f t="shared" si="10"/>
        <v>22084</v>
      </c>
      <c r="BC47" s="1948">
        <f t="shared" si="11"/>
        <v>4703</v>
      </c>
      <c r="BD47" s="1949">
        <v>118</v>
      </c>
      <c r="BE47" s="1948">
        <v>57.52</v>
      </c>
      <c r="BF47" s="1949">
        <v>94.4</v>
      </c>
      <c r="BG47" s="1949">
        <v>0.95109999999999995</v>
      </c>
      <c r="BH47" s="1949">
        <v>68.53</v>
      </c>
      <c r="BI47" s="1948">
        <v>29328</v>
      </c>
      <c r="BJ47" s="1948">
        <f t="shared" si="12"/>
        <v>25677</v>
      </c>
      <c r="BK47" s="1948">
        <f t="shared" si="13"/>
        <v>3651</v>
      </c>
    </row>
    <row r="48" spans="1:63" ht="15">
      <c r="A48" s="1946">
        <v>124000000041</v>
      </c>
      <c r="B48" s="1947">
        <f t="shared" si="14"/>
        <v>42</v>
      </c>
      <c r="C48" s="1906" t="s">
        <v>2946</v>
      </c>
      <c r="D48" s="1907" t="s">
        <v>2930</v>
      </c>
      <c r="E48" s="1906" t="s">
        <v>541</v>
      </c>
      <c r="F48" s="1948" t="s">
        <v>259</v>
      </c>
      <c r="G48" s="1949">
        <v>119</v>
      </c>
      <c r="H48" s="1948">
        <v>119</v>
      </c>
      <c r="I48" s="1950">
        <v>0</v>
      </c>
      <c r="J48" s="1948">
        <v>95.2</v>
      </c>
      <c r="K48" s="1948">
        <v>0</v>
      </c>
      <c r="L48" s="1948">
        <v>0</v>
      </c>
      <c r="M48" s="1948">
        <v>0</v>
      </c>
      <c r="N48" s="1948">
        <f t="shared" si="0"/>
        <v>0</v>
      </c>
      <c r="O48" s="1948">
        <f t="shared" si="1"/>
        <v>0</v>
      </c>
      <c r="P48" s="1948">
        <v>119</v>
      </c>
      <c r="Q48" s="1948">
        <v>0</v>
      </c>
      <c r="R48" s="1948">
        <v>95.2</v>
      </c>
      <c r="S48" s="1948">
        <v>0</v>
      </c>
      <c r="T48" s="1948">
        <v>0</v>
      </c>
      <c r="U48" s="1948">
        <v>0</v>
      </c>
      <c r="V48" s="1948">
        <f t="shared" si="2"/>
        <v>0</v>
      </c>
      <c r="W48" s="1948">
        <f t="shared" si="3"/>
        <v>0</v>
      </c>
      <c r="X48" s="1948">
        <v>119</v>
      </c>
      <c r="Y48" s="1948">
        <v>0</v>
      </c>
      <c r="Z48" s="1948">
        <v>95.2</v>
      </c>
      <c r="AA48" s="1948">
        <v>0</v>
      </c>
      <c r="AB48" s="1948">
        <v>0</v>
      </c>
      <c r="AC48" s="1948">
        <v>0</v>
      </c>
      <c r="AD48" s="1948">
        <f t="shared" si="4"/>
        <v>0</v>
      </c>
      <c r="AE48" s="1948">
        <f t="shared" si="5"/>
        <v>0</v>
      </c>
      <c r="AF48" s="1948">
        <v>119</v>
      </c>
      <c r="AG48" s="1948">
        <v>0</v>
      </c>
      <c r="AH48" s="1948">
        <v>95.2</v>
      </c>
      <c r="AI48" s="1948">
        <v>0</v>
      </c>
      <c r="AJ48" s="1948">
        <v>0</v>
      </c>
      <c r="AK48" s="1948">
        <v>0</v>
      </c>
      <c r="AL48" s="1948">
        <f t="shared" si="6"/>
        <v>0</v>
      </c>
      <c r="AM48" s="1948">
        <f t="shared" si="7"/>
        <v>0</v>
      </c>
      <c r="AN48" s="1948">
        <v>119</v>
      </c>
      <c r="AO48" s="1948">
        <v>0</v>
      </c>
      <c r="AP48" s="1948">
        <v>95.2</v>
      </c>
      <c r="AQ48" s="1948">
        <v>0</v>
      </c>
      <c r="AR48" s="1948">
        <v>0</v>
      </c>
      <c r="AS48" s="1948">
        <v>0</v>
      </c>
      <c r="AT48" s="1948">
        <f t="shared" si="8"/>
        <v>0</v>
      </c>
      <c r="AU48" s="1948">
        <f t="shared" si="9"/>
        <v>0</v>
      </c>
      <c r="AV48" s="1948">
        <v>119</v>
      </c>
      <c r="AW48" s="1948">
        <v>0</v>
      </c>
      <c r="AX48" s="1948">
        <v>95.2</v>
      </c>
      <c r="AY48" s="1948">
        <v>0</v>
      </c>
      <c r="AZ48" s="1948">
        <v>0</v>
      </c>
      <c r="BA48" s="1948">
        <v>0</v>
      </c>
      <c r="BB48" s="1948">
        <f t="shared" si="10"/>
        <v>0</v>
      </c>
      <c r="BC48" s="1948">
        <f t="shared" si="11"/>
        <v>0</v>
      </c>
      <c r="BD48" s="1949">
        <v>119</v>
      </c>
      <c r="BE48" s="1948">
        <v>0</v>
      </c>
      <c r="BF48" s="1949">
        <v>95.2</v>
      </c>
      <c r="BG48" s="1949">
        <v>0</v>
      </c>
      <c r="BH48" s="1949">
        <v>0</v>
      </c>
      <c r="BI48" s="1948">
        <v>0</v>
      </c>
      <c r="BJ48" s="1948">
        <f t="shared" si="12"/>
        <v>0</v>
      </c>
      <c r="BK48" s="1948">
        <f t="shared" si="13"/>
        <v>0</v>
      </c>
    </row>
    <row r="49" spans="1:63" ht="15">
      <c r="A49" s="1946">
        <v>121000000029</v>
      </c>
      <c r="B49" s="1947">
        <f t="shared" si="14"/>
        <v>43</v>
      </c>
      <c r="C49" s="1906" t="s">
        <v>2945</v>
      </c>
      <c r="D49" s="1907" t="s">
        <v>524</v>
      </c>
      <c r="E49" s="1906" t="s">
        <v>541</v>
      </c>
      <c r="F49" s="1948" t="s">
        <v>259</v>
      </c>
      <c r="G49" s="1949">
        <v>119</v>
      </c>
      <c r="H49" s="1948">
        <v>119</v>
      </c>
      <c r="I49" s="1950">
        <v>165.44</v>
      </c>
      <c r="J49" s="1948">
        <v>165.44</v>
      </c>
      <c r="K49" s="1948">
        <v>0.9909</v>
      </c>
      <c r="L49" s="1948">
        <v>57.84</v>
      </c>
      <c r="M49" s="1948">
        <v>68900</v>
      </c>
      <c r="N49" s="1948">
        <f t="shared" si="0"/>
        <v>71470</v>
      </c>
      <c r="O49" s="1948">
        <f t="shared" si="1"/>
        <v>0</v>
      </c>
      <c r="P49" s="1948">
        <v>119</v>
      </c>
      <c r="Q49" s="1948">
        <v>174.4</v>
      </c>
      <c r="R49" s="1948">
        <v>174.4</v>
      </c>
      <c r="S49" s="1948">
        <v>0.98619999999999997</v>
      </c>
      <c r="T49" s="1948">
        <v>59.63</v>
      </c>
      <c r="U49" s="1948">
        <v>77367</v>
      </c>
      <c r="V49" s="1948">
        <f t="shared" si="2"/>
        <v>77852</v>
      </c>
      <c r="W49" s="1948">
        <f t="shared" si="3"/>
        <v>0</v>
      </c>
      <c r="X49" s="1948">
        <v>119</v>
      </c>
      <c r="Y49" s="1948">
        <v>185.68</v>
      </c>
      <c r="Z49" s="1948">
        <v>185.68</v>
      </c>
      <c r="AA49" s="1948">
        <v>0.98429999999999995</v>
      </c>
      <c r="AB49" s="1948">
        <v>47.37</v>
      </c>
      <c r="AC49" s="1948">
        <v>63323</v>
      </c>
      <c r="AD49" s="1948">
        <f t="shared" si="4"/>
        <v>80214</v>
      </c>
      <c r="AE49" s="1948">
        <f t="shared" si="5"/>
        <v>0</v>
      </c>
      <c r="AF49" s="1948">
        <v>119</v>
      </c>
      <c r="AG49" s="1948">
        <v>169.68</v>
      </c>
      <c r="AH49" s="1948">
        <v>169.68</v>
      </c>
      <c r="AI49" s="1948">
        <v>0.99129999999999996</v>
      </c>
      <c r="AJ49" s="1948">
        <v>35.450000000000003</v>
      </c>
      <c r="AK49" s="1948">
        <v>44758</v>
      </c>
      <c r="AL49" s="1948">
        <f t="shared" si="6"/>
        <v>75745</v>
      </c>
      <c r="AM49" s="1948">
        <f t="shared" si="7"/>
        <v>0</v>
      </c>
      <c r="AN49" s="1948">
        <v>119</v>
      </c>
      <c r="AO49" s="1948">
        <v>175.76</v>
      </c>
      <c r="AP49" s="1948">
        <v>175.76</v>
      </c>
      <c r="AQ49" s="1948">
        <v>0.98519999999999996</v>
      </c>
      <c r="AR49" s="1948">
        <v>44.54</v>
      </c>
      <c r="AS49" s="1948">
        <v>58246</v>
      </c>
      <c r="AT49" s="1948">
        <f t="shared" si="8"/>
        <v>78459</v>
      </c>
      <c r="AU49" s="1948">
        <f t="shared" si="9"/>
        <v>0</v>
      </c>
      <c r="AV49" s="1948">
        <v>119</v>
      </c>
      <c r="AW49" s="1948">
        <v>166.32</v>
      </c>
      <c r="AX49" s="1948">
        <v>166.32</v>
      </c>
      <c r="AY49" s="1948">
        <v>0.98870000000000002</v>
      </c>
      <c r="AZ49" s="1948">
        <v>24.95</v>
      </c>
      <c r="BA49" s="1948">
        <v>29872</v>
      </c>
      <c r="BB49" s="1948">
        <f t="shared" si="10"/>
        <v>71850</v>
      </c>
      <c r="BC49" s="1948">
        <f t="shared" si="11"/>
        <v>0</v>
      </c>
      <c r="BD49" s="1949">
        <v>119</v>
      </c>
      <c r="BE49" s="1948">
        <v>88.160000000000011</v>
      </c>
      <c r="BF49" s="1949">
        <v>95.2</v>
      </c>
      <c r="BG49" s="1949">
        <v>0.99909999999999999</v>
      </c>
      <c r="BH49" s="1949">
        <v>5.33</v>
      </c>
      <c r="BI49" s="1948">
        <v>3493</v>
      </c>
      <c r="BJ49" s="1948">
        <f t="shared" si="12"/>
        <v>39355</v>
      </c>
      <c r="BK49" s="1948">
        <f t="shared" si="13"/>
        <v>0</v>
      </c>
    </row>
    <row r="50" spans="1:63" ht="15">
      <c r="A50" s="1946">
        <v>611000000090</v>
      </c>
      <c r="B50" s="1947">
        <f t="shared" si="14"/>
        <v>44</v>
      </c>
      <c r="C50" s="1906" t="s">
        <v>2947</v>
      </c>
      <c r="D50" s="1907" t="s">
        <v>524</v>
      </c>
      <c r="E50" s="1906" t="s">
        <v>730</v>
      </c>
      <c r="F50" s="1948" t="s">
        <v>259</v>
      </c>
      <c r="G50" s="1949">
        <v>119</v>
      </c>
      <c r="H50" s="1948">
        <v>119</v>
      </c>
      <c r="I50" s="1950">
        <v>99.2</v>
      </c>
      <c r="J50" s="1948">
        <v>99.2</v>
      </c>
      <c r="K50" s="1948">
        <v>0.72489999999999999</v>
      </c>
      <c r="L50" s="1948">
        <v>83.34</v>
      </c>
      <c r="M50" s="1948">
        <v>59526</v>
      </c>
      <c r="N50" s="1948">
        <f t="shared" si="0"/>
        <v>42854</v>
      </c>
      <c r="O50" s="1948">
        <f t="shared" si="1"/>
        <v>16672</v>
      </c>
      <c r="P50" s="1948">
        <v>119</v>
      </c>
      <c r="Q50" s="1948">
        <v>93.679999999999993</v>
      </c>
      <c r="R50" s="1948">
        <v>95.2</v>
      </c>
      <c r="S50" s="1948">
        <v>0.69620000000000004</v>
      </c>
      <c r="T50" s="1948">
        <v>80.39</v>
      </c>
      <c r="U50" s="1948">
        <v>56031</v>
      </c>
      <c r="V50" s="1948">
        <f t="shared" si="2"/>
        <v>41819</v>
      </c>
      <c r="W50" s="1948">
        <f t="shared" si="3"/>
        <v>14212</v>
      </c>
      <c r="X50" s="1948">
        <v>119</v>
      </c>
      <c r="Y50" s="1948">
        <v>91.600000000000009</v>
      </c>
      <c r="Z50" s="1948">
        <v>95.2</v>
      </c>
      <c r="AA50" s="1948">
        <v>0.67120000000000002</v>
      </c>
      <c r="AB50" s="1948">
        <v>80.67</v>
      </c>
      <c r="AC50" s="1948">
        <v>53205</v>
      </c>
      <c r="AD50" s="1948">
        <f t="shared" si="4"/>
        <v>39571</v>
      </c>
      <c r="AE50" s="1948">
        <f t="shared" si="5"/>
        <v>13634</v>
      </c>
      <c r="AF50" s="1948">
        <v>119</v>
      </c>
      <c r="AG50" s="1948">
        <v>86.64</v>
      </c>
      <c r="AH50" s="1948">
        <v>95.2</v>
      </c>
      <c r="AI50" s="1948">
        <v>0.6492</v>
      </c>
      <c r="AJ50" s="1948">
        <v>84.82</v>
      </c>
      <c r="AK50" s="1948">
        <v>54675</v>
      </c>
      <c r="AL50" s="1948">
        <f t="shared" si="6"/>
        <v>38676</v>
      </c>
      <c r="AM50" s="1948">
        <f t="shared" si="7"/>
        <v>15999</v>
      </c>
      <c r="AN50" s="1948">
        <v>119</v>
      </c>
      <c r="AO50" s="1948">
        <v>93.04</v>
      </c>
      <c r="AP50" s="1948">
        <v>95.2</v>
      </c>
      <c r="AQ50" s="1948">
        <v>0.65990000000000004</v>
      </c>
      <c r="AR50" s="1948">
        <v>82.05</v>
      </c>
      <c r="AS50" s="1948">
        <v>56796</v>
      </c>
      <c r="AT50" s="1948">
        <f t="shared" si="8"/>
        <v>41533</v>
      </c>
      <c r="AU50" s="1948">
        <f t="shared" si="9"/>
        <v>15263</v>
      </c>
      <c r="AV50" s="1948">
        <v>119</v>
      </c>
      <c r="AW50" s="1948">
        <v>93.28</v>
      </c>
      <c r="AX50" s="1948">
        <v>95.2</v>
      </c>
      <c r="AY50" s="1948">
        <v>0.6825</v>
      </c>
      <c r="AZ50" s="1948">
        <v>84.76</v>
      </c>
      <c r="BA50" s="1948">
        <v>56925</v>
      </c>
      <c r="BB50" s="1948">
        <f t="shared" si="10"/>
        <v>40297</v>
      </c>
      <c r="BC50" s="1948">
        <f t="shared" si="11"/>
        <v>16628</v>
      </c>
      <c r="BD50" s="1949">
        <v>119</v>
      </c>
      <c r="BE50" s="1948">
        <v>61.199999999999996</v>
      </c>
      <c r="BF50" s="1949">
        <v>95.2</v>
      </c>
      <c r="BG50" s="1949">
        <v>0.77629999999999999</v>
      </c>
      <c r="BH50" s="1949">
        <v>84.27</v>
      </c>
      <c r="BI50" s="1948">
        <v>38370</v>
      </c>
      <c r="BJ50" s="1948">
        <f t="shared" si="12"/>
        <v>27320</v>
      </c>
      <c r="BK50" s="1948">
        <f t="shared" si="13"/>
        <v>11050</v>
      </c>
    </row>
    <row r="51" spans="1:63" ht="15">
      <c r="A51" s="1946">
        <v>611000000093</v>
      </c>
      <c r="B51" s="1947">
        <f t="shared" si="14"/>
        <v>45</v>
      </c>
      <c r="C51" s="1906" t="s">
        <v>2947</v>
      </c>
      <c r="D51" s="1907" t="s">
        <v>524</v>
      </c>
      <c r="E51" s="1906" t="s">
        <v>730</v>
      </c>
      <c r="F51" s="1948" t="s">
        <v>259</v>
      </c>
      <c r="G51" s="1949">
        <v>119</v>
      </c>
      <c r="H51" s="1948">
        <v>119</v>
      </c>
      <c r="I51" s="1950">
        <v>119.68</v>
      </c>
      <c r="J51" s="1948">
        <v>119.68</v>
      </c>
      <c r="K51" s="1948">
        <v>0.78680000000000005</v>
      </c>
      <c r="L51" s="1948">
        <v>36.64</v>
      </c>
      <c r="M51" s="1948">
        <v>36833</v>
      </c>
      <c r="N51" s="1948">
        <f t="shared" si="0"/>
        <v>51702</v>
      </c>
      <c r="O51" s="1948">
        <f t="shared" si="1"/>
        <v>0</v>
      </c>
      <c r="P51" s="1948">
        <v>119</v>
      </c>
      <c r="Q51" s="1948">
        <v>119.68</v>
      </c>
      <c r="R51" s="1948">
        <v>119.68</v>
      </c>
      <c r="S51" s="1948">
        <v>0.79390000000000005</v>
      </c>
      <c r="T51" s="1948">
        <v>31.99</v>
      </c>
      <c r="U51" s="1948">
        <v>27566</v>
      </c>
      <c r="V51" s="1948">
        <f t="shared" si="2"/>
        <v>53425</v>
      </c>
      <c r="W51" s="1948">
        <f t="shared" si="3"/>
        <v>0</v>
      </c>
      <c r="X51" s="1948">
        <v>119</v>
      </c>
      <c r="Y51" s="1948">
        <v>119.12</v>
      </c>
      <c r="Z51" s="1948">
        <v>119.12</v>
      </c>
      <c r="AA51" s="1948">
        <v>0.79430000000000001</v>
      </c>
      <c r="AB51" s="1948">
        <v>28.6</v>
      </c>
      <c r="AC51" s="1948">
        <v>26160</v>
      </c>
      <c r="AD51" s="1948">
        <f t="shared" si="4"/>
        <v>51460</v>
      </c>
      <c r="AE51" s="1948">
        <f t="shared" si="5"/>
        <v>0</v>
      </c>
      <c r="AF51" s="1948">
        <v>119</v>
      </c>
      <c r="AG51" s="1948">
        <v>119.44</v>
      </c>
      <c r="AH51" s="1948">
        <v>119.44</v>
      </c>
      <c r="AI51" s="1948">
        <v>0.78110000000000002</v>
      </c>
      <c r="AJ51" s="1948">
        <v>31.07</v>
      </c>
      <c r="AK51" s="1948">
        <v>23160</v>
      </c>
      <c r="AL51" s="1948">
        <f t="shared" si="6"/>
        <v>53318</v>
      </c>
      <c r="AM51" s="1948">
        <f t="shared" si="7"/>
        <v>0</v>
      </c>
      <c r="AN51" s="1948">
        <v>119</v>
      </c>
      <c r="AO51" s="1948">
        <v>122.88</v>
      </c>
      <c r="AP51" s="1948">
        <v>122.88</v>
      </c>
      <c r="AQ51" s="1948">
        <v>0.76200000000000001</v>
      </c>
      <c r="AR51" s="1948">
        <v>31.08</v>
      </c>
      <c r="AS51" s="1948">
        <v>27498</v>
      </c>
      <c r="AT51" s="1948">
        <f t="shared" si="8"/>
        <v>54854</v>
      </c>
      <c r="AU51" s="1948">
        <f t="shared" si="9"/>
        <v>0</v>
      </c>
      <c r="AV51" s="1948">
        <v>119</v>
      </c>
      <c r="AW51" s="1948">
        <v>122.56</v>
      </c>
      <c r="AX51" s="1948">
        <v>122.56</v>
      </c>
      <c r="AY51" s="1948">
        <v>0.79100000000000004</v>
      </c>
      <c r="AZ51" s="1948">
        <v>35.479999999999997</v>
      </c>
      <c r="BA51" s="1948">
        <v>37572</v>
      </c>
      <c r="BB51" s="1948">
        <f t="shared" si="10"/>
        <v>52946</v>
      </c>
      <c r="BC51" s="1948">
        <f t="shared" si="11"/>
        <v>0</v>
      </c>
      <c r="BD51" s="1949">
        <v>119</v>
      </c>
      <c r="BE51" s="1948">
        <v>125.6</v>
      </c>
      <c r="BF51" s="1949">
        <v>125.6</v>
      </c>
      <c r="BG51" s="1949">
        <v>0.79869999999999997</v>
      </c>
      <c r="BH51" s="1949">
        <v>41.36</v>
      </c>
      <c r="BI51" s="1948">
        <v>38646</v>
      </c>
      <c r="BJ51" s="1948">
        <f t="shared" si="12"/>
        <v>56068</v>
      </c>
      <c r="BK51" s="1948">
        <f t="shared" si="13"/>
        <v>0</v>
      </c>
    </row>
    <row r="52" spans="1:63" ht="15">
      <c r="A52" s="1946">
        <v>123000000077</v>
      </c>
      <c r="B52" s="1947">
        <f t="shared" si="14"/>
        <v>46</v>
      </c>
      <c r="C52" s="1906" t="s">
        <v>2950</v>
      </c>
      <c r="D52" s="1907" t="s">
        <v>524</v>
      </c>
      <c r="E52" s="1906" t="s">
        <v>541</v>
      </c>
      <c r="F52" s="1948" t="s">
        <v>259</v>
      </c>
      <c r="G52" s="1949">
        <v>120</v>
      </c>
      <c r="H52" s="1948">
        <v>120</v>
      </c>
      <c r="I52" s="1950">
        <v>12.559999999999999</v>
      </c>
      <c r="J52" s="1948">
        <v>96</v>
      </c>
      <c r="K52" s="1948">
        <v>0.98270000000000002</v>
      </c>
      <c r="L52" s="1948">
        <v>36.549999999999997</v>
      </c>
      <c r="M52" s="1948">
        <v>3305</v>
      </c>
      <c r="N52" s="1948">
        <f t="shared" si="0"/>
        <v>5426</v>
      </c>
      <c r="O52" s="1948">
        <f t="shared" si="1"/>
        <v>0</v>
      </c>
      <c r="P52" s="1948">
        <v>120</v>
      </c>
      <c r="Q52" s="1948">
        <v>16.8</v>
      </c>
      <c r="R52" s="1948">
        <v>96</v>
      </c>
      <c r="S52" s="1948">
        <v>0.98260000000000003</v>
      </c>
      <c r="T52" s="1948">
        <v>29.51</v>
      </c>
      <c r="U52" s="1948">
        <v>3689</v>
      </c>
      <c r="V52" s="1948">
        <f t="shared" si="2"/>
        <v>7500</v>
      </c>
      <c r="W52" s="1948">
        <f t="shared" si="3"/>
        <v>0</v>
      </c>
      <c r="X52" s="1948">
        <v>120</v>
      </c>
      <c r="Y52" s="1948">
        <v>124.8</v>
      </c>
      <c r="Z52" s="1948">
        <v>124.8</v>
      </c>
      <c r="AA52" s="1948">
        <v>0.99629999999999996</v>
      </c>
      <c r="AB52" s="1948">
        <v>46.08</v>
      </c>
      <c r="AC52" s="1948">
        <v>41406</v>
      </c>
      <c r="AD52" s="1948">
        <f t="shared" si="4"/>
        <v>53914</v>
      </c>
      <c r="AE52" s="1948">
        <f t="shared" si="5"/>
        <v>0</v>
      </c>
      <c r="AF52" s="1948">
        <v>120</v>
      </c>
      <c r="AG52" s="1948">
        <v>128.07999999999998</v>
      </c>
      <c r="AH52" s="1948">
        <v>128.08000000000001</v>
      </c>
      <c r="AI52" s="1948">
        <v>0.99790000000000001</v>
      </c>
      <c r="AJ52" s="1948">
        <v>61.05</v>
      </c>
      <c r="AK52" s="1948">
        <v>58174</v>
      </c>
      <c r="AL52" s="1948">
        <f t="shared" si="6"/>
        <v>57175</v>
      </c>
      <c r="AM52" s="1948">
        <f t="shared" si="7"/>
        <v>999</v>
      </c>
      <c r="AN52" s="1948">
        <v>120</v>
      </c>
      <c r="AO52" s="1948">
        <v>114.56</v>
      </c>
      <c r="AP52" s="1948">
        <v>114.56</v>
      </c>
      <c r="AQ52" s="1948">
        <v>0.99770000000000003</v>
      </c>
      <c r="AR52" s="1948">
        <v>61.02</v>
      </c>
      <c r="AS52" s="1948">
        <v>52009</v>
      </c>
      <c r="AT52" s="1948">
        <f t="shared" si="8"/>
        <v>51140</v>
      </c>
      <c r="AU52" s="1948">
        <f t="shared" si="9"/>
        <v>869</v>
      </c>
      <c r="AV52" s="1948">
        <v>120</v>
      </c>
      <c r="AW52" s="1948">
        <v>116.08000000000001</v>
      </c>
      <c r="AX52" s="1948">
        <v>116.08</v>
      </c>
      <c r="AY52" s="1948">
        <v>0.99750000000000005</v>
      </c>
      <c r="AZ52" s="1948">
        <v>63.55</v>
      </c>
      <c r="BA52" s="1948">
        <v>53114</v>
      </c>
      <c r="BB52" s="1948">
        <f t="shared" si="10"/>
        <v>50147</v>
      </c>
      <c r="BC52" s="1948">
        <f t="shared" si="11"/>
        <v>2967</v>
      </c>
      <c r="BD52" s="1949">
        <v>120</v>
      </c>
      <c r="BE52" s="1948">
        <v>115.04</v>
      </c>
      <c r="BF52" s="1949">
        <v>115.04</v>
      </c>
      <c r="BG52" s="1949">
        <v>0.99350000000000005</v>
      </c>
      <c r="BH52" s="1949">
        <v>51.72</v>
      </c>
      <c r="BI52" s="1948">
        <v>44271</v>
      </c>
      <c r="BJ52" s="1948">
        <f t="shared" si="12"/>
        <v>51354</v>
      </c>
      <c r="BK52" s="1948">
        <f t="shared" si="13"/>
        <v>0</v>
      </c>
    </row>
    <row r="53" spans="1:63" ht="15">
      <c r="A53" s="1946">
        <v>127000000013</v>
      </c>
      <c r="B53" s="1947">
        <f t="shared" si="14"/>
        <v>47</v>
      </c>
      <c r="C53" s="1906" t="s">
        <v>3538</v>
      </c>
      <c r="D53" s="1907" t="s">
        <v>524</v>
      </c>
      <c r="E53" s="1906" t="s">
        <v>541</v>
      </c>
      <c r="F53" s="1948" t="s">
        <v>259</v>
      </c>
      <c r="G53" s="1949">
        <v>120</v>
      </c>
      <c r="H53" s="1948">
        <v>300</v>
      </c>
      <c r="I53" s="1950">
        <v>119.68</v>
      </c>
      <c r="J53" s="1948">
        <v>240</v>
      </c>
      <c r="K53" s="1948">
        <v>0.99029999999999996</v>
      </c>
      <c r="L53" s="1948">
        <v>16.100000000000001</v>
      </c>
      <c r="M53" s="1948">
        <v>13874</v>
      </c>
      <c r="N53" s="1948">
        <f t="shared" si="0"/>
        <v>51702</v>
      </c>
      <c r="O53" s="1948">
        <f t="shared" si="1"/>
        <v>0</v>
      </c>
      <c r="P53" s="1948">
        <v>300</v>
      </c>
      <c r="Q53" s="1948">
        <v>109.75999999999999</v>
      </c>
      <c r="R53" s="1948">
        <v>240</v>
      </c>
      <c r="S53" s="1948">
        <v>0.98470000000000002</v>
      </c>
      <c r="T53" s="1948">
        <v>18.52</v>
      </c>
      <c r="U53" s="1948">
        <v>15124</v>
      </c>
      <c r="V53" s="1948">
        <f t="shared" si="2"/>
        <v>48997</v>
      </c>
      <c r="W53" s="1948">
        <f t="shared" si="3"/>
        <v>0</v>
      </c>
      <c r="X53" s="1948">
        <v>300</v>
      </c>
      <c r="Y53" s="1948">
        <v>110.08</v>
      </c>
      <c r="Z53" s="1948">
        <v>240</v>
      </c>
      <c r="AA53" s="1948">
        <v>0.98670000000000002</v>
      </c>
      <c r="AB53" s="1948">
        <v>16.82</v>
      </c>
      <c r="AC53" s="1948">
        <v>13332</v>
      </c>
      <c r="AD53" s="1948">
        <f t="shared" si="4"/>
        <v>47555</v>
      </c>
      <c r="AE53" s="1948">
        <f t="shared" si="5"/>
        <v>0</v>
      </c>
      <c r="AF53" s="1948">
        <v>300</v>
      </c>
      <c r="AG53" s="1948">
        <v>123.67999999999999</v>
      </c>
      <c r="AH53" s="1948">
        <v>240</v>
      </c>
      <c r="AI53" s="1948">
        <v>0.98750000000000004</v>
      </c>
      <c r="AJ53" s="1948">
        <v>19.079999999999998</v>
      </c>
      <c r="AK53" s="1948">
        <v>17560</v>
      </c>
      <c r="AL53" s="1948">
        <f t="shared" si="6"/>
        <v>55211</v>
      </c>
      <c r="AM53" s="1948">
        <f t="shared" si="7"/>
        <v>0</v>
      </c>
      <c r="AN53" s="1948">
        <v>300</v>
      </c>
      <c r="AO53" s="1948">
        <v>125.6</v>
      </c>
      <c r="AP53" s="1948">
        <v>240</v>
      </c>
      <c r="AQ53" s="1948">
        <v>0.98909999999999998</v>
      </c>
      <c r="AR53" s="1948">
        <v>20.36</v>
      </c>
      <c r="AS53" s="1948">
        <v>19028</v>
      </c>
      <c r="AT53" s="1948">
        <f t="shared" si="8"/>
        <v>56068</v>
      </c>
      <c r="AU53" s="1948">
        <f t="shared" si="9"/>
        <v>0</v>
      </c>
      <c r="AV53" s="1948">
        <v>120</v>
      </c>
      <c r="AW53" s="1948">
        <v>114.08</v>
      </c>
      <c r="AX53" s="1948">
        <v>240</v>
      </c>
      <c r="AY53" s="1948">
        <v>0.98680000000000001</v>
      </c>
      <c r="AZ53" s="1948">
        <v>19.39</v>
      </c>
      <c r="BA53" s="1948">
        <v>15928</v>
      </c>
      <c r="BB53" s="1948">
        <f t="shared" si="10"/>
        <v>49283</v>
      </c>
      <c r="BC53" s="1948">
        <f t="shared" si="11"/>
        <v>0</v>
      </c>
      <c r="BD53" s="1949">
        <v>120</v>
      </c>
      <c r="BE53" s="1948">
        <v>122.08000000000001</v>
      </c>
      <c r="BF53" s="1949">
        <v>122.08</v>
      </c>
      <c r="BG53" s="1949">
        <v>0.98750000000000004</v>
      </c>
      <c r="BH53" s="1949">
        <v>17.5</v>
      </c>
      <c r="BI53" s="1948">
        <v>15898</v>
      </c>
      <c r="BJ53" s="1948">
        <f t="shared" si="12"/>
        <v>54497</v>
      </c>
      <c r="BK53" s="1948">
        <f t="shared" si="13"/>
        <v>0</v>
      </c>
    </row>
    <row r="54" spans="1:63" ht="15">
      <c r="A54" s="1946">
        <v>124000000053</v>
      </c>
      <c r="B54" s="1947">
        <f t="shared" si="14"/>
        <v>48</v>
      </c>
      <c r="C54" s="1906" t="s">
        <v>2951</v>
      </c>
      <c r="D54" s="1907" t="s">
        <v>524</v>
      </c>
      <c r="E54" s="1906" t="s">
        <v>636</v>
      </c>
      <c r="F54" s="1948" t="s">
        <v>259</v>
      </c>
      <c r="G54" s="1949">
        <v>120</v>
      </c>
      <c r="H54" s="1948">
        <v>120</v>
      </c>
      <c r="I54" s="1950">
        <v>45.239999999999995</v>
      </c>
      <c r="J54" s="1948">
        <v>96</v>
      </c>
      <c r="K54" s="1948">
        <v>0.98119999999999996</v>
      </c>
      <c r="L54" s="1948">
        <v>37.76</v>
      </c>
      <c r="M54" s="1948">
        <v>12300</v>
      </c>
      <c r="N54" s="1948">
        <f t="shared" si="0"/>
        <v>19544</v>
      </c>
      <c r="O54" s="1948">
        <f t="shared" si="1"/>
        <v>0</v>
      </c>
      <c r="P54" s="1948">
        <v>120</v>
      </c>
      <c r="Q54" s="1948">
        <v>33</v>
      </c>
      <c r="R54" s="1948">
        <v>96</v>
      </c>
      <c r="S54" s="1948">
        <v>0.98140000000000005</v>
      </c>
      <c r="T54" s="1948">
        <v>23.66</v>
      </c>
      <c r="U54" s="1948">
        <v>5808</v>
      </c>
      <c r="V54" s="1948">
        <f t="shared" si="2"/>
        <v>14731</v>
      </c>
      <c r="W54" s="1948">
        <f t="shared" si="3"/>
        <v>0</v>
      </c>
      <c r="X54" s="1948">
        <v>120</v>
      </c>
      <c r="Y54" s="1948">
        <v>36.24</v>
      </c>
      <c r="Z54" s="1948">
        <v>96</v>
      </c>
      <c r="AA54" s="1948">
        <v>0.99690000000000001</v>
      </c>
      <c r="AB54" s="1948">
        <v>25.38</v>
      </c>
      <c r="AC54" s="1948">
        <v>6623</v>
      </c>
      <c r="AD54" s="1948">
        <f t="shared" si="4"/>
        <v>15656</v>
      </c>
      <c r="AE54" s="1948">
        <f t="shared" si="5"/>
        <v>0</v>
      </c>
      <c r="AF54" s="1948">
        <v>120</v>
      </c>
      <c r="AG54" s="1948">
        <v>48.48</v>
      </c>
      <c r="AH54" s="1948">
        <v>96</v>
      </c>
      <c r="AI54" s="1948">
        <v>0.98580000000000001</v>
      </c>
      <c r="AJ54" s="1948">
        <v>44.53</v>
      </c>
      <c r="AK54" s="1948">
        <v>16062</v>
      </c>
      <c r="AL54" s="1948">
        <f t="shared" si="6"/>
        <v>21641</v>
      </c>
      <c r="AM54" s="1948">
        <f t="shared" si="7"/>
        <v>0</v>
      </c>
      <c r="AN54" s="1948">
        <v>120</v>
      </c>
      <c r="AO54" s="1948">
        <v>42.480000000000004</v>
      </c>
      <c r="AP54" s="1948">
        <v>96</v>
      </c>
      <c r="AQ54" s="1948">
        <v>0.98199999999999998</v>
      </c>
      <c r="AR54" s="1948">
        <v>48.81</v>
      </c>
      <c r="AS54" s="1948">
        <v>15428</v>
      </c>
      <c r="AT54" s="1948">
        <f t="shared" si="8"/>
        <v>18963</v>
      </c>
      <c r="AU54" s="1948">
        <f t="shared" si="9"/>
        <v>0</v>
      </c>
      <c r="AV54" s="1948">
        <v>120</v>
      </c>
      <c r="AW54" s="1948">
        <v>44.28</v>
      </c>
      <c r="AX54" s="1948">
        <v>96</v>
      </c>
      <c r="AY54" s="1948">
        <v>0.98380000000000001</v>
      </c>
      <c r="AZ54" s="1948">
        <v>46.17</v>
      </c>
      <c r="BA54" s="1948">
        <v>14719</v>
      </c>
      <c r="BB54" s="1948">
        <f t="shared" si="10"/>
        <v>19129</v>
      </c>
      <c r="BC54" s="1948">
        <f t="shared" si="11"/>
        <v>0</v>
      </c>
      <c r="BD54" s="1949">
        <v>120</v>
      </c>
      <c r="BE54" s="1948">
        <v>33.119999999999997</v>
      </c>
      <c r="BF54" s="1949">
        <v>96</v>
      </c>
      <c r="BG54" s="1949">
        <v>0.95620000000000005</v>
      </c>
      <c r="BH54" s="1949">
        <v>41.68</v>
      </c>
      <c r="BI54" s="1948">
        <v>10271</v>
      </c>
      <c r="BJ54" s="1948">
        <f t="shared" si="12"/>
        <v>14785</v>
      </c>
      <c r="BK54" s="1948">
        <f t="shared" si="13"/>
        <v>0</v>
      </c>
    </row>
    <row r="55" spans="1:63" ht="15">
      <c r="A55" s="1946">
        <v>125000000031</v>
      </c>
      <c r="B55" s="1947">
        <f t="shared" si="14"/>
        <v>49</v>
      </c>
      <c r="C55" s="1906" t="s">
        <v>2952</v>
      </c>
      <c r="D55" s="1907" t="s">
        <v>524</v>
      </c>
      <c r="E55" s="1906" t="s">
        <v>541</v>
      </c>
      <c r="F55" s="1948" t="s">
        <v>259</v>
      </c>
      <c r="G55" s="1949">
        <v>120</v>
      </c>
      <c r="H55" s="1948">
        <v>120</v>
      </c>
      <c r="I55" s="1950">
        <v>82.56</v>
      </c>
      <c r="J55" s="1948">
        <v>96</v>
      </c>
      <c r="K55" s="1948">
        <v>0.95809999999999995</v>
      </c>
      <c r="L55" s="1948">
        <v>20.63</v>
      </c>
      <c r="M55" s="1948">
        <v>12261</v>
      </c>
      <c r="N55" s="1948">
        <f t="shared" si="0"/>
        <v>35666</v>
      </c>
      <c r="O55" s="1948">
        <f t="shared" si="1"/>
        <v>0</v>
      </c>
      <c r="P55" s="1948">
        <v>120</v>
      </c>
      <c r="Q55" s="1948">
        <v>90.88000000000001</v>
      </c>
      <c r="R55" s="1948">
        <v>96</v>
      </c>
      <c r="S55" s="1948">
        <v>0.95140000000000002</v>
      </c>
      <c r="T55" s="1948">
        <v>14.04</v>
      </c>
      <c r="U55" s="1948">
        <v>9493</v>
      </c>
      <c r="V55" s="1948">
        <f t="shared" si="2"/>
        <v>40569</v>
      </c>
      <c r="W55" s="1948">
        <f t="shared" si="3"/>
        <v>0</v>
      </c>
      <c r="X55" s="1948">
        <v>120</v>
      </c>
      <c r="Y55" s="1948">
        <v>88.56</v>
      </c>
      <c r="Z55" s="1948">
        <v>96</v>
      </c>
      <c r="AA55" s="1948">
        <v>0.96309999999999996</v>
      </c>
      <c r="AB55" s="1948">
        <v>15.29</v>
      </c>
      <c r="AC55" s="1948">
        <v>9749</v>
      </c>
      <c r="AD55" s="1948">
        <f t="shared" si="4"/>
        <v>38258</v>
      </c>
      <c r="AE55" s="1948">
        <f t="shared" si="5"/>
        <v>0</v>
      </c>
      <c r="AF55" s="1948">
        <v>120</v>
      </c>
      <c r="AG55" s="1948">
        <v>86.960000000000008</v>
      </c>
      <c r="AH55" s="1948">
        <v>96</v>
      </c>
      <c r="AI55" s="1948">
        <v>0.95689999999999997</v>
      </c>
      <c r="AJ55" s="1948">
        <v>13.31</v>
      </c>
      <c r="AK55" s="1948">
        <v>8610</v>
      </c>
      <c r="AL55" s="1948">
        <f t="shared" si="6"/>
        <v>38819</v>
      </c>
      <c r="AM55" s="1948">
        <f t="shared" si="7"/>
        <v>0</v>
      </c>
      <c r="AN55" s="1948">
        <v>120</v>
      </c>
      <c r="AO55" s="1948">
        <v>85.84</v>
      </c>
      <c r="AP55" s="1948">
        <v>96</v>
      </c>
      <c r="AQ55" s="1948">
        <v>0.96050000000000002</v>
      </c>
      <c r="AR55" s="1948">
        <v>17.36</v>
      </c>
      <c r="AS55" s="1948">
        <v>11090</v>
      </c>
      <c r="AT55" s="1948">
        <f t="shared" si="8"/>
        <v>38319</v>
      </c>
      <c r="AU55" s="1948">
        <f t="shared" si="9"/>
        <v>0</v>
      </c>
      <c r="AV55" s="1948">
        <v>120</v>
      </c>
      <c r="AW55" s="1948">
        <v>61.919999999999995</v>
      </c>
      <c r="AX55" s="1948">
        <v>96</v>
      </c>
      <c r="AY55" s="1948">
        <v>0.97060000000000002</v>
      </c>
      <c r="AZ55" s="1948">
        <v>24.76</v>
      </c>
      <c r="BA55" s="1948">
        <v>11039</v>
      </c>
      <c r="BB55" s="1948">
        <f t="shared" si="10"/>
        <v>26749</v>
      </c>
      <c r="BC55" s="1948">
        <f t="shared" si="11"/>
        <v>0</v>
      </c>
      <c r="BD55" s="1949">
        <v>120</v>
      </c>
      <c r="BE55" s="1948">
        <v>60.4</v>
      </c>
      <c r="BF55" s="1949">
        <v>96</v>
      </c>
      <c r="BG55" s="1949">
        <v>0.95320000000000005</v>
      </c>
      <c r="BH55" s="1949">
        <v>35.200000000000003</v>
      </c>
      <c r="BI55" s="1948">
        <v>15819</v>
      </c>
      <c r="BJ55" s="1948">
        <f t="shared" si="12"/>
        <v>26963</v>
      </c>
      <c r="BK55" s="1948">
        <f t="shared" si="13"/>
        <v>0</v>
      </c>
    </row>
    <row r="56" spans="1:63" ht="15">
      <c r="A56" s="1946">
        <v>121000000076</v>
      </c>
      <c r="B56" s="1947">
        <f t="shared" si="14"/>
        <v>50</v>
      </c>
      <c r="C56" s="1906" t="s">
        <v>2949</v>
      </c>
      <c r="D56" s="1907" t="s">
        <v>524</v>
      </c>
      <c r="E56" s="1906" t="s">
        <v>541</v>
      </c>
      <c r="F56" s="1948" t="s">
        <v>259</v>
      </c>
      <c r="G56" s="1949">
        <v>120</v>
      </c>
      <c r="H56" s="1948">
        <v>120</v>
      </c>
      <c r="I56" s="1950">
        <v>107.39999999999999</v>
      </c>
      <c r="J56" s="1948">
        <v>107.4</v>
      </c>
      <c r="K56" s="1948">
        <v>0.96009999999999995</v>
      </c>
      <c r="L56" s="1948">
        <v>22.93</v>
      </c>
      <c r="M56" s="1948">
        <v>18320</v>
      </c>
      <c r="N56" s="1948">
        <f t="shared" si="0"/>
        <v>46397</v>
      </c>
      <c r="O56" s="1948">
        <f t="shared" si="1"/>
        <v>0</v>
      </c>
      <c r="P56" s="1948">
        <v>120</v>
      </c>
      <c r="Q56" s="1948">
        <v>108.24000000000001</v>
      </c>
      <c r="R56" s="1948">
        <v>108.24</v>
      </c>
      <c r="S56" s="1948">
        <v>0.97609999999999997</v>
      </c>
      <c r="T56" s="1948">
        <v>60.83</v>
      </c>
      <c r="U56" s="1948">
        <v>48988</v>
      </c>
      <c r="V56" s="1948">
        <f t="shared" si="2"/>
        <v>48318</v>
      </c>
      <c r="W56" s="1948">
        <f t="shared" si="3"/>
        <v>670</v>
      </c>
      <c r="X56" s="1948">
        <v>120</v>
      </c>
      <c r="Y56" s="1948">
        <v>105.36</v>
      </c>
      <c r="Z56" s="1948">
        <v>105.36</v>
      </c>
      <c r="AA56" s="1948">
        <v>0.9758</v>
      </c>
      <c r="AB56" s="1948">
        <v>53.18</v>
      </c>
      <c r="AC56" s="1948">
        <v>40344</v>
      </c>
      <c r="AD56" s="1948">
        <f t="shared" si="4"/>
        <v>45516</v>
      </c>
      <c r="AE56" s="1948">
        <f t="shared" si="5"/>
        <v>0</v>
      </c>
      <c r="AF56" s="1948">
        <v>120</v>
      </c>
      <c r="AG56" s="1948">
        <v>80.039999999999992</v>
      </c>
      <c r="AH56" s="1948">
        <v>96</v>
      </c>
      <c r="AI56" s="1948">
        <v>0.9859</v>
      </c>
      <c r="AJ56" s="1948">
        <v>50.26</v>
      </c>
      <c r="AK56" s="1948">
        <v>28967</v>
      </c>
      <c r="AL56" s="1948">
        <f t="shared" si="6"/>
        <v>35730</v>
      </c>
      <c r="AM56" s="1948">
        <f t="shared" si="7"/>
        <v>0</v>
      </c>
      <c r="AN56" s="1948">
        <v>120</v>
      </c>
      <c r="AO56" s="1948">
        <v>83.76</v>
      </c>
      <c r="AP56" s="1948">
        <v>96</v>
      </c>
      <c r="AQ56" s="1948">
        <v>0.97950000000000004</v>
      </c>
      <c r="AR56" s="1948">
        <v>37.380000000000003</v>
      </c>
      <c r="AS56" s="1948">
        <v>22543</v>
      </c>
      <c r="AT56" s="1948">
        <f t="shared" si="8"/>
        <v>37390</v>
      </c>
      <c r="AU56" s="1948">
        <f t="shared" si="9"/>
        <v>0</v>
      </c>
      <c r="AV56" s="1948">
        <v>120</v>
      </c>
      <c r="AW56" s="1948">
        <v>87.36</v>
      </c>
      <c r="AX56" s="1948">
        <v>96</v>
      </c>
      <c r="AY56" s="1948">
        <v>0.97770000000000001</v>
      </c>
      <c r="AZ56" s="1948">
        <v>27.07</v>
      </c>
      <c r="BA56" s="1948">
        <v>19868</v>
      </c>
      <c r="BB56" s="1948">
        <f t="shared" si="10"/>
        <v>37740</v>
      </c>
      <c r="BC56" s="1948">
        <f t="shared" si="11"/>
        <v>0</v>
      </c>
      <c r="BD56" s="1949">
        <v>120</v>
      </c>
      <c r="BE56" s="1948">
        <v>85.56</v>
      </c>
      <c r="BF56" s="1949">
        <v>96</v>
      </c>
      <c r="BG56" s="1949">
        <v>0.97230000000000005</v>
      </c>
      <c r="BH56" s="1949">
        <v>46</v>
      </c>
      <c r="BI56" s="1948">
        <v>29280</v>
      </c>
      <c r="BJ56" s="1948">
        <f t="shared" si="12"/>
        <v>38194</v>
      </c>
      <c r="BK56" s="1948">
        <f t="shared" si="13"/>
        <v>0</v>
      </c>
    </row>
    <row r="57" spans="1:63" ht="15">
      <c r="A57" s="1946">
        <v>615000000006</v>
      </c>
      <c r="B57" s="1947">
        <f t="shared" si="14"/>
        <v>51</v>
      </c>
      <c r="C57" s="1906" t="s">
        <v>2953</v>
      </c>
      <c r="D57" s="1907" t="s">
        <v>524</v>
      </c>
      <c r="E57" s="1906" t="s">
        <v>541</v>
      </c>
      <c r="F57" s="1948" t="s">
        <v>259</v>
      </c>
      <c r="G57" s="1949">
        <v>120</v>
      </c>
      <c r="H57" s="1948">
        <v>120</v>
      </c>
      <c r="I57" s="1950">
        <v>44.4</v>
      </c>
      <c r="J57" s="1948">
        <v>96</v>
      </c>
      <c r="K57" s="1948">
        <v>0.7409</v>
      </c>
      <c r="L57" s="1948">
        <v>14.86</v>
      </c>
      <c r="M57" s="1948">
        <v>4749</v>
      </c>
      <c r="N57" s="1948">
        <f t="shared" si="0"/>
        <v>19181</v>
      </c>
      <c r="O57" s="1948">
        <f t="shared" si="1"/>
        <v>0</v>
      </c>
      <c r="P57" s="1948">
        <v>120</v>
      </c>
      <c r="Q57" s="1948">
        <v>100.08</v>
      </c>
      <c r="R57" s="1948">
        <v>100.08</v>
      </c>
      <c r="S57" s="1948">
        <v>0.72789999999999999</v>
      </c>
      <c r="T57" s="1948">
        <v>13.95</v>
      </c>
      <c r="U57" s="1948">
        <v>10389</v>
      </c>
      <c r="V57" s="1948">
        <f t="shared" si="2"/>
        <v>44676</v>
      </c>
      <c r="W57" s="1948">
        <f t="shared" si="3"/>
        <v>0</v>
      </c>
      <c r="X57" s="1948">
        <v>120</v>
      </c>
      <c r="Y57" s="1948">
        <v>93.12</v>
      </c>
      <c r="Z57" s="1948">
        <v>96</v>
      </c>
      <c r="AA57" s="1948">
        <v>0.70979999999999999</v>
      </c>
      <c r="AB57" s="1948">
        <v>14.5</v>
      </c>
      <c r="AC57" s="1948">
        <v>9720</v>
      </c>
      <c r="AD57" s="1948">
        <f t="shared" si="4"/>
        <v>40228</v>
      </c>
      <c r="AE57" s="1948">
        <f t="shared" si="5"/>
        <v>0</v>
      </c>
      <c r="AF57" s="1948">
        <v>120</v>
      </c>
      <c r="AG57" s="1948">
        <v>90.47999999999999</v>
      </c>
      <c r="AH57" s="1948">
        <v>96</v>
      </c>
      <c r="AI57" s="1948">
        <v>0.70009999999999994</v>
      </c>
      <c r="AJ57" s="1948">
        <v>13.85</v>
      </c>
      <c r="AK57" s="1948">
        <v>9324</v>
      </c>
      <c r="AL57" s="1948">
        <f t="shared" si="6"/>
        <v>40390</v>
      </c>
      <c r="AM57" s="1948">
        <f t="shared" si="7"/>
        <v>0</v>
      </c>
      <c r="AN57" s="1948">
        <v>120</v>
      </c>
      <c r="AO57" s="1948">
        <v>60.24</v>
      </c>
      <c r="AP57" s="1948">
        <v>96</v>
      </c>
      <c r="AQ57" s="1948">
        <v>0.66749999999999998</v>
      </c>
      <c r="AR57" s="1948">
        <v>10.43</v>
      </c>
      <c r="AS57" s="1948">
        <v>4674</v>
      </c>
      <c r="AT57" s="1948">
        <f t="shared" si="8"/>
        <v>26891</v>
      </c>
      <c r="AU57" s="1948">
        <f t="shared" si="9"/>
        <v>0</v>
      </c>
      <c r="AV57" s="1948">
        <v>120</v>
      </c>
      <c r="AW57" s="1948">
        <v>45.36</v>
      </c>
      <c r="AX57" s="1948">
        <v>96</v>
      </c>
      <c r="AY57" s="1948">
        <v>0.5534</v>
      </c>
      <c r="AZ57" s="1948">
        <v>17.260000000000002</v>
      </c>
      <c r="BA57" s="1948">
        <v>5637</v>
      </c>
      <c r="BB57" s="1948">
        <f t="shared" si="10"/>
        <v>19596</v>
      </c>
      <c r="BC57" s="1948">
        <f t="shared" si="11"/>
        <v>0</v>
      </c>
      <c r="BD57" s="1949">
        <v>120</v>
      </c>
      <c r="BE57" s="1948">
        <v>47.04</v>
      </c>
      <c r="BF57" s="1949">
        <v>96</v>
      </c>
      <c r="BG57" s="1949">
        <v>0.59809999999999997</v>
      </c>
      <c r="BH57" s="1949">
        <v>11.05</v>
      </c>
      <c r="BI57" s="1948">
        <v>3867</v>
      </c>
      <c r="BJ57" s="1948">
        <f t="shared" si="12"/>
        <v>20999</v>
      </c>
      <c r="BK57" s="1948">
        <f t="shared" si="13"/>
        <v>0</v>
      </c>
    </row>
    <row r="58" spans="1:63" ht="15">
      <c r="A58" s="1946">
        <v>615000000065</v>
      </c>
      <c r="B58" s="1947">
        <f t="shared" si="14"/>
        <v>52</v>
      </c>
      <c r="C58" s="1906" t="s">
        <v>3539</v>
      </c>
      <c r="D58" s="1907" t="s">
        <v>524</v>
      </c>
      <c r="E58" s="1906" t="s">
        <v>541</v>
      </c>
      <c r="F58" s="1948" t="s">
        <v>259</v>
      </c>
      <c r="G58" s="1949">
        <v>120</v>
      </c>
      <c r="H58" s="1948">
        <v>120</v>
      </c>
      <c r="I58" s="1950">
        <v>117.12</v>
      </c>
      <c r="J58" s="1948">
        <v>117.12</v>
      </c>
      <c r="K58" s="1948">
        <v>0.65439999999999998</v>
      </c>
      <c r="L58" s="1948">
        <v>34.450000000000003</v>
      </c>
      <c r="M58" s="1948">
        <v>33888</v>
      </c>
      <c r="N58" s="1948">
        <f t="shared" si="0"/>
        <v>50596</v>
      </c>
      <c r="O58" s="1948">
        <f t="shared" si="1"/>
        <v>0</v>
      </c>
      <c r="P58" s="1948">
        <v>120</v>
      </c>
      <c r="Q58" s="1948">
        <v>122.03999999999999</v>
      </c>
      <c r="R58" s="1948">
        <v>122.04</v>
      </c>
      <c r="S58" s="1948">
        <v>0.72819999999999996</v>
      </c>
      <c r="T58" s="1948">
        <v>22.41</v>
      </c>
      <c r="U58" s="1948">
        <v>20346</v>
      </c>
      <c r="V58" s="1948">
        <f t="shared" si="2"/>
        <v>54479</v>
      </c>
      <c r="W58" s="1948">
        <f t="shared" si="3"/>
        <v>0</v>
      </c>
      <c r="X58" s="1948">
        <v>120</v>
      </c>
      <c r="Y58" s="1948">
        <v>144.47999999999999</v>
      </c>
      <c r="Z58" s="1948">
        <v>144.47999999999999</v>
      </c>
      <c r="AA58" s="1948">
        <v>0.68659999999999999</v>
      </c>
      <c r="AB58" s="1948">
        <v>19.649999999999999</v>
      </c>
      <c r="AC58" s="1948">
        <v>20446</v>
      </c>
      <c r="AD58" s="1948">
        <f t="shared" si="4"/>
        <v>62415</v>
      </c>
      <c r="AE58" s="1948">
        <f t="shared" si="5"/>
        <v>0</v>
      </c>
      <c r="AF58" s="1948">
        <v>120</v>
      </c>
      <c r="AG58" s="1948">
        <v>144.47999999999999</v>
      </c>
      <c r="AH58" s="1948">
        <v>144.47999999999999</v>
      </c>
      <c r="AI58" s="1948">
        <v>0.69620000000000004</v>
      </c>
      <c r="AJ58" s="1948">
        <v>28.53</v>
      </c>
      <c r="AK58" s="1948">
        <v>30672</v>
      </c>
      <c r="AL58" s="1948">
        <f t="shared" si="6"/>
        <v>64496</v>
      </c>
      <c r="AM58" s="1948">
        <f t="shared" si="7"/>
        <v>0</v>
      </c>
      <c r="AN58" s="1948">
        <v>120</v>
      </c>
      <c r="AO58" s="1948">
        <v>156.96</v>
      </c>
      <c r="AP58" s="1948">
        <v>156.96</v>
      </c>
      <c r="AQ58" s="1948">
        <v>0.7006</v>
      </c>
      <c r="AR58" s="1948">
        <v>31.82</v>
      </c>
      <c r="AS58" s="1948">
        <v>37158</v>
      </c>
      <c r="AT58" s="1948">
        <f t="shared" si="8"/>
        <v>70067</v>
      </c>
      <c r="AU58" s="1948">
        <f t="shared" si="9"/>
        <v>0</v>
      </c>
      <c r="AV58" s="1948">
        <v>120</v>
      </c>
      <c r="AW58" s="1948">
        <v>148.80000000000001</v>
      </c>
      <c r="AX58" s="1948">
        <v>148.80000000000001</v>
      </c>
      <c r="AY58" s="1948">
        <v>0.67859999999999998</v>
      </c>
      <c r="AZ58" s="1948">
        <v>40.43</v>
      </c>
      <c r="BA58" s="1948">
        <v>43318</v>
      </c>
      <c r="BB58" s="1948">
        <f t="shared" si="10"/>
        <v>64282</v>
      </c>
      <c r="BC58" s="1948">
        <f t="shared" si="11"/>
        <v>0</v>
      </c>
      <c r="BD58" s="1949">
        <v>120</v>
      </c>
      <c r="BE58" s="1948">
        <v>167.88</v>
      </c>
      <c r="BF58" s="1949">
        <v>167.88</v>
      </c>
      <c r="BG58" s="1949">
        <v>0.63129999999999997</v>
      </c>
      <c r="BH58" s="1949">
        <v>39.79</v>
      </c>
      <c r="BI58" s="1948">
        <v>49699</v>
      </c>
      <c r="BJ58" s="1948">
        <f t="shared" si="12"/>
        <v>74942</v>
      </c>
      <c r="BK58" s="1948">
        <f t="shared" si="13"/>
        <v>0</v>
      </c>
    </row>
    <row r="59" spans="1:63" ht="15">
      <c r="A59" s="1946">
        <v>613000000025</v>
      </c>
      <c r="B59" s="1947">
        <f t="shared" si="14"/>
        <v>53</v>
      </c>
      <c r="C59" s="1906" t="s">
        <v>2954</v>
      </c>
      <c r="D59" s="1907" t="s">
        <v>524</v>
      </c>
      <c r="E59" s="1906" t="s">
        <v>636</v>
      </c>
      <c r="F59" s="1948" t="s">
        <v>259</v>
      </c>
      <c r="G59" s="1949">
        <v>120</v>
      </c>
      <c r="H59" s="1948">
        <v>120</v>
      </c>
      <c r="I59" s="1950">
        <v>19.68</v>
      </c>
      <c r="J59" s="1948">
        <v>96</v>
      </c>
      <c r="K59" s="1948">
        <v>0.99450000000000005</v>
      </c>
      <c r="L59" s="1948">
        <v>38.700000000000003</v>
      </c>
      <c r="M59" s="1948">
        <v>5484</v>
      </c>
      <c r="N59" s="1948">
        <f t="shared" si="0"/>
        <v>8502</v>
      </c>
      <c r="O59" s="1948">
        <f t="shared" si="1"/>
        <v>0</v>
      </c>
      <c r="P59" s="1948">
        <v>120</v>
      </c>
      <c r="Q59" s="1948">
        <v>26.32</v>
      </c>
      <c r="R59" s="1948">
        <v>96</v>
      </c>
      <c r="S59" s="1948">
        <v>0.99250000000000005</v>
      </c>
      <c r="T59" s="1948">
        <v>34.049999999999997</v>
      </c>
      <c r="U59" s="1948">
        <v>6668</v>
      </c>
      <c r="V59" s="1948">
        <f t="shared" si="2"/>
        <v>11749</v>
      </c>
      <c r="W59" s="1948">
        <f t="shared" si="3"/>
        <v>0</v>
      </c>
      <c r="X59" s="1948">
        <v>120</v>
      </c>
      <c r="Y59" s="1948">
        <v>30.72</v>
      </c>
      <c r="Z59" s="1948">
        <v>96</v>
      </c>
      <c r="AA59" s="1948">
        <v>0.98960000000000004</v>
      </c>
      <c r="AB59" s="1948">
        <v>22.74</v>
      </c>
      <c r="AC59" s="1948">
        <v>5030</v>
      </c>
      <c r="AD59" s="1948">
        <f t="shared" si="4"/>
        <v>13271</v>
      </c>
      <c r="AE59" s="1948">
        <f t="shared" si="5"/>
        <v>0</v>
      </c>
      <c r="AF59" s="1948">
        <v>120</v>
      </c>
      <c r="AG59" s="1948">
        <v>0.2288</v>
      </c>
      <c r="AH59" s="1948">
        <v>96</v>
      </c>
      <c r="AI59" s="1948">
        <v>0.99660000000000004</v>
      </c>
      <c r="AJ59" s="1948">
        <v>32.65</v>
      </c>
      <c r="AK59" s="1948">
        <v>5558</v>
      </c>
      <c r="AL59" s="1948">
        <f t="shared" si="6"/>
        <v>102</v>
      </c>
      <c r="AM59" s="1948">
        <f t="shared" si="7"/>
        <v>5456</v>
      </c>
      <c r="AN59" s="1948">
        <v>120</v>
      </c>
      <c r="AO59" s="1948">
        <v>16.795999999999999</v>
      </c>
      <c r="AP59" s="1948">
        <v>96</v>
      </c>
      <c r="AQ59" s="1948">
        <v>0.99509999999999998</v>
      </c>
      <c r="AR59" s="1948">
        <v>28.93</v>
      </c>
      <c r="AS59" s="1948">
        <v>3616</v>
      </c>
      <c r="AT59" s="1948">
        <f t="shared" si="8"/>
        <v>7498</v>
      </c>
      <c r="AU59" s="1948">
        <f t="shared" si="9"/>
        <v>0</v>
      </c>
      <c r="AV59" s="1948">
        <v>120</v>
      </c>
      <c r="AW59" s="1948">
        <v>19.29</v>
      </c>
      <c r="AX59" s="1948">
        <v>96</v>
      </c>
      <c r="AY59" s="1948">
        <v>0.99360000000000004</v>
      </c>
      <c r="AZ59" s="1948">
        <v>33.049999999999997</v>
      </c>
      <c r="BA59" s="1948">
        <v>4590</v>
      </c>
      <c r="BB59" s="1948">
        <f t="shared" si="10"/>
        <v>8333</v>
      </c>
      <c r="BC59" s="1948">
        <f t="shared" si="11"/>
        <v>0</v>
      </c>
      <c r="BD59" s="1949">
        <v>120</v>
      </c>
      <c r="BE59" s="1948">
        <v>19.064</v>
      </c>
      <c r="BF59" s="1949">
        <v>96</v>
      </c>
      <c r="BG59" s="1949">
        <v>0.99060000000000004</v>
      </c>
      <c r="BH59" s="1949">
        <v>27.81</v>
      </c>
      <c r="BI59" s="1948">
        <v>3944</v>
      </c>
      <c r="BJ59" s="1948">
        <f t="shared" si="12"/>
        <v>8510</v>
      </c>
      <c r="BK59" s="1948">
        <f t="shared" si="13"/>
        <v>0</v>
      </c>
    </row>
    <row r="60" spans="1:63" ht="15">
      <c r="A60" s="1946">
        <v>622000000155</v>
      </c>
      <c r="B60" s="1947">
        <f t="shared" si="14"/>
        <v>54</v>
      </c>
      <c r="C60" s="1906" t="s">
        <v>2955</v>
      </c>
      <c r="D60" s="1907" t="s">
        <v>524</v>
      </c>
      <c r="E60" s="1906" t="s">
        <v>541</v>
      </c>
      <c r="F60" s="1948" t="s">
        <v>259</v>
      </c>
      <c r="G60" s="1949">
        <v>120</v>
      </c>
      <c r="H60" s="1948">
        <v>120</v>
      </c>
      <c r="I60" s="1950">
        <v>0</v>
      </c>
      <c r="J60" s="1948">
        <v>96</v>
      </c>
      <c r="K60" s="1948">
        <v>0</v>
      </c>
      <c r="L60" s="1948">
        <v>0</v>
      </c>
      <c r="M60" s="1948">
        <v>0</v>
      </c>
      <c r="N60" s="1948">
        <f t="shared" si="0"/>
        <v>0</v>
      </c>
      <c r="O60" s="1948">
        <f t="shared" si="1"/>
        <v>0</v>
      </c>
      <c r="P60" s="1948">
        <v>120</v>
      </c>
      <c r="Q60" s="1948">
        <v>0</v>
      </c>
      <c r="R60" s="1948">
        <v>96</v>
      </c>
      <c r="S60" s="1948">
        <v>0</v>
      </c>
      <c r="T60" s="1948">
        <v>0</v>
      </c>
      <c r="U60" s="1948">
        <v>0</v>
      </c>
      <c r="V60" s="1948">
        <f t="shared" si="2"/>
        <v>0</v>
      </c>
      <c r="W60" s="1948">
        <f t="shared" si="3"/>
        <v>0</v>
      </c>
      <c r="X60" s="1948">
        <v>120</v>
      </c>
      <c r="Y60" s="1948">
        <v>0</v>
      </c>
      <c r="Z60" s="1948">
        <v>96</v>
      </c>
      <c r="AA60" s="1948">
        <v>0</v>
      </c>
      <c r="AB60" s="1948">
        <v>0</v>
      </c>
      <c r="AC60" s="1948">
        <v>0</v>
      </c>
      <c r="AD60" s="1948">
        <f t="shared" si="4"/>
        <v>0</v>
      </c>
      <c r="AE60" s="1948">
        <f t="shared" si="5"/>
        <v>0</v>
      </c>
      <c r="AF60" s="1948">
        <v>120</v>
      </c>
      <c r="AG60" s="1948">
        <v>0</v>
      </c>
      <c r="AH60" s="1948">
        <v>96</v>
      </c>
      <c r="AI60" s="1948">
        <v>0</v>
      </c>
      <c r="AJ60" s="1948">
        <v>0</v>
      </c>
      <c r="AK60" s="1948">
        <v>0</v>
      </c>
      <c r="AL60" s="1948">
        <f t="shared" si="6"/>
        <v>0</v>
      </c>
      <c r="AM60" s="1948">
        <f t="shared" si="7"/>
        <v>0</v>
      </c>
      <c r="AN60" s="1948">
        <v>120</v>
      </c>
      <c r="AO60" s="1948">
        <v>0</v>
      </c>
      <c r="AP60" s="1948">
        <v>96</v>
      </c>
      <c r="AQ60" s="1948">
        <v>0</v>
      </c>
      <c r="AR60" s="1948">
        <v>0</v>
      </c>
      <c r="AS60" s="1948">
        <v>0</v>
      </c>
      <c r="AT60" s="1948">
        <f t="shared" si="8"/>
        <v>0</v>
      </c>
      <c r="AU60" s="1948">
        <f t="shared" si="9"/>
        <v>0</v>
      </c>
      <c r="AV60" s="1948">
        <v>120</v>
      </c>
      <c r="AW60" s="1948">
        <v>0</v>
      </c>
      <c r="AX60" s="1948">
        <v>96</v>
      </c>
      <c r="AY60" s="1948">
        <v>0</v>
      </c>
      <c r="AZ60" s="1948">
        <v>0</v>
      </c>
      <c r="BA60" s="1948">
        <v>0</v>
      </c>
      <c r="BB60" s="1948">
        <f t="shared" si="10"/>
        <v>0</v>
      </c>
      <c r="BC60" s="1948">
        <f t="shared" si="11"/>
        <v>0</v>
      </c>
      <c r="BD60" s="1949">
        <v>120</v>
      </c>
      <c r="BE60" s="1948">
        <v>0</v>
      </c>
      <c r="BF60" s="1949">
        <v>96</v>
      </c>
      <c r="BG60" s="1949">
        <v>0</v>
      </c>
      <c r="BH60" s="1949">
        <v>0</v>
      </c>
      <c r="BI60" s="1948">
        <v>0</v>
      </c>
      <c r="BJ60" s="1948">
        <f t="shared" si="12"/>
        <v>0</v>
      </c>
      <c r="BK60" s="1948">
        <f t="shared" si="13"/>
        <v>0</v>
      </c>
    </row>
    <row r="61" spans="1:63" ht="15">
      <c r="A61" s="1946">
        <v>622000000217</v>
      </c>
      <c r="B61" s="1947">
        <f t="shared" si="14"/>
        <v>55</v>
      </c>
      <c r="C61" s="1906" t="s">
        <v>3540</v>
      </c>
      <c r="D61" s="1907" t="s">
        <v>524</v>
      </c>
      <c r="E61" s="1906" t="s">
        <v>541</v>
      </c>
      <c r="F61" s="1948" t="s">
        <v>259</v>
      </c>
      <c r="G61" s="1949">
        <v>120</v>
      </c>
      <c r="H61" s="1948">
        <v>120</v>
      </c>
      <c r="I61" s="1950">
        <v>43.2</v>
      </c>
      <c r="J61" s="1948">
        <v>96</v>
      </c>
      <c r="K61" s="1948">
        <v>0.96819999999999995</v>
      </c>
      <c r="L61" s="1948">
        <v>33.19</v>
      </c>
      <c r="M61" s="1948">
        <v>10324</v>
      </c>
      <c r="N61" s="1948">
        <f t="shared" si="0"/>
        <v>18662</v>
      </c>
      <c r="O61" s="1948">
        <f t="shared" si="1"/>
        <v>0</v>
      </c>
      <c r="P61" s="1948">
        <v>120</v>
      </c>
      <c r="Q61" s="1948">
        <v>32</v>
      </c>
      <c r="R61" s="1948">
        <v>96</v>
      </c>
      <c r="S61" s="1948">
        <v>0.95120000000000005</v>
      </c>
      <c r="T61" s="1948">
        <v>42.36</v>
      </c>
      <c r="U61" s="1948">
        <v>11062</v>
      </c>
      <c r="V61" s="1948">
        <f t="shared" si="2"/>
        <v>14285</v>
      </c>
      <c r="W61" s="1948">
        <f t="shared" si="3"/>
        <v>0</v>
      </c>
      <c r="X61" s="1948">
        <v>120</v>
      </c>
      <c r="Y61" s="1948">
        <v>46.432000000000002</v>
      </c>
      <c r="Z61" s="1948">
        <v>96</v>
      </c>
      <c r="AA61" s="1948">
        <v>0.9627</v>
      </c>
      <c r="AB61" s="1948">
        <v>29.44</v>
      </c>
      <c r="AC61" s="1948">
        <v>9842</v>
      </c>
      <c r="AD61" s="1948">
        <f t="shared" si="4"/>
        <v>20059</v>
      </c>
      <c r="AE61" s="1948">
        <f t="shared" si="5"/>
        <v>0</v>
      </c>
      <c r="AF61" s="1948">
        <v>120</v>
      </c>
      <c r="AG61" s="1948">
        <v>32.311999999999998</v>
      </c>
      <c r="AH61" s="1948">
        <v>96</v>
      </c>
      <c r="AI61" s="1948">
        <v>0.98280000000000001</v>
      </c>
      <c r="AJ61" s="1948">
        <v>38.4</v>
      </c>
      <c r="AK61" s="1948">
        <v>9230</v>
      </c>
      <c r="AL61" s="1948">
        <f t="shared" si="6"/>
        <v>14424</v>
      </c>
      <c r="AM61" s="1948">
        <f t="shared" si="7"/>
        <v>0</v>
      </c>
      <c r="AN61" s="1948">
        <v>120</v>
      </c>
      <c r="AO61" s="1948">
        <v>29.820799999999998</v>
      </c>
      <c r="AP61" s="1948">
        <v>96</v>
      </c>
      <c r="AQ61" s="1948">
        <v>0.9849</v>
      </c>
      <c r="AR61" s="1948">
        <v>40.9</v>
      </c>
      <c r="AS61" s="1948">
        <v>9074</v>
      </c>
      <c r="AT61" s="1948">
        <f t="shared" si="8"/>
        <v>13312</v>
      </c>
      <c r="AU61" s="1948">
        <f t="shared" si="9"/>
        <v>0</v>
      </c>
      <c r="AV61" s="1948">
        <v>120</v>
      </c>
      <c r="AW61" s="1948">
        <v>30.795999999999999</v>
      </c>
      <c r="AX61" s="1948">
        <v>96</v>
      </c>
      <c r="AY61" s="1948">
        <v>0.98360000000000003</v>
      </c>
      <c r="AZ61" s="1948">
        <v>39.869999999999997</v>
      </c>
      <c r="BA61" s="1948">
        <v>8842</v>
      </c>
      <c r="BB61" s="1948">
        <f t="shared" si="10"/>
        <v>13304</v>
      </c>
      <c r="BC61" s="1948">
        <f t="shared" si="11"/>
        <v>0</v>
      </c>
      <c r="BD61" s="1949">
        <v>120</v>
      </c>
      <c r="BE61" s="1948">
        <v>57.287999999999997</v>
      </c>
      <c r="BF61" s="1949">
        <v>96</v>
      </c>
      <c r="BG61" s="1949">
        <v>0.98119999999999996</v>
      </c>
      <c r="BH61" s="1949">
        <v>18.25</v>
      </c>
      <c r="BI61" s="1948">
        <v>7777</v>
      </c>
      <c r="BJ61" s="1948">
        <f t="shared" si="12"/>
        <v>25573</v>
      </c>
      <c r="BK61" s="1948">
        <f t="shared" si="13"/>
        <v>0</v>
      </c>
    </row>
    <row r="62" spans="1:63" ht="15">
      <c r="A62" s="1946">
        <v>122000000049</v>
      </c>
      <c r="B62" s="1947">
        <f t="shared" si="14"/>
        <v>56</v>
      </c>
      <c r="C62" s="1906" t="s">
        <v>3541</v>
      </c>
      <c r="D62" s="1907" t="s">
        <v>524</v>
      </c>
      <c r="E62" s="1906" t="s">
        <v>541</v>
      </c>
      <c r="F62" s="1948" t="s">
        <v>259</v>
      </c>
      <c r="G62" s="1949">
        <v>121.4</v>
      </c>
      <c r="H62" s="1948">
        <v>121.4</v>
      </c>
      <c r="I62" s="1950">
        <v>0.624</v>
      </c>
      <c r="J62" s="1948">
        <v>97.12</v>
      </c>
      <c r="K62" s="1948">
        <v>0.95820000000000005</v>
      </c>
      <c r="L62" s="1948">
        <v>17.82</v>
      </c>
      <c r="M62" s="1948">
        <v>14020</v>
      </c>
      <c r="N62" s="1948">
        <f t="shared" si="0"/>
        <v>270</v>
      </c>
      <c r="O62" s="1948">
        <f t="shared" si="1"/>
        <v>13750</v>
      </c>
      <c r="P62" s="1948">
        <v>121.4</v>
      </c>
      <c r="Q62" s="1948">
        <v>68.347200000000001</v>
      </c>
      <c r="R62" s="1948">
        <v>97.12</v>
      </c>
      <c r="S62" s="1948">
        <v>0.96179999999999999</v>
      </c>
      <c r="T62" s="1948">
        <v>39.06</v>
      </c>
      <c r="U62" s="1948">
        <v>21785</v>
      </c>
      <c r="V62" s="1948">
        <f t="shared" si="2"/>
        <v>30510</v>
      </c>
      <c r="W62" s="1948">
        <f t="shared" si="3"/>
        <v>0</v>
      </c>
      <c r="X62" s="1948">
        <v>121.4</v>
      </c>
      <c r="Y62" s="1948">
        <v>62.42</v>
      </c>
      <c r="Z62" s="1948">
        <v>97.12</v>
      </c>
      <c r="AA62" s="1948">
        <v>0.97650000000000003</v>
      </c>
      <c r="AB62" s="1948">
        <v>22.34</v>
      </c>
      <c r="AC62" s="1948">
        <v>10042</v>
      </c>
      <c r="AD62" s="1948">
        <f t="shared" si="4"/>
        <v>26965</v>
      </c>
      <c r="AE62" s="1948">
        <f t="shared" si="5"/>
        <v>0</v>
      </c>
      <c r="AF62" s="1948">
        <v>121.4</v>
      </c>
      <c r="AG62" s="1948">
        <v>58.512799999999999</v>
      </c>
      <c r="AH62" s="1948">
        <v>97.12</v>
      </c>
      <c r="AI62" s="1948">
        <v>0.91579999999999995</v>
      </c>
      <c r="AJ62" s="1948">
        <v>10.65</v>
      </c>
      <c r="AK62" s="1948">
        <v>4634</v>
      </c>
      <c r="AL62" s="1948">
        <f t="shared" si="6"/>
        <v>26120</v>
      </c>
      <c r="AM62" s="1948">
        <f t="shared" si="7"/>
        <v>0</v>
      </c>
      <c r="AN62" s="1948">
        <v>121.4</v>
      </c>
      <c r="AO62" s="1948">
        <v>10.144</v>
      </c>
      <c r="AP62" s="1948">
        <v>97.12</v>
      </c>
      <c r="AQ62" s="1948">
        <v>0.45479999999999998</v>
      </c>
      <c r="AR62" s="1948">
        <v>41.26</v>
      </c>
      <c r="AS62" s="1948">
        <v>3113</v>
      </c>
      <c r="AT62" s="1948">
        <f t="shared" si="8"/>
        <v>4528</v>
      </c>
      <c r="AU62" s="1948">
        <f t="shared" si="9"/>
        <v>0</v>
      </c>
      <c r="AV62" s="1948">
        <v>121.4</v>
      </c>
      <c r="AW62" s="1948">
        <v>12.026</v>
      </c>
      <c r="AX62" s="1948">
        <v>97.12</v>
      </c>
      <c r="AY62" s="1948">
        <v>0.41849999999999998</v>
      </c>
      <c r="AZ62" s="1948">
        <v>37.43</v>
      </c>
      <c r="BA62" s="1948">
        <v>3242</v>
      </c>
      <c r="BB62" s="1948">
        <f t="shared" si="10"/>
        <v>5195</v>
      </c>
      <c r="BC62" s="1948">
        <f t="shared" si="11"/>
        <v>0</v>
      </c>
      <c r="BD62" s="1949">
        <v>121.4</v>
      </c>
      <c r="BE62" s="1948">
        <v>8.2539999999999996</v>
      </c>
      <c r="BF62" s="1949">
        <v>97.12</v>
      </c>
      <c r="BG62" s="1949">
        <v>0.82889999999999997</v>
      </c>
      <c r="BH62" s="1949">
        <v>24.96</v>
      </c>
      <c r="BI62" s="1948">
        <v>1532</v>
      </c>
      <c r="BJ62" s="1948">
        <f t="shared" si="12"/>
        <v>3685</v>
      </c>
      <c r="BK62" s="1948">
        <f t="shared" si="13"/>
        <v>0</v>
      </c>
    </row>
    <row r="63" spans="1:63" ht="15">
      <c r="A63" s="1946">
        <v>123000000064</v>
      </c>
      <c r="B63" s="1947">
        <f t="shared" si="14"/>
        <v>57</v>
      </c>
      <c r="C63" s="1906" t="s">
        <v>2960</v>
      </c>
      <c r="D63" s="1907" t="s">
        <v>524</v>
      </c>
      <c r="E63" s="1906" t="s">
        <v>636</v>
      </c>
      <c r="F63" s="1948" t="s">
        <v>259</v>
      </c>
      <c r="G63" s="1949">
        <v>122</v>
      </c>
      <c r="H63" s="1948">
        <v>122</v>
      </c>
      <c r="I63" s="1950">
        <v>105</v>
      </c>
      <c r="J63" s="1948">
        <v>105</v>
      </c>
      <c r="K63" s="1948">
        <v>0.99680000000000002</v>
      </c>
      <c r="L63" s="1948">
        <v>37.520000000000003</v>
      </c>
      <c r="M63" s="1948">
        <v>28365</v>
      </c>
      <c r="N63" s="1948">
        <f t="shared" si="0"/>
        <v>45360</v>
      </c>
      <c r="O63" s="1948">
        <f t="shared" si="1"/>
        <v>0</v>
      </c>
      <c r="P63" s="1948">
        <v>122</v>
      </c>
      <c r="Q63" s="1948">
        <v>154.56</v>
      </c>
      <c r="R63" s="1948">
        <v>154.56</v>
      </c>
      <c r="S63" s="1948">
        <v>0.99719999999999998</v>
      </c>
      <c r="T63" s="1948">
        <v>35.36</v>
      </c>
      <c r="U63" s="1948">
        <v>40661</v>
      </c>
      <c r="V63" s="1948">
        <f t="shared" si="2"/>
        <v>68996</v>
      </c>
      <c r="W63" s="1948">
        <f t="shared" si="3"/>
        <v>0</v>
      </c>
      <c r="X63" s="1948">
        <v>122</v>
      </c>
      <c r="Y63" s="1948">
        <v>146.52000000000001</v>
      </c>
      <c r="Z63" s="1948">
        <v>146.52000000000001</v>
      </c>
      <c r="AA63" s="1948">
        <v>0.99690000000000001</v>
      </c>
      <c r="AB63" s="1948">
        <v>25.49</v>
      </c>
      <c r="AC63" s="1948">
        <v>26887</v>
      </c>
      <c r="AD63" s="1948">
        <f t="shared" si="4"/>
        <v>63297</v>
      </c>
      <c r="AE63" s="1948">
        <f t="shared" si="5"/>
        <v>0</v>
      </c>
      <c r="AF63" s="1948">
        <v>122</v>
      </c>
      <c r="AG63" s="1948">
        <v>128.88</v>
      </c>
      <c r="AH63" s="1948">
        <v>128.88</v>
      </c>
      <c r="AI63" s="1948">
        <v>0.99729999999999996</v>
      </c>
      <c r="AJ63" s="1948">
        <v>36.83</v>
      </c>
      <c r="AK63" s="1948">
        <v>35318</v>
      </c>
      <c r="AL63" s="1948">
        <f t="shared" si="6"/>
        <v>57532</v>
      </c>
      <c r="AM63" s="1948">
        <f t="shared" si="7"/>
        <v>0</v>
      </c>
      <c r="AN63" s="1948">
        <v>122</v>
      </c>
      <c r="AO63" s="1948">
        <v>130.80000000000001</v>
      </c>
      <c r="AP63" s="1948">
        <v>130.80000000000001</v>
      </c>
      <c r="AQ63" s="1948">
        <v>0.99670000000000003</v>
      </c>
      <c r="AR63" s="1948">
        <v>34.72</v>
      </c>
      <c r="AS63" s="1948">
        <v>33789</v>
      </c>
      <c r="AT63" s="1948">
        <f t="shared" si="8"/>
        <v>58389</v>
      </c>
      <c r="AU63" s="1948">
        <f t="shared" si="9"/>
        <v>0</v>
      </c>
      <c r="AV63" s="1948">
        <v>122</v>
      </c>
      <c r="AW63" s="1948">
        <v>151.56</v>
      </c>
      <c r="AX63" s="1948">
        <v>151.56</v>
      </c>
      <c r="AY63" s="1948">
        <v>0.997</v>
      </c>
      <c r="AZ63" s="1948">
        <v>34.299999999999997</v>
      </c>
      <c r="BA63" s="1948">
        <v>37428</v>
      </c>
      <c r="BB63" s="1948">
        <f t="shared" si="10"/>
        <v>65474</v>
      </c>
      <c r="BC63" s="1948">
        <f t="shared" si="11"/>
        <v>0</v>
      </c>
      <c r="BD63" s="1949">
        <v>122</v>
      </c>
      <c r="BE63" s="1948">
        <v>169.07999999999998</v>
      </c>
      <c r="BF63" s="1949">
        <v>169.08</v>
      </c>
      <c r="BG63" s="1949">
        <v>0.98380000000000001</v>
      </c>
      <c r="BH63" s="1949">
        <v>24.04</v>
      </c>
      <c r="BI63" s="1948">
        <v>30236</v>
      </c>
      <c r="BJ63" s="1948">
        <f t="shared" si="12"/>
        <v>75477</v>
      </c>
      <c r="BK63" s="1948">
        <f t="shared" si="13"/>
        <v>0</v>
      </c>
    </row>
    <row r="64" spans="1:63" ht="15">
      <c r="A64" s="1946">
        <v>126000000017</v>
      </c>
      <c r="B64" s="1947">
        <f t="shared" si="14"/>
        <v>58</v>
      </c>
      <c r="C64" s="1906" t="s">
        <v>2962</v>
      </c>
      <c r="D64" s="1907" t="s">
        <v>524</v>
      </c>
      <c r="E64" s="1906" t="s">
        <v>541</v>
      </c>
      <c r="F64" s="1948" t="s">
        <v>259</v>
      </c>
      <c r="G64" s="1949">
        <v>122</v>
      </c>
      <c r="H64" s="1948">
        <v>122</v>
      </c>
      <c r="I64" s="1950">
        <v>1.054</v>
      </c>
      <c r="J64" s="1948">
        <v>105.4</v>
      </c>
      <c r="K64" s="1948">
        <v>0.38590000000000002</v>
      </c>
      <c r="L64" s="1948">
        <v>2.4700000000000002</v>
      </c>
      <c r="M64" s="1948">
        <v>1622</v>
      </c>
      <c r="N64" s="1948">
        <f t="shared" si="0"/>
        <v>455</v>
      </c>
      <c r="O64" s="1948">
        <f t="shared" si="1"/>
        <v>1167</v>
      </c>
      <c r="P64" s="1948">
        <v>122</v>
      </c>
      <c r="Q64" s="1948">
        <v>82.724800000000002</v>
      </c>
      <c r="R64" s="1948">
        <v>97.6</v>
      </c>
      <c r="S64" s="1948">
        <v>0.79079999999999995</v>
      </c>
      <c r="T64" s="1948">
        <v>5.62</v>
      </c>
      <c r="U64" s="1948">
        <v>3906</v>
      </c>
      <c r="V64" s="1948">
        <f t="shared" si="2"/>
        <v>36928</v>
      </c>
      <c r="W64" s="1948">
        <f t="shared" si="3"/>
        <v>0</v>
      </c>
      <c r="X64" s="1948">
        <v>122</v>
      </c>
      <c r="Y64" s="1948">
        <v>70.635999999999996</v>
      </c>
      <c r="Z64" s="1948">
        <v>97.6</v>
      </c>
      <c r="AA64" s="1948">
        <v>0.67769999999999997</v>
      </c>
      <c r="AB64" s="1948">
        <v>3.5</v>
      </c>
      <c r="AC64" s="1948">
        <v>1778</v>
      </c>
      <c r="AD64" s="1948">
        <f t="shared" si="4"/>
        <v>30515</v>
      </c>
      <c r="AE64" s="1948">
        <f t="shared" si="5"/>
        <v>0</v>
      </c>
      <c r="AF64" s="1948">
        <v>122</v>
      </c>
      <c r="AG64" s="1948">
        <v>85.564800000000005</v>
      </c>
      <c r="AH64" s="1948">
        <v>97.6</v>
      </c>
      <c r="AI64" s="1948">
        <v>0.79559999999999997</v>
      </c>
      <c r="AJ64" s="1948">
        <v>6.27</v>
      </c>
      <c r="AK64" s="1948">
        <v>3994</v>
      </c>
      <c r="AL64" s="1948">
        <f t="shared" si="6"/>
        <v>38196</v>
      </c>
      <c r="AM64" s="1948">
        <f t="shared" si="7"/>
        <v>0</v>
      </c>
      <c r="AN64" s="1948">
        <v>122</v>
      </c>
      <c r="AO64" s="1948">
        <v>110.79940000000001</v>
      </c>
      <c r="AP64" s="1948">
        <v>110.8</v>
      </c>
      <c r="AQ64" s="1948">
        <v>0.74880000000000002</v>
      </c>
      <c r="AR64" s="1948">
        <v>5.97</v>
      </c>
      <c r="AS64" s="1948">
        <v>4922</v>
      </c>
      <c r="AT64" s="1948">
        <f t="shared" si="8"/>
        <v>49461</v>
      </c>
      <c r="AU64" s="1948">
        <f t="shared" si="9"/>
        <v>0</v>
      </c>
      <c r="AV64" s="1948">
        <v>122</v>
      </c>
      <c r="AW64" s="1948">
        <v>109.60599999999999</v>
      </c>
      <c r="AX64" s="1948">
        <v>109.61</v>
      </c>
      <c r="AY64" s="1948">
        <v>0.8246</v>
      </c>
      <c r="AZ64" s="1948">
        <v>6.7</v>
      </c>
      <c r="BA64" s="1948">
        <v>5288</v>
      </c>
      <c r="BB64" s="1948">
        <f t="shared" si="10"/>
        <v>47350</v>
      </c>
      <c r="BC64" s="1948">
        <f t="shared" si="11"/>
        <v>0</v>
      </c>
      <c r="BD64" s="1949">
        <v>122</v>
      </c>
      <c r="BE64" s="1948">
        <v>103.66</v>
      </c>
      <c r="BF64" s="1949">
        <v>103.66</v>
      </c>
      <c r="BG64" s="1949">
        <v>0.95240000000000002</v>
      </c>
      <c r="BH64" s="1949">
        <v>14.61</v>
      </c>
      <c r="BI64" s="1948">
        <v>11271</v>
      </c>
      <c r="BJ64" s="1948">
        <f t="shared" si="12"/>
        <v>46274</v>
      </c>
      <c r="BK64" s="1948">
        <f t="shared" si="13"/>
        <v>0</v>
      </c>
    </row>
    <row r="65" spans="1:63" ht="15">
      <c r="A65" s="1946">
        <v>124000000058</v>
      </c>
      <c r="B65" s="1947">
        <f t="shared" si="14"/>
        <v>59</v>
      </c>
      <c r="C65" s="1906" t="s">
        <v>2961</v>
      </c>
      <c r="D65" s="1907" t="s">
        <v>524</v>
      </c>
      <c r="E65" s="1906" t="s">
        <v>737</v>
      </c>
      <c r="F65" s="1948" t="s">
        <v>259</v>
      </c>
      <c r="G65" s="1949">
        <v>122</v>
      </c>
      <c r="H65" s="1948">
        <v>122</v>
      </c>
      <c r="I65" s="1950">
        <v>95.28</v>
      </c>
      <c r="J65" s="1948">
        <v>97.6</v>
      </c>
      <c r="K65" s="1948">
        <v>0.99409999999999998</v>
      </c>
      <c r="L65" s="1948">
        <v>16.55</v>
      </c>
      <c r="M65" s="1948">
        <v>11355</v>
      </c>
      <c r="N65" s="1948">
        <f t="shared" si="0"/>
        <v>41161</v>
      </c>
      <c r="O65" s="1948">
        <f t="shared" si="1"/>
        <v>0</v>
      </c>
      <c r="P65" s="1948">
        <v>122</v>
      </c>
      <c r="Q65" s="1948">
        <v>97.36</v>
      </c>
      <c r="R65" s="1948">
        <v>97.6</v>
      </c>
      <c r="S65" s="1948">
        <v>0.99629999999999996</v>
      </c>
      <c r="T65" s="1948">
        <v>22.02</v>
      </c>
      <c r="U65" s="1948">
        <v>15953</v>
      </c>
      <c r="V65" s="1948">
        <f t="shared" si="2"/>
        <v>43462</v>
      </c>
      <c r="W65" s="1948">
        <f t="shared" si="3"/>
        <v>0</v>
      </c>
      <c r="X65" s="1948">
        <v>122</v>
      </c>
      <c r="Y65" s="1948">
        <v>96.56</v>
      </c>
      <c r="Z65" s="1948">
        <v>97.6</v>
      </c>
      <c r="AA65" s="1948">
        <v>0.99370000000000003</v>
      </c>
      <c r="AB65" s="1948">
        <v>17.149999999999999</v>
      </c>
      <c r="AC65" s="1948">
        <v>11925</v>
      </c>
      <c r="AD65" s="1948">
        <f t="shared" si="4"/>
        <v>41714</v>
      </c>
      <c r="AE65" s="1948">
        <f t="shared" si="5"/>
        <v>0</v>
      </c>
      <c r="AF65" s="1948">
        <v>122</v>
      </c>
      <c r="AG65" s="1948">
        <v>106.4</v>
      </c>
      <c r="AH65" s="1948">
        <v>106.4</v>
      </c>
      <c r="AI65" s="1948">
        <v>0.99619999999999997</v>
      </c>
      <c r="AJ65" s="1948">
        <v>23.64</v>
      </c>
      <c r="AK65" s="1948">
        <v>18712</v>
      </c>
      <c r="AL65" s="1948">
        <f t="shared" si="6"/>
        <v>47497</v>
      </c>
      <c r="AM65" s="1948">
        <f t="shared" si="7"/>
        <v>0</v>
      </c>
      <c r="AN65" s="1948">
        <v>122</v>
      </c>
      <c r="AO65" s="1948">
        <v>100.88</v>
      </c>
      <c r="AP65" s="1948">
        <v>100.88</v>
      </c>
      <c r="AQ65" s="1948">
        <v>0.99339999999999995</v>
      </c>
      <c r="AR65" s="1948">
        <v>21.05</v>
      </c>
      <c r="AS65" s="1948">
        <v>15796</v>
      </c>
      <c r="AT65" s="1948">
        <f t="shared" si="8"/>
        <v>45033</v>
      </c>
      <c r="AU65" s="1948">
        <f t="shared" si="9"/>
        <v>0</v>
      </c>
      <c r="AV65" s="1948">
        <v>122</v>
      </c>
      <c r="AW65" s="1948">
        <v>96.48</v>
      </c>
      <c r="AX65" s="1948">
        <v>97.6</v>
      </c>
      <c r="AY65" s="1948">
        <v>0.99319999999999997</v>
      </c>
      <c r="AZ65" s="1948">
        <v>22.25</v>
      </c>
      <c r="BA65" s="1948">
        <v>15455</v>
      </c>
      <c r="BB65" s="1948">
        <f t="shared" si="10"/>
        <v>41679</v>
      </c>
      <c r="BC65" s="1948">
        <f t="shared" si="11"/>
        <v>0</v>
      </c>
      <c r="BD65" s="1949">
        <v>122</v>
      </c>
      <c r="BE65" s="1948">
        <v>91.52</v>
      </c>
      <c r="BF65" s="1949">
        <v>97.6</v>
      </c>
      <c r="BG65" s="1949">
        <v>0.98640000000000005</v>
      </c>
      <c r="BH65" s="1949">
        <v>17.54</v>
      </c>
      <c r="BI65" s="1948">
        <v>11943</v>
      </c>
      <c r="BJ65" s="1948">
        <f t="shared" si="12"/>
        <v>40855</v>
      </c>
      <c r="BK65" s="1948">
        <f t="shared" si="13"/>
        <v>0</v>
      </c>
    </row>
    <row r="66" spans="1:63" ht="15">
      <c r="A66" s="1946">
        <v>124000000078</v>
      </c>
      <c r="B66" s="1947">
        <f t="shared" si="14"/>
        <v>60</v>
      </c>
      <c r="C66" s="1906" t="s">
        <v>3542</v>
      </c>
      <c r="D66" s="1907" t="s">
        <v>524</v>
      </c>
      <c r="E66" s="1906" t="s">
        <v>541</v>
      </c>
      <c r="F66" s="1948" t="s">
        <v>259</v>
      </c>
      <c r="G66" s="1949">
        <v>122</v>
      </c>
      <c r="H66" s="1948">
        <v>122</v>
      </c>
      <c r="I66" s="1950">
        <v>34.96</v>
      </c>
      <c r="J66" s="1948">
        <v>97.6</v>
      </c>
      <c r="K66" s="1948">
        <v>0.74770000000000003</v>
      </c>
      <c r="L66" s="1948">
        <v>5.16</v>
      </c>
      <c r="M66" s="1948">
        <v>563</v>
      </c>
      <c r="N66" s="1948">
        <f t="shared" si="0"/>
        <v>15103</v>
      </c>
      <c r="O66" s="1948">
        <f t="shared" si="1"/>
        <v>0</v>
      </c>
      <c r="P66" s="1948">
        <v>122</v>
      </c>
      <c r="Q66" s="1948">
        <v>73.2</v>
      </c>
      <c r="R66" s="1948">
        <v>97.6</v>
      </c>
      <c r="S66" s="1948">
        <v>0.83650000000000002</v>
      </c>
      <c r="T66" s="1948">
        <v>10.81</v>
      </c>
      <c r="U66" s="1948">
        <v>5887</v>
      </c>
      <c r="V66" s="1948">
        <f t="shared" si="2"/>
        <v>32676</v>
      </c>
      <c r="W66" s="1948">
        <f t="shared" si="3"/>
        <v>0</v>
      </c>
      <c r="X66" s="1948">
        <v>122</v>
      </c>
      <c r="Y66" s="1948">
        <v>67.12</v>
      </c>
      <c r="Z66" s="1948">
        <v>97.6</v>
      </c>
      <c r="AA66" s="1948">
        <v>0.80230000000000001</v>
      </c>
      <c r="AB66" s="1948">
        <v>19.53</v>
      </c>
      <c r="AC66" s="1948">
        <v>10065</v>
      </c>
      <c r="AD66" s="1948">
        <f t="shared" si="4"/>
        <v>28996</v>
      </c>
      <c r="AE66" s="1948">
        <f t="shared" si="5"/>
        <v>0</v>
      </c>
      <c r="AF66" s="1948">
        <v>122</v>
      </c>
      <c r="AG66" s="1948">
        <v>95.36</v>
      </c>
      <c r="AH66" s="1948">
        <v>97.6</v>
      </c>
      <c r="AI66" s="1948">
        <v>0.80769999999999997</v>
      </c>
      <c r="AJ66" s="1948">
        <v>16.14</v>
      </c>
      <c r="AK66" s="1948">
        <v>11082</v>
      </c>
      <c r="AL66" s="1948">
        <f t="shared" si="6"/>
        <v>42569</v>
      </c>
      <c r="AM66" s="1948">
        <f t="shared" si="7"/>
        <v>0</v>
      </c>
      <c r="AN66" s="1948">
        <v>122</v>
      </c>
      <c r="AO66" s="1948">
        <v>84.16</v>
      </c>
      <c r="AP66" s="1948">
        <v>97.6</v>
      </c>
      <c r="AQ66" s="1948">
        <v>0.80989999999999995</v>
      </c>
      <c r="AR66" s="1948">
        <v>14.93</v>
      </c>
      <c r="AS66" s="1948">
        <v>10556</v>
      </c>
      <c r="AT66" s="1948">
        <f t="shared" si="8"/>
        <v>37569</v>
      </c>
      <c r="AU66" s="1948">
        <f t="shared" si="9"/>
        <v>0</v>
      </c>
      <c r="AV66" s="1948">
        <v>122</v>
      </c>
      <c r="AW66" s="1948">
        <v>85.6</v>
      </c>
      <c r="AX66" s="1948">
        <v>97.6</v>
      </c>
      <c r="AY66" s="1948">
        <v>0.85270000000000001</v>
      </c>
      <c r="AZ66" s="1948">
        <v>11.71</v>
      </c>
      <c r="BA66" s="1948">
        <v>7220</v>
      </c>
      <c r="BB66" s="1948">
        <f t="shared" si="10"/>
        <v>36979</v>
      </c>
      <c r="BC66" s="1948">
        <f t="shared" si="11"/>
        <v>0</v>
      </c>
      <c r="BD66" s="1949">
        <v>122</v>
      </c>
      <c r="BE66" s="1948">
        <v>88.72</v>
      </c>
      <c r="BF66" s="1949">
        <v>97.6</v>
      </c>
      <c r="BG66" s="1949">
        <v>0.84419999999999995</v>
      </c>
      <c r="BH66" s="1949">
        <v>22.61</v>
      </c>
      <c r="BI66" s="1948">
        <v>14924</v>
      </c>
      <c r="BJ66" s="1948">
        <f t="shared" si="12"/>
        <v>39605</v>
      </c>
      <c r="BK66" s="1948">
        <f t="shared" si="13"/>
        <v>0</v>
      </c>
    </row>
    <row r="67" spans="1:63" ht="15">
      <c r="A67" s="1946">
        <v>125000000042</v>
      </c>
      <c r="B67" s="1947">
        <f t="shared" si="14"/>
        <v>61</v>
      </c>
      <c r="C67" s="1906" t="s">
        <v>2959</v>
      </c>
      <c r="D67" s="1907" t="s">
        <v>524</v>
      </c>
      <c r="E67" s="1906" t="s">
        <v>636</v>
      </c>
      <c r="F67" s="1948" t="s">
        <v>259</v>
      </c>
      <c r="G67" s="1949">
        <v>122</v>
      </c>
      <c r="H67" s="1948">
        <v>122</v>
      </c>
      <c r="I67" s="1950">
        <v>27.76</v>
      </c>
      <c r="J67" s="1948">
        <v>97.6</v>
      </c>
      <c r="K67" s="1948">
        <v>0.98419999999999996</v>
      </c>
      <c r="L67" s="1948">
        <v>39.479999999999997</v>
      </c>
      <c r="M67" s="1948">
        <v>7101</v>
      </c>
      <c r="N67" s="1948">
        <f t="shared" si="0"/>
        <v>11992</v>
      </c>
      <c r="O67" s="1948">
        <f t="shared" si="1"/>
        <v>0</v>
      </c>
      <c r="P67" s="1948">
        <v>122</v>
      </c>
      <c r="Q67" s="1948">
        <v>28.32</v>
      </c>
      <c r="R67" s="1948">
        <v>97.6</v>
      </c>
      <c r="S67" s="1948">
        <v>0.98229999999999995</v>
      </c>
      <c r="T67" s="1948">
        <v>37.729999999999997</v>
      </c>
      <c r="U67" s="1948">
        <v>8719</v>
      </c>
      <c r="V67" s="1948">
        <f t="shared" si="2"/>
        <v>12642</v>
      </c>
      <c r="W67" s="1948">
        <f t="shared" si="3"/>
        <v>0</v>
      </c>
      <c r="X67" s="1948">
        <v>122</v>
      </c>
      <c r="Y67" s="1948">
        <v>27.839999999999996</v>
      </c>
      <c r="Z67" s="1948">
        <v>97.6</v>
      </c>
      <c r="AA67" s="1948">
        <v>0.98050000000000004</v>
      </c>
      <c r="AB67" s="1948">
        <v>33.15</v>
      </c>
      <c r="AC67" s="1948">
        <v>6644</v>
      </c>
      <c r="AD67" s="1948">
        <f t="shared" si="4"/>
        <v>12027</v>
      </c>
      <c r="AE67" s="1948">
        <f t="shared" si="5"/>
        <v>0</v>
      </c>
      <c r="AF67" s="1948">
        <v>122</v>
      </c>
      <c r="AG67" s="1948">
        <v>24.16</v>
      </c>
      <c r="AH67" s="1948">
        <v>97.6</v>
      </c>
      <c r="AI67" s="1948">
        <v>0.98180000000000001</v>
      </c>
      <c r="AJ67" s="1948">
        <v>39.74</v>
      </c>
      <c r="AK67" s="1948">
        <v>7144</v>
      </c>
      <c r="AL67" s="1948">
        <f t="shared" si="6"/>
        <v>10785</v>
      </c>
      <c r="AM67" s="1948">
        <f t="shared" si="7"/>
        <v>0</v>
      </c>
      <c r="AN67" s="1948">
        <v>122</v>
      </c>
      <c r="AO67" s="1948">
        <v>24</v>
      </c>
      <c r="AP67" s="1948">
        <v>97.6</v>
      </c>
      <c r="AQ67" s="1948">
        <v>0.97519999999999996</v>
      </c>
      <c r="AR67" s="1948">
        <v>39.799999999999997</v>
      </c>
      <c r="AS67" s="1948">
        <v>7107</v>
      </c>
      <c r="AT67" s="1948">
        <f t="shared" si="8"/>
        <v>10714</v>
      </c>
      <c r="AU67" s="1948">
        <f t="shared" si="9"/>
        <v>0</v>
      </c>
      <c r="AV67" s="1948">
        <v>122</v>
      </c>
      <c r="AW67" s="1948">
        <v>24.32</v>
      </c>
      <c r="AX67" s="1948">
        <v>97.6</v>
      </c>
      <c r="AY67" s="1948">
        <v>0.97599999999999998</v>
      </c>
      <c r="AZ67" s="1948">
        <v>42.77</v>
      </c>
      <c r="BA67" s="1948">
        <v>7489</v>
      </c>
      <c r="BB67" s="1948">
        <f t="shared" si="10"/>
        <v>10506</v>
      </c>
      <c r="BC67" s="1948">
        <f t="shared" si="11"/>
        <v>0</v>
      </c>
      <c r="BD67" s="1949">
        <v>122</v>
      </c>
      <c r="BE67" s="1948">
        <v>23.04</v>
      </c>
      <c r="BF67" s="1949">
        <v>97.6</v>
      </c>
      <c r="BG67" s="1949">
        <v>0.96950000000000003</v>
      </c>
      <c r="BH67" s="1949">
        <v>45.63</v>
      </c>
      <c r="BI67" s="1948">
        <v>7822</v>
      </c>
      <c r="BJ67" s="1948">
        <f t="shared" si="12"/>
        <v>10285</v>
      </c>
      <c r="BK67" s="1948">
        <f t="shared" si="13"/>
        <v>0</v>
      </c>
    </row>
    <row r="68" spans="1:63" ht="15">
      <c r="A68" s="1946">
        <v>611000000064</v>
      </c>
      <c r="B68" s="1947">
        <f t="shared" si="14"/>
        <v>62</v>
      </c>
      <c r="C68" s="1906" t="s">
        <v>2963</v>
      </c>
      <c r="D68" s="1907" t="s">
        <v>524</v>
      </c>
      <c r="E68" s="1906" t="s">
        <v>541</v>
      </c>
      <c r="F68" s="1948" t="s">
        <v>259</v>
      </c>
      <c r="G68" s="1949">
        <v>122</v>
      </c>
      <c r="H68" s="1948">
        <v>122</v>
      </c>
      <c r="I68" s="1950">
        <v>69.679999999999993</v>
      </c>
      <c r="J68" s="1948">
        <v>97.6</v>
      </c>
      <c r="K68" s="1948">
        <v>0.95169999999999999</v>
      </c>
      <c r="L68" s="1948">
        <v>21.15</v>
      </c>
      <c r="M68" s="1948">
        <v>10611</v>
      </c>
      <c r="N68" s="1948">
        <f t="shared" si="0"/>
        <v>30102</v>
      </c>
      <c r="O68" s="1948">
        <f t="shared" si="1"/>
        <v>0</v>
      </c>
      <c r="P68" s="1948">
        <v>122</v>
      </c>
      <c r="Q68" s="1948">
        <v>74.400000000000006</v>
      </c>
      <c r="R68" s="1948">
        <v>97.6</v>
      </c>
      <c r="S68" s="1948">
        <v>0.95250000000000001</v>
      </c>
      <c r="T68" s="1948">
        <v>20.84</v>
      </c>
      <c r="U68" s="1948">
        <v>11534</v>
      </c>
      <c r="V68" s="1948">
        <f t="shared" si="2"/>
        <v>33212</v>
      </c>
      <c r="W68" s="1948">
        <f t="shared" si="3"/>
        <v>0</v>
      </c>
      <c r="X68" s="1948">
        <v>122</v>
      </c>
      <c r="Y68" s="1948">
        <v>67.52</v>
      </c>
      <c r="Z68" s="1948">
        <v>97.6</v>
      </c>
      <c r="AA68" s="1948">
        <v>0.95279999999999998</v>
      </c>
      <c r="AB68" s="1948">
        <v>20.58</v>
      </c>
      <c r="AC68" s="1948">
        <v>10004</v>
      </c>
      <c r="AD68" s="1948">
        <f t="shared" si="4"/>
        <v>29169</v>
      </c>
      <c r="AE68" s="1948">
        <f t="shared" si="5"/>
        <v>0</v>
      </c>
      <c r="AF68" s="1948">
        <v>122</v>
      </c>
      <c r="AG68" s="1948">
        <v>63.839999999999996</v>
      </c>
      <c r="AH68" s="1948">
        <v>97.6</v>
      </c>
      <c r="AI68" s="1948">
        <v>0.94340000000000002</v>
      </c>
      <c r="AJ68" s="1948">
        <v>22.65</v>
      </c>
      <c r="AK68" s="1948">
        <v>10760</v>
      </c>
      <c r="AL68" s="1948">
        <f t="shared" si="6"/>
        <v>28498</v>
      </c>
      <c r="AM68" s="1948">
        <f t="shared" si="7"/>
        <v>0</v>
      </c>
      <c r="AN68" s="1948">
        <v>122</v>
      </c>
      <c r="AO68" s="1948">
        <v>65.44</v>
      </c>
      <c r="AP68" s="1948">
        <v>97.6</v>
      </c>
      <c r="AQ68" s="1948">
        <v>0.94279999999999997</v>
      </c>
      <c r="AR68" s="1948">
        <v>22.02</v>
      </c>
      <c r="AS68" s="1948">
        <v>10719</v>
      </c>
      <c r="AT68" s="1948">
        <f t="shared" si="8"/>
        <v>29212</v>
      </c>
      <c r="AU68" s="1948">
        <f t="shared" si="9"/>
        <v>0</v>
      </c>
      <c r="AV68" s="1948">
        <v>122</v>
      </c>
      <c r="AW68" s="1948">
        <v>64.64</v>
      </c>
      <c r="AX68" s="1948">
        <v>97.6</v>
      </c>
      <c r="AY68" s="1948">
        <v>0.94410000000000005</v>
      </c>
      <c r="AZ68" s="1948">
        <v>23.26</v>
      </c>
      <c r="BA68" s="1948">
        <v>10826</v>
      </c>
      <c r="BB68" s="1948">
        <f t="shared" si="10"/>
        <v>27924</v>
      </c>
      <c r="BC68" s="1948">
        <f t="shared" si="11"/>
        <v>0</v>
      </c>
      <c r="BD68" s="1949">
        <v>122</v>
      </c>
      <c r="BE68" s="1948">
        <v>66.88</v>
      </c>
      <c r="BF68" s="1949">
        <v>97.6</v>
      </c>
      <c r="BG68" s="1949">
        <v>0.94440000000000002</v>
      </c>
      <c r="BH68" s="1949">
        <v>21.37</v>
      </c>
      <c r="BI68" s="1948">
        <v>10632</v>
      </c>
      <c r="BJ68" s="1948">
        <f t="shared" si="12"/>
        <v>29855</v>
      </c>
      <c r="BK68" s="1948">
        <f t="shared" si="13"/>
        <v>0</v>
      </c>
    </row>
    <row r="69" spans="1:63" ht="15">
      <c r="A69" s="1946">
        <v>611000000108</v>
      </c>
      <c r="B69" s="1947">
        <f t="shared" si="14"/>
        <v>63</v>
      </c>
      <c r="C69" s="1906" t="s">
        <v>2958</v>
      </c>
      <c r="D69" s="1907" t="s">
        <v>524</v>
      </c>
      <c r="E69" s="1906" t="s">
        <v>541</v>
      </c>
      <c r="F69" s="1948" t="s">
        <v>259</v>
      </c>
      <c r="G69" s="1949">
        <v>122</v>
      </c>
      <c r="H69" s="1948">
        <v>122</v>
      </c>
      <c r="I69" s="1950">
        <v>47.160000000000004</v>
      </c>
      <c r="J69" s="1948">
        <v>97.6</v>
      </c>
      <c r="K69" s="1948">
        <v>0.98399999999999999</v>
      </c>
      <c r="L69" s="1948">
        <v>39.590000000000003</v>
      </c>
      <c r="M69" s="1948">
        <v>13442</v>
      </c>
      <c r="N69" s="1948">
        <f t="shared" si="0"/>
        <v>20373</v>
      </c>
      <c r="O69" s="1948">
        <f t="shared" si="1"/>
        <v>0</v>
      </c>
      <c r="P69" s="1948">
        <v>122</v>
      </c>
      <c r="Q69" s="1948">
        <v>47.879999999999995</v>
      </c>
      <c r="R69" s="1948">
        <v>97.6</v>
      </c>
      <c r="S69" s="1948">
        <v>0.99319999999999997</v>
      </c>
      <c r="T69" s="1948">
        <v>53.06</v>
      </c>
      <c r="U69" s="1948">
        <v>18903</v>
      </c>
      <c r="V69" s="1948">
        <f t="shared" si="2"/>
        <v>21374</v>
      </c>
      <c r="W69" s="1948">
        <f t="shared" si="3"/>
        <v>0</v>
      </c>
      <c r="X69" s="1948">
        <v>122</v>
      </c>
      <c r="Y69" s="1948">
        <v>46.92</v>
      </c>
      <c r="Z69" s="1948">
        <v>97.6</v>
      </c>
      <c r="AA69" s="1948">
        <v>0.98319999999999996</v>
      </c>
      <c r="AB69" s="1948">
        <v>40.380000000000003</v>
      </c>
      <c r="AC69" s="1948">
        <v>13641</v>
      </c>
      <c r="AD69" s="1948">
        <f t="shared" si="4"/>
        <v>20269</v>
      </c>
      <c r="AE69" s="1948">
        <f t="shared" si="5"/>
        <v>0</v>
      </c>
      <c r="AF69" s="1948">
        <v>122</v>
      </c>
      <c r="AG69" s="1948">
        <v>46.56</v>
      </c>
      <c r="AH69" s="1948">
        <v>97.6</v>
      </c>
      <c r="AI69" s="1948">
        <v>0.97560000000000002</v>
      </c>
      <c r="AJ69" s="1948">
        <v>32.770000000000003</v>
      </c>
      <c r="AK69" s="1948">
        <v>11353</v>
      </c>
      <c r="AL69" s="1948">
        <f t="shared" si="6"/>
        <v>20784</v>
      </c>
      <c r="AM69" s="1948">
        <f t="shared" si="7"/>
        <v>0</v>
      </c>
      <c r="AN69" s="1948">
        <v>122</v>
      </c>
      <c r="AO69" s="1948">
        <v>45.120000000000005</v>
      </c>
      <c r="AP69" s="1948">
        <v>97.6</v>
      </c>
      <c r="AQ69" s="1948">
        <v>0.9133</v>
      </c>
      <c r="AR69" s="1948">
        <v>14.47</v>
      </c>
      <c r="AS69" s="1948">
        <v>4859</v>
      </c>
      <c r="AT69" s="1948">
        <f t="shared" si="8"/>
        <v>20142</v>
      </c>
      <c r="AU69" s="1948">
        <f t="shared" si="9"/>
        <v>0</v>
      </c>
      <c r="AV69" s="1948">
        <v>122</v>
      </c>
      <c r="AW69" s="1948">
        <v>76.2</v>
      </c>
      <c r="AX69" s="1948">
        <v>97.6</v>
      </c>
      <c r="AY69" s="1948">
        <v>0.9506</v>
      </c>
      <c r="AZ69" s="1948">
        <v>13.41</v>
      </c>
      <c r="BA69" s="1948">
        <v>7359</v>
      </c>
      <c r="BB69" s="1948">
        <f t="shared" si="10"/>
        <v>32918</v>
      </c>
      <c r="BC69" s="1948">
        <f t="shared" si="11"/>
        <v>0</v>
      </c>
      <c r="BD69" s="1949">
        <v>122</v>
      </c>
      <c r="BE69" s="1948">
        <v>80.400000000000006</v>
      </c>
      <c r="BF69" s="1949">
        <v>97.6</v>
      </c>
      <c r="BG69" s="1949">
        <v>0.97619999999999996</v>
      </c>
      <c r="BH69" s="1949">
        <v>26.75</v>
      </c>
      <c r="BI69" s="1948">
        <v>16004</v>
      </c>
      <c r="BJ69" s="1948">
        <f t="shared" si="12"/>
        <v>35891</v>
      </c>
      <c r="BK69" s="1948">
        <f t="shared" si="13"/>
        <v>0</v>
      </c>
    </row>
    <row r="70" spans="1:63" ht="15">
      <c r="A70" s="1946">
        <v>611000000128</v>
      </c>
      <c r="B70" s="1947">
        <f t="shared" si="14"/>
        <v>64</v>
      </c>
      <c r="C70" s="1906" t="s">
        <v>3543</v>
      </c>
      <c r="D70" s="1907" t="s">
        <v>524</v>
      </c>
      <c r="E70" s="1906" t="s">
        <v>737</v>
      </c>
      <c r="F70" s="1948" t="s">
        <v>259</v>
      </c>
      <c r="G70" s="1949">
        <v>122</v>
      </c>
      <c r="H70" s="1948">
        <v>0</v>
      </c>
      <c r="I70" s="1950">
        <v>0</v>
      </c>
      <c r="J70" s="1948">
        <v>0</v>
      </c>
      <c r="K70" s="1948">
        <v>0</v>
      </c>
      <c r="L70" s="1948">
        <v>0</v>
      </c>
      <c r="M70" s="1948">
        <v>0</v>
      </c>
      <c r="N70" s="1948">
        <f t="shared" si="0"/>
        <v>0</v>
      </c>
      <c r="O70" s="1948">
        <f t="shared" si="1"/>
        <v>0</v>
      </c>
      <c r="P70" s="1948">
        <v>0</v>
      </c>
      <c r="Q70" s="1948">
        <v>0</v>
      </c>
      <c r="R70" s="1948">
        <v>0</v>
      </c>
      <c r="S70" s="1948">
        <v>0</v>
      </c>
      <c r="T70" s="1948">
        <v>0</v>
      </c>
      <c r="U70" s="1948">
        <v>0</v>
      </c>
      <c r="V70" s="1948">
        <f t="shared" si="2"/>
        <v>0</v>
      </c>
      <c r="W70" s="1948">
        <f t="shared" si="3"/>
        <v>0</v>
      </c>
      <c r="X70" s="1948">
        <v>0</v>
      </c>
      <c r="Y70" s="1948">
        <v>0</v>
      </c>
      <c r="Z70" s="1948">
        <v>0</v>
      </c>
      <c r="AA70" s="1948">
        <v>0</v>
      </c>
      <c r="AB70" s="1948">
        <v>0</v>
      </c>
      <c r="AC70" s="1948">
        <v>0</v>
      </c>
      <c r="AD70" s="1948">
        <f t="shared" si="4"/>
        <v>0</v>
      </c>
      <c r="AE70" s="1948">
        <f t="shared" si="5"/>
        <v>0</v>
      </c>
      <c r="AF70" s="1948">
        <v>122</v>
      </c>
      <c r="AG70" s="1948">
        <v>1.8672</v>
      </c>
      <c r="AH70" s="1948">
        <v>97.6</v>
      </c>
      <c r="AI70" s="1948">
        <v>0.86670000000000003</v>
      </c>
      <c r="AJ70" s="1948">
        <v>98.97</v>
      </c>
      <c r="AK70" s="1948">
        <v>1066</v>
      </c>
      <c r="AL70" s="1948">
        <f t="shared" si="6"/>
        <v>834</v>
      </c>
      <c r="AM70" s="1948">
        <f t="shared" si="7"/>
        <v>232</v>
      </c>
      <c r="AN70" s="1948">
        <v>122</v>
      </c>
      <c r="AO70" s="1948">
        <v>8.7119999999999997</v>
      </c>
      <c r="AP70" s="1948">
        <v>97.6</v>
      </c>
      <c r="AQ70" s="1948">
        <v>0.79479999999999995</v>
      </c>
      <c r="AR70" s="1948">
        <v>16.850000000000001</v>
      </c>
      <c r="AS70" s="1948">
        <v>1092</v>
      </c>
      <c r="AT70" s="1948">
        <f t="shared" si="8"/>
        <v>3889</v>
      </c>
      <c r="AU70" s="1948">
        <f t="shared" si="9"/>
        <v>0</v>
      </c>
      <c r="AV70" s="1948">
        <v>122</v>
      </c>
      <c r="AW70" s="1948">
        <v>17.102999999999998</v>
      </c>
      <c r="AX70" s="1948">
        <v>97.6</v>
      </c>
      <c r="AY70" s="1948">
        <v>0.80720000000000003</v>
      </c>
      <c r="AZ70" s="1948">
        <v>9.65</v>
      </c>
      <c r="BA70" s="1948">
        <v>1188</v>
      </c>
      <c r="BB70" s="1948">
        <f t="shared" si="10"/>
        <v>7388</v>
      </c>
      <c r="BC70" s="1948">
        <f t="shared" si="11"/>
        <v>0</v>
      </c>
      <c r="BD70" s="1949">
        <v>122</v>
      </c>
      <c r="BE70" s="1948">
        <v>12.097200000000001</v>
      </c>
      <c r="BF70" s="1949">
        <v>97.6</v>
      </c>
      <c r="BG70" s="1949">
        <v>0.76749999999999996</v>
      </c>
      <c r="BH70" s="1949">
        <v>11.52</v>
      </c>
      <c r="BI70" s="1948">
        <v>1037</v>
      </c>
      <c r="BJ70" s="1948">
        <f t="shared" si="12"/>
        <v>5400</v>
      </c>
      <c r="BK70" s="1948">
        <f t="shared" si="13"/>
        <v>0</v>
      </c>
    </row>
    <row r="71" spans="1:63" ht="15">
      <c r="A71" s="1946">
        <v>622000000208</v>
      </c>
      <c r="B71" s="1947">
        <f t="shared" si="14"/>
        <v>65</v>
      </c>
      <c r="C71" s="1906" t="s">
        <v>2957</v>
      </c>
      <c r="D71" s="1907" t="s">
        <v>524</v>
      </c>
      <c r="E71" s="1906" t="s">
        <v>636</v>
      </c>
      <c r="F71" s="1948" t="s">
        <v>259</v>
      </c>
      <c r="G71" s="1949">
        <v>122</v>
      </c>
      <c r="H71" s="1948">
        <v>122</v>
      </c>
      <c r="I71" s="1950">
        <v>105.76</v>
      </c>
      <c r="J71" s="1948">
        <v>105.76</v>
      </c>
      <c r="K71" s="1948">
        <v>0.9022</v>
      </c>
      <c r="L71" s="1948">
        <v>21.87</v>
      </c>
      <c r="M71" s="1948">
        <v>16657</v>
      </c>
      <c r="N71" s="1948">
        <f t="shared" ref="N71:N134" si="15">+ROUND(24*30*0.6*I71,0)</f>
        <v>45688</v>
      </c>
      <c r="O71" s="1948">
        <f t="shared" ref="O71:O134" si="16">+MAX((M71-N71),0)</f>
        <v>0</v>
      </c>
      <c r="P71" s="1948">
        <v>122</v>
      </c>
      <c r="Q71" s="1948">
        <v>120.08000000000001</v>
      </c>
      <c r="R71" s="1948">
        <v>120.08</v>
      </c>
      <c r="S71" s="1948">
        <v>0.89380000000000004</v>
      </c>
      <c r="T71" s="1948">
        <v>19.329999999999998</v>
      </c>
      <c r="U71" s="1948">
        <v>17266</v>
      </c>
      <c r="V71" s="1948">
        <f t="shared" ref="V71:V134" si="17">+ROUND(24*31*0.6*Q71,0)</f>
        <v>53604</v>
      </c>
      <c r="W71" s="1948">
        <f t="shared" ref="W71:W134" si="18">+MAX((U71-V71),0)</f>
        <v>0</v>
      </c>
      <c r="X71" s="1948">
        <v>122</v>
      </c>
      <c r="Y71" s="1948">
        <v>95.44</v>
      </c>
      <c r="Z71" s="1948">
        <v>97.6</v>
      </c>
      <c r="AA71" s="1948">
        <v>0.91510000000000002</v>
      </c>
      <c r="AB71" s="1948">
        <v>15.74</v>
      </c>
      <c r="AC71" s="1948">
        <v>10818</v>
      </c>
      <c r="AD71" s="1948">
        <f t="shared" ref="AD71:AD134" si="19">+ROUND(24*30*0.6*Y71,0)</f>
        <v>41230</v>
      </c>
      <c r="AE71" s="1948">
        <f t="shared" ref="AE71:AE134" si="20">+MAX((AC71-AD71),0)</f>
        <v>0</v>
      </c>
      <c r="AF71" s="1948">
        <v>122</v>
      </c>
      <c r="AG71" s="1948">
        <v>109.11999999999999</v>
      </c>
      <c r="AH71" s="1948">
        <v>109.12</v>
      </c>
      <c r="AI71" s="1948">
        <v>0.93489999999999995</v>
      </c>
      <c r="AJ71" s="1948">
        <v>12.42</v>
      </c>
      <c r="AK71" s="1948">
        <v>10082</v>
      </c>
      <c r="AL71" s="1948">
        <f t="shared" ref="AL71:AL134" si="21">+ROUND(24*31*0.6*AG71,0)</f>
        <v>48711</v>
      </c>
      <c r="AM71" s="1948">
        <f t="shared" ref="AM71:AM134" si="22">+MAX((AK71-AL71),0)</f>
        <v>0</v>
      </c>
      <c r="AN71" s="1948">
        <v>122</v>
      </c>
      <c r="AO71" s="1948">
        <v>62.4</v>
      </c>
      <c r="AP71" s="1948">
        <v>97.6</v>
      </c>
      <c r="AQ71" s="1948">
        <v>0.93520000000000003</v>
      </c>
      <c r="AR71" s="1948">
        <v>17.32</v>
      </c>
      <c r="AS71" s="1948">
        <v>8043</v>
      </c>
      <c r="AT71" s="1948">
        <f t="shared" ref="AT71:AT134" si="23">+ROUND(24*31*0.6*AO71,0)</f>
        <v>27855</v>
      </c>
      <c r="AU71" s="1948">
        <f t="shared" ref="AU71:AU134" si="24">+MAX((AS71-AT71),0)</f>
        <v>0</v>
      </c>
      <c r="AV71" s="1948">
        <v>122</v>
      </c>
      <c r="AW71" s="1948">
        <v>87.039999999999992</v>
      </c>
      <c r="AX71" s="1948">
        <v>97.6</v>
      </c>
      <c r="AY71" s="1948">
        <v>0.92879999999999996</v>
      </c>
      <c r="AZ71" s="1948">
        <v>12.97</v>
      </c>
      <c r="BA71" s="1948">
        <v>8128</v>
      </c>
      <c r="BB71" s="1948">
        <f t="shared" ref="BB71:BB134" si="25">+ROUND(24*30*0.6*AW71,0)</f>
        <v>37601</v>
      </c>
      <c r="BC71" s="1948">
        <f t="shared" ref="BC71:BC134" si="26">+MAX((BA71-BB71),0)</f>
        <v>0</v>
      </c>
      <c r="BD71" s="1949">
        <v>122</v>
      </c>
      <c r="BE71" s="1948">
        <v>57.199999999999996</v>
      </c>
      <c r="BF71" s="1949">
        <v>97.6</v>
      </c>
      <c r="BG71" s="1949">
        <v>0.90559999999999996</v>
      </c>
      <c r="BH71" s="1949">
        <v>16.63</v>
      </c>
      <c r="BI71" s="1948">
        <v>7079</v>
      </c>
      <c r="BJ71" s="1948">
        <f t="shared" ref="BJ71:BJ134" si="27">+ROUND(24*31*0.6*BE71,0)</f>
        <v>25534</v>
      </c>
      <c r="BK71" s="1948">
        <f t="shared" ref="BK71:BK134" si="28">+MAX((BI71-BJ71),0)</f>
        <v>0</v>
      </c>
    </row>
    <row r="72" spans="1:63" ht="15">
      <c r="A72" s="1946">
        <v>621000000027</v>
      </c>
      <c r="B72" s="1947">
        <f t="shared" si="14"/>
        <v>66</v>
      </c>
      <c r="C72" s="1906" t="s">
        <v>2964</v>
      </c>
      <c r="D72" s="1907" t="s">
        <v>524</v>
      </c>
      <c r="E72" s="1906" t="s">
        <v>737</v>
      </c>
      <c r="F72" s="1948" t="s">
        <v>259</v>
      </c>
      <c r="G72" s="1949">
        <v>122</v>
      </c>
      <c r="H72" s="1948">
        <v>122</v>
      </c>
      <c r="I72" s="1950">
        <v>25.08</v>
      </c>
      <c r="J72" s="1948">
        <v>97.6</v>
      </c>
      <c r="K72" s="1948">
        <v>0.93430000000000002</v>
      </c>
      <c r="L72" s="1948">
        <v>23.03</v>
      </c>
      <c r="M72" s="1948">
        <v>4158</v>
      </c>
      <c r="N72" s="1948">
        <f t="shared" si="15"/>
        <v>10835</v>
      </c>
      <c r="O72" s="1948">
        <f t="shared" si="16"/>
        <v>0</v>
      </c>
      <c r="P72" s="1948">
        <v>122</v>
      </c>
      <c r="Q72" s="1948">
        <v>14.16</v>
      </c>
      <c r="R72" s="1948">
        <v>97.6</v>
      </c>
      <c r="S72" s="1948">
        <v>0.8901</v>
      </c>
      <c r="T72" s="1948">
        <v>27.81</v>
      </c>
      <c r="U72" s="1948">
        <v>2930</v>
      </c>
      <c r="V72" s="1948">
        <f t="shared" si="17"/>
        <v>6321</v>
      </c>
      <c r="W72" s="1948">
        <f t="shared" si="18"/>
        <v>0</v>
      </c>
      <c r="X72" s="1948">
        <v>122</v>
      </c>
      <c r="Y72" s="1948">
        <v>26.76</v>
      </c>
      <c r="Z72" s="1948">
        <v>97.6</v>
      </c>
      <c r="AA72" s="1948">
        <v>0.90629999999999999</v>
      </c>
      <c r="AB72" s="1948">
        <v>18.39</v>
      </c>
      <c r="AC72" s="1948">
        <v>3544</v>
      </c>
      <c r="AD72" s="1948">
        <f t="shared" si="19"/>
        <v>11560</v>
      </c>
      <c r="AE72" s="1948">
        <f t="shared" si="20"/>
        <v>0</v>
      </c>
      <c r="AF72" s="1948">
        <v>122</v>
      </c>
      <c r="AG72" s="1948">
        <v>28.68</v>
      </c>
      <c r="AH72" s="1948">
        <v>97.6</v>
      </c>
      <c r="AI72" s="1948">
        <v>0.94120000000000004</v>
      </c>
      <c r="AJ72" s="1948">
        <v>26.56</v>
      </c>
      <c r="AK72" s="1948">
        <v>5667</v>
      </c>
      <c r="AL72" s="1948">
        <f t="shared" si="21"/>
        <v>12803</v>
      </c>
      <c r="AM72" s="1948">
        <f t="shared" si="22"/>
        <v>0</v>
      </c>
      <c r="AN72" s="1948">
        <v>122</v>
      </c>
      <c r="AO72" s="1948">
        <v>23.880000000000003</v>
      </c>
      <c r="AP72" s="1948">
        <v>97.6</v>
      </c>
      <c r="AQ72" s="1948">
        <v>0.93569999999999998</v>
      </c>
      <c r="AR72" s="1948">
        <v>27.95</v>
      </c>
      <c r="AS72" s="1948">
        <v>4965</v>
      </c>
      <c r="AT72" s="1948">
        <f t="shared" si="23"/>
        <v>10660</v>
      </c>
      <c r="AU72" s="1948">
        <f t="shared" si="24"/>
        <v>0</v>
      </c>
      <c r="AV72" s="1948">
        <v>122</v>
      </c>
      <c r="AW72" s="1948">
        <v>24.24</v>
      </c>
      <c r="AX72" s="1948">
        <v>97.6</v>
      </c>
      <c r="AY72" s="1948">
        <v>0.93510000000000004</v>
      </c>
      <c r="AZ72" s="1948">
        <v>29.42</v>
      </c>
      <c r="BA72" s="1948">
        <v>5134</v>
      </c>
      <c r="BB72" s="1948">
        <f t="shared" si="25"/>
        <v>10472</v>
      </c>
      <c r="BC72" s="1948">
        <f t="shared" si="26"/>
        <v>0</v>
      </c>
      <c r="BD72" s="1949">
        <v>122</v>
      </c>
      <c r="BE72" s="1948">
        <v>23.16</v>
      </c>
      <c r="BF72" s="1949">
        <v>97.6</v>
      </c>
      <c r="BG72" s="1949">
        <v>0.89549999999999996</v>
      </c>
      <c r="BH72" s="1949">
        <v>24.94</v>
      </c>
      <c r="BI72" s="1948">
        <v>4298</v>
      </c>
      <c r="BJ72" s="1948">
        <f t="shared" si="27"/>
        <v>10339</v>
      </c>
      <c r="BK72" s="1948">
        <f t="shared" si="28"/>
        <v>0</v>
      </c>
    </row>
    <row r="73" spans="1:63" ht="15">
      <c r="A73" s="1946">
        <v>125000000006</v>
      </c>
      <c r="B73" s="1947">
        <f t="shared" ref="B73:B136" si="29">+B72+1</f>
        <v>67</v>
      </c>
      <c r="C73" s="1906" t="s">
        <v>2965</v>
      </c>
      <c r="D73" s="1907" t="s">
        <v>524</v>
      </c>
      <c r="E73" s="1906" t="s">
        <v>2966</v>
      </c>
      <c r="F73" s="1948" t="s">
        <v>259</v>
      </c>
      <c r="G73" s="1949">
        <v>122.5</v>
      </c>
      <c r="H73" s="1948">
        <v>122.5</v>
      </c>
      <c r="I73" s="1950">
        <v>63.839999999999996</v>
      </c>
      <c r="J73" s="1948">
        <v>122.5</v>
      </c>
      <c r="K73" s="1948">
        <v>0.89470000000000005</v>
      </c>
      <c r="L73" s="1948">
        <v>0</v>
      </c>
      <c r="M73" s="1948">
        <v>16383</v>
      </c>
      <c r="N73" s="1948">
        <f t="shared" si="15"/>
        <v>27579</v>
      </c>
      <c r="O73" s="1948">
        <f t="shared" si="16"/>
        <v>0</v>
      </c>
      <c r="P73" s="1948">
        <v>122.5</v>
      </c>
      <c r="Q73" s="1948">
        <v>95.28</v>
      </c>
      <c r="R73" s="1948">
        <v>122.5</v>
      </c>
      <c r="S73" s="1948">
        <v>0.91210000000000002</v>
      </c>
      <c r="T73" s="1948">
        <v>0</v>
      </c>
      <c r="U73" s="1948">
        <v>33114</v>
      </c>
      <c r="V73" s="1948">
        <f t="shared" si="17"/>
        <v>42533</v>
      </c>
      <c r="W73" s="1948">
        <f t="shared" si="18"/>
        <v>0</v>
      </c>
      <c r="X73" s="1948">
        <v>122.5</v>
      </c>
      <c r="Y73" s="1948">
        <v>119.76</v>
      </c>
      <c r="Z73" s="1948">
        <v>122.5</v>
      </c>
      <c r="AA73" s="1948">
        <v>0.91049999999999998</v>
      </c>
      <c r="AB73" s="1948">
        <v>0</v>
      </c>
      <c r="AC73" s="1948">
        <v>43926</v>
      </c>
      <c r="AD73" s="1948">
        <f t="shared" si="19"/>
        <v>51736</v>
      </c>
      <c r="AE73" s="1948">
        <f t="shared" si="20"/>
        <v>0</v>
      </c>
      <c r="AF73" s="1948">
        <v>122.5</v>
      </c>
      <c r="AG73" s="1948">
        <v>113.75999999999999</v>
      </c>
      <c r="AH73" s="1948">
        <v>122.5</v>
      </c>
      <c r="AI73" s="1948">
        <v>0.92930000000000001</v>
      </c>
      <c r="AJ73" s="1948">
        <v>0</v>
      </c>
      <c r="AK73" s="1948">
        <v>46254</v>
      </c>
      <c r="AL73" s="1948">
        <f t="shared" si="21"/>
        <v>50782</v>
      </c>
      <c r="AM73" s="1948">
        <f t="shared" si="22"/>
        <v>0</v>
      </c>
      <c r="AN73" s="1948">
        <v>122.5</v>
      </c>
      <c r="AO73" s="1948">
        <v>109.92</v>
      </c>
      <c r="AP73" s="1948">
        <v>122.5</v>
      </c>
      <c r="AQ73" s="1948">
        <v>0.94350000000000001</v>
      </c>
      <c r="AR73" s="1948">
        <v>0</v>
      </c>
      <c r="AS73" s="1948">
        <v>35685</v>
      </c>
      <c r="AT73" s="1948">
        <f t="shared" si="23"/>
        <v>49068</v>
      </c>
      <c r="AU73" s="1948">
        <f t="shared" si="24"/>
        <v>0</v>
      </c>
      <c r="AV73" s="1948">
        <v>122.5</v>
      </c>
      <c r="AW73" s="1948">
        <v>106.56</v>
      </c>
      <c r="AX73" s="1948">
        <v>122.5</v>
      </c>
      <c r="AY73" s="1948">
        <v>0.94130000000000003</v>
      </c>
      <c r="AZ73" s="1948">
        <v>0</v>
      </c>
      <c r="BA73" s="1948">
        <v>43914</v>
      </c>
      <c r="BB73" s="1948">
        <f t="shared" si="25"/>
        <v>46034</v>
      </c>
      <c r="BC73" s="1948">
        <f t="shared" si="26"/>
        <v>0</v>
      </c>
      <c r="BD73" s="1949">
        <v>122.5</v>
      </c>
      <c r="BE73" s="1948">
        <v>103.19999999999999</v>
      </c>
      <c r="BF73" s="1949">
        <v>122.5</v>
      </c>
      <c r="BG73" s="1949">
        <v>0.94499999999999995</v>
      </c>
      <c r="BH73" s="1949">
        <v>0</v>
      </c>
      <c r="BI73" s="1948">
        <v>29535</v>
      </c>
      <c r="BJ73" s="1948">
        <f t="shared" si="27"/>
        <v>46068</v>
      </c>
      <c r="BK73" s="1948">
        <f t="shared" si="28"/>
        <v>0</v>
      </c>
    </row>
    <row r="74" spans="1:63" ht="15">
      <c r="A74" s="1946">
        <v>123000000108</v>
      </c>
      <c r="B74" s="1947">
        <f t="shared" si="29"/>
        <v>68</v>
      </c>
      <c r="C74" s="1906" t="s">
        <v>2969</v>
      </c>
      <c r="D74" s="1907" t="s">
        <v>524</v>
      </c>
      <c r="E74" s="1906" t="s">
        <v>541</v>
      </c>
      <c r="F74" s="1948" t="s">
        <v>259</v>
      </c>
      <c r="G74" s="1949">
        <v>123</v>
      </c>
      <c r="H74" s="1948">
        <v>123</v>
      </c>
      <c r="I74" s="1950">
        <v>277.52</v>
      </c>
      <c r="J74" s="1948">
        <v>277.52</v>
      </c>
      <c r="K74" s="1948">
        <v>0.98040000000000005</v>
      </c>
      <c r="L74" s="1948">
        <v>7.79</v>
      </c>
      <c r="M74" s="1948">
        <v>15561</v>
      </c>
      <c r="N74" s="1948">
        <f t="shared" si="15"/>
        <v>119889</v>
      </c>
      <c r="O74" s="1948">
        <f t="shared" si="16"/>
        <v>0</v>
      </c>
      <c r="P74" s="1948">
        <v>123</v>
      </c>
      <c r="Q74" s="1948">
        <v>306.95999999999998</v>
      </c>
      <c r="R74" s="1948">
        <v>306.95999999999998</v>
      </c>
      <c r="S74" s="1948">
        <v>0.9627</v>
      </c>
      <c r="T74" s="1948">
        <v>5.59</v>
      </c>
      <c r="U74" s="1948">
        <v>12766</v>
      </c>
      <c r="V74" s="1948">
        <f t="shared" si="17"/>
        <v>137027</v>
      </c>
      <c r="W74" s="1948">
        <f t="shared" si="18"/>
        <v>0</v>
      </c>
      <c r="X74" s="1948">
        <v>123</v>
      </c>
      <c r="Y74" s="1948">
        <v>303.04000000000002</v>
      </c>
      <c r="Z74" s="1948">
        <v>303.04000000000002</v>
      </c>
      <c r="AA74" s="1948">
        <v>0.86409999999999998</v>
      </c>
      <c r="AB74" s="1948">
        <v>1.85</v>
      </c>
      <c r="AC74" s="1948">
        <v>4040</v>
      </c>
      <c r="AD74" s="1948">
        <f t="shared" si="19"/>
        <v>130913</v>
      </c>
      <c r="AE74" s="1948">
        <f t="shared" si="20"/>
        <v>0</v>
      </c>
      <c r="AF74" s="1948">
        <v>123</v>
      </c>
      <c r="AG74" s="1948">
        <v>312.24</v>
      </c>
      <c r="AH74" s="1948">
        <v>312.24</v>
      </c>
      <c r="AI74" s="1948">
        <v>0.64259999999999995</v>
      </c>
      <c r="AJ74" s="1948">
        <v>6.16</v>
      </c>
      <c r="AK74" s="1948">
        <v>14305</v>
      </c>
      <c r="AL74" s="1948">
        <f t="shared" si="21"/>
        <v>139384</v>
      </c>
      <c r="AM74" s="1948">
        <f t="shared" si="22"/>
        <v>0</v>
      </c>
      <c r="AN74" s="1948">
        <v>123</v>
      </c>
      <c r="AO74" s="1948">
        <v>178.32</v>
      </c>
      <c r="AP74" s="1948">
        <v>178.32</v>
      </c>
      <c r="AQ74" s="1948">
        <v>0.56469999999999998</v>
      </c>
      <c r="AR74" s="1948">
        <v>2.29</v>
      </c>
      <c r="AS74" s="1948">
        <v>3044</v>
      </c>
      <c r="AT74" s="1948">
        <f t="shared" si="23"/>
        <v>79602</v>
      </c>
      <c r="AU74" s="1948">
        <f t="shared" si="24"/>
        <v>0</v>
      </c>
      <c r="AV74" s="1948">
        <v>123</v>
      </c>
      <c r="AW74" s="1948">
        <v>265.60000000000002</v>
      </c>
      <c r="AX74" s="1948">
        <v>265.60000000000002</v>
      </c>
      <c r="AY74" s="1948">
        <v>0.88670000000000004</v>
      </c>
      <c r="AZ74" s="1948">
        <v>5.83</v>
      </c>
      <c r="BA74" s="1948">
        <v>11158</v>
      </c>
      <c r="BB74" s="1948">
        <f t="shared" si="25"/>
        <v>114739</v>
      </c>
      <c r="BC74" s="1948">
        <f t="shared" si="26"/>
        <v>0</v>
      </c>
      <c r="BD74" s="1949">
        <v>123</v>
      </c>
      <c r="BE74" s="1948">
        <v>258.88</v>
      </c>
      <c r="BF74" s="1949">
        <v>258.88</v>
      </c>
      <c r="BG74" s="1949">
        <v>0.89939999999999998</v>
      </c>
      <c r="BH74" s="1949">
        <v>2.88</v>
      </c>
      <c r="BI74" s="1948">
        <v>5550</v>
      </c>
      <c r="BJ74" s="1948">
        <f t="shared" si="27"/>
        <v>115564</v>
      </c>
      <c r="BK74" s="1948">
        <f t="shared" si="28"/>
        <v>0</v>
      </c>
    </row>
    <row r="75" spans="1:63" ht="15">
      <c r="A75" s="1946">
        <v>123000000130</v>
      </c>
      <c r="B75" s="1947">
        <f t="shared" si="29"/>
        <v>69</v>
      </c>
      <c r="C75" s="1906" t="s">
        <v>2968</v>
      </c>
      <c r="D75" s="1907" t="s">
        <v>524</v>
      </c>
      <c r="E75" s="1906" t="s">
        <v>636</v>
      </c>
      <c r="F75" s="1948" t="s">
        <v>259</v>
      </c>
      <c r="G75" s="1949">
        <v>123</v>
      </c>
      <c r="H75" s="1948">
        <v>123</v>
      </c>
      <c r="I75" s="1950">
        <v>157.51999999999998</v>
      </c>
      <c r="J75" s="1948">
        <v>157.52000000000001</v>
      </c>
      <c r="K75" s="1948">
        <v>0.86029999999999995</v>
      </c>
      <c r="L75" s="1948">
        <v>19.850000000000001</v>
      </c>
      <c r="M75" s="1948">
        <v>22513</v>
      </c>
      <c r="N75" s="1948">
        <f t="shared" si="15"/>
        <v>68049</v>
      </c>
      <c r="O75" s="1948">
        <f t="shared" si="16"/>
        <v>0</v>
      </c>
      <c r="P75" s="1948">
        <v>123</v>
      </c>
      <c r="Q75" s="1948">
        <v>116.16</v>
      </c>
      <c r="R75" s="1948">
        <v>116.16</v>
      </c>
      <c r="S75" s="1948">
        <v>0.85409999999999997</v>
      </c>
      <c r="T75" s="1948">
        <v>34.22</v>
      </c>
      <c r="U75" s="1948">
        <v>29572</v>
      </c>
      <c r="V75" s="1948">
        <f t="shared" si="17"/>
        <v>51854</v>
      </c>
      <c r="W75" s="1948">
        <f t="shared" si="18"/>
        <v>0</v>
      </c>
      <c r="X75" s="1948">
        <v>123</v>
      </c>
      <c r="Y75" s="1948">
        <v>50</v>
      </c>
      <c r="Z75" s="1948">
        <v>98.4</v>
      </c>
      <c r="AA75" s="1948">
        <v>0.85270000000000001</v>
      </c>
      <c r="AB75" s="1948">
        <v>29.6</v>
      </c>
      <c r="AC75" s="1948">
        <v>10655</v>
      </c>
      <c r="AD75" s="1948">
        <f t="shared" si="19"/>
        <v>21600</v>
      </c>
      <c r="AE75" s="1948">
        <f t="shared" si="20"/>
        <v>0</v>
      </c>
      <c r="AF75" s="1948">
        <v>123</v>
      </c>
      <c r="AG75" s="1948">
        <v>122.39999999999999</v>
      </c>
      <c r="AH75" s="1948">
        <v>122.4</v>
      </c>
      <c r="AI75" s="1948">
        <v>0.83860000000000001</v>
      </c>
      <c r="AJ75" s="1948">
        <v>11.77</v>
      </c>
      <c r="AK75" s="1948">
        <v>10717</v>
      </c>
      <c r="AL75" s="1948">
        <f t="shared" si="21"/>
        <v>54639</v>
      </c>
      <c r="AM75" s="1948">
        <f t="shared" si="22"/>
        <v>0</v>
      </c>
      <c r="AN75" s="1948">
        <v>123</v>
      </c>
      <c r="AO75" s="1948">
        <v>89.84</v>
      </c>
      <c r="AP75" s="1948">
        <v>98.4</v>
      </c>
      <c r="AQ75" s="1948">
        <v>0.76060000000000005</v>
      </c>
      <c r="AR75" s="1948">
        <v>39.57</v>
      </c>
      <c r="AS75" s="1948">
        <v>26447</v>
      </c>
      <c r="AT75" s="1948">
        <f t="shared" si="23"/>
        <v>40105</v>
      </c>
      <c r="AU75" s="1948">
        <f t="shared" si="24"/>
        <v>0</v>
      </c>
      <c r="AV75" s="1948">
        <v>123</v>
      </c>
      <c r="AW75" s="1948">
        <v>111.44000000000001</v>
      </c>
      <c r="AX75" s="1948">
        <v>111.44</v>
      </c>
      <c r="AY75" s="1948">
        <v>0.78029999999999999</v>
      </c>
      <c r="AZ75" s="1948">
        <v>43.33</v>
      </c>
      <c r="BA75" s="1948">
        <v>34764</v>
      </c>
      <c r="BB75" s="1948">
        <f t="shared" si="25"/>
        <v>48142</v>
      </c>
      <c r="BC75" s="1948">
        <f t="shared" si="26"/>
        <v>0</v>
      </c>
      <c r="BD75" s="1949">
        <v>123</v>
      </c>
      <c r="BE75" s="1948">
        <v>49.919999999999995</v>
      </c>
      <c r="BF75" s="1949">
        <v>98.4</v>
      </c>
      <c r="BG75" s="1949">
        <v>0.63200000000000001</v>
      </c>
      <c r="BH75" s="1949">
        <v>21.01</v>
      </c>
      <c r="BI75" s="1948">
        <v>7802</v>
      </c>
      <c r="BJ75" s="1948">
        <f t="shared" si="27"/>
        <v>22284</v>
      </c>
      <c r="BK75" s="1948">
        <f t="shared" si="28"/>
        <v>0</v>
      </c>
    </row>
    <row r="76" spans="1:63" ht="15">
      <c r="A76" s="1946">
        <v>126000000036</v>
      </c>
      <c r="B76" s="1947">
        <f t="shared" si="29"/>
        <v>70</v>
      </c>
      <c r="C76" s="1906" t="s">
        <v>2970</v>
      </c>
      <c r="D76" s="1907" t="s">
        <v>524</v>
      </c>
      <c r="E76" s="1906" t="s">
        <v>541</v>
      </c>
      <c r="F76" s="1948" t="s">
        <v>259</v>
      </c>
      <c r="G76" s="1949">
        <v>123</v>
      </c>
      <c r="H76" s="1948">
        <v>123</v>
      </c>
      <c r="I76" s="1950">
        <v>131.04</v>
      </c>
      <c r="J76" s="1948">
        <v>131.04</v>
      </c>
      <c r="K76" s="1948">
        <v>0.98970000000000002</v>
      </c>
      <c r="L76" s="1948">
        <v>48.18</v>
      </c>
      <c r="M76" s="1948">
        <v>45457</v>
      </c>
      <c r="N76" s="1948">
        <f t="shared" si="15"/>
        <v>56609</v>
      </c>
      <c r="O76" s="1948">
        <f t="shared" si="16"/>
        <v>0</v>
      </c>
      <c r="P76" s="1948">
        <v>123</v>
      </c>
      <c r="Q76" s="1948">
        <v>138.72</v>
      </c>
      <c r="R76" s="1948">
        <v>138.72</v>
      </c>
      <c r="S76" s="1948">
        <v>0.99019999999999997</v>
      </c>
      <c r="T76" s="1948">
        <v>45.85</v>
      </c>
      <c r="U76" s="1948">
        <v>47317</v>
      </c>
      <c r="V76" s="1948">
        <f t="shared" si="17"/>
        <v>61925</v>
      </c>
      <c r="W76" s="1948">
        <f t="shared" si="18"/>
        <v>0</v>
      </c>
      <c r="X76" s="1948">
        <v>123</v>
      </c>
      <c r="Y76" s="1948">
        <v>127.2</v>
      </c>
      <c r="Z76" s="1948">
        <v>127.2</v>
      </c>
      <c r="AA76" s="1948">
        <v>0.97089999999999999</v>
      </c>
      <c r="AB76" s="1948">
        <v>41.82</v>
      </c>
      <c r="AC76" s="1948">
        <v>38298</v>
      </c>
      <c r="AD76" s="1948">
        <f t="shared" si="19"/>
        <v>54950</v>
      </c>
      <c r="AE76" s="1948">
        <f t="shared" si="20"/>
        <v>0</v>
      </c>
      <c r="AF76" s="1948">
        <v>123</v>
      </c>
      <c r="AG76" s="1948">
        <v>159.04</v>
      </c>
      <c r="AH76" s="1948">
        <v>159.04</v>
      </c>
      <c r="AI76" s="1948">
        <v>0.98680000000000001</v>
      </c>
      <c r="AJ76" s="1948">
        <v>38.26</v>
      </c>
      <c r="AK76" s="1948">
        <v>45268</v>
      </c>
      <c r="AL76" s="1948">
        <f t="shared" si="21"/>
        <v>70995</v>
      </c>
      <c r="AM76" s="1948">
        <f t="shared" si="22"/>
        <v>0</v>
      </c>
      <c r="AN76" s="1948">
        <v>123</v>
      </c>
      <c r="AO76" s="1948">
        <v>174.72</v>
      </c>
      <c r="AP76" s="1948">
        <v>174.72</v>
      </c>
      <c r="AQ76" s="1948">
        <v>0.96189999999999998</v>
      </c>
      <c r="AR76" s="1948">
        <v>44.91</v>
      </c>
      <c r="AS76" s="1948">
        <v>58379</v>
      </c>
      <c r="AT76" s="1948">
        <f t="shared" si="23"/>
        <v>77995</v>
      </c>
      <c r="AU76" s="1948">
        <f t="shared" si="24"/>
        <v>0</v>
      </c>
      <c r="AV76" s="1948">
        <v>123</v>
      </c>
      <c r="AW76" s="1948">
        <v>169.52</v>
      </c>
      <c r="AX76" s="1948">
        <v>169.52</v>
      </c>
      <c r="AY76" s="1948">
        <v>0.9204</v>
      </c>
      <c r="AZ76" s="1948">
        <v>42.57</v>
      </c>
      <c r="BA76" s="1948">
        <v>51961</v>
      </c>
      <c r="BB76" s="1948">
        <f t="shared" si="25"/>
        <v>73233</v>
      </c>
      <c r="BC76" s="1948">
        <f t="shared" si="26"/>
        <v>0</v>
      </c>
      <c r="BD76" s="1949">
        <v>123</v>
      </c>
      <c r="BE76" s="1948">
        <v>126.47999999999999</v>
      </c>
      <c r="BF76" s="1949">
        <v>126.48</v>
      </c>
      <c r="BG76" s="1949">
        <v>0.94910000000000005</v>
      </c>
      <c r="BH76" s="1949">
        <v>46.51</v>
      </c>
      <c r="BI76" s="1948">
        <v>43762</v>
      </c>
      <c r="BJ76" s="1948">
        <f t="shared" si="27"/>
        <v>56461</v>
      </c>
      <c r="BK76" s="1948">
        <f t="shared" si="28"/>
        <v>0</v>
      </c>
    </row>
    <row r="77" spans="1:63" ht="15">
      <c r="A77" s="1946">
        <v>126000000054</v>
      </c>
      <c r="B77" s="1947">
        <f t="shared" si="29"/>
        <v>71</v>
      </c>
      <c r="C77" s="1906" t="s">
        <v>2967</v>
      </c>
      <c r="D77" s="1907" t="s">
        <v>524</v>
      </c>
      <c r="E77" s="1906" t="s">
        <v>541</v>
      </c>
      <c r="F77" s="1948" t="s">
        <v>259</v>
      </c>
      <c r="G77" s="1949">
        <v>123</v>
      </c>
      <c r="H77" s="1948">
        <v>123</v>
      </c>
      <c r="I77" s="1950">
        <v>71.760000000000005</v>
      </c>
      <c r="J77" s="1948">
        <v>98.4</v>
      </c>
      <c r="K77" s="1948">
        <v>0.98939999999999995</v>
      </c>
      <c r="L77" s="1948">
        <v>22.96</v>
      </c>
      <c r="M77" s="1948">
        <v>11862</v>
      </c>
      <c r="N77" s="1948">
        <f t="shared" si="15"/>
        <v>31000</v>
      </c>
      <c r="O77" s="1948">
        <f t="shared" si="16"/>
        <v>0</v>
      </c>
      <c r="P77" s="1948">
        <v>123</v>
      </c>
      <c r="Q77" s="1948">
        <v>64.239999999999995</v>
      </c>
      <c r="R77" s="1948">
        <v>98.4</v>
      </c>
      <c r="S77" s="1948">
        <v>0.99329999999999996</v>
      </c>
      <c r="T77" s="1948">
        <v>20.38</v>
      </c>
      <c r="U77" s="1948">
        <v>9740</v>
      </c>
      <c r="V77" s="1948">
        <f t="shared" si="17"/>
        <v>28677</v>
      </c>
      <c r="W77" s="1948">
        <f t="shared" si="18"/>
        <v>0</v>
      </c>
      <c r="X77" s="1948">
        <v>123</v>
      </c>
      <c r="Y77" s="1948">
        <v>68.8</v>
      </c>
      <c r="Z77" s="1948">
        <v>98.4</v>
      </c>
      <c r="AA77" s="1948">
        <v>0.98740000000000006</v>
      </c>
      <c r="AB77" s="1948">
        <v>12.74</v>
      </c>
      <c r="AC77" s="1948">
        <v>6313</v>
      </c>
      <c r="AD77" s="1948">
        <f t="shared" si="19"/>
        <v>29722</v>
      </c>
      <c r="AE77" s="1948">
        <f t="shared" si="20"/>
        <v>0</v>
      </c>
      <c r="AF77" s="1948">
        <v>123</v>
      </c>
      <c r="AG77" s="1948">
        <v>82.88</v>
      </c>
      <c r="AH77" s="1948">
        <v>98.4</v>
      </c>
      <c r="AI77" s="1948">
        <v>0.98919999999999997</v>
      </c>
      <c r="AJ77" s="1948">
        <v>19.079999999999998</v>
      </c>
      <c r="AK77" s="1948">
        <v>11765</v>
      </c>
      <c r="AL77" s="1948">
        <f t="shared" si="21"/>
        <v>36998</v>
      </c>
      <c r="AM77" s="1948">
        <f t="shared" si="22"/>
        <v>0</v>
      </c>
      <c r="AN77" s="1948">
        <v>123</v>
      </c>
      <c r="AO77" s="1948">
        <v>94.08</v>
      </c>
      <c r="AP77" s="1948">
        <v>98.4</v>
      </c>
      <c r="AQ77" s="1948">
        <v>0.93979999999999997</v>
      </c>
      <c r="AR77" s="1948">
        <v>16.100000000000001</v>
      </c>
      <c r="AS77" s="1948">
        <v>11269</v>
      </c>
      <c r="AT77" s="1948">
        <f t="shared" si="23"/>
        <v>41997</v>
      </c>
      <c r="AU77" s="1948">
        <f t="shared" si="24"/>
        <v>0</v>
      </c>
      <c r="AV77" s="1948">
        <v>123</v>
      </c>
      <c r="AW77" s="1948">
        <v>79.2</v>
      </c>
      <c r="AX77" s="1948">
        <v>98.4</v>
      </c>
      <c r="AY77" s="1948">
        <v>0.92889999999999995</v>
      </c>
      <c r="AZ77" s="1948">
        <v>15.91</v>
      </c>
      <c r="BA77" s="1948">
        <v>9070</v>
      </c>
      <c r="BB77" s="1948">
        <f t="shared" si="25"/>
        <v>34214</v>
      </c>
      <c r="BC77" s="1948">
        <f t="shared" si="26"/>
        <v>0</v>
      </c>
      <c r="BD77" s="1949">
        <v>123</v>
      </c>
      <c r="BE77" s="1948">
        <v>92.88</v>
      </c>
      <c r="BF77" s="1949">
        <v>98.4</v>
      </c>
      <c r="BG77" s="1949">
        <v>0.83730000000000004</v>
      </c>
      <c r="BH77" s="1949">
        <v>11.77</v>
      </c>
      <c r="BI77" s="1948">
        <v>8130</v>
      </c>
      <c r="BJ77" s="1948">
        <f t="shared" si="27"/>
        <v>41462</v>
      </c>
      <c r="BK77" s="1948">
        <f t="shared" si="28"/>
        <v>0</v>
      </c>
    </row>
    <row r="78" spans="1:63" ht="15">
      <c r="A78" s="1946">
        <v>613000000028</v>
      </c>
      <c r="B78" s="1947">
        <f t="shared" si="29"/>
        <v>72</v>
      </c>
      <c r="C78" s="1906" t="s">
        <v>2971</v>
      </c>
      <c r="D78" s="1907" t="s">
        <v>524</v>
      </c>
      <c r="E78" s="1906" t="s">
        <v>636</v>
      </c>
      <c r="F78" s="1948" t="s">
        <v>259</v>
      </c>
      <c r="G78" s="1949">
        <v>123</v>
      </c>
      <c r="H78" s="1948">
        <v>123</v>
      </c>
      <c r="I78" s="1950">
        <v>16.8</v>
      </c>
      <c r="J78" s="1948">
        <v>98.4</v>
      </c>
      <c r="K78" s="1948">
        <v>1</v>
      </c>
      <c r="L78" s="1948">
        <v>53.99</v>
      </c>
      <c r="M78" s="1948">
        <v>6531</v>
      </c>
      <c r="N78" s="1948">
        <f t="shared" si="15"/>
        <v>7258</v>
      </c>
      <c r="O78" s="1948">
        <f t="shared" si="16"/>
        <v>0</v>
      </c>
      <c r="P78" s="1948">
        <v>123</v>
      </c>
      <c r="Q78" s="1948">
        <v>16.559999999999999</v>
      </c>
      <c r="R78" s="1948">
        <v>98.4</v>
      </c>
      <c r="S78" s="1948">
        <v>1</v>
      </c>
      <c r="T78" s="1948">
        <v>54.86</v>
      </c>
      <c r="U78" s="1948">
        <v>6759</v>
      </c>
      <c r="V78" s="1948">
        <f t="shared" si="17"/>
        <v>7392</v>
      </c>
      <c r="W78" s="1948">
        <f t="shared" si="18"/>
        <v>0</v>
      </c>
      <c r="X78" s="1948">
        <v>123</v>
      </c>
      <c r="Y78" s="1948">
        <v>20.64</v>
      </c>
      <c r="Z78" s="1948">
        <v>98.4</v>
      </c>
      <c r="AA78" s="1948">
        <v>1</v>
      </c>
      <c r="AB78" s="1948">
        <v>50.73</v>
      </c>
      <c r="AC78" s="1948">
        <v>7539</v>
      </c>
      <c r="AD78" s="1948">
        <f t="shared" si="19"/>
        <v>8916</v>
      </c>
      <c r="AE78" s="1948">
        <f t="shared" si="20"/>
        <v>0</v>
      </c>
      <c r="AF78" s="1948">
        <v>123</v>
      </c>
      <c r="AG78" s="1948">
        <v>20.64</v>
      </c>
      <c r="AH78" s="1948">
        <v>98.4</v>
      </c>
      <c r="AI78" s="1948">
        <v>1</v>
      </c>
      <c r="AJ78" s="1948">
        <v>54.78</v>
      </c>
      <c r="AK78" s="1948">
        <v>8412</v>
      </c>
      <c r="AL78" s="1948">
        <f t="shared" si="21"/>
        <v>9214</v>
      </c>
      <c r="AM78" s="1948">
        <f t="shared" si="22"/>
        <v>0</v>
      </c>
      <c r="AN78" s="1948">
        <v>123</v>
      </c>
      <c r="AO78" s="1948">
        <v>27.119999999999997</v>
      </c>
      <c r="AP78" s="1948">
        <v>98.4</v>
      </c>
      <c r="AQ78" s="1948">
        <v>1</v>
      </c>
      <c r="AR78" s="1948">
        <v>51.95</v>
      </c>
      <c r="AS78" s="1948">
        <v>10482</v>
      </c>
      <c r="AT78" s="1948">
        <f t="shared" si="23"/>
        <v>12106</v>
      </c>
      <c r="AU78" s="1948">
        <f t="shared" si="24"/>
        <v>0</v>
      </c>
      <c r="AV78" s="1948">
        <v>123</v>
      </c>
      <c r="AW78" s="1948">
        <v>33.119999999999997</v>
      </c>
      <c r="AX78" s="1948">
        <v>98.4</v>
      </c>
      <c r="AY78" s="1948">
        <v>0.99970000000000003</v>
      </c>
      <c r="AZ78" s="1948">
        <v>54.03</v>
      </c>
      <c r="BA78" s="1948">
        <v>12885</v>
      </c>
      <c r="BB78" s="1948">
        <f t="shared" si="25"/>
        <v>14308</v>
      </c>
      <c r="BC78" s="1948">
        <f t="shared" si="26"/>
        <v>0</v>
      </c>
      <c r="BD78" s="1949">
        <v>123</v>
      </c>
      <c r="BE78" s="1948">
        <v>26.88</v>
      </c>
      <c r="BF78" s="1949">
        <v>98.4</v>
      </c>
      <c r="BG78" s="1949">
        <v>1.0002</v>
      </c>
      <c r="BH78" s="1949">
        <v>55.91</v>
      </c>
      <c r="BI78" s="1948">
        <v>11181</v>
      </c>
      <c r="BJ78" s="1948">
        <f t="shared" si="27"/>
        <v>11999</v>
      </c>
      <c r="BK78" s="1948">
        <f t="shared" si="28"/>
        <v>0</v>
      </c>
    </row>
    <row r="79" spans="1:63" ht="15">
      <c r="A79" s="1946">
        <v>622000000158</v>
      </c>
      <c r="B79" s="1947">
        <f t="shared" si="29"/>
        <v>73</v>
      </c>
      <c r="C79" s="1906" t="s">
        <v>2972</v>
      </c>
      <c r="D79" s="1907" t="s">
        <v>524</v>
      </c>
      <c r="E79" s="1906" t="s">
        <v>629</v>
      </c>
      <c r="F79" s="1948" t="s">
        <v>259</v>
      </c>
      <c r="G79" s="1949">
        <v>123</v>
      </c>
      <c r="H79" s="1948">
        <v>123</v>
      </c>
      <c r="I79" s="1950">
        <v>35.76</v>
      </c>
      <c r="J79" s="1948">
        <v>123</v>
      </c>
      <c r="K79" s="1948">
        <v>0.98150000000000004</v>
      </c>
      <c r="L79" s="1948">
        <v>0</v>
      </c>
      <c r="M79" s="1948">
        <v>11829</v>
      </c>
      <c r="N79" s="1948">
        <f t="shared" si="15"/>
        <v>15448</v>
      </c>
      <c r="O79" s="1948">
        <f t="shared" si="16"/>
        <v>0</v>
      </c>
      <c r="P79" s="1948">
        <v>123</v>
      </c>
      <c r="Q79" s="1948">
        <v>52.88</v>
      </c>
      <c r="R79" s="1948">
        <v>123</v>
      </c>
      <c r="S79" s="1948">
        <v>0.98150000000000004</v>
      </c>
      <c r="T79" s="1948">
        <v>0</v>
      </c>
      <c r="U79" s="1948">
        <v>15038</v>
      </c>
      <c r="V79" s="1948">
        <f t="shared" si="17"/>
        <v>23606</v>
      </c>
      <c r="W79" s="1948">
        <f t="shared" si="18"/>
        <v>0</v>
      </c>
      <c r="X79" s="1948">
        <v>123</v>
      </c>
      <c r="Y79" s="1948">
        <v>62.32</v>
      </c>
      <c r="Z79" s="1948">
        <v>123</v>
      </c>
      <c r="AA79" s="1948">
        <v>0.9849</v>
      </c>
      <c r="AB79" s="1948">
        <v>0</v>
      </c>
      <c r="AC79" s="1948">
        <v>17251</v>
      </c>
      <c r="AD79" s="1948">
        <f t="shared" si="19"/>
        <v>26922</v>
      </c>
      <c r="AE79" s="1948">
        <f t="shared" si="20"/>
        <v>0</v>
      </c>
      <c r="AF79" s="1948">
        <v>123</v>
      </c>
      <c r="AG79" s="1948">
        <v>39.92</v>
      </c>
      <c r="AH79" s="1948">
        <v>123</v>
      </c>
      <c r="AI79" s="1948">
        <v>0.98119999999999996</v>
      </c>
      <c r="AJ79" s="1948">
        <v>0</v>
      </c>
      <c r="AK79" s="1948">
        <v>12829</v>
      </c>
      <c r="AL79" s="1948">
        <f t="shared" si="21"/>
        <v>17820</v>
      </c>
      <c r="AM79" s="1948">
        <f t="shared" si="22"/>
        <v>0</v>
      </c>
      <c r="AN79" s="1948">
        <v>123</v>
      </c>
      <c r="AO79" s="1948">
        <v>30</v>
      </c>
      <c r="AP79" s="1948">
        <v>123</v>
      </c>
      <c r="AQ79" s="1948">
        <v>0.98450000000000004</v>
      </c>
      <c r="AR79" s="1948">
        <v>0</v>
      </c>
      <c r="AS79" s="1948">
        <v>10880</v>
      </c>
      <c r="AT79" s="1948">
        <f t="shared" si="23"/>
        <v>13392</v>
      </c>
      <c r="AU79" s="1948">
        <f t="shared" si="24"/>
        <v>0</v>
      </c>
      <c r="AV79" s="1948">
        <v>123</v>
      </c>
      <c r="AW79" s="1948">
        <v>32.24</v>
      </c>
      <c r="AX79" s="1948">
        <v>123</v>
      </c>
      <c r="AY79" s="1948">
        <v>0.98399999999999999</v>
      </c>
      <c r="AZ79" s="1948">
        <v>0</v>
      </c>
      <c r="BA79" s="1948">
        <v>11782</v>
      </c>
      <c r="BB79" s="1948">
        <f t="shared" si="25"/>
        <v>13928</v>
      </c>
      <c r="BC79" s="1948">
        <f t="shared" si="26"/>
        <v>0</v>
      </c>
      <c r="BD79" s="1949">
        <v>123</v>
      </c>
      <c r="BE79" s="1948">
        <v>32.879999999999995</v>
      </c>
      <c r="BF79" s="1949">
        <v>123</v>
      </c>
      <c r="BG79" s="1949">
        <v>0.98180000000000001</v>
      </c>
      <c r="BH79" s="1949">
        <v>0</v>
      </c>
      <c r="BI79" s="1948">
        <v>10105</v>
      </c>
      <c r="BJ79" s="1948">
        <f t="shared" si="27"/>
        <v>14678</v>
      </c>
      <c r="BK79" s="1948">
        <f t="shared" si="28"/>
        <v>0</v>
      </c>
    </row>
    <row r="80" spans="1:63" ht="15">
      <c r="A80" s="1946">
        <v>123000000072</v>
      </c>
      <c r="B80" s="1947">
        <f t="shared" si="29"/>
        <v>74</v>
      </c>
      <c r="C80" s="1906" t="s">
        <v>2973</v>
      </c>
      <c r="D80" s="1907" t="s">
        <v>524</v>
      </c>
      <c r="E80" s="1906" t="s">
        <v>541</v>
      </c>
      <c r="F80" s="1948" t="s">
        <v>259</v>
      </c>
      <c r="G80" s="1949">
        <v>123.6</v>
      </c>
      <c r="H80" s="1948">
        <v>123.6</v>
      </c>
      <c r="I80" s="1950">
        <v>108.96</v>
      </c>
      <c r="J80" s="1948">
        <v>108.96</v>
      </c>
      <c r="K80" s="1948">
        <v>0.5494</v>
      </c>
      <c r="L80" s="1948">
        <v>7.91</v>
      </c>
      <c r="M80" s="1948">
        <v>6001</v>
      </c>
      <c r="N80" s="1948">
        <f t="shared" si="15"/>
        <v>47071</v>
      </c>
      <c r="O80" s="1948">
        <f t="shared" si="16"/>
        <v>0</v>
      </c>
      <c r="P80" s="1948">
        <v>123.6</v>
      </c>
      <c r="Q80" s="1948">
        <v>79.12</v>
      </c>
      <c r="R80" s="1948">
        <v>98.88</v>
      </c>
      <c r="S80" s="1948">
        <v>0.55559999999999998</v>
      </c>
      <c r="T80" s="1948">
        <v>10.039999999999999</v>
      </c>
      <c r="U80" s="1948">
        <v>6672</v>
      </c>
      <c r="V80" s="1948">
        <f t="shared" si="17"/>
        <v>35319</v>
      </c>
      <c r="W80" s="1948">
        <f t="shared" si="18"/>
        <v>0</v>
      </c>
      <c r="X80" s="1948">
        <v>123.6</v>
      </c>
      <c r="Y80" s="1948">
        <v>84.32</v>
      </c>
      <c r="Z80" s="1948">
        <v>98.88</v>
      </c>
      <c r="AA80" s="1948">
        <v>0.56040000000000001</v>
      </c>
      <c r="AB80" s="1948">
        <v>9.14</v>
      </c>
      <c r="AC80" s="1948">
        <v>5551</v>
      </c>
      <c r="AD80" s="1948">
        <f t="shared" si="19"/>
        <v>36426</v>
      </c>
      <c r="AE80" s="1948">
        <f t="shared" si="20"/>
        <v>0</v>
      </c>
      <c r="AF80" s="1948">
        <v>123.6</v>
      </c>
      <c r="AG80" s="1948">
        <v>121.36</v>
      </c>
      <c r="AH80" s="1948">
        <v>121.36</v>
      </c>
      <c r="AI80" s="1948">
        <v>0.58440000000000003</v>
      </c>
      <c r="AJ80" s="1948">
        <v>12.36</v>
      </c>
      <c r="AK80" s="1948">
        <v>11164</v>
      </c>
      <c r="AL80" s="1948">
        <f t="shared" si="21"/>
        <v>54175</v>
      </c>
      <c r="AM80" s="1948">
        <f t="shared" si="22"/>
        <v>0</v>
      </c>
      <c r="AN80" s="1948">
        <v>123.6</v>
      </c>
      <c r="AO80" s="1948">
        <v>120.32000000000001</v>
      </c>
      <c r="AP80" s="1948">
        <v>120.32</v>
      </c>
      <c r="AQ80" s="1948">
        <v>0.56679999999999997</v>
      </c>
      <c r="AR80" s="1948">
        <v>9.34</v>
      </c>
      <c r="AS80" s="1948">
        <v>8358</v>
      </c>
      <c r="AT80" s="1948">
        <f t="shared" si="23"/>
        <v>53711</v>
      </c>
      <c r="AU80" s="1948">
        <f t="shared" si="24"/>
        <v>0</v>
      </c>
      <c r="AV80" s="1948">
        <v>123.6</v>
      </c>
      <c r="AW80" s="1948">
        <v>126</v>
      </c>
      <c r="AX80" s="1948">
        <v>126</v>
      </c>
      <c r="AY80" s="1948">
        <v>0.5464</v>
      </c>
      <c r="AZ80" s="1948">
        <v>7.22</v>
      </c>
      <c r="BA80" s="1948">
        <v>6550</v>
      </c>
      <c r="BB80" s="1948">
        <f t="shared" si="25"/>
        <v>54432</v>
      </c>
      <c r="BC80" s="1948">
        <f t="shared" si="26"/>
        <v>0</v>
      </c>
      <c r="BD80" s="1949">
        <v>123.6</v>
      </c>
      <c r="BE80" s="1948">
        <v>89.92</v>
      </c>
      <c r="BF80" s="1949">
        <v>98.88</v>
      </c>
      <c r="BG80" s="1949">
        <v>0.48820000000000002</v>
      </c>
      <c r="BH80" s="1949">
        <v>6.37</v>
      </c>
      <c r="BI80" s="1948">
        <v>4262</v>
      </c>
      <c r="BJ80" s="1948">
        <f t="shared" si="27"/>
        <v>40140</v>
      </c>
      <c r="BK80" s="1948">
        <f t="shared" si="28"/>
        <v>0</v>
      </c>
    </row>
    <row r="81" spans="1:63" ht="15">
      <c r="A81" s="1946">
        <v>123000000126</v>
      </c>
      <c r="B81" s="1947">
        <f t="shared" si="29"/>
        <v>75</v>
      </c>
      <c r="C81" s="1906" t="s">
        <v>2974</v>
      </c>
      <c r="D81" s="1907" t="s">
        <v>524</v>
      </c>
      <c r="E81" s="1906" t="s">
        <v>541</v>
      </c>
      <c r="F81" s="1948" t="s">
        <v>259</v>
      </c>
      <c r="G81" s="1949">
        <v>125</v>
      </c>
      <c r="H81" s="1948">
        <v>125</v>
      </c>
      <c r="I81" s="1950">
        <v>110</v>
      </c>
      <c r="J81" s="1948">
        <v>110</v>
      </c>
      <c r="K81" s="1948">
        <v>0.94889999999999997</v>
      </c>
      <c r="L81" s="1948">
        <v>21.44</v>
      </c>
      <c r="M81" s="1948">
        <v>14153</v>
      </c>
      <c r="N81" s="1948">
        <f t="shared" si="15"/>
        <v>47520</v>
      </c>
      <c r="O81" s="1948">
        <f t="shared" si="16"/>
        <v>0</v>
      </c>
      <c r="P81" s="1948">
        <v>125</v>
      </c>
      <c r="Q81" s="1948">
        <v>100.428</v>
      </c>
      <c r="R81" s="1948">
        <v>100.43</v>
      </c>
      <c r="S81" s="1948">
        <v>0.96919999999999995</v>
      </c>
      <c r="T81" s="1948">
        <v>21.09</v>
      </c>
      <c r="U81" s="1948">
        <v>18297</v>
      </c>
      <c r="V81" s="1948">
        <f t="shared" si="17"/>
        <v>44831</v>
      </c>
      <c r="W81" s="1948">
        <f t="shared" si="18"/>
        <v>0</v>
      </c>
      <c r="X81" s="1948">
        <v>125</v>
      </c>
      <c r="Y81" s="1948">
        <v>107.72</v>
      </c>
      <c r="Z81" s="1948">
        <v>107.72</v>
      </c>
      <c r="AA81" s="1948">
        <v>0.98060000000000003</v>
      </c>
      <c r="AB81" s="1948">
        <v>16.75</v>
      </c>
      <c r="AC81" s="1948">
        <v>12988</v>
      </c>
      <c r="AD81" s="1948">
        <f t="shared" si="19"/>
        <v>46535</v>
      </c>
      <c r="AE81" s="1948">
        <f t="shared" si="20"/>
        <v>0</v>
      </c>
      <c r="AF81" s="1948">
        <v>125</v>
      </c>
      <c r="AG81" s="1948">
        <v>101.02160000000001</v>
      </c>
      <c r="AH81" s="1948">
        <v>101.02</v>
      </c>
      <c r="AI81" s="1948">
        <v>0.80859999999999999</v>
      </c>
      <c r="AJ81" s="1948">
        <v>9.9499999999999993</v>
      </c>
      <c r="AK81" s="1948">
        <v>7482</v>
      </c>
      <c r="AL81" s="1948">
        <f t="shared" si="21"/>
        <v>45096</v>
      </c>
      <c r="AM81" s="1948">
        <f t="shared" si="22"/>
        <v>0</v>
      </c>
      <c r="AN81" s="1948">
        <v>125</v>
      </c>
      <c r="AO81" s="1948">
        <v>116.25839999999999</v>
      </c>
      <c r="AP81" s="1948">
        <v>116.26</v>
      </c>
      <c r="AQ81" s="1948">
        <v>0.65210000000000001</v>
      </c>
      <c r="AR81" s="1948">
        <v>12.19</v>
      </c>
      <c r="AS81" s="1948">
        <v>10544</v>
      </c>
      <c r="AT81" s="1948">
        <f t="shared" si="23"/>
        <v>51898</v>
      </c>
      <c r="AU81" s="1948">
        <f t="shared" si="24"/>
        <v>0</v>
      </c>
      <c r="AV81" s="1948">
        <v>125</v>
      </c>
      <c r="AW81" s="1948">
        <v>85.772000000000006</v>
      </c>
      <c r="AX81" s="1948">
        <v>100</v>
      </c>
      <c r="AY81" s="1948">
        <v>0.83709999999999996</v>
      </c>
      <c r="AZ81" s="1948">
        <v>6.66</v>
      </c>
      <c r="BA81" s="1948">
        <v>4114</v>
      </c>
      <c r="BB81" s="1948">
        <f t="shared" si="25"/>
        <v>37054</v>
      </c>
      <c r="BC81" s="1948">
        <f t="shared" si="26"/>
        <v>0</v>
      </c>
      <c r="BD81" s="1949">
        <v>125</v>
      </c>
      <c r="BE81" s="1948">
        <v>105.688</v>
      </c>
      <c r="BF81" s="1949">
        <v>105.69</v>
      </c>
      <c r="BG81" s="1949">
        <v>0.99260000000000004</v>
      </c>
      <c r="BH81" s="1949">
        <v>8.68</v>
      </c>
      <c r="BI81" s="1948">
        <v>6826</v>
      </c>
      <c r="BJ81" s="1948">
        <f t="shared" si="27"/>
        <v>47179</v>
      </c>
      <c r="BK81" s="1948">
        <f t="shared" si="28"/>
        <v>0</v>
      </c>
    </row>
    <row r="82" spans="1:63" ht="15">
      <c r="A82" s="1946">
        <v>123000000131</v>
      </c>
      <c r="B82" s="1947">
        <f t="shared" si="29"/>
        <v>76</v>
      </c>
      <c r="C82" s="1906" t="s">
        <v>2975</v>
      </c>
      <c r="D82" s="1907" t="s">
        <v>524</v>
      </c>
      <c r="E82" s="1906" t="s">
        <v>2966</v>
      </c>
      <c r="F82" s="1948" t="s">
        <v>259</v>
      </c>
      <c r="G82" s="1949">
        <v>125</v>
      </c>
      <c r="H82" s="1948">
        <v>125</v>
      </c>
      <c r="I82" s="1950">
        <v>131.28</v>
      </c>
      <c r="J82" s="1948">
        <v>131.28</v>
      </c>
      <c r="K82" s="1948">
        <v>0.62570000000000003</v>
      </c>
      <c r="L82" s="1948">
        <v>0</v>
      </c>
      <c r="M82" s="1948">
        <v>39754</v>
      </c>
      <c r="N82" s="1948">
        <f t="shared" si="15"/>
        <v>56713</v>
      </c>
      <c r="O82" s="1948">
        <f t="shared" si="16"/>
        <v>0</v>
      </c>
      <c r="P82" s="1948">
        <v>125</v>
      </c>
      <c r="Q82" s="1948">
        <v>121.12</v>
      </c>
      <c r="R82" s="1948">
        <v>125</v>
      </c>
      <c r="S82" s="1948">
        <v>0.61119999999999997</v>
      </c>
      <c r="T82" s="1948">
        <v>0</v>
      </c>
      <c r="U82" s="1948">
        <v>23563</v>
      </c>
      <c r="V82" s="1948">
        <f t="shared" si="17"/>
        <v>54068</v>
      </c>
      <c r="W82" s="1948">
        <f t="shared" si="18"/>
        <v>0</v>
      </c>
      <c r="X82" s="1948">
        <v>125</v>
      </c>
      <c r="Y82" s="1948">
        <v>126</v>
      </c>
      <c r="Z82" s="1948">
        <v>126</v>
      </c>
      <c r="AA82" s="1948">
        <v>0.62739999999999996</v>
      </c>
      <c r="AB82" s="1948">
        <v>0</v>
      </c>
      <c r="AC82" s="1948">
        <v>30374</v>
      </c>
      <c r="AD82" s="1948">
        <f t="shared" si="19"/>
        <v>54432</v>
      </c>
      <c r="AE82" s="1948">
        <f t="shared" si="20"/>
        <v>0</v>
      </c>
      <c r="AF82" s="1948">
        <v>125</v>
      </c>
      <c r="AG82" s="1948">
        <v>83.84</v>
      </c>
      <c r="AH82" s="1948">
        <v>125</v>
      </c>
      <c r="AI82" s="1948">
        <v>0.73680000000000001</v>
      </c>
      <c r="AJ82" s="1948">
        <v>0</v>
      </c>
      <c r="AK82" s="1948">
        <v>13253</v>
      </c>
      <c r="AL82" s="1948">
        <f t="shared" si="21"/>
        <v>37426</v>
      </c>
      <c r="AM82" s="1948">
        <f t="shared" si="22"/>
        <v>0</v>
      </c>
      <c r="AN82" s="1948">
        <v>125</v>
      </c>
      <c r="AO82" s="1948">
        <v>15.76</v>
      </c>
      <c r="AP82" s="1948">
        <v>125</v>
      </c>
      <c r="AQ82" s="1948">
        <v>0.87580000000000002</v>
      </c>
      <c r="AR82" s="1948">
        <v>0</v>
      </c>
      <c r="AS82" s="1948">
        <v>1982</v>
      </c>
      <c r="AT82" s="1948">
        <f t="shared" si="23"/>
        <v>7035</v>
      </c>
      <c r="AU82" s="1948">
        <f t="shared" si="24"/>
        <v>0</v>
      </c>
      <c r="AV82" s="1948">
        <v>125</v>
      </c>
      <c r="AW82" s="1948">
        <v>9.0399999999999991</v>
      </c>
      <c r="AX82" s="1948">
        <v>125</v>
      </c>
      <c r="AY82" s="1948">
        <v>0.8478</v>
      </c>
      <c r="AZ82" s="1948">
        <v>0</v>
      </c>
      <c r="BA82" s="1948">
        <v>1393</v>
      </c>
      <c r="BB82" s="1948">
        <f t="shared" si="25"/>
        <v>3905</v>
      </c>
      <c r="BC82" s="1948">
        <f t="shared" si="26"/>
        <v>0</v>
      </c>
      <c r="BD82" s="1949">
        <v>125</v>
      </c>
      <c r="BE82" s="1948">
        <v>7.5200000000000005</v>
      </c>
      <c r="BF82" s="1949">
        <v>125</v>
      </c>
      <c r="BG82" s="1949">
        <v>0.92369999999999997</v>
      </c>
      <c r="BH82" s="1949">
        <v>0</v>
      </c>
      <c r="BI82" s="1948">
        <v>1180</v>
      </c>
      <c r="BJ82" s="1948">
        <f t="shared" si="27"/>
        <v>3357</v>
      </c>
      <c r="BK82" s="1948">
        <f t="shared" si="28"/>
        <v>0</v>
      </c>
    </row>
    <row r="83" spans="1:63" ht="15">
      <c r="A83" s="1946">
        <v>121000000055</v>
      </c>
      <c r="B83" s="1947">
        <f t="shared" si="29"/>
        <v>77</v>
      </c>
      <c r="C83" s="1906" t="s">
        <v>2976</v>
      </c>
      <c r="D83" s="1907" t="s">
        <v>524</v>
      </c>
      <c r="E83" s="1906" t="s">
        <v>2966</v>
      </c>
      <c r="F83" s="1948" t="s">
        <v>259</v>
      </c>
      <c r="G83" s="1949">
        <v>125</v>
      </c>
      <c r="H83" s="1948">
        <v>125</v>
      </c>
      <c r="I83" s="1950">
        <v>131.84</v>
      </c>
      <c r="J83" s="1948">
        <v>131.84</v>
      </c>
      <c r="K83" s="1948">
        <v>0.85270000000000001</v>
      </c>
      <c r="L83" s="1948">
        <v>0</v>
      </c>
      <c r="M83" s="1948">
        <v>30917</v>
      </c>
      <c r="N83" s="1948">
        <f t="shared" si="15"/>
        <v>56955</v>
      </c>
      <c r="O83" s="1948">
        <f t="shared" si="16"/>
        <v>0</v>
      </c>
      <c r="P83" s="1948">
        <v>125</v>
      </c>
      <c r="Q83" s="1948">
        <v>154.07999999999998</v>
      </c>
      <c r="R83" s="1948">
        <v>154.08000000000001</v>
      </c>
      <c r="S83" s="1948">
        <v>0.85350000000000004</v>
      </c>
      <c r="T83" s="1948">
        <v>0</v>
      </c>
      <c r="U83" s="1948">
        <v>37385</v>
      </c>
      <c r="V83" s="1948">
        <f t="shared" si="17"/>
        <v>68781</v>
      </c>
      <c r="W83" s="1948">
        <f t="shared" si="18"/>
        <v>0</v>
      </c>
      <c r="X83" s="1948">
        <v>125</v>
      </c>
      <c r="Y83" s="1948">
        <v>146.80000000000001</v>
      </c>
      <c r="Z83" s="1948">
        <v>146.80000000000001</v>
      </c>
      <c r="AA83" s="1948">
        <v>0.84370000000000001</v>
      </c>
      <c r="AB83" s="1948">
        <v>0</v>
      </c>
      <c r="AC83" s="1948">
        <v>35391</v>
      </c>
      <c r="AD83" s="1948">
        <f t="shared" si="19"/>
        <v>63418</v>
      </c>
      <c r="AE83" s="1948">
        <f t="shared" si="20"/>
        <v>0</v>
      </c>
      <c r="AF83" s="1948">
        <v>125</v>
      </c>
      <c r="AG83" s="1948">
        <v>44.16</v>
      </c>
      <c r="AH83" s="1948">
        <v>125</v>
      </c>
      <c r="AI83" s="1948">
        <v>0.86140000000000005</v>
      </c>
      <c r="AJ83" s="1948">
        <v>0</v>
      </c>
      <c r="AK83" s="1948">
        <v>8300</v>
      </c>
      <c r="AL83" s="1948">
        <f t="shared" si="21"/>
        <v>19713</v>
      </c>
      <c r="AM83" s="1948">
        <f t="shared" si="22"/>
        <v>0</v>
      </c>
      <c r="AN83" s="1948">
        <v>125</v>
      </c>
      <c r="AO83" s="1948">
        <v>61.68</v>
      </c>
      <c r="AP83" s="1948">
        <v>125</v>
      </c>
      <c r="AQ83" s="1948">
        <v>0.83679999999999999</v>
      </c>
      <c r="AR83" s="1948">
        <v>0</v>
      </c>
      <c r="AS83" s="1948">
        <v>15772</v>
      </c>
      <c r="AT83" s="1948">
        <f t="shared" si="23"/>
        <v>27534</v>
      </c>
      <c r="AU83" s="1948">
        <f t="shared" si="24"/>
        <v>0</v>
      </c>
      <c r="AV83" s="1948">
        <v>125</v>
      </c>
      <c r="AW83" s="1948">
        <v>112.79999999999998</v>
      </c>
      <c r="AX83" s="1948">
        <v>125</v>
      </c>
      <c r="AY83" s="1948">
        <v>0.82250000000000001</v>
      </c>
      <c r="AZ83" s="1948">
        <v>0</v>
      </c>
      <c r="BA83" s="1948">
        <v>35517</v>
      </c>
      <c r="BB83" s="1948">
        <f t="shared" si="25"/>
        <v>48730</v>
      </c>
      <c r="BC83" s="1948">
        <f t="shared" si="26"/>
        <v>0</v>
      </c>
      <c r="BD83" s="1949">
        <v>125</v>
      </c>
      <c r="BE83" s="1948">
        <v>149.28</v>
      </c>
      <c r="BF83" s="1949">
        <v>149.28</v>
      </c>
      <c r="BG83" s="1949">
        <v>0.79810000000000003</v>
      </c>
      <c r="BH83" s="1949">
        <v>0</v>
      </c>
      <c r="BI83" s="1948">
        <v>40650</v>
      </c>
      <c r="BJ83" s="1948">
        <f t="shared" si="27"/>
        <v>66639</v>
      </c>
      <c r="BK83" s="1948">
        <f t="shared" si="28"/>
        <v>0</v>
      </c>
    </row>
    <row r="84" spans="1:63" ht="15">
      <c r="A84" s="1946">
        <v>615000000038</v>
      </c>
      <c r="B84" s="1947">
        <f t="shared" si="29"/>
        <v>78</v>
      </c>
      <c r="C84" s="1906" t="s">
        <v>2977</v>
      </c>
      <c r="D84" s="1907" t="s">
        <v>524</v>
      </c>
      <c r="E84" s="1906" t="s">
        <v>541</v>
      </c>
      <c r="F84" s="1948" t="s">
        <v>259</v>
      </c>
      <c r="G84" s="1949">
        <v>126</v>
      </c>
      <c r="H84" s="1948">
        <v>126</v>
      </c>
      <c r="I84" s="1950">
        <v>137.91999999999999</v>
      </c>
      <c r="J84" s="1948">
        <v>137.91999999999999</v>
      </c>
      <c r="K84" s="1948">
        <v>0.95979999999999999</v>
      </c>
      <c r="L84" s="1948">
        <v>16.84</v>
      </c>
      <c r="M84" s="1948">
        <v>16726</v>
      </c>
      <c r="N84" s="1948">
        <f t="shared" si="15"/>
        <v>59581</v>
      </c>
      <c r="O84" s="1948">
        <f t="shared" si="16"/>
        <v>0</v>
      </c>
      <c r="P84" s="1948">
        <v>126</v>
      </c>
      <c r="Q84" s="1948">
        <v>143.52000000000001</v>
      </c>
      <c r="R84" s="1948">
        <v>143.52000000000001</v>
      </c>
      <c r="S84" s="1948">
        <v>0.96220000000000006</v>
      </c>
      <c r="T84" s="1948">
        <v>17.350000000000001</v>
      </c>
      <c r="U84" s="1948">
        <v>18530</v>
      </c>
      <c r="V84" s="1948">
        <f t="shared" si="17"/>
        <v>64067</v>
      </c>
      <c r="W84" s="1948">
        <f t="shared" si="18"/>
        <v>0</v>
      </c>
      <c r="X84" s="1948">
        <v>126</v>
      </c>
      <c r="Y84" s="1948">
        <v>120.56</v>
      </c>
      <c r="Z84" s="1948">
        <v>120.56</v>
      </c>
      <c r="AA84" s="1948">
        <v>0.92930000000000001</v>
      </c>
      <c r="AB84" s="1948">
        <v>11.19</v>
      </c>
      <c r="AC84" s="1948">
        <v>9712</v>
      </c>
      <c r="AD84" s="1948">
        <f t="shared" si="19"/>
        <v>52082</v>
      </c>
      <c r="AE84" s="1948">
        <f t="shared" si="20"/>
        <v>0</v>
      </c>
      <c r="AF84" s="1948">
        <v>126</v>
      </c>
      <c r="AG84" s="1948">
        <v>134.16</v>
      </c>
      <c r="AH84" s="1948">
        <v>134.16</v>
      </c>
      <c r="AI84" s="1948">
        <v>0.93920000000000003</v>
      </c>
      <c r="AJ84" s="1948">
        <v>14.16</v>
      </c>
      <c r="AK84" s="1948">
        <v>14134</v>
      </c>
      <c r="AL84" s="1948">
        <f t="shared" si="21"/>
        <v>59889</v>
      </c>
      <c r="AM84" s="1948">
        <f t="shared" si="22"/>
        <v>0</v>
      </c>
      <c r="AN84" s="1948">
        <v>126</v>
      </c>
      <c r="AO84" s="1948">
        <v>98.72</v>
      </c>
      <c r="AP84" s="1948">
        <v>100.8</v>
      </c>
      <c r="AQ84" s="1948">
        <v>0.95209999999999995</v>
      </c>
      <c r="AR84" s="1948">
        <v>18.71</v>
      </c>
      <c r="AS84" s="1948">
        <v>13741</v>
      </c>
      <c r="AT84" s="1948">
        <f t="shared" si="23"/>
        <v>44069</v>
      </c>
      <c r="AU84" s="1948">
        <f t="shared" si="24"/>
        <v>0</v>
      </c>
      <c r="AV84" s="1948">
        <v>126</v>
      </c>
      <c r="AW84" s="1948">
        <v>104.4</v>
      </c>
      <c r="AX84" s="1948">
        <v>104.4</v>
      </c>
      <c r="AY84" s="1948">
        <v>0.93479999999999996</v>
      </c>
      <c r="AZ84" s="1948">
        <v>16.38</v>
      </c>
      <c r="BA84" s="1948">
        <v>12314</v>
      </c>
      <c r="BB84" s="1948">
        <f t="shared" si="25"/>
        <v>45101</v>
      </c>
      <c r="BC84" s="1948">
        <f t="shared" si="26"/>
        <v>0</v>
      </c>
      <c r="BD84" s="1949">
        <v>126</v>
      </c>
      <c r="BE84" s="1948">
        <v>184.88</v>
      </c>
      <c r="BF84" s="1949">
        <v>184.88</v>
      </c>
      <c r="BG84" s="1949">
        <v>0.92600000000000005</v>
      </c>
      <c r="BH84" s="1949">
        <v>12.96</v>
      </c>
      <c r="BI84" s="1948">
        <v>17826</v>
      </c>
      <c r="BJ84" s="1948">
        <f t="shared" si="27"/>
        <v>82530</v>
      </c>
      <c r="BK84" s="1948">
        <f t="shared" si="28"/>
        <v>0</v>
      </c>
    </row>
    <row r="85" spans="1:63" ht="15">
      <c r="A85" s="1946">
        <v>124000000022</v>
      </c>
      <c r="B85" s="1947">
        <f t="shared" si="29"/>
        <v>79</v>
      </c>
      <c r="C85" s="1906" t="s">
        <v>2978</v>
      </c>
      <c r="D85" s="1907" t="s">
        <v>524</v>
      </c>
      <c r="E85" s="1906" t="s">
        <v>541</v>
      </c>
      <c r="F85" s="1948" t="s">
        <v>259</v>
      </c>
      <c r="G85" s="1949">
        <v>127</v>
      </c>
      <c r="H85" s="1948">
        <v>127</v>
      </c>
      <c r="I85" s="1950">
        <v>159.60000000000002</v>
      </c>
      <c r="J85" s="1948">
        <v>159.6</v>
      </c>
      <c r="K85" s="1948">
        <v>0.86770000000000003</v>
      </c>
      <c r="L85" s="1948">
        <v>20.81</v>
      </c>
      <c r="M85" s="1948">
        <v>23917</v>
      </c>
      <c r="N85" s="1948">
        <f t="shared" si="15"/>
        <v>68947</v>
      </c>
      <c r="O85" s="1948">
        <f t="shared" si="16"/>
        <v>0</v>
      </c>
      <c r="P85" s="1948">
        <v>127</v>
      </c>
      <c r="Q85" s="1948">
        <v>164.64000000000001</v>
      </c>
      <c r="R85" s="1948">
        <v>164.64</v>
      </c>
      <c r="S85" s="1948">
        <v>0.77280000000000004</v>
      </c>
      <c r="T85" s="1948">
        <v>19.97</v>
      </c>
      <c r="U85" s="1948">
        <v>24467</v>
      </c>
      <c r="V85" s="1948">
        <f t="shared" si="17"/>
        <v>73495</v>
      </c>
      <c r="W85" s="1948">
        <f t="shared" si="18"/>
        <v>0</v>
      </c>
      <c r="X85" s="1948">
        <v>127</v>
      </c>
      <c r="Y85" s="1948">
        <v>135.28</v>
      </c>
      <c r="Z85" s="1948">
        <v>135.28</v>
      </c>
      <c r="AA85" s="1948">
        <v>0.78620000000000001</v>
      </c>
      <c r="AB85" s="1948">
        <v>18.52</v>
      </c>
      <c r="AC85" s="1948">
        <v>18042</v>
      </c>
      <c r="AD85" s="1948">
        <f t="shared" si="19"/>
        <v>58441</v>
      </c>
      <c r="AE85" s="1948">
        <f t="shared" si="20"/>
        <v>0</v>
      </c>
      <c r="AF85" s="1948">
        <v>127</v>
      </c>
      <c r="AG85" s="1948">
        <v>168.79999999999998</v>
      </c>
      <c r="AH85" s="1948">
        <v>168.8</v>
      </c>
      <c r="AI85" s="1948">
        <v>0.7772</v>
      </c>
      <c r="AJ85" s="1948">
        <v>11.46</v>
      </c>
      <c r="AK85" s="1948">
        <v>14389</v>
      </c>
      <c r="AL85" s="1948">
        <f t="shared" si="21"/>
        <v>75352</v>
      </c>
      <c r="AM85" s="1948">
        <f t="shared" si="22"/>
        <v>0</v>
      </c>
      <c r="AN85" s="1948">
        <v>127</v>
      </c>
      <c r="AO85" s="1948">
        <v>119.28</v>
      </c>
      <c r="AP85" s="1948">
        <v>119.28</v>
      </c>
      <c r="AQ85" s="1948">
        <v>0.81989999999999996</v>
      </c>
      <c r="AR85" s="1948">
        <v>2.75</v>
      </c>
      <c r="AS85" s="1948">
        <v>2438</v>
      </c>
      <c r="AT85" s="1948">
        <f t="shared" si="23"/>
        <v>53247</v>
      </c>
      <c r="AU85" s="1948">
        <f t="shared" si="24"/>
        <v>0</v>
      </c>
      <c r="AV85" s="1948">
        <v>127</v>
      </c>
      <c r="AW85" s="1948">
        <v>34.32</v>
      </c>
      <c r="AX85" s="1948">
        <v>101.6</v>
      </c>
      <c r="AY85" s="1948">
        <v>0.88600000000000001</v>
      </c>
      <c r="AZ85" s="1948">
        <v>6.28</v>
      </c>
      <c r="BA85" s="1948">
        <v>1553</v>
      </c>
      <c r="BB85" s="1948">
        <f t="shared" si="25"/>
        <v>14826</v>
      </c>
      <c r="BC85" s="1948">
        <f t="shared" si="26"/>
        <v>0</v>
      </c>
      <c r="BD85" s="1949">
        <v>127</v>
      </c>
      <c r="BE85" s="1948">
        <v>48.24</v>
      </c>
      <c r="BF85" s="1949">
        <v>101.6</v>
      </c>
      <c r="BG85" s="1949">
        <v>0.94179999999999997</v>
      </c>
      <c r="BH85" s="1949">
        <v>2.78</v>
      </c>
      <c r="BI85" s="1948">
        <v>997</v>
      </c>
      <c r="BJ85" s="1948">
        <f t="shared" si="27"/>
        <v>21534</v>
      </c>
      <c r="BK85" s="1948">
        <f t="shared" si="28"/>
        <v>0</v>
      </c>
    </row>
    <row r="86" spans="1:63" ht="15">
      <c r="A86" s="1946">
        <v>615000000014</v>
      </c>
      <c r="B86" s="1947">
        <f t="shared" si="29"/>
        <v>80</v>
      </c>
      <c r="C86" s="1906" t="s">
        <v>2979</v>
      </c>
      <c r="D86" s="1907" t="s">
        <v>524</v>
      </c>
      <c r="E86" s="1906" t="s">
        <v>541</v>
      </c>
      <c r="F86" s="1948" t="s">
        <v>259</v>
      </c>
      <c r="G86" s="1949">
        <v>127.8</v>
      </c>
      <c r="H86" s="1948">
        <v>127.8</v>
      </c>
      <c r="I86" s="1950">
        <v>148.12</v>
      </c>
      <c r="J86" s="1948">
        <v>148.12</v>
      </c>
      <c r="K86" s="1948">
        <v>0.47810000000000002</v>
      </c>
      <c r="L86" s="1948">
        <v>4.2300000000000004</v>
      </c>
      <c r="M86" s="1948">
        <v>4509</v>
      </c>
      <c r="N86" s="1948">
        <f t="shared" si="15"/>
        <v>63988</v>
      </c>
      <c r="O86" s="1948">
        <f t="shared" si="16"/>
        <v>0</v>
      </c>
      <c r="P86" s="1948">
        <v>127.8</v>
      </c>
      <c r="Q86" s="1948">
        <v>149.04</v>
      </c>
      <c r="R86" s="1948">
        <v>149.04</v>
      </c>
      <c r="S86" s="1948">
        <v>0.56630000000000003</v>
      </c>
      <c r="T86" s="1948">
        <v>6.22</v>
      </c>
      <c r="U86" s="1948">
        <v>6899</v>
      </c>
      <c r="V86" s="1948">
        <f t="shared" si="17"/>
        <v>66531</v>
      </c>
      <c r="W86" s="1948">
        <f t="shared" si="18"/>
        <v>0</v>
      </c>
      <c r="X86" s="1948">
        <v>127.8</v>
      </c>
      <c r="Y86" s="1948">
        <v>107.36000000000001</v>
      </c>
      <c r="Z86" s="1948">
        <v>107.36</v>
      </c>
      <c r="AA86" s="1948">
        <v>0.7893</v>
      </c>
      <c r="AB86" s="1948">
        <v>8.08</v>
      </c>
      <c r="AC86" s="1948">
        <v>6243</v>
      </c>
      <c r="AD86" s="1948">
        <f t="shared" si="19"/>
        <v>46380</v>
      </c>
      <c r="AE86" s="1948">
        <f t="shared" si="20"/>
        <v>0</v>
      </c>
      <c r="AF86" s="1948">
        <v>127.8</v>
      </c>
      <c r="AG86" s="1948">
        <v>104.16000000000001</v>
      </c>
      <c r="AH86" s="1948">
        <v>104.16</v>
      </c>
      <c r="AI86" s="1948">
        <v>0.74519999999999997</v>
      </c>
      <c r="AJ86" s="1948">
        <v>8.6999999999999993</v>
      </c>
      <c r="AK86" s="1948">
        <v>6743</v>
      </c>
      <c r="AL86" s="1948">
        <f t="shared" si="21"/>
        <v>46497</v>
      </c>
      <c r="AM86" s="1948">
        <f t="shared" si="22"/>
        <v>0</v>
      </c>
      <c r="AN86" s="1948">
        <v>127.8</v>
      </c>
      <c r="AO86" s="1948">
        <v>106.88</v>
      </c>
      <c r="AP86" s="1948">
        <v>106.88</v>
      </c>
      <c r="AQ86" s="1948">
        <v>0.76139999999999997</v>
      </c>
      <c r="AR86" s="1948">
        <v>8.41</v>
      </c>
      <c r="AS86" s="1948">
        <v>6691</v>
      </c>
      <c r="AT86" s="1948">
        <f t="shared" si="23"/>
        <v>47711</v>
      </c>
      <c r="AU86" s="1948">
        <f t="shared" si="24"/>
        <v>0</v>
      </c>
      <c r="AV86" s="1948">
        <v>127.8</v>
      </c>
      <c r="AW86" s="1948">
        <v>106.11999999999999</v>
      </c>
      <c r="AX86" s="1948">
        <v>106.12</v>
      </c>
      <c r="AY86" s="1948">
        <v>0.7339</v>
      </c>
      <c r="AZ86" s="1948">
        <v>7.36</v>
      </c>
      <c r="BA86" s="1948">
        <v>5624</v>
      </c>
      <c r="BB86" s="1948">
        <f t="shared" si="25"/>
        <v>45844</v>
      </c>
      <c r="BC86" s="1948">
        <f t="shared" si="26"/>
        <v>0</v>
      </c>
      <c r="BD86" s="1949">
        <v>127.8</v>
      </c>
      <c r="BE86" s="1948">
        <v>113.55999999999999</v>
      </c>
      <c r="BF86" s="1949">
        <v>113.56</v>
      </c>
      <c r="BG86" s="1949">
        <v>0.71330000000000005</v>
      </c>
      <c r="BH86" s="1949">
        <v>9.7899999999999991</v>
      </c>
      <c r="BI86" s="1948">
        <v>8271</v>
      </c>
      <c r="BJ86" s="1948">
        <f t="shared" si="27"/>
        <v>50693</v>
      </c>
      <c r="BK86" s="1948">
        <f t="shared" si="28"/>
        <v>0</v>
      </c>
    </row>
    <row r="87" spans="1:63" ht="15">
      <c r="A87" s="1946">
        <v>126000000023</v>
      </c>
      <c r="B87" s="1947">
        <f t="shared" si="29"/>
        <v>81</v>
      </c>
      <c r="C87" s="1906" t="s">
        <v>2980</v>
      </c>
      <c r="D87" s="1907" t="s">
        <v>524</v>
      </c>
      <c r="E87" s="1906" t="s">
        <v>541</v>
      </c>
      <c r="F87" s="1948" t="s">
        <v>259</v>
      </c>
      <c r="G87" s="1949">
        <v>128.80000000000001</v>
      </c>
      <c r="H87" s="1948">
        <v>128.80000000000001</v>
      </c>
      <c r="I87" s="1950">
        <v>146.96</v>
      </c>
      <c r="J87" s="1948">
        <v>146.96</v>
      </c>
      <c r="K87" s="1948">
        <v>0.95050000000000001</v>
      </c>
      <c r="L87" s="1948">
        <v>54.53</v>
      </c>
      <c r="M87" s="1948">
        <v>57697</v>
      </c>
      <c r="N87" s="1948">
        <f t="shared" si="15"/>
        <v>63487</v>
      </c>
      <c r="O87" s="1948">
        <f t="shared" si="16"/>
        <v>0</v>
      </c>
      <c r="P87" s="1948">
        <v>128.80000000000001</v>
      </c>
      <c r="Q87" s="1948">
        <v>144.72</v>
      </c>
      <c r="R87" s="1948">
        <v>144.72</v>
      </c>
      <c r="S87" s="1948">
        <v>0.9214</v>
      </c>
      <c r="T87" s="1948">
        <v>55.79</v>
      </c>
      <c r="U87" s="1948">
        <v>60072</v>
      </c>
      <c r="V87" s="1948">
        <f t="shared" si="17"/>
        <v>64603</v>
      </c>
      <c r="W87" s="1948">
        <f t="shared" si="18"/>
        <v>0</v>
      </c>
      <c r="X87" s="1948">
        <v>128.80000000000001</v>
      </c>
      <c r="Y87" s="1948">
        <v>149.19999999999999</v>
      </c>
      <c r="Z87" s="1948">
        <v>149.19999999999999</v>
      </c>
      <c r="AA87" s="1948">
        <v>0.9294</v>
      </c>
      <c r="AB87" s="1948">
        <v>46.79</v>
      </c>
      <c r="AC87" s="1948">
        <v>50267</v>
      </c>
      <c r="AD87" s="1948">
        <f t="shared" si="19"/>
        <v>64454</v>
      </c>
      <c r="AE87" s="1948">
        <f t="shared" si="20"/>
        <v>0</v>
      </c>
      <c r="AF87" s="1948">
        <v>128.80000000000001</v>
      </c>
      <c r="AG87" s="1948">
        <v>152.96</v>
      </c>
      <c r="AH87" s="1948">
        <v>152.96</v>
      </c>
      <c r="AI87" s="1948">
        <v>0.96489999999999998</v>
      </c>
      <c r="AJ87" s="1948">
        <v>43.46</v>
      </c>
      <c r="AK87" s="1948">
        <v>49458</v>
      </c>
      <c r="AL87" s="1948">
        <f t="shared" si="21"/>
        <v>68281</v>
      </c>
      <c r="AM87" s="1948">
        <f t="shared" si="22"/>
        <v>0</v>
      </c>
      <c r="AN87" s="1948">
        <v>128.80000000000001</v>
      </c>
      <c r="AO87" s="1948">
        <v>128.47999999999999</v>
      </c>
      <c r="AP87" s="1948">
        <v>128.47999999999999</v>
      </c>
      <c r="AQ87" s="1948">
        <v>0.9819</v>
      </c>
      <c r="AR87" s="1948">
        <v>43.6</v>
      </c>
      <c r="AS87" s="1948">
        <v>41676</v>
      </c>
      <c r="AT87" s="1948">
        <f t="shared" si="23"/>
        <v>57353</v>
      </c>
      <c r="AU87" s="1948">
        <f t="shared" si="24"/>
        <v>0</v>
      </c>
      <c r="AV87" s="1948">
        <v>128.80000000000001</v>
      </c>
      <c r="AW87" s="1948">
        <v>130.16</v>
      </c>
      <c r="AX87" s="1948">
        <v>130.16</v>
      </c>
      <c r="AY87" s="1948">
        <v>0.98180000000000001</v>
      </c>
      <c r="AZ87" s="1948">
        <v>15.11</v>
      </c>
      <c r="BA87" s="1948">
        <v>14156</v>
      </c>
      <c r="BB87" s="1948">
        <f t="shared" si="25"/>
        <v>56229</v>
      </c>
      <c r="BC87" s="1948">
        <f t="shared" si="26"/>
        <v>0</v>
      </c>
      <c r="BD87" s="1949">
        <v>128.80000000000001</v>
      </c>
      <c r="BE87" s="1948">
        <v>6.2399999999999993</v>
      </c>
      <c r="BF87" s="1949">
        <v>103.04</v>
      </c>
      <c r="BG87" s="1949">
        <v>0.99739999999999995</v>
      </c>
      <c r="BH87" s="1949">
        <v>25.33</v>
      </c>
      <c r="BI87" s="1948">
        <v>1176</v>
      </c>
      <c r="BJ87" s="1948">
        <f t="shared" si="27"/>
        <v>2786</v>
      </c>
      <c r="BK87" s="1948">
        <f t="shared" si="28"/>
        <v>0</v>
      </c>
    </row>
    <row r="88" spans="1:63" ht="15">
      <c r="A88" s="1946">
        <v>129000000003</v>
      </c>
      <c r="B88" s="1947">
        <f t="shared" si="29"/>
        <v>82</v>
      </c>
      <c r="C88" s="1906" t="s">
        <v>2981</v>
      </c>
      <c r="D88" s="1907" t="s">
        <v>524</v>
      </c>
      <c r="E88" s="1906" t="s">
        <v>541</v>
      </c>
      <c r="F88" s="1948" t="s">
        <v>259</v>
      </c>
      <c r="G88" s="1949">
        <v>130</v>
      </c>
      <c r="H88" s="1948">
        <v>130</v>
      </c>
      <c r="I88" s="1950">
        <v>124.16</v>
      </c>
      <c r="J88" s="1948">
        <v>124.16</v>
      </c>
      <c r="K88" s="1948">
        <v>0.99550000000000005</v>
      </c>
      <c r="L88" s="1948">
        <v>10</v>
      </c>
      <c r="M88" s="1948">
        <v>8940</v>
      </c>
      <c r="N88" s="1948">
        <f t="shared" si="15"/>
        <v>53637</v>
      </c>
      <c r="O88" s="1948">
        <f t="shared" si="16"/>
        <v>0</v>
      </c>
      <c r="P88" s="1948">
        <v>130</v>
      </c>
      <c r="Q88" s="1948">
        <v>12.959999999999999</v>
      </c>
      <c r="R88" s="1948">
        <v>104</v>
      </c>
      <c r="S88" s="1948">
        <v>1</v>
      </c>
      <c r="T88" s="1948">
        <v>9.61</v>
      </c>
      <c r="U88" s="1948">
        <v>927</v>
      </c>
      <c r="V88" s="1948">
        <f t="shared" si="17"/>
        <v>5785</v>
      </c>
      <c r="W88" s="1948">
        <f t="shared" si="18"/>
        <v>0</v>
      </c>
      <c r="X88" s="1948">
        <v>130</v>
      </c>
      <c r="Y88" s="1948">
        <v>115.84</v>
      </c>
      <c r="Z88" s="1948">
        <v>115.84</v>
      </c>
      <c r="AA88" s="1948">
        <v>0.94410000000000005</v>
      </c>
      <c r="AB88" s="1948">
        <v>11.28</v>
      </c>
      <c r="AC88" s="1948">
        <v>9408</v>
      </c>
      <c r="AD88" s="1948">
        <f t="shared" si="19"/>
        <v>50043</v>
      </c>
      <c r="AE88" s="1948">
        <f t="shared" si="20"/>
        <v>0</v>
      </c>
      <c r="AF88" s="1948">
        <v>130</v>
      </c>
      <c r="AG88" s="1948">
        <v>6.88</v>
      </c>
      <c r="AH88" s="1948">
        <v>104</v>
      </c>
      <c r="AI88" s="1948">
        <v>0.56730000000000003</v>
      </c>
      <c r="AJ88" s="1948">
        <v>26.41</v>
      </c>
      <c r="AK88" s="1948">
        <v>1352</v>
      </c>
      <c r="AL88" s="1948">
        <f t="shared" si="21"/>
        <v>3071</v>
      </c>
      <c r="AM88" s="1948">
        <f t="shared" si="22"/>
        <v>0</v>
      </c>
      <c r="AN88" s="1948">
        <v>130</v>
      </c>
      <c r="AO88" s="1948">
        <v>8.32</v>
      </c>
      <c r="AP88" s="1948">
        <v>104</v>
      </c>
      <c r="AQ88" s="1948">
        <v>0.48049999999999998</v>
      </c>
      <c r="AR88" s="1948">
        <v>29.05</v>
      </c>
      <c r="AS88" s="1948">
        <v>1798</v>
      </c>
      <c r="AT88" s="1948">
        <f t="shared" si="23"/>
        <v>3714</v>
      </c>
      <c r="AU88" s="1948">
        <f t="shared" si="24"/>
        <v>0</v>
      </c>
      <c r="AV88" s="1948">
        <v>130</v>
      </c>
      <c r="AW88" s="1948">
        <v>8.7200000000000006</v>
      </c>
      <c r="AX88" s="1948">
        <v>104</v>
      </c>
      <c r="AY88" s="1948">
        <v>0.4889</v>
      </c>
      <c r="AZ88" s="1948">
        <v>29.51</v>
      </c>
      <c r="BA88" s="1948">
        <v>1853</v>
      </c>
      <c r="BB88" s="1948">
        <f t="shared" si="25"/>
        <v>3767</v>
      </c>
      <c r="BC88" s="1948">
        <f t="shared" si="26"/>
        <v>0</v>
      </c>
      <c r="BD88" s="1949">
        <v>130</v>
      </c>
      <c r="BE88" s="1948">
        <v>9.1999999999999993</v>
      </c>
      <c r="BF88" s="1949">
        <v>104</v>
      </c>
      <c r="BG88" s="1949">
        <v>0.49170000000000003</v>
      </c>
      <c r="BH88" s="1949">
        <v>30.87</v>
      </c>
      <c r="BI88" s="1948">
        <v>2113</v>
      </c>
      <c r="BJ88" s="1948">
        <f t="shared" si="27"/>
        <v>4107</v>
      </c>
      <c r="BK88" s="1948">
        <f t="shared" si="28"/>
        <v>0</v>
      </c>
    </row>
    <row r="89" spans="1:63" ht="15">
      <c r="A89" s="1946">
        <v>613000000041</v>
      </c>
      <c r="B89" s="1947">
        <f t="shared" si="29"/>
        <v>83</v>
      </c>
      <c r="C89" s="1906" t="s">
        <v>2982</v>
      </c>
      <c r="D89" s="1907" t="s">
        <v>524</v>
      </c>
      <c r="E89" s="1906" t="s">
        <v>541</v>
      </c>
      <c r="F89" s="1948" t="s">
        <v>259</v>
      </c>
      <c r="G89" s="1949">
        <v>130</v>
      </c>
      <c r="H89" s="1948">
        <v>130</v>
      </c>
      <c r="I89" s="1950">
        <v>132.72</v>
      </c>
      <c r="J89" s="1948">
        <v>132.72</v>
      </c>
      <c r="K89" s="1948">
        <v>0.67390000000000005</v>
      </c>
      <c r="L89" s="1948">
        <v>9.64</v>
      </c>
      <c r="M89" s="1948">
        <v>7370</v>
      </c>
      <c r="N89" s="1948">
        <f t="shared" si="15"/>
        <v>57335</v>
      </c>
      <c r="O89" s="1948">
        <f t="shared" si="16"/>
        <v>0</v>
      </c>
      <c r="P89" s="1948">
        <v>130</v>
      </c>
      <c r="Q89" s="1948">
        <v>119.92</v>
      </c>
      <c r="R89" s="1948">
        <v>119.92</v>
      </c>
      <c r="S89" s="1948">
        <v>0.6542</v>
      </c>
      <c r="T89" s="1948">
        <v>12.12</v>
      </c>
      <c r="U89" s="1948">
        <v>10811</v>
      </c>
      <c r="V89" s="1948">
        <f t="shared" si="17"/>
        <v>53532</v>
      </c>
      <c r="W89" s="1948">
        <f t="shared" si="18"/>
        <v>0</v>
      </c>
      <c r="X89" s="1948">
        <v>130</v>
      </c>
      <c r="Y89" s="1948">
        <v>246.4</v>
      </c>
      <c r="Z89" s="1948">
        <v>123.7</v>
      </c>
      <c r="AA89" s="1948">
        <v>0.5917</v>
      </c>
      <c r="AB89" s="1948">
        <v>9.2799999999999994</v>
      </c>
      <c r="AC89" s="1948">
        <v>9921</v>
      </c>
      <c r="AD89" s="1948">
        <f t="shared" si="19"/>
        <v>106445</v>
      </c>
      <c r="AE89" s="1948">
        <f t="shared" si="20"/>
        <v>0</v>
      </c>
      <c r="AF89" s="1948">
        <v>130</v>
      </c>
      <c r="AG89" s="1948">
        <v>122.6344</v>
      </c>
      <c r="AH89" s="1948">
        <v>122.63</v>
      </c>
      <c r="AI89" s="1948">
        <v>0.6411</v>
      </c>
      <c r="AJ89" s="1948">
        <v>3.13</v>
      </c>
      <c r="AK89" s="1948">
        <v>2859</v>
      </c>
      <c r="AL89" s="1948">
        <f t="shared" si="21"/>
        <v>54744</v>
      </c>
      <c r="AM89" s="1948">
        <f t="shared" si="22"/>
        <v>0</v>
      </c>
      <c r="AN89" s="1948">
        <v>130</v>
      </c>
      <c r="AO89" s="1948">
        <v>65.947400000000002</v>
      </c>
      <c r="AP89" s="1948">
        <v>104</v>
      </c>
      <c r="AQ89" s="1948">
        <v>0.5887</v>
      </c>
      <c r="AR89" s="1948">
        <v>2.81</v>
      </c>
      <c r="AS89" s="1948">
        <v>1381</v>
      </c>
      <c r="AT89" s="1948">
        <f t="shared" si="23"/>
        <v>29439</v>
      </c>
      <c r="AU89" s="1948">
        <f t="shared" si="24"/>
        <v>0</v>
      </c>
      <c r="AV89" s="1948">
        <v>130</v>
      </c>
      <c r="AW89" s="1948">
        <v>89.215999999999994</v>
      </c>
      <c r="AX89" s="1948">
        <v>104</v>
      </c>
      <c r="AY89" s="1948">
        <v>0.60219999999999996</v>
      </c>
      <c r="AZ89" s="1948">
        <v>3.36</v>
      </c>
      <c r="BA89" s="1948">
        <v>2157</v>
      </c>
      <c r="BB89" s="1948">
        <f t="shared" si="25"/>
        <v>38541</v>
      </c>
      <c r="BC89" s="1948">
        <f t="shared" si="26"/>
        <v>0</v>
      </c>
      <c r="BD89" s="1949">
        <v>130</v>
      </c>
      <c r="BE89" s="1948">
        <v>95.066000000000003</v>
      </c>
      <c r="BF89" s="1949">
        <v>104</v>
      </c>
      <c r="BG89" s="1949">
        <v>0.58919999999999995</v>
      </c>
      <c r="BH89" s="1949">
        <v>3.4</v>
      </c>
      <c r="BI89" s="1948">
        <v>2403</v>
      </c>
      <c r="BJ89" s="1948">
        <f t="shared" si="27"/>
        <v>42437</v>
      </c>
      <c r="BK89" s="1948">
        <f t="shared" si="28"/>
        <v>0</v>
      </c>
    </row>
    <row r="90" spans="1:63" ht="15">
      <c r="A90" s="1946">
        <v>621000000040</v>
      </c>
      <c r="B90" s="1947">
        <f t="shared" si="29"/>
        <v>84</v>
      </c>
      <c r="C90" s="1906" t="s">
        <v>2983</v>
      </c>
      <c r="D90" s="1907" t="s">
        <v>524</v>
      </c>
      <c r="E90" s="1906" t="s">
        <v>636</v>
      </c>
      <c r="F90" s="1948" t="s">
        <v>259</v>
      </c>
      <c r="G90" s="1949">
        <v>130</v>
      </c>
      <c r="H90" s="1948">
        <v>130</v>
      </c>
      <c r="I90" s="1950">
        <v>37.119999999999997</v>
      </c>
      <c r="J90" s="1948">
        <v>104</v>
      </c>
      <c r="K90" s="1948">
        <v>0.92630000000000001</v>
      </c>
      <c r="L90" s="1948">
        <v>47.4</v>
      </c>
      <c r="M90" s="1948">
        <v>12667</v>
      </c>
      <c r="N90" s="1948">
        <f t="shared" si="15"/>
        <v>16036</v>
      </c>
      <c r="O90" s="1948">
        <f t="shared" si="16"/>
        <v>0</v>
      </c>
      <c r="P90" s="1948">
        <v>130</v>
      </c>
      <c r="Q90" s="1948">
        <v>47.28</v>
      </c>
      <c r="R90" s="1948">
        <v>104</v>
      </c>
      <c r="S90" s="1948">
        <v>0.93510000000000004</v>
      </c>
      <c r="T90" s="1948">
        <v>38.21</v>
      </c>
      <c r="U90" s="1948">
        <v>13441</v>
      </c>
      <c r="V90" s="1948">
        <f t="shared" si="17"/>
        <v>21106</v>
      </c>
      <c r="W90" s="1948">
        <f t="shared" si="18"/>
        <v>0</v>
      </c>
      <c r="X90" s="1948">
        <v>130</v>
      </c>
      <c r="Y90" s="1948">
        <v>43.919999999999995</v>
      </c>
      <c r="Z90" s="1948">
        <v>104</v>
      </c>
      <c r="AA90" s="1948">
        <v>0.92190000000000005</v>
      </c>
      <c r="AB90" s="1948">
        <v>42.23</v>
      </c>
      <c r="AC90" s="1948">
        <v>13355</v>
      </c>
      <c r="AD90" s="1948">
        <f t="shared" si="19"/>
        <v>18973</v>
      </c>
      <c r="AE90" s="1948">
        <f t="shared" si="20"/>
        <v>0</v>
      </c>
      <c r="AF90" s="1948">
        <v>130</v>
      </c>
      <c r="AG90" s="1948">
        <v>34.56</v>
      </c>
      <c r="AH90" s="1948">
        <v>104</v>
      </c>
      <c r="AI90" s="1948">
        <v>0.91200000000000003</v>
      </c>
      <c r="AJ90" s="1948">
        <v>50.17</v>
      </c>
      <c r="AK90" s="1948">
        <v>12899</v>
      </c>
      <c r="AL90" s="1948">
        <f t="shared" si="21"/>
        <v>15428</v>
      </c>
      <c r="AM90" s="1948">
        <f t="shared" si="22"/>
        <v>0</v>
      </c>
      <c r="AN90" s="1948">
        <v>130</v>
      </c>
      <c r="AO90" s="1948">
        <v>35.199999999999996</v>
      </c>
      <c r="AP90" s="1948">
        <v>104</v>
      </c>
      <c r="AQ90" s="1948">
        <v>0.90720000000000001</v>
      </c>
      <c r="AR90" s="1948">
        <v>49.55</v>
      </c>
      <c r="AS90" s="1948">
        <v>12977</v>
      </c>
      <c r="AT90" s="1948">
        <f t="shared" si="23"/>
        <v>15713</v>
      </c>
      <c r="AU90" s="1948">
        <f t="shared" si="24"/>
        <v>0</v>
      </c>
      <c r="AV90" s="1948">
        <v>130</v>
      </c>
      <c r="AW90" s="1948">
        <v>32.800000000000004</v>
      </c>
      <c r="AX90" s="1948">
        <v>104</v>
      </c>
      <c r="AY90" s="1948">
        <v>0.89559999999999995</v>
      </c>
      <c r="AZ90" s="1948">
        <v>55.72</v>
      </c>
      <c r="BA90" s="1948">
        <v>13160</v>
      </c>
      <c r="BB90" s="1948">
        <f t="shared" si="25"/>
        <v>14170</v>
      </c>
      <c r="BC90" s="1948">
        <f t="shared" si="26"/>
        <v>0</v>
      </c>
      <c r="BD90" s="1949">
        <v>130</v>
      </c>
      <c r="BE90" s="1948">
        <v>32.879999999999995</v>
      </c>
      <c r="BF90" s="1949">
        <v>104</v>
      </c>
      <c r="BG90" s="1949">
        <v>0.89970000000000006</v>
      </c>
      <c r="BH90" s="1949">
        <v>49.25</v>
      </c>
      <c r="BI90" s="1948">
        <v>12049</v>
      </c>
      <c r="BJ90" s="1948">
        <f t="shared" si="27"/>
        <v>14678</v>
      </c>
      <c r="BK90" s="1948">
        <f t="shared" si="28"/>
        <v>0</v>
      </c>
    </row>
    <row r="91" spans="1:63" ht="15">
      <c r="A91" s="1946">
        <v>122000000061</v>
      </c>
      <c r="B91" s="1947">
        <f t="shared" si="29"/>
        <v>85</v>
      </c>
      <c r="C91" s="1906" t="s">
        <v>2984</v>
      </c>
      <c r="D91" s="1907" t="s">
        <v>524</v>
      </c>
      <c r="E91" s="1906" t="s">
        <v>541</v>
      </c>
      <c r="F91" s="1948" t="s">
        <v>259</v>
      </c>
      <c r="G91" s="1949">
        <v>131</v>
      </c>
      <c r="H91" s="1948">
        <v>131</v>
      </c>
      <c r="I91" s="1950">
        <v>96.72</v>
      </c>
      <c r="J91" s="1948">
        <v>104.8</v>
      </c>
      <c r="K91" s="1948">
        <v>0.80249999999999999</v>
      </c>
      <c r="L91" s="1948">
        <v>37.85</v>
      </c>
      <c r="M91" s="1948">
        <v>26359</v>
      </c>
      <c r="N91" s="1948">
        <f t="shared" si="15"/>
        <v>41783</v>
      </c>
      <c r="O91" s="1948">
        <f t="shared" si="16"/>
        <v>0</v>
      </c>
      <c r="P91" s="1948">
        <v>131</v>
      </c>
      <c r="Q91" s="1948">
        <v>87.36</v>
      </c>
      <c r="R91" s="1948">
        <v>104.8</v>
      </c>
      <c r="S91" s="1948">
        <v>0.80589999999999995</v>
      </c>
      <c r="T91" s="1948">
        <v>39.19</v>
      </c>
      <c r="U91" s="1948">
        <v>25473</v>
      </c>
      <c r="V91" s="1948">
        <f t="shared" si="17"/>
        <v>38998</v>
      </c>
      <c r="W91" s="1948">
        <f t="shared" si="18"/>
        <v>0</v>
      </c>
      <c r="X91" s="1948">
        <v>131</v>
      </c>
      <c r="Y91" s="1948">
        <v>85.8</v>
      </c>
      <c r="Z91" s="1948">
        <v>104.8</v>
      </c>
      <c r="AA91" s="1948">
        <v>0.79010000000000002</v>
      </c>
      <c r="AB91" s="1948">
        <v>40.090000000000003</v>
      </c>
      <c r="AC91" s="1948">
        <v>24765</v>
      </c>
      <c r="AD91" s="1948">
        <f t="shared" si="19"/>
        <v>37066</v>
      </c>
      <c r="AE91" s="1948">
        <f t="shared" si="20"/>
        <v>0</v>
      </c>
      <c r="AF91" s="1948">
        <v>131</v>
      </c>
      <c r="AG91" s="1948">
        <v>94.320000000000007</v>
      </c>
      <c r="AH91" s="1948">
        <v>104.8</v>
      </c>
      <c r="AI91" s="1948">
        <v>0.79910000000000003</v>
      </c>
      <c r="AJ91" s="1948">
        <v>38.68</v>
      </c>
      <c r="AK91" s="1948">
        <v>27146</v>
      </c>
      <c r="AL91" s="1948">
        <f t="shared" si="21"/>
        <v>42104</v>
      </c>
      <c r="AM91" s="1948">
        <f t="shared" si="22"/>
        <v>0</v>
      </c>
      <c r="AN91" s="1948">
        <v>131</v>
      </c>
      <c r="AO91" s="1948">
        <v>85.44</v>
      </c>
      <c r="AP91" s="1948">
        <v>104.8</v>
      </c>
      <c r="AQ91" s="1948">
        <v>0.75790000000000002</v>
      </c>
      <c r="AR91" s="1948">
        <v>40.46</v>
      </c>
      <c r="AS91" s="1948">
        <v>25721</v>
      </c>
      <c r="AT91" s="1948">
        <f t="shared" si="23"/>
        <v>38140</v>
      </c>
      <c r="AU91" s="1948">
        <f t="shared" si="24"/>
        <v>0</v>
      </c>
      <c r="AV91" s="1948">
        <v>131</v>
      </c>
      <c r="AW91" s="1948">
        <v>88.56</v>
      </c>
      <c r="AX91" s="1948">
        <v>104.8</v>
      </c>
      <c r="AY91" s="1948">
        <v>0.77710000000000001</v>
      </c>
      <c r="AZ91" s="1948">
        <v>36.729999999999997</v>
      </c>
      <c r="BA91" s="1948">
        <v>23423</v>
      </c>
      <c r="BB91" s="1948">
        <f t="shared" si="25"/>
        <v>38258</v>
      </c>
      <c r="BC91" s="1948">
        <f t="shared" si="26"/>
        <v>0</v>
      </c>
      <c r="BD91" s="1949">
        <v>131</v>
      </c>
      <c r="BE91" s="1948">
        <v>91.8</v>
      </c>
      <c r="BF91" s="1949">
        <v>104.8</v>
      </c>
      <c r="BG91" s="1949">
        <v>0.75619999999999998</v>
      </c>
      <c r="BH91" s="1949">
        <v>32.36</v>
      </c>
      <c r="BI91" s="1948">
        <v>22105</v>
      </c>
      <c r="BJ91" s="1948">
        <f t="shared" si="27"/>
        <v>40980</v>
      </c>
      <c r="BK91" s="1948">
        <f t="shared" si="28"/>
        <v>0</v>
      </c>
    </row>
    <row r="92" spans="1:63" ht="15">
      <c r="A92" s="1946">
        <v>121000000018</v>
      </c>
      <c r="B92" s="1947">
        <f t="shared" si="29"/>
        <v>86</v>
      </c>
      <c r="C92" s="1906" t="s">
        <v>2985</v>
      </c>
      <c r="D92" s="1907" t="s">
        <v>524</v>
      </c>
      <c r="E92" s="1906" t="s">
        <v>541</v>
      </c>
      <c r="F92" s="1948" t="s">
        <v>232</v>
      </c>
      <c r="G92" s="1949">
        <v>132</v>
      </c>
      <c r="H92" s="1948">
        <v>132</v>
      </c>
      <c r="I92" s="1950">
        <v>119.84</v>
      </c>
      <c r="J92" s="1948">
        <v>119.84</v>
      </c>
      <c r="K92" s="1948">
        <v>0.70499999999999996</v>
      </c>
      <c r="L92" s="1948">
        <v>0</v>
      </c>
      <c r="M92" s="1948">
        <v>23000</v>
      </c>
      <c r="N92" s="1948">
        <f t="shared" si="15"/>
        <v>51771</v>
      </c>
      <c r="O92" s="1948">
        <f t="shared" si="16"/>
        <v>0</v>
      </c>
      <c r="P92" s="1948">
        <v>132</v>
      </c>
      <c r="Q92" s="1948">
        <v>129.60000000000002</v>
      </c>
      <c r="R92" s="1948">
        <v>129.6</v>
      </c>
      <c r="S92" s="1948">
        <v>0.71209999999999996</v>
      </c>
      <c r="T92" s="1948">
        <v>0</v>
      </c>
      <c r="U92" s="1948">
        <v>18540</v>
      </c>
      <c r="V92" s="1948">
        <f t="shared" si="17"/>
        <v>57853</v>
      </c>
      <c r="W92" s="1948">
        <f t="shared" si="18"/>
        <v>0</v>
      </c>
      <c r="X92" s="1948">
        <v>132</v>
      </c>
      <c r="Y92" s="1948">
        <v>131.84</v>
      </c>
      <c r="Z92" s="1948">
        <v>105.6</v>
      </c>
      <c r="AA92" s="1948">
        <v>0.71379999999999999</v>
      </c>
      <c r="AB92" s="1948">
        <v>0</v>
      </c>
      <c r="AC92" s="1948">
        <v>15700</v>
      </c>
      <c r="AD92" s="1948">
        <f t="shared" si="19"/>
        <v>56955</v>
      </c>
      <c r="AE92" s="1948">
        <f t="shared" si="20"/>
        <v>0</v>
      </c>
      <c r="AF92" s="1948">
        <v>132</v>
      </c>
      <c r="AG92" s="1948">
        <v>100.48</v>
      </c>
      <c r="AH92" s="1948">
        <v>105.6</v>
      </c>
      <c r="AI92" s="1948">
        <v>0.77480000000000004</v>
      </c>
      <c r="AJ92" s="1948">
        <v>0</v>
      </c>
      <c r="AK92" s="1948">
        <v>3464</v>
      </c>
      <c r="AL92" s="1948">
        <f t="shared" si="21"/>
        <v>44854</v>
      </c>
      <c r="AM92" s="1948">
        <f t="shared" si="22"/>
        <v>0</v>
      </c>
      <c r="AN92" s="1948">
        <v>132</v>
      </c>
      <c r="AO92" s="1948">
        <v>11.200000000000001</v>
      </c>
      <c r="AP92" s="1948">
        <v>105.6</v>
      </c>
      <c r="AQ92" s="1948">
        <v>0.82299999999999995</v>
      </c>
      <c r="AR92" s="1948">
        <v>0</v>
      </c>
      <c r="AS92" s="1948">
        <v>1424</v>
      </c>
      <c r="AT92" s="1948">
        <f t="shared" si="23"/>
        <v>5000</v>
      </c>
      <c r="AU92" s="1948">
        <f t="shared" si="24"/>
        <v>0</v>
      </c>
      <c r="AV92" s="1948">
        <v>132</v>
      </c>
      <c r="AW92" s="1948">
        <v>21.92</v>
      </c>
      <c r="AX92" s="1948">
        <v>105.6</v>
      </c>
      <c r="AY92" s="1948">
        <v>0.80249999999999999</v>
      </c>
      <c r="AZ92" s="1948">
        <v>0</v>
      </c>
      <c r="BA92" s="1948">
        <v>1870</v>
      </c>
      <c r="BB92" s="1948">
        <f t="shared" si="25"/>
        <v>9469</v>
      </c>
      <c r="BC92" s="1948">
        <f t="shared" si="26"/>
        <v>0</v>
      </c>
      <c r="BD92" s="1949">
        <v>132</v>
      </c>
      <c r="BE92" s="1948">
        <v>9.2000000000000011</v>
      </c>
      <c r="BF92" s="1949">
        <v>105.6</v>
      </c>
      <c r="BG92" s="1949">
        <v>0.89419999999999999</v>
      </c>
      <c r="BH92" s="1949">
        <v>0</v>
      </c>
      <c r="BI92" s="1948">
        <v>1087</v>
      </c>
      <c r="BJ92" s="1948">
        <f t="shared" si="27"/>
        <v>4107</v>
      </c>
      <c r="BK92" s="1948">
        <f t="shared" si="28"/>
        <v>0</v>
      </c>
    </row>
    <row r="93" spans="1:63" ht="15">
      <c r="A93" s="1946">
        <v>121000000033</v>
      </c>
      <c r="B93" s="1947">
        <f t="shared" si="29"/>
        <v>87</v>
      </c>
      <c r="C93" s="1906" t="s">
        <v>2986</v>
      </c>
      <c r="D93" s="1907" t="s">
        <v>524</v>
      </c>
      <c r="E93" s="1906" t="s">
        <v>541</v>
      </c>
      <c r="F93" s="1948" t="s">
        <v>259</v>
      </c>
      <c r="G93" s="1949">
        <v>132</v>
      </c>
      <c r="H93" s="1948">
        <v>132</v>
      </c>
      <c r="I93" s="1950">
        <v>11.64</v>
      </c>
      <c r="J93" s="1948">
        <v>105.6</v>
      </c>
      <c r="K93" s="1948">
        <v>0.99160000000000004</v>
      </c>
      <c r="L93" s="1948">
        <v>6.91</v>
      </c>
      <c r="M93" s="1948">
        <v>598</v>
      </c>
      <c r="N93" s="1948">
        <f t="shared" si="15"/>
        <v>5028</v>
      </c>
      <c r="O93" s="1948">
        <f t="shared" si="16"/>
        <v>0</v>
      </c>
      <c r="P93" s="1948">
        <v>132</v>
      </c>
      <c r="Q93" s="1948">
        <v>74.057599999999994</v>
      </c>
      <c r="R93" s="1948">
        <v>105.6</v>
      </c>
      <c r="S93" s="1948">
        <v>0.98939999999999995</v>
      </c>
      <c r="T93" s="1948">
        <v>14.55</v>
      </c>
      <c r="U93" s="1948">
        <v>8796</v>
      </c>
      <c r="V93" s="1948">
        <f t="shared" si="17"/>
        <v>33059</v>
      </c>
      <c r="W93" s="1948">
        <f t="shared" si="18"/>
        <v>0</v>
      </c>
      <c r="X93" s="1948">
        <v>132</v>
      </c>
      <c r="Y93" s="1948">
        <v>85.73</v>
      </c>
      <c r="Z93" s="1948">
        <v>105.6</v>
      </c>
      <c r="AA93" s="1948">
        <v>0.94920000000000004</v>
      </c>
      <c r="AB93" s="1948">
        <v>51.67</v>
      </c>
      <c r="AC93" s="1948">
        <v>31896</v>
      </c>
      <c r="AD93" s="1948">
        <f t="shared" si="19"/>
        <v>37035</v>
      </c>
      <c r="AE93" s="1948">
        <f t="shared" si="20"/>
        <v>0</v>
      </c>
      <c r="AF93" s="1948">
        <v>132</v>
      </c>
      <c r="AG93" s="1948">
        <v>80.477599999999995</v>
      </c>
      <c r="AH93" s="1948">
        <v>105.6</v>
      </c>
      <c r="AI93" s="1948">
        <v>0.96360000000000001</v>
      </c>
      <c r="AJ93" s="1948">
        <v>45.21</v>
      </c>
      <c r="AK93" s="1948">
        <v>27072</v>
      </c>
      <c r="AL93" s="1948">
        <f t="shared" si="21"/>
        <v>35925</v>
      </c>
      <c r="AM93" s="1948">
        <f t="shared" si="22"/>
        <v>0</v>
      </c>
      <c r="AN93" s="1948">
        <v>132</v>
      </c>
      <c r="AO93" s="1948">
        <v>70.915999999999997</v>
      </c>
      <c r="AP93" s="1948">
        <v>105.6</v>
      </c>
      <c r="AQ93" s="1948">
        <v>0.99890000000000001</v>
      </c>
      <c r="AR93" s="1948">
        <v>34.65</v>
      </c>
      <c r="AS93" s="1948">
        <v>18282</v>
      </c>
      <c r="AT93" s="1948">
        <f t="shared" si="23"/>
        <v>31657</v>
      </c>
      <c r="AU93" s="1948">
        <f t="shared" si="24"/>
        <v>0</v>
      </c>
      <c r="AV93" s="1948">
        <v>132</v>
      </c>
      <c r="AW93" s="1948">
        <v>70.614000000000004</v>
      </c>
      <c r="AX93" s="1948">
        <v>105.6</v>
      </c>
      <c r="AY93" s="1948">
        <v>0.99839999999999995</v>
      </c>
      <c r="AZ93" s="1948">
        <v>45.6</v>
      </c>
      <c r="BA93" s="1948">
        <v>23184</v>
      </c>
      <c r="BB93" s="1948">
        <f t="shared" si="25"/>
        <v>30505</v>
      </c>
      <c r="BC93" s="1948">
        <f t="shared" si="26"/>
        <v>0</v>
      </c>
      <c r="BD93" s="1949">
        <v>132</v>
      </c>
      <c r="BE93" s="1948">
        <v>69.206000000000003</v>
      </c>
      <c r="BF93" s="1949">
        <v>105.6</v>
      </c>
      <c r="BG93" s="1949">
        <v>0.99860000000000004</v>
      </c>
      <c r="BH93" s="1949">
        <v>50.76</v>
      </c>
      <c r="BI93" s="1948">
        <v>26140</v>
      </c>
      <c r="BJ93" s="1948">
        <f t="shared" si="27"/>
        <v>30894</v>
      </c>
      <c r="BK93" s="1948">
        <f t="shared" si="28"/>
        <v>0</v>
      </c>
    </row>
    <row r="94" spans="1:63" ht="15">
      <c r="A94" s="1946">
        <v>122000000104</v>
      </c>
      <c r="B94" s="1947">
        <f t="shared" si="29"/>
        <v>88</v>
      </c>
      <c r="C94" s="1906" t="s">
        <v>3544</v>
      </c>
      <c r="D94" s="1907" t="s">
        <v>524</v>
      </c>
      <c r="E94" s="1906" t="s">
        <v>636</v>
      </c>
      <c r="F94" s="1948" t="s">
        <v>259</v>
      </c>
      <c r="G94" s="1949">
        <v>133</v>
      </c>
      <c r="H94" s="1948">
        <v>0</v>
      </c>
      <c r="I94" s="1950">
        <v>0</v>
      </c>
      <c r="J94" s="1948">
        <v>0</v>
      </c>
      <c r="K94" s="1948">
        <v>0</v>
      </c>
      <c r="L94" s="1948">
        <v>0</v>
      </c>
      <c r="M94" s="1948">
        <v>0</v>
      </c>
      <c r="N94" s="1948">
        <f t="shared" si="15"/>
        <v>0</v>
      </c>
      <c r="O94" s="1948">
        <f t="shared" si="16"/>
        <v>0</v>
      </c>
      <c r="P94" s="1948">
        <v>0</v>
      </c>
      <c r="Q94" s="1948">
        <v>0</v>
      </c>
      <c r="R94" s="1948">
        <v>0</v>
      </c>
      <c r="S94" s="1948">
        <v>0</v>
      </c>
      <c r="T94" s="1948">
        <v>0</v>
      </c>
      <c r="U94" s="1948">
        <v>0</v>
      </c>
      <c r="V94" s="1948">
        <f t="shared" si="17"/>
        <v>0</v>
      </c>
      <c r="W94" s="1948">
        <f t="shared" si="18"/>
        <v>0</v>
      </c>
      <c r="X94" s="1948">
        <v>0</v>
      </c>
      <c r="Y94" s="1948">
        <v>0</v>
      </c>
      <c r="Z94" s="1948">
        <v>0</v>
      </c>
      <c r="AA94" s="1948">
        <v>0</v>
      </c>
      <c r="AB94" s="1948">
        <v>0</v>
      </c>
      <c r="AC94" s="1948">
        <v>0</v>
      </c>
      <c r="AD94" s="1948">
        <f t="shared" si="19"/>
        <v>0</v>
      </c>
      <c r="AE94" s="1948">
        <f t="shared" si="20"/>
        <v>0</v>
      </c>
      <c r="AF94" s="1948">
        <v>0</v>
      </c>
      <c r="AG94" s="1948">
        <v>0</v>
      </c>
      <c r="AH94" s="1948">
        <v>0</v>
      </c>
      <c r="AI94" s="1948">
        <v>0</v>
      </c>
      <c r="AJ94" s="1948">
        <v>0</v>
      </c>
      <c r="AK94" s="1948">
        <v>0</v>
      </c>
      <c r="AL94" s="1948">
        <f t="shared" si="21"/>
        <v>0</v>
      </c>
      <c r="AM94" s="1948">
        <f t="shared" si="22"/>
        <v>0</v>
      </c>
      <c r="AN94" s="1948">
        <v>133</v>
      </c>
      <c r="AO94" s="1948">
        <v>52.8</v>
      </c>
      <c r="AP94" s="1948">
        <v>106.4</v>
      </c>
      <c r="AQ94" s="1948">
        <v>0.93069999999999997</v>
      </c>
      <c r="AR94" s="1948">
        <v>42.72</v>
      </c>
      <c r="AS94" s="1948">
        <v>22206</v>
      </c>
      <c r="AT94" s="1948">
        <f t="shared" si="23"/>
        <v>23570</v>
      </c>
      <c r="AU94" s="1948">
        <f t="shared" si="24"/>
        <v>0</v>
      </c>
      <c r="AV94" s="1948">
        <v>133</v>
      </c>
      <c r="AW94" s="1948">
        <v>72.8</v>
      </c>
      <c r="AX94" s="1948">
        <v>106.4</v>
      </c>
      <c r="AY94" s="1948">
        <v>0.94099999999999995</v>
      </c>
      <c r="AZ94" s="1948">
        <v>39.82</v>
      </c>
      <c r="BA94" s="1948">
        <v>20870</v>
      </c>
      <c r="BB94" s="1948">
        <f t="shared" si="25"/>
        <v>31450</v>
      </c>
      <c r="BC94" s="1948">
        <f t="shared" si="26"/>
        <v>0</v>
      </c>
      <c r="BD94" s="1949">
        <v>133</v>
      </c>
      <c r="BE94" s="1948">
        <v>73.599999999999994</v>
      </c>
      <c r="BF94" s="1949">
        <v>106.4</v>
      </c>
      <c r="BG94" s="1949">
        <v>0.93159999999999998</v>
      </c>
      <c r="BH94" s="1949">
        <v>40.630000000000003</v>
      </c>
      <c r="BI94" s="1948">
        <v>22250</v>
      </c>
      <c r="BJ94" s="1948">
        <f t="shared" si="27"/>
        <v>32855</v>
      </c>
      <c r="BK94" s="1948">
        <f t="shared" si="28"/>
        <v>0</v>
      </c>
    </row>
    <row r="95" spans="1:63" ht="15">
      <c r="A95" s="1946">
        <v>124000000023</v>
      </c>
      <c r="B95" s="1947">
        <f t="shared" si="29"/>
        <v>89</v>
      </c>
      <c r="C95" s="1906" t="s">
        <v>2991</v>
      </c>
      <c r="D95" s="1907" t="s">
        <v>524</v>
      </c>
      <c r="E95" s="1906" t="s">
        <v>737</v>
      </c>
      <c r="F95" s="1948" t="s">
        <v>259</v>
      </c>
      <c r="G95" s="1949">
        <v>133</v>
      </c>
      <c r="H95" s="1948">
        <v>133</v>
      </c>
      <c r="I95" s="1950">
        <v>161.76</v>
      </c>
      <c r="J95" s="1948">
        <v>161.76</v>
      </c>
      <c r="K95" s="1948">
        <v>0.99870000000000003</v>
      </c>
      <c r="L95" s="1948">
        <v>35.299999999999997</v>
      </c>
      <c r="M95" s="1948">
        <v>41111</v>
      </c>
      <c r="N95" s="1948">
        <f t="shared" si="15"/>
        <v>69880</v>
      </c>
      <c r="O95" s="1948">
        <f t="shared" si="16"/>
        <v>0</v>
      </c>
      <c r="P95" s="1948">
        <v>133</v>
      </c>
      <c r="Q95" s="1948">
        <v>165.68</v>
      </c>
      <c r="R95" s="1948">
        <v>165.68</v>
      </c>
      <c r="S95" s="1948">
        <v>0.99829999999999997</v>
      </c>
      <c r="T95" s="1948">
        <v>36.21</v>
      </c>
      <c r="U95" s="1948">
        <v>44630</v>
      </c>
      <c r="V95" s="1948">
        <f t="shared" si="17"/>
        <v>73960</v>
      </c>
      <c r="W95" s="1948">
        <f t="shared" si="18"/>
        <v>0</v>
      </c>
      <c r="X95" s="1948">
        <v>133</v>
      </c>
      <c r="Y95" s="1948">
        <v>164.64000000000001</v>
      </c>
      <c r="Z95" s="1948">
        <v>164.64</v>
      </c>
      <c r="AA95" s="1948">
        <v>0.99870000000000003</v>
      </c>
      <c r="AB95" s="1948">
        <v>39.590000000000003</v>
      </c>
      <c r="AC95" s="1948">
        <v>43805</v>
      </c>
      <c r="AD95" s="1948">
        <f t="shared" si="19"/>
        <v>71124</v>
      </c>
      <c r="AE95" s="1948">
        <f t="shared" si="20"/>
        <v>0</v>
      </c>
      <c r="AF95" s="1948">
        <v>133</v>
      </c>
      <c r="AG95" s="1948">
        <v>149.6</v>
      </c>
      <c r="AH95" s="1948">
        <v>149.6</v>
      </c>
      <c r="AI95" s="1948">
        <v>0.999</v>
      </c>
      <c r="AJ95" s="1948">
        <v>40.380000000000003</v>
      </c>
      <c r="AK95" s="1948">
        <v>47840</v>
      </c>
      <c r="AL95" s="1948">
        <f t="shared" si="21"/>
        <v>66781</v>
      </c>
      <c r="AM95" s="1948">
        <f t="shared" si="22"/>
        <v>0</v>
      </c>
      <c r="AN95" s="1948">
        <v>133</v>
      </c>
      <c r="AO95" s="1948">
        <v>155.6</v>
      </c>
      <c r="AP95" s="1948">
        <v>155.6</v>
      </c>
      <c r="AQ95" s="1948">
        <v>0.99929999999999997</v>
      </c>
      <c r="AR95" s="1948">
        <v>39.47</v>
      </c>
      <c r="AS95" s="1948">
        <v>45688</v>
      </c>
      <c r="AT95" s="1948">
        <f t="shared" si="23"/>
        <v>69460</v>
      </c>
      <c r="AU95" s="1948">
        <f t="shared" si="24"/>
        <v>0</v>
      </c>
      <c r="AV95" s="1948">
        <v>133</v>
      </c>
      <c r="AW95" s="1948">
        <v>155.84</v>
      </c>
      <c r="AX95" s="1948">
        <v>155.84</v>
      </c>
      <c r="AY95" s="1948">
        <v>0.99909999999999999</v>
      </c>
      <c r="AZ95" s="1948">
        <v>39.86</v>
      </c>
      <c r="BA95" s="1948">
        <v>44730</v>
      </c>
      <c r="BB95" s="1948">
        <f t="shared" si="25"/>
        <v>67323</v>
      </c>
      <c r="BC95" s="1948">
        <f t="shared" si="26"/>
        <v>0</v>
      </c>
      <c r="BD95" s="1949">
        <v>133</v>
      </c>
      <c r="BE95" s="1948">
        <v>154.56</v>
      </c>
      <c r="BF95" s="1949">
        <v>154.56</v>
      </c>
      <c r="BG95" s="1949">
        <v>0.99870000000000003</v>
      </c>
      <c r="BH95" s="1949">
        <v>35.32</v>
      </c>
      <c r="BI95" s="1948">
        <v>40610</v>
      </c>
      <c r="BJ95" s="1948">
        <f t="shared" si="27"/>
        <v>68996</v>
      </c>
      <c r="BK95" s="1948">
        <f t="shared" si="28"/>
        <v>0</v>
      </c>
    </row>
    <row r="96" spans="1:63" ht="15">
      <c r="A96" s="1946">
        <v>121000000037</v>
      </c>
      <c r="B96" s="1947">
        <f t="shared" si="29"/>
        <v>90</v>
      </c>
      <c r="C96" s="1906" t="s">
        <v>2990</v>
      </c>
      <c r="D96" s="1907" t="s">
        <v>524</v>
      </c>
      <c r="E96" s="1906" t="s">
        <v>636</v>
      </c>
      <c r="F96" s="1948" t="s">
        <v>259</v>
      </c>
      <c r="G96" s="1949">
        <v>133</v>
      </c>
      <c r="H96" s="1948">
        <v>133</v>
      </c>
      <c r="I96" s="1950">
        <v>102.24</v>
      </c>
      <c r="J96" s="1948">
        <v>106.4</v>
      </c>
      <c r="K96" s="1948">
        <v>0.95689999999999997</v>
      </c>
      <c r="L96" s="1948">
        <v>30.04</v>
      </c>
      <c r="M96" s="1948">
        <v>22115</v>
      </c>
      <c r="N96" s="1948">
        <f t="shared" si="15"/>
        <v>44168</v>
      </c>
      <c r="O96" s="1948">
        <f t="shared" si="16"/>
        <v>0</v>
      </c>
      <c r="P96" s="1948">
        <v>133</v>
      </c>
      <c r="Q96" s="1948">
        <v>106.72</v>
      </c>
      <c r="R96" s="1948">
        <v>106.72</v>
      </c>
      <c r="S96" s="1948">
        <v>0.96579999999999999</v>
      </c>
      <c r="T96" s="1948">
        <v>35.56</v>
      </c>
      <c r="U96" s="1948">
        <v>28233</v>
      </c>
      <c r="V96" s="1948">
        <f t="shared" si="17"/>
        <v>47640</v>
      </c>
      <c r="W96" s="1948">
        <f t="shared" si="18"/>
        <v>0</v>
      </c>
      <c r="X96" s="1948">
        <v>133</v>
      </c>
      <c r="Y96" s="1948">
        <v>104.96000000000001</v>
      </c>
      <c r="Z96" s="1948">
        <v>106.4</v>
      </c>
      <c r="AA96" s="1948">
        <v>0.96740000000000004</v>
      </c>
      <c r="AB96" s="1948">
        <v>31.47</v>
      </c>
      <c r="AC96" s="1948">
        <v>23780</v>
      </c>
      <c r="AD96" s="1948">
        <f t="shared" si="19"/>
        <v>45343</v>
      </c>
      <c r="AE96" s="1948">
        <f t="shared" si="20"/>
        <v>0</v>
      </c>
      <c r="AF96" s="1948">
        <v>133</v>
      </c>
      <c r="AG96" s="1948">
        <v>97.76</v>
      </c>
      <c r="AH96" s="1948">
        <v>106.4</v>
      </c>
      <c r="AI96" s="1948">
        <v>0.96</v>
      </c>
      <c r="AJ96" s="1948">
        <v>32.97</v>
      </c>
      <c r="AK96" s="1948">
        <v>23982</v>
      </c>
      <c r="AL96" s="1948">
        <f t="shared" si="21"/>
        <v>43640</v>
      </c>
      <c r="AM96" s="1948">
        <f t="shared" si="22"/>
        <v>0</v>
      </c>
      <c r="AN96" s="1948">
        <v>133</v>
      </c>
      <c r="AO96" s="1948">
        <v>94.16</v>
      </c>
      <c r="AP96" s="1948">
        <v>106.4</v>
      </c>
      <c r="AQ96" s="1948">
        <v>0.95779999999999998</v>
      </c>
      <c r="AR96" s="1948">
        <v>33.4</v>
      </c>
      <c r="AS96" s="1948">
        <v>23400</v>
      </c>
      <c r="AT96" s="1948">
        <f t="shared" si="23"/>
        <v>42033</v>
      </c>
      <c r="AU96" s="1948">
        <f t="shared" si="24"/>
        <v>0</v>
      </c>
      <c r="AV96" s="1948">
        <v>133</v>
      </c>
      <c r="AW96" s="1948">
        <v>99.2</v>
      </c>
      <c r="AX96" s="1948">
        <v>106.4</v>
      </c>
      <c r="AY96" s="1948">
        <v>0.95540000000000003</v>
      </c>
      <c r="AZ96" s="1948">
        <v>31.53</v>
      </c>
      <c r="BA96" s="1948">
        <v>22518</v>
      </c>
      <c r="BB96" s="1948">
        <f t="shared" si="25"/>
        <v>42854</v>
      </c>
      <c r="BC96" s="1948">
        <f t="shared" si="26"/>
        <v>0</v>
      </c>
      <c r="BD96" s="1949">
        <v>133</v>
      </c>
      <c r="BE96" s="1948">
        <v>102</v>
      </c>
      <c r="BF96" s="1949">
        <v>106.4</v>
      </c>
      <c r="BG96" s="1949">
        <v>0.94869999999999999</v>
      </c>
      <c r="BH96" s="1949">
        <v>27.35</v>
      </c>
      <c r="BI96" s="1948">
        <v>20759</v>
      </c>
      <c r="BJ96" s="1948">
        <f t="shared" si="27"/>
        <v>45533</v>
      </c>
      <c r="BK96" s="1948">
        <f t="shared" si="28"/>
        <v>0</v>
      </c>
    </row>
    <row r="97" spans="1:63" ht="15">
      <c r="A97" s="1946">
        <v>121000000088</v>
      </c>
      <c r="B97" s="1947">
        <f t="shared" si="29"/>
        <v>91</v>
      </c>
      <c r="C97" s="1906" t="s">
        <v>2987</v>
      </c>
      <c r="D97" s="1907" t="s">
        <v>524</v>
      </c>
      <c r="E97" s="1906" t="s">
        <v>541</v>
      </c>
      <c r="F97" s="1948" t="s">
        <v>259</v>
      </c>
      <c r="G97" s="1949">
        <v>133</v>
      </c>
      <c r="H97" s="1948">
        <v>133</v>
      </c>
      <c r="I97" s="1950">
        <v>82.48</v>
      </c>
      <c r="J97" s="1948">
        <v>106.4</v>
      </c>
      <c r="K97" s="1948">
        <v>0.98660000000000003</v>
      </c>
      <c r="L97" s="1948">
        <v>20.34</v>
      </c>
      <c r="M97" s="1948">
        <v>12082</v>
      </c>
      <c r="N97" s="1948">
        <f t="shared" si="15"/>
        <v>35631</v>
      </c>
      <c r="O97" s="1948">
        <f t="shared" si="16"/>
        <v>0</v>
      </c>
      <c r="P97" s="1948">
        <v>133</v>
      </c>
      <c r="Q97" s="1948">
        <v>143.35999999999999</v>
      </c>
      <c r="R97" s="1948">
        <v>143.36000000000001</v>
      </c>
      <c r="S97" s="1948">
        <v>0.99560000000000004</v>
      </c>
      <c r="T97" s="1948">
        <v>31.56</v>
      </c>
      <c r="U97" s="1948">
        <v>33657</v>
      </c>
      <c r="V97" s="1948">
        <f t="shared" si="17"/>
        <v>63996</v>
      </c>
      <c r="W97" s="1948">
        <f t="shared" si="18"/>
        <v>0</v>
      </c>
      <c r="X97" s="1948">
        <v>133</v>
      </c>
      <c r="Y97" s="1948">
        <v>134.32</v>
      </c>
      <c r="Z97" s="1948">
        <v>134.32</v>
      </c>
      <c r="AA97" s="1948">
        <v>0.98919999999999997</v>
      </c>
      <c r="AB97" s="1948">
        <v>29.72</v>
      </c>
      <c r="AC97" s="1948">
        <v>28744</v>
      </c>
      <c r="AD97" s="1948">
        <f t="shared" si="19"/>
        <v>58026</v>
      </c>
      <c r="AE97" s="1948">
        <f t="shared" si="20"/>
        <v>0</v>
      </c>
      <c r="AF97" s="1948">
        <v>133</v>
      </c>
      <c r="AG97" s="1948">
        <v>76.8</v>
      </c>
      <c r="AH97" s="1948">
        <v>106.4</v>
      </c>
      <c r="AI97" s="1948">
        <v>0.98980000000000001</v>
      </c>
      <c r="AJ97" s="1948">
        <v>28.75</v>
      </c>
      <c r="AK97" s="1948">
        <v>16430</v>
      </c>
      <c r="AL97" s="1948">
        <f t="shared" si="21"/>
        <v>34284</v>
      </c>
      <c r="AM97" s="1948">
        <f t="shared" si="22"/>
        <v>0</v>
      </c>
      <c r="AN97" s="1948">
        <v>133</v>
      </c>
      <c r="AO97" s="1948">
        <v>78.72</v>
      </c>
      <c r="AP97" s="1948">
        <v>106.4</v>
      </c>
      <c r="AQ97" s="1948">
        <v>0.9889</v>
      </c>
      <c r="AR97" s="1948">
        <v>26.95</v>
      </c>
      <c r="AS97" s="1948">
        <v>15785</v>
      </c>
      <c r="AT97" s="1948">
        <f t="shared" si="23"/>
        <v>35141</v>
      </c>
      <c r="AU97" s="1948">
        <f t="shared" si="24"/>
        <v>0</v>
      </c>
      <c r="AV97" s="1948">
        <v>133</v>
      </c>
      <c r="AW97" s="1948">
        <v>79.92</v>
      </c>
      <c r="AX97" s="1948">
        <v>106.4</v>
      </c>
      <c r="AY97" s="1948">
        <v>0.98839999999999995</v>
      </c>
      <c r="AZ97" s="1948">
        <v>25.13</v>
      </c>
      <c r="BA97" s="1948">
        <v>14458</v>
      </c>
      <c r="BB97" s="1948">
        <f t="shared" si="25"/>
        <v>34525</v>
      </c>
      <c r="BC97" s="1948">
        <f t="shared" si="26"/>
        <v>0</v>
      </c>
      <c r="BD97" s="1949">
        <v>133</v>
      </c>
      <c r="BE97" s="1948">
        <v>72.16</v>
      </c>
      <c r="BF97" s="1949">
        <v>106.4</v>
      </c>
      <c r="BG97" s="1949">
        <v>0.98780000000000001</v>
      </c>
      <c r="BH97" s="1949">
        <v>35.03</v>
      </c>
      <c r="BI97" s="1948">
        <v>18806</v>
      </c>
      <c r="BJ97" s="1948">
        <f t="shared" si="27"/>
        <v>32212</v>
      </c>
      <c r="BK97" s="1948">
        <f t="shared" si="28"/>
        <v>0</v>
      </c>
    </row>
    <row r="98" spans="1:63" ht="15">
      <c r="A98" s="1946">
        <v>121000000089</v>
      </c>
      <c r="B98" s="1947">
        <f t="shared" si="29"/>
        <v>92</v>
      </c>
      <c r="C98" s="1906" t="s">
        <v>2989</v>
      </c>
      <c r="D98" s="1907" t="s">
        <v>524</v>
      </c>
      <c r="E98" s="1906" t="s">
        <v>2966</v>
      </c>
      <c r="F98" s="1948" t="s">
        <v>259</v>
      </c>
      <c r="G98" s="1949">
        <v>133</v>
      </c>
      <c r="H98" s="1948">
        <v>133</v>
      </c>
      <c r="I98" s="1950">
        <v>157.36000000000001</v>
      </c>
      <c r="J98" s="1948">
        <v>157.36000000000001</v>
      </c>
      <c r="K98" s="1948">
        <v>0.82889999999999997</v>
      </c>
      <c r="L98" s="1948">
        <v>0</v>
      </c>
      <c r="M98" s="1948">
        <v>35525</v>
      </c>
      <c r="N98" s="1948">
        <f t="shared" si="15"/>
        <v>67980</v>
      </c>
      <c r="O98" s="1948">
        <f t="shared" si="16"/>
        <v>0</v>
      </c>
      <c r="P98" s="1948">
        <v>133</v>
      </c>
      <c r="Q98" s="1948">
        <v>165.52</v>
      </c>
      <c r="R98" s="1948">
        <v>165.52</v>
      </c>
      <c r="S98" s="1948">
        <v>0.81640000000000001</v>
      </c>
      <c r="T98" s="1948">
        <v>0</v>
      </c>
      <c r="U98" s="1948">
        <v>60397</v>
      </c>
      <c r="V98" s="1948">
        <f t="shared" si="17"/>
        <v>73888</v>
      </c>
      <c r="W98" s="1948">
        <f t="shared" si="18"/>
        <v>0</v>
      </c>
      <c r="X98" s="1948">
        <v>133</v>
      </c>
      <c r="Y98" s="1948">
        <v>129.84</v>
      </c>
      <c r="Z98" s="1948">
        <v>133</v>
      </c>
      <c r="AA98" s="1948">
        <v>0.77229999999999999</v>
      </c>
      <c r="AB98" s="1948">
        <v>0</v>
      </c>
      <c r="AC98" s="1948">
        <v>30267</v>
      </c>
      <c r="AD98" s="1948">
        <f t="shared" si="19"/>
        <v>56091</v>
      </c>
      <c r="AE98" s="1948">
        <f t="shared" si="20"/>
        <v>0</v>
      </c>
      <c r="AF98" s="1948">
        <v>133</v>
      </c>
      <c r="AG98" s="1948">
        <v>168.48000000000002</v>
      </c>
      <c r="AH98" s="1948">
        <v>168.48</v>
      </c>
      <c r="AI98" s="1948">
        <v>0.80020000000000002</v>
      </c>
      <c r="AJ98" s="1948">
        <v>0</v>
      </c>
      <c r="AK98" s="1948">
        <v>56531</v>
      </c>
      <c r="AL98" s="1948">
        <f t="shared" si="21"/>
        <v>75209</v>
      </c>
      <c r="AM98" s="1948">
        <f t="shared" si="22"/>
        <v>0</v>
      </c>
      <c r="AN98" s="1948">
        <v>133</v>
      </c>
      <c r="AO98" s="1948">
        <v>181.44</v>
      </c>
      <c r="AP98" s="1948">
        <v>181.44</v>
      </c>
      <c r="AQ98" s="1948">
        <v>0.81179999999999997</v>
      </c>
      <c r="AR98" s="1948">
        <v>0</v>
      </c>
      <c r="AS98" s="1948">
        <v>62941</v>
      </c>
      <c r="AT98" s="1948">
        <f t="shared" si="23"/>
        <v>80995</v>
      </c>
      <c r="AU98" s="1948">
        <f t="shared" si="24"/>
        <v>0</v>
      </c>
      <c r="AV98" s="1948">
        <v>133</v>
      </c>
      <c r="AW98" s="1948">
        <v>62.8</v>
      </c>
      <c r="AX98" s="1948">
        <v>133</v>
      </c>
      <c r="AY98" s="1948">
        <v>0.74099999999999999</v>
      </c>
      <c r="AZ98" s="1948">
        <v>0</v>
      </c>
      <c r="BA98" s="1948">
        <v>16527</v>
      </c>
      <c r="BB98" s="1948">
        <f t="shared" si="25"/>
        <v>27130</v>
      </c>
      <c r="BC98" s="1948">
        <f t="shared" si="26"/>
        <v>0</v>
      </c>
      <c r="BD98" s="1949">
        <v>133</v>
      </c>
      <c r="BE98" s="1948">
        <v>41.44</v>
      </c>
      <c r="BF98" s="1949">
        <v>133</v>
      </c>
      <c r="BG98" s="1949">
        <v>0.55330000000000001</v>
      </c>
      <c r="BH98" s="1949">
        <v>0</v>
      </c>
      <c r="BI98" s="1948">
        <v>4867</v>
      </c>
      <c r="BJ98" s="1948">
        <f t="shared" si="27"/>
        <v>18499</v>
      </c>
      <c r="BK98" s="1948">
        <f t="shared" si="28"/>
        <v>0</v>
      </c>
    </row>
    <row r="99" spans="1:63" ht="15">
      <c r="A99" s="1946">
        <v>121000000103</v>
      </c>
      <c r="B99" s="1947">
        <f t="shared" si="29"/>
        <v>93</v>
      </c>
      <c r="C99" s="1906" t="s">
        <v>3545</v>
      </c>
      <c r="D99" s="1907" t="s">
        <v>524</v>
      </c>
      <c r="E99" s="1906" t="s">
        <v>541</v>
      </c>
      <c r="F99" s="1948" t="s">
        <v>259</v>
      </c>
      <c r="G99" s="1949">
        <v>133</v>
      </c>
      <c r="H99" s="1948">
        <v>133</v>
      </c>
      <c r="I99" s="1950">
        <v>7.5183999999999997</v>
      </c>
      <c r="J99" s="1948">
        <v>106.4</v>
      </c>
      <c r="K99" s="1948">
        <v>0.5806</v>
      </c>
      <c r="L99" s="1948">
        <v>18.739999999999998</v>
      </c>
      <c r="M99" s="1948">
        <v>372</v>
      </c>
      <c r="N99" s="1948">
        <f t="shared" si="15"/>
        <v>3248</v>
      </c>
      <c r="O99" s="1948">
        <f t="shared" si="16"/>
        <v>0</v>
      </c>
      <c r="P99" s="1948">
        <v>133</v>
      </c>
      <c r="Q99" s="1948">
        <v>9.68</v>
      </c>
      <c r="R99" s="1948">
        <v>106.4</v>
      </c>
      <c r="S99" s="1948">
        <v>0.60350000000000004</v>
      </c>
      <c r="T99" s="1948">
        <v>14.75</v>
      </c>
      <c r="U99" s="1948">
        <v>1062</v>
      </c>
      <c r="V99" s="1948">
        <f t="shared" si="17"/>
        <v>4321</v>
      </c>
      <c r="W99" s="1948">
        <f t="shared" si="18"/>
        <v>0</v>
      </c>
      <c r="X99" s="1948">
        <v>133</v>
      </c>
      <c r="Y99" s="1948">
        <v>95.12</v>
      </c>
      <c r="Z99" s="1948">
        <v>106.4</v>
      </c>
      <c r="AA99" s="1948">
        <v>0.79249999999999998</v>
      </c>
      <c r="AB99" s="1948">
        <v>23.17</v>
      </c>
      <c r="AC99" s="1948">
        <v>15870</v>
      </c>
      <c r="AD99" s="1948">
        <f t="shared" si="19"/>
        <v>41092</v>
      </c>
      <c r="AE99" s="1948">
        <f t="shared" si="20"/>
        <v>0</v>
      </c>
      <c r="AF99" s="1948">
        <v>133</v>
      </c>
      <c r="AG99" s="1948">
        <v>93.864000000000004</v>
      </c>
      <c r="AH99" s="1948">
        <v>106.4</v>
      </c>
      <c r="AI99" s="1948">
        <v>0.77549999999999997</v>
      </c>
      <c r="AJ99" s="1948">
        <v>41.84</v>
      </c>
      <c r="AK99" s="1948">
        <v>29218</v>
      </c>
      <c r="AL99" s="1948">
        <f t="shared" si="21"/>
        <v>41901</v>
      </c>
      <c r="AM99" s="1948">
        <f t="shared" si="22"/>
        <v>0</v>
      </c>
      <c r="AN99" s="1948">
        <v>133</v>
      </c>
      <c r="AO99" s="1948">
        <v>95.0672</v>
      </c>
      <c r="AP99" s="1948">
        <v>106.4</v>
      </c>
      <c r="AQ99" s="1948">
        <v>0.76890000000000003</v>
      </c>
      <c r="AR99" s="1948">
        <v>32.840000000000003</v>
      </c>
      <c r="AS99" s="1948">
        <v>23230</v>
      </c>
      <c r="AT99" s="1948">
        <f t="shared" si="23"/>
        <v>42438</v>
      </c>
      <c r="AU99" s="1948">
        <f t="shared" si="24"/>
        <v>0</v>
      </c>
      <c r="AV99" s="1948">
        <v>133</v>
      </c>
      <c r="AW99" s="1948">
        <v>147.15600000000001</v>
      </c>
      <c r="AX99" s="1948">
        <v>147.16</v>
      </c>
      <c r="AY99" s="1948">
        <v>0.96009999999999995</v>
      </c>
      <c r="AZ99" s="1948">
        <v>30.86</v>
      </c>
      <c r="BA99" s="1948">
        <v>32695</v>
      </c>
      <c r="BB99" s="1948">
        <f t="shared" si="25"/>
        <v>63571</v>
      </c>
      <c r="BC99" s="1948">
        <f t="shared" si="26"/>
        <v>0</v>
      </c>
      <c r="BD99" s="1949">
        <v>133</v>
      </c>
      <c r="BE99" s="1948">
        <v>144.12799999999999</v>
      </c>
      <c r="BF99" s="1949">
        <v>144.13</v>
      </c>
      <c r="BG99" s="1949">
        <v>0.98550000000000004</v>
      </c>
      <c r="BH99" s="1949">
        <v>24.82</v>
      </c>
      <c r="BI99" s="1948">
        <v>26613</v>
      </c>
      <c r="BJ99" s="1948">
        <f t="shared" si="27"/>
        <v>64339</v>
      </c>
      <c r="BK99" s="1948">
        <f t="shared" si="28"/>
        <v>0</v>
      </c>
    </row>
    <row r="100" spans="1:63" ht="15">
      <c r="A100" s="1946">
        <v>421000000022</v>
      </c>
      <c r="B100" s="1947">
        <f t="shared" si="29"/>
        <v>94</v>
      </c>
      <c r="C100" s="1906" t="s">
        <v>3546</v>
      </c>
      <c r="D100" s="1907" t="s">
        <v>524</v>
      </c>
      <c r="E100" s="1906" t="s">
        <v>2966</v>
      </c>
      <c r="F100" s="1948" t="s">
        <v>259</v>
      </c>
      <c r="G100" s="1949">
        <v>133</v>
      </c>
      <c r="H100" s="1948">
        <v>133</v>
      </c>
      <c r="I100" s="1950">
        <v>50.48</v>
      </c>
      <c r="J100" s="1948">
        <v>133</v>
      </c>
      <c r="K100" s="1948">
        <v>0.92620000000000002</v>
      </c>
      <c r="L100" s="1948">
        <v>0</v>
      </c>
      <c r="M100" s="1948">
        <v>10775</v>
      </c>
      <c r="N100" s="1948">
        <f t="shared" si="15"/>
        <v>21807</v>
      </c>
      <c r="O100" s="1948">
        <f t="shared" si="16"/>
        <v>0</v>
      </c>
      <c r="P100" s="1948">
        <v>133</v>
      </c>
      <c r="Q100" s="1948">
        <v>48</v>
      </c>
      <c r="R100" s="1948">
        <v>133</v>
      </c>
      <c r="S100" s="1948">
        <v>0.94810000000000005</v>
      </c>
      <c r="T100" s="1948">
        <v>0</v>
      </c>
      <c r="U100" s="1948">
        <v>14092</v>
      </c>
      <c r="V100" s="1948">
        <f t="shared" si="17"/>
        <v>21427</v>
      </c>
      <c r="W100" s="1948">
        <f t="shared" si="18"/>
        <v>0</v>
      </c>
      <c r="X100" s="1948">
        <v>133</v>
      </c>
      <c r="Y100" s="1948">
        <v>47.12</v>
      </c>
      <c r="Z100" s="1948">
        <v>133</v>
      </c>
      <c r="AA100" s="1948">
        <v>0.9526</v>
      </c>
      <c r="AB100" s="1948">
        <v>0</v>
      </c>
      <c r="AC100" s="1948">
        <v>15296</v>
      </c>
      <c r="AD100" s="1948">
        <f t="shared" si="19"/>
        <v>20356</v>
      </c>
      <c r="AE100" s="1948">
        <f t="shared" si="20"/>
        <v>0</v>
      </c>
      <c r="AF100" s="1948">
        <v>133</v>
      </c>
      <c r="AG100" s="1948">
        <v>38.32</v>
      </c>
      <c r="AH100" s="1948">
        <v>133</v>
      </c>
      <c r="AI100" s="1948">
        <v>0.95620000000000005</v>
      </c>
      <c r="AJ100" s="1948">
        <v>0</v>
      </c>
      <c r="AK100" s="1948">
        <v>9929</v>
      </c>
      <c r="AL100" s="1948">
        <f t="shared" si="21"/>
        <v>17106</v>
      </c>
      <c r="AM100" s="1948">
        <f t="shared" si="22"/>
        <v>0</v>
      </c>
      <c r="AN100" s="1948">
        <v>133</v>
      </c>
      <c r="AO100" s="1948">
        <v>40.72</v>
      </c>
      <c r="AP100" s="1948">
        <v>133</v>
      </c>
      <c r="AQ100" s="1948">
        <v>0.93710000000000004</v>
      </c>
      <c r="AR100" s="1948">
        <v>0</v>
      </c>
      <c r="AS100" s="1948">
        <v>8683</v>
      </c>
      <c r="AT100" s="1948">
        <f t="shared" si="23"/>
        <v>18177</v>
      </c>
      <c r="AU100" s="1948">
        <f t="shared" si="24"/>
        <v>0</v>
      </c>
      <c r="AV100" s="1948">
        <v>133</v>
      </c>
      <c r="AW100" s="1948">
        <v>57.999999999999993</v>
      </c>
      <c r="AX100" s="1948">
        <v>133</v>
      </c>
      <c r="AY100" s="1948">
        <v>0.95350000000000001</v>
      </c>
      <c r="AZ100" s="1948">
        <v>0</v>
      </c>
      <c r="BA100" s="1948">
        <v>13987</v>
      </c>
      <c r="BB100" s="1948">
        <f t="shared" si="25"/>
        <v>25056</v>
      </c>
      <c r="BC100" s="1948">
        <f t="shared" si="26"/>
        <v>0</v>
      </c>
      <c r="BD100" s="1949">
        <v>133</v>
      </c>
      <c r="BE100" s="1948">
        <v>43.76</v>
      </c>
      <c r="BF100" s="1949">
        <v>133</v>
      </c>
      <c r="BG100" s="1949">
        <v>0.93049999999999999</v>
      </c>
      <c r="BH100" s="1949">
        <v>0</v>
      </c>
      <c r="BI100" s="1948">
        <v>9941</v>
      </c>
      <c r="BJ100" s="1948">
        <f t="shared" si="27"/>
        <v>19534</v>
      </c>
      <c r="BK100" s="1948">
        <f t="shared" si="28"/>
        <v>0</v>
      </c>
    </row>
    <row r="101" spans="1:63" ht="15">
      <c r="A101" s="1946">
        <v>615000000003</v>
      </c>
      <c r="B101" s="1947">
        <f t="shared" si="29"/>
        <v>95</v>
      </c>
      <c r="C101" s="1906" t="s">
        <v>2992</v>
      </c>
      <c r="D101" s="1907" t="s">
        <v>524</v>
      </c>
      <c r="E101" s="1906" t="s">
        <v>541</v>
      </c>
      <c r="F101" s="1948" t="s">
        <v>259</v>
      </c>
      <c r="G101" s="1949">
        <v>133</v>
      </c>
      <c r="H101" s="1948">
        <v>133</v>
      </c>
      <c r="I101" s="1950">
        <v>126.47999999999999</v>
      </c>
      <c r="J101" s="1948">
        <v>126.48</v>
      </c>
      <c r="K101" s="1948">
        <v>0.62619999999999998</v>
      </c>
      <c r="L101" s="1948">
        <v>18.27</v>
      </c>
      <c r="M101" s="1948">
        <v>16638</v>
      </c>
      <c r="N101" s="1948">
        <f t="shared" si="15"/>
        <v>54639</v>
      </c>
      <c r="O101" s="1948">
        <f t="shared" si="16"/>
        <v>0</v>
      </c>
      <c r="P101" s="1948">
        <v>133</v>
      </c>
      <c r="Q101" s="1948">
        <v>69.600000000000009</v>
      </c>
      <c r="R101" s="1948">
        <v>106.4</v>
      </c>
      <c r="S101" s="1948">
        <v>0.48549999999999999</v>
      </c>
      <c r="T101" s="1948">
        <v>12.21</v>
      </c>
      <c r="U101" s="1948">
        <v>6321</v>
      </c>
      <c r="V101" s="1948">
        <f t="shared" si="17"/>
        <v>31069</v>
      </c>
      <c r="W101" s="1948">
        <f t="shared" si="18"/>
        <v>0</v>
      </c>
      <c r="X101" s="1948">
        <v>133</v>
      </c>
      <c r="Y101" s="1948">
        <v>12.24</v>
      </c>
      <c r="Z101" s="1948">
        <v>106.4</v>
      </c>
      <c r="AA101" s="1948">
        <v>0.873</v>
      </c>
      <c r="AB101" s="1948">
        <v>17.7</v>
      </c>
      <c r="AC101" s="1948">
        <v>780</v>
      </c>
      <c r="AD101" s="1948">
        <f t="shared" si="19"/>
        <v>5288</v>
      </c>
      <c r="AE101" s="1948">
        <f t="shared" si="20"/>
        <v>0</v>
      </c>
      <c r="AF101" s="1948">
        <v>133</v>
      </c>
      <c r="AG101" s="1948">
        <v>0</v>
      </c>
      <c r="AH101" s="1948">
        <v>106.4</v>
      </c>
      <c r="AI101" s="1948">
        <v>0</v>
      </c>
      <c r="AJ101" s="1948">
        <v>0</v>
      </c>
      <c r="AK101" s="1948">
        <v>0</v>
      </c>
      <c r="AL101" s="1948">
        <f t="shared" si="21"/>
        <v>0</v>
      </c>
      <c r="AM101" s="1948">
        <f t="shared" si="22"/>
        <v>0</v>
      </c>
      <c r="AN101" s="1948">
        <v>133</v>
      </c>
      <c r="AO101" s="1948">
        <v>0</v>
      </c>
      <c r="AP101" s="1948">
        <v>106.4</v>
      </c>
      <c r="AQ101" s="1948">
        <v>0</v>
      </c>
      <c r="AR101" s="1948">
        <v>0</v>
      </c>
      <c r="AS101" s="1948">
        <v>0</v>
      </c>
      <c r="AT101" s="1948">
        <f t="shared" si="23"/>
        <v>0</v>
      </c>
      <c r="AU101" s="1948">
        <f t="shared" si="24"/>
        <v>0</v>
      </c>
      <c r="AV101" s="1948">
        <v>133</v>
      </c>
      <c r="AW101" s="1948">
        <v>0</v>
      </c>
      <c r="AX101" s="1948">
        <v>106.4</v>
      </c>
      <c r="AY101" s="1948">
        <v>0</v>
      </c>
      <c r="AZ101" s="1948">
        <v>0</v>
      </c>
      <c r="BA101" s="1948">
        <v>0</v>
      </c>
      <c r="BB101" s="1948">
        <f t="shared" si="25"/>
        <v>0</v>
      </c>
      <c r="BC101" s="1948">
        <f t="shared" si="26"/>
        <v>0</v>
      </c>
      <c r="BD101" s="1949">
        <v>133</v>
      </c>
      <c r="BE101" s="1948">
        <v>0</v>
      </c>
      <c r="BF101" s="1949">
        <v>106.4</v>
      </c>
      <c r="BG101" s="1949">
        <v>0</v>
      </c>
      <c r="BH101" s="1949">
        <v>0</v>
      </c>
      <c r="BI101" s="1948">
        <v>0</v>
      </c>
      <c r="BJ101" s="1948">
        <f t="shared" si="27"/>
        <v>0</v>
      </c>
      <c r="BK101" s="1948">
        <f t="shared" si="28"/>
        <v>0</v>
      </c>
    </row>
    <row r="102" spans="1:63" ht="15">
      <c r="A102" s="1946">
        <v>622000000001</v>
      </c>
      <c r="B102" s="1947">
        <f t="shared" si="29"/>
        <v>96</v>
      </c>
      <c r="C102" s="1906" t="s">
        <v>2993</v>
      </c>
      <c r="D102" s="1907" t="s">
        <v>524</v>
      </c>
      <c r="E102" s="1906" t="s">
        <v>636</v>
      </c>
      <c r="F102" s="1948" t="s">
        <v>259</v>
      </c>
      <c r="G102" s="1949">
        <v>133</v>
      </c>
      <c r="H102" s="1948">
        <v>133</v>
      </c>
      <c r="I102" s="1950">
        <v>110</v>
      </c>
      <c r="J102" s="1948">
        <v>110</v>
      </c>
      <c r="K102" s="1948">
        <v>0.99170000000000003</v>
      </c>
      <c r="L102" s="1948">
        <v>58.84</v>
      </c>
      <c r="M102" s="1948">
        <v>49704</v>
      </c>
      <c r="N102" s="1948">
        <f t="shared" si="15"/>
        <v>47520</v>
      </c>
      <c r="O102" s="1948">
        <f t="shared" si="16"/>
        <v>2184</v>
      </c>
      <c r="P102" s="1948">
        <v>133</v>
      </c>
      <c r="Q102" s="1948">
        <v>110</v>
      </c>
      <c r="R102" s="1948">
        <v>129</v>
      </c>
      <c r="S102" s="1948">
        <v>0.9919</v>
      </c>
      <c r="T102" s="1948">
        <v>43.4</v>
      </c>
      <c r="U102" s="1948">
        <v>45688</v>
      </c>
      <c r="V102" s="1948">
        <f t="shared" si="17"/>
        <v>49104</v>
      </c>
      <c r="W102" s="1948">
        <f t="shared" si="18"/>
        <v>0</v>
      </c>
      <c r="X102" s="1948">
        <v>133</v>
      </c>
      <c r="Y102" s="1948">
        <v>93.08</v>
      </c>
      <c r="Z102" s="1948">
        <v>106.4</v>
      </c>
      <c r="AA102" s="1948">
        <v>0.98340000000000005</v>
      </c>
      <c r="AB102" s="1948">
        <v>58.3</v>
      </c>
      <c r="AC102" s="1948">
        <v>39069</v>
      </c>
      <c r="AD102" s="1948">
        <f t="shared" si="19"/>
        <v>40211</v>
      </c>
      <c r="AE102" s="1948">
        <f t="shared" si="20"/>
        <v>0</v>
      </c>
      <c r="AF102" s="1948">
        <v>133</v>
      </c>
      <c r="AG102" s="1948">
        <v>103.5064</v>
      </c>
      <c r="AH102" s="1948">
        <v>106.4</v>
      </c>
      <c r="AI102" s="1948">
        <v>0.98429999999999995</v>
      </c>
      <c r="AJ102" s="1948">
        <v>59.94</v>
      </c>
      <c r="AK102" s="1948">
        <v>46158</v>
      </c>
      <c r="AL102" s="1948">
        <f t="shared" si="21"/>
        <v>46205</v>
      </c>
      <c r="AM102" s="1948">
        <f t="shared" si="22"/>
        <v>0</v>
      </c>
      <c r="AN102" s="1948">
        <v>133</v>
      </c>
      <c r="AO102" s="1948">
        <v>115.2114</v>
      </c>
      <c r="AP102" s="1948">
        <v>115.21</v>
      </c>
      <c r="AQ102" s="1948">
        <v>0.98519999999999996</v>
      </c>
      <c r="AR102" s="1948">
        <v>54.42</v>
      </c>
      <c r="AS102" s="1948">
        <v>46644</v>
      </c>
      <c r="AT102" s="1948">
        <f t="shared" si="23"/>
        <v>51430</v>
      </c>
      <c r="AU102" s="1948">
        <f t="shared" si="24"/>
        <v>0</v>
      </c>
      <c r="AV102" s="1948">
        <v>133</v>
      </c>
      <c r="AW102" s="1948">
        <v>108.598</v>
      </c>
      <c r="AX102" s="1948">
        <v>108.6</v>
      </c>
      <c r="AY102" s="1948">
        <v>0.98609999999999998</v>
      </c>
      <c r="AZ102" s="1948">
        <v>58.06</v>
      </c>
      <c r="BA102" s="1948">
        <v>45396</v>
      </c>
      <c r="BB102" s="1948">
        <f t="shared" si="25"/>
        <v>46914</v>
      </c>
      <c r="BC102" s="1948">
        <f t="shared" si="26"/>
        <v>0</v>
      </c>
      <c r="BD102" s="1949">
        <v>133</v>
      </c>
      <c r="BE102" s="1948">
        <v>108.364</v>
      </c>
      <c r="BF102" s="1949">
        <v>108.36</v>
      </c>
      <c r="BG102" s="1949">
        <v>0.98809999999999998</v>
      </c>
      <c r="BH102" s="1949">
        <v>56.18</v>
      </c>
      <c r="BI102" s="1948">
        <v>45295</v>
      </c>
      <c r="BJ102" s="1948">
        <f t="shared" si="27"/>
        <v>48374</v>
      </c>
      <c r="BK102" s="1948">
        <f t="shared" si="28"/>
        <v>0</v>
      </c>
    </row>
    <row r="103" spans="1:63" ht="15">
      <c r="A103" s="982">
        <v>611000000110</v>
      </c>
      <c r="B103" s="1947">
        <f t="shared" si="29"/>
        <v>97</v>
      </c>
      <c r="C103" s="1895" t="s">
        <v>2988</v>
      </c>
      <c r="D103" s="1907" t="s">
        <v>3661</v>
      </c>
      <c r="E103" s="1895" t="s">
        <v>730</v>
      </c>
      <c r="F103" s="1951" t="s">
        <v>259</v>
      </c>
      <c r="G103" s="1951">
        <v>133</v>
      </c>
      <c r="H103" s="1951">
        <v>133</v>
      </c>
      <c r="I103" s="1952">
        <v>164.04</v>
      </c>
      <c r="J103" s="1951">
        <v>164.04</v>
      </c>
      <c r="K103" s="1951">
        <v>0.90780000000000005</v>
      </c>
      <c r="L103" s="1951">
        <v>49.08</v>
      </c>
      <c r="M103" s="1951">
        <v>57965</v>
      </c>
      <c r="N103" s="1948">
        <f t="shared" si="15"/>
        <v>70865</v>
      </c>
      <c r="O103" s="1948">
        <f t="shared" si="16"/>
        <v>0</v>
      </c>
      <c r="P103" s="1948">
        <v>133</v>
      </c>
      <c r="Q103" s="1948">
        <v>162.60000000000002</v>
      </c>
      <c r="R103" s="1948">
        <v>162.6</v>
      </c>
      <c r="S103" s="1948">
        <v>0.90400000000000003</v>
      </c>
      <c r="T103" s="1948">
        <v>50.33</v>
      </c>
      <c r="U103" s="1948">
        <v>60886</v>
      </c>
      <c r="V103" s="1948">
        <f t="shared" si="17"/>
        <v>72585</v>
      </c>
      <c r="W103" s="1948">
        <f t="shared" si="18"/>
        <v>0</v>
      </c>
      <c r="X103" s="1948">
        <v>133</v>
      </c>
      <c r="Y103" s="1948">
        <v>165</v>
      </c>
      <c r="Z103" s="1948">
        <v>165</v>
      </c>
      <c r="AA103" s="1948">
        <v>0.89680000000000004</v>
      </c>
      <c r="AB103" s="1948">
        <v>52.45</v>
      </c>
      <c r="AC103" s="1948">
        <v>62313</v>
      </c>
      <c r="AD103" s="1948">
        <f t="shared" si="19"/>
        <v>71280</v>
      </c>
      <c r="AE103" s="1948">
        <f t="shared" si="20"/>
        <v>0</v>
      </c>
      <c r="AF103" s="1948">
        <v>133</v>
      </c>
      <c r="AG103" s="1948">
        <v>112.55999999999999</v>
      </c>
      <c r="AH103" s="1948">
        <v>112.56</v>
      </c>
      <c r="AI103" s="1948">
        <v>0.89900000000000002</v>
      </c>
      <c r="AJ103" s="1948">
        <v>73.45</v>
      </c>
      <c r="AK103" s="1948">
        <v>61512</v>
      </c>
      <c r="AL103" s="1948">
        <f t="shared" si="21"/>
        <v>50247</v>
      </c>
      <c r="AM103" s="1948">
        <f t="shared" si="22"/>
        <v>11265</v>
      </c>
      <c r="AN103" s="1948">
        <v>133</v>
      </c>
      <c r="AO103" s="1948">
        <v>122.88000000000001</v>
      </c>
      <c r="AP103" s="1948">
        <v>122.88</v>
      </c>
      <c r="AQ103" s="1948">
        <v>0.90459999999999996</v>
      </c>
      <c r="AR103" s="1948">
        <v>59.07</v>
      </c>
      <c r="AS103" s="1948">
        <v>54004</v>
      </c>
      <c r="AT103" s="1948">
        <f t="shared" si="23"/>
        <v>54854</v>
      </c>
      <c r="AU103" s="1948">
        <f t="shared" si="24"/>
        <v>0</v>
      </c>
      <c r="AV103" s="1948">
        <v>133</v>
      </c>
      <c r="AW103" s="1948">
        <v>115.67999999999999</v>
      </c>
      <c r="AX103" s="1948">
        <v>115.68</v>
      </c>
      <c r="AY103" s="1948">
        <v>0.95509999999999995</v>
      </c>
      <c r="AZ103" s="1948">
        <v>34.85</v>
      </c>
      <c r="BA103" s="1948">
        <v>13547</v>
      </c>
      <c r="BB103" s="1948">
        <f t="shared" si="25"/>
        <v>49974</v>
      </c>
      <c r="BC103" s="1948">
        <f t="shared" si="26"/>
        <v>0</v>
      </c>
      <c r="BD103" s="1948">
        <v>0</v>
      </c>
      <c r="BE103" s="1948">
        <v>0</v>
      </c>
      <c r="BF103" s="1948">
        <v>0</v>
      </c>
      <c r="BG103" s="1948">
        <v>0</v>
      </c>
      <c r="BH103" s="1948">
        <v>0</v>
      </c>
      <c r="BI103" s="1948">
        <v>0</v>
      </c>
      <c r="BJ103" s="1948">
        <f t="shared" si="27"/>
        <v>0</v>
      </c>
      <c r="BK103" s="1948">
        <f t="shared" si="28"/>
        <v>0</v>
      </c>
    </row>
    <row r="104" spans="1:63" ht="15">
      <c r="A104" s="1946">
        <v>122000000054</v>
      </c>
      <c r="B104" s="1947">
        <f t="shared" si="29"/>
        <v>98</v>
      </c>
      <c r="C104" s="1906" t="s">
        <v>2994</v>
      </c>
      <c r="D104" s="1907" t="s">
        <v>524</v>
      </c>
      <c r="E104" s="1906" t="s">
        <v>629</v>
      </c>
      <c r="F104" s="1948" t="s">
        <v>259</v>
      </c>
      <c r="G104" s="1949">
        <v>133.33000000000001</v>
      </c>
      <c r="H104" s="1948">
        <v>133.33000000000001</v>
      </c>
      <c r="I104" s="1950">
        <v>52.800000000000004</v>
      </c>
      <c r="J104" s="1948">
        <v>133.33000000000001</v>
      </c>
      <c r="K104" s="1948">
        <v>0.94620000000000004</v>
      </c>
      <c r="L104" s="1948">
        <v>0</v>
      </c>
      <c r="M104" s="1948">
        <v>5600</v>
      </c>
      <c r="N104" s="1948">
        <f t="shared" si="15"/>
        <v>22810</v>
      </c>
      <c r="O104" s="1948">
        <f t="shared" si="16"/>
        <v>0</v>
      </c>
      <c r="P104" s="1948">
        <v>133.33000000000001</v>
      </c>
      <c r="Q104" s="1948">
        <v>39.28</v>
      </c>
      <c r="R104" s="1948">
        <v>133.33000000000001</v>
      </c>
      <c r="S104" s="1948">
        <v>0.94820000000000004</v>
      </c>
      <c r="T104" s="1948">
        <v>0</v>
      </c>
      <c r="U104" s="1948">
        <v>6181</v>
      </c>
      <c r="V104" s="1948">
        <f t="shared" si="17"/>
        <v>17535</v>
      </c>
      <c r="W104" s="1948">
        <f t="shared" si="18"/>
        <v>0</v>
      </c>
      <c r="X104" s="1948">
        <v>133.33000000000001</v>
      </c>
      <c r="Y104" s="1948">
        <v>55.84</v>
      </c>
      <c r="Z104" s="1948">
        <v>133.33000000000001</v>
      </c>
      <c r="AA104" s="1948">
        <v>0.93899999999999995</v>
      </c>
      <c r="AB104" s="1948">
        <v>0</v>
      </c>
      <c r="AC104" s="1948">
        <v>6692</v>
      </c>
      <c r="AD104" s="1948">
        <f t="shared" si="19"/>
        <v>24123</v>
      </c>
      <c r="AE104" s="1948">
        <f t="shared" si="20"/>
        <v>0</v>
      </c>
      <c r="AF104" s="1948">
        <v>133.33000000000001</v>
      </c>
      <c r="AG104" s="1948">
        <v>48.96</v>
      </c>
      <c r="AH104" s="1948">
        <v>133.33000000000001</v>
      </c>
      <c r="AI104" s="1948">
        <v>0.92849999999999999</v>
      </c>
      <c r="AJ104" s="1948">
        <v>0</v>
      </c>
      <c r="AK104" s="1948">
        <v>6212</v>
      </c>
      <c r="AL104" s="1948">
        <f t="shared" si="21"/>
        <v>21856</v>
      </c>
      <c r="AM104" s="1948">
        <f t="shared" si="22"/>
        <v>0</v>
      </c>
      <c r="AN104" s="1948">
        <v>133.33000000000001</v>
      </c>
      <c r="AO104" s="1948">
        <v>54</v>
      </c>
      <c r="AP104" s="1948">
        <v>133.33000000000001</v>
      </c>
      <c r="AQ104" s="1948">
        <v>0.91210000000000002</v>
      </c>
      <c r="AR104" s="1948">
        <v>0</v>
      </c>
      <c r="AS104" s="1948">
        <v>5657</v>
      </c>
      <c r="AT104" s="1948">
        <f t="shared" si="23"/>
        <v>24106</v>
      </c>
      <c r="AU104" s="1948">
        <f t="shared" si="24"/>
        <v>0</v>
      </c>
      <c r="AV104" s="1948">
        <v>133.33000000000001</v>
      </c>
      <c r="AW104" s="1948">
        <v>61.12</v>
      </c>
      <c r="AX104" s="1948">
        <v>133.33000000000001</v>
      </c>
      <c r="AY104" s="1948">
        <v>0.92190000000000005</v>
      </c>
      <c r="AZ104" s="1948">
        <v>0</v>
      </c>
      <c r="BA104" s="1948">
        <v>6358</v>
      </c>
      <c r="BB104" s="1948">
        <f t="shared" si="25"/>
        <v>26404</v>
      </c>
      <c r="BC104" s="1948">
        <f t="shared" si="26"/>
        <v>0</v>
      </c>
      <c r="BD104" s="1949">
        <v>133.33000000000001</v>
      </c>
      <c r="BE104" s="1948">
        <v>74.400000000000006</v>
      </c>
      <c r="BF104" s="1949">
        <v>133.33000000000001</v>
      </c>
      <c r="BG104" s="1949">
        <v>0.90539999999999998</v>
      </c>
      <c r="BH104" s="1949">
        <v>0</v>
      </c>
      <c r="BI104" s="1948">
        <v>5883</v>
      </c>
      <c r="BJ104" s="1948">
        <f t="shared" si="27"/>
        <v>33212</v>
      </c>
      <c r="BK104" s="1948">
        <f t="shared" si="28"/>
        <v>0</v>
      </c>
    </row>
    <row r="105" spans="1:63" ht="15">
      <c r="A105" s="1946">
        <v>622000000014</v>
      </c>
      <c r="B105" s="1947">
        <f t="shared" si="29"/>
        <v>99</v>
      </c>
      <c r="C105" s="1906" t="s">
        <v>2995</v>
      </c>
      <c r="D105" s="1907" t="s">
        <v>524</v>
      </c>
      <c r="E105" s="1906" t="s">
        <v>629</v>
      </c>
      <c r="F105" s="1948" t="s">
        <v>259</v>
      </c>
      <c r="G105" s="1949">
        <v>133.33000000000001</v>
      </c>
      <c r="H105" s="1948">
        <v>133.33000000000001</v>
      </c>
      <c r="I105" s="1950">
        <v>87.2</v>
      </c>
      <c r="J105" s="1948">
        <v>133.33000000000001</v>
      </c>
      <c r="K105" s="1948">
        <v>0.98899999999999999</v>
      </c>
      <c r="L105" s="1948">
        <v>0</v>
      </c>
      <c r="M105" s="1948">
        <v>36284</v>
      </c>
      <c r="N105" s="1948">
        <f t="shared" si="15"/>
        <v>37670</v>
      </c>
      <c r="O105" s="1948">
        <f t="shared" si="16"/>
        <v>0</v>
      </c>
      <c r="P105" s="1948">
        <v>133.33000000000001</v>
      </c>
      <c r="Q105" s="1948">
        <v>91.600000000000009</v>
      </c>
      <c r="R105" s="1948">
        <v>133.33000000000001</v>
      </c>
      <c r="S105" s="1948">
        <v>0.99099999999999999</v>
      </c>
      <c r="T105" s="1948">
        <v>0</v>
      </c>
      <c r="U105" s="1948">
        <v>40004</v>
      </c>
      <c r="V105" s="1948">
        <f t="shared" si="17"/>
        <v>40890</v>
      </c>
      <c r="W105" s="1948">
        <f t="shared" si="18"/>
        <v>0</v>
      </c>
      <c r="X105" s="1948">
        <v>133.33000000000001</v>
      </c>
      <c r="Y105" s="1948">
        <v>94.399999999999991</v>
      </c>
      <c r="Z105" s="1948">
        <v>133.33000000000001</v>
      </c>
      <c r="AA105" s="1948">
        <v>0.9879</v>
      </c>
      <c r="AB105" s="1948">
        <v>0</v>
      </c>
      <c r="AC105" s="1948">
        <v>36990</v>
      </c>
      <c r="AD105" s="1948">
        <f t="shared" si="19"/>
        <v>40781</v>
      </c>
      <c r="AE105" s="1948">
        <f t="shared" si="20"/>
        <v>0</v>
      </c>
      <c r="AF105" s="1948">
        <v>133.33000000000001</v>
      </c>
      <c r="AG105" s="1948">
        <v>96.399999999999991</v>
      </c>
      <c r="AH105" s="1948">
        <v>133.33000000000001</v>
      </c>
      <c r="AI105" s="1948">
        <v>0.99170000000000003</v>
      </c>
      <c r="AJ105" s="1948">
        <v>0</v>
      </c>
      <c r="AK105" s="1948">
        <v>41204</v>
      </c>
      <c r="AL105" s="1948">
        <f t="shared" si="21"/>
        <v>43033</v>
      </c>
      <c r="AM105" s="1948">
        <f t="shared" si="22"/>
        <v>0</v>
      </c>
      <c r="AN105" s="1948">
        <v>133.33000000000001</v>
      </c>
      <c r="AO105" s="1948">
        <v>103.60000000000001</v>
      </c>
      <c r="AP105" s="1948">
        <v>133.33000000000001</v>
      </c>
      <c r="AQ105" s="1948">
        <v>0.99260000000000004</v>
      </c>
      <c r="AR105" s="1948">
        <v>0</v>
      </c>
      <c r="AS105" s="1948">
        <v>44194</v>
      </c>
      <c r="AT105" s="1948">
        <f t="shared" si="23"/>
        <v>46247</v>
      </c>
      <c r="AU105" s="1948">
        <f t="shared" si="24"/>
        <v>0</v>
      </c>
      <c r="AV105" s="1948">
        <v>133.33000000000001</v>
      </c>
      <c r="AW105" s="1948">
        <v>97.2</v>
      </c>
      <c r="AX105" s="1948">
        <v>133.33000000000001</v>
      </c>
      <c r="AY105" s="1948">
        <v>0.99250000000000005</v>
      </c>
      <c r="AZ105" s="1948">
        <v>0</v>
      </c>
      <c r="BA105" s="1948">
        <v>41446</v>
      </c>
      <c r="BB105" s="1948">
        <f t="shared" si="25"/>
        <v>41990</v>
      </c>
      <c r="BC105" s="1948">
        <f t="shared" si="26"/>
        <v>0</v>
      </c>
      <c r="BD105" s="1949">
        <v>133.33000000000001</v>
      </c>
      <c r="BE105" s="1948">
        <v>84.486000000000004</v>
      </c>
      <c r="BF105" s="1949">
        <v>133.33000000000001</v>
      </c>
      <c r="BG105" s="1949">
        <v>0.98899999999999999</v>
      </c>
      <c r="BH105" s="1949">
        <v>0</v>
      </c>
      <c r="BI105" s="1948">
        <v>28665</v>
      </c>
      <c r="BJ105" s="1948">
        <f t="shared" si="27"/>
        <v>37715</v>
      </c>
      <c r="BK105" s="1948">
        <f t="shared" si="28"/>
        <v>0</v>
      </c>
    </row>
    <row r="106" spans="1:63" ht="15">
      <c r="A106" s="1946">
        <v>122000000010</v>
      </c>
      <c r="B106" s="1947">
        <f t="shared" si="29"/>
        <v>100</v>
      </c>
      <c r="C106" s="1906" t="s">
        <v>3000</v>
      </c>
      <c r="D106" s="1907" t="s">
        <v>524</v>
      </c>
      <c r="E106" s="1906" t="s">
        <v>541</v>
      </c>
      <c r="F106" s="1948" t="s">
        <v>259</v>
      </c>
      <c r="G106" s="1949">
        <v>134</v>
      </c>
      <c r="H106" s="1948">
        <v>134</v>
      </c>
      <c r="I106" s="1950">
        <v>135.80000000000001</v>
      </c>
      <c r="J106" s="1948">
        <v>135.80000000000001</v>
      </c>
      <c r="K106" s="1948">
        <v>0.92879999999999996</v>
      </c>
      <c r="L106" s="1948">
        <v>19.04</v>
      </c>
      <c r="M106" s="1948">
        <v>18615</v>
      </c>
      <c r="N106" s="1948">
        <f t="shared" si="15"/>
        <v>58666</v>
      </c>
      <c r="O106" s="1948">
        <f t="shared" si="16"/>
        <v>0</v>
      </c>
      <c r="P106" s="1948">
        <v>134</v>
      </c>
      <c r="Q106" s="1948">
        <v>131.20000000000002</v>
      </c>
      <c r="R106" s="1948">
        <v>131.19999999999999</v>
      </c>
      <c r="S106" s="1948">
        <v>0.91649999999999998</v>
      </c>
      <c r="T106" s="1948">
        <v>27.08</v>
      </c>
      <c r="U106" s="1948">
        <v>26432</v>
      </c>
      <c r="V106" s="1948">
        <f t="shared" si="17"/>
        <v>58568</v>
      </c>
      <c r="W106" s="1948">
        <f t="shared" si="18"/>
        <v>0</v>
      </c>
      <c r="X106" s="1948">
        <v>134</v>
      </c>
      <c r="Y106" s="1948">
        <v>135.6</v>
      </c>
      <c r="Z106" s="1948">
        <v>135.6</v>
      </c>
      <c r="AA106" s="1948">
        <v>0.91839999999999999</v>
      </c>
      <c r="AB106" s="1948">
        <v>23.72</v>
      </c>
      <c r="AC106" s="1948">
        <v>23163</v>
      </c>
      <c r="AD106" s="1948">
        <f t="shared" si="19"/>
        <v>58579</v>
      </c>
      <c r="AE106" s="1948">
        <f t="shared" si="20"/>
        <v>0</v>
      </c>
      <c r="AF106" s="1948">
        <v>134</v>
      </c>
      <c r="AG106" s="1948">
        <v>130.20000000000002</v>
      </c>
      <c r="AH106" s="1948">
        <v>130.19999999999999</v>
      </c>
      <c r="AI106" s="1948">
        <v>0.83989999999999998</v>
      </c>
      <c r="AJ106" s="1948">
        <v>22.54</v>
      </c>
      <c r="AK106" s="1948">
        <v>21837</v>
      </c>
      <c r="AL106" s="1948">
        <f t="shared" si="21"/>
        <v>58121</v>
      </c>
      <c r="AM106" s="1948">
        <f t="shared" si="22"/>
        <v>0</v>
      </c>
      <c r="AN106" s="1948">
        <v>134</v>
      </c>
      <c r="AO106" s="1948">
        <v>124.8</v>
      </c>
      <c r="AP106" s="1948">
        <v>124.8</v>
      </c>
      <c r="AQ106" s="1948">
        <v>0.88060000000000005</v>
      </c>
      <c r="AR106" s="1948">
        <v>29.11</v>
      </c>
      <c r="AS106" s="1948">
        <v>27030</v>
      </c>
      <c r="AT106" s="1948">
        <f t="shared" si="23"/>
        <v>55711</v>
      </c>
      <c r="AU106" s="1948">
        <f t="shared" si="24"/>
        <v>0</v>
      </c>
      <c r="AV106" s="1948">
        <v>134</v>
      </c>
      <c r="AW106" s="1948">
        <v>126.8</v>
      </c>
      <c r="AX106" s="1948">
        <v>126.8</v>
      </c>
      <c r="AY106" s="1948">
        <v>0.76029999999999998</v>
      </c>
      <c r="AZ106" s="1948">
        <v>28.75</v>
      </c>
      <c r="BA106" s="1948">
        <v>26245</v>
      </c>
      <c r="BB106" s="1948">
        <f t="shared" si="25"/>
        <v>54778</v>
      </c>
      <c r="BC106" s="1948">
        <f t="shared" si="26"/>
        <v>0</v>
      </c>
      <c r="BD106" s="1949">
        <v>134</v>
      </c>
      <c r="BE106" s="1948">
        <v>125</v>
      </c>
      <c r="BF106" s="1949">
        <v>125</v>
      </c>
      <c r="BG106" s="1949">
        <v>0.74280000000000002</v>
      </c>
      <c r="BH106" s="1949">
        <v>27.89</v>
      </c>
      <c r="BI106" s="1948">
        <v>25942</v>
      </c>
      <c r="BJ106" s="1948">
        <f t="shared" si="27"/>
        <v>55800</v>
      </c>
      <c r="BK106" s="1948">
        <f t="shared" si="28"/>
        <v>0</v>
      </c>
    </row>
    <row r="107" spans="1:63" ht="15">
      <c r="A107" s="1946">
        <v>123000000007</v>
      </c>
      <c r="B107" s="1947">
        <f t="shared" si="29"/>
        <v>101</v>
      </c>
      <c r="C107" s="1906" t="s">
        <v>3001</v>
      </c>
      <c r="D107" s="1907" t="s">
        <v>524</v>
      </c>
      <c r="E107" s="1906" t="s">
        <v>541</v>
      </c>
      <c r="F107" s="1948" t="s">
        <v>259</v>
      </c>
      <c r="G107" s="1949">
        <v>134</v>
      </c>
      <c r="H107" s="1948">
        <v>134</v>
      </c>
      <c r="I107" s="1950">
        <v>22</v>
      </c>
      <c r="J107" s="1948">
        <v>107.2</v>
      </c>
      <c r="K107" s="1948">
        <v>0.99619999999999997</v>
      </c>
      <c r="L107" s="1948">
        <v>41.71</v>
      </c>
      <c r="M107" s="1948">
        <v>6607</v>
      </c>
      <c r="N107" s="1948">
        <f t="shared" si="15"/>
        <v>9504</v>
      </c>
      <c r="O107" s="1948">
        <f t="shared" si="16"/>
        <v>0</v>
      </c>
      <c r="P107" s="1948">
        <v>134</v>
      </c>
      <c r="Q107" s="1948">
        <v>105.36000000000001</v>
      </c>
      <c r="R107" s="1948">
        <v>107.2</v>
      </c>
      <c r="S107" s="1948">
        <v>0.99690000000000001</v>
      </c>
      <c r="T107" s="1948">
        <v>39</v>
      </c>
      <c r="U107" s="1948">
        <v>30568</v>
      </c>
      <c r="V107" s="1948">
        <f t="shared" si="17"/>
        <v>47033</v>
      </c>
      <c r="W107" s="1948">
        <f t="shared" si="18"/>
        <v>0</v>
      </c>
      <c r="X107" s="1948">
        <v>134</v>
      </c>
      <c r="Y107" s="1948">
        <v>129.84</v>
      </c>
      <c r="Z107" s="1948">
        <v>129.84</v>
      </c>
      <c r="AA107" s="1948">
        <v>0.99560000000000004</v>
      </c>
      <c r="AB107" s="1948">
        <v>52.87</v>
      </c>
      <c r="AC107" s="1948">
        <v>49426</v>
      </c>
      <c r="AD107" s="1948">
        <f t="shared" si="19"/>
        <v>56091</v>
      </c>
      <c r="AE107" s="1948">
        <f t="shared" si="20"/>
        <v>0</v>
      </c>
      <c r="AF107" s="1948">
        <v>134</v>
      </c>
      <c r="AG107" s="1948">
        <v>126.88</v>
      </c>
      <c r="AH107" s="1948">
        <v>126.88</v>
      </c>
      <c r="AI107" s="1948">
        <v>0.995</v>
      </c>
      <c r="AJ107" s="1948">
        <v>48.67</v>
      </c>
      <c r="AK107" s="1948">
        <v>45948</v>
      </c>
      <c r="AL107" s="1948">
        <f t="shared" si="21"/>
        <v>56639</v>
      </c>
      <c r="AM107" s="1948">
        <f t="shared" si="22"/>
        <v>0</v>
      </c>
      <c r="AN107" s="1948">
        <v>134</v>
      </c>
      <c r="AO107" s="1948">
        <v>125.84</v>
      </c>
      <c r="AP107" s="1948">
        <v>125.84</v>
      </c>
      <c r="AQ107" s="1948">
        <v>0.99419999999999997</v>
      </c>
      <c r="AR107" s="1948">
        <v>54.5</v>
      </c>
      <c r="AS107" s="1948">
        <v>51023</v>
      </c>
      <c r="AT107" s="1948">
        <f t="shared" si="23"/>
        <v>56175</v>
      </c>
      <c r="AU107" s="1948">
        <f t="shared" si="24"/>
        <v>0</v>
      </c>
      <c r="AV107" s="1948">
        <v>134</v>
      </c>
      <c r="AW107" s="1948">
        <v>112.24000000000001</v>
      </c>
      <c r="AX107" s="1948">
        <v>112.24</v>
      </c>
      <c r="AY107" s="1948">
        <v>0.998</v>
      </c>
      <c r="AZ107" s="1948">
        <v>65.02</v>
      </c>
      <c r="BA107" s="1948">
        <v>52543</v>
      </c>
      <c r="BB107" s="1948">
        <f t="shared" si="25"/>
        <v>48488</v>
      </c>
      <c r="BC107" s="1948">
        <f t="shared" si="26"/>
        <v>4055</v>
      </c>
      <c r="BD107" s="1949">
        <v>134</v>
      </c>
      <c r="BE107" s="1948">
        <v>108.32</v>
      </c>
      <c r="BF107" s="1949">
        <v>108.32</v>
      </c>
      <c r="BG107" s="1949">
        <v>0.98929999999999996</v>
      </c>
      <c r="BH107" s="1949">
        <v>40.71</v>
      </c>
      <c r="BI107" s="1948">
        <v>32807</v>
      </c>
      <c r="BJ107" s="1948">
        <f t="shared" si="27"/>
        <v>48354</v>
      </c>
      <c r="BK107" s="1948">
        <f t="shared" si="28"/>
        <v>0</v>
      </c>
    </row>
    <row r="108" spans="1:63" ht="15">
      <c r="A108" s="1946">
        <v>127000000017</v>
      </c>
      <c r="B108" s="1947">
        <f t="shared" si="29"/>
        <v>102</v>
      </c>
      <c r="C108" s="1906" t="s">
        <v>3005</v>
      </c>
      <c r="D108" s="1907" t="s">
        <v>524</v>
      </c>
      <c r="E108" s="1906" t="s">
        <v>541</v>
      </c>
      <c r="F108" s="1948" t="s">
        <v>259</v>
      </c>
      <c r="G108" s="1949">
        <v>134</v>
      </c>
      <c r="H108" s="1948">
        <v>134</v>
      </c>
      <c r="I108" s="1950">
        <v>103.5384</v>
      </c>
      <c r="J108" s="1948">
        <v>107.2</v>
      </c>
      <c r="K108" s="1948">
        <v>0.73119999999999996</v>
      </c>
      <c r="L108" s="1948">
        <v>25.95</v>
      </c>
      <c r="M108" s="1948">
        <v>21921</v>
      </c>
      <c r="N108" s="1948">
        <f t="shared" si="15"/>
        <v>44729</v>
      </c>
      <c r="O108" s="1948">
        <f t="shared" si="16"/>
        <v>0</v>
      </c>
      <c r="P108" s="1948">
        <v>134</v>
      </c>
      <c r="Q108" s="1948">
        <v>114.093</v>
      </c>
      <c r="R108" s="1948">
        <v>114.093</v>
      </c>
      <c r="S108" s="1948">
        <v>0.71499999999999997</v>
      </c>
      <c r="T108" s="1948">
        <v>30.95</v>
      </c>
      <c r="U108" s="1948">
        <v>26269</v>
      </c>
      <c r="V108" s="1948">
        <f t="shared" si="17"/>
        <v>50931</v>
      </c>
      <c r="W108" s="1948">
        <f t="shared" si="18"/>
        <v>0</v>
      </c>
      <c r="X108" s="1948">
        <v>134</v>
      </c>
      <c r="Y108" s="1948">
        <v>116.16</v>
      </c>
      <c r="Z108" s="1948">
        <v>116.16</v>
      </c>
      <c r="AA108" s="1948">
        <v>0.72929999999999995</v>
      </c>
      <c r="AB108" s="1948">
        <v>29.87</v>
      </c>
      <c r="AC108" s="1948">
        <v>24981</v>
      </c>
      <c r="AD108" s="1948">
        <f t="shared" si="19"/>
        <v>50181</v>
      </c>
      <c r="AE108" s="1948">
        <f t="shared" si="20"/>
        <v>0</v>
      </c>
      <c r="AF108" s="1948">
        <v>134</v>
      </c>
      <c r="AG108" s="1948">
        <v>118.46</v>
      </c>
      <c r="AH108" s="1948">
        <v>118.46</v>
      </c>
      <c r="AI108" s="1948">
        <v>0.73370000000000002</v>
      </c>
      <c r="AJ108" s="1948">
        <v>31.36</v>
      </c>
      <c r="AK108" s="1948">
        <v>27637</v>
      </c>
      <c r="AL108" s="1948">
        <f t="shared" si="21"/>
        <v>52881</v>
      </c>
      <c r="AM108" s="1948">
        <f t="shared" si="22"/>
        <v>0</v>
      </c>
      <c r="AN108" s="1948">
        <v>134</v>
      </c>
      <c r="AO108" s="1948">
        <v>103.6464</v>
      </c>
      <c r="AP108" s="1948">
        <v>107.2</v>
      </c>
      <c r="AQ108" s="1948">
        <v>0.74429999999999996</v>
      </c>
      <c r="AR108" s="1948">
        <v>25.91</v>
      </c>
      <c r="AS108" s="1948">
        <v>19978</v>
      </c>
      <c r="AT108" s="1948">
        <f t="shared" si="23"/>
        <v>46268</v>
      </c>
      <c r="AU108" s="1948">
        <f t="shared" si="24"/>
        <v>0</v>
      </c>
      <c r="AV108" s="1948">
        <v>134</v>
      </c>
      <c r="AW108" s="1948">
        <v>84.125600000000006</v>
      </c>
      <c r="AX108" s="1948">
        <v>107.2</v>
      </c>
      <c r="AY108" s="1948">
        <v>0.76180000000000003</v>
      </c>
      <c r="AZ108" s="1948">
        <v>29.65</v>
      </c>
      <c r="BA108" s="1948">
        <v>17959</v>
      </c>
      <c r="BB108" s="1948">
        <f t="shared" si="25"/>
        <v>36342</v>
      </c>
      <c r="BC108" s="1948">
        <f t="shared" si="26"/>
        <v>0</v>
      </c>
      <c r="BD108" s="1949">
        <v>134</v>
      </c>
      <c r="BE108" s="1948">
        <v>67.733999999999995</v>
      </c>
      <c r="BF108" s="1949">
        <v>107.2</v>
      </c>
      <c r="BG108" s="1949">
        <v>0.74080000000000001</v>
      </c>
      <c r="BH108" s="1949">
        <v>28.19</v>
      </c>
      <c r="BI108" s="1948">
        <v>20079</v>
      </c>
      <c r="BJ108" s="1948">
        <f t="shared" si="27"/>
        <v>30236</v>
      </c>
      <c r="BK108" s="1948">
        <f t="shared" si="28"/>
        <v>0</v>
      </c>
    </row>
    <row r="109" spans="1:63" ht="15">
      <c r="A109" s="1946">
        <v>127000000022</v>
      </c>
      <c r="B109" s="1947">
        <f t="shared" si="29"/>
        <v>103</v>
      </c>
      <c r="C109" s="1906" t="s">
        <v>2996</v>
      </c>
      <c r="D109" s="1907" t="s">
        <v>524</v>
      </c>
      <c r="E109" s="1906" t="s">
        <v>541</v>
      </c>
      <c r="F109" s="1948" t="s">
        <v>259</v>
      </c>
      <c r="G109" s="1949">
        <v>134</v>
      </c>
      <c r="H109" s="1948">
        <v>134</v>
      </c>
      <c r="I109" s="1950">
        <v>191.12</v>
      </c>
      <c r="J109" s="1948">
        <v>191.12</v>
      </c>
      <c r="K109" s="1948">
        <v>0.8639</v>
      </c>
      <c r="L109" s="1948">
        <v>30.69</v>
      </c>
      <c r="M109" s="1948">
        <v>42229</v>
      </c>
      <c r="N109" s="1948">
        <f t="shared" si="15"/>
        <v>82564</v>
      </c>
      <c r="O109" s="1948">
        <f t="shared" si="16"/>
        <v>0</v>
      </c>
      <c r="P109" s="1948">
        <v>134</v>
      </c>
      <c r="Q109" s="1948">
        <v>203.12</v>
      </c>
      <c r="R109" s="1948">
        <v>203.12</v>
      </c>
      <c r="S109" s="1948">
        <v>0.86240000000000006</v>
      </c>
      <c r="T109" s="1948">
        <v>32.08</v>
      </c>
      <c r="U109" s="1948">
        <v>48479</v>
      </c>
      <c r="V109" s="1948">
        <f t="shared" si="17"/>
        <v>90673</v>
      </c>
      <c r="W109" s="1948">
        <f t="shared" si="18"/>
        <v>0</v>
      </c>
      <c r="X109" s="1948">
        <v>134</v>
      </c>
      <c r="Y109" s="1948">
        <v>201.52</v>
      </c>
      <c r="Z109" s="1948">
        <v>201.52</v>
      </c>
      <c r="AA109" s="1948">
        <v>0.86799999999999999</v>
      </c>
      <c r="AB109" s="1948">
        <v>38.17</v>
      </c>
      <c r="AC109" s="1948">
        <v>55379</v>
      </c>
      <c r="AD109" s="1948">
        <f t="shared" si="19"/>
        <v>87057</v>
      </c>
      <c r="AE109" s="1948">
        <f t="shared" si="20"/>
        <v>0</v>
      </c>
      <c r="AF109" s="1948">
        <v>134</v>
      </c>
      <c r="AG109" s="1948">
        <v>201.68</v>
      </c>
      <c r="AH109" s="1948">
        <v>201.68</v>
      </c>
      <c r="AI109" s="1948">
        <v>0.87019999999999997</v>
      </c>
      <c r="AJ109" s="1948">
        <v>35.28</v>
      </c>
      <c r="AK109" s="1948">
        <v>52942</v>
      </c>
      <c r="AL109" s="1948">
        <f t="shared" si="21"/>
        <v>90030</v>
      </c>
      <c r="AM109" s="1948">
        <f t="shared" si="22"/>
        <v>0</v>
      </c>
      <c r="AN109" s="1948">
        <v>134</v>
      </c>
      <c r="AO109" s="1948">
        <v>184.64000000000001</v>
      </c>
      <c r="AP109" s="1948">
        <v>184.64</v>
      </c>
      <c r="AQ109" s="1948">
        <v>0.91400000000000003</v>
      </c>
      <c r="AR109" s="1948">
        <v>26.52</v>
      </c>
      <c r="AS109" s="1948">
        <v>36430</v>
      </c>
      <c r="AT109" s="1948">
        <f t="shared" si="23"/>
        <v>82423</v>
      </c>
      <c r="AU109" s="1948">
        <f t="shared" si="24"/>
        <v>0</v>
      </c>
      <c r="AV109" s="1948">
        <v>134</v>
      </c>
      <c r="AW109" s="1948">
        <v>166.72</v>
      </c>
      <c r="AX109" s="1948">
        <v>166.72</v>
      </c>
      <c r="AY109" s="1948">
        <v>0.95140000000000002</v>
      </c>
      <c r="AZ109" s="1948">
        <v>29.1</v>
      </c>
      <c r="BA109" s="1948">
        <v>34935</v>
      </c>
      <c r="BB109" s="1948">
        <f t="shared" si="25"/>
        <v>72023</v>
      </c>
      <c r="BC109" s="1948">
        <f t="shared" si="26"/>
        <v>0</v>
      </c>
      <c r="BD109" s="1949">
        <v>134</v>
      </c>
      <c r="BE109" s="1948">
        <v>163.6</v>
      </c>
      <c r="BF109" s="1949">
        <v>163.6</v>
      </c>
      <c r="BG109" s="1949">
        <v>0.9506</v>
      </c>
      <c r="BH109" s="1949">
        <v>26.79</v>
      </c>
      <c r="BI109" s="1948">
        <v>32609</v>
      </c>
      <c r="BJ109" s="1948">
        <f t="shared" si="27"/>
        <v>73031</v>
      </c>
      <c r="BK109" s="1948">
        <f t="shared" si="28"/>
        <v>0</v>
      </c>
    </row>
    <row r="110" spans="1:63" ht="15">
      <c r="A110" s="1946">
        <v>126000000028</v>
      </c>
      <c r="B110" s="1947">
        <f t="shared" si="29"/>
        <v>104</v>
      </c>
      <c r="C110" s="1906" t="s">
        <v>3004</v>
      </c>
      <c r="D110" s="1907" t="s">
        <v>524</v>
      </c>
      <c r="E110" s="1906" t="s">
        <v>541</v>
      </c>
      <c r="F110" s="1948" t="s">
        <v>259</v>
      </c>
      <c r="G110" s="1949">
        <v>134</v>
      </c>
      <c r="H110" s="1948">
        <v>134</v>
      </c>
      <c r="I110" s="1950">
        <v>0.79200000000000004</v>
      </c>
      <c r="J110" s="1948">
        <v>107.2</v>
      </c>
      <c r="K110" s="1948">
        <v>0.84009999999999996</v>
      </c>
      <c r="L110" s="1948">
        <v>3.11</v>
      </c>
      <c r="M110" s="1948">
        <v>2602</v>
      </c>
      <c r="N110" s="1948">
        <f t="shared" si="15"/>
        <v>342</v>
      </c>
      <c r="O110" s="1948">
        <f t="shared" si="16"/>
        <v>2260</v>
      </c>
      <c r="P110" s="1948">
        <v>134</v>
      </c>
      <c r="Q110" s="1948">
        <v>84.7256</v>
      </c>
      <c r="R110" s="1948">
        <v>107.2</v>
      </c>
      <c r="S110" s="1948">
        <v>0.87209999999999999</v>
      </c>
      <c r="T110" s="1948">
        <v>6.34</v>
      </c>
      <c r="U110" s="1948">
        <v>4513</v>
      </c>
      <c r="V110" s="1948">
        <f t="shared" si="17"/>
        <v>37822</v>
      </c>
      <c r="W110" s="1948">
        <f t="shared" si="18"/>
        <v>0</v>
      </c>
      <c r="X110" s="1948">
        <v>134</v>
      </c>
      <c r="Y110" s="1948">
        <v>74.847999999999999</v>
      </c>
      <c r="Z110" s="1948">
        <v>107.2</v>
      </c>
      <c r="AA110" s="1948">
        <v>0.82530000000000003</v>
      </c>
      <c r="AB110" s="1948">
        <v>5.17</v>
      </c>
      <c r="AC110" s="1948">
        <v>2788</v>
      </c>
      <c r="AD110" s="1948">
        <f t="shared" si="19"/>
        <v>32334</v>
      </c>
      <c r="AE110" s="1948">
        <f t="shared" si="20"/>
        <v>0</v>
      </c>
      <c r="AF110" s="1948">
        <v>134</v>
      </c>
      <c r="AG110" s="1948">
        <v>69.787999999999997</v>
      </c>
      <c r="AH110" s="1948">
        <v>107.2</v>
      </c>
      <c r="AI110" s="1948">
        <v>0.77380000000000004</v>
      </c>
      <c r="AJ110" s="1948">
        <v>8.51</v>
      </c>
      <c r="AK110" s="1948">
        <v>4421</v>
      </c>
      <c r="AL110" s="1948">
        <f t="shared" si="21"/>
        <v>31153</v>
      </c>
      <c r="AM110" s="1948">
        <f t="shared" si="22"/>
        <v>0</v>
      </c>
      <c r="AN110" s="1948">
        <v>134</v>
      </c>
      <c r="AO110" s="1948">
        <v>85.565600000000003</v>
      </c>
      <c r="AP110" s="1948">
        <v>107.2</v>
      </c>
      <c r="AQ110" s="1948">
        <v>0.68259999999999998</v>
      </c>
      <c r="AR110" s="1948">
        <v>11.82</v>
      </c>
      <c r="AS110" s="1948">
        <v>7525</v>
      </c>
      <c r="AT110" s="1948">
        <f t="shared" si="23"/>
        <v>38196</v>
      </c>
      <c r="AU110" s="1948">
        <f t="shared" si="24"/>
        <v>0</v>
      </c>
      <c r="AV110" s="1948">
        <v>134</v>
      </c>
      <c r="AW110" s="1948">
        <v>81.084000000000003</v>
      </c>
      <c r="AX110" s="1948">
        <v>107.2</v>
      </c>
      <c r="AY110" s="1948">
        <v>0.69740000000000002</v>
      </c>
      <c r="AZ110" s="1948">
        <v>11.87</v>
      </c>
      <c r="BA110" s="1948">
        <v>6932</v>
      </c>
      <c r="BB110" s="1948">
        <f t="shared" si="25"/>
        <v>35028</v>
      </c>
      <c r="BC110" s="1948">
        <f t="shared" si="26"/>
        <v>0</v>
      </c>
      <c r="BD110" s="1949">
        <v>134</v>
      </c>
      <c r="BE110" s="1948">
        <v>92.19</v>
      </c>
      <c r="BF110" s="1949">
        <v>107.2</v>
      </c>
      <c r="BG110" s="1949">
        <v>0.65469999999999995</v>
      </c>
      <c r="BH110" s="1949">
        <v>16.5</v>
      </c>
      <c r="BI110" s="1948">
        <v>11314</v>
      </c>
      <c r="BJ110" s="1948">
        <f t="shared" si="27"/>
        <v>41154</v>
      </c>
      <c r="BK110" s="1948">
        <f t="shared" si="28"/>
        <v>0</v>
      </c>
    </row>
    <row r="111" spans="1:63" ht="15">
      <c r="A111" s="1946">
        <v>124000000002</v>
      </c>
      <c r="B111" s="1947">
        <f t="shared" si="29"/>
        <v>105</v>
      </c>
      <c r="C111" s="1906" t="s">
        <v>3002</v>
      </c>
      <c r="D111" s="1907" t="s">
        <v>524</v>
      </c>
      <c r="E111" s="1906" t="s">
        <v>636</v>
      </c>
      <c r="F111" s="1948" t="s">
        <v>259</v>
      </c>
      <c r="G111" s="1949">
        <v>134</v>
      </c>
      <c r="H111" s="1948">
        <v>134</v>
      </c>
      <c r="I111" s="1950">
        <v>36.159999999999997</v>
      </c>
      <c r="J111" s="1948">
        <v>107.2</v>
      </c>
      <c r="K111" s="1948">
        <v>0.95469999999999999</v>
      </c>
      <c r="L111" s="1948">
        <v>35.090000000000003</v>
      </c>
      <c r="M111" s="1948">
        <v>9137</v>
      </c>
      <c r="N111" s="1948">
        <f t="shared" si="15"/>
        <v>15621</v>
      </c>
      <c r="O111" s="1948">
        <f t="shared" si="16"/>
        <v>0</v>
      </c>
      <c r="P111" s="1948">
        <v>134</v>
      </c>
      <c r="Q111" s="1948">
        <v>34.96</v>
      </c>
      <c r="R111" s="1948">
        <v>107.2</v>
      </c>
      <c r="S111" s="1948">
        <v>0.9617</v>
      </c>
      <c r="T111" s="1948">
        <v>40.409999999999997</v>
      </c>
      <c r="U111" s="1948">
        <v>10511</v>
      </c>
      <c r="V111" s="1948">
        <f t="shared" si="17"/>
        <v>15606</v>
      </c>
      <c r="W111" s="1948">
        <f t="shared" si="18"/>
        <v>0</v>
      </c>
      <c r="X111" s="1948">
        <v>134</v>
      </c>
      <c r="Y111" s="1948">
        <v>39.6</v>
      </c>
      <c r="Z111" s="1948">
        <v>107.2</v>
      </c>
      <c r="AA111" s="1948">
        <v>0.96550000000000002</v>
      </c>
      <c r="AB111" s="1948">
        <v>40.049999999999997</v>
      </c>
      <c r="AC111" s="1948">
        <v>11418</v>
      </c>
      <c r="AD111" s="1948">
        <f t="shared" si="19"/>
        <v>17107</v>
      </c>
      <c r="AE111" s="1948">
        <f t="shared" si="20"/>
        <v>0</v>
      </c>
      <c r="AF111" s="1948">
        <v>134</v>
      </c>
      <c r="AG111" s="1948">
        <v>36.08</v>
      </c>
      <c r="AH111" s="1948">
        <v>107.2</v>
      </c>
      <c r="AI111" s="1948">
        <v>0.96160000000000001</v>
      </c>
      <c r="AJ111" s="1948">
        <v>38.369999999999997</v>
      </c>
      <c r="AK111" s="1948">
        <v>10299</v>
      </c>
      <c r="AL111" s="1948">
        <f t="shared" si="21"/>
        <v>16106</v>
      </c>
      <c r="AM111" s="1948">
        <f t="shared" si="22"/>
        <v>0</v>
      </c>
      <c r="AN111" s="1948">
        <v>134</v>
      </c>
      <c r="AO111" s="1948">
        <v>31.840000000000003</v>
      </c>
      <c r="AP111" s="1948">
        <v>107.2</v>
      </c>
      <c r="AQ111" s="1948">
        <v>0.95469999999999999</v>
      </c>
      <c r="AR111" s="1948">
        <v>41.93</v>
      </c>
      <c r="AS111" s="1948">
        <v>9933</v>
      </c>
      <c r="AT111" s="1948">
        <f t="shared" si="23"/>
        <v>14213</v>
      </c>
      <c r="AU111" s="1948">
        <f t="shared" si="24"/>
        <v>0</v>
      </c>
      <c r="AV111" s="1948">
        <v>134</v>
      </c>
      <c r="AW111" s="1948">
        <v>31.919999999999998</v>
      </c>
      <c r="AX111" s="1948">
        <v>107.2</v>
      </c>
      <c r="AY111" s="1948">
        <v>0.95199999999999996</v>
      </c>
      <c r="AZ111" s="1948">
        <v>42.6</v>
      </c>
      <c r="BA111" s="1948">
        <v>9791</v>
      </c>
      <c r="BB111" s="1948">
        <f t="shared" si="25"/>
        <v>13789</v>
      </c>
      <c r="BC111" s="1948">
        <f t="shared" si="26"/>
        <v>0</v>
      </c>
      <c r="BD111" s="1949">
        <v>134</v>
      </c>
      <c r="BE111" s="1948">
        <v>31.44</v>
      </c>
      <c r="BF111" s="1949">
        <v>107.2</v>
      </c>
      <c r="BG111" s="1949">
        <v>0.93730000000000002</v>
      </c>
      <c r="BH111" s="1949">
        <v>38.880000000000003</v>
      </c>
      <c r="BI111" s="1948">
        <v>9094</v>
      </c>
      <c r="BJ111" s="1948">
        <f t="shared" si="27"/>
        <v>14035</v>
      </c>
      <c r="BK111" s="1948">
        <f t="shared" si="28"/>
        <v>0</v>
      </c>
    </row>
    <row r="112" spans="1:63" ht="15">
      <c r="A112" s="1946">
        <v>124000000049</v>
      </c>
      <c r="B112" s="1947">
        <f t="shared" si="29"/>
        <v>106</v>
      </c>
      <c r="C112" s="1906" t="s">
        <v>3003</v>
      </c>
      <c r="D112" s="1907" t="s">
        <v>524</v>
      </c>
      <c r="E112" s="1906" t="s">
        <v>737</v>
      </c>
      <c r="F112" s="1948" t="s">
        <v>259</v>
      </c>
      <c r="G112" s="1949">
        <v>134</v>
      </c>
      <c r="H112" s="1948">
        <v>134</v>
      </c>
      <c r="I112" s="1950">
        <v>73.52</v>
      </c>
      <c r="J112" s="1948">
        <v>107.2</v>
      </c>
      <c r="K112" s="1948">
        <v>0.98680000000000001</v>
      </c>
      <c r="L112" s="1948">
        <v>25.63</v>
      </c>
      <c r="M112" s="1948">
        <v>13566</v>
      </c>
      <c r="N112" s="1948">
        <f t="shared" si="15"/>
        <v>31761</v>
      </c>
      <c r="O112" s="1948">
        <f t="shared" si="16"/>
        <v>0</v>
      </c>
      <c r="P112" s="1948">
        <v>134</v>
      </c>
      <c r="Q112" s="1948">
        <v>76</v>
      </c>
      <c r="R112" s="1948">
        <v>107.2</v>
      </c>
      <c r="S112" s="1948">
        <v>0.9889</v>
      </c>
      <c r="T112" s="1948">
        <v>25.08</v>
      </c>
      <c r="U112" s="1948">
        <v>13724</v>
      </c>
      <c r="V112" s="1948">
        <f t="shared" si="17"/>
        <v>33926</v>
      </c>
      <c r="W112" s="1948">
        <f t="shared" si="18"/>
        <v>0</v>
      </c>
      <c r="X112" s="1948">
        <v>134</v>
      </c>
      <c r="Y112" s="1948">
        <v>77.92</v>
      </c>
      <c r="Z112" s="1948">
        <v>107.2</v>
      </c>
      <c r="AA112" s="1948">
        <v>0.98509999999999998</v>
      </c>
      <c r="AB112" s="1948">
        <v>22.64</v>
      </c>
      <c r="AC112" s="1948">
        <v>13126</v>
      </c>
      <c r="AD112" s="1948">
        <f t="shared" si="19"/>
        <v>33661</v>
      </c>
      <c r="AE112" s="1948">
        <f t="shared" si="20"/>
        <v>0</v>
      </c>
      <c r="AF112" s="1948">
        <v>134</v>
      </c>
      <c r="AG112" s="1948">
        <v>57.92</v>
      </c>
      <c r="AH112" s="1948">
        <v>107.2</v>
      </c>
      <c r="AI112" s="1948">
        <v>0.98340000000000005</v>
      </c>
      <c r="AJ112" s="1948">
        <v>27.33</v>
      </c>
      <c r="AK112" s="1948">
        <v>11777</v>
      </c>
      <c r="AL112" s="1948">
        <f t="shared" si="21"/>
        <v>25855</v>
      </c>
      <c r="AM112" s="1948">
        <f t="shared" si="22"/>
        <v>0</v>
      </c>
      <c r="AN112" s="1948">
        <v>134</v>
      </c>
      <c r="AO112" s="1948">
        <v>56.16</v>
      </c>
      <c r="AP112" s="1948">
        <v>107.2</v>
      </c>
      <c r="AQ112" s="1948">
        <v>0.98580000000000001</v>
      </c>
      <c r="AR112" s="1948">
        <v>23.91</v>
      </c>
      <c r="AS112" s="1948">
        <v>9992</v>
      </c>
      <c r="AT112" s="1948">
        <f t="shared" si="23"/>
        <v>25070</v>
      </c>
      <c r="AU112" s="1948">
        <f t="shared" si="24"/>
        <v>0</v>
      </c>
      <c r="AV112" s="1948">
        <v>134</v>
      </c>
      <c r="AW112" s="1948">
        <v>63.316800000000001</v>
      </c>
      <c r="AX112" s="1948">
        <v>107.2</v>
      </c>
      <c r="AY112" s="1948">
        <v>0.98099999999999998</v>
      </c>
      <c r="AZ112" s="1948">
        <v>29.16</v>
      </c>
      <c r="BA112" s="1948">
        <v>13292</v>
      </c>
      <c r="BB112" s="1948">
        <f t="shared" si="25"/>
        <v>27353</v>
      </c>
      <c r="BC112" s="1948">
        <f t="shared" si="26"/>
        <v>0</v>
      </c>
      <c r="BD112" s="1949">
        <v>134</v>
      </c>
      <c r="BE112" s="1948">
        <v>95.742000000000004</v>
      </c>
      <c r="BF112" s="1949">
        <v>107.2</v>
      </c>
      <c r="BG112" s="1949">
        <v>0.97770000000000001</v>
      </c>
      <c r="BH112" s="1949">
        <v>22.57</v>
      </c>
      <c r="BI112" s="1948">
        <v>11375</v>
      </c>
      <c r="BJ112" s="1948">
        <f t="shared" si="27"/>
        <v>42739</v>
      </c>
      <c r="BK112" s="1948">
        <f t="shared" si="28"/>
        <v>0</v>
      </c>
    </row>
    <row r="113" spans="1:63" ht="15">
      <c r="A113" s="1946">
        <v>121000000050</v>
      </c>
      <c r="B113" s="1947">
        <f t="shared" si="29"/>
        <v>107</v>
      </c>
      <c r="C113" s="1906" t="s">
        <v>3547</v>
      </c>
      <c r="D113" s="1907" t="s">
        <v>524</v>
      </c>
      <c r="E113" s="1906" t="s">
        <v>636</v>
      </c>
      <c r="F113" s="1948" t="s">
        <v>259</v>
      </c>
      <c r="G113" s="1949">
        <v>134</v>
      </c>
      <c r="H113" s="1948">
        <v>134</v>
      </c>
      <c r="I113" s="1950">
        <v>69.8</v>
      </c>
      <c r="J113" s="1948">
        <v>107.2</v>
      </c>
      <c r="K113" s="1948">
        <v>0.98060000000000003</v>
      </c>
      <c r="L113" s="1948">
        <v>35.31</v>
      </c>
      <c r="M113" s="1948">
        <v>17745</v>
      </c>
      <c r="N113" s="1948">
        <f t="shared" si="15"/>
        <v>30154</v>
      </c>
      <c r="O113" s="1948">
        <f t="shared" si="16"/>
        <v>0</v>
      </c>
      <c r="P113" s="1948">
        <v>134</v>
      </c>
      <c r="Q113" s="1948">
        <v>66.28</v>
      </c>
      <c r="R113" s="1948">
        <v>107.2</v>
      </c>
      <c r="S113" s="1948">
        <v>0.98629999999999995</v>
      </c>
      <c r="T113" s="1948">
        <v>39.76</v>
      </c>
      <c r="U113" s="1948">
        <v>19606</v>
      </c>
      <c r="V113" s="1948">
        <f t="shared" si="17"/>
        <v>29587</v>
      </c>
      <c r="W113" s="1948">
        <f t="shared" si="18"/>
        <v>0</v>
      </c>
      <c r="X113" s="1948">
        <v>134</v>
      </c>
      <c r="Y113" s="1948">
        <v>111.80000000000001</v>
      </c>
      <c r="Z113" s="1948">
        <v>111.8</v>
      </c>
      <c r="AA113" s="1948">
        <v>0.98509999999999998</v>
      </c>
      <c r="AB113" s="1948">
        <v>23.59</v>
      </c>
      <c r="AC113" s="1948">
        <v>18985</v>
      </c>
      <c r="AD113" s="1948">
        <f t="shared" si="19"/>
        <v>48298</v>
      </c>
      <c r="AE113" s="1948">
        <f t="shared" si="20"/>
        <v>0</v>
      </c>
      <c r="AF113" s="1948">
        <v>134</v>
      </c>
      <c r="AG113" s="1948">
        <v>71.679999999999993</v>
      </c>
      <c r="AH113" s="1948">
        <v>107.2</v>
      </c>
      <c r="AI113" s="1948">
        <v>0.98309999999999997</v>
      </c>
      <c r="AJ113" s="1948">
        <v>35.549999999999997</v>
      </c>
      <c r="AK113" s="1948">
        <v>18959</v>
      </c>
      <c r="AL113" s="1948">
        <f t="shared" si="21"/>
        <v>31998</v>
      </c>
      <c r="AM113" s="1948">
        <f t="shared" si="22"/>
        <v>0</v>
      </c>
      <c r="AN113" s="1948">
        <v>134</v>
      </c>
      <c r="AO113" s="1948">
        <v>103.52</v>
      </c>
      <c r="AP113" s="1948">
        <v>107.2</v>
      </c>
      <c r="AQ113" s="1948">
        <v>0.97170000000000001</v>
      </c>
      <c r="AR113" s="1948">
        <v>21.73</v>
      </c>
      <c r="AS113" s="1948">
        <v>16735</v>
      </c>
      <c r="AT113" s="1948">
        <f t="shared" si="23"/>
        <v>46211</v>
      </c>
      <c r="AU113" s="1948">
        <f t="shared" si="24"/>
        <v>0</v>
      </c>
      <c r="AV113" s="1948">
        <v>134</v>
      </c>
      <c r="AW113" s="1948">
        <v>67.52</v>
      </c>
      <c r="AX113" s="1948">
        <v>107.2</v>
      </c>
      <c r="AY113" s="1948">
        <v>0.9768</v>
      </c>
      <c r="AZ113" s="1948">
        <v>37.119999999999997</v>
      </c>
      <c r="BA113" s="1948">
        <v>18048</v>
      </c>
      <c r="BB113" s="1948">
        <f t="shared" si="25"/>
        <v>29169</v>
      </c>
      <c r="BC113" s="1948">
        <f t="shared" si="26"/>
        <v>0</v>
      </c>
      <c r="BD113" s="1949">
        <v>134</v>
      </c>
      <c r="BE113" s="1948">
        <v>57.8</v>
      </c>
      <c r="BF113" s="1949">
        <v>107.2</v>
      </c>
      <c r="BG113" s="1949">
        <v>0.96960000000000002</v>
      </c>
      <c r="BH113" s="1949">
        <v>40.200000000000003</v>
      </c>
      <c r="BI113" s="1948">
        <v>17289</v>
      </c>
      <c r="BJ113" s="1948">
        <f t="shared" si="27"/>
        <v>25802</v>
      </c>
      <c r="BK113" s="1948">
        <f t="shared" si="28"/>
        <v>0</v>
      </c>
    </row>
    <row r="114" spans="1:63" ht="15">
      <c r="A114" s="1946">
        <v>121000000068</v>
      </c>
      <c r="B114" s="1947">
        <f t="shared" si="29"/>
        <v>108</v>
      </c>
      <c r="C114" s="1906" t="s">
        <v>2999</v>
      </c>
      <c r="D114" s="1907" t="s">
        <v>524</v>
      </c>
      <c r="E114" s="1906" t="s">
        <v>541</v>
      </c>
      <c r="F114" s="1948" t="s">
        <v>259</v>
      </c>
      <c r="G114" s="1949">
        <v>134</v>
      </c>
      <c r="H114" s="1948">
        <v>134</v>
      </c>
      <c r="I114" s="1950">
        <v>155.44</v>
      </c>
      <c r="J114" s="1948">
        <v>155.44</v>
      </c>
      <c r="K114" s="1948">
        <v>0.86709999999999998</v>
      </c>
      <c r="L114" s="1948">
        <v>50.81</v>
      </c>
      <c r="M114" s="1948">
        <v>56862</v>
      </c>
      <c r="N114" s="1948">
        <f t="shared" si="15"/>
        <v>67150</v>
      </c>
      <c r="O114" s="1948">
        <f t="shared" si="16"/>
        <v>0</v>
      </c>
      <c r="P114" s="1948">
        <v>134</v>
      </c>
      <c r="Q114" s="1948">
        <v>155.28</v>
      </c>
      <c r="R114" s="1948">
        <v>155.28</v>
      </c>
      <c r="S114" s="1948">
        <v>0.84750000000000003</v>
      </c>
      <c r="T114" s="1948">
        <v>46.65</v>
      </c>
      <c r="U114" s="1948">
        <v>53898</v>
      </c>
      <c r="V114" s="1948">
        <f t="shared" si="17"/>
        <v>69317</v>
      </c>
      <c r="W114" s="1948">
        <f t="shared" si="18"/>
        <v>0</v>
      </c>
      <c r="X114" s="1948">
        <v>134</v>
      </c>
      <c r="Y114" s="1948">
        <v>145.28</v>
      </c>
      <c r="Z114" s="1948">
        <v>145.28</v>
      </c>
      <c r="AA114" s="1948">
        <v>0.74099999999999999</v>
      </c>
      <c r="AB114" s="1948">
        <v>17.21</v>
      </c>
      <c r="AC114" s="1948">
        <v>18005</v>
      </c>
      <c r="AD114" s="1948">
        <f t="shared" si="19"/>
        <v>62761</v>
      </c>
      <c r="AE114" s="1948">
        <f t="shared" si="20"/>
        <v>0</v>
      </c>
      <c r="AF114" s="1948">
        <v>134</v>
      </c>
      <c r="AG114" s="1948">
        <v>148.4</v>
      </c>
      <c r="AH114" s="1948">
        <v>148.4</v>
      </c>
      <c r="AI114" s="1948">
        <v>0.8417</v>
      </c>
      <c r="AJ114" s="1948">
        <v>10.47</v>
      </c>
      <c r="AK114" s="1948">
        <v>11560</v>
      </c>
      <c r="AL114" s="1948">
        <f t="shared" si="21"/>
        <v>66246</v>
      </c>
      <c r="AM114" s="1948">
        <f t="shared" si="22"/>
        <v>0</v>
      </c>
      <c r="AN114" s="1948">
        <v>134</v>
      </c>
      <c r="AO114" s="1948">
        <v>111.44000000000001</v>
      </c>
      <c r="AP114" s="1948">
        <v>111.44</v>
      </c>
      <c r="AQ114" s="1948">
        <v>0.88349999999999995</v>
      </c>
      <c r="AR114" s="1948">
        <v>20.079999999999998</v>
      </c>
      <c r="AS114" s="1948">
        <v>16645</v>
      </c>
      <c r="AT114" s="1948">
        <f t="shared" si="23"/>
        <v>49747</v>
      </c>
      <c r="AU114" s="1948">
        <f t="shared" si="24"/>
        <v>0</v>
      </c>
      <c r="AV114" s="1948">
        <v>134</v>
      </c>
      <c r="AW114" s="1948">
        <v>52.72</v>
      </c>
      <c r="AX114" s="1948">
        <v>107.2</v>
      </c>
      <c r="AY114" s="1948">
        <v>0.82240000000000002</v>
      </c>
      <c r="AZ114" s="1948">
        <v>11.04</v>
      </c>
      <c r="BA114" s="1948">
        <v>4191</v>
      </c>
      <c r="BB114" s="1948">
        <f t="shared" si="25"/>
        <v>22775</v>
      </c>
      <c r="BC114" s="1948">
        <f t="shared" si="26"/>
        <v>0</v>
      </c>
      <c r="BD114" s="1949">
        <v>134</v>
      </c>
      <c r="BE114" s="1948">
        <v>12.16</v>
      </c>
      <c r="BF114" s="1949">
        <v>107.2</v>
      </c>
      <c r="BG114" s="1949">
        <v>0.98209999999999997</v>
      </c>
      <c r="BH114" s="1949">
        <v>25.39</v>
      </c>
      <c r="BI114" s="1948">
        <v>2297</v>
      </c>
      <c r="BJ114" s="1948">
        <f t="shared" si="27"/>
        <v>5428</v>
      </c>
      <c r="BK114" s="1948">
        <f t="shared" si="28"/>
        <v>0</v>
      </c>
    </row>
    <row r="115" spans="1:63" ht="15">
      <c r="A115" s="1946">
        <v>121000000084</v>
      </c>
      <c r="B115" s="1947">
        <f t="shared" si="29"/>
        <v>109</v>
      </c>
      <c r="C115" s="1906" t="s">
        <v>2997</v>
      </c>
      <c r="D115" s="1907" t="s">
        <v>524</v>
      </c>
      <c r="E115" s="1906" t="s">
        <v>2966</v>
      </c>
      <c r="F115" s="1948" t="s">
        <v>259</v>
      </c>
      <c r="G115" s="1949">
        <v>134</v>
      </c>
      <c r="H115" s="1948">
        <v>134</v>
      </c>
      <c r="I115" s="1950">
        <v>61.440000000000005</v>
      </c>
      <c r="J115" s="1948">
        <v>134</v>
      </c>
      <c r="K115" s="1948">
        <v>0.80230000000000001</v>
      </c>
      <c r="L115" s="1948">
        <v>0</v>
      </c>
      <c r="M115" s="1948">
        <v>12249</v>
      </c>
      <c r="N115" s="1948">
        <f t="shared" si="15"/>
        <v>26542</v>
      </c>
      <c r="O115" s="1948">
        <f t="shared" si="16"/>
        <v>0</v>
      </c>
      <c r="P115" s="1948">
        <v>134</v>
      </c>
      <c r="Q115" s="1948">
        <v>59.519999999999996</v>
      </c>
      <c r="R115" s="1948">
        <v>134</v>
      </c>
      <c r="S115" s="1948">
        <v>0.8276</v>
      </c>
      <c r="T115" s="1948">
        <v>0</v>
      </c>
      <c r="U115" s="1948">
        <v>12969</v>
      </c>
      <c r="V115" s="1948">
        <f t="shared" si="17"/>
        <v>26570</v>
      </c>
      <c r="W115" s="1948">
        <f t="shared" si="18"/>
        <v>0</v>
      </c>
      <c r="X115" s="1948">
        <v>134</v>
      </c>
      <c r="Y115" s="1948">
        <v>53.28</v>
      </c>
      <c r="Z115" s="1948">
        <v>134</v>
      </c>
      <c r="AA115" s="1948">
        <v>0.81710000000000005</v>
      </c>
      <c r="AB115" s="1948">
        <v>0</v>
      </c>
      <c r="AC115" s="1948">
        <v>5514</v>
      </c>
      <c r="AD115" s="1948">
        <f t="shared" si="19"/>
        <v>23017</v>
      </c>
      <c r="AE115" s="1948">
        <f t="shared" si="20"/>
        <v>0</v>
      </c>
      <c r="AF115" s="1948">
        <v>134</v>
      </c>
      <c r="AG115" s="1948">
        <v>1.9200000000000002</v>
      </c>
      <c r="AH115" s="1948">
        <v>134</v>
      </c>
      <c r="AI115" s="1948">
        <v>0.6875</v>
      </c>
      <c r="AJ115" s="1948">
        <v>0</v>
      </c>
      <c r="AK115" s="1948">
        <v>96</v>
      </c>
      <c r="AL115" s="1948">
        <f t="shared" si="21"/>
        <v>857</v>
      </c>
      <c r="AM115" s="1948">
        <f t="shared" si="22"/>
        <v>0</v>
      </c>
      <c r="AN115" s="1948">
        <v>134</v>
      </c>
      <c r="AO115" s="1948">
        <v>1.9200000000000002</v>
      </c>
      <c r="AP115" s="1948">
        <v>134</v>
      </c>
      <c r="AQ115" s="1948">
        <v>0.60340000000000005</v>
      </c>
      <c r="AR115" s="1948">
        <v>0</v>
      </c>
      <c r="AS115" s="1948">
        <v>696</v>
      </c>
      <c r="AT115" s="1948">
        <f t="shared" si="23"/>
        <v>857</v>
      </c>
      <c r="AU115" s="1948">
        <f t="shared" si="24"/>
        <v>0</v>
      </c>
      <c r="AV115" s="1948">
        <v>134</v>
      </c>
      <c r="AW115" s="1948">
        <v>1.9200000000000002</v>
      </c>
      <c r="AX115" s="1948">
        <v>134</v>
      </c>
      <c r="AY115" s="1948">
        <v>0.60899999999999999</v>
      </c>
      <c r="AZ115" s="1948">
        <v>0</v>
      </c>
      <c r="BA115" s="1948">
        <v>660</v>
      </c>
      <c r="BB115" s="1948">
        <f t="shared" si="25"/>
        <v>829</v>
      </c>
      <c r="BC115" s="1948">
        <f t="shared" si="26"/>
        <v>0</v>
      </c>
      <c r="BD115" s="1949">
        <v>134</v>
      </c>
      <c r="BE115" s="1948">
        <v>3.6</v>
      </c>
      <c r="BF115" s="1949">
        <v>134</v>
      </c>
      <c r="BG115" s="1949">
        <v>0.54039999999999999</v>
      </c>
      <c r="BH115" s="1949">
        <v>0</v>
      </c>
      <c r="BI115" s="1948">
        <v>816</v>
      </c>
      <c r="BJ115" s="1948">
        <f t="shared" si="27"/>
        <v>1607</v>
      </c>
      <c r="BK115" s="1948">
        <f t="shared" si="28"/>
        <v>0</v>
      </c>
    </row>
    <row r="116" spans="1:63" ht="15">
      <c r="A116" s="1946">
        <v>611000000070</v>
      </c>
      <c r="B116" s="1947">
        <f t="shared" si="29"/>
        <v>110</v>
      </c>
      <c r="C116" s="1906" t="s">
        <v>3006</v>
      </c>
      <c r="D116" s="1907" t="s">
        <v>524</v>
      </c>
      <c r="E116" s="1906" t="s">
        <v>636</v>
      </c>
      <c r="F116" s="1948" t="s">
        <v>259</v>
      </c>
      <c r="G116" s="1949">
        <v>134</v>
      </c>
      <c r="H116" s="1948">
        <v>134</v>
      </c>
      <c r="I116" s="1950">
        <v>66.080000000000013</v>
      </c>
      <c r="J116" s="1948">
        <v>107.2</v>
      </c>
      <c r="K116" s="1948">
        <v>0.83589999999999998</v>
      </c>
      <c r="L116" s="1948">
        <v>36.380000000000003</v>
      </c>
      <c r="M116" s="1948">
        <v>17311</v>
      </c>
      <c r="N116" s="1948">
        <f t="shared" si="15"/>
        <v>28547</v>
      </c>
      <c r="O116" s="1948">
        <f t="shared" si="16"/>
        <v>0</v>
      </c>
      <c r="P116" s="1948">
        <v>134</v>
      </c>
      <c r="Q116" s="1948">
        <v>77.2</v>
      </c>
      <c r="R116" s="1948">
        <v>107.2</v>
      </c>
      <c r="S116" s="1948">
        <v>0.84599999999999997</v>
      </c>
      <c r="T116" s="1948">
        <v>34.6</v>
      </c>
      <c r="U116" s="1948">
        <v>19873</v>
      </c>
      <c r="V116" s="1948">
        <f t="shared" si="17"/>
        <v>34462</v>
      </c>
      <c r="W116" s="1948">
        <f t="shared" si="18"/>
        <v>0</v>
      </c>
      <c r="X116" s="1948">
        <v>134</v>
      </c>
      <c r="Y116" s="1948">
        <v>52.16</v>
      </c>
      <c r="Z116" s="1948">
        <v>107.2</v>
      </c>
      <c r="AA116" s="1948">
        <v>0.85119999999999996</v>
      </c>
      <c r="AB116" s="1948">
        <v>53.42</v>
      </c>
      <c r="AC116" s="1948">
        <v>20061</v>
      </c>
      <c r="AD116" s="1948">
        <f t="shared" si="19"/>
        <v>22533</v>
      </c>
      <c r="AE116" s="1948">
        <f t="shared" si="20"/>
        <v>0</v>
      </c>
      <c r="AF116" s="1948">
        <v>134</v>
      </c>
      <c r="AG116" s="1948">
        <v>56.32</v>
      </c>
      <c r="AH116" s="1948">
        <v>107.2</v>
      </c>
      <c r="AI116" s="1948">
        <v>0.84019999999999995</v>
      </c>
      <c r="AJ116" s="1948">
        <v>48.01</v>
      </c>
      <c r="AK116" s="1948">
        <v>18171</v>
      </c>
      <c r="AL116" s="1948">
        <f t="shared" si="21"/>
        <v>25141</v>
      </c>
      <c r="AM116" s="1948">
        <f t="shared" si="22"/>
        <v>0</v>
      </c>
      <c r="AN116" s="1948">
        <v>134</v>
      </c>
      <c r="AO116" s="1948">
        <v>45.519999999999996</v>
      </c>
      <c r="AP116" s="1948">
        <v>107.2</v>
      </c>
      <c r="AQ116" s="1948">
        <v>0.79300000000000004</v>
      </c>
      <c r="AR116" s="1948">
        <v>52.72</v>
      </c>
      <c r="AS116" s="1948">
        <v>18429</v>
      </c>
      <c r="AT116" s="1948">
        <f t="shared" si="23"/>
        <v>20320</v>
      </c>
      <c r="AU116" s="1948">
        <f t="shared" si="24"/>
        <v>0</v>
      </c>
      <c r="AV116" s="1948">
        <v>134</v>
      </c>
      <c r="AW116" s="1948">
        <v>45.440000000000005</v>
      </c>
      <c r="AX116" s="1948">
        <v>107.2</v>
      </c>
      <c r="AY116" s="1948">
        <v>0.78979999999999995</v>
      </c>
      <c r="AZ116" s="1948">
        <v>54.53</v>
      </c>
      <c r="BA116" s="1948">
        <v>19029</v>
      </c>
      <c r="BB116" s="1948">
        <f t="shared" si="25"/>
        <v>19630</v>
      </c>
      <c r="BC116" s="1948">
        <f t="shared" si="26"/>
        <v>0</v>
      </c>
      <c r="BD116" s="1949">
        <v>134</v>
      </c>
      <c r="BE116" s="1948">
        <v>51.359999999999992</v>
      </c>
      <c r="BF116" s="1949">
        <v>107.2</v>
      </c>
      <c r="BG116" s="1949">
        <v>0.75260000000000005</v>
      </c>
      <c r="BH116" s="1949">
        <v>46.06</v>
      </c>
      <c r="BI116" s="1948">
        <v>17601</v>
      </c>
      <c r="BJ116" s="1948">
        <f t="shared" si="27"/>
        <v>22927</v>
      </c>
      <c r="BK116" s="1948">
        <f t="shared" si="28"/>
        <v>0</v>
      </c>
    </row>
    <row r="117" spans="1:63" ht="15">
      <c r="A117" s="1946">
        <v>611000000081</v>
      </c>
      <c r="B117" s="1947">
        <f t="shared" si="29"/>
        <v>111</v>
      </c>
      <c r="C117" s="1906" t="s">
        <v>3007</v>
      </c>
      <c r="D117" s="1907" t="s">
        <v>524</v>
      </c>
      <c r="E117" s="1906" t="s">
        <v>636</v>
      </c>
      <c r="F117" s="1948" t="s">
        <v>259</v>
      </c>
      <c r="G117" s="1949">
        <v>134</v>
      </c>
      <c r="H117" s="1948">
        <v>134</v>
      </c>
      <c r="I117" s="1950">
        <v>99.28</v>
      </c>
      <c r="J117" s="1948">
        <v>107.2</v>
      </c>
      <c r="K117" s="1948">
        <v>0.88349999999999995</v>
      </c>
      <c r="L117" s="1948">
        <v>30.28</v>
      </c>
      <c r="M117" s="1948">
        <v>21642</v>
      </c>
      <c r="N117" s="1948">
        <f t="shared" si="15"/>
        <v>42889</v>
      </c>
      <c r="O117" s="1948">
        <f t="shared" si="16"/>
        <v>0</v>
      </c>
      <c r="P117" s="1948">
        <v>134</v>
      </c>
      <c r="Q117" s="1948">
        <v>102.96000000000001</v>
      </c>
      <c r="R117" s="1948">
        <v>107.2</v>
      </c>
      <c r="S117" s="1948">
        <v>0.87670000000000003</v>
      </c>
      <c r="T117" s="1948">
        <v>31.01</v>
      </c>
      <c r="U117" s="1948">
        <v>23757</v>
      </c>
      <c r="V117" s="1948">
        <f t="shared" si="17"/>
        <v>45961</v>
      </c>
      <c r="W117" s="1948">
        <f t="shared" si="18"/>
        <v>0</v>
      </c>
      <c r="X117" s="1948">
        <v>134</v>
      </c>
      <c r="Y117" s="1948">
        <v>110.08</v>
      </c>
      <c r="Z117" s="1948">
        <v>110.08</v>
      </c>
      <c r="AA117" s="1948">
        <v>0.87849999999999995</v>
      </c>
      <c r="AB117" s="1948">
        <v>33.53</v>
      </c>
      <c r="AC117" s="1948">
        <v>26573</v>
      </c>
      <c r="AD117" s="1948">
        <f t="shared" si="19"/>
        <v>47555</v>
      </c>
      <c r="AE117" s="1948">
        <f t="shared" si="20"/>
        <v>0</v>
      </c>
      <c r="AF117" s="1948">
        <v>134</v>
      </c>
      <c r="AG117" s="1948">
        <v>78.08</v>
      </c>
      <c r="AH117" s="1948">
        <v>107.2</v>
      </c>
      <c r="AI117" s="1948">
        <v>0.86</v>
      </c>
      <c r="AJ117" s="1948">
        <v>33.979999999999997</v>
      </c>
      <c r="AK117" s="1948">
        <v>19741</v>
      </c>
      <c r="AL117" s="1948">
        <f t="shared" si="21"/>
        <v>34855</v>
      </c>
      <c r="AM117" s="1948">
        <f t="shared" si="22"/>
        <v>0</v>
      </c>
      <c r="AN117" s="1948">
        <v>134</v>
      </c>
      <c r="AO117" s="1948">
        <v>85.04</v>
      </c>
      <c r="AP117" s="1948">
        <v>107.2</v>
      </c>
      <c r="AQ117" s="1948">
        <v>0.85029999999999994</v>
      </c>
      <c r="AR117" s="1948">
        <v>32.81</v>
      </c>
      <c r="AS117" s="1948">
        <v>20757</v>
      </c>
      <c r="AT117" s="1948">
        <f t="shared" si="23"/>
        <v>37962</v>
      </c>
      <c r="AU117" s="1948">
        <f t="shared" si="24"/>
        <v>0</v>
      </c>
      <c r="AV117" s="1948">
        <v>134</v>
      </c>
      <c r="AW117" s="1948">
        <v>89.36</v>
      </c>
      <c r="AX117" s="1948">
        <v>107.2</v>
      </c>
      <c r="AY117" s="1948">
        <v>0.8407</v>
      </c>
      <c r="AZ117" s="1948">
        <v>30.44</v>
      </c>
      <c r="BA117" s="1948">
        <v>19587</v>
      </c>
      <c r="BB117" s="1948">
        <f t="shared" si="25"/>
        <v>38604</v>
      </c>
      <c r="BC117" s="1948">
        <f t="shared" si="26"/>
        <v>0</v>
      </c>
      <c r="BD117" s="1949">
        <v>134</v>
      </c>
      <c r="BE117" s="1948">
        <v>90.4</v>
      </c>
      <c r="BF117" s="1949">
        <v>107.2</v>
      </c>
      <c r="BG117" s="1949">
        <v>0.84040000000000004</v>
      </c>
      <c r="BH117" s="1949">
        <v>28.01</v>
      </c>
      <c r="BI117" s="1948">
        <v>18837</v>
      </c>
      <c r="BJ117" s="1948">
        <f t="shared" si="27"/>
        <v>40355</v>
      </c>
      <c r="BK117" s="1948">
        <f t="shared" si="28"/>
        <v>0</v>
      </c>
    </row>
    <row r="118" spans="1:63" ht="15">
      <c r="A118" s="1946">
        <v>615000000033</v>
      </c>
      <c r="B118" s="1947">
        <f t="shared" si="29"/>
        <v>112</v>
      </c>
      <c r="C118" s="1906" t="s">
        <v>3008</v>
      </c>
      <c r="D118" s="1907" t="s">
        <v>524</v>
      </c>
      <c r="E118" s="1906" t="s">
        <v>541</v>
      </c>
      <c r="F118" s="1948" t="s">
        <v>259</v>
      </c>
      <c r="G118" s="1949">
        <v>134</v>
      </c>
      <c r="H118" s="1948">
        <v>134</v>
      </c>
      <c r="I118" s="1950">
        <v>137.19999999999999</v>
      </c>
      <c r="J118" s="1948">
        <v>137.19999999999999</v>
      </c>
      <c r="K118" s="1948">
        <v>0.97450000000000003</v>
      </c>
      <c r="L118" s="1948">
        <v>22.74</v>
      </c>
      <c r="M118" s="1948">
        <v>23215</v>
      </c>
      <c r="N118" s="1948">
        <f t="shared" si="15"/>
        <v>59270</v>
      </c>
      <c r="O118" s="1948">
        <f t="shared" si="16"/>
        <v>0</v>
      </c>
      <c r="P118" s="1948">
        <v>134</v>
      </c>
      <c r="Q118" s="1948">
        <v>142.88</v>
      </c>
      <c r="R118" s="1948">
        <v>142.88</v>
      </c>
      <c r="S118" s="1948">
        <v>0.97870000000000001</v>
      </c>
      <c r="T118" s="1948">
        <v>24.11</v>
      </c>
      <c r="U118" s="1948">
        <v>24807</v>
      </c>
      <c r="V118" s="1948">
        <f t="shared" si="17"/>
        <v>63782</v>
      </c>
      <c r="W118" s="1948">
        <f t="shared" si="18"/>
        <v>0</v>
      </c>
      <c r="X118" s="1948">
        <v>134</v>
      </c>
      <c r="Y118" s="1948">
        <v>132.96</v>
      </c>
      <c r="Z118" s="1948">
        <v>132.96</v>
      </c>
      <c r="AA118" s="1948">
        <v>0.94179999999999997</v>
      </c>
      <c r="AB118" s="1948">
        <v>10.06</v>
      </c>
      <c r="AC118" s="1948">
        <v>9629</v>
      </c>
      <c r="AD118" s="1948">
        <f t="shared" si="19"/>
        <v>57439</v>
      </c>
      <c r="AE118" s="1948">
        <f t="shared" si="20"/>
        <v>0</v>
      </c>
      <c r="AF118" s="1948">
        <v>134</v>
      </c>
      <c r="AG118" s="1948">
        <v>157.76</v>
      </c>
      <c r="AH118" s="1948">
        <v>157.76</v>
      </c>
      <c r="AI118" s="1948">
        <v>0.95320000000000005</v>
      </c>
      <c r="AJ118" s="1948">
        <v>14.57</v>
      </c>
      <c r="AK118" s="1948">
        <v>17096</v>
      </c>
      <c r="AL118" s="1948">
        <f t="shared" si="21"/>
        <v>70424</v>
      </c>
      <c r="AM118" s="1948">
        <f t="shared" si="22"/>
        <v>0</v>
      </c>
      <c r="AN118" s="1948">
        <v>134</v>
      </c>
      <c r="AO118" s="1948">
        <v>161.52000000000001</v>
      </c>
      <c r="AP118" s="1948">
        <v>161.52000000000001</v>
      </c>
      <c r="AQ118" s="1948">
        <v>0.97370000000000001</v>
      </c>
      <c r="AR118" s="1948">
        <v>17.96</v>
      </c>
      <c r="AS118" s="1948">
        <v>21585</v>
      </c>
      <c r="AT118" s="1948">
        <f t="shared" si="23"/>
        <v>72103</v>
      </c>
      <c r="AU118" s="1948">
        <f t="shared" si="24"/>
        <v>0</v>
      </c>
      <c r="AV118" s="1948">
        <v>134</v>
      </c>
      <c r="AW118" s="1948">
        <v>174</v>
      </c>
      <c r="AX118" s="1948">
        <v>174</v>
      </c>
      <c r="AY118" s="1948">
        <v>0.97919999999999996</v>
      </c>
      <c r="AZ118" s="1948">
        <v>18.04</v>
      </c>
      <c r="BA118" s="1948">
        <v>22604</v>
      </c>
      <c r="BB118" s="1948">
        <f t="shared" si="25"/>
        <v>75168</v>
      </c>
      <c r="BC118" s="1948">
        <f t="shared" si="26"/>
        <v>0</v>
      </c>
      <c r="BD118" s="1949">
        <v>134</v>
      </c>
      <c r="BE118" s="1949">
        <v>155.04</v>
      </c>
      <c r="BF118" s="1949">
        <v>155.04</v>
      </c>
      <c r="BG118" s="1949">
        <v>0.98480000000000001</v>
      </c>
      <c r="BH118" s="1949">
        <v>20.420000000000002</v>
      </c>
      <c r="BI118" s="1948">
        <v>23550</v>
      </c>
      <c r="BJ118" s="1948">
        <f t="shared" si="27"/>
        <v>69210</v>
      </c>
      <c r="BK118" s="1948">
        <f t="shared" si="28"/>
        <v>0</v>
      </c>
    </row>
    <row r="119" spans="1:63" ht="15">
      <c r="A119" s="1946">
        <v>622000000177</v>
      </c>
      <c r="B119" s="1947">
        <f t="shared" si="29"/>
        <v>113</v>
      </c>
      <c r="C119" s="1906" t="s">
        <v>3009</v>
      </c>
      <c r="D119" s="1907" t="s">
        <v>524</v>
      </c>
      <c r="E119" s="1906" t="s">
        <v>636</v>
      </c>
      <c r="F119" s="1948" t="s">
        <v>259</v>
      </c>
      <c r="G119" s="1949">
        <v>134</v>
      </c>
      <c r="H119" s="1948">
        <v>134</v>
      </c>
      <c r="I119" s="1950">
        <v>31.52</v>
      </c>
      <c r="J119" s="1948">
        <v>107.2</v>
      </c>
      <c r="K119" s="1948">
        <v>0.99309999999999998</v>
      </c>
      <c r="L119" s="1948">
        <v>32.090000000000003</v>
      </c>
      <c r="M119" s="1948">
        <v>8012</v>
      </c>
      <c r="N119" s="1948">
        <f t="shared" si="15"/>
        <v>13617</v>
      </c>
      <c r="O119" s="1948">
        <f t="shared" si="16"/>
        <v>0</v>
      </c>
      <c r="P119" s="1948">
        <v>134</v>
      </c>
      <c r="Q119" s="1948">
        <v>50.239999999999995</v>
      </c>
      <c r="R119" s="1948">
        <v>107.2</v>
      </c>
      <c r="S119" s="1948">
        <v>0.99450000000000005</v>
      </c>
      <c r="T119" s="1948">
        <v>23.22</v>
      </c>
      <c r="U119" s="1948">
        <v>7280</v>
      </c>
      <c r="V119" s="1948">
        <f t="shared" si="17"/>
        <v>22427</v>
      </c>
      <c r="W119" s="1948">
        <f t="shared" si="18"/>
        <v>0</v>
      </c>
      <c r="X119" s="1948">
        <v>134</v>
      </c>
      <c r="Y119" s="1948">
        <v>51.839999999999996</v>
      </c>
      <c r="Z119" s="1948">
        <v>107.2</v>
      </c>
      <c r="AA119" s="1948">
        <v>0.998</v>
      </c>
      <c r="AB119" s="1948">
        <v>28.89</v>
      </c>
      <c r="AC119" s="1948">
        <v>12582</v>
      </c>
      <c r="AD119" s="1948">
        <f t="shared" si="19"/>
        <v>22395</v>
      </c>
      <c r="AE119" s="1948">
        <f t="shared" si="20"/>
        <v>0</v>
      </c>
      <c r="AF119" s="1948">
        <v>134</v>
      </c>
      <c r="AG119" s="1948">
        <v>30.48</v>
      </c>
      <c r="AH119" s="1948">
        <v>107.2</v>
      </c>
      <c r="AI119" s="1948">
        <v>0.99470000000000003</v>
      </c>
      <c r="AJ119" s="1948">
        <v>35.520000000000003</v>
      </c>
      <c r="AK119" s="1948">
        <v>8054</v>
      </c>
      <c r="AL119" s="1948">
        <f t="shared" si="21"/>
        <v>13606</v>
      </c>
      <c r="AM119" s="1948">
        <f t="shared" si="22"/>
        <v>0</v>
      </c>
      <c r="AN119" s="1948">
        <v>134</v>
      </c>
      <c r="AO119" s="1948">
        <v>29.84</v>
      </c>
      <c r="AP119" s="1948">
        <v>107.2</v>
      </c>
      <c r="AQ119" s="1948">
        <v>0.99529999999999996</v>
      </c>
      <c r="AR119" s="1948">
        <v>33.76</v>
      </c>
      <c r="AS119" s="1948">
        <v>7494</v>
      </c>
      <c r="AT119" s="1948">
        <f t="shared" si="23"/>
        <v>13321</v>
      </c>
      <c r="AU119" s="1948">
        <f t="shared" si="24"/>
        <v>0</v>
      </c>
      <c r="AV119" s="1948">
        <v>134</v>
      </c>
      <c r="AW119" s="1948">
        <v>26</v>
      </c>
      <c r="AX119" s="1948">
        <v>107.2</v>
      </c>
      <c r="AY119" s="1948">
        <v>0.9929</v>
      </c>
      <c r="AZ119" s="1948">
        <v>35.479999999999997</v>
      </c>
      <c r="BA119" s="1948">
        <v>6642</v>
      </c>
      <c r="BB119" s="1948">
        <f t="shared" si="25"/>
        <v>11232</v>
      </c>
      <c r="BC119" s="1948">
        <f t="shared" si="26"/>
        <v>0</v>
      </c>
      <c r="BD119" s="1949">
        <v>134</v>
      </c>
      <c r="BE119" s="1948">
        <v>25.6</v>
      </c>
      <c r="BF119" s="1949">
        <v>107.2</v>
      </c>
      <c r="BG119" s="1949">
        <v>0.99480000000000002</v>
      </c>
      <c r="BH119" s="1949">
        <v>40.549999999999997</v>
      </c>
      <c r="BI119" s="1948">
        <v>7724</v>
      </c>
      <c r="BJ119" s="1948">
        <f t="shared" si="27"/>
        <v>11428</v>
      </c>
      <c r="BK119" s="1948">
        <f t="shared" si="28"/>
        <v>0</v>
      </c>
    </row>
    <row r="120" spans="1:63" ht="15">
      <c r="A120" s="1946">
        <v>622000000186</v>
      </c>
      <c r="B120" s="1947">
        <f t="shared" si="29"/>
        <v>114</v>
      </c>
      <c r="C120" s="1906" t="s">
        <v>3010</v>
      </c>
      <c r="D120" s="1907" t="s">
        <v>524</v>
      </c>
      <c r="E120" s="1906" t="s">
        <v>636</v>
      </c>
      <c r="F120" s="1948" t="s">
        <v>259</v>
      </c>
      <c r="G120" s="1949">
        <v>134</v>
      </c>
      <c r="H120" s="1948">
        <v>134</v>
      </c>
      <c r="I120" s="1950">
        <v>88.160000000000011</v>
      </c>
      <c r="J120" s="1948">
        <v>134</v>
      </c>
      <c r="K120" s="1948">
        <v>0.95009999999999994</v>
      </c>
      <c r="L120" s="1948">
        <v>0</v>
      </c>
      <c r="M120" s="1948">
        <v>28380</v>
      </c>
      <c r="N120" s="1948">
        <f t="shared" si="15"/>
        <v>38085</v>
      </c>
      <c r="O120" s="1948">
        <f t="shared" si="16"/>
        <v>0</v>
      </c>
      <c r="P120" s="1948">
        <v>134</v>
      </c>
      <c r="Q120" s="1948">
        <v>97.2</v>
      </c>
      <c r="R120" s="1948">
        <v>134</v>
      </c>
      <c r="S120" s="1948">
        <v>0.94079999999999997</v>
      </c>
      <c r="T120" s="1948">
        <v>0</v>
      </c>
      <c r="U120" s="1948">
        <v>30725</v>
      </c>
      <c r="V120" s="1948">
        <f t="shared" si="17"/>
        <v>43390</v>
      </c>
      <c r="W120" s="1948">
        <f t="shared" si="18"/>
        <v>0</v>
      </c>
      <c r="X120" s="1948">
        <v>134</v>
      </c>
      <c r="Y120" s="1948">
        <v>92.08</v>
      </c>
      <c r="Z120" s="1948">
        <v>134</v>
      </c>
      <c r="AA120" s="1948">
        <v>0.93659999999999999</v>
      </c>
      <c r="AB120" s="1948">
        <v>0</v>
      </c>
      <c r="AC120" s="1948">
        <v>24522</v>
      </c>
      <c r="AD120" s="1948">
        <f t="shared" si="19"/>
        <v>39779</v>
      </c>
      <c r="AE120" s="1948">
        <f t="shared" si="20"/>
        <v>0</v>
      </c>
      <c r="AF120" s="1948">
        <v>134</v>
      </c>
      <c r="AG120" s="1948">
        <v>80.64</v>
      </c>
      <c r="AH120" s="1948">
        <v>107.2</v>
      </c>
      <c r="AI120" s="1948">
        <v>0.93620000000000003</v>
      </c>
      <c r="AJ120" s="1948">
        <v>40.299999999999997</v>
      </c>
      <c r="AK120" s="1948">
        <v>25738</v>
      </c>
      <c r="AL120" s="1948">
        <f t="shared" si="21"/>
        <v>35998</v>
      </c>
      <c r="AM120" s="1948">
        <f t="shared" si="22"/>
        <v>0</v>
      </c>
      <c r="AN120" s="1948">
        <v>134</v>
      </c>
      <c r="AO120" s="1948">
        <v>80.72</v>
      </c>
      <c r="AP120" s="1948">
        <v>107.2</v>
      </c>
      <c r="AQ120" s="1948">
        <v>0.93420000000000003</v>
      </c>
      <c r="AR120" s="1948">
        <v>42.11</v>
      </c>
      <c r="AS120" s="1948">
        <v>25287</v>
      </c>
      <c r="AT120" s="1948">
        <f t="shared" si="23"/>
        <v>36033</v>
      </c>
      <c r="AU120" s="1948">
        <f t="shared" si="24"/>
        <v>0</v>
      </c>
      <c r="AV120" s="1948">
        <v>134</v>
      </c>
      <c r="AW120" s="1948">
        <v>77.28</v>
      </c>
      <c r="AX120" s="1948">
        <v>107.2</v>
      </c>
      <c r="AY120" s="1948">
        <v>0.93420000000000003</v>
      </c>
      <c r="AZ120" s="1948">
        <v>45.3</v>
      </c>
      <c r="BA120" s="1948">
        <v>25204</v>
      </c>
      <c r="BB120" s="1948">
        <f t="shared" si="25"/>
        <v>33385</v>
      </c>
      <c r="BC120" s="1948">
        <f t="shared" si="26"/>
        <v>0</v>
      </c>
      <c r="BD120" s="1949">
        <v>134</v>
      </c>
      <c r="BE120" s="1948">
        <v>75.599999999999994</v>
      </c>
      <c r="BF120" s="1949">
        <v>107.2</v>
      </c>
      <c r="BG120" s="1949">
        <v>0.91949999999999998</v>
      </c>
      <c r="BH120" s="1949">
        <v>44.22</v>
      </c>
      <c r="BI120" s="1948">
        <v>24871</v>
      </c>
      <c r="BJ120" s="1948">
        <f t="shared" si="27"/>
        <v>33748</v>
      </c>
      <c r="BK120" s="1948">
        <f t="shared" si="28"/>
        <v>0</v>
      </c>
    </row>
    <row r="121" spans="1:63" ht="15">
      <c r="A121" s="1946">
        <v>622000000020</v>
      </c>
      <c r="B121" s="1947">
        <f t="shared" si="29"/>
        <v>115</v>
      </c>
      <c r="C121" s="1906" t="s">
        <v>3011</v>
      </c>
      <c r="D121" s="1907" t="s">
        <v>524</v>
      </c>
      <c r="E121" s="1906" t="s">
        <v>636</v>
      </c>
      <c r="F121" s="1948" t="s">
        <v>259</v>
      </c>
      <c r="G121" s="1949">
        <v>136</v>
      </c>
      <c r="H121" s="1948">
        <v>136</v>
      </c>
      <c r="I121" s="1950">
        <v>91</v>
      </c>
      <c r="J121" s="1948">
        <v>108.8</v>
      </c>
      <c r="K121" s="1948">
        <v>0.98360000000000003</v>
      </c>
      <c r="L121" s="1948">
        <v>50.91</v>
      </c>
      <c r="M121" s="1948">
        <v>38918</v>
      </c>
      <c r="N121" s="1948">
        <f t="shared" si="15"/>
        <v>39312</v>
      </c>
      <c r="O121" s="1948">
        <f t="shared" si="16"/>
        <v>0</v>
      </c>
      <c r="P121" s="1948">
        <v>136</v>
      </c>
      <c r="Q121" s="1948">
        <v>97</v>
      </c>
      <c r="R121" s="1948">
        <v>108.8</v>
      </c>
      <c r="S121" s="1948">
        <v>0.98260000000000003</v>
      </c>
      <c r="T121" s="1948">
        <v>46.56</v>
      </c>
      <c r="U121" s="1948">
        <v>34685</v>
      </c>
      <c r="V121" s="1948">
        <f t="shared" si="17"/>
        <v>43301</v>
      </c>
      <c r="W121" s="1948">
        <f t="shared" si="18"/>
        <v>0</v>
      </c>
      <c r="X121" s="1948">
        <v>136</v>
      </c>
      <c r="Y121" s="1948">
        <v>102.8</v>
      </c>
      <c r="Z121" s="1948">
        <v>108.8</v>
      </c>
      <c r="AA121" s="1948">
        <v>0.98119999999999996</v>
      </c>
      <c r="AB121" s="1948">
        <v>37.49</v>
      </c>
      <c r="AC121" s="1948">
        <v>27745</v>
      </c>
      <c r="AD121" s="1948">
        <f t="shared" si="19"/>
        <v>44410</v>
      </c>
      <c r="AE121" s="1948">
        <f t="shared" si="20"/>
        <v>0</v>
      </c>
      <c r="AF121" s="1948">
        <v>136</v>
      </c>
      <c r="AG121" s="1948">
        <v>102.6</v>
      </c>
      <c r="AH121" s="1948">
        <v>108.8</v>
      </c>
      <c r="AI121" s="1948">
        <v>0.98229999999999995</v>
      </c>
      <c r="AJ121" s="1948">
        <v>44.03</v>
      </c>
      <c r="AK121" s="1948">
        <v>33610</v>
      </c>
      <c r="AL121" s="1948">
        <f t="shared" si="21"/>
        <v>45801</v>
      </c>
      <c r="AM121" s="1948">
        <f t="shared" si="22"/>
        <v>0</v>
      </c>
      <c r="AN121" s="1948">
        <v>136</v>
      </c>
      <c r="AO121" s="1948">
        <v>108.60000000000001</v>
      </c>
      <c r="AP121" s="1948">
        <v>108.8</v>
      </c>
      <c r="AQ121" s="1948">
        <v>0.98260000000000003</v>
      </c>
      <c r="AR121" s="1948">
        <v>45.34</v>
      </c>
      <c r="AS121" s="1948">
        <v>36637</v>
      </c>
      <c r="AT121" s="1948">
        <f t="shared" si="23"/>
        <v>48479</v>
      </c>
      <c r="AU121" s="1948">
        <f t="shared" si="24"/>
        <v>0</v>
      </c>
      <c r="AV121" s="1948">
        <v>136</v>
      </c>
      <c r="AW121" s="1948">
        <v>95.4</v>
      </c>
      <c r="AX121" s="1948">
        <v>108.8</v>
      </c>
      <c r="AY121" s="1948">
        <v>0.98199999999999998</v>
      </c>
      <c r="AZ121" s="1948">
        <v>51.01</v>
      </c>
      <c r="BA121" s="1948">
        <v>35035</v>
      </c>
      <c r="BB121" s="1948">
        <f t="shared" si="25"/>
        <v>41213</v>
      </c>
      <c r="BC121" s="1948">
        <f t="shared" si="26"/>
        <v>0</v>
      </c>
      <c r="BD121" s="1949">
        <v>136</v>
      </c>
      <c r="BE121" s="1948">
        <v>93.8</v>
      </c>
      <c r="BF121" s="1949">
        <v>108.8</v>
      </c>
      <c r="BG121" s="1949">
        <v>0.98129999999999995</v>
      </c>
      <c r="BH121" s="1949">
        <v>52.19</v>
      </c>
      <c r="BI121" s="1948">
        <v>36425</v>
      </c>
      <c r="BJ121" s="1948">
        <f t="shared" si="27"/>
        <v>41872</v>
      </c>
      <c r="BK121" s="1948">
        <f t="shared" si="28"/>
        <v>0</v>
      </c>
    </row>
    <row r="122" spans="1:63" ht="15">
      <c r="A122" s="1946">
        <v>126000000038</v>
      </c>
      <c r="B122" s="1947">
        <f t="shared" si="29"/>
        <v>116</v>
      </c>
      <c r="C122" s="1906" t="s">
        <v>3013</v>
      </c>
      <c r="D122" s="1907" t="s">
        <v>524</v>
      </c>
      <c r="E122" s="1906" t="s">
        <v>541</v>
      </c>
      <c r="F122" s="1948" t="s">
        <v>259</v>
      </c>
      <c r="G122" s="1949">
        <v>137</v>
      </c>
      <c r="H122" s="1948">
        <v>137</v>
      </c>
      <c r="I122" s="1950">
        <v>90.84</v>
      </c>
      <c r="J122" s="1948">
        <v>109.6</v>
      </c>
      <c r="K122" s="1948">
        <v>0.48270000000000002</v>
      </c>
      <c r="L122" s="1948">
        <v>3.55</v>
      </c>
      <c r="M122" s="1948">
        <v>2322</v>
      </c>
      <c r="N122" s="1948">
        <f t="shared" si="15"/>
        <v>39243</v>
      </c>
      <c r="O122" s="1948">
        <f t="shared" si="16"/>
        <v>0</v>
      </c>
      <c r="P122" s="1948">
        <v>137</v>
      </c>
      <c r="Q122" s="1948">
        <v>102.36</v>
      </c>
      <c r="R122" s="1948">
        <v>109.6</v>
      </c>
      <c r="S122" s="1948">
        <v>0.46360000000000001</v>
      </c>
      <c r="T122" s="1948">
        <v>6.22</v>
      </c>
      <c r="U122" s="1948">
        <v>4736</v>
      </c>
      <c r="V122" s="1948">
        <f t="shared" si="17"/>
        <v>45694</v>
      </c>
      <c r="W122" s="1948">
        <f t="shared" si="18"/>
        <v>0</v>
      </c>
      <c r="X122" s="1948">
        <v>137</v>
      </c>
      <c r="Y122" s="1948">
        <v>97.68</v>
      </c>
      <c r="Z122" s="1948">
        <v>109.6</v>
      </c>
      <c r="AA122" s="1948">
        <v>0.46089999999999998</v>
      </c>
      <c r="AB122" s="1948">
        <v>3.93</v>
      </c>
      <c r="AC122" s="1948">
        <v>2764</v>
      </c>
      <c r="AD122" s="1948">
        <f t="shared" si="19"/>
        <v>42198</v>
      </c>
      <c r="AE122" s="1948">
        <f t="shared" si="20"/>
        <v>0</v>
      </c>
      <c r="AF122" s="1948">
        <v>137</v>
      </c>
      <c r="AG122" s="1948">
        <v>105.84</v>
      </c>
      <c r="AH122" s="1948">
        <v>109.6</v>
      </c>
      <c r="AI122" s="1948">
        <v>0.4289</v>
      </c>
      <c r="AJ122" s="1948">
        <v>5.44</v>
      </c>
      <c r="AK122" s="1948">
        <v>4287</v>
      </c>
      <c r="AL122" s="1948">
        <f t="shared" si="21"/>
        <v>47247</v>
      </c>
      <c r="AM122" s="1948">
        <f t="shared" si="22"/>
        <v>0</v>
      </c>
      <c r="AN122" s="1948">
        <v>137</v>
      </c>
      <c r="AO122" s="1948">
        <v>109.8</v>
      </c>
      <c r="AP122" s="1948">
        <v>109.8</v>
      </c>
      <c r="AQ122" s="1948">
        <v>0.44309999999999999</v>
      </c>
      <c r="AR122" s="1948">
        <v>5.8</v>
      </c>
      <c r="AS122" s="1948">
        <v>4741</v>
      </c>
      <c r="AT122" s="1948">
        <f t="shared" si="23"/>
        <v>49015</v>
      </c>
      <c r="AU122" s="1948">
        <f t="shared" si="24"/>
        <v>0</v>
      </c>
      <c r="AV122" s="1948">
        <v>137</v>
      </c>
      <c r="AW122" s="1948">
        <v>114.24000000000001</v>
      </c>
      <c r="AX122" s="1948">
        <v>114.24</v>
      </c>
      <c r="AY122" s="1948">
        <v>0.48980000000000001</v>
      </c>
      <c r="AZ122" s="1948">
        <v>7.33</v>
      </c>
      <c r="BA122" s="1948">
        <v>6032</v>
      </c>
      <c r="BB122" s="1948">
        <f t="shared" si="25"/>
        <v>49352</v>
      </c>
      <c r="BC122" s="1948">
        <f t="shared" si="26"/>
        <v>0</v>
      </c>
      <c r="BD122" s="1949">
        <v>137</v>
      </c>
      <c r="BE122" s="1948">
        <v>110.64</v>
      </c>
      <c r="BF122" s="1949">
        <v>110.64</v>
      </c>
      <c r="BG122" s="1949">
        <v>0.48949999999999999</v>
      </c>
      <c r="BH122" s="1949">
        <v>9.61</v>
      </c>
      <c r="BI122" s="1948">
        <v>7911</v>
      </c>
      <c r="BJ122" s="1948">
        <f t="shared" si="27"/>
        <v>49390</v>
      </c>
      <c r="BK122" s="1948">
        <f t="shared" si="28"/>
        <v>0</v>
      </c>
    </row>
    <row r="123" spans="1:63" ht="15">
      <c r="A123" s="1946">
        <v>615000000047</v>
      </c>
      <c r="B123" s="1947">
        <f t="shared" si="29"/>
        <v>117</v>
      </c>
      <c r="C123" s="1906" t="s">
        <v>3012</v>
      </c>
      <c r="D123" s="1907" t="s">
        <v>524</v>
      </c>
      <c r="E123" s="1906" t="s">
        <v>541</v>
      </c>
      <c r="F123" s="1948" t="s">
        <v>259</v>
      </c>
      <c r="G123" s="1949">
        <v>137</v>
      </c>
      <c r="H123" s="1948">
        <v>137</v>
      </c>
      <c r="I123" s="1950">
        <v>42.88</v>
      </c>
      <c r="J123" s="1948">
        <v>109.6</v>
      </c>
      <c r="K123" s="1948">
        <v>0.996</v>
      </c>
      <c r="L123" s="1948">
        <v>8.1300000000000008</v>
      </c>
      <c r="M123" s="1948">
        <v>1757</v>
      </c>
      <c r="N123" s="1948">
        <f t="shared" si="15"/>
        <v>18524</v>
      </c>
      <c r="O123" s="1948">
        <f t="shared" si="16"/>
        <v>0</v>
      </c>
      <c r="P123" s="1948">
        <v>137</v>
      </c>
      <c r="Q123" s="1948">
        <v>61.08</v>
      </c>
      <c r="R123" s="1948">
        <v>109.6</v>
      </c>
      <c r="S123" s="1948">
        <v>0.99790000000000001</v>
      </c>
      <c r="T123" s="1948">
        <v>15.53</v>
      </c>
      <c r="U123" s="1948">
        <v>9108</v>
      </c>
      <c r="V123" s="1948">
        <f t="shared" si="17"/>
        <v>27266</v>
      </c>
      <c r="W123" s="1948">
        <f t="shared" si="18"/>
        <v>0</v>
      </c>
      <c r="X123" s="1948">
        <v>137</v>
      </c>
      <c r="Y123" s="1948">
        <v>47.28</v>
      </c>
      <c r="Z123" s="1948">
        <v>109.6</v>
      </c>
      <c r="AA123" s="1948">
        <v>0.99609999999999999</v>
      </c>
      <c r="AB123" s="1948">
        <v>6.91</v>
      </c>
      <c r="AC123" s="1948">
        <v>2351</v>
      </c>
      <c r="AD123" s="1948">
        <f t="shared" si="19"/>
        <v>20425</v>
      </c>
      <c r="AE123" s="1948">
        <f t="shared" si="20"/>
        <v>0</v>
      </c>
      <c r="AF123" s="1948">
        <v>137</v>
      </c>
      <c r="AG123" s="1948">
        <v>50.6</v>
      </c>
      <c r="AH123" s="1948">
        <v>109.6</v>
      </c>
      <c r="AI123" s="1948">
        <v>0.99739999999999995</v>
      </c>
      <c r="AJ123" s="1948">
        <v>6.26</v>
      </c>
      <c r="AK123" s="1948">
        <v>2357</v>
      </c>
      <c r="AL123" s="1948">
        <f t="shared" si="21"/>
        <v>22588</v>
      </c>
      <c r="AM123" s="1948">
        <f t="shared" si="22"/>
        <v>0</v>
      </c>
      <c r="AN123" s="1948">
        <v>137</v>
      </c>
      <c r="AO123" s="1948">
        <v>48.08</v>
      </c>
      <c r="AP123" s="1948">
        <v>109.6</v>
      </c>
      <c r="AQ123" s="1948">
        <v>0.99480000000000002</v>
      </c>
      <c r="AR123" s="1948">
        <v>7.65</v>
      </c>
      <c r="AS123" s="1948">
        <v>2736</v>
      </c>
      <c r="AT123" s="1948">
        <f t="shared" si="23"/>
        <v>21463</v>
      </c>
      <c r="AU123" s="1948">
        <f t="shared" si="24"/>
        <v>0</v>
      </c>
      <c r="AV123" s="1948">
        <v>137</v>
      </c>
      <c r="AW123" s="1948">
        <v>42.96</v>
      </c>
      <c r="AX123" s="1948">
        <v>109.6</v>
      </c>
      <c r="AY123" s="1948">
        <v>0.99339999999999995</v>
      </c>
      <c r="AZ123" s="1948">
        <v>4.43</v>
      </c>
      <c r="BA123" s="1948">
        <v>1369</v>
      </c>
      <c r="BB123" s="1948">
        <f t="shared" si="25"/>
        <v>18559</v>
      </c>
      <c r="BC123" s="1948">
        <f t="shared" si="26"/>
        <v>0</v>
      </c>
      <c r="BD123" s="1949">
        <v>137</v>
      </c>
      <c r="BE123" s="1948">
        <v>51.176000000000002</v>
      </c>
      <c r="BF123" s="1949">
        <v>109.6</v>
      </c>
      <c r="BG123" s="1949">
        <v>0.87590000000000001</v>
      </c>
      <c r="BH123" s="1949">
        <v>2.61</v>
      </c>
      <c r="BI123" s="1948">
        <v>993</v>
      </c>
      <c r="BJ123" s="1948">
        <f t="shared" si="27"/>
        <v>22845</v>
      </c>
      <c r="BK123" s="1948">
        <f t="shared" si="28"/>
        <v>0</v>
      </c>
    </row>
    <row r="124" spans="1:63" ht="15">
      <c r="A124" s="1946">
        <v>122000000089</v>
      </c>
      <c r="B124" s="1947">
        <f t="shared" si="29"/>
        <v>118</v>
      </c>
      <c r="C124" s="1906" t="s">
        <v>3015</v>
      </c>
      <c r="D124" s="1907" t="s">
        <v>524</v>
      </c>
      <c r="E124" s="1906" t="s">
        <v>636</v>
      </c>
      <c r="F124" s="1948" t="s">
        <v>259</v>
      </c>
      <c r="G124" s="1949">
        <v>138</v>
      </c>
      <c r="H124" s="1948">
        <v>138</v>
      </c>
      <c r="I124" s="1950">
        <v>153.6</v>
      </c>
      <c r="J124" s="1948">
        <v>153.6</v>
      </c>
      <c r="K124" s="1948">
        <v>0.95640000000000003</v>
      </c>
      <c r="L124" s="1948">
        <v>38.99</v>
      </c>
      <c r="M124" s="1948">
        <v>43124</v>
      </c>
      <c r="N124" s="1948">
        <f t="shared" si="15"/>
        <v>66355</v>
      </c>
      <c r="O124" s="1948">
        <f t="shared" si="16"/>
        <v>0</v>
      </c>
      <c r="P124" s="1948">
        <v>138</v>
      </c>
      <c r="Q124" s="1948">
        <v>169.12</v>
      </c>
      <c r="R124" s="1948">
        <v>169.12</v>
      </c>
      <c r="S124" s="1948">
        <v>0.93220000000000003</v>
      </c>
      <c r="T124" s="1948">
        <v>43.6</v>
      </c>
      <c r="U124" s="1948">
        <v>54858</v>
      </c>
      <c r="V124" s="1948">
        <f t="shared" si="17"/>
        <v>75495</v>
      </c>
      <c r="W124" s="1948">
        <f t="shared" si="18"/>
        <v>0</v>
      </c>
      <c r="X124" s="1948">
        <v>138</v>
      </c>
      <c r="Y124" s="1948">
        <v>181.28</v>
      </c>
      <c r="Z124" s="1948">
        <v>181.28</v>
      </c>
      <c r="AA124" s="1948">
        <v>0.88460000000000005</v>
      </c>
      <c r="AB124" s="1948">
        <v>57.28</v>
      </c>
      <c r="AC124" s="1948">
        <v>74764</v>
      </c>
      <c r="AD124" s="1948">
        <f t="shared" si="19"/>
        <v>78313</v>
      </c>
      <c r="AE124" s="1948">
        <f t="shared" si="20"/>
        <v>0</v>
      </c>
      <c r="AF124" s="1948">
        <v>138</v>
      </c>
      <c r="AG124" s="1948">
        <v>164.16</v>
      </c>
      <c r="AH124" s="1948">
        <v>164.16</v>
      </c>
      <c r="AI124" s="1948">
        <v>0.91439999999999999</v>
      </c>
      <c r="AJ124" s="1948">
        <v>21.43</v>
      </c>
      <c r="AK124" s="1948">
        <v>26173</v>
      </c>
      <c r="AL124" s="1948">
        <f t="shared" si="21"/>
        <v>73281</v>
      </c>
      <c r="AM124" s="1948">
        <f t="shared" si="22"/>
        <v>0</v>
      </c>
      <c r="AN124" s="1948">
        <v>138</v>
      </c>
      <c r="AO124" s="1948">
        <v>160.88</v>
      </c>
      <c r="AP124" s="1948">
        <v>160.88</v>
      </c>
      <c r="AQ124" s="1948">
        <v>0.91290000000000004</v>
      </c>
      <c r="AR124" s="1948">
        <v>24.19</v>
      </c>
      <c r="AS124" s="1948">
        <v>28955</v>
      </c>
      <c r="AT124" s="1948">
        <f t="shared" si="23"/>
        <v>71817</v>
      </c>
      <c r="AU124" s="1948">
        <f t="shared" si="24"/>
        <v>0</v>
      </c>
      <c r="AV124" s="1948">
        <v>138</v>
      </c>
      <c r="AW124" s="1948">
        <v>161.12</v>
      </c>
      <c r="AX124" s="1948">
        <v>161.12</v>
      </c>
      <c r="AY124" s="1948">
        <v>0.8548</v>
      </c>
      <c r="AZ124" s="1948">
        <v>23.44</v>
      </c>
      <c r="BA124" s="1948">
        <v>27187</v>
      </c>
      <c r="BB124" s="1948">
        <f t="shared" si="25"/>
        <v>69604</v>
      </c>
      <c r="BC124" s="1948">
        <f t="shared" si="26"/>
        <v>0</v>
      </c>
      <c r="BD124" s="1949">
        <v>138</v>
      </c>
      <c r="BE124" s="1948">
        <v>157.36000000000001</v>
      </c>
      <c r="BF124" s="1949">
        <v>157.36000000000001</v>
      </c>
      <c r="BG124" s="1949">
        <v>0.8609</v>
      </c>
      <c r="BH124" s="1949">
        <v>31.72</v>
      </c>
      <c r="BI124" s="1948">
        <v>37132</v>
      </c>
      <c r="BJ124" s="1948">
        <f t="shared" si="27"/>
        <v>70246</v>
      </c>
      <c r="BK124" s="1948">
        <f t="shared" si="28"/>
        <v>0</v>
      </c>
    </row>
    <row r="125" spans="1:63" ht="15">
      <c r="A125" s="1946">
        <v>124000000037</v>
      </c>
      <c r="B125" s="1947">
        <f t="shared" si="29"/>
        <v>119</v>
      </c>
      <c r="C125" s="1906" t="s">
        <v>3016</v>
      </c>
      <c r="D125" s="1907" t="s">
        <v>524</v>
      </c>
      <c r="E125" s="1906" t="s">
        <v>541</v>
      </c>
      <c r="F125" s="1948" t="s">
        <v>259</v>
      </c>
      <c r="G125" s="1949">
        <v>138</v>
      </c>
      <c r="H125" s="1948">
        <v>138</v>
      </c>
      <c r="I125" s="1950">
        <v>8.48</v>
      </c>
      <c r="J125" s="1948">
        <v>110.4</v>
      </c>
      <c r="K125" s="1948">
        <v>0.99760000000000004</v>
      </c>
      <c r="L125" s="1948">
        <v>6.98</v>
      </c>
      <c r="M125" s="1948">
        <v>426</v>
      </c>
      <c r="N125" s="1948">
        <f t="shared" si="15"/>
        <v>3663</v>
      </c>
      <c r="O125" s="1948">
        <f t="shared" si="16"/>
        <v>0</v>
      </c>
      <c r="P125" s="1948">
        <v>138</v>
      </c>
      <c r="Q125" s="1948">
        <v>10.8</v>
      </c>
      <c r="R125" s="1948">
        <v>110.4</v>
      </c>
      <c r="S125" s="1948">
        <v>0.99770000000000003</v>
      </c>
      <c r="T125" s="1948">
        <v>5.5</v>
      </c>
      <c r="U125" s="1948">
        <v>442</v>
      </c>
      <c r="V125" s="1948">
        <f t="shared" si="17"/>
        <v>4821</v>
      </c>
      <c r="W125" s="1948">
        <f t="shared" si="18"/>
        <v>0</v>
      </c>
      <c r="X125" s="1948">
        <v>138</v>
      </c>
      <c r="Y125" s="1948">
        <v>7.68</v>
      </c>
      <c r="Z125" s="1948">
        <v>110.4</v>
      </c>
      <c r="AA125" s="1948">
        <v>0.99729999999999996</v>
      </c>
      <c r="AB125" s="1948">
        <v>6.76</v>
      </c>
      <c r="AC125" s="1948">
        <v>374</v>
      </c>
      <c r="AD125" s="1948">
        <f t="shared" si="19"/>
        <v>3318</v>
      </c>
      <c r="AE125" s="1948">
        <f t="shared" si="20"/>
        <v>0</v>
      </c>
      <c r="AF125" s="1948">
        <v>138</v>
      </c>
      <c r="AG125" s="1948">
        <v>22.32</v>
      </c>
      <c r="AH125" s="1948">
        <v>110.4</v>
      </c>
      <c r="AI125" s="1948">
        <v>1.0024999999999999</v>
      </c>
      <c r="AJ125" s="1948">
        <v>2.38</v>
      </c>
      <c r="AK125" s="1948">
        <v>395</v>
      </c>
      <c r="AL125" s="1948">
        <f t="shared" si="21"/>
        <v>9964</v>
      </c>
      <c r="AM125" s="1948">
        <f t="shared" si="22"/>
        <v>0</v>
      </c>
      <c r="AN125" s="1948">
        <v>138</v>
      </c>
      <c r="AO125" s="1948">
        <v>3.6799999999999997</v>
      </c>
      <c r="AP125" s="1948">
        <v>110.4</v>
      </c>
      <c r="AQ125" s="1948">
        <v>0.99470000000000003</v>
      </c>
      <c r="AR125" s="1948">
        <v>6.98</v>
      </c>
      <c r="AS125" s="1948">
        <v>191</v>
      </c>
      <c r="AT125" s="1948">
        <f t="shared" si="23"/>
        <v>1643</v>
      </c>
      <c r="AU125" s="1948">
        <f t="shared" si="24"/>
        <v>0</v>
      </c>
      <c r="AV125" s="1948">
        <v>138</v>
      </c>
      <c r="AW125" s="1948">
        <v>5.92</v>
      </c>
      <c r="AX125" s="1948">
        <v>110.4</v>
      </c>
      <c r="AY125" s="1948">
        <v>0.98609999999999998</v>
      </c>
      <c r="AZ125" s="1948">
        <v>5.09</v>
      </c>
      <c r="BA125" s="1948">
        <v>217</v>
      </c>
      <c r="BB125" s="1948">
        <f t="shared" si="25"/>
        <v>2557</v>
      </c>
      <c r="BC125" s="1948">
        <f t="shared" si="26"/>
        <v>0</v>
      </c>
      <c r="BD125" s="1949">
        <v>138</v>
      </c>
      <c r="BE125" s="1948">
        <v>1.2</v>
      </c>
      <c r="BF125" s="1949">
        <v>110.4</v>
      </c>
      <c r="BG125" s="1949">
        <v>1</v>
      </c>
      <c r="BH125" s="1949">
        <v>24.53</v>
      </c>
      <c r="BI125" s="1948">
        <v>219</v>
      </c>
      <c r="BJ125" s="1948">
        <f t="shared" si="27"/>
        <v>536</v>
      </c>
      <c r="BK125" s="1948">
        <f t="shared" si="28"/>
        <v>0</v>
      </c>
    </row>
    <row r="126" spans="1:63" ht="15">
      <c r="A126" s="1946">
        <v>121000000104</v>
      </c>
      <c r="B126" s="1947">
        <f t="shared" si="29"/>
        <v>120</v>
      </c>
      <c r="C126" s="1906" t="s">
        <v>3548</v>
      </c>
      <c r="D126" s="1907" t="s">
        <v>524</v>
      </c>
      <c r="E126" s="1906" t="s">
        <v>541</v>
      </c>
      <c r="F126" s="1948" t="s">
        <v>259</v>
      </c>
      <c r="G126" s="1949">
        <v>138</v>
      </c>
      <c r="H126" s="1948">
        <v>0</v>
      </c>
      <c r="I126" s="1950">
        <v>0</v>
      </c>
      <c r="J126" s="1948">
        <v>0</v>
      </c>
      <c r="K126" s="1948">
        <v>0</v>
      </c>
      <c r="L126" s="1948">
        <v>0</v>
      </c>
      <c r="M126" s="1948">
        <v>0</v>
      </c>
      <c r="N126" s="1948">
        <f t="shared" si="15"/>
        <v>0</v>
      </c>
      <c r="O126" s="1948">
        <f t="shared" si="16"/>
        <v>0</v>
      </c>
      <c r="P126" s="1948">
        <v>0</v>
      </c>
      <c r="Q126" s="1948">
        <v>0</v>
      </c>
      <c r="R126" s="1948">
        <v>0</v>
      </c>
      <c r="S126" s="1948">
        <v>0</v>
      </c>
      <c r="T126" s="1948">
        <v>0</v>
      </c>
      <c r="U126" s="1948">
        <v>0</v>
      </c>
      <c r="V126" s="1948">
        <f t="shared" si="17"/>
        <v>0</v>
      </c>
      <c r="W126" s="1948">
        <f t="shared" si="18"/>
        <v>0</v>
      </c>
      <c r="X126" s="1948">
        <v>0</v>
      </c>
      <c r="Y126" s="1948">
        <v>0</v>
      </c>
      <c r="Z126" s="1948">
        <v>0</v>
      </c>
      <c r="AA126" s="1948">
        <v>0</v>
      </c>
      <c r="AB126" s="1948">
        <v>0</v>
      </c>
      <c r="AC126" s="1948">
        <v>0</v>
      </c>
      <c r="AD126" s="1948">
        <f t="shared" si="19"/>
        <v>0</v>
      </c>
      <c r="AE126" s="1948">
        <f t="shared" si="20"/>
        <v>0</v>
      </c>
      <c r="AF126" s="1948">
        <v>0</v>
      </c>
      <c r="AG126" s="1948">
        <v>0</v>
      </c>
      <c r="AH126" s="1948">
        <v>0</v>
      </c>
      <c r="AI126" s="1948">
        <v>0</v>
      </c>
      <c r="AJ126" s="1948">
        <v>0</v>
      </c>
      <c r="AK126" s="1948">
        <v>0</v>
      </c>
      <c r="AL126" s="1948">
        <f t="shared" si="21"/>
        <v>0</v>
      </c>
      <c r="AM126" s="1948">
        <f t="shared" si="22"/>
        <v>0</v>
      </c>
      <c r="AN126" s="1948">
        <v>138</v>
      </c>
      <c r="AO126" s="1948">
        <v>71.679999999999993</v>
      </c>
      <c r="AP126" s="1948">
        <v>110.4</v>
      </c>
      <c r="AQ126" s="1948">
        <v>0.91159999999999997</v>
      </c>
      <c r="AR126" s="1948">
        <v>40.21</v>
      </c>
      <c r="AS126" s="1948">
        <v>29744</v>
      </c>
      <c r="AT126" s="1948">
        <f t="shared" si="23"/>
        <v>31998</v>
      </c>
      <c r="AU126" s="1948">
        <f t="shared" si="24"/>
        <v>0</v>
      </c>
      <c r="AV126" s="1948">
        <v>138</v>
      </c>
      <c r="AW126" s="1948">
        <v>78.391999999999996</v>
      </c>
      <c r="AX126" s="1948">
        <v>110.4</v>
      </c>
      <c r="AY126" s="1948">
        <v>0.88360000000000005</v>
      </c>
      <c r="AZ126" s="1948">
        <v>47.05</v>
      </c>
      <c r="BA126" s="1948">
        <v>28327</v>
      </c>
      <c r="BB126" s="1948">
        <f t="shared" si="25"/>
        <v>33865</v>
      </c>
      <c r="BC126" s="1948">
        <f t="shared" si="26"/>
        <v>0</v>
      </c>
      <c r="BD126" s="1949">
        <v>138</v>
      </c>
      <c r="BE126" s="1948">
        <v>72.614000000000004</v>
      </c>
      <c r="BF126" s="1949">
        <v>110.4</v>
      </c>
      <c r="BG126" s="1949">
        <v>0.89639999999999997</v>
      </c>
      <c r="BH126" s="1949">
        <v>35.72</v>
      </c>
      <c r="BI126" s="1948">
        <v>19295</v>
      </c>
      <c r="BJ126" s="1948">
        <f t="shared" si="27"/>
        <v>32415</v>
      </c>
      <c r="BK126" s="1948">
        <f t="shared" si="28"/>
        <v>0</v>
      </c>
    </row>
    <row r="127" spans="1:63" ht="15">
      <c r="A127" s="1946">
        <v>622000000207</v>
      </c>
      <c r="B127" s="1947">
        <f t="shared" si="29"/>
        <v>121</v>
      </c>
      <c r="C127" s="1906" t="s">
        <v>3014</v>
      </c>
      <c r="D127" s="1907" t="s">
        <v>524</v>
      </c>
      <c r="E127" s="1906" t="s">
        <v>636</v>
      </c>
      <c r="F127" s="1948" t="s">
        <v>259</v>
      </c>
      <c r="G127" s="1949">
        <v>138</v>
      </c>
      <c r="H127" s="1948">
        <v>138</v>
      </c>
      <c r="I127" s="1950">
        <v>37.92</v>
      </c>
      <c r="J127" s="1948">
        <v>110.4</v>
      </c>
      <c r="K127" s="1948">
        <v>0.98609999999999998</v>
      </c>
      <c r="L127" s="1948">
        <v>49.78</v>
      </c>
      <c r="M127" s="1948">
        <v>13591</v>
      </c>
      <c r="N127" s="1948">
        <f t="shared" si="15"/>
        <v>16381</v>
      </c>
      <c r="O127" s="1948">
        <f t="shared" si="16"/>
        <v>0</v>
      </c>
      <c r="P127" s="1948">
        <v>138</v>
      </c>
      <c r="Q127" s="1948">
        <v>35.44</v>
      </c>
      <c r="R127" s="1948">
        <v>110.4</v>
      </c>
      <c r="S127" s="1948">
        <v>0.98160000000000003</v>
      </c>
      <c r="T127" s="1948">
        <v>51.52</v>
      </c>
      <c r="U127" s="1948">
        <v>13585</v>
      </c>
      <c r="V127" s="1948">
        <f t="shared" si="17"/>
        <v>15820</v>
      </c>
      <c r="W127" s="1948">
        <f t="shared" si="18"/>
        <v>0</v>
      </c>
      <c r="X127" s="1948">
        <v>138</v>
      </c>
      <c r="Y127" s="1948">
        <v>35.36</v>
      </c>
      <c r="Z127" s="1948">
        <v>110.4</v>
      </c>
      <c r="AA127" s="1948">
        <v>0.96989999999999998</v>
      </c>
      <c r="AB127" s="1948">
        <v>51.79</v>
      </c>
      <c r="AC127" s="1948">
        <v>13186</v>
      </c>
      <c r="AD127" s="1948">
        <f t="shared" si="19"/>
        <v>15276</v>
      </c>
      <c r="AE127" s="1948">
        <f t="shared" si="20"/>
        <v>0</v>
      </c>
      <c r="AF127" s="1948">
        <v>138</v>
      </c>
      <c r="AG127" s="1948">
        <v>32.4</v>
      </c>
      <c r="AH127" s="1948">
        <v>110.4</v>
      </c>
      <c r="AI127" s="1948">
        <v>0.96889999999999998</v>
      </c>
      <c r="AJ127" s="1948">
        <v>56.44</v>
      </c>
      <c r="AK127" s="1948">
        <v>13606</v>
      </c>
      <c r="AL127" s="1948">
        <f t="shared" si="21"/>
        <v>14463</v>
      </c>
      <c r="AM127" s="1948">
        <f t="shared" si="22"/>
        <v>0</v>
      </c>
      <c r="AN127" s="1948">
        <v>138</v>
      </c>
      <c r="AO127" s="1948">
        <v>33.040000000000006</v>
      </c>
      <c r="AP127" s="1948">
        <v>110.4</v>
      </c>
      <c r="AQ127" s="1948">
        <v>0.97499999999999998</v>
      </c>
      <c r="AR127" s="1948">
        <v>50.77</v>
      </c>
      <c r="AS127" s="1948">
        <v>12481</v>
      </c>
      <c r="AT127" s="1948">
        <f t="shared" si="23"/>
        <v>14749</v>
      </c>
      <c r="AU127" s="1948">
        <f t="shared" si="24"/>
        <v>0</v>
      </c>
      <c r="AV127" s="1948">
        <v>138</v>
      </c>
      <c r="AW127" s="1948">
        <v>31.759999999999998</v>
      </c>
      <c r="AX127" s="1948">
        <v>110.4</v>
      </c>
      <c r="AY127" s="1948">
        <v>0.97399999999999998</v>
      </c>
      <c r="AZ127" s="1948">
        <v>53.49</v>
      </c>
      <c r="BA127" s="1948">
        <v>12231</v>
      </c>
      <c r="BB127" s="1948">
        <f t="shared" si="25"/>
        <v>13720</v>
      </c>
      <c r="BC127" s="1948">
        <f t="shared" si="26"/>
        <v>0</v>
      </c>
      <c r="BD127" s="1949">
        <v>138</v>
      </c>
      <c r="BE127" s="1948">
        <v>24.4</v>
      </c>
      <c r="BF127" s="1949">
        <v>110.4</v>
      </c>
      <c r="BG127" s="1949">
        <v>0.95569999999999999</v>
      </c>
      <c r="BH127" s="1949">
        <v>49.18</v>
      </c>
      <c r="BI127" s="1948">
        <v>8928</v>
      </c>
      <c r="BJ127" s="1948">
        <f t="shared" si="27"/>
        <v>10892</v>
      </c>
      <c r="BK127" s="1948">
        <f t="shared" si="28"/>
        <v>0</v>
      </c>
    </row>
    <row r="128" spans="1:63" ht="15">
      <c r="A128" s="1946">
        <v>123000000132</v>
      </c>
      <c r="B128" s="1947">
        <f t="shared" si="29"/>
        <v>122</v>
      </c>
      <c r="C128" s="1906" t="s">
        <v>3017</v>
      </c>
      <c r="D128" s="1907" t="s">
        <v>524</v>
      </c>
      <c r="E128" s="1906" t="s">
        <v>541</v>
      </c>
      <c r="F128" s="1948" t="s">
        <v>259</v>
      </c>
      <c r="G128" s="1949">
        <v>139</v>
      </c>
      <c r="H128" s="1948">
        <v>139</v>
      </c>
      <c r="I128" s="1950">
        <v>121.6</v>
      </c>
      <c r="J128" s="1948">
        <v>121.6</v>
      </c>
      <c r="K128" s="1948">
        <v>0.90459999999999996</v>
      </c>
      <c r="L128" s="1948">
        <v>15.96</v>
      </c>
      <c r="M128" s="1948">
        <v>13974</v>
      </c>
      <c r="N128" s="1948">
        <f t="shared" si="15"/>
        <v>52531</v>
      </c>
      <c r="O128" s="1948">
        <f t="shared" si="16"/>
        <v>0</v>
      </c>
      <c r="P128" s="1948">
        <v>139</v>
      </c>
      <c r="Q128" s="1948">
        <v>117.75999999999999</v>
      </c>
      <c r="R128" s="1948">
        <v>117.76</v>
      </c>
      <c r="S128" s="1948">
        <v>0.90210000000000001</v>
      </c>
      <c r="T128" s="1948">
        <v>16.88</v>
      </c>
      <c r="U128" s="1948">
        <v>14793</v>
      </c>
      <c r="V128" s="1948">
        <f t="shared" si="17"/>
        <v>52568</v>
      </c>
      <c r="W128" s="1948">
        <f t="shared" si="18"/>
        <v>0</v>
      </c>
      <c r="X128" s="1948">
        <v>139</v>
      </c>
      <c r="Y128" s="1948">
        <v>124.56</v>
      </c>
      <c r="Z128" s="1948">
        <v>124.56</v>
      </c>
      <c r="AA128" s="1948">
        <v>0.90739999999999998</v>
      </c>
      <c r="AB128" s="1948">
        <v>19.96</v>
      </c>
      <c r="AC128" s="1948">
        <v>17901</v>
      </c>
      <c r="AD128" s="1948">
        <f t="shared" si="19"/>
        <v>53810</v>
      </c>
      <c r="AE128" s="1948">
        <f t="shared" si="20"/>
        <v>0</v>
      </c>
      <c r="AF128" s="1948">
        <v>139</v>
      </c>
      <c r="AG128" s="1948">
        <v>125.76</v>
      </c>
      <c r="AH128" s="1948">
        <v>125.76</v>
      </c>
      <c r="AI128" s="1948">
        <v>0.9083</v>
      </c>
      <c r="AJ128" s="1948">
        <v>17.52</v>
      </c>
      <c r="AK128" s="1948">
        <v>16396</v>
      </c>
      <c r="AL128" s="1948">
        <f t="shared" si="21"/>
        <v>56139</v>
      </c>
      <c r="AM128" s="1948">
        <f t="shared" si="22"/>
        <v>0</v>
      </c>
      <c r="AN128" s="1948">
        <v>139</v>
      </c>
      <c r="AO128" s="1948">
        <v>92.47999999999999</v>
      </c>
      <c r="AP128" s="1948">
        <v>111.2</v>
      </c>
      <c r="AQ128" s="1948">
        <v>0.90569999999999995</v>
      </c>
      <c r="AR128" s="1948">
        <v>13.06</v>
      </c>
      <c r="AS128" s="1948">
        <v>8988</v>
      </c>
      <c r="AT128" s="1948">
        <f t="shared" si="23"/>
        <v>41283</v>
      </c>
      <c r="AU128" s="1948">
        <f t="shared" si="24"/>
        <v>0</v>
      </c>
      <c r="AV128" s="1948">
        <v>139</v>
      </c>
      <c r="AW128" s="1948">
        <v>121.2</v>
      </c>
      <c r="AX128" s="1948">
        <v>121.2</v>
      </c>
      <c r="AY128" s="1948">
        <v>0.91759999999999997</v>
      </c>
      <c r="AZ128" s="1948">
        <v>23.52</v>
      </c>
      <c r="BA128" s="1948">
        <v>20526</v>
      </c>
      <c r="BB128" s="1948">
        <f t="shared" si="25"/>
        <v>52358</v>
      </c>
      <c r="BC128" s="1948">
        <f t="shared" si="26"/>
        <v>0</v>
      </c>
      <c r="BD128" s="1949">
        <v>139</v>
      </c>
      <c r="BE128" s="1948">
        <v>121.52000000000001</v>
      </c>
      <c r="BF128" s="1949">
        <v>121.52</v>
      </c>
      <c r="BG128" s="1949">
        <v>0.91900000000000004</v>
      </c>
      <c r="BH128" s="1949">
        <v>8.6999999999999993</v>
      </c>
      <c r="BI128" s="1948">
        <v>7866</v>
      </c>
      <c r="BJ128" s="1948">
        <f t="shared" si="27"/>
        <v>54247</v>
      </c>
      <c r="BK128" s="1948">
        <f t="shared" si="28"/>
        <v>0</v>
      </c>
    </row>
    <row r="129" spans="1:63" ht="15">
      <c r="A129" s="1946">
        <v>127000000023</v>
      </c>
      <c r="B129" s="1947">
        <f t="shared" si="29"/>
        <v>123</v>
      </c>
      <c r="C129" s="1906" t="s">
        <v>3549</v>
      </c>
      <c r="D129" s="1907" t="s">
        <v>524</v>
      </c>
      <c r="E129" s="1906" t="s">
        <v>636</v>
      </c>
      <c r="F129" s="1948" t="s">
        <v>259</v>
      </c>
      <c r="G129" s="1949">
        <v>139</v>
      </c>
      <c r="H129" s="1948">
        <v>139</v>
      </c>
      <c r="I129" s="1950">
        <v>99.839999999999989</v>
      </c>
      <c r="J129" s="1948">
        <v>111.2</v>
      </c>
      <c r="K129" s="1948">
        <v>0.95</v>
      </c>
      <c r="L129" s="1948">
        <v>10.26</v>
      </c>
      <c r="M129" s="1948">
        <v>7374</v>
      </c>
      <c r="N129" s="1948">
        <f t="shared" si="15"/>
        <v>43131</v>
      </c>
      <c r="O129" s="1948">
        <f t="shared" si="16"/>
        <v>0</v>
      </c>
      <c r="P129" s="1948">
        <v>139</v>
      </c>
      <c r="Q129" s="1948">
        <v>94.320000000000007</v>
      </c>
      <c r="R129" s="1948">
        <v>111.2</v>
      </c>
      <c r="S129" s="1948">
        <v>0.9425</v>
      </c>
      <c r="T129" s="1948">
        <v>11.55</v>
      </c>
      <c r="U129" s="1948">
        <v>8107</v>
      </c>
      <c r="V129" s="1948">
        <f t="shared" si="17"/>
        <v>42104</v>
      </c>
      <c r="W129" s="1948">
        <f t="shared" si="18"/>
        <v>0</v>
      </c>
      <c r="X129" s="1948">
        <v>139</v>
      </c>
      <c r="Y129" s="1948">
        <v>54.32</v>
      </c>
      <c r="Z129" s="1948">
        <v>111.2</v>
      </c>
      <c r="AA129" s="1948">
        <v>0.9768</v>
      </c>
      <c r="AB129" s="1948">
        <v>14.56</v>
      </c>
      <c r="AC129" s="1948">
        <v>5694</v>
      </c>
      <c r="AD129" s="1948">
        <f t="shared" si="19"/>
        <v>23466</v>
      </c>
      <c r="AE129" s="1948">
        <f t="shared" si="20"/>
        <v>0</v>
      </c>
      <c r="AF129" s="1948">
        <v>139</v>
      </c>
      <c r="AG129" s="1948">
        <v>37.200000000000003</v>
      </c>
      <c r="AH129" s="1948">
        <v>111.2</v>
      </c>
      <c r="AI129" s="1948">
        <v>0.99639999999999995</v>
      </c>
      <c r="AJ129" s="1948">
        <v>18.350000000000001</v>
      </c>
      <c r="AK129" s="1948">
        <v>5078</v>
      </c>
      <c r="AL129" s="1948">
        <f t="shared" si="21"/>
        <v>16606</v>
      </c>
      <c r="AM129" s="1948">
        <f t="shared" si="22"/>
        <v>0</v>
      </c>
      <c r="AN129" s="1948">
        <v>139</v>
      </c>
      <c r="AO129" s="1948">
        <v>13.919999999999998</v>
      </c>
      <c r="AP129" s="1948">
        <v>111.2</v>
      </c>
      <c r="AQ129" s="1948">
        <v>0.99950000000000006</v>
      </c>
      <c r="AR129" s="1948">
        <v>41.16</v>
      </c>
      <c r="AS129" s="1948">
        <v>4263</v>
      </c>
      <c r="AT129" s="1948">
        <f t="shared" si="23"/>
        <v>6214</v>
      </c>
      <c r="AU129" s="1948">
        <f t="shared" si="24"/>
        <v>0</v>
      </c>
      <c r="AV129" s="1948">
        <v>139</v>
      </c>
      <c r="AW129" s="1948">
        <v>12.32</v>
      </c>
      <c r="AX129" s="1948">
        <v>111.2</v>
      </c>
      <c r="AY129" s="1948">
        <v>1</v>
      </c>
      <c r="AZ129" s="1948">
        <v>44.53</v>
      </c>
      <c r="BA129" s="1948">
        <v>3950</v>
      </c>
      <c r="BB129" s="1948">
        <f t="shared" si="25"/>
        <v>5322</v>
      </c>
      <c r="BC129" s="1948">
        <f t="shared" si="26"/>
        <v>0</v>
      </c>
      <c r="BD129" s="1949">
        <v>139</v>
      </c>
      <c r="BE129" s="1948">
        <v>12.24</v>
      </c>
      <c r="BF129" s="1949">
        <v>111.2</v>
      </c>
      <c r="BG129" s="1949">
        <v>0.99960000000000004</v>
      </c>
      <c r="BH129" s="1949">
        <v>35.24</v>
      </c>
      <c r="BI129" s="1948">
        <v>3209</v>
      </c>
      <c r="BJ129" s="1948">
        <f t="shared" si="27"/>
        <v>5464</v>
      </c>
      <c r="BK129" s="1948">
        <f t="shared" si="28"/>
        <v>0</v>
      </c>
    </row>
    <row r="130" spans="1:63" ht="15">
      <c r="A130" s="1946">
        <v>614000000003</v>
      </c>
      <c r="B130" s="1947">
        <f t="shared" si="29"/>
        <v>124</v>
      </c>
      <c r="C130" s="1906" t="s">
        <v>3018</v>
      </c>
      <c r="D130" s="1907" t="s">
        <v>524</v>
      </c>
      <c r="E130" s="1906" t="s">
        <v>636</v>
      </c>
      <c r="F130" s="1948" t="s">
        <v>259</v>
      </c>
      <c r="G130" s="1949">
        <v>139</v>
      </c>
      <c r="H130" s="1948">
        <v>139</v>
      </c>
      <c r="I130" s="1950">
        <v>60.1</v>
      </c>
      <c r="J130" s="1948">
        <v>111.2</v>
      </c>
      <c r="K130" s="1948">
        <v>0.89270000000000005</v>
      </c>
      <c r="L130" s="1948">
        <v>9.09</v>
      </c>
      <c r="M130" s="1948">
        <v>3671</v>
      </c>
      <c r="N130" s="1948">
        <f t="shared" si="15"/>
        <v>25963</v>
      </c>
      <c r="O130" s="1948">
        <f t="shared" si="16"/>
        <v>0</v>
      </c>
      <c r="P130" s="1948">
        <v>139</v>
      </c>
      <c r="Q130" s="1948">
        <v>79.304000000000002</v>
      </c>
      <c r="R130" s="1948">
        <v>111.2</v>
      </c>
      <c r="S130" s="1948">
        <v>0.9093</v>
      </c>
      <c r="T130" s="1948">
        <v>18.899999999999999</v>
      </c>
      <c r="U130" s="1948">
        <v>4981</v>
      </c>
      <c r="V130" s="1948">
        <f t="shared" si="17"/>
        <v>35401</v>
      </c>
      <c r="W130" s="1948">
        <f t="shared" si="18"/>
        <v>0</v>
      </c>
      <c r="X130" s="1948">
        <v>139</v>
      </c>
      <c r="Y130" s="1948">
        <v>93.859999999999985</v>
      </c>
      <c r="Z130" s="1948">
        <v>111.2</v>
      </c>
      <c r="AA130" s="1948">
        <v>0.92059999999999997</v>
      </c>
      <c r="AB130" s="1948">
        <v>9.9499999999999993</v>
      </c>
      <c r="AC130" s="1948">
        <v>6727</v>
      </c>
      <c r="AD130" s="1948">
        <f t="shared" si="19"/>
        <v>40548</v>
      </c>
      <c r="AE130" s="1948">
        <f t="shared" si="20"/>
        <v>0</v>
      </c>
      <c r="AF130" s="1948">
        <v>139</v>
      </c>
      <c r="AG130" s="1948">
        <v>74.635999999999996</v>
      </c>
      <c r="AH130" s="1948">
        <v>111.2</v>
      </c>
      <c r="AI130" s="1948">
        <v>0.92379999999999995</v>
      </c>
      <c r="AJ130" s="1948">
        <v>6.76</v>
      </c>
      <c r="AK130" s="1948">
        <v>3755</v>
      </c>
      <c r="AL130" s="1948">
        <f t="shared" si="21"/>
        <v>33318</v>
      </c>
      <c r="AM130" s="1948">
        <f t="shared" si="22"/>
        <v>0</v>
      </c>
      <c r="AN130" s="1948">
        <v>139</v>
      </c>
      <c r="AO130" s="1948">
        <v>69.635999999999996</v>
      </c>
      <c r="AP130" s="1948">
        <v>111.2</v>
      </c>
      <c r="AQ130" s="1948">
        <v>0.92820000000000003</v>
      </c>
      <c r="AR130" s="1948">
        <v>9.09</v>
      </c>
      <c r="AS130" s="1948">
        <v>4712</v>
      </c>
      <c r="AT130" s="1948">
        <f t="shared" si="23"/>
        <v>31086</v>
      </c>
      <c r="AU130" s="1948">
        <f t="shared" si="24"/>
        <v>0</v>
      </c>
      <c r="AV130" s="1948">
        <v>139</v>
      </c>
      <c r="AW130" s="1948">
        <v>74.66</v>
      </c>
      <c r="AX130" s="1948">
        <v>111.2</v>
      </c>
      <c r="AY130" s="1948">
        <v>0.91200000000000003</v>
      </c>
      <c r="AZ130" s="1948">
        <v>10.8</v>
      </c>
      <c r="BA130" s="1948">
        <v>5805</v>
      </c>
      <c r="BB130" s="1948">
        <f t="shared" si="25"/>
        <v>32253</v>
      </c>
      <c r="BC130" s="1948">
        <f t="shared" si="26"/>
        <v>0</v>
      </c>
      <c r="BD130" s="1949">
        <v>139</v>
      </c>
      <c r="BE130" s="1948">
        <v>93.94</v>
      </c>
      <c r="BF130" s="1949">
        <v>111.2</v>
      </c>
      <c r="BG130" s="1949">
        <v>0.91769999999999996</v>
      </c>
      <c r="BH130" s="1949">
        <v>7.65</v>
      </c>
      <c r="BI130" s="1948">
        <v>5349</v>
      </c>
      <c r="BJ130" s="1948">
        <f t="shared" si="27"/>
        <v>41935</v>
      </c>
      <c r="BK130" s="1948">
        <f t="shared" si="28"/>
        <v>0</v>
      </c>
    </row>
    <row r="131" spans="1:63" ht="15">
      <c r="A131" s="1946">
        <v>621000000059</v>
      </c>
      <c r="B131" s="1947">
        <f t="shared" si="29"/>
        <v>125</v>
      </c>
      <c r="C131" s="1906" t="s">
        <v>3019</v>
      </c>
      <c r="D131" s="1907" t="s">
        <v>524</v>
      </c>
      <c r="E131" s="1906" t="s">
        <v>636</v>
      </c>
      <c r="F131" s="1948" t="s">
        <v>259</v>
      </c>
      <c r="G131" s="1949">
        <v>139</v>
      </c>
      <c r="H131" s="1948">
        <v>139</v>
      </c>
      <c r="I131" s="1950">
        <v>56.32</v>
      </c>
      <c r="J131" s="1948">
        <v>111.2</v>
      </c>
      <c r="K131" s="1948">
        <v>0.99960000000000004</v>
      </c>
      <c r="L131" s="1948">
        <v>45.78</v>
      </c>
      <c r="M131" s="1948">
        <v>18562</v>
      </c>
      <c r="N131" s="1948">
        <f t="shared" si="15"/>
        <v>24330</v>
      </c>
      <c r="O131" s="1948">
        <f t="shared" si="16"/>
        <v>0</v>
      </c>
      <c r="P131" s="1948">
        <v>139</v>
      </c>
      <c r="Q131" s="1948">
        <v>60</v>
      </c>
      <c r="R131" s="1948">
        <v>111.2</v>
      </c>
      <c r="S131" s="1948">
        <v>0.99980000000000002</v>
      </c>
      <c r="T131" s="1948">
        <v>42.91</v>
      </c>
      <c r="U131" s="1948">
        <v>19154</v>
      </c>
      <c r="V131" s="1948">
        <f t="shared" si="17"/>
        <v>26784</v>
      </c>
      <c r="W131" s="1948">
        <f t="shared" si="18"/>
        <v>0</v>
      </c>
      <c r="X131" s="1948">
        <v>139</v>
      </c>
      <c r="Y131" s="1948">
        <v>63.519999999999996</v>
      </c>
      <c r="Z131" s="1948">
        <v>111.2</v>
      </c>
      <c r="AA131" s="1948">
        <v>0.99509999999999998</v>
      </c>
      <c r="AB131" s="1948">
        <v>40.770000000000003</v>
      </c>
      <c r="AC131" s="1948">
        <v>18648</v>
      </c>
      <c r="AD131" s="1948">
        <f t="shared" si="19"/>
        <v>27441</v>
      </c>
      <c r="AE131" s="1948">
        <f t="shared" si="20"/>
        <v>0</v>
      </c>
      <c r="AF131" s="1948">
        <v>139</v>
      </c>
      <c r="AG131" s="1948">
        <v>51.359999999999992</v>
      </c>
      <c r="AH131" s="1948">
        <v>111.2</v>
      </c>
      <c r="AI131" s="1948">
        <v>0.98950000000000005</v>
      </c>
      <c r="AJ131" s="1948">
        <v>39.64</v>
      </c>
      <c r="AK131" s="1948">
        <v>15146</v>
      </c>
      <c r="AL131" s="1948">
        <f t="shared" si="21"/>
        <v>22927</v>
      </c>
      <c r="AM131" s="1948">
        <f t="shared" si="22"/>
        <v>0</v>
      </c>
      <c r="AN131" s="1948">
        <v>139</v>
      </c>
      <c r="AO131" s="1948">
        <v>50.080000000000005</v>
      </c>
      <c r="AP131" s="1948">
        <v>111.2</v>
      </c>
      <c r="AQ131" s="1948">
        <v>0.98880000000000001</v>
      </c>
      <c r="AR131" s="1948">
        <v>45.21</v>
      </c>
      <c r="AS131" s="1948">
        <v>16846</v>
      </c>
      <c r="AT131" s="1948">
        <f t="shared" si="23"/>
        <v>22356</v>
      </c>
      <c r="AU131" s="1948">
        <f t="shared" si="24"/>
        <v>0</v>
      </c>
      <c r="AV131" s="1948">
        <v>139</v>
      </c>
      <c r="AW131" s="1948">
        <v>52.32</v>
      </c>
      <c r="AX131" s="1948">
        <v>111.2</v>
      </c>
      <c r="AY131" s="1948">
        <v>0.98839999999999995</v>
      </c>
      <c r="AZ131" s="1948">
        <v>45.42</v>
      </c>
      <c r="BA131" s="1948">
        <v>17110</v>
      </c>
      <c r="BB131" s="1948">
        <f t="shared" si="25"/>
        <v>22602</v>
      </c>
      <c r="BC131" s="1948">
        <f t="shared" si="26"/>
        <v>0</v>
      </c>
      <c r="BD131" s="1949">
        <v>139</v>
      </c>
      <c r="BE131" s="1948">
        <v>45.76</v>
      </c>
      <c r="BF131" s="1949">
        <v>111.2</v>
      </c>
      <c r="BG131" s="1949">
        <v>0.99099999999999999</v>
      </c>
      <c r="BH131" s="1949">
        <v>49.88</v>
      </c>
      <c r="BI131" s="1948">
        <v>16982</v>
      </c>
      <c r="BJ131" s="1948">
        <f t="shared" si="27"/>
        <v>20427</v>
      </c>
      <c r="BK131" s="1948">
        <f t="shared" si="28"/>
        <v>0</v>
      </c>
    </row>
    <row r="132" spans="1:63" ht="15">
      <c r="A132" s="1946">
        <v>621000000061</v>
      </c>
      <c r="B132" s="1947">
        <f t="shared" si="29"/>
        <v>126</v>
      </c>
      <c r="C132" s="1906" t="s">
        <v>3019</v>
      </c>
      <c r="D132" s="1907" t="s">
        <v>524</v>
      </c>
      <c r="E132" s="1906" t="s">
        <v>636</v>
      </c>
      <c r="F132" s="1948" t="s">
        <v>259</v>
      </c>
      <c r="G132" s="1949">
        <v>139</v>
      </c>
      <c r="H132" s="1948">
        <v>139</v>
      </c>
      <c r="I132" s="1950">
        <v>71.2</v>
      </c>
      <c r="J132" s="1948">
        <v>111.2</v>
      </c>
      <c r="K132" s="1948">
        <v>0.96430000000000005</v>
      </c>
      <c r="L132" s="1948">
        <v>29.2</v>
      </c>
      <c r="M132" s="1948">
        <v>14968</v>
      </c>
      <c r="N132" s="1948">
        <f t="shared" si="15"/>
        <v>30758</v>
      </c>
      <c r="O132" s="1948">
        <f t="shared" si="16"/>
        <v>0</v>
      </c>
      <c r="P132" s="1948">
        <v>139</v>
      </c>
      <c r="Q132" s="1948">
        <v>52.64</v>
      </c>
      <c r="R132" s="1948">
        <v>111.2</v>
      </c>
      <c r="S132" s="1948">
        <v>0.96060000000000001</v>
      </c>
      <c r="T132" s="1948">
        <v>40.93</v>
      </c>
      <c r="U132" s="1948">
        <v>16030</v>
      </c>
      <c r="V132" s="1948">
        <f t="shared" si="17"/>
        <v>23498</v>
      </c>
      <c r="W132" s="1948">
        <f t="shared" si="18"/>
        <v>0</v>
      </c>
      <c r="X132" s="1948">
        <v>139</v>
      </c>
      <c r="Y132" s="1948">
        <v>51.04</v>
      </c>
      <c r="Z132" s="1948">
        <v>111.2</v>
      </c>
      <c r="AA132" s="1948">
        <v>0.95299999999999996</v>
      </c>
      <c r="AB132" s="1948">
        <v>38.24</v>
      </c>
      <c r="AC132" s="1948">
        <v>14054</v>
      </c>
      <c r="AD132" s="1948">
        <f t="shared" si="19"/>
        <v>22049</v>
      </c>
      <c r="AE132" s="1948">
        <f t="shared" si="20"/>
        <v>0</v>
      </c>
      <c r="AF132" s="1948">
        <v>139</v>
      </c>
      <c r="AG132" s="1948">
        <v>46.239999999999995</v>
      </c>
      <c r="AH132" s="1948">
        <v>111.2</v>
      </c>
      <c r="AI132" s="1948">
        <v>0.92610000000000003</v>
      </c>
      <c r="AJ132" s="1948">
        <v>37.64</v>
      </c>
      <c r="AK132" s="1948">
        <v>12950</v>
      </c>
      <c r="AL132" s="1948">
        <f t="shared" si="21"/>
        <v>20642</v>
      </c>
      <c r="AM132" s="1948">
        <f t="shared" si="22"/>
        <v>0</v>
      </c>
      <c r="AN132" s="1948">
        <v>139</v>
      </c>
      <c r="AO132" s="1948">
        <v>42.4</v>
      </c>
      <c r="AP132" s="1948">
        <v>111.2</v>
      </c>
      <c r="AQ132" s="1948">
        <v>0.90990000000000004</v>
      </c>
      <c r="AR132" s="1948">
        <v>34.340000000000003</v>
      </c>
      <c r="AS132" s="1948">
        <v>10834</v>
      </c>
      <c r="AT132" s="1948">
        <f t="shared" si="23"/>
        <v>18927</v>
      </c>
      <c r="AU132" s="1948">
        <f t="shared" si="24"/>
        <v>0</v>
      </c>
      <c r="AV132" s="1948">
        <v>139</v>
      </c>
      <c r="AW132" s="1948">
        <v>33.28</v>
      </c>
      <c r="AX132" s="1948">
        <v>111.2</v>
      </c>
      <c r="AY132" s="1948">
        <v>0.89970000000000006</v>
      </c>
      <c r="AZ132" s="1948">
        <v>37.450000000000003</v>
      </c>
      <c r="BA132" s="1948">
        <v>8974</v>
      </c>
      <c r="BB132" s="1948">
        <f t="shared" si="25"/>
        <v>14377</v>
      </c>
      <c r="BC132" s="1948">
        <f t="shared" si="26"/>
        <v>0</v>
      </c>
      <c r="BD132" s="1949">
        <v>139</v>
      </c>
      <c r="BE132" s="1948">
        <v>33.92</v>
      </c>
      <c r="BF132" s="1949">
        <v>111.2</v>
      </c>
      <c r="BG132" s="1949">
        <v>0.8921</v>
      </c>
      <c r="BH132" s="1949">
        <v>42.03</v>
      </c>
      <c r="BI132" s="1948">
        <v>10606</v>
      </c>
      <c r="BJ132" s="1948">
        <f t="shared" si="27"/>
        <v>15142</v>
      </c>
      <c r="BK132" s="1948">
        <f t="shared" si="28"/>
        <v>0</v>
      </c>
    </row>
    <row r="133" spans="1:63" ht="15">
      <c r="A133" s="1946">
        <v>122000000086</v>
      </c>
      <c r="B133" s="1947">
        <f t="shared" si="29"/>
        <v>127</v>
      </c>
      <c r="C133" s="1906" t="s">
        <v>3024</v>
      </c>
      <c r="D133" s="1907" t="s">
        <v>524</v>
      </c>
      <c r="E133" s="1906" t="s">
        <v>636</v>
      </c>
      <c r="F133" s="1948" t="s">
        <v>259</v>
      </c>
      <c r="G133" s="1949">
        <v>140</v>
      </c>
      <c r="H133" s="1948">
        <v>140</v>
      </c>
      <c r="I133" s="1950">
        <v>126.88</v>
      </c>
      <c r="J133" s="1948">
        <v>126.88</v>
      </c>
      <c r="K133" s="1948">
        <v>0.99609999999999999</v>
      </c>
      <c r="L133" s="1948">
        <v>47.73</v>
      </c>
      <c r="M133" s="1948">
        <v>43599</v>
      </c>
      <c r="N133" s="1948">
        <f t="shared" si="15"/>
        <v>54812</v>
      </c>
      <c r="O133" s="1948">
        <f t="shared" si="16"/>
        <v>0</v>
      </c>
      <c r="P133" s="1948">
        <v>140</v>
      </c>
      <c r="Q133" s="1948">
        <v>130.47999999999999</v>
      </c>
      <c r="R133" s="1948">
        <v>130.47999999999999</v>
      </c>
      <c r="S133" s="1948">
        <v>0.99539999999999995</v>
      </c>
      <c r="T133" s="1948">
        <v>51.06</v>
      </c>
      <c r="U133" s="1948">
        <v>49570</v>
      </c>
      <c r="V133" s="1948">
        <f t="shared" si="17"/>
        <v>58246</v>
      </c>
      <c r="W133" s="1948">
        <f t="shared" si="18"/>
        <v>0</v>
      </c>
      <c r="X133" s="1948">
        <v>140</v>
      </c>
      <c r="Y133" s="1948">
        <v>136.56</v>
      </c>
      <c r="Z133" s="1948">
        <v>136.56</v>
      </c>
      <c r="AA133" s="1948">
        <v>0.99460000000000004</v>
      </c>
      <c r="AB133" s="1948">
        <v>51.03</v>
      </c>
      <c r="AC133" s="1948">
        <v>50178</v>
      </c>
      <c r="AD133" s="1948">
        <f t="shared" si="19"/>
        <v>58994</v>
      </c>
      <c r="AE133" s="1948">
        <f t="shared" si="20"/>
        <v>0</v>
      </c>
      <c r="AF133" s="1948">
        <v>140</v>
      </c>
      <c r="AG133" s="1948">
        <v>129.12</v>
      </c>
      <c r="AH133" s="1948">
        <v>129.12</v>
      </c>
      <c r="AI133" s="1948">
        <v>0.99560000000000004</v>
      </c>
      <c r="AJ133" s="1948">
        <v>50.46</v>
      </c>
      <c r="AK133" s="1948">
        <v>48470</v>
      </c>
      <c r="AL133" s="1948">
        <f t="shared" si="21"/>
        <v>57639</v>
      </c>
      <c r="AM133" s="1948">
        <f t="shared" si="22"/>
        <v>0</v>
      </c>
      <c r="AN133" s="1948">
        <v>140</v>
      </c>
      <c r="AO133" s="1948">
        <v>116.88000000000001</v>
      </c>
      <c r="AP133" s="1948">
        <v>116.88</v>
      </c>
      <c r="AQ133" s="1948">
        <v>0.99750000000000005</v>
      </c>
      <c r="AR133" s="1948">
        <v>51.22</v>
      </c>
      <c r="AS133" s="1948">
        <v>44537</v>
      </c>
      <c r="AT133" s="1948">
        <f t="shared" si="23"/>
        <v>52175</v>
      </c>
      <c r="AU133" s="1948">
        <f t="shared" si="24"/>
        <v>0</v>
      </c>
      <c r="AV133" s="1948">
        <v>140</v>
      </c>
      <c r="AW133" s="1948">
        <v>108.80000000000001</v>
      </c>
      <c r="AX133" s="1948">
        <v>112</v>
      </c>
      <c r="AY133" s="1948">
        <v>0.99750000000000005</v>
      </c>
      <c r="AZ133" s="1948">
        <v>55.33</v>
      </c>
      <c r="BA133" s="1948">
        <v>43347</v>
      </c>
      <c r="BB133" s="1948">
        <f t="shared" si="25"/>
        <v>47002</v>
      </c>
      <c r="BC133" s="1948">
        <f t="shared" si="26"/>
        <v>0</v>
      </c>
      <c r="BD133" s="1949">
        <v>140</v>
      </c>
      <c r="BE133" s="1948">
        <v>99.76</v>
      </c>
      <c r="BF133" s="1949">
        <v>112</v>
      </c>
      <c r="BG133" s="1949">
        <v>0.99790000000000001</v>
      </c>
      <c r="BH133" s="1949">
        <v>52.3</v>
      </c>
      <c r="BI133" s="1948">
        <v>38818</v>
      </c>
      <c r="BJ133" s="1948">
        <f t="shared" si="27"/>
        <v>44533</v>
      </c>
      <c r="BK133" s="1948">
        <f t="shared" si="28"/>
        <v>0</v>
      </c>
    </row>
    <row r="134" spans="1:63" ht="15">
      <c r="A134" s="1946">
        <v>125000000023</v>
      </c>
      <c r="B134" s="1947">
        <f t="shared" si="29"/>
        <v>128</v>
      </c>
      <c r="C134" s="1906" t="s">
        <v>3025</v>
      </c>
      <c r="D134" s="1907" t="s">
        <v>524</v>
      </c>
      <c r="E134" s="1906" t="s">
        <v>541</v>
      </c>
      <c r="F134" s="1948" t="s">
        <v>259</v>
      </c>
      <c r="G134" s="1949">
        <v>140</v>
      </c>
      <c r="H134" s="1948">
        <v>140</v>
      </c>
      <c r="I134" s="1950">
        <v>45.2</v>
      </c>
      <c r="J134" s="1948">
        <v>112</v>
      </c>
      <c r="K134" s="1948">
        <v>0.72870000000000001</v>
      </c>
      <c r="L134" s="1948">
        <v>11.19</v>
      </c>
      <c r="M134" s="1948">
        <v>4247</v>
      </c>
      <c r="N134" s="1948">
        <f t="shared" si="15"/>
        <v>19526</v>
      </c>
      <c r="O134" s="1948">
        <f t="shared" si="16"/>
        <v>0</v>
      </c>
      <c r="P134" s="1948">
        <v>140</v>
      </c>
      <c r="Q134" s="1948">
        <v>46.08</v>
      </c>
      <c r="R134" s="1948">
        <v>112</v>
      </c>
      <c r="S134" s="1948">
        <v>0.80100000000000005</v>
      </c>
      <c r="T134" s="1948">
        <v>8.01</v>
      </c>
      <c r="U134" s="1948">
        <v>2393</v>
      </c>
      <c r="V134" s="1948">
        <f t="shared" si="17"/>
        <v>20570</v>
      </c>
      <c r="W134" s="1948">
        <f t="shared" si="18"/>
        <v>0</v>
      </c>
      <c r="X134" s="1948">
        <v>140</v>
      </c>
      <c r="Y134" s="1948">
        <v>36.799999999999997</v>
      </c>
      <c r="Z134" s="1948">
        <v>112</v>
      </c>
      <c r="AA134" s="1948">
        <v>0.8337</v>
      </c>
      <c r="AB134" s="1948">
        <v>8.26</v>
      </c>
      <c r="AC134" s="1948">
        <v>2262</v>
      </c>
      <c r="AD134" s="1948">
        <f t="shared" si="19"/>
        <v>15898</v>
      </c>
      <c r="AE134" s="1948">
        <f t="shared" si="20"/>
        <v>0</v>
      </c>
      <c r="AF134" s="1948">
        <v>140</v>
      </c>
      <c r="AG134" s="1948">
        <v>52.480000000000004</v>
      </c>
      <c r="AH134" s="1948">
        <v>112</v>
      </c>
      <c r="AI134" s="1948">
        <v>0.83120000000000005</v>
      </c>
      <c r="AJ134" s="1948">
        <v>7.09</v>
      </c>
      <c r="AK134" s="1948">
        <v>2768</v>
      </c>
      <c r="AL134" s="1948">
        <f t="shared" si="21"/>
        <v>23427</v>
      </c>
      <c r="AM134" s="1948">
        <f t="shared" si="22"/>
        <v>0</v>
      </c>
      <c r="AN134" s="1948">
        <v>140</v>
      </c>
      <c r="AO134" s="1948">
        <v>11.473599999999999</v>
      </c>
      <c r="AP134" s="1948">
        <v>112</v>
      </c>
      <c r="AQ134" s="1948">
        <v>0.90629999999999999</v>
      </c>
      <c r="AR134" s="1948">
        <v>32.770000000000003</v>
      </c>
      <c r="AS134" s="1948">
        <v>3248</v>
      </c>
      <c r="AT134" s="1948">
        <f t="shared" si="23"/>
        <v>5122</v>
      </c>
      <c r="AU134" s="1948">
        <f t="shared" si="24"/>
        <v>0</v>
      </c>
      <c r="AV134" s="1948">
        <v>140</v>
      </c>
      <c r="AW134" s="1948">
        <v>8.07</v>
      </c>
      <c r="AX134" s="1948">
        <v>112</v>
      </c>
      <c r="AY134" s="1948">
        <v>0.86439999999999995</v>
      </c>
      <c r="AZ134" s="1948">
        <v>44.3</v>
      </c>
      <c r="BA134" s="1948">
        <v>2574</v>
      </c>
      <c r="BB134" s="1948">
        <f t="shared" si="25"/>
        <v>3486</v>
      </c>
      <c r="BC134" s="1948">
        <f t="shared" si="26"/>
        <v>0</v>
      </c>
      <c r="BD134" s="1949">
        <v>140</v>
      </c>
      <c r="BE134" s="1948">
        <v>7.7240000000000002</v>
      </c>
      <c r="BF134" s="1949">
        <v>112</v>
      </c>
      <c r="BG134" s="1949">
        <v>0.82830000000000004</v>
      </c>
      <c r="BH134" s="1949">
        <v>52.13</v>
      </c>
      <c r="BI134" s="1948">
        <v>2994</v>
      </c>
      <c r="BJ134" s="1948">
        <f t="shared" si="27"/>
        <v>3448</v>
      </c>
      <c r="BK134" s="1948">
        <f t="shared" si="28"/>
        <v>0</v>
      </c>
    </row>
    <row r="135" spans="1:63" ht="15">
      <c r="A135" s="1946">
        <v>121000000004</v>
      </c>
      <c r="B135" s="1947">
        <f t="shared" si="29"/>
        <v>129</v>
      </c>
      <c r="C135" s="1906" t="s">
        <v>3021</v>
      </c>
      <c r="D135" s="1907" t="s">
        <v>524</v>
      </c>
      <c r="E135" s="1906" t="s">
        <v>541</v>
      </c>
      <c r="F135" s="1948" t="s">
        <v>259</v>
      </c>
      <c r="G135" s="1949">
        <v>140</v>
      </c>
      <c r="H135" s="1948">
        <v>140</v>
      </c>
      <c r="I135" s="1950">
        <v>169.07999999999998</v>
      </c>
      <c r="J135" s="1948">
        <v>169.08</v>
      </c>
      <c r="K135" s="1948">
        <v>0.9819</v>
      </c>
      <c r="L135" s="1948">
        <v>30.59</v>
      </c>
      <c r="M135" s="1948">
        <v>37238</v>
      </c>
      <c r="N135" s="1948">
        <f t="shared" ref="N135:N198" si="30">+ROUND(24*30*0.6*I135,0)</f>
        <v>73043</v>
      </c>
      <c r="O135" s="1948">
        <f t="shared" ref="O135:O198" si="31">+MAX((M135-N135),0)</f>
        <v>0</v>
      </c>
      <c r="P135" s="1948">
        <v>140</v>
      </c>
      <c r="Q135" s="1948">
        <v>174.84</v>
      </c>
      <c r="R135" s="1948">
        <v>174.84</v>
      </c>
      <c r="S135" s="1948">
        <v>0.98029999999999995</v>
      </c>
      <c r="T135" s="1948">
        <v>33.76</v>
      </c>
      <c r="U135" s="1948">
        <v>43918</v>
      </c>
      <c r="V135" s="1948">
        <f t="shared" ref="V135:V198" si="32">+ROUND(24*31*0.6*Q135,0)</f>
        <v>78049</v>
      </c>
      <c r="W135" s="1948">
        <f t="shared" ref="W135:W198" si="33">+MAX((U135-V135),0)</f>
        <v>0</v>
      </c>
      <c r="X135" s="1948">
        <v>140</v>
      </c>
      <c r="Y135" s="1948">
        <v>1.1359999999999999</v>
      </c>
      <c r="Z135" s="1948">
        <v>170.4</v>
      </c>
      <c r="AA135" s="1948">
        <v>0.98299999999999998</v>
      </c>
      <c r="AB135" s="1948">
        <v>23.14</v>
      </c>
      <c r="AC135" s="1948">
        <v>28384</v>
      </c>
      <c r="AD135" s="1948">
        <f t="shared" ref="AD135:AD198" si="34">+ROUND(24*30*0.6*Y135,0)</f>
        <v>491</v>
      </c>
      <c r="AE135" s="1948">
        <f t="shared" ref="AE135:AE198" si="35">+MAX((AC135-AD135),0)</f>
        <v>27893</v>
      </c>
      <c r="AF135" s="1948">
        <v>140</v>
      </c>
      <c r="AG135" s="1948">
        <v>178.03440000000001</v>
      </c>
      <c r="AH135" s="1948">
        <v>178.03</v>
      </c>
      <c r="AI135" s="1948">
        <v>0.98519999999999996</v>
      </c>
      <c r="AJ135" s="1948">
        <v>19.64</v>
      </c>
      <c r="AK135" s="1948">
        <v>26010</v>
      </c>
      <c r="AL135" s="1948">
        <f t="shared" ref="AL135:AL198" si="36">+ROUND(24*31*0.6*AG135,0)</f>
        <v>79475</v>
      </c>
      <c r="AM135" s="1948">
        <f t="shared" ref="AM135:AM198" si="37">+MAX((AK135-AL135),0)</f>
        <v>0</v>
      </c>
      <c r="AN135" s="1948">
        <v>140</v>
      </c>
      <c r="AO135" s="1948">
        <v>167.44399999999999</v>
      </c>
      <c r="AP135" s="1948">
        <v>167.44</v>
      </c>
      <c r="AQ135" s="1948">
        <v>0.98440000000000005</v>
      </c>
      <c r="AR135" s="1948">
        <v>21.92</v>
      </c>
      <c r="AS135" s="1948">
        <v>27312</v>
      </c>
      <c r="AT135" s="1948">
        <f t="shared" ref="AT135:AT198" si="38">+ROUND(24*31*0.6*AO135,0)</f>
        <v>74747</v>
      </c>
      <c r="AU135" s="1948">
        <f t="shared" ref="AU135:AU198" si="39">+MAX((AS135-AT135),0)</f>
        <v>0</v>
      </c>
      <c r="AV135" s="1948">
        <v>140</v>
      </c>
      <c r="AW135" s="1948">
        <v>162.672</v>
      </c>
      <c r="AX135" s="1948">
        <v>162.66999999999999</v>
      </c>
      <c r="AY135" s="1948">
        <v>0.98499999999999999</v>
      </c>
      <c r="AZ135" s="1948">
        <v>20.3</v>
      </c>
      <c r="BA135" s="1948">
        <v>23779</v>
      </c>
      <c r="BB135" s="1948">
        <f t="shared" ref="BB135:BB198" si="40">+ROUND(24*30*0.6*AW135,0)</f>
        <v>70274</v>
      </c>
      <c r="BC135" s="1948">
        <f t="shared" ref="BC135:BC198" si="41">+MAX((BA135-BB135),0)</f>
        <v>0</v>
      </c>
      <c r="BD135" s="1949">
        <v>140</v>
      </c>
      <c r="BE135" s="1948">
        <v>114.12</v>
      </c>
      <c r="BF135" s="1949">
        <v>114.12</v>
      </c>
      <c r="BG135" s="1949">
        <v>0.99099999999999999</v>
      </c>
      <c r="BH135" s="1949">
        <v>13.21</v>
      </c>
      <c r="BI135" s="1948">
        <v>11214</v>
      </c>
      <c r="BJ135" s="1948">
        <f t="shared" ref="BJ135:BJ198" si="42">+ROUND(24*31*0.6*BE135,0)</f>
        <v>50943</v>
      </c>
      <c r="BK135" s="1948">
        <f t="shared" ref="BK135:BK198" si="43">+MAX((BI135-BJ135),0)</f>
        <v>0</v>
      </c>
    </row>
    <row r="136" spans="1:63" ht="15">
      <c r="A136" s="1946">
        <v>121000000039</v>
      </c>
      <c r="B136" s="1947">
        <f t="shared" si="29"/>
        <v>130</v>
      </c>
      <c r="C136" s="1906" t="s">
        <v>3022</v>
      </c>
      <c r="D136" s="1907" t="s">
        <v>524</v>
      </c>
      <c r="E136" s="1906" t="s">
        <v>2966</v>
      </c>
      <c r="F136" s="1948" t="s">
        <v>259</v>
      </c>
      <c r="G136" s="1949">
        <v>140</v>
      </c>
      <c r="H136" s="1948">
        <v>140</v>
      </c>
      <c r="I136" s="1950">
        <v>27.839999999999996</v>
      </c>
      <c r="J136" s="1948">
        <v>140</v>
      </c>
      <c r="K136" s="1948">
        <v>0.79200000000000004</v>
      </c>
      <c r="L136" s="1948">
        <v>0</v>
      </c>
      <c r="M136" s="1948">
        <v>3750</v>
      </c>
      <c r="N136" s="1948">
        <f t="shared" si="30"/>
        <v>12027</v>
      </c>
      <c r="O136" s="1948">
        <f t="shared" si="31"/>
        <v>0</v>
      </c>
      <c r="P136" s="1948">
        <v>140</v>
      </c>
      <c r="Q136" s="1948">
        <v>80.760000000000005</v>
      </c>
      <c r="R136" s="1948">
        <v>140</v>
      </c>
      <c r="S136" s="1948">
        <v>0.74719999999999998</v>
      </c>
      <c r="T136" s="1948">
        <v>0</v>
      </c>
      <c r="U136" s="1948">
        <v>1005</v>
      </c>
      <c r="V136" s="1948">
        <f t="shared" si="32"/>
        <v>36051</v>
      </c>
      <c r="W136" s="1948">
        <f t="shared" si="33"/>
        <v>0</v>
      </c>
      <c r="X136" s="1948">
        <v>140</v>
      </c>
      <c r="Y136" s="1948">
        <v>16.32</v>
      </c>
      <c r="Z136" s="1948">
        <v>140</v>
      </c>
      <c r="AA136" s="1948">
        <v>0.54730000000000001</v>
      </c>
      <c r="AB136" s="1948">
        <v>0</v>
      </c>
      <c r="AC136" s="1948">
        <v>2247</v>
      </c>
      <c r="AD136" s="1948">
        <f t="shared" si="34"/>
        <v>7050</v>
      </c>
      <c r="AE136" s="1948">
        <f t="shared" si="35"/>
        <v>0</v>
      </c>
      <c r="AF136" s="1948">
        <v>140</v>
      </c>
      <c r="AG136" s="1948">
        <v>8.2799999999999994</v>
      </c>
      <c r="AH136" s="1948">
        <v>140</v>
      </c>
      <c r="AI136" s="1948">
        <v>0.48899999999999999</v>
      </c>
      <c r="AJ136" s="1948">
        <v>0</v>
      </c>
      <c r="AK136" s="1948">
        <v>2644</v>
      </c>
      <c r="AL136" s="1948">
        <f t="shared" si="36"/>
        <v>3696</v>
      </c>
      <c r="AM136" s="1948">
        <f t="shared" si="37"/>
        <v>0</v>
      </c>
      <c r="AN136" s="1948">
        <v>140</v>
      </c>
      <c r="AO136" s="1948">
        <v>15.360000000000001</v>
      </c>
      <c r="AP136" s="1948">
        <v>140</v>
      </c>
      <c r="AQ136" s="1948">
        <v>0.53400000000000003</v>
      </c>
      <c r="AR136" s="1948">
        <v>0</v>
      </c>
      <c r="AS136" s="1948">
        <v>2099</v>
      </c>
      <c r="AT136" s="1948">
        <f t="shared" si="38"/>
        <v>6857</v>
      </c>
      <c r="AU136" s="1948">
        <f t="shared" si="39"/>
        <v>0</v>
      </c>
      <c r="AV136" s="1948">
        <v>140</v>
      </c>
      <c r="AW136" s="1948">
        <v>7.4399999999999995</v>
      </c>
      <c r="AX136" s="1948">
        <v>140</v>
      </c>
      <c r="AY136" s="1948">
        <v>0.54059999999999997</v>
      </c>
      <c r="AZ136" s="1948">
        <v>0</v>
      </c>
      <c r="BA136" s="1948">
        <v>1809</v>
      </c>
      <c r="BB136" s="1948">
        <f t="shared" si="40"/>
        <v>3214</v>
      </c>
      <c r="BC136" s="1948">
        <f t="shared" si="41"/>
        <v>0</v>
      </c>
      <c r="BD136" s="1949">
        <v>140</v>
      </c>
      <c r="BE136" s="1948">
        <v>16.559999999999999</v>
      </c>
      <c r="BF136" s="1949">
        <v>140</v>
      </c>
      <c r="BG136" s="1949">
        <v>0.55020000000000002</v>
      </c>
      <c r="BH136" s="1949">
        <v>0</v>
      </c>
      <c r="BI136" s="1948">
        <v>2893</v>
      </c>
      <c r="BJ136" s="1948">
        <f t="shared" si="42"/>
        <v>7392</v>
      </c>
      <c r="BK136" s="1948">
        <f t="shared" si="43"/>
        <v>0</v>
      </c>
    </row>
    <row r="137" spans="1:63" ht="15">
      <c r="A137" s="1946">
        <v>121000000075</v>
      </c>
      <c r="B137" s="1947">
        <f t="shared" ref="B137:B200" si="44">+B136+1</f>
        <v>131</v>
      </c>
      <c r="C137" s="1906" t="s">
        <v>3023</v>
      </c>
      <c r="D137" s="1907" t="s">
        <v>524</v>
      </c>
      <c r="E137" s="1906" t="s">
        <v>541</v>
      </c>
      <c r="F137" s="1948" t="s">
        <v>259</v>
      </c>
      <c r="G137" s="1949">
        <v>140</v>
      </c>
      <c r="H137" s="1948">
        <v>140</v>
      </c>
      <c r="I137" s="1950">
        <v>68.320000000000007</v>
      </c>
      <c r="J137" s="1948">
        <v>112</v>
      </c>
      <c r="K137" s="1948">
        <v>0.99950000000000006</v>
      </c>
      <c r="L137" s="1948">
        <v>34.99</v>
      </c>
      <c r="M137" s="1948">
        <v>17214</v>
      </c>
      <c r="N137" s="1948">
        <f t="shared" si="30"/>
        <v>29514</v>
      </c>
      <c r="O137" s="1948">
        <f t="shared" si="31"/>
        <v>0</v>
      </c>
      <c r="P137" s="1948">
        <v>140</v>
      </c>
      <c r="Q137" s="1948">
        <v>123.03999999999999</v>
      </c>
      <c r="R137" s="1948">
        <v>123.04</v>
      </c>
      <c r="S137" s="1948">
        <v>0.99170000000000003</v>
      </c>
      <c r="T137" s="1948">
        <v>60.89</v>
      </c>
      <c r="U137" s="1948">
        <v>55738</v>
      </c>
      <c r="V137" s="1948">
        <f t="shared" si="32"/>
        <v>54925</v>
      </c>
      <c r="W137" s="1948">
        <f t="shared" si="33"/>
        <v>813</v>
      </c>
      <c r="X137" s="1948">
        <v>140</v>
      </c>
      <c r="Y137" s="1948">
        <v>123.44</v>
      </c>
      <c r="Z137" s="1948">
        <v>123.44</v>
      </c>
      <c r="AA137" s="1948">
        <v>0.99139999999999995</v>
      </c>
      <c r="AB137" s="1948">
        <v>45.24</v>
      </c>
      <c r="AC137" s="1948">
        <v>40211</v>
      </c>
      <c r="AD137" s="1948">
        <f t="shared" si="34"/>
        <v>53326</v>
      </c>
      <c r="AE137" s="1948">
        <f t="shared" si="35"/>
        <v>0</v>
      </c>
      <c r="AF137" s="1948">
        <v>140</v>
      </c>
      <c r="AG137" s="1948">
        <v>73.52</v>
      </c>
      <c r="AH137" s="1948">
        <v>112</v>
      </c>
      <c r="AI137" s="1948">
        <v>0.99960000000000004</v>
      </c>
      <c r="AJ137" s="1948">
        <v>19.38</v>
      </c>
      <c r="AK137" s="1948">
        <v>10603</v>
      </c>
      <c r="AL137" s="1948">
        <f t="shared" si="36"/>
        <v>32819</v>
      </c>
      <c r="AM137" s="1948">
        <f t="shared" si="37"/>
        <v>0</v>
      </c>
      <c r="AN137" s="1948">
        <v>140</v>
      </c>
      <c r="AO137" s="1948">
        <v>72.8</v>
      </c>
      <c r="AP137" s="1948">
        <v>112</v>
      </c>
      <c r="AQ137" s="1948">
        <v>0.99950000000000006</v>
      </c>
      <c r="AR137" s="1948">
        <v>17</v>
      </c>
      <c r="AS137" s="1948">
        <v>9207</v>
      </c>
      <c r="AT137" s="1948">
        <f t="shared" si="38"/>
        <v>32498</v>
      </c>
      <c r="AU137" s="1948">
        <f t="shared" si="39"/>
        <v>0</v>
      </c>
      <c r="AV137" s="1948">
        <v>140</v>
      </c>
      <c r="AW137" s="1948">
        <v>67.36</v>
      </c>
      <c r="AX137" s="1948">
        <v>112</v>
      </c>
      <c r="AY137" s="1948">
        <v>0.99970000000000003</v>
      </c>
      <c r="AZ137" s="1948">
        <v>14.72</v>
      </c>
      <c r="BA137" s="1948">
        <v>7139</v>
      </c>
      <c r="BB137" s="1948">
        <f t="shared" si="40"/>
        <v>29100</v>
      </c>
      <c r="BC137" s="1948">
        <f t="shared" si="41"/>
        <v>0</v>
      </c>
      <c r="BD137" s="1949">
        <v>140</v>
      </c>
      <c r="BE137" s="1948">
        <v>44</v>
      </c>
      <c r="BF137" s="1949">
        <v>112</v>
      </c>
      <c r="BG137" s="1949">
        <v>0.99809999999999999</v>
      </c>
      <c r="BH137" s="1949">
        <v>27.01</v>
      </c>
      <c r="BI137" s="1948">
        <v>8841</v>
      </c>
      <c r="BJ137" s="1948">
        <f t="shared" si="42"/>
        <v>19642</v>
      </c>
      <c r="BK137" s="1948">
        <f t="shared" si="43"/>
        <v>0</v>
      </c>
    </row>
    <row r="138" spans="1:63" ht="15">
      <c r="A138" s="1946">
        <v>621000000074</v>
      </c>
      <c r="B138" s="1947">
        <f t="shared" si="44"/>
        <v>132</v>
      </c>
      <c r="C138" s="1906" t="s">
        <v>3550</v>
      </c>
      <c r="D138" s="1907" t="s">
        <v>524</v>
      </c>
      <c r="E138" s="1906" t="s">
        <v>636</v>
      </c>
      <c r="F138" s="1948" t="s">
        <v>259</v>
      </c>
      <c r="G138" s="1949">
        <v>140</v>
      </c>
      <c r="H138" s="1948">
        <v>0</v>
      </c>
      <c r="I138" s="1950">
        <v>0</v>
      </c>
      <c r="J138" s="1948">
        <v>0</v>
      </c>
      <c r="K138" s="1948">
        <v>0</v>
      </c>
      <c r="L138" s="1948">
        <v>0</v>
      </c>
      <c r="M138" s="1948">
        <v>0</v>
      </c>
      <c r="N138" s="1948">
        <f t="shared" si="30"/>
        <v>0</v>
      </c>
      <c r="O138" s="1948">
        <f t="shared" si="31"/>
        <v>0</v>
      </c>
      <c r="P138" s="1948">
        <v>0</v>
      </c>
      <c r="Q138" s="1948">
        <v>0</v>
      </c>
      <c r="R138" s="1948">
        <v>0</v>
      </c>
      <c r="S138" s="1948">
        <v>0</v>
      </c>
      <c r="T138" s="1948">
        <v>0</v>
      </c>
      <c r="U138" s="1948">
        <v>0</v>
      </c>
      <c r="V138" s="1948">
        <f t="shared" si="32"/>
        <v>0</v>
      </c>
      <c r="W138" s="1948">
        <f t="shared" si="33"/>
        <v>0</v>
      </c>
      <c r="X138" s="1948">
        <v>0</v>
      </c>
      <c r="Y138" s="1948">
        <v>0</v>
      </c>
      <c r="Z138" s="1948">
        <v>0</v>
      </c>
      <c r="AA138" s="1948">
        <v>0</v>
      </c>
      <c r="AB138" s="1948">
        <v>0</v>
      </c>
      <c r="AC138" s="1948">
        <v>0</v>
      </c>
      <c r="AD138" s="1948">
        <f t="shared" si="34"/>
        <v>0</v>
      </c>
      <c r="AE138" s="1948">
        <f t="shared" si="35"/>
        <v>0</v>
      </c>
      <c r="AF138" s="1948">
        <v>0</v>
      </c>
      <c r="AG138" s="1948">
        <v>0</v>
      </c>
      <c r="AH138" s="1948">
        <v>0</v>
      </c>
      <c r="AI138" s="1948">
        <v>0</v>
      </c>
      <c r="AJ138" s="1948">
        <v>0</v>
      </c>
      <c r="AK138" s="1948">
        <v>0</v>
      </c>
      <c r="AL138" s="1948">
        <f t="shared" si="36"/>
        <v>0</v>
      </c>
      <c r="AM138" s="1948">
        <f t="shared" si="37"/>
        <v>0</v>
      </c>
      <c r="AN138" s="1948">
        <v>0</v>
      </c>
      <c r="AO138" s="1948">
        <v>0</v>
      </c>
      <c r="AP138" s="1948">
        <v>0</v>
      </c>
      <c r="AQ138" s="1948">
        <v>0</v>
      </c>
      <c r="AR138" s="1948">
        <v>0</v>
      </c>
      <c r="AS138" s="1948">
        <v>0</v>
      </c>
      <c r="AT138" s="1948">
        <f t="shared" si="38"/>
        <v>0</v>
      </c>
      <c r="AU138" s="1948">
        <f t="shared" si="39"/>
        <v>0</v>
      </c>
      <c r="AV138" s="1948">
        <v>140</v>
      </c>
      <c r="AW138" s="1948">
        <v>2.8519999999999999</v>
      </c>
      <c r="AX138" s="1948">
        <v>112</v>
      </c>
      <c r="AY138" s="1948">
        <v>0.28079999999999999</v>
      </c>
      <c r="AZ138" s="1948">
        <v>72.89</v>
      </c>
      <c r="BA138" s="1948">
        <v>349</v>
      </c>
      <c r="BB138" s="1948">
        <f t="shared" si="40"/>
        <v>1232</v>
      </c>
      <c r="BC138" s="1948">
        <f t="shared" si="41"/>
        <v>0</v>
      </c>
      <c r="BD138" s="1949">
        <v>140</v>
      </c>
      <c r="BE138" s="1948">
        <v>7.984</v>
      </c>
      <c r="BF138" s="1949">
        <v>112</v>
      </c>
      <c r="BG138" s="1949">
        <v>0.31080000000000002</v>
      </c>
      <c r="BH138" s="1949">
        <v>24.71</v>
      </c>
      <c r="BI138" s="1948">
        <v>1467</v>
      </c>
      <c r="BJ138" s="1948">
        <f t="shared" si="42"/>
        <v>3564</v>
      </c>
      <c r="BK138" s="1948">
        <f t="shared" si="43"/>
        <v>0</v>
      </c>
    </row>
    <row r="139" spans="1:63" ht="15">
      <c r="A139" s="1946">
        <v>126000000011</v>
      </c>
      <c r="B139" s="1947">
        <f t="shared" si="44"/>
        <v>133</v>
      </c>
      <c r="C139" s="1906" t="s">
        <v>3013</v>
      </c>
      <c r="D139" s="1907" t="s">
        <v>524</v>
      </c>
      <c r="E139" s="1906" t="s">
        <v>541</v>
      </c>
      <c r="F139" s="1948" t="s">
        <v>259</v>
      </c>
      <c r="G139" s="1949">
        <v>141</v>
      </c>
      <c r="H139" s="1948">
        <v>141</v>
      </c>
      <c r="I139" s="1950">
        <v>264</v>
      </c>
      <c r="J139" s="1948">
        <v>264</v>
      </c>
      <c r="K139" s="1948">
        <v>0.75860000000000005</v>
      </c>
      <c r="L139" s="1948">
        <v>14.66</v>
      </c>
      <c r="M139" s="1948">
        <v>26943</v>
      </c>
      <c r="N139" s="1948">
        <f t="shared" si="30"/>
        <v>114048</v>
      </c>
      <c r="O139" s="1948">
        <f t="shared" si="31"/>
        <v>0</v>
      </c>
      <c r="P139" s="1948">
        <v>141</v>
      </c>
      <c r="Q139" s="1948">
        <v>273.95999999999998</v>
      </c>
      <c r="R139" s="1948">
        <v>273.95999999999998</v>
      </c>
      <c r="S139" s="1948">
        <v>0.70150000000000001</v>
      </c>
      <c r="T139" s="1948">
        <v>4.88</v>
      </c>
      <c r="U139" s="1948">
        <v>10274</v>
      </c>
      <c r="V139" s="1948">
        <f t="shared" si="32"/>
        <v>122296</v>
      </c>
      <c r="W139" s="1948">
        <f t="shared" si="33"/>
        <v>0</v>
      </c>
      <c r="X139" s="1948">
        <v>141</v>
      </c>
      <c r="Y139" s="1948">
        <v>278.88</v>
      </c>
      <c r="Z139" s="1948">
        <v>278.88</v>
      </c>
      <c r="AA139" s="1948">
        <v>0.69169999999999998</v>
      </c>
      <c r="AB139" s="1948">
        <v>11.48</v>
      </c>
      <c r="AC139" s="1948">
        <v>23052</v>
      </c>
      <c r="AD139" s="1948">
        <f t="shared" si="34"/>
        <v>120476</v>
      </c>
      <c r="AE139" s="1948">
        <f t="shared" si="35"/>
        <v>0</v>
      </c>
      <c r="AF139" s="1948">
        <v>141</v>
      </c>
      <c r="AG139" s="1948">
        <v>263.88</v>
      </c>
      <c r="AH139" s="1948">
        <v>263.88</v>
      </c>
      <c r="AI139" s="1948">
        <v>0.56630000000000003</v>
      </c>
      <c r="AJ139" s="1948">
        <v>2.96</v>
      </c>
      <c r="AK139" s="1948">
        <v>5807</v>
      </c>
      <c r="AL139" s="1948">
        <f t="shared" si="36"/>
        <v>117796</v>
      </c>
      <c r="AM139" s="1948">
        <f t="shared" si="37"/>
        <v>0</v>
      </c>
      <c r="AN139" s="1948">
        <v>141</v>
      </c>
      <c r="AO139" s="1948">
        <v>277.2</v>
      </c>
      <c r="AP139" s="1948">
        <v>277.2</v>
      </c>
      <c r="AQ139" s="1948">
        <v>0.52559999999999996</v>
      </c>
      <c r="AR139" s="1948">
        <v>3.06</v>
      </c>
      <c r="AS139" s="1948">
        <v>6306</v>
      </c>
      <c r="AT139" s="1948">
        <f t="shared" si="38"/>
        <v>123742</v>
      </c>
      <c r="AU139" s="1948">
        <f t="shared" si="39"/>
        <v>0</v>
      </c>
      <c r="AV139" s="1948">
        <v>141</v>
      </c>
      <c r="AW139" s="1948">
        <v>276.24</v>
      </c>
      <c r="AX139" s="1948">
        <v>276.24</v>
      </c>
      <c r="AY139" s="1948">
        <v>0.74309999999999998</v>
      </c>
      <c r="AZ139" s="1948">
        <v>3.29</v>
      </c>
      <c r="BA139" s="1948">
        <v>6548</v>
      </c>
      <c r="BB139" s="1948">
        <f t="shared" si="40"/>
        <v>119336</v>
      </c>
      <c r="BC139" s="1948">
        <f t="shared" si="41"/>
        <v>0</v>
      </c>
      <c r="BD139" s="1949">
        <v>141</v>
      </c>
      <c r="BE139" s="1948">
        <v>85.32</v>
      </c>
      <c r="BF139" s="1949">
        <v>112.8</v>
      </c>
      <c r="BG139" s="1949">
        <v>0.67169999999999996</v>
      </c>
      <c r="BH139" s="1949">
        <v>2.81</v>
      </c>
      <c r="BI139" s="1948">
        <v>1782</v>
      </c>
      <c r="BJ139" s="1948">
        <f t="shared" si="42"/>
        <v>38087</v>
      </c>
      <c r="BK139" s="1948">
        <f t="shared" si="43"/>
        <v>0</v>
      </c>
    </row>
    <row r="140" spans="1:63" ht="15">
      <c r="A140" s="1946">
        <v>126000000016</v>
      </c>
      <c r="B140" s="1947">
        <f t="shared" si="44"/>
        <v>134</v>
      </c>
      <c r="C140" s="1906" t="s">
        <v>3027</v>
      </c>
      <c r="D140" s="1907" t="s">
        <v>524</v>
      </c>
      <c r="E140" s="1906" t="s">
        <v>541</v>
      </c>
      <c r="F140" s="1948" t="s">
        <v>259</v>
      </c>
      <c r="G140" s="1949">
        <v>141</v>
      </c>
      <c r="H140" s="1948">
        <v>141</v>
      </c>
      <c r="I140" s="1950">
        <v>108.04</v>
      </c>
      <c r="J140" s="1948">
        <v>112.8</v>
      </c>
      <c r="K140" s="1948">
        <v>0.9345</v>
      </c>
      <c r="L140" s="1948">
        <v>18.82</v>
      </c>
      <c r="M140" s="1948">
        <v>14636</v>
      </c>
      <c r="N140" s="1948">
        <f t="shared" si="30"/>
        <v>46673</v>
      </c>
      <c r="O140" s="1948">
        <f t="shared" si="31"/>
        <v>0</v>
      </c>
      <c r="P140" s="1948">
        <v>141</v>
      </c>
      <c r="Q140" s="1948">
        <v>100.67999999999999</v>
      </c>
      <c r="R140" s="1948">
        <v>112.8</v>
      </c>
      <c r="S140" s="1948">
        <v>0.9536</v>
      </c>
      <c r="T140" s="1948">
        <v>20.11</v>
      </c>
      <c r="U140" s="1948">
        <v>15065</v>
      </c>
      <c r="V140" s="1948">
        <f t="shared" si="32"/>
        <v>44944</v>
      </c>
      <c r="W140" s="1948">
        <f t="shared" si="33"/>
        <v>0</v>
      </c>
      <c r="X140" s="1948">
        <v>141</v>
      </c>
      <c r="Y140" s="1948">
        <v>89</v>
      </c>
      <c r="Z140" s="1948">
        <v>112.8</v>
      </c>
      <c r="AA140" s="1948">
        <v>0.94340000000000002</v>
      </c>
      <c r="AB140" s="1948">
        <v>12.12</v>
      </c>
      <c r="AC140" s="1948">
        <v>7769</v>
      </c>
      <c r="AD140" s="1948">
        <f t="shared" si="34"/>
        <v>38448</v>
      </c>
      <c r="AE140" s="1948">
        <f t="shared" si="35"/>
        <v>0</v>
      </c>
      <c r="AF140" s="1948">
        <v>141</v>
      </c>
      <c r="AG140" s="1948">
        <v>93</v>
      </c>
      <c r="AH140" s="1948">
        <v>112.8</v>
      </c>
      <c r="AI140" s="1948">
        <v>0.93789999999999996</v>
      </c>
      <c r="AJ140" s="1948">
        <v>6.98</v>
      </c>
      <c r="AK140" s="1948">
        <v>4833</v>
      </c>
      <c r="AL140" s="1948">
        <f t="shared" si="36"/>
        <v>41515</v>
      </c>
      <c r="AM140" s="1948">
        <f t="shared" si="37"/>
        <v>0</v>
      </c>
      <c r="AN140" s="1948">
        <v>141</v>
      </c>
      <c r="AO140" s="1948">
        <v>81.040000000000006</v>
      </c>
      <c r="AP140" s="1948">
        <v>112.8</v>
      </c>
      <c r="AQ140" s="1948">
        <v>0.93659999999999999</v>
      </c>
      <c r="AR140" s="1948">
        <v>6.18</v>
      </c>
      <c r="AS140" s="1948">
        <v>3725</v>
      </c>
      <c r="AT140" s="1948">
        <f t="shared" si="38"/>
        <v>36176</v>
      </c>
      <c r="AU140" s="1948">
        <f t="shared" si="39"/>
        <v>0</v>
      </c>
      <c r="AV140" s="1948">
        <v>141</v>
      </c>
      <c r="AW140" s="1948">
        <v>71.599999999999994</v>
      </c>
      <c r="AX140" s="1948">
        <v>112.8</v>
      </c>
      <c r="AY140" s="1948">
        <v>0.94259999999999999</v>
      </c>
      <c r="AZ140" s="1948">
        <v>6.08</v>
      </c>
      <c r="BA140" s="1948">
        <v>2823</v>
      </c>
      <c r="BB140" s="1948">
        <f t="shared" si="40"/>
        <v>30931</v>
      </c>
      <c r="BC140" s="1948">
        <f t="shared" si="41"/>
        <v>0</v>
      </c>
      <c r="BD140" s="1949">
        <v>141</v>
      </c>
      <c r="BE140" s="1948">
        <v>83.72</v>
      </c>
      <c r="BF140" s="1949">
        <v>112.8</v>
      </c>
      <c r="BG140" s="1949">
        <v>0.14949999999999999</v>
      </c>
      <c r="BH140" s="1949">
        <v>11.45</v>
      </c>
      <c r="BI140" s="1948">
        <v>7720</v>
      </c>
      <c r="BJ140" s="1948">
        <f t="shared" si="42"/>
        <v>37373</v>
      </c>
      <c r="BK140" s="1948">
        <f t="shared" si="43"/>
        <v>0</v>
      </c>
    </row>
    <row r="141" spans="1:63" ht="15">
      <c r="A141" s="1946">
        <v>622000000197</v>
      </c>
      <c r="B141" s="1947">
        <f t="shared" si="44"/>
        <v>135</v>
      </c>
      <c r="C141" s="1906" t="s">
        <v>3026</v>
      </c>
      <c r="D141" s="1907" t="s">
        <v>524</v>
      </c>
      <c r="E141" s="1906" t="s">
        <v>737</v>
      </c>
      <c r="F141" s="1948" t="s">
        <v>259</v>
      </c>
      <c r="G141" s="1949">
        <v>141</v>
      </c>
      <c r="H141" s="1948">
        <v>141</v>
      </c>
      <c r="I141" s="1950">
        <v>19.2</v>
      </c>
      <c r="J141" s="1948">
        <v>112.8</v>
      </c>
      <c r="K141" s="1948">
        <v>0.81410000000000005</v>
      </c>
      <c r="L141" s="1948">
        <v>43.98</v>
      </c>
      <c r="M141" s="1948">
        <v>6080</v>
      </c>
      <c r="N141" s="1948">
        <f t="shared" si="30"/>
        <v>8294</v>
      </c>
      <c r="O141" s="1948">
        <f t="shared" si="31"/>
        <v>0</v>
      </c>
      <c r="P141" s="1948">
        <v>141</v>
      </c>
      <c r="Q141" s="1948">
        <v>22.400000000000002</v>
      </c>
      <c r="R141" s="1948">
        <v>112.8</v>
      </c>
      <c r="S141" s="1948">
        <v>0.88639999999999997</v>
      </c>
      <c r="T141" s="1948">
        <v>41</v>
      </c>
      <c r="U141" s="1948">
        <v>7274</v>
      </c>
      <c r="V141" s="1948">
        <f t="shared" si="32"/>
        <v>9999</v>
      </c>
      <c r="W141" s="1948">
        <f t="shared" si="33"/>
        <v>0</v>
      </c>
      <c r="X141" s="1948">
        <v>141</v>
      </c>
      <c r="Y141" s="1948">
        <v>36.32</v>
      </c>
      <c r="Z141" s="1948">
        <v>112.8</v>
      </c>
      <c r="AA141" s="1948">
        <v>0.93859999999999999</v>
      </c>
      <c r="AB141" s="1948">
        <v>37.29</v>
      </c>
      <c r="AC141" s="1948">
        <v>9752</v>
      </c>
      <c r="AD141" s="1948">
        <f t="shared" si="34"/>
        <v>15690</v>
      </c>
      <c r="AE141" s="1948">
        <f t="shared" si="35"/>
        <v>0</v>
      </c>
      <c r="AF141" s="1948">
        <v>141</v>
      </c>
      <c r="AG141" s="1948">
        <v>23.200000000000003</v>
      </c>
      <c r="AH141" s="1948">
        <v>112.8</v>
      </c>
      <c r="AI141" s="1948">
        <v>0.85770000000000002</v>
      </c>
      <c r="AJ141" s="1948">
        <v>49.29</v>
      </c>
      <c r="AK141" s="1948">
        <v>8508</v>
      </c>
      <c r="AL141" s="1948">
        <f t="shared" si="36"/>
        <v>10356</v>
      </c>
      <c r="AM141" s="1948">
        <f t="shared" si="37"/>
        <v>0</v>
      </c>
      <c r="AN141" s="1948">
        <v>141</v>
      </c>
      <c r="AO141" s="1948">
        <v>19.84</v>
      </c>
      <c r="AP141" s="1948">
        <v>112.8</v>
      </c>
      <c r="AQ141" s="1948">
        <v>0.78080000000000005</v>
      </c>
      <c r="AR141" s="1948">
        <v>54.78</v>
      </c>
      <c r="AS141" s="1948">
        <v>8086</v>
      </c>
      <c r="AT141" s="1948">
        <f t="shared" si="38"/>
        <v>8857</v>
      </c>
      <c r="AU141" s="1948">
        <f t="shared" si="39"/>
        <v>0</v>
      </c>
      <c r="AV141" s="1948">
        <v>141</v>
      </c>
      <c r="AW141" s="1948">
        <v>21.279999999999998</v>
      </c>
      <c r="AX141" s="1948">
        <v>112.8</v>
      </c>
      <c r="AY141" s="1948">
        <v>0.91339999999999999</v>
      </c>
      <c r="AZ141" s="1948">
        <v>41.91</v>
      </c>
      <c r="BA141" s="1948">
        <v>6422</v>
      </c>
      <c r="BB141" s="1948">
        <f t="shared" si="40"/>
        <v>9193</v>
      </c>
      <c r="BC141" s="1948">
        <f t="shared" si="41"/>
        <v>0</v>
      </c>
      <c r="BD141" s="1949">
        <v>141</v>
      </c>
      <c r="BE141" s="1948">
        <v>21.12</v>
      </c>
      <c r="BF141" s="1949">
        <v>112.8</v>
      </c>
      <c r="BG141" s="1949">
        <v>0.85140000000000005</v>
      </c>
      <c r="BH141" s="1949">
        <v>39.840000000000003</v>
      </c>
      <c r="BI141" s="1948">
        <v>6260</v>
      </c>
      <c r="BJ141" s="1948">
        <f t="shared" si="42"/>
        <v>9428</v>
      </c>
      <c r="BK141" s="1948">
        <f t="shared" si="43"/>
        <v>0</v>
      </c>
    </row>
    <row r="142" spans="1:63" ht="15">
      <c r="A142" s="1946">
        <v>621000000034</v>
      </c>
      <c r="B142" s="1947">
        <f t="shared" si="44"/>
        <v>136</v>
      </c>
      <c r="C142" s="1906" t="s">
        <v>3028</v>
      </c>
      <c r="D142" s="1907" t="s">
        <v>524</v>
      </c>
      <c r="E142" s="1906" t="s">
        <v>636</v>
      </c>
      <c r="F142" s="1948" t="s">
        <v>259</v>
      </c>
      <c r="G142" s="1949">
        <v>141</v>
      </c>
      <c r="H142" s="1948">
        <v>141</v>
      </c>
      <c r="I142" s="1950">
        <v>81.599999999999994</v>
      </c>
      <c r="J142" s="1948">
        <v>112.8</v>
      </c>
      <c r="K142" s="1948">
        <v>0.99790000000000001</v>
      </c>
      <c r="L142" s="1948">
        <v>63.91</v>
      </c>
      <c r="M142" s="1948">
        <v>36296</v>
      </c>
      <c r="N142" s="1948">
        <f t="shared" si="30"/>
        <v>35251</v>
      </c>
      <c r="O142" s="1948">
        <f t="shared" si="31"/>
        <v>1045</v>
      </c>
      <c r="P142" s="1948">
        <v>141</v>
      </c>
      <c r="Q142" s="1948">
        <v>88.48</v>
      </c>
      <c r="R142" s="1948">
        <v>112.8</v>
      </c>
      <c r="S142" s="1948">
        <v>0.99870000000000003</v>
      </c>
      <c r="T142" s="1948">
        <v>59.84</v>
      </c>
      <c r="U142" s="1948">
        <v>40664</v>
      </c>
      <c r="V142" s="1948">
        <f t="shared" si="32"/>
        <v>39497</v>
      </c>
      <c r="W142" s="1948">
        <f t="shared" si="33"/>
        <v>1167</v>
      </c>
      <c r="X142" s="1948">
        <v>141</v>
      </c>
      <c r="Y142" s="1948">
        <v>85.92</v>
      </c>
      <c r="Z142" s="1948">
        <v>112.8</v>
      </c>
      <c r="AA142" s="1948">
        <v>0.99860000000000004</v>
      </c>
      <c r="AB142" s="1948">
        <v>60.14</v>
      </c>
      <c r="AC142" s="1948">
        <v>37201</v>
      </c>
      <c r="AD142" s="1948">
        <f t="shared" si="34"/>
        <v>37117</v>
      </c>
      <c r="AE142" s="1948">
        <f t="shared" si="35"/>
        <v>84</v>
      </c>
      <c r="AF142" s="1948">
        <v>141</v>
      </c>
      <c r="AG142" s="1948">
        <v>79.679999999999993</v>
      </c>
      <c r="AH142" s="1948">
        <v>112.8</v>
      </c>
      <c r="AI142" s="1948">
        <v>0.998</v>
      </c>
      <c r="AJ142" s="1948">
        <v>62.5</v>
      </c>
      <c r="AK142" s="1948">
        <v>37053</v>
      </c>
      <c r="AL142" s="1948">
        <f t="shared" si="36"/>
        <v>35569</v>
      </c>
      <c r="AM142" s="1948">
        <f t="shared" si="37"/>
        <v>1484</v>
      </c>
      <c r="AN142" s="1948">
        <v>141</v>
      </c>
      <c r="AO142" s="1948">
        <v>69.36</v>
      </c>
      <c r="AP142" s="1948">
        <v>112.8</v>
      </c>
      <c r="AQ142" s="1948">
        <v>0.99839999999999995</v>
      </c>
      <c r="AR142" s="1948">
        <v>73.37</v>
      </c>
      <c r="AS142" s="1948">
        <v>37864</v>
      </c>
      <c r="AT142" s="1948">
        <f t="shared" si="38"/>
        <v>30962</v>
      </c>
      <c r="AU142" s="1948">
        <f t="shared" si="39"/>
        <v>6902</v>
      </c>
      <c r="AV142" s="1948">
        <v>141</v>
      </c>
      <c r="AW142" s="1948">
        <v>73.760000000000005</v>
      </c>
      <c r="AX142" s="1948">
        <v>112.8</v>
      </c>
      <c r="AY142" s="1948">
        <v>0.99850000000000005</v>
      </c>
      <c r="AZ142" s="1948">
        <v>69.23</v>
      </c>
      <c r="BA142" s="1948">
        <v>36767</v>
      </c>
      <c r="BB142" s="1948">
        <f t="shared" si="40"/>
        <v>31864</v>
      </c>
      <c r="BC142" s="1948">
        <f t="shared" si="41"/>
        <v>4903</v>
      </c>
      <c r="BD142" s="1949">
        <v>141</v>
      </c>
      <c r="BE142" s="1948">
        <v>71.599999999999994</v>
      </c>
      <c r="BF142" s="1949">
        <v>112.8</v>
      </c>
      <c r="BG142" s="1949">
        <v>0.99850000000000005</v>
      </c>
      <c r="BH142" s="1949">
        <v>70.33</v>
      </c>
      <c r="BI142" s="1948">
        <v>37463</v>
      </c>
      <c r="BJ142" s="1948">
        <f t="shared" si="42"/>
        <v>31962</v>
      </c>
      <c r="BK142" s="1948">
        <f t="shared" si="43"/>
        <v>5501</v>
      </c>
    </row>
    <row r="143" spans="1:63" ht="15">
      <c r="A143" s="1946">
        <v>126000000030</v>
      </c>
      <c r="B143" s="1947">
        <f t="shared" si="44"/>
        <v>137</v>
      </c>
      <c r="C143" s="1906" t="s">
        <v>3030</v>
      </c>
      <c r="D143" s="1907" t="s">
        <v>524</v>
      </c>
      <c r="E143" s="1906" t="s">
        <v>2966</v>
      </c>
      <c r="F143" s="1948" t="s">
        <v>259</v>
      </c>
      <c r="G143" s="1949">
        <v>142</v>
      </c>
      <c r="H143" s="1948">
        <v>142</v>
      </c>
      <c r="I143" s="1950">
        <v>92.64</v>
      </c>
      <c r="J143" s="1948">
        <v>142</v>
      </c>
      <c r="K143" s="1948">
        <v>0.82020000000000004</v>
      </c>
      <c r="L143" s="1948">
        <v>0</v>
      </c>
      <c r="M143" s="1948">
        <v>24133</v>
      </c>
      <c r="N143" s="1948">
        <f t="shared" si="30"/>
        <v>40020</v>
      </c>
      <c r="O143" s="1948">
        <f t="shared" si="31"/>
        <v>0</v>
      </c>
      <c r="P143" s="1948">
        <v>142</v>
      </c>
      <c r="Q143" s="1948">
        <v>125.92000000000002</v>
      </c>
      <c r="R143" s="1948">
        <v>142</v>
      </c>
      <c r="S143" s="1948">
        <v>0.82540000000000002</v>
      </c>
      <c r="T143" s="1948">
        <v>0</v>
      </c>
      <c r="U143" s="1948">
        <v>33542</v>
      </c>
      <c r="V143" s="1948">
        <f t="shared" si="32"/>
        <v>56211</v>
      </c>
      <c r="W143" s="1948">
        <f t="shared" si="33"/>
        <v>0</v>
      </c>
      <c r="X143" s="1948">
        <v>142</v>
      </c>
      <c r="Y143" s="1948">
        <v>129.76000000000002</v>
      </c>
      <c r="Z143" s="1948">
        <v>142</v>
      </c>
      <c r="AA143" s="1948">
        <v>0.81969999999999998</v>
      </c>
      <c r="AB143" s="1948">
        <v>0</v>
      </c>
      <c r="AC143" s="1948">
        <v>40884</v>
      </c>
      <c r="AD143" s="1948">
        <f t="shared" si="34"/>
        <v>56056</v>
      </c>
      <c r="AE143" s="1948">
        <f t="shared" si="35"/>
        <v>0</v>
      </c>
      <c r="AF143" s="1948">
        <v>142</v>
      </c>
      <c r="AG143" s="1948">
        <v>112.55999999999999</v>
      </c>
      <c r="AH143" s="1948">
        <v>142</v>
      </c>
      <c r="AI143" s="1948">
        <v>0.8024</v>
      </c>
      <c r="AJ143" s="1948">
        <v>0</v>
      </c>
      <c r="AK143" s="1948">
        <v>34962</v>
      </c>
      <c r="AL143" s="1948">
        <f t="shared" si="36"/>
        <v>50247</v>
      </c>
      <c r="AM143" s="1948">
        <f t="shared" si="37"/>
        <v>0</v>
      </c>
      <c r="AN143" s="1948">
        <v>142</v>
      </c>
      <c r="AO143" s="1948">
        <v>90.72</v>
      </c>
      <c r="AP143" s="1948">
        <v>142</v>
      </c>
      <c r="AQ143" s="1948">
        <v>0.76359999999999995</v>
      </c>
      <c r="AR143" s="1948">
        <v>0</v>
      </c>
      <c r="AS143" s="1948">
        <v>21067</v>
      </c>
      <c r="AT143" s="1948">
        <f t="shared" si="38"/>
        <v>40497</v>
      </c>
      <c r="AU143" s="1948">
        <f t="shared" si="39"/>
        <v>0</v>
      </c>
      <c r="AV143" s="1948">
        <v>142</v>
      </c>
      <c r="AW143" s="1948">
        <v>78.88</v>
      </c>
      <c r="AX143" s="1948">
        <v>142</v>
      </c>
      <c r="AY143" s="1948">
        <v>0.75539999999999996</v>
      </c>
      <c r="AZ143" s="1948">
        <v>0</v>
      </c>
      <c r="BA143" s="1948">
        <v>16574</v>
      </c>
      <c r="BB143" s="1948">
        <f t="shared" si="40"/>
        <v>34076</v>
      </c>
      <c r="BC143" s="1948">
        <f t="shared" si="41"/>
        <v>0</v>
      </c>
      <c r="BD143" s="1949">
        <v>142</v>
      </c>
      <c r="BE143" s="1948">
        <v>86.08</v>
      </c>
      <c r="BF143" s="1949">
        <v>142</v>
      </c>
      <c r="BG143" s="1949">
        <v>0.75049999999999994</v>
      </c>
      <c r="BH143" s="1949">
        <v>0</v>
      </c>
      <c r="BI143" s="1948">
        <v>25536</v>
      </c>
      <c r="BJ143" s="1948">
        <f t="shared" si="42"/>
        <v>38426</v>
      </c>
      <c r="BK143" s="1948">
        <f t="shared" si="43"/>
        <v>0</v>
      </c>
    </row>
    <row r="144" spans="1:63" ht="15">
      <c r="A144" s="1946">
        <v>622000000162</v>
      </c>
      <c r="B144" s="1947">
        <f t="shared" si="44"/>
        <v>138</v>
      </c>
      <c r="C144" s="1906" t="s">
        <v>3031</v>
      </c>
      <c r="D144" s="1907" t="s">
        <v>524</v>
      </c>
      <c r="E144" s="1906" t="s">
        <v>541</v>
      </c>
      <c r="F144" s="1948" t="s">
        <v>259</v>
      </c>
      <c r="G144" s="1949">
        <v>142</v>
      </c>
      <c r="H144" s="1948">
        <v>142</v>
      </c>
      <c r="I144" s="1950">
        <v>137.20000000000002</v>
      </c>
      <c r="J144" s="1948">
        <v>137.19999999999999</v>
      </c>
      <c r="K144" s="1948">
        <v>0.46010000000000001</v>
      </c>
      <c r="L144" s="1948">
        <v>9.8000000000000007</v>
      </c>
      <c r="M144" s="1948">
        <v>9682</v>
      </c>
      <c r="N144" s="1948">
        <f t="shared" si="30"/>
        <v>59270</v>
      </c>
      <c r="O144" s="1948">
        <f t="shared" si="31"/>
        <v>0</v>
      </c>
      <c r="P144" s="1948">
        <v>142</v>
      </c>
      <c r="Q144" s="1948">
        <v>134.88</v>
      </c>
      <c r="R144" s="1948">
        <v>134.88</v>
      </c>
      <c r="S144" s="1948">
        <v>0.41749999999999998</v>
      </c>
      <c r="T144" s="1948">
        <v>8.24</v>
      </c>
      <c r="U144" s="1948">
        <v>8267</v>
      </c>
      <c r="V144" s="1948">
        <f t="shared" si="32"/>
        <v>60210</v>
      </c>
      <c r="W144" s="1948">
        <f t="shared" si="33"/>
        <v>0</v>
      </c>
      <c r="X144" s="1948">
        <v>142</v>
      </c>
      <c r="Y144" s="1948">
        <v>64.72</v>
      </c>
      <c r="Z144" s="1948">
        <v>113.6</v>
      </c>
      <c r="AA144" s="1948">
        <v>0.24940000000000001</v>
      </c>
      <c r="AB144" s="1948">
        <v>10.74</v>
      </c>
      <c r="AC144" s="1948">
        <v>5003</v>
      </c>
      <c r="AD144" s="1948">
        <f t="shared" si="34"/>
        <v>27959</v>
      </c>
      <c r="AE144" s="1948">
        <f t="shared" si="35"/>
        <v>0</v>
      </c>
      <c r="AF144" s="1948">
        <v>142</v>
      </c>
      <c r="AG144" s="1948">
        <v>114.32</v>
      </c>
      <c r="AH144" s="1948">
        <v>114.32</v>
      </c>
      <c r="AI144" s="1948">
        <v>0.25940000000000002</v>
      </c>
      <c r="AJ144" s="1948">
        <v>5.43</v>
      </c>
      <c r="AK144" s="1948">
        <v>4617</v>
      </c>
      <c r="AL144" s="1948">
        <f t="shared" si="36"/>
        <v>51032</v>
      </c>
      <c r="AM144" s="1948">
        <f t="shared" si="37"/>
        <v>0</v>
      </c>
      <c r="AN144" s="1948">
        <v>142</v>
      </c>
      <c r="AO144" s="1948">
        <v>129.76000000000002</v>
      </c>
      <c r="AP144" s="1948">
        <v>129.76</v>
      </c>
      <c r="AQ144" s="1948">
        <v>0.39250000000000002</v>
      </c>
      <c r="AR144" s="1948">
        <v>7.65</v>
      </c>
      <c r="AS144" s="1948">
        <v>7385</v>
      </c>
      <c r="AT144" s="1948">
        <f t="shared" si="38"/>
        <v>57925</v>
      </c>
      <c r="AU144" s="1948">
        <f t="shared" si="39"/>
        <v>0</v>
      </c>
      <c r="AV144" s="1948">
        <v>142</v>
      </c>
      <c r="AW144" s="1948">
        <v>132.4</v>
      </c>
      <c r="AX144" s="1948">
        <v>132.4</v>
      </c>
      <c r="AY144" s="1948">
        <v>0.35410000000000003</v>
      </c>
      <c r="AZ144" s="1948">
        <v>7.24</v>
      </c>
      <c r="BA144" s="1948">
        <v>6899</v>
      </c>
      <c r="BB144" s="1948">
        <f t="shared" si="40"/>
        <v>57197</v>
      </c>
      <c r="BC144" s="1948">
        <f t="shared" si="41"/>
        <v>0</v>
      </c>
      <c r="BD144" s="1949">
        <v>142</v>
      </c>
      <c r="BE144" s="1948">
        <v>136.95999999999998</v>
      </c>
      <c r="BF144" s="1949">
        <v>136.96</v>
      </c>
      <c r="BG144" s="1949">
        <v>0.4088</v>
      </c>
      <c r="BH144" s="1949">
        <v>9.49</v>
      </c>
      <c r="BI144" s="1948">
        <v>9673</v>
      </c>
      <c r="BJ144" s="1948">
        <f t="shared" si="42"/>
        <v>61139</v>
      </c>
      <c r="BK144" s="1948">
        <f t="shared" si="43"/>
        <v>0</v>
      </c>
    </row>
    <row r="145" spans="1:63" ht="15">
      <c r="A145" s="1946">
        <v>622000000185</v>
      </c>
      <c r="B145" s="1947">
        <f t="shared" si="44"/>
        <v>139</v>
      </c>
      <c r="C145" s="1906" t="s">
        <v>3032</v>
      </c>
      <c r="D145" s="1907" t="s">
        <v>524</v>
      </c>
      <c r="E145" s="1906" t="s">
        <v>730</v>
      </c>
      <c r="F145" s="1948" t="s">
        <v>259</v>
      </c>
      <c r="G145" s="1949">
        <v>142</v>
      </c>
      <c r="H145" s="1948">
        <v>142</v>
      </c>
      <c r="I145" s="1950">
        <v>79.44</v>
      </c>
      <c r="J145" s="1948">
        <v>113.6</v>
      </c>
      <c r="K145" s="1948">
        <v>0.92500000000000004</v>
      </c>
      <c r="L145" s="1948">
        <v>50.84</v>
      </c>
      <c r="M145" s="1948">
        <v>29078</v>
      </c>
      <c r="N145" s="1948">
        <f t="shared" si="30"/>
        <v>34318</v>
      </c>
      <c r="O145" s="1948">
        <f t="shared" si="31"/>
        <v>0</v>
      </c>
      <c r="P145" s="1948">
        <v>142</v>
      </c>
      <c r="Q145" s="1948">
        <v>74.08</v>
      </c>
      <c r="R145" s="1948">
        <v>113.6</v>
      </c>
      <c r="S145" s="1948">
        <v>0.94879999999999998</v>
      </c>
      <c r="T145" s="1948">
        <v>54.51</v>
      </c>
      <c r="U145" s="1948">
        <v>30043</v>
      </c>
      <c r="V145" s="1948">
        <f t="shared" si="32"/>
        <v>33069</v>
      </c>
      <c r="W145" s="1948">
        <f t="shared" si="33"/>
        <v>0</v>
      </c>
      <c r="X145" s="1948">
        <v>142</v>
      </c>
      <c r="Y145" s="1948">
        <v>82.240000000000009</v>
      </c>
      <c r="Z145" s="1948">
        <v>113.6</v>
      </c>
      <c r="AA145" s="1948">
        <v>0.95789999999999997</v>
      </c>
      <c r="AB145" s="1948">
        <v>51.13</v>
      </c>
      <c r="AC145" s="1948">
        <v>30275</v>
      </c>
      <c r="AD145" s="1948">
        <f t="shared" si="34"/>
        <v>35528</v>
      </c>
      <c r="AE145" s="1948">
        <f t="shared" si="35"/>
        <v>0</v>
      </c>
      <c r="AF145" s="1948">
        <v>142</v>
      </c>
      <c r="AG145" s="1948">
        <v>76.239999999999995</v>
      </c>
      <c r="AH145" s="1948">
        <v>113.6</v>
      </c>
      <c r="AI145" s="1948">
        <v>0.95520000000000005</v>
      </c>
      <c r="AJ145" s="1948">
        <v>57.17</v>
      </c>
      <c r="AK145" s="1948">
        <v>32430</v>
      </c>
      <c r="AL145" s="1948">
        <f t="shared" si="36"/>
        <v>34034</v>
      </c>
      <c r="AM145" s="1948">
        <f t="shared" si="37"/>
        <v>0</v>
      </c>
      <c r="AN145" s="1948">
        <v>142</v>
      </c>
      <c r="AO145" s="1948">
        <v>104.08</v>
      </c>
      <c r="AP145" s="1948">
        <v>113.6</v>
      </c>
      <c r="AQ145" s="1948">
        <v>0.9405</v>
      </c>
      <c r="AR145" s="1948">
        <v>47.16</v>
      </c>
      <c r="AS145" s="1948">
        <v>36522</v>
      </c>
      <c r="AT145" s="1948">
        <f t="shared" si="38"/>
        <v>46461</v>
      </c>
      <c r="AU145" s="1948">
        <f t="shared" si="39"/>
        <v>0</v>
      </c>
      <c r="AV145" s="1948">
        <v>142</v>
      </c>
      <c r="AW145" s="1948">
        <v>90.48</v>
      </c>
      <c r="AX145" s="1948">
        <v>113.6</v>
      </c>
      <c r="AY145" s="1948">
        <v>0.88129999999999997</v>
      </c>
      <c r="AZ145" s="1948">
        <v>52.94</v>
      </c>
      <c r="BA145" s="1948">
        <v>34489</v>
      </c>
      <c r="BB145" s="1948">
        <f t="shared" si="40"/>
        <v>39087</v>
      </c>
      <c r="BC145" s="1948">
        <f t="shared" si="41"/>
        <v>0</v>
      </c>
      <c r="BD145" s="1949">
        <v>142</v>
      </c>
      <c r="BE145" s="1948">
        <v>83.76</v>
      </c>
      <c r="BF145" s="1949">
        <v>113.6</v>
      </c>
      <c r="BG145" s="1949">
        <v>0.91590000000000005</v>
      </c>
      <c r="BH145" s="1949">
        <v>59.42</v>
      </c>
      <c r="BI145" s="1948">
        <v>37030</v>
      </c>
      <c r="BJ145" s="1948">
        <f t="shared" si="42"/>
        <v>37390</v>
      </c>
      <c r="BK145" s="1948">
        <f t="shared" si="43"/>
        <v>0</v>
      </c>
    </row>
    <row r="146" spans="1:63" ht="15">
      <c r="A146" s="1946">
        <v>123000000016</v>
      </c>
      <c r="B146" s="1947">
        <f t="shared" si="44"/>
        <v>140</v>
      </c>
      <c r="C146" s="1906" t="s">
        <v>3034</v>
      </c>
      <c r="D146" s="1907" t="s">
        <v>524</v>
      </c>
      <c r="E146" s="1906" t="s">
        <v>2966</v>
      </c>
      <c r="F146" s="1948" t="s">
        <v>259</v>
      </c>
      <c r="G146" s="1949">
        <v>144</v>
      </c>
      <c r="H146" s="1948">
        <v>144</v>
      </c>
      <c r="I146" s="1950">
        <v>28.61</v>
      </c>
      <c r="J146" s="1948">
        <v>144</v>
      </c>
      <c r="K146" s="1948">
        <v>0.77690000000000003</v>
      </c>
      <c r="L146" s="1948">
        <v>0</v>
      </c>
      <c r="M146" s="1948">
        <v>6611</v>
      </c>
      <c r="N146" s="1948">
        <f t="shared" si="30"/>
        <v>12360</v>
      </c>
      <c r="O146" s="1948">
        <f t="shared" si="31"/>
        <v>0</v>
      </c>
      <c r="P146" s="1948">
        <v>144</v>
      </c>
      <c r="Q146" s="1948">
        <v>29.17</v>
      </c>
      <c r="R146" s="1948">
        <v>144</v>
      </c>
      <c r="S146" s="1948">
        <v>0.78549999999999998</v>
      </c>
      <c r="T146" s="1948">
        <v>0</v>
      </c>
      <c r="U146" s="1948">
        <v>7568</v>
      </c>
      <c r="V146" s="1948">
        <f t="shared" si="32"/>
        <v>13021</v>
      </c>
      <c r="W146" s="1948">
        <f t="shared" si="33"/>
        <v>0</v>
      </c>
      <c r="X146" s="1948">
        <v>144</v>
      </c>
      <c r="Y146" s="1948">
        <v>29.57</v>
      </c>
      <c r="Z146" s="1948">
        <v>144</v>
      </c>
      <c r="AA146" s="1948">
        <v>0.79659999999999997</v>
      </c>
      <c r="AB146" s="1948">
        <v>0</v>
      </c>
      <c r="AC146" s="1948">
        <v>8441</v>
      </c>
      <c r="AD146" s="1948">
        <f t="shared" si="34"/>
        <v>12774</v>
      </c>
      <c r="AE146" s="1948">
        <f t="shared" si="35"/>
        <v>0</v>
      </c>
      <c r="AF146" s="1948">
        <v>144</v>
      </c>
      <c r="AG146" s="1948">
        <v>27.97</v>
      </c>
      <c r="AH146" s="1948">
        <v>144</v>
      </c>
      <c r="AI146" s="1948">
        <v>0.73470000000000002</v>
      </c>
      <c r="AJ146" s="1948">
        <v>0</v>
      </c>
      <c r="AK146" s="1948">
        <v>5068</v>
      </c>
      <c r="AL146" s="1948">
        <f t="shared" si="36"/>
        <v>12486</v>
      </c>
      <c r="AM146" s="1948">
        <f t="shared" si="37"/>
        <v>0</v>
      </c>
      <c r="AN146" s="1948">
        <v>144</v>
      </c>
      <c r="AO146" s="1948">
        <v>25.490000000000002</v>
      </c>
      <c r="AP146" s="1948">
        <v>144</v>
      </c>
      <c r="AQ146" s="1948">
        <v>0.67210000000000003</v>
      </c>
      <c r="AR146" s="1948">
        <v>0</v>
      </c>
      <c r="AS146" s="1948">
        <v>4503</v>
      </c>
      <c r="AT146" s="1948">
        <f t="shared" si="38"/>
        <v>11379</v>
      </c>
      <c r="AU146" s="1948">
        <f t="shared" si="39"/>
        <v>0</v>
      </c>
      <c r="AV146" s="1948">
        <v>144</v>
      </c>
      <c r="AW146" s="1948">
        <v>22.69</v>
      </c>
      <c r="AX146" s="1948">
        <v>144</v>
      </c>
      <c r="AY146" s="1948">
        <v>0.66159999999999997</v>
      </c>
      <c r="AZ146" s="1948">
        <v>0</v>
      </c>
      <c r="BA146" s="1948">
        <v>4616</v>
      </c>
      <c r="BB146" s="1948">
        <f t="shared" si="40"/>
        <v>9802</v>
      </c>
      <c r="BC146" s="1948">
        <f t="shared" si="41"/>
        <v>0</v>
      </c>
      <c r="BD146" s="1949">
        <v>144</v>
      </c>
      <c r="BE146" s="1948">
        <v>22.37</v>
      </c>
      <c r="BF146" s="1949">
        <v>144</v>
      </c>
      <c r="BG146" s="1949">
        <v>0.62509999999999999</v>
      </c>
      <c r="BH146" s="1949">
        <v>0</v>
      </c>
      <c r="BI146" s="1948">
        <v>4474</v>
      </c>
      <c r="BJ146" s="1948">
        <f t="shared" si="42"/>
        <v>9986</v>
      </c>
      <c r="BK146" s="1948">
        <f t="shared" si="43"/>
        <v>0</v>
      </c>
    </row>
    <row r="147" spans="1:63" ht="15">
      <c r="A147" s="1946">
        <v>124000000033</v>
      </c>
      <c r="B147" s="1947">
        <f t="shared" si="44"/>
        <v>141</v>
      </c>
      <c r="C147" s="1906" t="s">
        <v>3035</v>
      </c>
      <c r="D147" s="1907" t="s">
        <v>524</v>
      </c>
      <c r="E147" s="1906" t="s">
        <v>636</v>
      </c>
      <c r="F147" s="1948" t="s">
        <v>259</v>
      </c>
      <c r="G147" s="1949">
        <v>144</v>
      </c>
      <c r="H147" s="1948">
        <v>144</v>
      </c>
      <c r="I147" s="1950">
        <v>71.040000000000006</v>
      </c>
      <c r="J147" s="1948">
        <v>115.2</v>
      </c>
      <c r="K147" s="1948">
        <v>0.83760000000000001</v>
      </c>
      <c r="L147" s="1948">
        <v>21.49</v>
      </c>
      <c r="M147" s="1948">
        <v>10992</v>
      </c>
      <c r="N147" s="1948">
        <f t="shared" si="30"/>
        <v>30689</v>
      </c>
      <c r="O147" s="1948">
        <f t="shared" si="31"/>
        <v>0</v>
      </c>
      <c r="P147" s="1948">
        <v>144</v>
      </c>
      <c r="Q147" s="1948">
        <v>82.8</v>
      </c>
      <c r="R147" s="1948">
        <v>115.2</v>
      </c>
      <c r="S147" s="1948">
        <v>0.83320000000000005</v>
      </c>
      <c r="T147" s="1948">
        <v>24.71</v>
      </c>
      <c r="U147" s="1948">
        <v>15224</v>
      </c>
      <c r="V147" s="1948">
        <f t="shared" si="32"/>
        <v>36962</v>
      </c>
      <c r="W147" s="1948">
        <f t="shared" si="33"/>
        <v>0</v>
      </c>
      <c r="X147" s="1948">
        <v>144</v>
      </c>
      <c r="Y147" s="1948">
        <v>88.72</v>
      </c>
      <c r="Z147" s="1948">
        <v>115.2</v>
      </c>
      <c r="AA147" s="1948">
        <v>0.84260000000000002</v>
      </c>
      <c r="AB147" s="1948">
        <v>27.8</v>
      </c>
      <c r="AC147" s="1948">
        <v>14800</v>
      </c>
      <c r="AD147" s="1948">
        <f t="shared" si="34"/>
        <v>38327</v>
      </c>
      <c r="AE147" s="1948">
        <f t="shared" si="35"/>
        <v>0</v>
      </c>
      <c r="AF147" s="1948">
        <v>144</v>
      </c>
      <c r="AG147" s="1948">
        <v>71.52</v>
      </c>
      <c r="AH147" s="1948">
        <v>115.2</v>
      </c>
      <c r="AI147" s="1948">
        <v>0.81369999999999998</v>
      </c>
      <c r="AJ147" s="1948">
        <v>26.53</v>
      </c>
      <c r="AK147" s="1948">
        <v>13662</v>
      </c>
      <c r="AL147" s="1948">
        <f t="shared" si="36"/>
        <v>31927</v>
      </c>
      <c r="AM147" s="1948">
        <f t="shared" si="37"/>
        <v>0</v>
      </c>
      <c r="AN147" s="1948">
        <v>144</v>
      </c>
      <c r="AO147" s="1948">
        <v>79.039999999999992</v>
      </c>
      <c r="AP147" s="1948">
        <v>115.2</v>
      </c>
      <c r="AQ147" s="1948">
        <v>0.81740000000000002</v>
      </c>
      <c r="AR147" s="1948">
        <v>23.57</v>
      </c>
      <c r="AS147" s="1948">
        <v>14307</v>
      </c>
      <c r="AT147" s="1948">
        <f t="shared" si="38"/>
        <v>35283</v>
      </c>
      <c r="AU147" s="1948">
        <f t="shared" si="39"/>
        <v>0</v>
      </c>
      <c r="AV147" s="1948">
        <v>144</v>
      </c>
      <c r="AW147" s="1948">
        <v>61.28</v>
      </c>
      <c r="AX147" s="1948">
        <v>115.2</v>
      </c>
      <c r="AY147" s="1948">
        <v>0.82210000000000005</v>
      </c>
      <c r="AZ147" s="1948">
        <v>31.89</v>
      </c>
      <c r="BA147" s="1948">
        <v>14538</v>
      </c>
      <c r="BB147" s="1948">
        <f t="shared" si="40"/>
        <v>26473</v>
      </c>
      <c r="BC147" s="1948">
        <f t="shared" si="41"/>
        <v>0</v>
      </c>
      <c r="BD147" s="1949">
        <v>144</v>
      </c>
      <c r="BE147" s="1948">
        <v>84.48</v>
      </c>
      <c r="BF147" s="1949">
        <v>115.2</v>
      </c>
      <c r="BG147" s="1949">
        <v>0.81710000000000005</v>
      </c>
      <c r="BH147" s="1949">
        <v>25.88</v>
      </c>
      <c r="BI147" s="1948">
        <v>15218</v>
      </c>
      <c r="BJ147" s="1948">
        <f t="shared" si="42"/>
        <v>37712</v>
      </c>
      <c r="BK147" s="1948">
        <f t="shared" si="43"/>
        <v>0</v>
      </c>
    </row>
    <row r="148" spans="1:63" ht="15">
      <c r="A148" s="1946">
        <v>614000000006</v>
      </c>
      <c r="B148" s="1947">
        <f t="shared" si="44"/>
        <v>142</v>
      </c>
      <c r="C148" s="1906" t="s">
        <v>3033</v>
      </c>
      <c r="D148" s="1907" t="s">
        <v>524</v>
      </c>
      <c r="E148" s="1906" t="s">
        <v>636</v>
      </c>
      <c r="F148" s="1948" t="s">
        <v>259</v>
      </c>
      <c r="G148" s="1949">
        <v>144</v>
      </c>
      <c r="H148" s="1948">
        <v>144</v>
      </c>
      <c r="I148" s="1950">
        <v>340.1</v>
      </c>
      <c r="J148" s="1948">
        <v>340.1</v>
      </c>
      <c r="K148" s="1948">
        <v>0.98880000000000001</v>
      </c>
      <c r="L148" s="1948">
        <v>1.98</v>
      </c>
      <c r="M148" s="1948">
        <v>4522</v>
      </c>
      <c r="N148" s="1948">
        <f t="shared" si="30"/>
        <v>146923</v>
      </c>
      <c r="O148" s="1948">
        <f t="shared" si="31"/>
        <v>0</v>
      </c>
      <c r="P148" s="1948">
        <v>144</v>
      </c>
      <c r="Q148" s="1948">
        <v>92.1</v>
      </c>
      <c r="R148" s="1948">
        <v>115.2</v>
      </c>
      <c r="S148" s="1948">
        <v>0.98229999999999995</v>
      </c>
      <c r="T148" s="1948">
        <v>7.13</v>
      </c>
      <c r="U148" s="1948">
        <v>4883</v>
      </c>
      <c r="V148" s="1948">
        <f t="shared" si="32"/>
        <v>41113</v>
      </c>
      <c r="W148" s="1948">
        <f t="shared" si="33"/>
        <v>0</v>
      </c>
      <c r="X148" s="1948">
        <v>144</v>
      </c>
      <c r="Y148" s="1948">
        <v>18.100000000000001</v>
      </c>
      <c r="Z148" s="1948">
        <v>115.2</v>
      </c>
      <c r="AA148" s="1948">
        <v>0.99480000000000002</v>
      </c>
      <c r="AB148" s="1948">
        <v>33.57</v>
      </c>
      <c r="AC148" s="1948">
        <v>4521</v>
      </c>
      <c r="AD148" s="1948">
        <f t="shared" si="34"/>
        <v>7819</v>
      </c>
      <c r="AE148" s="1948">
        <f t="shared" si="35"/>
        <v>0</v>
      </c>
      <c r="AF148" s="1948">
        <v>144</v>
      </c>
      <c r="AG148" s="1948">
        <v>45.7</v>
      </c>
      <c r="AH148" s="1948">
        <v>115.2</v>
      </c>
      <c r="AI148" s="1948">
        <v>0.99450000000000005</v>
      </c>
      <c r="AJ148" s="1948">
        <v>12.1</v>
      </c>
      <c r="AK148" s="1948">
        <v>3848</v>
      </c>
      <c r="AL148" s="1948">
        <f t="shared" si="36"/>
        <v>20400</v>
      </c>
      <c r="AM148" s="1948">
        <f t="shared" si="37"/>
        <v>0</v>
      </c>
      <c r="AN148" s="1948">
        <v>144</v>
      </c>
      <c r="AO148" s="1948">
        <v>53.3</v>
      </c>
      <c r="AP148" s="1948">
        <v>115.2</v>
      </c>
      <c r="AQ148" s="1948">
        <v>0.99199999999999999</v>
      </c>
      <c r="AR148" s="1948">
        <v>15.34</v>
      </c>
      <c r="AS148" s="1948">
        <v>6084</v>
      </c>
      <c r="AT148" s="1948">
        <f t="shared" si="38"/>
        <v>23793</v>
      </c>
      <c r="AU148" s="1948">
        <f t="shared" si="39"/>
        <v>0</v>
      </c>
      <c r="AV148" s="1948">
        <v>144</v>
      </c>
      <c r="AW148" s="1948">
        <v>70.8</v>
      </c>
      <c r="AX148" s="1948">
        <v>115.2</v>
      </c>
      <c r="AY148" s="1948">
        <v>0.99480000000000002</v>
      </c>
      <c r="AZ148" s="1948">
        <v>10.27</v>
      </c>
      <c r="BA148" s="1948">
        <v>5411</v>
      </c>
      <c r="BB148" s="1948">
        <f t="shared" si="40"/>
        <v>30586</v>
      </c>
      <c r="BC148" s="1948">
        <f t="shared" si="41"/>
        <v>0</v>
      </c>
      <c r="BD148" s="1949">
        <v>144</v>
      </c>
      <c r="BE148" s="1948">
        <v>156.16</v>
      </c>
      <c r="BF148" s="1949">
        <v>156.16</v>
      </c>
      <c r="BG148" s="1949">
        <v>0.98340000000000005</v>
      </c>
      <c r="BH148" s="1949">
        <v>2.5099999999999998</v>
      </c>
      <c r="BI148" s="1948">
        <v>3391</v>
      </c>
      <c r="BJ148" s="1948">
        <f t="shared" si="42"/>
        <v>69710</v>
      </c>
      <c r="BK148" s="1948">
        <f t="shared" si="43"/>
        <v>0</v>
      </c>
    </row>
    <row r="149" spans="1:63" ht="15">
      <c r="A149" s="1946">
        <v>622000000218</v>
      </c>
      <c r="B149" s="1947">
        <f t="shared" si="44"/>
        <v>143</v>
      </c>
      <c r="C149" s="1906" t="s">
        <v>3551</v>
      </c>
      <c r="D149" s="1907" t="s">
        <v>524</v>
      </c>
      <c r="E149" s="1906" t="s">
        <v>541</v>
      </c>
      <c r="F149" s="1948" t="s">
        <v>259</v>
      </c>
      <c r="G149" s="1949">
        <v>144</v>
      </c>
      <c r="H149" s="1948">
        <v>144</v>
      </c>
      <c r="I149" s="1950">
        <v>78.269599999999997</v>
      </c>
      <c r="J149" s="1948">
        <v>115.2</v>
      </c>
      <c r="K149" s="1948">
        <v>0.61119999999999997</v>
      </c>
      <c r="L149" s="1948">
        <v>27.03</v>
      </c>
      <c r="M149" s="1948">
        <v>2539</v>
      </c>
      <c r="N149" s="1948">
        <f t="shared" si="30"/>
        <v>33812</v>
      </c>
      <c r="O149" s="1948">
        <f t="shared" si="31"/>
        <v>0</v>
      </c>
      <c r="P149" s="1948">
        <v>144</v>
      </c>
      <c r="Q149" s="1948">
        <v>76.332800000000006</v>
      </c>
      <c r="R149" s="1948">
        <v>115.2</v>
      </c>
      <c r="S149" s="1948">
        <v>0.61350000000000005</v>
      </c>
      <c r="T149" s="1948">
        <v>18.899999999999999</v>
      </c>
      <c r="U149" s="1948">
        <v>10736</v>
      </c>
      <c r="V149" s="1948">
        <f t="shared" si="32"/>
        <v>34075</v>
      </c>
      <c r="W149" s="1948">
        <f t="shared" si="33"/>
        <v>0</v>
      </c>
      <c r="X149" s="1948">
        <v>144</v>
      </c>
      <c r="Y149" s="1948">
        <v>80.054000000000002</v>
      </c>
      <c r="Z149" s="1948">
        <v>115.2</v>
      </c>
      <c r="AA149" s="1948">
        <v>0.60289999999999999</v>
      </c>
      <c r="AB149" s="1948">
        <v>18.18</v>
      </c>
      <c r="AC149" s="1948">
        <v>10476</v>
      </c>
      <c r="AD149" s="1948">
        <f t="shared" si="34"/>
        <v>34583</v>
      </c>
      <c r="AE149" s="1948">
        <f t="shared" si="35"/>
        <v>0</v>
      </c>
      <c r="AF149" s="1948">
        <v>144</v>
      </c>
      <c r="AG149" s="1948">
        <v>82.066400000000002</v>
      </c>
      <c r="AH149" s="1948">
        <v>115.2</v>
      </c>
      <c r="AI149" s="1948">
        <v>0.57850000000000001</v>
      </c>
      <c r="AJ149" s="1948">
        <v>15.34</v>
      </c>
      <c r="AK149" s="1948">
        <v>9364</v>
      </c>
      <c r="AL149" s="1948">
        <f t="shared" si="36"/>
        <v>36634</v>
      </c>
      <c r="AM149" s="1948">
        <f t="shared" si="37"/>
        <v>0</v>
      </c>
      <c r="AN149" s="1948">
        <v>144</v>
      </c>
      <c r="AO149" s="1948">
        <v>78.249600000000001</v>
      </c>
      <c r="AP149" s="1948">
        <v>115.2</v>
      </c>
      <c r="AQ149" s="1948">
        <v>0.60099999999999998</v>
      </c>
      <c r="AR149" s="1948">
        <v>18.57</v>
      </c>
      <c r="AS149" s="1948">
        <v>10813</v>
      </c>
      <c r="AT149" s="1948">
        <f t="shared" si="38"/>
        <v>34931</v>
      </c>
      <c r="AU149" s="1948">
        <f t="shared" si="39"/>
        <v>0</v>
      </c>
      <c r="AV149" s="1948">
        <v>144</v>
      </c>
      <c r="AW149" s="1948">
        <v>77.896000000000001</v>
      </c>
      <c r="AX149" s="1948">
        <v>115.2</v>
      </c>
      <c r="AY149" s="1948">
        <v>0.60560000000000003</v>
      </c>
      <c r="AZ149" s="1948">
        <v>18</v>
      </c>
      <c r="BA149" s="1948">
        <v>10094</v>
      </c>
      <c r="BB149" s="1948">
        <f t="shared" si="40"/>
        <v>33651</v>
      </c>
      <c r="BC149" s="1948">
        <f t="shared" si="41"/>
        <v>0</v>
      </c>
      <c r="BD149" s="1949">
        <v>144</v>
      </c>
      <c r="BE149" s="1948">
        <v>78.828000000000003</v>
      </c>
      <c r="BF149" s="1949">
        <v>115.2</v>
      </c>
      <c r="BG149" s="1949">
        <v>0.59160000000000001</v>
      </c>
      <c r="BH149" s="1949">
        <v>16.53</v>
      </c>
      <c r="BI149" s="1948">
        <v>9693</v>
      </c>
      <c r="BJ149" s="1948">
        <f t="shared" si="42"/>
        <v>35189</v>
      </c>
      <c r="BK149" s="1948">
        <f t="shared" si="43"/>
        <v>0</v>
      </c>
    </row>
    <row r="150" spans="1:63" ht="15">
      <c r="A150" s="1946">
        <v>123000000059</v>
      </c>
      <c r="B150" s="1947">
        <f t="shared" si="44"/>
        <v>144</v>
      </c>
      <c r="C150" s="1906" t="s">
        <v>3036</v>
      </c>
      <c r="D150" s="1907" t="s">
        <v>524</v>
      </c>
      <c r="E150" s="1906" t="s">
        <v>2966</v>
      </c>
      <c r="F150" s="1948" t="s">
        <v>259</v>
      </c>
      <c r="G150" s="1949">
        <v>144.9</v>
      </c>
      <c r="H150" s="1948">
        <v>144.9</v>
      </c>
      <c r="I150" s="1950">
        <v>52.480000000000004</v>
      </c>
      <c r="J150" s="1948">
        <v>144.9</v>
      </c>
      <c r="K150" s="1948">
        <v>0.9627</v>
      </c>
      <c r="L150" s="1948">
        <v>0</v>
      </c>
      <c r="M150" s="1948">
        <v>11620</v>
      </c>
      <c r="N150" s="1948">
        <f t="shared" si="30"/>
        <v>22671</v>
      </c>
      <c r="O150" s="1948">
        <f t="shared" si="31"/>
        <v>0</v>
      </c>
      <c r="P150" s="1948">
        <v>144.9</v>
      </c>
      <c r="Q150" s="1948">
        <v>55.120000000000005</v>
      </c>
      <c r="R150" s="1948">
        <v>144.9</v>
      </c>
      <c r="S150" s="1948">
        <v>0.93820000000000003</v>
      </c>
      <c r="T150" s="1948">
        <v>0</v>
      </c>
      <c r="U150" s="1948">
        <v>14567</v>
      </c>
      <c r="V150" s="1948">
        <f t="shared" si="32"/>
        <v>24606</v>
      </c>
      <c r="W150" s="1948">
        <f t="shared" si="33"/>
        <v>0</v>
      </c>
      <c r="X150" s="1948">
        <v>144.9</v>
      </c>
      <c r="Y150" s="1948">
        <v>67.679999999999993</v>
      </c>
      <c r="Z150" s="1948">
        <v>144.9</v>
      </c>
      <c r="AA150" s="1948">
        <v>0.91410000000000002</v>
      </c>
      <c r="AB150" s="1948">
        <v>0</v>
      </c>
      <c r="AC150" s="1948">
        <v>17769</v>
      </c>
      <c r="AD150" s="1948">
        <f t="shared" si="34"/>
        <v>29238</v>
      </c>
      <c r="AE150" s="1948">
        <f t="shared" si="35"/>
        <v>0</v>
      </c>
      <c r="AF150" s="1948">
        <v>144.9</v>
      </c>
      <c r="AG150" s="1948">
        <v>91.84</v>
      </c>
      <c r="AH150" s="1948">
        <v>144.9</v>
      </c>
      <c r="AI150" s="1948">
        <v>0.92230000000000001</v>
      </c>
      <c r="AJ150" s="1948">
        <v>0</v>
      </c>
      <c r="AK150" s="1948">
        <v>17451</v>
      </c>
      <c r="AL150" s="1948">
        <f t="shared" si="36"/>
        <v>40997</v>
      </c>
      <c r="AM150" s="1948">
        <f t="shared" si="37"/>
        <v>0</v>
      </c>
      <c r="AN150" s="1948">
        <v>144.9</v>
      </c>
      <c r="AO150" s="1948">
        <v>33.76</v>
      </c>
      <c r="AP150" s="1948">
        <v>144.9</v>
      </c>
      <c r="AQ150" s="1948">
        <v>0.87660000000000005</v>
      </c>
      <c r="AR150" s="1948">
        <v>0</v>
      </c>
      <c r="AS150" s="1948">
        <v>300</v>
      </c>
      <c r="AT150" s="1948">
        <f t="shared" si="38"/>
        <v>15070</v>
      </c>
      <c r="AU150" s="1948">
        <f t="shared" si="39"/>
        <v>0</v>
      </c>
      <c r="AV150" s="1948">
        <v>144.9</v>
      </c>
      <c r="AW150" s="1948">
        <v>21.6</v>
      </c>
      <c r="AX150" s="1948">
        <v>144.9</v>
      </c>
      <c r="AY150" s="1948">
        <v>0.80020000000000002</v>
      </c>
      <c r="AZ150" s="1948">
        <v>0</v>
      </c>
      <c r="BA150" s="1948">
        <v>4931</v>
      </c>
      <c r="BB150" s="1948">
        <f t="shared" si="40"/>
        <v>9331</v>
      </c>
      <c r="BC150" s="1948">
        <f t="shared" si="41"/>
        <v>0</v>
      </c>
      <c r="BD150" s="1949">
        <v>144.9</v>
      </c>
      <c r="BE150" s="1948">
        <v>46.160000000000004</v>
      </c>
      <c r="BF150" s="1949">
        <v>144.9</v>
      </c>
      <c r="BG150" s="1949">
        <v>0.93769999999999998</v>
      </c>
      <c r="BH150" s="1949">
        <v>0</v>
      </c>
      <c r="BI150" s="1948">
        <v>8350</v>
      </c>
      <c r="BJ150" s="1948">
        <f t="shared" si="42"/>
        <v>20606</v>
      </c>
      <c r="BK150" s="1948">
        <f t="shared" si="43"/>
        <v>0</v>
      </c>
    </row>
    <row r="151" spans="1:63" ht="15">
      <c r="A151" s="1946">
        <v>614000000009</v>
      </c>
      <c r="B151" s="1947">
        <f t="shared" si="44"/>
        <v>145</v>
      </c>
      <c r="C151" s="1906" t="s">
        <v>3552</v>
      </c>
      <c r="D151" s="1907" t="s">
        <v>524</v>
      </c>
      <c r="E151" s="1906" t="s">
        <v>636</v>
      </c>
      <c r="F151" s="1948" t="s">
        <v>259</v>
      </c>
      <c r="G151" s="1949">
        <v>145</v>
      </c>
      <c r="H151" s="1948">
        <v>0</v>
      </c>
      <c r="I151" s="1950">
        <v>0</v>
      </c>
      <c r="J151" s="1948">
        <v>0</v>
      </c>
      <c r="K151" s="1948">
        <v>0</v>
      </c>
      <c r="L151" s="1948">
        <v>0</v>
      </c>
      <c r="M151" s="1948">
        <v>0</v>
      </c>
      <c r="N151" s="1948">
        <f t="shared" si="30"/>
        <v>0</v>
      </c>
      <c r="O151" s="1948">
        <f t="shared" si="31"/>
        <v>0</v>
      </c>
      <c r="P151" s="1948">
        <v>0</v>
      </c>
      <c r="Q151" s="1948">
        <v>0</v>
      </c>
      <c r="R151" s="1948">
        <v>0</v>
      </c>
      <c r="S151" s="1948">
        <v>0</v>
      </c>
      <c r="T151" s="1948">
        <v>0</v>
      </c>
      <c r="U151" s="1948">
        <v>0</v>
      </c>
      <c r="V151" s="1948">
        <f t="shared" si="32"/>
        <v>0</v>
      </c>
      <c r="W151" s="1948">
        <f t="shared" si="33"/>
        <v>0</v>
      </c>
      <c r="X151" s="1948">
        <v>0</v>
      </c>
      <c r="Y151" s="1948">
        <v>0</v>
      </c>
      <c r="Z151" s="1948">
        <v>0</v>
      </c>
      <c r="AA151" s="1948">
        <v>0</v>
      </c>
      <c r="AB151" s="1948">
        <v>0</v>
      </c>
      <c r="AC151" s="1948">
        <v>0</v>
      </c>
      <c r="AD151" s="1948">
        <f t="shared" si="34"/>
        <v>0</v>
      </c>
      <c r="AE151" s="1948">
        <f t="shared" si="35"/>
        <v>0</v>
      </c>
      <c r="AF151" s="1948">
        <v>0</v>
      </c>
      <c r="AG151" s="1948">
        <v>0</v>
      </c>
      <c r="AH151" s="1948">
        <v>0</v>
      </c>
      <c r="AI151" s="1948">
        <v>0</v>
      </c>
      <c r="AJ151" s="1948">
        <v>0</v>
      </c>
      <c r="AK151" s="1948">
        <v>0</v>
      </c>
      <c r="AL151" s="1948">
        <f t="shared" si="36"/>
        <v>0</v>
      </c>
      <c r="AM151" s="1948">
        <f t="shared" si="37"/>
        <v>0</v>
      </c>
      <c r="AN151" s="1948">
        <v>145</v>
      </c>
      <c r="AO151" s="1948">
        <v>20.910899999999998</v>
      </c>
      <c r="AP151" s="1948">
        <v>116</v>
      </c>
      <c r="AQ151" s="1948">
        <v>0.77539999999999998</v>
      </c>
      <c r="AR151" s="1948">
        <v>44.97</v>
      </c>
      <c r="AS151" s="1948">
        <v>677</v>
      </c>
      <c r="AT151" s="1948">
        <f t="shared" si="38"/>
        <v>9335</v>
      </c>
      <c r="AU151" s="1948">
        <f t="shared" si="39"/>
        <v>0</v>
      </c>
      <c r="AV151" s="1948">
        <v>145</v>
      </c>
      <c r="AW151" s="1948">
        <v>23.082000000000001</v>
      </c>
      <c r="AX151" s="1948">
        <v>116</v>
      </c>
      <c r="AY151" s="1948">
        <v>0.69210000000000005</v>
      </c>
      <c r="AZ151" s="1948">
        <v>47.07</v>
      </c>
      <c r="BA151" s="1948">
        <v>7822</v>
      </c>
      <c r="BB151" s="1948">
        <f t="shared" si="40"/>
        <v>9971</v>
      </c>
      <c r="BC151" s="1948">
        <f t="shared" si="41"/>
        <v>0</v>
      </c>
      <c r="BD151" s="1949">
        <v>145</v>
      </c>
      <c r="BE151" s="1948">
        <v>25.781999999999996</v>
      </c>
      <c r="BF151" s="1949">
        <v>116</v>
      </c>
      <c r="BG151" s="1949">
        <v>0.69379999999999997</v>
      </c>
      <c r="BH151" s="1949">
        <v>54.83</v>
      </c>
      <c r="BI151" s="1948">
        <v>10517</v>
      </c>
      <c r="BJ151" s="1948">
        <f t="shared" si="42"/>
        <v>11509</v>
      </c>
      <c r="BK151" s="1948">
        <f t="shared" si="43"/>
        <v>0</v>
      </c>
    </row>
    <row r="152" spans="1:63" ht="15">
      <c r="A152" s="1946">
        <v>622000000145</v>
      </c>
      <c r="B152" s="1947">
        <f t="shared" si="44"/>
        <v>146</v>
      </c>
      <c r="C152" s="1906" t="s">
        <v>3037</v>
      </c>
      <c r="D152" s="1907" t="s">
        <v>524</v>
      </c>
      <c r="E152" s="1906" t="s">
        <v>730</v>
      </c>
      <c r="F152" s="1948" t="s">
        <v>259</v>
      </c>
      <c r="G152" s="1949">
        <v>145</v>
      </c>
      <c r="H152" s="1948">
        <v>145</v>
      </c>
      <c r="I152" s="1950">
        <v>269.28000000000003</v>
      </c>
      <c r="J152" s="1948">
        <v>269.27999999999997</v>
      </c>
      <c r="K152" s="1948">
        <v>0.87439999999999996</v>
      </c>
      <c r="L152" s="1948">
        <v>75.14</v>
      </c>
      <c r="M152" s="1948">
        <v>145686</v>
      </c>
      <c r="N152" s="1948">
        <f t="shared" si="30"/>
        <v>116329</v>
      </c>
      <c r="O152" s="1948">
        <f t="shared" si="31"/>
        <v>29357</v>
      </c>
      <c r="P152" s="1948">
        <v>145</v>
      </c>
      <c r="Q152" s="1948">
        <v>241.92000000000002</v>
      </c>
      <c r="R152" s="1948">
        <v>241.92</v>
      </c>
      <c r="S152" s="1948">
        <v>0.87239999999999995</v>
      </c>
      <c r="T152" s="1948">
        <v>80.94</v>
      </c>
      <c r="U152" s="1948">
        <v>145688</v>
      </c>
      <c r="V152" s="1948">
        <f t="shared" si="32"/>
        <v>107993</v>
      </c>
      <c r="W152" s="1948">
        <f t="shared" si="33"/>
        <v>37695</v>
      </c>
      <c r="X152" s="1948">
        <v>145</v>
      </c>
      <c r="Y152" s="1948">
        <v>243.52</v>
      </c>
      <c r="Z152" s="1948">
        <v>243.52</v>
      </c>
      <c r="AA152" s="1948">
        <v>0.87270000000000003</v>
      </c>
      <c r="AB152" s="1948">
        <v>80.680000000000007</v>
      </c>
      <c r="AC152" s="1948">
        <v>141460</v>
      </c>
      <c r="AD152" s="1948">
        <f t="shared" si="34"/>
        <v>105201</v>
      </c>
      <c r="AE152" s="1948">
        <f t="shared" si="35"/>
        <v>36259</v>
      </c>
      <c r="AF152" s="1948">
        <v>145</v>
      </c>
      <c r="AG152" s="1948">
        <v>291.84000000000003</v>
      </c>
      <c r="AH152" s="1948">
        <v>291.83999999999997</v>
      </c>
      <c r="AI152" s="1948">
        <v>0.87309999999999999</v>
      </c>
      <c r="AJ152" s="1948">
        <v>66.540000000000006</v>
      </c>
      <c r="AK152" s="1948">
        <v>144478</v>
      </c>
      <c r="AL152" s="1948">
        <f t="shared" si="36"/>
        <v>130277</v>
      </c>
      <c r="AM152" s="1948">
        <f t="shared" si="37"/>
        <v>14201</v>
      </c>
      <c r="AN152" s="1948">
        <v>145</v>
      </c>
      <c r="AO152" s="1948">
        <v>330.88</v>
      </c>
      <c r="AP152" s="1948">
        <v>330.88</v>
      </c>
      <c r="AQ152" s="1948">
        <v>0.87270000000000003</v>
      </c>
      <c r="AR152" s="1948">
        <v>61.62</v>
      </c>
      <c r="AS152" s="1948">
        <v>151682</v>
      </c>
      <c r="AT152" s="1948">
        <f t="shared" si="38"/>
        <v>147705</v>
      </c>
      <c r="AU152" s="1948">
        <f t="shared" si="39"/>
        <v>3977</v>
      </c>
      <c r="AV152" s="1948">
        <v>145</v>
      </c>
      <c r="AW152" s="1948">
        <v>280.32</v>
      </c>
      <c r="AX152" s="1948">
        <v>280.32</v>
      </c>
      <c r="AY152" s="1948">
        <v>0.87109999999999999</v>
      </c>
      <c r="AZ152" s="1948">
        <v>69.59</v>
      </c>
      <c r="BA152" s="1948">
        <v>140462</v>
      </c>
      <c r="BB152" s="1948">
        <f t="shared" si="40"/>
        <v>121098</v>
      </c>
      <c r="BC152" s="1948">
        <f t="shared" si="41"/>
        <v>19364</v>
      </c>
      <c r="BD152" s="1949">
        <v>145</v>
      </c>
      <c r="BE152" s="1948">
        <v>281.59999999999997</v>
      </c>
      <c r="BF152" s="1949">
        <v>281.60000000000002</v>
      </c>
      <c r="BG152" s="1949">
        <v>0.87209999999999999</v>
      </c>
      <c r="BH152" s="1949">
        <v>75.06</v>
      </c>
      <c r="BI152" s="1948">
        <v>157256</v>
      </c>
      <c r="BJ152" s="1948">
        <f t="shared" si="42"/>
        <v>125706</v>
      </c>
      <c r="BK152" s="1948">
        <f t="shared" si="43"/>
        <v>31550</v>
      </c>
    </row>
    <row r="153" spans="1:63" ht="15">
      <c r="A153" s="1946">
        <v>611000000027</v>
      </c>
      <c r="B153" s="1947">
        <f t="shared" si="44"/>
        <v>147</v>
      </c>
      <c r="C153" s="1906" t="s">
        <v>3553</v>
      </c>
      <c r="D153" s="1907" t="s">
        <v>524</v>
      </c>
      <c r="E153" s="1906" t="s">
        <v>636</v>
      </c>
      <c r="F153" s="1948" t="s">
        <v>259</v>
      </c>
      <c r="G153" s="1949">
        <v>148</v>
      </c>
      <c r="H153" s="1948">
        <v>148</v>
      </c>
      <c r="I153" s="1950">
        <v>144</v>
      </c>
      <c r="J153" s="1948">
        <v>144</v>
      </c>
      <c r="K153" s="1948">
        <v>0.99209999999999998</v>
      </c>
      <c r="L153" s="1948">
        <v>28.77</v>
      </c>
      <c r="M153" s="1948">
        <v>29830</v>
      </c>
      <c r="N153" s="1948">
        <f t="shared" si="30"/>
        <v>62208</v>
      </c>
      <c r="O153" s="1948">
        <f t="shared" si="31"/>
        <v>0</v>
      </c>
      <c r="P153" s="1948">
        <v>148</v>
      </c>
      <c r="Q153" s="1948">
        <v>201</v>
      </c>
      <c r="R153" s="1948">
        <v>201</v>
      </c>
      <c r="S153" s="1948">
        <v>0.98529999999999995</v>
      </c>
      <c r="T153" s="1948">
        <v>35.9</v>
      </c>
      <c r="U153" s="1948">
        <v>53680</v>
      </c>
      <c r="V153" s="1948">
        <f t="shared" si="32"/>
        <v>89726</v>
      </c>
      <c r="W153" s="1948">
        <f t="shared" si="33"/>
        <v>0</v>
      </c>
      <c r="X153" s="1948">
        <v>148</v>
      </c>
      <c r="Y153" s="1948">
        <v>183</v>
      </c>
      <c r="Z153" s="1948">
        <v>183</v>
      </c>
      <c r="AA153" s="1948">
        <v>0.98899999999999999</v>
      </c>
      <c r="AB153" s="1948">
        <v>41.23</v>
      </c>
      <c r="AC153" s="1948">
        <v>54320</v>
      </c>
      <c r="AD153" s="1948">
        <f t="shared" si="34"/>
        <v>79056</v>
      </c>
      <c r="AE153" s="1948">
        <f t="shared" si="35"/>
        <v>0</v>
      </c>
      <c r="AF153" s="1948">
        <v>148</v>
      </c>
      <c r="AG153" s="1948">
        <v>188</v>
      </c>
      <c r="AH153" s="1948">
        <v>188</v>
      </c>
      <c r="AI153" s="1948">
        <v>0.98980000000000001</v>
      </c>
      <c r="AJ153" s="1948">
        <v>37.03</v>
      </c>
      <c r="AK153" s="1948">
        <v>51800</v>
      </c>
      <c r="AL153" s="1948">
        <f t="shared" si="36"/>
        <v>83923</v>
      </c>
      <c r="AM153" s="1948">
        <f t="shared" si="37"/>
        <v>0</v>
      </c>
      <c r="AN153" s="1948">
        <v>148</v>
      </c>
      <c r="AO153" s="1948">
        <v>200</v>
      </c>
      <c r="AP153" s="1948">
        <v>200</v>
      </c>
      <c r="AQ153" s="1948">
        <v>0.99109999999999998</v>
      </c>
      <c r="AR153" s="1948">
        <v>38.67</v>
      </c>
      <c r="AS153" s="1948">
        <v>57540</v>
      </c>
      <c r="AT153" s="1948">
        <f t="shared" si="38"/>
        <v>89280</v>
      </c>
      <c r="AU153" s="1948">
        <f t="shared" si="39"/>
        <v>0</v>
      </c>
      <c r="AV153" s="1948">
        <v>148</v>
      </c>
      <c r="AW153" s="1948">
        <v>216</v>
      </c>
      <c r="AX153" s="1948">
        <v>216</v>
      </c>
      <c r="AY153" s="1948">
        <v>0.99139999999999995</v>
      </c>
      <c r="AZ153" s="1948">
        <v>39.92</v>
      </c>
      <c r="BA153" s="1948">
        <v>62090</v>
      </c>
      <c r="BB153" s="1948">
        <f t="shared" si="40"/>
        <v>93312</v>
      </c>
      <c r="BC153" s="1948">
        <f t="shared" si="41"/>
        <v>0</v>
      </c>
      <c r="BD153" s="1949">
        <v>148</v>
      </c>
      <c r="BE153" s="1948">
        <v>237</v>
      </c>
      <c r="BF153" s="1949">
        <v>237</v>
      </c>
      <c r="BG153" s="1949">
        <v>0.99099999999999999</v>
      </c>
      <c r="BH153" s="1949">
        <v>32.11</v>
      </c>
      <c r="BI153" s="1948">
        <v>56625</v>
      </c>
      <c r="BJ153" s="1948">
        <f t="shared" si="42"/>
        <v>105797</v>
      </c>
      <c r="BK153" s="1948">
        <f t="shared" si="43"/>
        <v>0</v>
      </c>
    </row>
    <row r="154" spans="1:63" ht="15">
      <c r="A154" s="1946">
        <v>121000000045</v>
      </c>
      <c r="B154" s="1947">
        <f t="shared" si="44"/>
        <v>148</v>
      </c>
      <c r="C154" s="1906" t="s">
        <v>3039</v>
      </c>
      <c r="D154" s="1907" t="s">
        <v>524</v>
      </c>
      <c r="E154" s="1906" t="s">
        <v>737</v>
      </c>
      <c r="F154" s="1948" t="s">
        <v>259</v>
      </c>
      <c r="G154" s="1949">
        <v>149</v>
      </c>
      <c r="H154" s="1948">
        <v>149</v>
      </c>
      <c r="I154" s="1950">
        <v>42.000000000000007</v>
      </c>
      <c r="J154" s="1948">
        <v>119.2</v>
      </c>
      <c r="K154" s="1948">
        <v>0.98829999999999996</v>
      </c>
      <c r="L154" s="1948">
        <v>23.04</v>
      </c>
      <c r="M154" s="1948">
        <v>6966</v>
      </c>
      <c r="N154" s="1948">
        <f t="shared" si="30"/>
        <v>18144</v>
      </c>
      <c r="O154" s="1948">
        <f t="shared" si="31"/>
        <v>0</v>
      </c>
      <c r="P154" s="1948">
        <v>149</v>
      </c>
      <c r="Q154" s="1948">
        <v>42.96</v>
      </c>
      <c r="R154" s="1948">
        <v>119.2</v>
      </c>
      <c r="S154" s="1948">
        <v>0.99639999999999995</v>
      </c>
      <c r="T154" s="1948">
        <v>31.97</v>
      </c>
      <c r="U154" s="1948">
        <v>10218</v>
      </c>
      <c r="V154" s="1948">
        <f t="shared" si="32"/>
        <v>19177</v>
      </c>
      <c r="W154" s="1948">
        <f t="shared" si="33"/>
        <v>0</v>
      </c>
      <c r="X154" s="1948">
        <v>149</v>
      </c>
      <c r="Y154" s="1948">
        <v>43.199999999999996</v>
      </c>
      <c r="Z154" s="1948">
        <v>119.2</v>
      </c>
      <c r="AA154" s="1948">
        <v>0.99619999999999997</v>
      </c>
      <c r="AB154" s="1948">
        <v>28.09</v>
      </c>
      <c r="AC154" s="1948">
        <v>8736</v>
      </c>
      <c r="AD154" s="1948">
        <f t="shared" si="34"/>
        <v>18662</v>
      </c>
      <c r="AE154" s="1948">
        <f t="shared" si="35"/>
        <v>0</v>
      </c>
      <c r="AF154" s="1948">
        <v>149</v>
      </c>
      <c r="AG154" s="1948">
        <v>37.44</v>
      </c>
      <c r="AH154" s="1948">
        <v>119.2</v>
      </c>
      <c r="AI154" s="1948">
        <v>0.99480000000000002</v>
      </c>
      <c r="AJ154" s="1948">
        <v>27.1</v>
      </c>
      <c r="AK154" s="1948">
        <v>7548</v>
      </c>
      <c r="AL154" s="1948">
        <f t="shared" si="36"/>
        <v>16713</v>
      </c>
      <c r="AM154" s="1948">
        <f t="shared" si="37"/>
        <v>0</v>
      </c>
      <c r="AN154" s="1948">
        <v>149</v>
      </c>
      <c r="AO154" s="1948">
        <v>35.76</v>
      </c>
      <c r="AP154" s="1948">
        <v>119.2</v>
      </c>
      <c r="AQ154" s="1948">
        <v>0.9929</v>
      </c>
      <c r="AR154" s="1948">
        <v>27.31</v>
      </c>
      <c r="AS154" s="1948">
        <v>7266</v>
      </c>
      <c r="AT154" s="1948">
        <f t="shared" si="38"/>
        <v>15963</v>
      </c>
      <c r="AU154" s="1948">
        <f t="shared" si="39"/>
        <v>0</v>
      </c>
      <c r="AV154" s="1948">
        <v>149</v>
      </c>
      <c r="AW154" s="1948">
        <v>36.479999999999997</v>
      </c>
      <c r="AX154" s="1948">
        <v>119.2</v>
      </c>
      <c r="AY154" s="1948">
        <v>0.99009999999999998</v>
      </c>
      <c r="AZ154" s="1948">
        <v>27.94</v>
      </c>
      <c r="BA154" s="1948">
        <v>7338</v>
      </c>
      <c r="BB154" s="1948">
        <f t="shared" si="40"/>
        <v>15759</v>
      </c>
      <c r="BC154" s="1948">
        <f t="shared" si="41"/>
        <v>0</v>
      </c>
      <c r="BD154" s="1949">
        <v>149</v>
      </c>
      <c r="BE154" s="1948">
        <v>41.519999999999996</v>
      </c>
      <c r="BF154" s="1949">
        <v>119.2</v>
      </c>
      <c r="BG154" s="1949">
        <v>0.98719999999999997</v>
      </c>
      <c r="BH154" s="1949">
        <v>22.92</v>
      </c>
      <c r="BI154" s="1948">
        <v>7080</v>
      </c>
      <c r="BJ154" s="1948">
        <f t="shared" si="42"/>
        <v>18535</v>
      </c>
      <c r="BK154" s="1948">
        <f t="shared" si="43"/>
        <v>0</v>
      </c>
    </row>
    <row r="155" spans="1:63" ht="15">
      <c r="A155" s="1946">
        <v>122000000062</v>
      </c>
      <c r="B155" s="1947">
        <f t="shared" si="44"/>
        <v>149</v>
      </c>
      <c r="C155" s="1906" t="s">
        <v>3041</v>
      </c>
      <c r="D155" s="1907" t="s">
        <v>524</v>
      </c>
      <c r="E155" s="1906" t="s">
        <v>737</v>
      </c>
      <c r="F155" s="1948" t="s">
        <v>259</v>
      </c>
      <c r="G155" s="1949">
        <v>150</v>
      </c>
      <c r="H155" s="1948">
        <v>150</v>
      </c>
      <c r="I155" s="1950">
        <v>74.08</v>
      </c>
      <c r="J155" s="1948">
        <v>120</v>
      </c>
      <c r="K155" s="1948">
        <v>0.97009999999999996</v>
      </c>
      <c r="L155" s="1948">
        <v>27.13</v>
      </c>
      <c r="M155" s="1948">
        <v>14472</v>
      </c>
      <c r="N155" s="1948">
        <f t="shared" si="30"/>
        <v>32003</v>
      </c>
      <c r="O155" s="1948">
        <f t="shared" si="31"/>
        <v>0</v>
      </c>
      <c r="P155" s="1948">
        <v>150</v>
      </c>
      <c r="Q155" s="1948">
        <v>75.2</v>
      </c>
      <c r="R155" s="1948">
        <v>120</v>
      </c>
      <c r="S155" s="1948">
        <v>0.97709999999999997</v>
      </c>
      <c r="T155" s="1948">
        <v>30.1</v>
      </c>
      <c r="U155" s="1948">
        <v>16840</v>
      </c>
      <c r="V155" s="1948">
        <f t="shared" si="32"/>
        <v>33569</v>
      </c>
      <c r="W155" s="1948">
        <f t="shared" si="33"/>
        <v>0</v>
      </c>
      <c r="X155" s="1948">
        <v>150</v>
      </c>
      <c r="Y155" s="1948">
        <v>81.92</v>
      </c>
      <c r="Z155" s="1948">
        <v>120</v>
      </c>
      <c r="AA155" s="1948">
        <v>0.98019999999999996</v>
      </c>
      <c r="AB155" s="1948">
        <v>26.44</v>
      </c>
      <c r="AC155" s="1948">
        <v>15596</v>
      </c>
      <c r="AD155" s="1948">
        <f t="shared" si="34"/>
        <v>35389</v>
      </c>
      <c r="AE155" s="1948">
        <f t="shared" si="35"/>
        <v>0</v>
      </c>
      <c r="AF155" s="1948">
        <v>150</v>
      </c>
      <c r="AG155" s="1948">
        <v>72.48</v>
      </c>
      <c r="AH155" s="1948">
        <v>120</v>
      </c>
      <c r="AI155" s="1948">
        <v>0.97909999999999997</v>
      </c>
      <c r="AJ155" s="1948">
        <v>29.76</v>
      </c>
      <c r="AK155" s="1948">
        <v>16048</v>
      </c>
      <c r="AL155" s="1948">
        <f t="shared" si="36"/>
        <v>32355</v>
      </c>
      <c r="AM155" s="1948">
        <f t="shared" si="37"/>
        <v>0</v>
      </c>
      <c r="AN155" s="1948">
        <v>150</v>
      </c>
      <c r="AO155" s="1948">
        <v>66.400000000000006</v>
      </c>
      <c r="AP155" s="1948">
        <v>120</v>
      </c>
      <c r="AQ155" s="1948">
        <v>0.96309999999999996</v>
      </c>
      <c r="AR155" s="1948">
        <v>30.75</v>
      </c>
      <c r="AS155" s="1948">
        <v>15192</v>
      </c>
      <c r="AT155" s="1948">
        <f t="shared" si="38"/>
        <v>29641</v>
      </c>
      <c r="AU155" s="1948">
        <f t="shared" si="39"/>
        <v>0</v>
      </c>
      <c r="AV155" s="1948">
        <v>150</v>
      </c>
      <c r="AW155" s="1948">
        <v>73.11999999999999</v>
      </c>
      <c r="AX155" s="1948">
        <v>120</v>
      </c>
      <c r="AY155" s="1948">
        <v>0.96619999999999995</v>
      </c>
      <c r="AZ155" s="1948">
        <v>28.9</v>
      </c>
      <c r="BA155" s="1948">
        <v>15214</v>
      </c>
      <c r="BB155" s="1948">
        <f t="shared" si="40"/>
        <v>31588</v>
      </c>
      <c r="BC155" s="1948">
        <f t="shared" si="41"/>
        <v>0</v>
      </c>
      <c r="BD155" s="1949">
        <v>150</v>
      </c>
      <c r="BE155" s="1948">
        <v>152.32000000000002</v>
      </c>
      <c r="BF155" s="1949">
        <v>152.32</v>
      </c>
      <c r="BG155" s="1949">
        <v>0.95989999999999998</v>
      </c>
      <c r="BH155" s="1949">
        <v>13.13</v>
      </c>
      <c r="BI155" s="1948">
        <v>14876</v>
      </c>
      <c r="BJ155" s="1948">
        <f t="shared" si="42"/>
        <v>67996</v>
      </c>
      <c r="BK155" s="1948">
        <f t="shared" si="43"/>
        <v>0</v>
      </c>
    </row>
    <row r="156" spans="1:63" ht="15">
      <c r="A156" s="1946">
        <v>122000000100</v>
      </c>
      <c r="B156" s="1947">
        <f t="shared" si="44"/>
        <v>150</v>
      </c>
      <c r="C156" s="1906" t="s">
        <v>3047</v>
      </c>
      <c r="D156" s="1907" t="s">
        <v>524</v>
      </c>
      <c r="E156" s="1906" t="s">
        <v>636</v>
      </c>
      <c r="F156" s="1948" t="s">
        <v>259</v>
      </c>
      <c r="G156" s="1949">
        <v>150</v>
      </c>
      <c r="H156" s="1948">
        <v>150</v>
      </c>
      <c r="I156" s="1950">
        <v>13.52</v>
      </c>
      <c r="J156" s="1948">
        <v>120</v>
      </c>
      <c r="K156" s="1948">
        <v>0.48459999999999998</v>
      </c>
      <c r="L156" s="1948">
        <v>26.71</v>
      </c>
      <c r="M156" s="1948">
        <v>2600</v>
      </c>
      <c r="N156" s="1948">
        <f t="shared" si="30"/>
        <v>5841</v>
      </c>
      <c r="O156" s="1948">
        <f t="shared" si="31"/>
        <v>0</v>
      </c>
      <c r="P156" s="1948">
        <v>150</v>
      </c>
      <c r="Q156" s="1948">
        <v>11.200000000000001</v>
      </c>
      <c r="R156" s="1948">
        <v>120</v>
      </c>
      <c r="S156" s="1948">
        <v>0.4824</v>
      </c>
      <c r="T156" s="1948">
        <v>30.12</v>
      </c>
      <c r="U156" s="1948">
        <v>2510</v>
      </c>
      <c r="V156" s="1948">
        <f t="shared" si="32"/>
        <v>5000</v>
      </c>
      <c r="W156" s="1948">
        <f t="shared" si="33"/>
        <v>0</v>
      </c>
      <c r="X156" s="1948">
        <v>150</v>
      </c>
      <c r="Y156" s="1948">
        <v>11.360000000000001</v>
      </c>
      <c r="Z156" s="1948">
        <v>120</v>
      </c>
      <c r="AA156" s="1948">
        <v>0.42649999999999999</v>
      </c>
      <c r="AB156" s="1948">
        <v>27.31</v>
      </c>
      <c r="AC156" s="1948">
        <v>2234</v>
      </c>
      <c r="AD156" s="1948">
        <f t="shared" si="34"/>
        <v>4908</v>
      </c>
      <c r="AE156" s="1948">
        <f t="shared" si="35"/>
        <v>0</v>
      </c>
      <c r="AF156" s="1948">
        <v>150</v>
      </c>
      <c r="AG156" s="1948">
        <v>13.200000000000001</v>
      </c>
      <c r="AH156" s="1948">
        <v>120</v>
      </c>
      <c r="AI156" s="1948">
        <v>0.44009999999999999</v>
      </c>
      <c r="AJ156" s="1948">
        <v>25.68</v>
      </c>
      <c r="AK156" s="1948">
        <v>2522</v>
      </c>
      <c r="AL156" s="1948">
        <f t="shared" si="36"/>
        <v>5892</v>
      </c>
      <c r="AM156" s="1948">
        <f t="shared" si="37"/>
        <v>0</v>
      </c>
      <c r="AN156" s="1948">
        <v>150</v>
      </c>
      <c r="AO156" s="1948">
        <v>10.96</v>
      </c>
      <c r="AP156" s="1948">
        <v>120</v>
      </c>
      <c r="AQ156" s="1948">
        <v>0.43309999999999998</v>
      </c>
      <c r="AR156" s="1948">
        <v>29.62</v>
      </c>
      <c r="AS156" s="1948">
        <v>2415</v>
      </c>
      <c r="AT156" s="1948">
        <f t="shared" si="38"/>
        <v>4893</v>
      </c>
      <c r="AU156" s="1948">
        <f t="shared" si="39"/>
        <v>0</v>
      </c>
      <c r="AV156" s="1948">
        <v>150</v>
      </c>
      <c r="AW156" s="1948">
        <v>7.1999999999999993</v>
      </c>
      <c r="AX156" s="1948">
        <v>120</v>
      </c>
      <c r="AY156" s="1948">
        <v>0.39129999999999998</v>
      </c>
      <c r="AZ156" s="1948">
        <v>45.29</v>
      </c>
      <c r="BA156" s="1948">
        <v>2348</v>
      </c>
      <c r="BB156" s="1948">
        <f t="shared" si="40"/>
        <v>3110</v>
      </c>
      <c r="BC156" s="1948">
        <f t="shared" si="41"/>
        <v>0</v>
      </c>
      <c r="BD156" s="1949">
        <v>150</v>
      </c>
      <c r="BE156" s="1948">
        <v>24.240000000000002</v>
      </c>
      <c r="BF156" s="1949">
        <v>120</v>
      </c>
      <c r="BG156" s="1949">
        <v>0.34970000000000001</v>
      </c>
      <c r="BH156" s="1949">
        <v>13.59</v>
      </c>
      <c r="BI156" s="1948">
        <v>2450</v>
      </c>
      <c r="BJ156" s="1948">
        <f t="shared" si="42"/>
        <v>10821</v>
      </c>
      <c r="BK156" s="1948">
        <f t="shared" si="43"/>
        <v>0</v>
      </c>
    </row>
    <row r="157" spans="1:63" ht="15">
      <c r="A157" s="1946">
        <v>123000000099</v>
      </c>
      <c r="B157" s="1947">
        <f t="shared" si="44"/>
        <v>151</v>
      </c>
      <c r="C157" s="1906" t="s">
        <v>3043</v>
      </c>
      <c r="D157" s="1907" t="s">
        <v>524</v>
      </c>
      <c r="E157" s="1906" t="s">
        <v>2966</v>
      </c>
      <c r="F157" s="1948" t="s">
        <v>259</v>
      </c>
      <c r="G157" s="1949">
        <v>150</v>
      </c>
      <c r="H157" s="1948">
        <v>150</v>
      </c>
      <c r="I157" s="1950">
        <v>169.84</v>
      </c>
      <c r="J157" s="1948">
        <v>169.84</v>
      </c>
      <c r="K157" s="1948">
        <v>0.63100000000000001</v>
      </c>
      <c r="L157" s="1948">
        <v>0</v>
      </c>
      <c r="M157" s="1948">
        <v>35470</v>
      </c>
      <c r="N157" s="1948">
        <f t="shared" si="30"/>
        <v>73371</v>
      </c>
      <c r="O157" s="1948">
        <f t="shared" si="31"/>
        <v>0</v>
      </c>
      <c r="P157" s="1948">
        <v>150</v>
      </c>
      <c r="Q157" s="1948">
        <v>168.23999999999998</v>
      </c>
      <c r="R157" s="1948">
        <v>168.24</v>
      </c>
      <c r="S157" s="1948">
        <v>0.66779999999999995</v>
      </c>
      <c r="T157" s="1948">
        <v>0</v>
      </c>
      <c r="U157" s="1948">
        <v>44469</v>
      </c>
      <c r="V157" s="1948">
        <f t="shared" si="32"/>
        <v>75102</v>
      </c>
      <c r="W157" s="1948">
        <f t="shared" si="33"/>
        <v>0</v>
      </c>
      <c r="X157" s="1948">
        <v>150</v>
      </c>
      <c r="Y157" s="1948">
        <v>162.47999999999999</v>
      </c>
      <c r="Z157" s="1948">
        <v>162.47999999999999</v>
      </c>
      <c r="AA157" s="1948">
        <v>0.67300000000000004</v>
      </c>
      <c r="AB157" s="1948">
        <v>0</v>
      </c>
      <c r="AC157" s="1948">
        <v>44942</v>
      </c>
      <c r="AD157" s="1948">
        <f t="shared" si="34"/>
        <v>70191</v>
      </c>
      <c r="AE157" s="1948">
        <f t="shared" si="35"/>
        <v>0</v>
      </c>
      <c r="AF157" s="1948">
        <v>150</v>
      </c>
      <c r="AG157" s="1948">
        <v>122.32000000000001</v>
      </c>
      <c r="AH157" s="1948">
        <v>150</v>
      </c>
      <c r="AI157" s="1948">
        <v>0.67900000000000005</v>
      </c>
      <c r="AJ157" s="1948">
        <v>0</v>
      </c>
      <c r="AK157" s="1948">
        <v>43758</v>
      </c>
      <c r="AL157" s="1948">
        <f t="shared" si="36"/>
        <v>54604</v>
      </c>
      <c r="AM157" s="1948">
        <f t="shared" si="37"/>
        <v>0</v>
      </c>
      <c r="AN157" s="1948">
        <v>150</v>
      </c>
      <c r="AO157" s="1948">
        <v>121.92</v>
      </c>
      <c r="AP157" s="1948">
        <v>150</v>
      </c>
      <c r="AQ157" s="1948">
        <v>0.6018</v>
      </c>
      <c r="AR157" s="1948">
        <v>0</v>
      </c>
      <c r="AS157" s="1948">
        <v>21595</v>
      </c>
      <c r="AT157" s="1948">
        <f t="shared" si="38"/>
        <v>54425</v>
      </c>
      <c r="AU157" s="1948">
        <f t="shared" si="39"/>
        <v>0</v>
      </c>
      <c r="AV157" s="1948">
        <v>150</v>
      </c>
      <c r="AW157" s="1948">
        <v>116.48</v>
      </c>
      <c r="AX157" s="1948">
        <v>150</v>
      </c>
      <c r="AY157" s="1948">
        <v>0.6129</v>
      </c>
      <c r="AZ157" s="1948">
        <v>0</v>
      </c>
      <c r="BA157" s="1948">
        <v>24015</v>
      </c>
      <c r="BB157" s="1948">
        <f t="shared" si="40"/>
        <v>50319</v>
      </c>
      <c r="BC157" s="1948">
        <f t="shared" si="41"/>
        <v>0</v>
      </c>
      <c r="BD157" s="1949">
        <v>150</v>
      </c>
      <c r="BE157" s="1948">
        <v>127.91999999999999</v>
      </c>
      <c r="BF157" s="1949">
        <v>150</v>
      </c>
      <c r="BG157" s="1949">
        <v>0.66700000000000004</v>
      </c>
      <c r="BH157" s="1949">
        <v>0</v>
      </c>
      <c r="BI157" s="1948">
        <v>44099</v>
      </c>
      <c r="BJ157" s="1948">
        <f t="shared" si="42"/>
        <v>57103</v>
      </c>
      <c r="BK157" s="1948">
        <f t="shared" si="43"/>
        <v>0</v>
      </c>
    </row>
    <row r="158" spans="1:63" ht="15">
      <c r="A158" s="1946">
        <v>127000000021</v>
      </c>
      <c r="B158" s="1947">
        <f t="shared" si="44"/>
        <v>152</v>
      </c>
      <c r="C158" s="1906" t="s">
        <v>3051</v>
      </c>
      <c r="D158" s="1907" t="s">
        <v>524</v>
      </c>
      <c r="E158" s="1906" t="s">
        <v>2966</v>
      </c>
      <c r="F158" s="1948" t="s">
        <v>259</v>
      </c>
      <c r="G158" s="1949">
        <v>150</v>
      </c>
      <c r="H158" s="1948">
        <v>150</v>
      </c>
      <c r="I158" s="1950">
        <v>106.32</v>
      </c>
      <c r="J158" s="1948">
        <v>150</v>
      </c>
      <c r="K158" s="1948">
        <v>0.80069999999999997</v>
      </c>
      <c r="L158" s="1948">
        <v>0</v>
      </c>
      <c r="M158" s="1948">
        <v>24537</v>
      </c>
      <c r="N158" s="1948">
        <f t="shared" si="30"/>
        <v>45930</v>
      </c>
      <c r="O158" s="1948">
        <f t="shared" si="31"/>
        <v>0</v>
      </c>
      <c r="P158" s="1948">
        <v>150</v>
      </c>
      <c r="Q158" s="1948">
        <v>123.11999999999999</v>
      </c>
      <c r="R158" s="1948">
        <v>150</v>
      </c>
      <c r="S158" s="1948">
        <v>0.81469999999999998</v>
      </c>
      <c r="T158" s="1948">
        <v>0</v>
      </c>
      <c r="U158" s="1948">
        <v>28452</v>
      </c>
      <c r="V158" s="1948">
        <f t="shared" si="32"/>
        <v>54961</v>
      </c>
      <c r="W158" s="1948">
        <f t="shared" si="33"/>
        <v>0</v>
      </c>
      <c r="X158" s="1948">
        <v>150</v>
      </c>
      <c r="Y158" s="1948">
        <v>120.96000000000001</v>
      </c>
      <c r="Z158" s="1948">
        <v>150</v>
      </c>
      <c r="AA158" s="1948">
        <v>0.7712</v>
      </c>
      <c r="AB158" s="1948">
        <v>0</v>
      </c>
      <c r="AC158" s="1948">
        <v>30127</v>
      </c>
      <c r="AD158" s="1948">
        <f t="shared" si="34"/>
        <v>52255</v>
      </c>
      <c r="AE158" s="1948">
        <f t="shared" si="35"/>
        <v>0</v>
      </c>
      <c r="AF158" s="1948">
        <v>150</v>
      </c>
      <c r="AG158" s="1948">
        <v>48.96</v>
      </c>
      <c r="AH158" s="1948">
        <v>150</v>
      </c>
      <c r="AI158" s="1948">
        <v>0.47860000000000003</v>
      </c>
      <c r="AJ158" s="1948">
        <v>0</v>
      </c>
      <c r="AK158" s="1948">
        <v>5340</v>
      </c>
      <c r="AL158" s="1948">
        <f t="shared" si="36"/>
        <v>21856</v>
      </c>
      <c r="AM158" s="1948">
        <f t="shared" si="37"/>
        <v>0</v>
      </c>
      <c r="AN158" s="1948">
        <v>150</v>
      </c>
      <c r="AO158" s="1948">
        <v>59.88</v>
      </c>
      <c r="AP158" s="1948">
        <v>150</v>
      </c>
      <c r="AQ158" s="1948">
        <v>0.5847</v>
      </c>
      <c r="AR158" s="1948">
        <v>0</v>
      </c>
      <c r="AS158" s="1948">
        <v>10583</v>
      </c>
      <c r="AT158" s="1948">
        <f t="shared" si="38"/>
        <v>26730</v>
      </c>
      <c r="AU158" s="1948">
        <f t="shared" si="39"/>
        <v>0</v>
      </c>
      <c r="AV158" s="1948">
        <v>150</v>
      </c>
      <c r="AW158" s="1948">
        <v>17.64</v>
      </c>
      <c r="AX158" s="1948">
        <v>150</v>
      </c>
      <c r="AY158" s="1948">
        <v>0.2402</v>
      </c>
      <c r="AZ158" s="1948">
        <v>0</v>
      </c>
      <c r="BA158" s="1948">
        <v>3113</v>
      </c>
      <c r="BB158" s="1948">
        <f t="shared" si="40"/>
        <v>7620</v>
      </c>
      <c r="BC158" s="1948">
        <f t="shared" si="41"/>
        <v>0</v>
      </c>
      <c r="BD158" s="1949">
        <v>150</v>
      </c>
      <c r="BE158" s="1948">
        <v>39.840000000000003</v>
      </c>
      <c r="BF158" s="1949">
        <v>150</v>
      </c>
      <c r="BG158" s="1949">
        <v>0.41649999999999998</v>
      </c>
      <c r="BH158" s="1949">
        <v>0</v>
      </c>
      <c r="BI158" s="1948">
        <v>6530</v>
      </c>
      <c r="BJ158" s="1948">
        <f t="shared" si="42"/>
        <v>17785</v>
      </c>
      <c r="BK158" s="1948">
        <f t="shared" si="43"/>
        <v>0</v>
      </c>
    </row>
    <row r="159" spans="1:63" ht="15">
      <c r="A159" s="1946">
        <v>126000000004</v>
      </c>
      <c r="B159" s="1947">
        <f t="shared" si="44"/>
        <v>153</v>
      </c>
      <c r="C159" s="1906" t="s">
        <v>3044</v>
      </c>
      <c r="D159" s="1907" t="s">
        <v>524</v>
      </c>
      <c r="E159" s="1906" t="s">
        <v>541</v>
      </c>
      <c r="F159" s="1948" t="s">
        <v>259</v>
      </c>
      <c r="G159" s="1949">
        <v>150</v>
      </c>
      <c r="H159" s="1948">
        <v>150</v>
      </c>
      <c r="I159" s="1950">
        <v>107.44</v>
      </c>
      <c r="J159" s="1948">
        <v>120</v>
      </c>
      <c r="K159" s="1948">
        <v>0.96220000000000006</v>
      </c>
      <c r="L159" s="1948">
        <v>52.5</v>
      </c>
      <c r="M159" s="1948">
        <v>40616</v>
      </c>
      <c r="N159" s="1948">
        <f t="shared" si="30"/>
        <v>46414</v>
      </c>
      <c r="O159" s="1948">
        <f t="shared" si="31"/>
        <v>0</v>
      </c>
      <c r="P159" s="1948">
        <v>150</v>
      </c>
      <c r="Q159" s="1948">
        <v>109.11999999999999</v>
      </c>
      <c r="R159" s="1948">
        <v>120</v>
      </c>
      <c r="S159" s="1948">
        <v>0.88100000000000001</v>
      </c>
      <c r="T159" s="1948">
        <v>58.69</v>
      </c>
      <c r="U159" s="1948">
        <v>47651</v>
      </c>
      <c r="V159" s="1948">
        <f t="shared" si="32"/>
        <v>48711</v>
      </c>
      <c r="W159" s="1948">
        <f t="shared" si="33"/>
        <v>0</v>
      </c>
      <c r="X159" s="1948">
        <v>150</v>
      </c>
      <c r="Y159" s="1948">
        <v>113.04</v>
      </c>
      <c r="Z159" s="1948">
        <v>120</v>
      </c>
      <c r="AA159" s="1948">
        <v>0.86319999999999997</v>
      </c>
      <c r="AB159" s="1948">
        <v>55.13</v>
      </c>
      <c r="AC159" s="1948">
        <v>44872</v>
      </c>
      <c r="AD159" s="1948">
        <f t="shared" si="34"/>
        <v>48833</v>
      </c>
      <c r="AE159" s="1948">
        <f t="shared" si="35"/>
        <v>0</v>
      </c>
      <c r="AF159" s="1948">
        <v>150</v>
      </c>
      <c r="AG159" s="1948">
        <v>108.55999999999999</v>
      </c>
      <c r="AH159" s="1948">
        <v>120</v>
      </c>
      <c r="AI159" s="1948">
        <v>0.86180000000000001</v>
      </c>
      <c r="AJ159" s="1948">
        <v>53.86</v>
      </c>
      <c r="AK159" s="1948">
        <v>43503</v>
      </c>
      <c r="AL159" s="1948">
        <f t="shared" si="36"/>
        <v>48461</v>
      </c>
      <c r="AM159" s="1948">
        <f t="shared" si="37"/>
        <v>0</v>
      </c>
      <c r="AN159" s="1948">
        <v>150</v>
      </c>
      <c r="AO159" s="1948">
        <v>89.92</v>
      </c>
      <c r="AP159" s="1948">
        <v>120</v>
      </c>
      <c r="AQ159" s="1948">
        <v>0.94969999999999999</v>
      </c>
      <c r="AR159" s="1948">
        <v>9.75</v>
      </c>
      <c r="AS159" s="1948">
        <v>6521</v>
      </c>
      <c r="AT159" s="1948">
        <f t="shared" si="38"/>
        <v>40140</v>
      </c>
      <c r="AU159" s="1948">
        <f t="shared" si="39"/>
        <v>0</v>
      </c>
      <c r="AV159" s="1948">
        <v>150</v>
      </c>
      <c r="AW159" s="1948">
        <v>23.28</v>
      </c>
      <c r="AX159" s="1948">
        <v>120</v>
      </c>
      <c r="AY159" s="1948">
        <v>1</v>
      </c>
      <c r="AZ159" s="1948">
        <v>20.420000000000002</v>
      </c>
      <c r="BA159" s="1948">
        <v>3423</v>
      </c>
      <c r="BB159" s="1948">
        <f t="shared" si="40"/>
        <v>10057</v>
      </c>
      <c r="BC159" s="1948">
        <f t="shared" si="41"/>
        <v>0</v>
      </c>
      <c r="BD159" s="1949">
        <v>150</v>
      </c>
      <c r="BE159" s="1948">
        <v>21.52</v>
      </c>
      <c r="BF159" s="1949">
        <v>120</v>
      </c>
      <c r="BG159" s="1949">
        <v>0.99960000000000004</v>
      </c>
      <c r="BH159" s="1949">
        <v>19.38</v>
      </c>
      <c r="BI159" s="1948">
        <v>3103</v>
      </c>
      <c r="BJ159" s="1948">
        <f t="shared" si="42"/>
        <v>9607</v>
      </c>
      <c r="BK159" s="1948">
        <f t="shared" si="43"/>
        <v>0</v>
      </c>
    </row>
    <row r="160" spans="1:63" ht="15">
      <c r="A160" s="1946">
        <v>126000000020</v>
      </c>
      <c r="B160" s="1947">
        <f t="shared" si="44"/>
        <v>154</v>
      </c>
      <c r="C160" s="1906" t="s">
        <v>3045</v>
      </c>
      <c r="D160" s="1907" t="s">
        <v>524</v>
      </c>
      <c r="E160" s="1906" t="s">
        <v>541</v>
      </c>
      <c r="F160" s="1948" t="s">
        <v>259</v>
      </c>
      <c r="G160" s="1949">
        <v>150</v>
      </c>
      <c r="H160" s="1948">
        <v>150</v>
      </c>
      <c r="I160" s="1950">
        <v>131.91999999999999</v>
      </c>
      <c r="J160" s="1948">
        <v>131.91999999999999</v>
      </c>
      <c r="K160" s="1948">
        <v>0.94210000000000005</v>
      </c>
      <c r="L160" s="1948">
        <v>47.18</v>
      </c>
      <c r="M160" s="1948">
        <v>44816</v>
      </c>
      <c r="N160" s="1948">
        <f t="shared" si="30"/>
        <v>56989</v>
      </c>
      <c r="O160" s="1948">
        <f t="shared" si="31"/>
        <v>0</v>
      </c>
      <c r="P160" s="1948">
        <v>150</v>
      </c>
      <c r="Q160" s="1948">
        <v>190.32</v>
      </c>
      <c r="R160" s="1948">
        <v>190.32</v>
      </c>
      <c r="S160" s="1948">
        <v>0.8407</v>
      </c>
      <c r="T160" s="1948">
        <v>30.75</v>
      </c>
      <c r="U160" s="1948">
        <v>43539</v>
      </c>
      <c r="V160" s="1948">
        <f t="shared" si="32"/>
        <v>84959</v>
      </c>
      <c r="W160" s="1948">
        <f t="shared" si="33"/>
        <v>0</v>
      </c>
      <c r="X160" s="1948">
        <v>150</v>
      </c>
      <c r="Y160" s="1948">
        <v>135.44</v>
      </c>
      <c r="Z160" s="1948">
        <v>135.44</v>
      </c>
      <c r="AA160" s="1948">
        <v>0.91910000000000003</v>
      </c>
      <c r="AB160" s="1948">
        <v>37.82</v>
      </c>
      <c r="AC160" s="1948">
        <v>36879</v>
      </c>
      <c r="AD160" s="1948">
        <f t="shared" si="34"/>
        <v>58510</v>
      </c>
      <c r="AE160" s="1948">
        <f t="shared" si="35"/>
        <v>0</v>
      </c>
      <c r="AF160" s="1948">
        <v>150</v>
      </c>
      <c r="AG160" s="1948">
        <v>134.88</v>
      </c>
      <c r="AH160" s="1948">
        <v>134.88</v>
      </c>
      <c r="AI160" s="1948">
        <v>0.91279999999999994</v>
      </c>
      <c r="AJ160" s="1948">
        <v>49.44</v>
      </c>
      <c r="AK160" s="1948">
        <v>49613</v>
      </c>
      <c r="AL160" s="1948">
        <f t="shared" si="36"/>
        <v>60210</v>
      </c>
      <c r="AM160" s="1948">
        <f t="shared" si="37"/>
        <v>0</v>
      </c>
      <c r="AN160" s="1948">
        <v>150</v>
      </c>
      <c r="AO160" s="1948">
        <v>140.88</v>
      </c>
      <c r="AP160" s="1948">
        <v>140.88</v>
      </c>
      <c r="AQ160" s="1948">
        <v>0.89839999999999998</v>
      </c>
      <c r="AR160" s="1948">
        <v>54.88</v>
      </c>
      <c r="AS160" s="1948">
        <v>57522</v>
      </c>
      <c r="AT160" s="1948">
        <f t="shared" si="38"/>
        <v>62889</v>
      </c>
      <c r="AU160" s="1948">
        <f t="shared" si="39"/>
        <v>0</v>
      </c>
      <c r="AV160" s="1948">
        <v>150</v>
      </c>
      <c r="AW160" s="1948">
        <v>132.64000000000001</v>
      </c>
      <c r="AX160" s="1948">
        <v>132.63999999999999</v>
      </c>
      <c r="AY160" s="1948">
        <v>0.91749999999999998</v>
      </c>
      <c r="AZ160" s="1948">
        <v>13.82</v>
      </c>
      <c r="BA160" s="1948">
        <v>13202</v>
      </c>
      <c r="BB160" s="1948">
        <f t="shared" si="40"/>
        <v>57300</v>
      </c>
      <c r="BC160" s="1948">
        <f t="shared" si="41"/>
        <v>0</v>
      </c>
      <c r="BD160" s="1949">
        <v>150</v>
      </c>
      <c r="BE160" s="1948">
        <v>15.440000000000001</v>
      </c>
      <c r="BF160" s="1949">
        <v>120</v>
      </c>
      <c r="BG160" s="1949">
        <v>0.98909999999999998</v>
      </c>
      <c r="BH160" s="1949">
        <v>20.81</v>
      </c>
      <c r="BI160" s="1948">
        <v>2390</v>
      </c>
      <c r="BJ160" s="1948">
        <f t="shared" si="42"/>
        <v>6892</v>
      </c>
      <c r="BK160" s="1948">
        <f t="shared" si="43"/>
        <v>0</v>
      </c>
    </row>
    <row r="161" spans="1:63" ht="15">
      <c r="A161" s="1946">
        <v>129000000004</v>
      </c>
      <c r="B161" s="1947">
        <f t="shared" si="44"/>
        <v>155</v>
      </c>
      <c r="C161" s="1906" t="s">
        <v>3046</v>
      </c>
      <c r="D161" s="1907" t="s">
        <v>524</v>
      </c>
      <c r="E161" s="1906" t="s">
        <v>541</v>
      </c>
      <c r="F161" s="1948" t="s">
        <v>259</v>
      </c>
      <c r="G161" s="1949">
        <v>150</v>
      </c>
      <c r="H161" s="1948">
        <v>150</v>
      </c>
      <c r="I161" s="1950">
        <v>0</v>
      </c>
      <c r="J161" s="1948">
        <v>120</v>
      </c>
      <c r="K161" s="1948">
        <v>0</v>
      </c>
      <c r="L161" s="1948">
        <v>0</v>
      </c>
      <c r="M161" s="1948">
        <v>0</v>
      </c>
      <c r="N161" s="1948">
        <f t="shared" si="30"/>
        <v>0</v>
      </c>
      <c r="O161" s="1948">
        <f t="shared" si="31"/>
        <v>0</v>
      </c>
      <c r="P161" s="1948">
        <v>150</v>
      </c>
      <c r="Q161" s="1948">
        <v>0</v>
      </c>
      <c r="R161" s="1948">
        <v>120</v>
      </c>
      <c r="S161" s="1948">
        <v>0</v>
      </c>
      <c r="T161" s="1948">
        <v>0</v>
      </c>
      <c r="U161" s="1948">
        <v>0</v>
      </c>
      <c r="V161" s="1948">
        <f t="shared" si="32"/>
        <v>0</v>
      </c>
      <c r="W161" s="1948">
        <f t="shared" si="33"/>
        <v>0</v>
      </c>
      <c r="X161" s="1948">
        <v>150</v>
      </c>
      <c r="Y161" s="1948">
        <v>0</v>
      </c>
      <c r="Z161" s="1948">
        <v>120</v>
      </c>
      <c r="AA161" s="1948">
        <v>0</v>
      </c>
      <c r="AB161" s="1948">
        <v>0</v>
      </c>
      <c r="AC161" s="1948">
        <v>0</v>
      </c>
      <c r="AD161" s="1948">
        <f t="shared" si="34"/>
        <v>0</v>
      </c>
      <c r="AE161" s="1948">
        <f t="shared" si="35"/>
        <v>0</v>
      </c>
      <c r="AF161" s="1948">
        <v>150</v>
      </c>
      <c r="AG161" s="1948">
        <v>120.27119999999999</v>
      </c>
      <c r="AH161" s="1948">
        <v>120.27</v>
      </c>
      <c r="AI161" s="1948">
        <v>0.67279999999999995</v>
      </c>
      <c r="AJ161" s="1948">
        <v>3.28</v>
      </c>
      <c r="AK161" s="1948">
        <v>2742</v>
      </c>
      <c r="AL161" s="1948">
        <f t="shared" si="36"/>
        <v>53689</v>
      </c>
      <c r="AM161" s="1948">
        <f t="shared" si="37"/>
        <v>0</v>
      </c>
      <c r="AN161" s="1948">
        <v>150</v>
      </c>
      <c r="AO161" s="1948">
        <v>121.4434</v>
      </c>
      <c r="AP161" s="1948">
        <v>121.44</v>
      </c>
      <c r="AQ161" s="1948">
        <v>0.65180000000000005</v>
      </c>
      <c r="AR161" s="1948">
        <v>7.89</v>
      </c>
      <c r="AS161" s="1948">
        <v>7127</v>
      </c>
      <c r="AT161" s="1948">
        <f t="shared" si="38"/>
        <v>54212</v>
      </c>
      <c r="AU161" s="1948">
        <f t="shared" si="39"/>
        <v>0</v>
      </c>
      <c r="AV161" s="1948">
        <v>150</v>
      </c>
      <c r="AW161" s="1948">
        <v>94.477999999999994</v>
      </c>
      <c r="AX161" s="1948">
        <v>120</v>
      </c>
      <c r="AY161" s="1948">
        <v>0.65690000000000004</v>
      </c>
      <c r="AZ161" s="1948">
        <v>5.27</v>
      </c>
      <c r="BA161" s="1948">
        <v>3583</v>
      </c>
      <c r="BB161" s="1948">
        <f t="shared" si="40"/>
        <v>40814</v>
      </c>
      <c r="BC161" s="1948">
        <f t="shared" si="41"/>
        <v>0</v>
      </c>
      <c r="BD161" s="1949">
        <v>150</v>
      </c>
      <c r="BE161" s="1948">
        <v>104.996</v>
      </c>
      <c r="BF161" s="1949">
        <v>120</v>
      </c>
      <c r="BG161" s="1949">
        <v>0.4914</v>
      </c>
      <c r="BH161" s="1949">
        <v>18.29</v>
      </c>
      <c r="BI161" s="1948">
        <v>14289</v>
      </c>
      <c r="BJ161" s="1948">
        <f t="shared" si="42"/>
        <v>46870</v>
      </c>
      <c r="BK161" s="1948">
        <f t="shared" si="43"/>
        <v>0</v>
      </c>
    </row>
    <row r="162" spans="1:63" ht="15">
      <c r="A162" s="1946">
        <v>121000000041</v>
      </c>
      <c r="B162" s="1947">
        <f t="shared" si="44"/>
        <v>156</v>
      </c>
      <c r="C162" s="1906" t="s">
        <v>2949</v>
      </c>
      <c r="D162" s="1907" t="s">
        <v>524</v>
      </c>
      <c r="E162" s="1906" t="s">
        <v>541</v>
      </c>
      <c r="F162" s="1948" t="s">
        <v>259</v>
      </c>
      <c r="G162" s="1949">
        <v>150</v>
      </c>
      <c r="H162" s="1948">
        <v>150</v>
      </c>
      <c r="I162" s="1950">
        <v>294</v>
      </c>
      <c r="J162" s="1948">
        <v>294</v>
      </c>
      <c r="K162" s="1948">
        <v>0.92559999999999998</v>
      </c>
      <c r="L162" s="1948">
        <v>15.33</v>
      </c>
      <c r="M162" s="1948">
        <v>32457</v>
      </c>
      <c r="N162" s="1948">
        <f t="shared" si="30"/>
        <v>127008</v>
      </c>
      <c r="O162" s="1948">
        <f t="shared" si="31"/>
        <v>0</v>
      </c>
      <c r="P162" s="1948">
        <v>150</v>
      </c>
      <c r="Q162" s="1948">
        <v>171.6</v>
      </c>
      <c r="R162" s="1948">
        <v>171.6</v>
      </c>
      <c r="S162" s="1948">
        <v>0.94369999999999998</v>
      </c>
      <c r="T162" s="1948">
        <v>32.19</v>
      </c>
      <c r="U162" s="1948">
        <v>41102</v>
      </c>
      <c r="V162" s="1948">
        <f t="shared" si="32"/>
        <v>76602</v>
      </c>
      <c r="W162" s="1948">
        <f t="shared" si="33"/>
        <v>0</v>
      </c>
      <c r="X162" s="1948">
        <v>150</v>
      </c>
      <c r="Y162" s="1948">
        <v>92.2</v>
      </c>
      <c r="Z162" s="1948">
        <v>120</v>
      </c>
      <c r="AA162" s="1948">
        <v>0.91</v>
      </c>
      <c r="AB162" s="1948">
        <v>54.86</v>
      </c>
      <c r="AC162" s="1948">
        <v>36415</v>
      </c>
      <c r="AD162" s="1948">
        <f t="shared" si="34"/>
        <v>39830</v>
      </c>
      <c r="AE162" s="1948">
        <f t="shared" si="35"/>
        <v>0</v>
      </c>
      <c r="AF162" s="1948">
        <v>150</v>
      </c>
      <c r="AG162" s="1948">
        <v>70.2</v>
      </c>
      <c r="AH162" s="1948">
        <v>120</v>
      </c>
      <c r="AI162" s="1948">
        <v>0.99170000000000003</v>
      </c>
      <c r="AJ162" s="1948">
        <v>42.34</v>
      </c>
      <c r="AK162" s="1948">
        <v>22113</v>
      </c>
      <c r="AL162" s="1948">
        <f t="shared" si="36"/>
        <v>31337</v>
      </c>
      <c r="AM162" s="1948">
        <f t="shared" si="37"/>
        <v>0</v>
      </c>
      <c r="AN162" s="1948">
        <v>150</v>
      </c>
      <c r="AO162" s="1948">
        <v>66.199999999999989</v>
      </c>
      <c r="AP162" s="1948">
        <v>120</v>
      </c>
      <c r="AQ162" s="1948">
        <v>0.99770000000000003</v>
      </c>
      <c r="AR162" s="1948">
        <v>35.33</v>
      </c>
      <c r="AS162" s="1948">
        <v>17402</v>
      </c>
      <c r="AT162" s="1948">
        <f t="shared" si="38"/>
        <v>29552</v>
      </c>
      <c r="AU162" s="1948">
        <f t="shared" si="39"/>
        <v>0</v>
      </c>
      <c r="AV162" s="1948">
        <v>150</v>
      </c>
      <c r="AW162" s="1948">
        <v>66.400000000000006</v>
      </c>
      <c r="AX162" s="1948">
        <v>120</v>
      </c>
      <c r="AY162" s="1948">
        <v>0.99850000000000005</v>
      </c>
      <c r="AZ162" s="1948">
        <v>49.14</v>
      </c>
      <c r="BA162" s="1948">
        <v>23495</v>
      </c>
      <c r="BB162" s="1948">
        <f t="shared" si="40"/>
        <v>28685</v>
      </c>
      <c r="BC162" s="1948">
        <f t="shared" si="41"/>
        <v>0</v>
      </c>
      <c r="BD162" s="1949">
        <v>150</v>
      </c>
      <c r="BE162" s="1948">
        <v>65</v>
      </c>
      <c r="BF162" s="1949">
        <v>120</v>
      </c>
      <c r="BG162" s="1949">
        <v>0.99809999999999999</v>
      </c>
      <c r="BH162" s="1949">
        <v>49.13</v>
      </c>
      <c r="BI162" s="1948">
        <v>23760</v>
      </c>
      <c r="BJ162" s="1948">
        <f t="shared" si="42"/>
        <v>29016</v>
      </c>
      <c r="BK162" s="1948">
        <f t="shared" si="43"/>
        <v>0</v>
      </c>
    </row>
    <row r="163" spans="1:63" ht="15">
      <c r="A163" s="1946">
        <v>121000000078</v>
      </c>
      <c r="B163" s="1947">
        <f t="shared" si="44"/>
        <v>157</v>
      </c>
      <c r="C163" s="1906" t="s">
        <v>3040</v>
      </c>
      <c r="D163" s="1907" t="s">
        <v>524</v>
      </c>
      <c r="E163" s="1906" t="s">
        <v>541</v>
      </c>
      <c r="F163" s="1948" t="s">
        <v>259</v>
      </c>
      <c r="G163" s="1949">
        <v>150</v>
      </c>
      <c r="H163" s="1948">
        <v>150</v>
      </c>
      <c r="I163" s="1950">
        <v>113.04</v>
      </c>
      <c r="J163" s="1948">
        <v>120</v>
      </c>
      <c r="K163" s="1948">
        <v>0.99450000000000005</v>
      </c>
      <c r="L163" s="1948">
        <v>34.39</v>
      </c>
      <c r="M163" s="1948">
        <v>27992</v>
      </c>
      <c r="N163" s="1948">
        <f t="shared" si="30"/>
        <v>48833</v>
      </c>
      <c r="O163" s="1948">
        <f t="shared" si="31"/>
        <v>0</v>
      </c>
      <c r="P163" s="1948">
        <v>150</v>
      </c>
      <c r="Q163" s="1948">
        <v>114.48</v>
      </c>
      <c r="R163" s="1948">
        <v>120</v>
      </c>
      <c r="S163" s="1948">
        <v>0.99399999999999999</v>
      </c>
      <c r="T163" s="1948">
        <v>57.57</v>
      </c>
      <c r="U163" s="1948">
        <v>49038</v>
      </c>
      <c r="V163" s="1948">
        <f t="shared" si="32"/>
        <v>51104</v>
      </c>
      <c r="W163" s="1948">
        <f t="shared" si="33"/>
        <v>0</v>
      </c>
      <c r="X163" s="1948">
        <v>150</v>
      </c>
      <c r="Y163" s="1948">
        <v>114.96</v>
      </c>
      <c r="Z163" s="1948">
        <v>120</v>
      </c>
      <c r="AA163" s="1948">
        <v>0.99219999999999997</v>
      </c>
      <c r="AB163" s="1948">
        <v>41.31</v>
      </c>
      <c r="AC163" s="1948">
        <v>34192</v>
      </c>
      <c r="AD163" s="1948">
        <f t="shared" si="34"/>
        <v>49663</v>
      </c>
      <c r="AE163" s="1948">
        <f t="shared" si="35"/>
        <v>0</v>
      </c>
      <c r="AF163" s="1948">
        <v>150</v>
      </c>
      <c r="AG163" s="1948">
        <v>105.04</v>
      </c>
      <c r="AH163" s="1948">
        <v>120</v>
      </c>
      <c r="AI163" s="1948">
        <v>0.99170000000000003</v>
      </c>
      <c r="AJ163" s="1948">
        <v>27.66</v>
      </c>
      <c r="AK163" s="1948">
        <v>21618</v>
      </c>
      <c r="AL163" s="1948">
        <f t="shared" si="36"/>
        <v>46890</v>
      </c>
      <c r="AM163" s="1948">
        <f t="shared" si="37"/>
        <v>0</v>
      </c>
      <c r="AN163" s="1948">
        <v>150</v>
      </c>
      <c r="AO163" s="1948">
        <v>105.60000000000001</v>
      </c>
      <c r="AP163" s="1948">
        <v>120</v>
      </c>
      <c r="AQ163" s="1948">
        <v>0.98929999999999996</v>
      </c>
      <c r="AR163" s="1948">
        <v>29.52</v>
      </c>
      <c r="AS163" s="1948">
        <v>23192</v>
      </c>
      <c r="AT163" s="1948">
        <f t="shared" si="38"/>
        <v>47140</v>
      </c>
      <c r="AU163" s="1948">
        <f t="shared" si="39"/>
        <v>0</v>
      </c>
      <c r="AV163" s="1948">
        <v>150</v>
      </c>
      <c r="AW163" s="1948">
        <v>102.4</v>
      </c>
      <c r="AX163" s="1948">
        <v>120</v>
      </c>
      <c r="AY163" s="1948">
        <v>0.98680000000000001</v>
      </c>
      <c r="AZ163" s="1948">
        <v>26.54</v>
      </c>
      <c r="BA163" s="1948">
        <v>19570</v>
      </c>
      <c r="BB163" s="1948">
        <f t="shared" si="40"/>
        <v>44237</v>
      </c>
      <c r="BC163" s="1948">
        <f t="shared" si="41"/>
        <v>0</v>
      </c>
      <c r="BD163" s="1949">
        <v>150</v>
      </c>
      <c r="BE163" s="1948">
        <v>100.4</v>
      </c>
      <c r="BF163" s="1949">
        <v>120</v>
      </c>
      <c r="BG163" s="1949">
        <v>0.99380000000000002</v>
      </c>
      <c r="BH163" s="1949">
        <v>47.41</v>
      </c>
      <c r="BI163" s="1948">
        <v>35417</v>
      </c>
      <c r="BJ163" s="1948">
        <f t="shared" si="42"/>
        <v>44819</v>
      </c>
      <c r="BK163" s="1948">
        <f t="shared" si="43"/>
        <v>0</v>
      </c>
    </row>
    <row r="164" spans="1:63" ht="15">
      <c r="A164" s="1946">
        <v>611000000055</v>
      </c>
      <c r="B164" s="1947">
        <f t="shared" si="44"/>
        <v>158</v>
      </c>
      <c r="C164" s="1906" t="s">
        <v>3048</v>
      </c>
      <c r="D164" s="1907" t="s">
        <v>524</v>
      </c>
      <c r="E164" s="1906" t="s">
        <v>636</v>
      </c>
      <c r="F164" s="1948" t="s">
        <v>259</v>
      </c>
      <c r="G164" s="1949">
        <v>150</v>
      </c>
      <c r="H164" s="1948">
        <v>150</v>
      </c>
      <c r="I164" s="1950">
        <v>121.12</v>
      </c>
      <c r="J164" s="1948">
        <v>121.12</v>
      </c>
      <c r="K164" s="1948">
        <v>0.95950000000000002</v>
      </c>
      <c r="L164" s="1948">
        <v>58.2</v>
      </c>
      <c r="M164" s="1948">
        <v>50752</v>
      </c>
      <c r="N164" s="1948">
        <f t="shared" si="30"/>
        <v>52324</v>
      </c>
      <c r="O164" s="1948">
        <f t="shared" si="31"/>
        <v>0</v>
      </c>
      <c r="P164" s="1948">
        <v>150</v>
      </c>
      <c r="Q164" s="1948">
        <v>130</v>
      </c>
      <c r="R164" s="1948">
        <v>130</v>
      </c>
      <c r="S164" s="1948">
        <v>0.96399999999999997</v>
      </c>
      <c r="T164" s="1948">
        <v>56.96</v>
      </c>
      <c r="U164" s="1948">
        <v>55092</v>
      </c>
      <c r="V164" s="1948">
        <f t="shared" si="32"/>
        <v>58032</v>
      </c>
      <c r="W164" s="1948">
        <f t="shared" si="33"/>
        <v>0</v>
      </c>
      <c r="X164" s="1948">
        <v>150</v>
      </c>
      <c r="Y164" s="1948">
        <v>149.44</v>
      </c>
      <c r="Z164" s="1948">
        <v>149.44</v>
      </c>
      <c r="AA164" s="1948">
        <v>0.95760000000000001</v>
      </c>
      <c r="AB164" s="1948">
        <v>50.93</v>
      </c>
      <c r="AC164" s="1948">
        <v>54799</v>
      </c>
      <c r="AD164" s="1948">
        <f t="shared" si="34"/>
        <v>64558</v>
      </c>
      <c r="AE164" s="1948">
        <f t="shared" si="35"/>
        <v>0</v>
      </c>
      <c r="AF164" s="1948">
        <v>150</v>
      </c>
      <c r="AG164" s="1948">
        <v>132.32</v>
      </c>
      <c r="AH164" s="1948">
        <v>132.32</v>
      </c>
      <c r="AI164" s="1948">
        <v>0.97130000000000005</v>
      </c>
      <c r="AJ164" s="1948">
        <v>53.47</v>
      </c>
      <c r="AK164" s="1948">
        <v>52636</v>
      </c>
      <c r="AL164" s="1948">
        <f t="shared" si="36"/>
        <v>59068</v>
      </c>
      <c r="AM164" s="1948">
        <f t="shared" si="37"/>
        <v>0</v>
      </c>
      <c r="AN164" s="1948">
        <v>150</v>
      </c>
      <c r="AO164" s="1948">
        <v>121.12</v>
      </c>
      <c r="AP164" s="1948">
        <v>121.12</v>
      </c>
      <c r="AQ164" s="1948">
        <v>0.97509999999999997</v>
      </c>
      <c r="AR164" s="1948">
        <v>58.93</v>
      </c>
      <c r="AS164" s="1948">
        <v>53108</v>
      </c>
      <c r="AT164" s="1948">
        <f t="shared" si="38"/>
        <v>54068</v>
      </c>
      <c r="AU164" s="1948">
        <f t="shared" si="39"/>
        <v>0</v>
      </c>
      <c r="AV164" s="1948">
        <v>150</v>
      </c>
      <c r="AW164" s="1948">
        <v>123.27999999999999</v>
      </c>
      <c r="AX164" s="1948">
        <v>123.28</v>
      </c>
      <c r="AY164" s="1948">
        <v>0.94610000000000005</v>
      </c>
      <c r="AZ164" s="1948">
        <v>59.72</v>
      </c>
      <c r="BA164" s="1948">
        <v>53011</v>
      </c>
      <c r="BB164" s="1948">
        <f t="shared" si="40"/>
        <v>53257</v>
      </c>
      <c r="BC164" s="1948">
        <f t="shared" si="41"/>
        <v>0</v>
      </c>
      <c r="BD164" s="1949">
        <v>150</v>
      </c>
      <c r="BE164" s="1948">
        <v>124.56</v>
      </c>
      <c r="BF164" s="1949">
        <v>124.56</v>
      </c>
      <c r="BG164" s="1949">
        <v>0.95279999999999998</v>
      </c>
      <c r="BH164" s="1949">
        <v>53.76</v>
      </c>
      <c r="BI164" s="1948">
        <v>49823</v>
      </c>
      <c r="BJ164" s="1948">
        <f t="shared" si="42"/>
        <v>55604</v>
      </c>
      <c r="BK164" s="1948">
        <f t="shared" si="43"/>
        <v>0</v>
      </c>
    </row>
    <row r="165" spans="1:63" ht="15">
      <c r="A165" s="1946">
        <v>611000000079</v>
      </c>
      <c r="B165" s="1947">
        <f t="shared" si="44"/>
        <v>159</v>
      </c>
      <c r="C165" s="1906" t="s">
        <v>3049</v>
      </c>
      <c r="D165" s="1907" t="s">
        <v>524</v>
      </c>
      <c r="E165" s="1906" t="s">
        <v>636</v>
      </c>
      <c r="F165" s="1948" t="s">
        <v>259</v>
      </c>
      <c r="G165" s="1949">
        <v>150</v>
      </c>
      <c r="H165" s="1948">
        <v>150</v>
      </c>
      <c r="I165" s="1950">
        <v>104.88000000000001</v>
      </c>
      <c r="J165" s="1948">
        <v>120</v>
      </c>
      <c r="K165" s="1948">
        <v>0.89929999999999999</v>
      </c>
      <c r="L165" s="1948">
        <v>30.38</v>
      </c>
      <c r="M165" s="1948">
        <v>22941</v>
      </c>
      <c r="N165" s="1948">
        <f t="shared" si="30"/>
        <v>45308</v>
      </c>
      <c r="O165" s="1948">
        <f t="shared" si="31"/>
        <v>0</v>
      </c>
      <c r="P165" s="1948">
        <v>150</v>
      </c>
      <c r="Q165" s="1948">
        <v>89.76</v>
      </c>
      <c r="R165" s="1948">
        <v>120</v>
      </c>
      <c r="S165" s="1948">
        <v>0.90139999999999998</v>
      </c>
      <c r="T165" s="1948">
        <v>37.65</v>
      </c>
      <c r="U165" s="1948">
        <v>25143</v>
      </c>
      <c r="V165" s="1948">
        <f t="shared" si="32"/>
        <v>40069</v>
      </c>
      <c r="W165" s="1948">
        <f t="shared" si="33"/>
        <v>0</v>
      </c>
      <c r="X165" s="1948">
        <v>150</v>
      </c>
      <c r="Y165" s="1948">
        <v>110.88</v>
      </c>
      <c r="Z165" s="1948">
        <v>120</v>
      </c>
      <c r="AA165" s="1948">
        <v>0.90820000000000001</v>
      </c>
      <c r="AB165" s="1948">
        <v>35.89</v>
      </c>
      <c r="AC165" s="1948">
        <v>28650</v>
      </c>
      <c r="AD165" s="1948">
        <f t="shared" si="34"/>
        <v>47900</v>
      </c>
      <c r="AE165" s="1948">
        <f t="shared" si="35"/>
        <v>0</v>
      </c>
      <c r="AF165" s="1948">
        <v>150</v>
      </c>
      <c r="AG165" s="1948">
        <v>110.16000000000001</v>
      </c>
      <c r="AH165" s="1948">
        <v>120</v>
      </c>
      <c r="AI165" s="1948">
        <v>0.89119999999999999</v>
      </c>
      <c r="AJ165" s="1948">
        <v>32.840000000000003</v>
      </c>
      <c r="AK165" s="1948">
        <v>26913</v>
      </c>
      <c r="AL165" s="1948">
        <f t="shared" si="36"/>
        <v>49175</v>
      </c>
      <c r="AM165" s="1948">
        <f t="shared" si="37"/>
        <v>0</v>
      </c>
      <c r="AN165" s="1948">
        <v>150</v>
      </c>
      <c r="AO165" s="1948">
        <v>71.040000000000006</v>
      </c>
      <c r="AP165" s="1948">
        <v>120</v>
      </c>
      <c r="AQ165" s="1948">
        <v>0.87180000000000002</v>
      </c>
      <c r="AR165" s="1948">
        <v>45.99</v>
      </c>
      <c r="AS165" s="1948">
        <v>24306</v>
      </c>
      <c r="AT165" s="1948">
        <f t="shared" si="38"/>
        <v>31712</v>
      </c>
      <c r="AU165" s="1948">
        <f t="shared" si="39"/>
        <v>0</v>
      </c>
      <c r="AV165" s="1948">
        <v>150</v>
      </c>
      <c r="AW165" s="1948">
        <v>85.199999999999989</v>
      </c>
      <c r="AX165" s="1948">
        <v>120</v>
      </c>
      <c r="AY165" s="1948">
        <v>0.88680000000000003</v>
      </c>
      <c r="AZ165" s="1948">
        <v>41.65</v>
      </c>
      <c r="BA165" s="1948">
        <v>25548</v>
      </c>
      <c r="BB165" s="1948">
        <f t="shared" si="40"/>
        <v>36806</v>
      </c>
      <c r="BC165" s="1948">
        <f t="shared" si="41"/>
        <v>0</v>
      </c>
      <c r="BD165" s="1949">
        <v>150</v>
      </c>
      <c r="BE165" s="1948">
        <v>86.88000000000001</v>
      </c>
      <c r="BF165" s="1949">
        <v>120</v>
      </c>
      <c r="BG165" s="1949">
        <v>0.82550000000000001</v>
      </c>
      <c r="BH165" s="1949">
        <v>36.15</v>
      </c>
      <c r="BI165" s="1948">
        <v>23367</v>
      </c>
      <c r="BJ165" s="1948">
        <f t="shared" si="42"/>
        <v>38783</v>
      </c>
      <c r="BK165" s="1948">
        <f t="shared" si="43"/>
        <v>0</v>
      </c>
    </row>
    <row r="166" spans="1:63" ht="15">
      <c r="A166" s="1946">
        <v>611000000083</v>
      </c>
      <c r="B166" s="1947">
        <f t="shared" si="44"/>
        <v>160</v>
      </c>
      <c r="C166" s="1906" t="s">
        <v>3050</v>
      </c>
      <c r="D166" s="1907" t="s">
        <v>524</v>
      </c>
      <c r="E166" s="1906" t="s">
        <v>636</v>
      </c>
      <c r="F166" s="1948" t="s">
        <v>259</v>
      </c>
      <c r="G166" s="1949">
        <v>150</v>
      </c>
      <c r="H166" s="1948">
        <v>150</v>
      </c>
      <c r="I166" s="1950">
        <v>14.64</v>
      </c>
      <c r="J166" s="1948">
        <v>120</v>
      </c>
      <c r="K166" s="1948">
        <v>0.85040000000000004</v>
      </c>
      <c r="L166" s="1948">
        <v>31.2</v>
      </c>
      <c r="M166" s="1948">
        <v>3289</v>
      </c>
      <c r="N166" s="1948">
        <f t="shared" si="30"/>
        <v>6324</v>
      </c>
      <c r="O166" s="1948">
        <f t="shared" si="31"/>
        <v>0</v>
      </c>
      <c r="P166" s="1948">
        <v>150</v>
      </c>
      <c r="Q166" s="1948">
        <v>14.32</v>
      </c>
      <c r="R166" s="1948">
        <v>120</v>
      </c>
      <c r="S166" s="1948">
        <v>0.90139999999999998</v>
      </c>
      <c r="T166" s="1948">
        <v>34.770000000000003</v>
      </c>
      <c r="U166" s="1948">
        <v>3704</v>
      </c>
      <c r="V166" s="1948">
        <f t="shared" si="32"/>
        <v>6392</v>
      </c>
      <c r="W166" s="1948">
        <f t="shared" si="33"/>
        <v>0</v>
      </c>
      <c r="X166" s="1948">
        <v>150</v>
      </c>
      <c r="Y166" s="1948">
        <v>14.48</v>
      </c>
      <c r="Z166" s="1948">
        <v>120</v>
      </c>
      <c r="AA166" s="1948">
        <v>0.91100000000000003</v>
      </c>
      <c r="AB166" s="1948">
        <v>32.880000000000003</v>
      </c>
      <c r="AC166" s="1948">
        <v>3428</v>
      </c>
      <c r="AD166" s="1948">
        <f t="shared" si="34"/>
        <v>6255</v>
      </c>
      <c r="AE166" s="1948">
        <f t="shared" si="35"/>
        <v>0</v>
      </c>
      <c r="AF166" s="1948">
        <v>150</v>
      </c>
      <c r="AG166" s="1948">
        <v>16.16</v>
      </c>
      <c r="AH166" s="1948">
        <v>120</v>
      </c>
      <c r="AI166" s="1948">
        <v>0.89280000000000004</v>
      </c>
      <c r="AJ166" s="1948">
        <v>28.57</v>
      </c>
      <c r="AK166" s="1948">
        <v>3435</v>
      </c>
      <c r="AL166" s="1948">
        <f t="shared" si="36"/>
        <v>7214</v>
      </c>
      <c r="AM166" s="1948">
        <f t="shared" si="37"/>
        <v>0</v>
      </c>
      <c r="AN166" s="1948">
        <v>150</v>
      </c>
      <c r="AO166" s="1948">
        <v>16.16</v>
      </c>
      <c r="AP166" s="1948">
        <v>120</v>
      </c>
      <c r="AQ166" s="1948">
        <v>0.9042</v>
      </c>
      <c r="AR166" s="1948">
        <v>30.76</v>
      </c>
      <c r="AS166" s="1948">
        <v>3698</v>
      </c>
      <c r="AT166" s="1948">
        <f t="shared" si="38"/>
        <v>7214</v>
      </c>
      <c r="AU166" s="1948">
        <f t="shared" si="39"/>
        <v>0</v>
      </c>
      <c r="AV166" s="1948">
        <v>150</v>
      </c>
      <c r="AW166" s="1948">
        <v>14.48</v>
      </c>
      <c r="AX166" s="1948">
        <v>120</v>
      </c>
      <c r="AY166" s="1948">
        <v>0.89129999999999998</v>
      </c>
      <c r="AZ166" s="1948">
        <v>29.03</v>
      </c>
      <c r="BA166" s="1948">
        <v>3027</v>
      </c>
      <c r="BB166" s="1948">
        <f t="shared" si="40"/>
        <v>6255</v>
      </c>
      <c r="BC166" s="1948">
        <f t="shared" si="41"/>
        <v>0</v>
      </c>
      <c r="BD166" s="1949">
        <v>150</v>
      </c>
      <c r="BE166" s="1948">
        <v>17.04</v>
      </c>
      <c r="BF166" s="1949">
        <v>120</v>
      </c>
      <c r="BG166" s="1949">
        <v>0.89810000000000001</v>
      </c>
      <c r="BH166" s="1949">
        <v>25.47</v>
      </c>
      <c r="BI166" s="1948">
        <v>3229</v>
      </c>
      <c r="BJ166" s="1948">
        <f t="shared" si="42"/>
        <v>7607</v>
      </c>
      <c r="BK166" s="1948">
        <f t="shared" si="43"/>
        <v>0</v>
      </c>
    </row>
    <row r="167" spans="1:63" ht="15">
      <c r="A167" s="1946">
        <v>621000000073</v>
      </c>
      <c r="B167" s="1947">
        <f t="shared" si="44"/>
        <v>161</v>
      </c>
      <c r="C167" s="1906" t="s">
        <v>3554</v>
      </c>
      <c r="D167" s="1907" t="s">
        <v>524</v>
      </c>
      <c r="E167" s="1906" t="s">
        <v>636</v>
      </c>
      <c r="F167" s="1948" t="s">
        <v>259</v>
      </c>
      <c r="G167" s="1949">
        <v>150</v>
      </c>
      <c r="H167" s="1948">
        <v>0</v>
      </c>
      <c r="I167" s="1950">
        <v>0</v>
      </c>
      <c r="J167" s="1948">
        <v>0</v>
      </c>
      <c r="K167" s="1948">
        <v>0</v>
      </c>
      <c r="L167" s="1948">
        <v>0</v>
      </c>
      <c r="M167" s="1948">
        <v>0</v>
      </c>
      <c r="N167" s="1948">
        <f t="shared" si="30"/>
        <v>0</v>
      </c>
      <c r="O167" s="1948">
        <f t="shared" si="31"/>
        <v>0</v>
      </c>
      <c r="P167" s="1948">
        <v>0</v>
      </c>
      <c r="Q167" s="1948">
        <v>0</v>
      </c>
      <c r="R167" s="1948">
        <v>0</v>
      </c>
      <c r="S167" s="1948">
        <v>0</v>
      </c>
      <c r="T167" s="1948">
        <v>0</v>
      </c>
      <c r="U167" s="1948">
        <v>0</v>
      </c>
      <c r="V167" s="1948">
        <f t="shared" si="32"/>
        <v>0</v>
      </c>
      <c r="W167" s="1948">
        <f t="shared" si="33"/>
        <v>0</v>
      </c>
      <c r="X167" s="1948">
        <v>0</v>
      </c>
      <c r="Y167" s="1948">
        <v>0</v>
      </c>
      <c r="Z167" s="1948">
        <v>0</v>
      </c>
      <c r="AA167" s="1948">
        <v>0</v>
      </c>
      <c r="AB167" s="1948">
        <v>0</v>
      </c>
      <c r="AC167" s="1948">
        <v>0</v>
      </c>
      <c r="AD167" s="1948">
        <f t="shared" si="34"/>
        <v>0</v>
      </c>
      <c r="AE167" s="1948">
        <f t="shared" si="35"/>
        <v>0</v>
      </c>
      <c r="AF167" s="1948">
        <v>0</v>
      </c>
      <c r="AG167" s="1948">
        <v>0</v>
      </c>
      <c r="AH167" s="1948">
        <v>0</v>
      </c>
      <c r="AI167" s="1948">
        <v>0</v>
      </c>
      <c r="AJ167" s="1948">
        <v>0</v>
      </c>
      <c r="AK167" s="1948">
        <v>0</v>
      </c>
      <c r="AL167" s="1948">
        <f t="shared" si="36"/>
        <v>0</v>
      </c>
      <c r="AM167" s="1948">
        <f t="shared" si="37"/>
        <v>0</v>
      </c>
      <c r="AN167" s="1948">
        <v>0</v>
      </c>
      <c r="AO167" s="1948">
        <v>0</v>
      </c>
      <c r="AP167" s="1948">
        <v>0</v>
      </c>
      <c r="AQ167" s="1948">
        <v>0</v>
      </c>
      <c r="AR167" s="1948">
        <v>0</v>
      </c>
      <c r="AS167" s="1948">
        <v>0</v>
      </c>
      <c r="AT167" s="1948">
        <f t="shared" si="38"/>
        <v>0</v>
      </c>
      <c r="AU167" s="1948">
        <f t="shared" si="39"/>
        <v>0</v>
      </c>
      <c r="AV167" s="1948">
        <v>150</v>
      </c>
      <c r="AW167" s="1948">
        <v>101.604</v>
      </c>
      <c r="AX167" s="1948">
        <v>120</v>
      </c>
      <c r="AY167" s="1948">
        <v>0.70669999999999999</v>
      </c>
      <c r="AZ167" s="1948">
        <v>30.97</v>
      </c>
      <c r="BA167" s="1948">
        <v>6042</v>
      </c>
      <c r="BB167" s="1948">
        <f t="shared" si="40"/>
        <v>43893</v>
      </c>
      <c r="BC167" s="1948">
        <f t="shared" si="41"/>
        <v>0</v>
      </c>
      <c r="BD167" s="1949">
        <v>150</v>
      </c>
      <c r="BE167" s="1948">
        <v>104.42</v>
      </c>
      <c r="BF167" s="1949">
        <v>120</v>
      </c>
      <c r="BG167" s="1949">
        <v>0.72540000000000004</v>
      </c>
      <c r="BH167" s="1949">
        <v>34.71</v>
      </c>
      <c r="BI167" s="1948">
        <v>26964</v>
      </c>
      <c r="BJ167" s="1948">
        <f t="shared" si="42"/>
        <v>46613</v>
      </c>
      <c r="BK167" s="1948">
        <f t="shared" si="43"/>
        <v>0</v>
      </c>
    </row>
    <row r="168" spans="1:63" ht="15">
      <c r="A168" s="982">
        <v>621000000049</v>
      </c>
      <c r="B168" s="1947">
        <f t="shared" si="44"/>
        <v>162</v>
      </c>
      <c r="C168" s="1895" t="s">
        <v>3019</v>
      </c>
      <c r="D168" s="1907" t="s">
        <v>3661</v>
      </c>
      <c r="E168" s="1895" t="s">
        <v>541</v>
      </c>
      <c r="F168" s="1951" t="s">
        <v>259</v>
      </c>
      <c r="G168" s="1951">
        <v>150</v>
      </c>
      <c r="H168" s="1951">
        <v>150</v>
      </c>
      <c r="I168" s="1952">
        <v>0</v>
      </c>
      <c r="J168" s="1951">
        <v>120</v>
      </c>
      <c r="K168" s="1951">
        <v>0</v>
      </c>
      <c r="L168" s="1951">
        <v>0</v>
      </c>
      <c r="M168" s="1951">
        <v>0</v>
      </c>
      <c r="N168" s="1948">
        <f t="shared" si="30"/>
        <v>0</v>
      </c>
      <c r="O168" s="1948">
        <f t="shared" si="31"/>
        <v>0</v>
      </c>
      <c r="P168" s="1948">
        <v>150</v>
      </c>
      <c r="Q168" s="1948">
        <v>0</v>
      </c>
      <c r="R168" s="1948">
        <v>0</v>
      </c>
      <c r="S168" s="1948">
        <v>0</v>
      </c>
      <c r="T168" s="1948">
        <v>0</v>
      </c>
      <c r="U168" s="1948">
        <v>0</v>
      </c>
      <c r="V168" s="1948">
        <f t="shared" si="32"/>
        <v>0</v>
      </c>
      <c r="W168" s="1948">
        <f t="shared" si="33"/>
        <v>0</v>
      </c>
      <c r="X168" s="1948">
        <v>150</v>
      </c>
      <c r="Y168" s="1948">
        <v>0</v>
      </c>
      <c r="Z168" s="1948">
        <v>0</v>
      </c>
      <c r="AA168" s="1948">
        <v>0</v>
      </c>
      <c r="AB168" s="1948">
        <v>0</v>
      </c>
      <c r="AC168" s="1948">
        <v>0</v>
      </c>
      <c r="AD168" s="1948">
        <f t="shared" si="34"/>
        <v>0</v>
      </c>
      <c r="AE168" s="1948">
        <f t="shared" si="35"/>
        <v>0</v>
      </c>
      <c r="AF168" s="1948">
        <v>0</v>
      </c>
      <c r="AG168" s="1948">
        <v>0</v>
      </c>
      <c r="AH168" s="1948">
        <v>0</v>
      </c>
      <c r="AI168" s="1948">
        <v>0</v>
      </c>
      <c r="AJ168" s="1948">
        <v>0</v>
      </c>
      <c r="AK168" s="1948">
        <v>0</v>
      </c>
      <c r="AL168" s="1948">
        <f t="shared" si="36"/>
        <v>0</v>
      </c>
      <c r="AM168" s="1948">
        <f t="shared" si="37"/>
        <v>0</v>
      </c>
      <c r="AN168" s="1948">
        <v>0</v>
      </c>
      <c r="AO168" s="1948">
        <v>0</v>
      </c>
      <c r="AP168" s="1948">
        <v>0</v>
      </c>
      <c r="AQ168" s="1948">
        <v>0</v>
      </c>
      <c r="AR168" s="1948">
        <v>0</v>
      </c>
      <c r="AS168" s="1948">
        <v>0</v>
      </c>
      <c r="AT168" s="1948">
        <f t="shared" si="38"/>
        <v>0</v>
      </c>
      <c r="AU168" s="1948">
        <f t="shared" si="39"/>
        <v>0</v>
      </c>
      <c r="AV168" s="1948">
        <v>0</v>
      </c>
      <c r="AW168" s="1948">
        <v>0</v>
      </c>
      <c r="AX168" s="1948">
        <v>0</v>
      </c>
      <c r="AY168" s="1948">
        <v>0</v>
      </c>
      <c r="AZ168" s="1948">
        <v>0</v>
      </c>
      <c r="BA168" s="1948">
        <v>0</v>
      </c>
      <c r="BB168" s="1948">
        <f t="shared" si="40"/>
        <v>0</v>
      </c>
      <c r="BC168" s="1948">
        <f t="shared" si="41"/>
        <v>0</v>
      </c>
      <c r="BD168" s="1948">
        <v>0</v>
      </c>
      <c r="BE168" s="1948">
        <v>0</v>
      </c>
      <c r="BF168" s="1948">
        <v>0</v>
      </c>
      <c r="BG168" s="1948">
        <v>0</v>
      </c>
      <c r="BH168" s="1948">
        <v>0</v>
      </c>
      <c r="BI168" s="1948">
        <v>0</v>
      </c>
      <c r="BJ168" s="1948">
        <f t="shared" si="42"/>
        <v>0</v>
      </c>
      <c r="BK168" s="1948">
        <f t="shared" si="43"/>
        <v>0</v>
      </c>
    </row>
    <row r="169" spans="1:63" ht="15">
      <c r="A169" s="1946">
        <v>122000000052</v>
      </c>
      <c r="B169" s="1947">
        <f t="shared" si="44"/>
        <v>163</v>
      </c>
      <c r="C169" s="1906" t="s">
        <v>3052</v>
      </c>
      <c r="D169" s="1907" t="s">
        <v>524</v>
      </c>
      <c r="E169" s="1906" t="s">
        <v>636</v>
      </c>
      <c r="F169" s="1948" t="s">
        <v>259</v>
      </c>
      <c r="G169" s="1949">
        <v>151</v>
      </c>
      <c r="H169" s="1948">
        <v>151</v>
      </c>
      <c r="I169" s="1950">
        <v>2.4279999999999999</v>
      </c>
      <c r="J169" s="1948">
        <v>120.8</v>
      </c>
      <c r="K169" s="1948">
        <v>0.94189999999999996</v>
      </c>
      <c r="L169" s="1948">
        <v>14.34</v>
      </c>
      <c r="M169" s="1948">
        <v>14032</v>
      </c>
      <c r="N169" s="1948">
        <f t="shared" si="30"/>
        <v>1049</v>
      </c>
      <c r="O169" s="1948">
        <f t="shared" si="31"/>
        <v>12983</v>
      </c>
      <c r="P169" s="1948">
        <v>151</v>
      </c>
      <c r="Q169" s="1948">
        <v>188.45679999999999</v>
      </c>
      <c r="R169" s="1948">
        <v>188.46</v>
      </c>
      <c r="S169" s="1948">
        <v>0.95389999999999997</v>
      </c>
      <c r="T169" s="1948">
        <v>11.64</v>
      </c>
      <c r="U169" s="1948">
        <v>17905</v>
      </c>
      <c r="V169" s="1948">
        <f t="shared" si="32"/>
        <v>84127</v>
      </c>
      <c r="W169" s="1948">
        <f t="shared" si="33"/>
        <v>0</v>
      </c>
      <c r="X169" s="1948">
        <v>151</v>
      </c>
      <c r="Y169" s="1948">
        <v>232.47399999999999</v>
      </c>
      <c r="Z169" s="1948">
        <v>232.47</v>
      </c>
      <c r="AA169" s="1948">
        <v>0.94210000000000005</v>
      </c>
      <c r="AB169" s="1948">
        <v>10.53</v>
      </c>
      <c r="AC169" s="1948">
        <v>17628</v>
      </c>
      <c r="AD169" s="1948">
        <f t="shared" si="34"/>
        <v>100429</v>
      </c>
      <c r="AE169" s="1948">
        <f t="shared" si="35"/>
        <v>0</v>
      </c>
      <c r="AF169" s="1948">
        <v>151</v>
      </c>
      <c r="AG169" s="1948">
        <v>225.49520000000001</v>
      </c>
      <c r="AH169" s="1948">
        <v>225.5</v>
      </c>
      <c r="AI169" s="1948">
        <v>0.95689999999999997</v>
      </c>
      <c r="AJ169" s="1948">
        <v>9.93</v>
      </c>
      <c r="AK169" s="1948">
        <v>16660</v>
      </c>
      <c r="AL169" s="1948">
        <f t="shared" si="36"/>
        <v>100661</v>
      </c>
      <c r="AM169" s="1948">
        <f t="shared" si="37"/>
        <v>0</v>
      </c>
      <c r="AN169" s="1948">
        <v>151</v>
      </c>
      <c r="AO169" s="1948">
        <v>249.19399999999999</v>
      </c>
      <c r="AP169" s="1948">
        <v>249.19</v>
      </c>
      <c r="AQ169" s="1948">
        <v>0.94020000000000004</v>
      </c>
      <c r="AR169" s="1948">
        <v>8.84</v>
      </c>
      <c r="AS169" s="1948">
        <v>16380</v>
      </c>
      <c r="AT169" s="1948">
        <f t="shared" si="38"/>
        <v>111240</v>
      </c>
      <c r="AU169" s="1948">
        <f t="shared" si="39"/>
        <v>0</v>
      </c>
      <c r="AV169" s="1948">
        <v>151</v>
      </c>
      <c r="AW169" s="1948">
        <v>185.46</v>
      </c>
      <c r="AX169" s="1948">
        <v>185.46</v>
      </c>
      <c r="AY169" s="1948">
        <v>0.96379999999999999</v>
      </c>
      <c r="AZ169" s="1948">
        <v>10.64</v>
      </c>
      <c r="BA169" s="1948">
        <v>14202</v>
      </c>
      <c r="BB169" s="1948">
        <f t="shared" si="40"/>
        <v>80119</v>
      </c>
      <c r="BC169" s="1948">
        <f t="shared" si="41"/>
        <v>0</v>
      </c>
      <c r="BD169" s="1949">
        <v>151</v>
      </c>
      <c r="BE169" s="1948">
        <v>255.77199999999999</v>
      </c>
      <c r="BF169" s="1949">
        <v>255.77</v>
      </c>
      <c r="BG169" s="1949">
        <v>0.93149999999999999</v>
      </c>
      <c r="BH169" s="1949">
        <v>8.41</v>
      </c>
      <c r="BI169" s="1948">
        <v>16011</v>
      </c>
      <c r="BJ169" s="1948">
        <f t="shared" si="42"/>
        <v>114177</v>
      </c>
      <c r="BK169" s="1948">
        <f t="shared" si="43"/>
        <v>0</v>
      </c>
    </row>
    <row r="170" spans="1:63" ht="15">
      <c r="A170" s="1946">
        <v>611000000063</v>
      </c>
      <c r="B170" s="1947">
        <f t="shared" si="44"/>
        <v>164</v>
      </c>
      <c r="C170" s="1906" t="s">
        <v>3555</v>
      </c>
      <c r="D170" s="1907" t="s">
        <v>524</v>
      </c>
      <c r="E170" s="1906" t="s">
        <v>541</v>
      </c>
      <c r="F170" s="1948" t="s">
        <v>259</v>
      </c>
      <c r="G170" s="1949">
        <v>151.19999999999999</v>
      </c>
      <c r="H170" s="1948">
        <v>0</v>
      </c>
      <c r="I170" s="1950">
        <v>0</v>
      </c>
      <c r="J170" s="1948">
        <v>0</v>
      </c>
      <c r="K170" s="1948">
        <v>0</v>
      </c>
      <c r="L170" s="1948">
        <v>0</v>
      </c>
      <c r="M170" s="1948">
        <v>0</v>
      </c>
      <c r="N170" s="1948">
        <f t="shared" si="30"/>
        <v>0</v>
      </c>
      <c r="O170" s="1948">
        <f t="shared" si="31"/>
        <v>0</v>
      </c>
      <c r="P170" s="1948">
        <v>151.19999999999999</v>
      </c>
      <c r="Q170" s="1948">
        <v>66.64</v>
      </c>
      <c r="R170" s="1948">
        <v>120.96</v>
      </c>
      <c r="S170" s="1948">
        <v>0.61639999999999995</v>
      </c>
      <c r="T170" s="1948">
        <v>0.12</v>
      </c>
      <c r="U170" s="1948">
        <v>7934</v>
      </c>
      <c r="V170" s="1948">
        <f t="shared" si="32"/>
        <v>29748</v>
      </c>
      <c r="W170" s="1948">
        <f t="shared" si="33"/>
        <v>0</v>
      </c>
      <c r="X170" s="1948">
        <v>151.19999999999999</v>
      </c>
      <c r="Y170" s="1948">
        <v>59.12</v>
      </c>
      <c r="Z170" s="1948">
        <v>120.96</v>
      </c>
      <c r="AA170" s="1948">
        <v>0.67400000000000004</v>
      </c>
      <c r="AB170" s="1948">
        <v>13.52</v>
      </c>
      <c r="AC170" s="1948">
        <v>5756</v>
      </c>
      <c r="AD170" s="1948">
        <f t="shared" si="34"/>
        <v>25540</v>
      </c>
      <c r="AE170" s="1948">
        <f t="shared" si="35"/>
        <v>0</v>
      </c>
      <c r="AF170" s="1948">
        <v>151.19999999999999</v>
      </c>
      <c r="AG170" s="1948">
        <v>70.240000000000009</v>
      </c>
      <c r="AH170" s="1948">
        <v>120.96</v>
      </c>
      <c r="AI170" s="1948">
        <v>0.67259999999999998</v>
      </c>
      <c r="AJ170" s="1948">
        <v>16.39</v>
      </c>
      <c r="AK170" s="1948">
        <v>8563</v>
      </c>
      <c r="AL170" s="1948">
        <f t="shared" si="36"/>
        <v>31355</v>
      </c>
      <c r="AM170" s="1948">
        <f t="shared" si="37"/>
        <v>0</v>
      </c>
      <c r="AN170" s="1948">
        <v>151.19999999999999</v>
      </c>
      <c r="AO170" s="1948">
        <v>60.480000000000004</v>
      </c>
      <c r="AP170" s="1948">
        <v>120.96</v>
      </c>
      <c r="AQ170" s="1948">
        <v>0.62990000000000002</v>
      </c>
      <c r="AR170" s="1948">
        <v>17.36</v>
      </c>
      <c r="AS170" s="1948">
        <v>7813</v>
      </c>
      <c r="AT170" s="1948">
        <f t="shared" si="38"/>
        <v>26998</v>
      </c>
      <c r="AU170" s="1948">
        <f t="shared" si="39"/>
        <v>0</v>
      </c>
      <c r="AV170" s="1948">
        <v>151.19999999999999</v>
      </c>
      <c r="AW170" s="1948">
        <v>62.480000000000004</v>
      </c>
      <c r="AX170" s="1948">
        <v>120.96</v>
      </c>
      <c r="AY170" s="1948">
        <v>0.61629999999999996</v>
      </c>
      <c r="AZ170" s="1948">
        <v>15.93</v>
      </c>
      <c r="BA170" s="1948">
        <v>7166</v>
      </c>
      <c r="BB170" s="1948">
        <f t="shared" si="40"/>
        <v>26991</v>
      </c>
      <c r="BC170" s="1948">
        <f t="shared" si="41"/>
        <v>0</v>
      </c>
      <c r="BD170" s="1949">
        <v>151.19999999999999</v>
      </c>
      <c r="BE170" s="1948">
        <v>59.36</v>
      </c>
      <c r="BF170" s="1949">
        <v>120.96</v>
      </c>
      <c r="BG170" s="1949">
        <v>0.57150000000000001</v>
      </c>
      <c r="BH170" s="1949">
        <v>13.46</v>
      </c>
      <c r="BI170" s="1948">
        <v>5945</v>
      </c>
      <c r="BJ170" s="1948">
        <f t="shared" si="42"/>
        <v>26498</v>
      </c>
      <c r="BK170" s="1948">
        <f t="shared" si="43"/>
        <v>0</v>
      </c>
    </row>
    <row r="171" spans="1:63" ht="15">
      <c r="A171" s="1946">
        <v>126000000044</v>
      </c>
      <c r="B171" s="1947">
        <f t="shared" si="44"/>
        <v>165</v>
      </c>
      <c r="C171" s="1906" t="s">
        <v>3054</v>
      </c>
      <c r="D171" s="1907" t="s">
        <v>524</v>
      </c>
      <c r="E171" s="1906" t="s">
        <v>541</v>
      </c>
      <c r="F171" s="1948" t="s">
        <v>259</v>
      </c>
      <c r="G171" s="1949">
        <v>152</v>
      </c>
      <c r="H171" s="1948">
        <v>152</v>
      </c>
      <c r="I171" s="1950">
        <v>37.44</v>
      </c>
      <c r="J171" s="1948">
        <v>121.6</v>
      </c>
      <c r="K171" s="1948">
        <v>0.3821</v>
      </c>
      <c r="L171" s="1948">
        <v>3.65</v>
      </c>
      <c r="M171" s="1948">
        <v>984</v>
      </c>
      <c r="N171" s="1948">
        <f t="shared" si="30"/>
        <v>16174</v>
      </c>
      <c r="O171" s="1948">
        <f t="shared" si="31"/>
        <v>0</v>
      </c>
      <c r="P171" s="1948">
        <v>152</v>
      </c>
      <c r="Q171" s="1948">
        <v>68.400000000000006</v>
      </c>
      <c r="R171" s="1948">
        <v>121.6</v>
      </c>
      <c r="S171" s="1948">
        <v>0.63990000000000002</v>
      </c>
      <c r="T171" s="1948">
        <v>2.82</v>
      </c>
      <c r="U171" s="1948">
        <v>1436</v>
      </c>
      <c r="V171" s="1948">
        <f t="shared" si="32"/>
        <v>30534</v>
      </c>
      <c r="W171" s="1948">
        <f t="shared" si="33"/>
        <v>0</v>
      </c>
      <c r="X171" s="1948">
        <v>152</v>
      </c>
      <c r="Y171" s="1948">
        <v>19.559999999999999</v>
      </c>
      <c r="Z171" s="1948">
        <v>121.6</v>
      </c>
      <c r="AA171" s="1948">
        <v>0.3982</v>
      </c>
      <c r="AB171" s="1948">
        <v>6.35</v>
      </c>
      <c r="AC171" s="1948">
        <v>894</v>
      </c>
      <c r="AD171" s="1948">
        <f t="shared" si="34"/>
        <v>8450</v>
      </c>
      <c r="AE171" s="1948">
        <f t="shared" si="35"/>
        <v>0</v>
      </c>
      <c r="AF171" s="1948">
        <v>152</v>
      </c>
      <c r="AG171" s="1948">
        <v>5.52</v>
      </c>
      <c r="AH171" s="1948">
        <v>121.6</v>
      </c>
      <c r="AI171" s="1948">
        <v>0.28399999999999997</v>
      </c>
      <c r="AJ171" s="1948">
        <v>12.86</v>
      </c>
      <c r="AK171" s="1948">
        <v>528</v>
      </c>
      <c r="AL171" s="1948">
        <f t="shared" si="36"/>
        <v>2464</v>
      </c>
      <c r="AM171" s="1948">
        <f t="shared" si="37"/>
        <v>0</v>
      </c>
      <c r="AN171" s="1948">
        <v>152</v>
      </c>
      <c r="AO171" s="1948">
        <v>71.64</v>
      </c>
      <c r="AP171" s="1948">
        <v>121.6</v>
      </c>
      <c r="AQ171" s="1948">
        <v>0.2681</v>
      </c>
      <c r="AR171" s="1948">
        <v>3.38</v>
      </c>
      <c r="AS171" s="1948">
        <v>1801</v>
      </c>
      <c r="AT171" s="1948">
        <f t="shared" si="38"/>
        <v>31980</v>
      </c>
      <c r="AU171" s="1948">
        <f t="shared" si="39"/>
        <v>0</v>
      </c>
      <c r="AV171" s="1948">
        <v>152</v>
      </c>
      <c r="AW171" s="1948">
        <v>114.48</v>
      </c>
      <c r="AX171" s="1948">
        <v>121.6</v>
      </c>
      <c r="AY171" s="1948">
        <v>0.52549999999999997</v>
      </c>
      <c r="AZ171" s="1948">
        <v>14.52</v>
      </c>
      <c r="BA171" s="1948">
        <v>11970</v>
      </c>
      <c r="BB171" s="1948">
        <f t="shared" si="40"/>
        <v>49455</v>
      </c>
      <c r="BC171" s="1948">
        <f t="shared" si="41"/>
        <v>0</v>
      </c>
      <c r="BD171" s="1949">
        <v>152</v>
      </c>
      <c r="BE171" s="1948">
        <v>122.99999999999999</v>
      </c>
      <c r="BF171" s="1949">
        <v>123</v>
      </c>
      <c r="BG171" s="1949">
        <v>0.49099999999999999</v>
      </c>
      <c r="BH171" s="1949">
        <v>22.56</v>
      </c>
      <c r="BI171" s="1948">
        <v>20645</v>
      </c>
      <c r="BJ171" s="1948">
        <f t="shared" si="42"/>
        <v>54907</v>
      </c>
      <c r="BK171" s="1948">
        <f t="shared" si="43"/>
        <v>0</v>
      </c>
    </row>
    <row r="172" spans="1:63" ht="15">
      <c r="A172" s="1946">
        <v>124000000024</v>
      </c>
      <c r="B172" s="1947">
        <f t="shared" si="44"/>
        <v>166</v>
      </c>
      <c r="C172" s="1906" t="s">
        <v>3053</v>
      </c>
      <c r="D172" s="1907" t="s">
        <v>524</v>
      </c>
      <c r="E172" s="1906" t="s">
        <v>623</v>
      </c>
      <c r="F172" s="1948" t="s">
        <v>259</v>
      </c>
      <c r="G172" s="1949">
        <v>152</v>
      </c>
      <c r="H172" s="1948">
        <v>152</v>
      </c>
      <c r="I172" s="1950">
        <v>82.8</v>
      </c>
      <c r="J172" s="1948">
        <v>121.6</v>
      </c>
      <c r="K172" s="1948">
        <v>0.9204</v>
      </c>
      <c r="L172" s="1948">
        <v>53.31</v>
      </c>
      <c r="M172" s="1948">
        <v>31782</v>
      </c>
      <c r="N172" s="1948">
        <f t="shared" si="30"/>
        <v>35770</v>
      </c>
      <c r="O172" s="1948">
        <f t="shared" si="31"/>
        <v>0</v>
      </c>
      <c r="P172" s="1948">
        <v>152</v>
      </c>
      <c r="Q172" s="1948">
        <v>74.16</v>
      </c>
      <c r="R172" s="1948">
        <v>121.6</v>
      </c>
      <c r="S172" s="1948">
        <v>0.91469999999999996</v>
      </c>
      <c r="T172" s="1948">
        <v>44.67</v>
      </c>
      <c r="U172" s="1948">
        <v>24644</v>
      </c>
      <c r="V172" s="1948">
        <f t="shared" si="32"/>
        <v>33105</v>
      </c>
      <c r="W172" s="1948">
        <f t="shared" si="33"/>
        <v>0</v>
      </c>
      <c r="X172" s="1948">
        <v>152</v>
      </c>
      <c r="Y172" s="1948">
        <v>75.760000000000005</v>
      </c>
      <c r="Z172" s="1948">
        <v>121.6</v>
      </c>
      <c r="AA172" s="1948">
        <v>0.93540000000000001</v>
      </c>
      <c r="AB172" s="1948">
        <v>48.06</v>
      </c>
      <c r="AC172" s="1948">
        <v>26215</v>
      </c>
      <c r="AD172" s="1948">
        <f t="shared" si="34"/>
        <v>32728</v>
      </c>
      <c r="AE172" s="1948">
        <f t="shared" si="35"/>
        <v>0</v>
      </c>
      <c r="AF172" s="1948">
        <v>152</v>
      </c>
      <c r="AG172" s="1948">
        <v>77.28</v>
      </c>
      <c r="AH172" s="1948">
        <v>121.6</v>
      </c>
      <c r="AI172" s="1948">
        <v>0.93310000000000004</v>
      </c>
      <c r="AJ172" s="1948">
        <v>43.57</v>
      </c>
      <c r="AK172" s="1948">
        <v>25054</v>
      </c>
      <c r="AL172" s="1948">
        <f t="shared" si="36"/>
        <v>34498</v>
      </c>
      <c r="AM172" s="1948">
        <f t="shared" si="37"/>
        <v>0</v>
      </c>
      <c r="AN172" s="1948">
        <v>152</v>
      </c>
      <c r="AO172" s="1948">
        <v>74.72</v>
      </c>
      <c r="AP172" s="1948">
        <v>121.6</v>
      </c>
      <c r="AQ172" s="1948">
        <v>0.92410000000000003</v>
      </c>
      <c r="AR172" s="1948">
        <v>39.81</v>
      </c>
      <c r="AS172" s="1948">
        <v>22133</v>
      </c>
      <c r="AT172" s="1948">
        <f t="shared" si="38"/>
        <v>33355</v>
      </c>
      <c r="AU172" s="1948">
        <f t="shared" si="39"/>
        <v>0</v>
      </c>
      <c r="AV172" s="1948">
        <v>152</v>
      </c>
      <c r="AW172" s="1948">
        <v>76.160000000000011</v>
      </c>
      <c r="AX172" s="1948">
        <v>152</v>
      </c>
      <c r="AY172" s="1948">
        <v>0.91800000000000004</v>
      </c>
      <c r="AZ172" s="1948">
        <v>0</v>
      </c>
      <c r="BA172" s="1948">
        <v>21229</v>
      </c>
      <c r="BB172" s="1948">
        <f t="shared" si="40"/>
        <v>32901</v>
      </c>
      <c r="BC172" s="1948">
        <f t="shared" si="41"/>
        <v>0</v>
      </c>
      <c r="BD172" s="1949">
        <v>152</v>
      </c>
      <c r="BE172" s="1948">
        <v>74.8</v>
      </c>
      <c r="BF172" s="1949">
        <v>152</v>
      </c>
      <c r="BG172" s="1949">
        <v>0.91610000000000003</v>
      </c>
      <c r="BH172" s="1949">
        <v>0</v>
      </c>
      <c r="BI172" s="1948">
        <v>18846</v>
      </c>
      <c r="BJ172" s="1948">
        <f t="shared" si="42"/>
        <v>33391</v>
      </c>
      <c r="BK172" s="1948">
        <f t="shared" si="43"/>
        <v>0</v>
      </c>
    </row>
    <row r="173" spans="1:63" ht="15">
      <c r="A173" s="1946">
        <v>615000000001</v>
      </c>
      <c r="B173" s="1947">
        <f t="shared" si="44"/>
        <v>167</v>
      </c>
      <c r="C173" s="1906" t="s">
        <v>3055</v>
      </c>
      <c r="D173" s="1907" t="s">
        <v>524</v>
      </c>
      <c r="E173" s="1906" t="s">
        <v>541</v>
      </c>
      <c r="F173" s="1948" t="s">
        <v>259</v>
      </c>
      <c r="G173" s="1949">
        <v>152</v>
      </c>
      <c r="H173" s="1948">
        <v>152</v>
      </c>
      <c r="I173" s="1950">
        <v>284</v>
      </c>
      <c r="J173" s="1948">
        <v>284</v>
      </c>
      <c r="K173" s="1948">
        <v>0.95789999999999997</v>
      </c>
      <c r="L173" s="1948">
        <v>13.91</v>
      </c>
      <c r="M173" s="1948">
        <v>28452</v>
      </c>
      <c r="N173" s="1948">
        <f t="shared" si="30"/>
        <v>122688</v>
      </c>
      <c r="O173" s="1948">
        <f t="shared" si="31"/>
        <v>0</v>
      </c>
      <c r="P173" s="1948">
        <v>152</v>
      </c>
      <c r="Q173" s="1948">
        <v>240.79999999999998</v>
      </c>
      <c r="R173" s="1948">
        <v>240.8</v>
      </c>
      <c r="S173" s="1948">
        <v>0.94520000000000004</v>
      </c>
      <c r="T173" s="1948">
        <v>12.44</v>
      </c>
      <c r="U173" s="1948">
        <v>22284</v>
      </c>
      <c r="V173" s="1948">
        <f t="shared" si="32"/>
        <v>107493</v>
      </c>
      <c r="W173" s="1948">
        <f t="shared" si="33"/>
        <v>0</v>
      </c>
      <c r="X173" s="1948">
        <v>152</v>
      </c>
      <c r="Y173" s="1948">
        <v>352.8</v>
      </c>
      <c r="Z173" s="1948">
        <v>352.8</v>
      </c>
      <c r="AA173" s="1948">
        <v>0.94079999999999997</v>
      </c>
      <c r="AB173" s="1948">
        <v>10.119999999999999</v>
      </c>
      <c r="AC173" s="1948">
        <v>25708</v>
      </c>
      <c r="AD173" s="1948">
        <f t="shared" si="34"/>
        <v>152410</v>
      </c>
      <c r="AE173" s="1948">
        <f t="shared" si="35"/>
        <v>0</v>
      </c>
      <c r="AF173" s="1948">
        <v>152</v>
      </c>
      <c r="AG173" s="1948">
        <v>297.60000000000002</v>
      </c>
      <c r="AH173" s="1948">
        <v>297.60000000000002</v>
      </c>
      <c r="AI173" s="1948">
        <v>0.97889999999999999</v>
      </c>
      <c r="AJ173" s="1948">
        <v>17.239999999999998</v>
      </c>
      <c r="AK173" s="1948">
        <v>36944</v>
      </c>
      <c r="AL173" s="1948">
        <f t="shared" si="36"/>
        <v>132849</v>
      </c>
      <c r="AM173" s="1948">
        <f t="shared" si="37"/>
        <v>0</v>
      </c>
      <c r="AN173" s="1948">
        <v>152</v>
      </c>
      <c r="AO173" s="1948">
        <v>325.59999999999997</v>
      </c>
      <c r="AP173" s="1948">
        <v>325.60000000000002</v>
      </c>
      <c r="AQ173" s="1948">
        <v>0.98119999999999996</v>
      </c>
      <c r="AR173" s="1948">
        <v>21.17</v>
      </c>
      <c r="AS173" s="1948">
        <v>52936</v>
      </c>
      <c r="AT173" s="1948">
        <f t="shared" si="38"/>
        <v>145348</v>
      </c>
      <c r="AU173" s="1948">
        <f t="shared" si="39"/>
        <v>0</v>
      </c>
      <c r="AV173" s="1948">
        <v>152</v>
      </c>
      <c r="AW173" s="1948">
        <v>340.8</v>
      </c>
      <c r="AX173" s="1948">
        <v>340.8</v>
      </c>
      <c r="AY173" s="1948">
        <v>0.97870000000000001</v>
      </c>
      <c r="AZ173" s="1948">
        <v>17.41</v>
      </c>
      <c r="BA173" s="1948">
        <v>42708</v>
      </c>
      <c r="BB173" s="1948">
        <f t="shared" si="40"/>
        <v>147226</v>
      </c>
      <c r="BC173" s="1948">
        <f t="shared" si="41"/>
        <v>0</v>
      </c>
      <c r="BD173" s="1949">
        <v>152</v>
      </c>
      <c r="BE173" s="1948">
        <v>330.4</v>
      </c>
      <c r="BF173" s="1949">
        <v>330.4</v>
      </c>
      <c r="BG173" s="1949">
        <v>0.97789999999999999</v>
      </c>
      <c r="BH173" s="1949">
        <v>20.04</v>
      </c>
      <c r="BI173" s="1948">
        <v>49252</v>
      </c>
      <c r="BJ173" s="1948">
        <f t="shared" si="42"/>
        <v>147491</v>
      </c>
      <c r="BK173" s="1948">
        <f t="shared" si="43"/>
        <v>0</v>
      </c>
    </row>
    <row r="174" spans="1:63" ht="15">
      <c r="A174" s="1946">
        <v>121000000019</v>
      </c>
      <c r="B174" s="1947">
        <f t="shared" si="44"/>
        <v>168</v>
      </c>
      <c r="C174" s="1906" t="s">
        <v>3056</v>
      </c>
      <c r="D174" s="1907" t="s">
        <v>524</v>
      </c>
      <c r="E174" s="1906" t="s">
        <v>541</v>
      </c>
      <c r="F174" s="1948" t="s">
        <v>259</v>
      </c>
      <c r="G174" s="1949">
        <v>153</v>
      </c>
      <c r="H174" s="1948">
        <v>153</v>
      </c>
      <c r="I174" s="1950">
        <v>15.28</v>
      </c>
      <c r="J174" s="1948">
        <v>122.4</v>
      </c>
      <c r="K174" s="1948">
        <v>0.99439999999999995</v>
      </c>
      <c r="L174" s="1948">
        <v>16.38</v>
      </c>
      <c r="M174" s="1948">
        <v>1802</v>
      </c>
      <c r="N174" s="1948">
        <f t="shared" si="30"/>
        <v>6601</v>
      </c>
      <c r="O174" s="1948">
        <f t="shared" si="31"/>
        <v>0</v>
      </c>
      <c r="P174" s="1948">
        <v>153</v>
      </c>
      <c r="Q174" s="1948">
        <v>79.44</v>
      </c>
      <c r="R174" s="1948">
        <v>122.4</v>
      </c>
      <c r="S174" s="1948">
        <v>0.97189999999999999</v>
      </c>
      <c r="T174" s="1948">
        <v>56.01</v>
      </c>
      <c r="U174" s="1948">
        <v>33101</v>
      </c>
      <c r="V174" s="1948">
        <f t="shared" si="32"/>
        <v>35462</v>
      </c>
      <c r="W174" s="1948">
        <f t="shared" si="33"/>
        <v>0</v>
      </c>
      <c r="X174" s="1948">
        <v>153</v>
      </c>
      <c r="Y174" s="1948">
        <v>79.52</v>
      </c>
      <c r="Z174" s="1948">
        <v>122.4</v>
      </c>
      <c r="AA174" s="1948">
        <v>0.96030000000000004</v>
      </c>
      <c r="AB174" s="1948">
        <v>52.86</v>
      </c>
      <c r="AC174" s="1948">
        <v>30263</v>
      </c>
      <c r="AD174" s="1948">
        <f t="shared" si="34"/>
        <v>34353</v>
      </c>
      <c r="AE174" s="1948">
        <f t="shared" si="35"/>
        <v>0</v>
      </c>
      <c r="AF174" s="1948">
        <v>153</v>
      </c>
      <c r="AG174" s="1948">
        <v>73.440000000000012</v>
      </c>
      <c r="AH174" s="1948">
        <v>122.4</v>
      </c>
      <c r="AI174" s="1948">
        <v>0.95569999999999999</v>
      </c>
      <c r="AJ174" s="1948">
        <v>42.22</v>
      </c>
      <c r="AK174" s="1948">
        <v>23071</v>
      </c>
      <c r="AL174" s="1948">
        <f t="shared" si="36"/>
        <v>32784</v>
      </c>
      <c r="AM174" s="1948">
        <f t="shared" si="37"/>
        <v>0</v>
      </c>
      <c r="AN174" s="1948">
        <v>153</v>
      </c>
      <c r="AO174" s="1948">
        <v>72.72</v>
      </c>
      <c r="AP174" s="1948">
        <v>122.4</v>
      </c>
      <c r="AQ174" s="1948">
        <v>0.94969999999999999</v>
      </c>
      <c r="AR174" s="1948">
        <v>38.590000000000003</v>
      </c>
      <c r="AS174" s="1948">
        <v>20879</v>
      </c>
      <c r="AT174" s="1948">
        <f t="shared" si="38"/>
        <v>32462</v>
      </c>
      <c r="AU174" s="1948">
        <f t="shared" si="39"/>
        <v>0</v>
      </c>
      <c r="AV174" s="1948">
        <v>153</v>
      </c>
      <c r="AW174" s="1948">
        <v>72.48</v>
      </c>
      <c r="AX174" s="1948">
        <v>122.4</v>
      </c>
      <c r="AY174" s="1948">
        <v>0.95109999999999995</v>
      </c>
      <c r="AZ174" s="1948">
        <v>46.78</v>
      </c>
      <c r="BA174" s="1948">
        <v>24413</v>
      </c>
      <c r="BB174" s="1948">
        <f t="shared" si="40"/>
        <v>31311</v>
      </c>
      <c r="BC174" s="1948">
        <f t="shared" si="41"/>
        <v>0</v>
      </c>
      <c r="BD174" s="1949">
        <v>153</v>
      </c>
      <c r="BE174" s="1948">
        <v>70.88</v>
      </c>
      <c r="BF174" s="1949">
        <v>122.4</v>
      </c>
      <c r="BG174" s="1949">
        <v>0.95079999999999998</v>
      </c>
      <c r="BH174" s="1949">
        <v>59.34</v>
      </c>
      <c r="BI174" s="1948">
        <v>31295</v>
      </c>
      <c r="BJ174" s="1948">
        <f t="shared" si="42"/>
        <v>31641</v>
      </c>
      <c r="BK174" s="1948">
        <f t="shared" si="43"/>
        <v>0</v>
      </c>
    </row>
    <row r="175" spans="1:63" ht="15">
      <c r="A175" s="1946">
        <v>123000000111</v>
      </c>
      <c r="B175" s="1947">
        <f t="shared" si="44"/>
        <v>169</v>
      </c>
      <c r="C175" s="1906" t="s">
        <v>3057</v>
      </c>
      <c r="D175" s="1907" t="s">
        <v>524</v>
      </c>
      <c r="E175" s="1906" t="s">
        <v>541</v>
      </c>
      <c r="F175" s="1948" t="s">
        <v>259</v>
      </c>
      <c r="G175" s="1949">
        <v>154</v>
      </c>
      <c r="H175" s="1948">
        <v>154</v>
      </c>
      <c r="I175" s="1950">
        <v>110.88</v>
      </c>
      <c r="J175" s="1948">
        <v>123.2</v>
      </c>
      <c r="K175" s="1948">
        <v>0.48559999999999998</v>
      </c>
      <c r="L175" s="1948">
        <v>7.06</v>
      </c>
      <c r="M175" s="1948">
        <v>5638</v>
      </c>
      <c r="N175" s="1948">
        <f t="shared" si="30"/>
        <v>47900</v>
      </c>
      <c r="O175" s="1948">
        <f t="shared" si="31"/>
        <v>0</v>
      </c>
      <c r="P175" s="1948">
        <v>154</v>
      </c>
      <c r="Q175" s="1948">
        <v>108.80000000000001</v>
      </c>
      <c r="R175" s="1948">
        <v>123.2</v>
      </c>
      <c r="S175" s="1948">
        <v>0.43859999999999999</v>
      </c>
      <c r="T175" s="1948">
        <v>7.29</v>
      </c>
      <c r="U175" s="1948">
        <v>5900</v>
      </c>
      <c r="V175" s="1948">
        <f t="shared" si="32"/>
        <v>48568</v>
      </c>
      <c r="W175" s="1948">
        <f t="shared" si="33"/>
        <v>0</v>
      </c>
      <c r="X175" s="1948">
        <v>154</v>
      </c>
      <c r="Y175" s="1948">
        <v>112.32</v>
      </c>
      <c r="Z175" s="1948">
        <v>123.2</v>
      </c>
      <c r="AA175" s="1948">
        <v>0.42230000000000001</v>
      </c>
      <c r="AB175" s="1948">
        <v>2.96</v>
      </c>
      <c r="AC175" s="1948">
        <v>2396</v>
      </c>
      <c r="AD175" s="1948">
        <f t="shared" si="34"/>
        <v>48522</v>
      </c>
      <c r="AE175" s="1948">
        <f t="shared" si="35"/>
        <v>0</v>
      </c>
      <c r="AF175" s="1948">
        <v>154</v>
      </c>
      <c r="AG175" s="1948">
        <v>84.64</v>
      </c>
      <c r="AH175" s="1948">
        <v>123.2</v>
      </c>
      <c r="AI175" s="1948">
        <v>0.37719999999999998</v>
      </c>
      <c r="AJ175" s="1948">
        <v>2.99</v>
      </c>
      <c r="AK175" s="1948">
        <v>1882</v>
      </c>
      <c r="AL175" s="1948">
        <f t="shared" si="36"/>
        <v>37783</v>
      </c>
      <c r="AM175" s="1948">
        <f t="shared" si="37"/>
        <v>0</v>
      </c>
      <c r="AN175" s="1948">
        <v>154</v>
      </c>
      <c r="AO175" s="1948">
        <v>87.839999999999989</v>
      </c>
      <c r="AP175" s="1948">
        <v>123.2</v>
      </c>
      <c r="AQ175" s="1948">
        <v>0.34139999999999998</v>
      </c>
      <c r="AR175" s="1948">
        <v>3.27</v>
      </c>
      <c r="AS175" s="1948">
        <v>2138</v>
      </c>
      <c r="AT175" s="1948">
        <f t="shared" si="38"/>
        <v>39212</v>
      </c>
      <c r="AU175" s="1948">
        <f t="shared" si="39"/>
        <v>0</v>
      </c>
      <c r="AV175" s="1948">
        <v>154</v>
      </c>
      <c r="AW175" s="1948">
        <v>117.44000000000001</v>
      </c>
      <c r="AX175" s="1948">
        <v>123.2</v>
      </c>
      <c r="AY175" s="1948">
        <v>0.36080000000000001</v>
      </c>
      <c r="AZ175" s="1948">
        <v>3.55</v>
      </c>
      <c r="BA175" s="1948">
        <v>3004</v>
      </c>
      <c r="BB175" s="1948">
        <f t="shared" si="40"/>
        <v>50734</v>
      </c>
      <c r="BC175" s="1948">
        <f t="shared" si="41"/>
        <v>0</v>
      </c>
      <c r="BD175" s="1949">
        <v>154</v>
      </c>
      <c r="BE175" s="1948">
        <v>38.56</v>
      </c>
      <c r="BF175" s="1949">
        <v>123.2</v>
      </c>
      <c r="BG175" s="1949">
        <v>0.32290000000000002</v>
      </c>
      <c r="BH175" s="1949">
        <v>7.84</v>
      </c>
      <c r="BI175" s="1948">
        <v>2248</v>
      </c>
      <c r="BJ175" s="1948">
        <f t="shared" si="42"/>
        <v>17213</v>
      </c>
      <c r="BK175" s="1948">
        <f t="shared" si="43"/>
        <v>0</v>
      </c>
    </row>
    <row r="176" spans="1:63" ht="15">
      <c r="A176" s="1946">
        <v>121000000083</v>
      </c>
      <c r="B176" s="1947">
        <f t="shared" si="44"/>
        <v>170</v>
      </c>
      <c r="C176" s="1906" t="s">
        <v>3058</v>
      </c>
      <c r="D176" s="1907" t="s">
        <v>524</v>
      </c>
      <c r="E176" s="1906" t="s">
        <v>541</v>
      </c>
      <c r="F176" s="1948" t="s">
        <v>259</v>
      </c>
      <c r="G176" s="1949">
        <v>154</v>
      </c>
      <c r="H176" s="1948">
        <v>154</v>
      </c>
      <c r="I176" s="1950">
        <v>83.679999999999993</v>
      </c>
      <c r="J176" s="1948">
        <v>123.2</v>
      </c>
      <c r="K176" s="1948">
        <v>0.84440000000000004</v>
      </c>
      <c r="L176" s="1948">
        <v>24.44</v>
      </c>
      <c r="M176" s="1948">
        <v>14726</v>
      </c>
      <c r="N176" s="1948">
        <f t="shared" si="30"/>
        <v>36150</v>
      </c>
      <c r="O176" s="1948">
        <f t="shared" si="31"/>
        <v>0</v>
      </c>
      <c r="P176" s="1948">
        <v>154</v>
      </c>
      <c r="Q176" s="1948">
        <v>86.08</v>
      </c>
      <c r="R176" s="1948">
        <v>123.2</v>
      </c>
      <c r="S176" s="1948">
        <v>0.85799999999999998</v>
      </c>
      <c r="T176" s="1948">
        <v>51.93</v>
      </c>
      <c r="U176" s="1948">
        <v>26823</v>
      </c>
      <c r="V176" s="1948">
        <f t="shared" si="32"/>
        <v>38426</v>
      </c>
      <c r="W176" s="1948">
        <f t="shared" si="33"/>
        <v>0</v>
      </c>
      <c r="X176" s="1948">
        <v>154</v>
      </c>
      <c r="Y176" s="1948">
        <v>125.03999999999999</v>
      </c>
      <c r="Z176" s="1948">
        <v>125.04</v>
      </c>
      <c r="AA176" s="1948">
        <v>0.88649999999999995</v>
      </c>
      <c r="AB176" s="1948">
        <v>34.159999999999997</v>
      </c>
      <c r="AC176" s="1948">
        <v>36906</v>
      </c>
      <c r="AD176" s="1948">
        <f t="shared" si="34"/>
        <v>54017</v>
      </c>
      <c r="AE176" s="1948">
        <f t="shared" si="35"/>
        <v>0</v>
      </c>
      <c r="AF176" s="1948">
        <v>154</v>
      </c>
      <c r="AG176" s="1948">
        <v>125.84</v>
      </c>
      <c r="AH176" s="1948">
        <v>125.84</v>
      </c>
      <c r="AI176" s="1948">
        <v>0.89559999999999995</v>
      </c>
      <c r="AJ176" s="1948">
        <v>31.21</v>
      </c>
      <c r="AK176" s="1948">
        <v>29217</v>
      </c>
      <c r="AL176" s="1948">
        <f t="shared" si="36"/>
        <v>56175</v>
      </c>
      <c r="AM176" s="1948">
        <f t="shared" si="37"/>
        <v>0</v>
      </c>
      <c r="AN176" s="1948">
        <v>154</v>
      </c>
      <c r="AO176" s="1948">
        <v>113.28</v>
      </c>
      <c r="AP176" s="1948">
        <v>123.2</v>
      </c>
      <c r="AQ176" s="1948">
        <v>0.87360000000000004</v>
      </c>
      <c r="AR176" s="1948">
        <v>31.33</v>
      </c>
      <c r="AS176" s="1948">
        <v>26405</v>
      </c>
      <c r="AT176" s="1948">
        <f t="shared" si="38"/>
        <v>50568</v>
      </c>
      <c r="AU176" s="1948">
        <f t="shared" si="39"/>
        <v>0</v>
      </c>
      <c r="AV176" s="1948">
        <v>154</v>
      </c>
      <c r="AW176" s="1948">
        <v>133.6</v>
      </c>
      <c r="AX176" s="1948">
        <v>133.6</v>
      </c>
      <c r="AY176" s="1948">
        <v>0.92710000000000004</v>
      </c>
      <c r="AZ176" s="1948">
        <v>33.979999999999997</v>
      </c>
      <c r="BA176" s="1948">
        <v>32690</v>
      </c>
      <c r="BB176" s="1948">
        <f t="shared" si="40"/>
        <v>57715</v>
      </c>
      <c r="BC176" s="1948">
        <f t="shared" si="41"/>
        <v>0</v>
      </c>
      <c r="BD176" s="1949">
        <v>154</v>
      </c>
      <c r="BE176" s="1948">
        <v>116.08000000000001</v>
      </c>
      <c r="BF176" s="1949">
        <v>123.2</v>
      </c>
      <c r="BG176" s="1949">
        <v>0.87960000000000005</v>
      </c>
      <c r="BH176" s="1949">
        <v>34.67</v>
      </c>
      <c r="BI176" s="1948">
        <v>29946</v>
      </c>
      <c r="BJ176" s="1948">
        <f t="shared" si="42"/>
        <v>51818</v>
      </c>
      <c r="BK176" s="1948">
        <f t="shared" si="43"/>
        <v>0</v>
      </c>
    </row>
    <row r="177" spans="1:63" ht="15">
      <c r="A177" s="1946">
        <v>122000000078</v>
      </c>
      <c r="B177" s="1947">
        <f t="shared" si="44"/>
        <v>171</v>
      </c>
      <c r="C177" s="1906" t="s">
        <v>3061</v>
      </c>
      <c r="D177" s="1907" t="s">
        <v>2930</v>
      </c>
      <c r="E177" s="1906" t="s">
        <v>2966</v>
      </c>
      <c r="F177" s="1948" t="s">
        <v>259</v>
      </c>
      <c r="G177" s="1949">
        <v>156</v>
      </c>
      <c r="H177" s="1948">
        <v>156</v>
      </c>
      <c r="I177" s="1950">
        <v>103.84</v>
      </c>
      <c r="J177" s="1948">
        <v>156</v>
      </c>
      <c r="K177" s="1948">
        <v>0.80810000000000004</v>
      </c>
      <c r="L177" s="1948">
        <v>0</v>
      </c>
      <c r="M177" s="1948">
        <v>20036</v>
      </c>
      <c r="N177" s="1948">
        <f t="shared" si="30"/>
        <v>44859</v>
      </c>
      <c r="O177" s="1948">
        <f t="shared" si="31"/>
        <v>0</v>
      </c>
      <c r="P177" s="1948">
        <v>156</v>
      </c>
      <c r="Q177" s="1948">
        <v>95.36</v>
      </c>
      <c r="R177" s="1948">
        <v>156</v>
      </c>
      <c r="S177" s="1948">
        <v>0.81779999999999997</v>
      </c>
      <c r="T177" s="1948">
        <v>0</v>
      </c>
      <c r="U177" s="1948">
        <v>15796</v>
      </c>
      <c r="V177" s="1948">
        <f t="shared" si="32"/>
        <v>42569</v>
      </c>
      <c r="W177" s="1948">
        <f t="shared" si="33"/>
        <v>0</v>
      </c>
      <c r="X177" s="1948">
        <v>156</v>
      </c>
      <c r="Y177" s="1948">
        <v>96</v>
      </c>
      <c r="Z177" s="1948">
        <v>156</v>
      </c>
      <c r="AA177" s="1948">
        <v>0</v>
      </c>
      <c r="AB177" s="1948">
        <v>0</v>
      </c>
      <c r="AC177" s="1948">
        <v>0</v>
      </c>
      <c r="AD177" s="1948">
        <f t="shared" si="34"/>
        <v>41472</v>
      </c>
      <c r="AE177" s="1948">
        <f t="shared" si="35"/>
        <v>0</v>
      </c>
      <c r="AF177" s="1948">
        <v>156</v>
      </c>
      <c r="AG177" s="1948">
        <v>0</v>
      </c>
      <c r="AH177" s="1948">
        <v>156</v>
      </c>
      <c r="AI177" s="1948">
        <v>0</v>
      </c>
      <c r="AJ177" s="1948">
        <v>0</v>
      </c>
      <c r="AK177" s="1948">
        <v>0</v>
      </c>
      <c r="AL177" s="1948">
        <f t="shared" si="36"/>
        <v>0</v>
      </c>
      <c r="AM177" s="1948">
        <f t="shared" si="37"/>
        <v>0</v>
      </c>
      <c r="AN177" s="1948">
        <v>156</v>
      </c>
      <c r="AO177" s="1948">
        <v>0</v>
      </c>
      <c r="AP177" s="1948">
        <v>156</v>
      </c>
      <c r="AQ177" s="1948">
        <v>0</v>
      </c>
      <c r="AR177" s="1948">
        <v>0</v>
      </c>
      <c r="AS177" s="1948">
        <v>0</v>
      </c>
      <c r="AT177" s="1948">
        <f t="shared" si="38"/>
        <v>0</v>
      </c>
      <c r="AU177" s="1948">
        <f t="shared" si="39"/>
        <v>0</v>
      </c>
      <c r="AV177" s="1948">
        <v>156</v>
      </c>
      <c r="AW177" s="1948">
        <v>0</v>
      </c>
      <c r="AX177" s="1948">
        <v>156</v>
      </c>
      <c r="AY177" s="1948">
        <v>0</v>
      </c>
      <c r="AZ177" s="1948">
        <v>0</v>
      </c>
      <c r="BA177" s="1948">
        <v>0</v>
      </c>
      <c r="BB177" s="1948">
        <f t="shared" si="40"/>
        <v>0</v>
      </c>
      <c r="BC177" s="1948">
        <f t="shared" si="41"/>
        <v>0</v>
      </c>
      <c r="BD177" s="1949">
        <v>156</v>
      </c>
      <c r="BE177" s="1948">
        <v>0</v>
      </c>
      <c r="BF177" s="1949">
        <v>156</v>
      </c>
      <c r="BG177" s="1949">
        <v>0</v>
      </c>
      <c r="BH177" s="1949">
        <v>0</v>
      </c>
      <c r="BI177" s="1948">
        <v>0</v>
      </c>
      <c r="BJ177" s="1948">
        <f t="shared" si="42"/>
        <v>0</v>
      </c>
      <c r="BK177" s="1948">
        <f t="shared" si="43"/>
        <v>0</v>
      </c>
    </row>
    <row r="178" spans="1:63" ht="15">
      <c r="A178" s="1946">
        <v>123000000149</v>
      </c>
      <c r="B178" s="1947">
        <f t="shared" si="44"/>
        <v>172</v>
      </c>
      <c r="C178" s="1906" t="s">
        <v>3556</v>
      </c>
      <c r="D178" s="1907" t="s">
        <v>524</v>
      </c>
      <c r="E178" s="1906" t="s">
        <v>636</v>
      </c>
      <c r="F178" s="1948" t="s">
        <v>259</v>
      </c>
      <c r="G178" s="1949">
        <v>156</v>
      </c>
      <c r="H178" s="1948">
        <v>0</v>
      </c>
      <c r="I178" s="1950">
        <v>0</v>
      </c>
      <c r="J178" s="1948">
        <v>0</v>
      </c>
      <c r="K178" s="1948">
        <v>0</v>
      </c>
      <c r="L178" s="1948">
        <v>0</v>
      </c>
      <c r="M178" s="1948">
        <v>0</v>
      </c>
      <c r="N178" s="1948">
        <f t="shared" si="30"/>
        <v>0</v>
      </c>
      <c r="O178" s="1948">
        <f t="shared" si="31"/>
        <v>0</v>
      </c>
      <c r="P178" s="1948">
        <v>156</v>
      </c>
      <c r="Q178" s="1948">
        <v>88.62</v>
      </c>
      <c r="R178" s="1948">
        <v>124.8</v>
      </c>
      <c r="S178" s="1948">
        <v>0.97270000000000001</v>
      </c>
      <c r="T178" s="1948">
        <v>32.770000000000003</v>
      </c>
      <c r="U178" s="1948">
        <v>4879</v>
      </c>
      <c r="V178" s="1948">
        <f t="shared" si="32"/>
        <v>39560</v>
      </c>
      <c r="W178" s="1948">
        <f t="shared" si="33"/>
        <v>0</v>
      </c>
      <c r="X178" s="1948">
        <v>156</v>
      </c>
      <c r="Y178" s="1948">
        <v>88.603999999999999</v>
      </c>
      <c r="Z178" s="1948">
        <v>124.8</v>
      </c>
      <c r="AA178" s="1948">
        <v>0.9587</v>
      </c>
      <c r="AB178" s="1948">
        <v>27.8</v>
      </c>
      <c r="AC178" s="1948">
        <v>17734</v>
      </c>
      <c r="AD178" s="1948">
        <f t="shared" si="34"/>
        <v>38277</v>
      </c>
      <c r="AE178" s="1948">
        <f t="shared" si="35"/>
        <v>0</v>
      </c>
      <c r="AF178" s="1948">
        <v>156</v>
      </c>
      <c r="AG178" s="1948">
        <v>91.773600000000002</v>
      </c>
      <c r="AH178" s="1948">
        <v>124.8</v>
      </c>
      <c r="AI178" s="1948">
        <v>0.98089999999999999</v>
      </c>
      <c r="AJ178" s="1948">
        <v>35.76</v>
      </c>
      <c r="AK178" s="1948">
        <v>24419</v>
      </c>
      <c r="AL178" s="1948">
        <f t="shared" si="36"/>
        <v>40968</v>
      </c>
      <c r="AM178" s="1948">
        <f t="shared" si="37"/>
        <v>0</v>
      </c>
      <c r="AN178" s="1948">
        <v>156</v>
      </c>
      <c r="AO178" s="1948">
        <v>79.463999999999999</v>
      </c>
      <c r="AP178" s="1948">
        <v>124.8</v>
      </c>
      <c r="AQ178" s="1948">
        <v>0.9718</v>
      </c>
      <c r="AR178" s="1948">
        <v>34.25</v>
      </c>
      <c r="AS178" s="1948">
        <v>20249</v>
      </c>
      <c r="AT178" s="1948">
        <f t="shared" si="38"/>
        <v>35473</v>
      </c>
      <c r="AU178" s="1948">
        <f t="shared" si="39"/>
        <v>0</v>
      </c>
      <c r="AV178" s="1948">
        <v>156</v>
      </c>
      <c r="AW178" s="1948">
        <v>91.225999999999999</v>
      </c>
      <c r="AX178" s="1948">
        <v>124.8</v>
      </c>
      <c r="AY178" s="1948">
        <v>0.97119999999999995</v>
      </c>
      <c r="AZ178" s="1948">
        <v>31.06</v>
      </c>
      <c r="BA178" s="1948">
        <v>20402</v>
      </c>
      <c r="BB178" s="1948">
        <f t="shared" si="40"/>
        <v>39410</v>
      </c>
      <c r="BC178" s="1948">
        <f t="shared" si="41"/>
        <v>0</v>
      </c>
      <c r="BD178" s="1949">
        <v>156</v>
      </c>
      <c r="BE178" s="1948">
        <v>78.441999999999993</v>
      </c>
      <c r="BF178" s="1949">
        <v>124.8</v>
      </c>
      <c r="BG178" s="1949">
        <v>0.9244</v>
      </c>
      <c r="BH178" s="1949">
        <v>28.01</v>
      </c>
      <c r="BI178" s="1948">
        <v>16347</v>
      </c>
      <c r="BJ178" s="1948">
        <f t="shared" si="42"/>
        <v>35017</v>
      </c>
      <c r="BK178" s="1948">
        <f t="shared" si="43"/>
        <v>0</v>
      </c>
    </row>
    <row r="179" spans="1:63" ht="15">
      <c r="A179" s="1946">
        <v>124000000044</v>
      </c>
      <c r="B179" s="1947">
        <f t="shared" si="44"/>
        <v>173</v>
      </c>
      <c r="C179" s="1906" t="s">
        <v>3062</v>
      </c>
      <c r="D179" s="1907" t="s">
        <v>524</v>
      </c>
      <c r="E179" s="1906" t="s">
        <v>541</v>
      </c>
      <c r="F179" s="1948" t="s">
        <v>259</v>
      </c>
      <c r="G179" s="1949">
        <v>156</v>
      </c>
      <c r="H179" s="1948">
        <v>156</v>
      </c>
      <c r="I179" s="1950">
        <v>91.679999999999993</v>
      </c>
      <c r="J179" s="1948">
        <v>124.8</v>
      </c>
      <c r="K179" s="1948">
        <v>0.96689999999999998</v>
      </c>
      <c r="L179" s="1948">
        <v>9.6199999999999992</v>
      </c>
      <c r="M179" s="1948">
        <v>6353</v>
      </c>
      <c r="N179" s="1948">
        <f t="shared" si="30"/>
        <v>39606</v>
      </c>
      <c r="O179" s="1948">
        <f t="shared" si="31"/>
        <v>0</v>
      </c>
      <c r="P179" s="1948">
        <v>156</v>
      </c>
      <c r="Q179" s="1948">
        <v>88.24</v>
      </c>
      <c r="R179" s="1948">
        <v>124.8</v>
      </c>
      <c r="S179" s="1948">
        <v>0.94450000000000001</v>
      </c>
      <c r="T179" s="1948">
        <v>7.37</v>
      </c>
      <c r="U179" s="1948">
        <v>4837</v>
      </c>
      <c r="V179" s="1948">
        <f t="shared" si="32"/>
        <v>39390</v>
      </c>
      <c r="W179" s="1948">
        <f t="shared" si="33"/>
        <v>0</v>
      </c>
      <c r="X179" s="1948">
        <v>156</v>
      </c>
      <c r="Y179" s="1948">
        <v>89.68</v>
      </c>
      <c r="Z179" s="1948">
        <v>124.8</v>
      </c>
      <c r="AA179" s="1948">
        <v>0.95679999999999998</v>
      </c>
      <c r="AB179" s="1948">
        <v>7.83</v>
      </c>
      <c r="AC179" s="1948">
        <v>5058</v>
      </c>
      <c r="AD179" s="1948">
        <f t="shared" si="34"/>
        <v>38742</v>
      </c>
      <c r="AE179" s="1948">
        <f t="shared" si="35"/>
        <v>0</v>
      </c>
      <c r="AF179" s="1948">
        <v>156</v>
      </c>
      <c r="AG179" s="1948">
        <v>92.64</v>
      </c>
      <c r="AH179" s="1948">
        <v>124.8</v>
      </c>
      <c r="AI179" s="1948">
        <v>0.96540000000000004</v>
      </c>
      <c r="AJ179" s="1948">
        <v>9.82</v>
      </c>
      <c r="AK179" s="1948">
        <v>6768</v>
      </c>
      <c r="AL179" s="1948">
        <f t="shared" si="36"/>
        <v>41354</v>
      </c>
      <c r="AM179" s="1948">
        <f t="shared" si="37"/>
        <v>0</v>
      </c>
      <c r="AN179" s="1948">
        <v>156</v>
      </c>
      <c r="AO179" s="1948">
        <v>108.4</v>
      </c>
      <c r="AP179" s="1948">
        <v>124.8</v>
      </c>
      <c r="AQ179" s="1948">
        <v>0.9798</v>
      </c>
      <c r="AR179" s="1948">
        <v>11.81</v>
      </c>
      <c r="AS179" s="1948">
        <v>9524</v>
      </c>
      <c r="AT179" s="1948">
        <f t="shared" si="38"/>
        <v>48390</v>
      </c>
      <c r="AU179" s="1948">
        <f t="shared" si="39"/>
        <v>0</v>
      </c>
      <c r="AV179" s="1948">
        <v>156</v>
      </c>
      <c r="AW179" s="1948">
        <v>108.88</v>
      </c>
      <c r="AX179" s="1948">
        <v>124.8</v>
      </c>
      <c r="AY179" s="1948">
        <v>0.95489999999999997</v>
      </c>
      <c r="AZ179" s="1948">
        <v>10.050000000000001</v>
      </c>
      <c r="BA179" s="1948">
        <v>7877</v>
      </c>
      <c r="BB179" s="1948">
        <f t="shared" si="40"/>
        <v>47036</v>
      </c>
      <c r="BC179" s="1948">
        <f t="shared" si="41"/>
        <v>0</v>
      </c>
      <c r="BD179" s="1949">
        <v>156</v>
      </c>
      <c r="BE179" s="1948">
        <v>102.4</v>
      </c>
      <c r="BF179" s="1949">
        <v>124.8</v>
      </c>
      <c r="BG179" s="1949">
        <v>0.96360000000000001</v>
      </c>
      <c r="BH179" s="1949">
        <v>13.11</v>
      </c>
      <c r="BI179" s="1948">
        <v>9989</v>
      </c>
      <c r="BJ179" s="1948">
        <f t="shared" si="42"/>
        <v>45711</v>
      </c>
      <c r="BK179" s="1948">
        <f t="shared" si="43"/>
        <v>0</v>
      </c>
    </row>
    <row r="180" spans="1:63" ht="15">
      <c r="A180" s="1946">
        <v>125000000038</v>
      </c>
      <c r="B180" s="1947">
        <f t="shared" si="44"/>
        <v>174</v>
      </c>
      <c r="C180" s="1906" t="s">
        <v>3063</v>
      </c>
      <c r="D180" s="1907" t="s">
        <v>524</v>
      </c>
      <c r="E180" s="1906" t="s">
        <v>541</v>
      </c>
      <c r="F180" s="1948" t="s">
        <v>259</v>
      </c>
      <c r="G180" s="1949">
        <v>156</v>
      </c>
      <c r="H180" s="1948">
        <v>156</v>
      </c>
      <c r="I180" s="1950">
        <v>3.1199999999999997</v>
      </c>
      <c r="J180" s="1948">
        <v>124.8</v>
      </c>
      <c r="K180" s="1948">
        <v>0.87619999999999998</v>
      </c>
      <c r="L180" s="1948">
        <v>30.94</v>
      </c>
      <c r="M180" s="1948">
        <v>695</v>
      </c>
      <c r="N180" s="1948">
        <f t="shared" si="30"/>
        <v>1348</v>
      </c>
      <c r="O180" s="1948">
        <f t="shared" si="31"/>
        <v>0</v>
      </c>
      <c r="P180" s="1948">
        <v>156</v>
      </c>
      <c r="Q180" s="1948">
        <v>2.2399999999999998</v>
      </c>
      <c r="R180" s="1948">
        <v>124.8</v>
      </c>
      <c r="S180" s="1948">
        <v>1</v>
      </c>
      <c r="T180" s="1948">
        <v>26.76</v>
      </c>
      <c r="U180" s="1948">
        <v>446</v>
      </c>
      <c r="V180" s="1948">
        <f t="shared" si="32"/>
        <v>1000</v>
      </c>
      <c r="W180" s="1948">
        <f t="shared" si="33"/>
        <v>0</v>
      </c>
      <c r="X180" s="1948">
        <v>156</v>
      </c>
      <c r="Y180" s="1948">
        <v>1.92</v>
      </c>
      <c r="Z180" s="1948">
        <v>124.8</v>
      </c>
      <c r="AA180" s="1948">
        <v>1</v>
      </c>
      <c r="AB180" s="1948">
        <v>26.55</v>
      </c>
      <c r="AC180" s="1948">
        <v>367</v>
      </c>
      <c r="AD180" s="1948">
        <f t="shared" si="34"/>
        <v>829</v>
      </c>
      <c r="AE180" s="1948">
        <f t="shared" si="35"/>
        <v>0</v>
      </c>
      <c r="AF180" s="1948">
        <v>156</v>
      </c>
      <c r="AG180" s="1948">
        <v>2.48</v>
      </c>
      <c r="AH180" s="1948">
        <v>124.8</v>
      </c>
      <c r="AI180" s="1948">
        <v>0.82579999999999998</v>
      </c>
      <c r="AJ180" s="1948">
        <v>32.68</v>
      </c>
      <c r="AK180" s="1948">
        <v>603</v>
      </c>
      <c r="AL180" s="1948">
        <f t="shared" si="36"/>
        <v>1107</v>
      </c>
      <c r="AM180" s="1948">
        <f t="shared" si="37"/>
        <v>0</v>
      </c>
      <c r="AN180" s="1948">
        <v>156</v>
      </c>
      <c r="AO180" s="1948">
        <v>2.96</v>
      </c>
      <c r="AP180" s="1948">
        <v>124.8</v>
      </c>
      <c r="AQ180" s="1948">
        <v>0.80120000000000002</v>
      </c>
      <c r="AR180" s="1948">
        <v>28.33</v>
      </c>
      <c r="AS180" s="1948">
        <v>624</v>
      </c>
      <c r="AT180" s="1948">
        <f t="shared" si="38"/>
        <v>1321</v>
      </c>
      <c r="AU180" s="1948">
        <f t="shared" si="39"/>
        <v>0</v>
      </c>
      <c r="AV180" s="1948">
        <v>156</v>
      </c>
      <c r="AW180" s="1948">
        <v>2</v>
      </c>
      <c r="AX180" s="1948">
        <v>124.8</v>
      </c>
      <c r="AY180" s="1948">
        <v>0.99629999999999996</v>
      </c>
      <c r="AZ180" s="1948">
        <v>19.54</v>
      </c>
      <c r="BA180" s="1948">
        <v>272</v>
      </c>
      <c r="BB180" s="1948">
        <f t="shared" si="40"/>
        <v>864</v>
      </c>
      <c r="BC180" s="1948">
        <f t="shared" si="41"/>
        <v>0</v>
      </c>
      <c r="BD180" s="1949">
        <v>156</v>
      </c>
      <c r="BE180" s="1948">
        <v>2</v>
      </c>
      <c r="BF180" s="1949">
        <v>124.8</v>
      </c>
      <c r="BG180" s="1949">
        <v>0</v>
      </c>
      <c r="BH180" s="1949">
        <v>0</v>
      </c>
      <c r="BI180" s="1948">
        <v>0</v>
      </c>
      <c r="BJ180" s="1948">
        <f t="shared" si="42"/>
        <v>893</v>
      </c>
      <c r="BK180" s="1948">
        <f t="shared" si="43"/>
        <v>0</v>
      </c>
    </row>
    <row r="181" spans="1:63" ht="15">
      <c r="A181" s="1946">
        <v>611000000106</v>
      </c>
      <c r="B181" s="1947">
        <f t="shared" si="44"/>
        <v>175</v>
      </c>
      <c r="C181" s="1906" t="s">
        <v>3064</v>
      </c>
      <c r="D181" s="1907" t="s">
        <v>524</v>
      </c>
      <c r="E181" s="1906" t="s">
        <v>541</v>
      </c>
      <c r="F181" s="1948" t="s">
        <v>259</v>
      </c>
      <c r="G181" s="1949">
        <v>156</v>
      </c>
      <c r="H181" s="1948">
        <v>156</v>
      </c>
      <c r="I181" s="1950">
        <v>85.92</v>
      </c>
      <c r="J181" s="1948">
        <v>124.8</v>
      </c>
      <c r="K181" s="1948">
        <v>0.98540000000000005</v>
      </c>
      <c r="L181" s="1948">
        <v>49.08</v>
      </c>
      <c r="M181" s="1948">
        <v>30360</v>
      </c>
      <c r="N181" s="1948">
        <f t="shared" si="30"/>
        <v>37117</v>
      </c>
      <c r="O181" s="1948">
        <f t="shared" si="31"/>
        <v>0</v>
      </c>
      <c r="P181" s="1948">
        <v>156</v>
      </c>
      <c r="Q181" s="1948">
        <v>96.48</v>
      </c>
      <c r="R181" s="1948">
        <v>124.8</v>
      </c>
      <c r="S181" s="1948">
        <v>0.97230000000000005</v>
      </c>
      <c r="T181" s="1948">
        <v>43.09</v>
      </c>
      <c r="U181" s="1948">
        <v>30933</v>
      </c>
      <c r="V181" s="1948">
        <f t="shared" si="32"/>
        <v>43069</v>
      </c>
      <c r="W181" s="1948">
        <f t="shared" si="33"/>
        <v>0</v>
      </c>
      <c r="X181" s="1948">
        <v>156</v>
      </c>
      <c r="Y181" s="1948">
        <v>90.360000000000014</v>
      </c>
      <c r="Z181" s="1948">
        <v>124.8</v>
      </c>
      <c r="AA181" s="1948">
        <v>0.97629999999999995</v>
      </c>
      <c r="AB181" s="1948">
        <v>34.81</v>
      </c>
      <c r="AC181" s="1948">
        <v>22647</v>
      </c>
      <c r="AD181" s="1948">
        <f t="shared" si="34"/>
        <v>39036</v>
      </c>
      <c r="AE181" s="1948">
        <f t="shared" si="35"/>
        <v>0</v>
      </c>
      <c r="AF181" s="1948">
        <v>156</v>
      </c>
      <c r="AG181" s="1948">
        <v>95.4</v>
      </c>
      <c r="AH181" s="1948">
        <v>124.8</v>
      </c>
      <c r="AI181" s="1948">
        <v>0.92969999999999997</v>
      </c>
      <c r="AJ181" s="1948">
        <v>38.79</v>
      </c>
      <c r="AK181" s="1948">
        <v>27533</v>
      </c>
      <c r="AL181" s="1948">
        <f t="shared" si="36"/>
        <v>42587</v>
      </c>
      <c r="AM181" s="1948">
        <f t="shared" si="37"/>
        <v>0</v>
      </c>
      <c r="AN181" s="1948">
        <v>156</v>
      </c>
      <c r="AO181" s="1948">
        <v>101.16</v>
      </c>
      <c r="AP181" s="1948">
        <v>124.8</v>
      </c>
      <c r="AQ181" s="1948">
        <v>0.9466</v>
      </c>
      <c r="AR181" s="1948">
        <v>36.67</v>
      </c>
      <c r="AS181" s="1948">
        <v>27598</v>
      </c>
      <c r="AT181" s="1948">
        <f t="shared" si="38"/>
        <v>45158</v>
      </c>
      <c r="AU181" s="1948">
        <f t="shared" si="39"/>
        <v>0</v>
      </c>
      <c r="AV181" s="1948">
        <v>156</v>
      </c>
      <c r="AW181" s="1948">
        <v>117.60000000000001</v>
      </c>
      <c r="AX181" s="1948">
        <v>124.8</v>
      </c>
      <c r="AY181" s="1948">
        <v>0.97740000000000005</v>
      </c>
      <c r="AZ181" s="1948">
        <v>25.17</v>
      </c>
      <c r="BA181" s="1948">
        <v>21308</v>
      </c>
      <c r="BB181" s="1948">
        <f t="shared" si="40"/>
        <v>50803</v>
      </c>
      <c r="BC181" s="1948">
        <f t="shared" si="41"/>
        <v>0</v>
      </c>
      <c r="BD181" s="1949">
        <v>156</v>
      </c>
      <c r="BE181" s="1948">
        <v>95.16</v>
      </c>
      <c r="BF181" s="1949">
        <v>124.8</v>
      </c>
      <c r="BG181" s="1949">
        <v>0.98529999999999995</v>
      </c>
      <c r="BH181" s="1949">
        <v>38.450000000000003</v>
      </c>
      <c r="BI181" s="1948">
        <v>27222</v>
      </c>
      <c r="BJ181" s="1948">
        <f t="shared" si="42"/>
        <v>42479</v>
      </c>
      <c r="BK181" s="1948">
        <f t="shared" si="43"/>
        <v>0</v>
      </c>
    </row>
    <row r="182" spans="1:63" ht="15">
      <c r="A182" s="1946">
        <v>615000000042</v>
      </c>
      <c r="B182" s="1947">
        <f t="shared" si="44"/>
        <v>176</v>
      </c>
      <c r="C182" s="1906" t="s">
        <v>3059</v>
      </c>
      <c r="D182" s="1907" t="s">
        <v>524</v>
      </c>
      <c r="E182" s="1906" t="s">
        <v>541</v>
      </c>
      <c r="F182" s="1948" t="s">
        <v>259</v>
      </c>
      <c r="G182" s="1949">
        <v>156</v>
      </c>
      <c r="H182" s="1948">
        <v>156</v>
      </c>
      <c r="I182" s="1950">
        <v>133.80000000000001</v>
      </c>
      <c r="J182" s="1948">
        <v>133.80000000000001</v>
      </c>
      <c r="K182" s="1948">
        <v>0.95030000000000003</v>
      </c>
      <c r="L182" s="1948">
        <v>20.63</v>
      </c>
      <c r="M182" s="1948">
        <v>19877</v>
      </c>
      <c r="N182" s="1948">
        <f t="shared" si="30"/>
        <v>57802</v>
      </c>
      <c r="O182" s="1948">
        <f t="shared" si="31"/>
        <v>0</v>
      </c>
      <c r="P182" s="1948">
        <v>156</v>
      </c>
      <c r="Q182" s="1948">
        <v>114.60000000000001</v>
      </c>
      <c r="R182" s="1948">
        <v>124.8</v>
      </c>
      <c r="S182" s="1948">
        <v>0.98450000000000004</v>
      </c>
      <c r="T182" s="1948">
        <v>21.53</v>
      </c>
      <c r="U182" s="1948">
        <v>18358</v>
      </c>
      <c r="V182" s="1948">
        <f t="shared" si="32"/>
        <v>51157</v>
      </c>
      <c r="W182" s="1948">
        <f t="shared" si="33"/>
        <v>0</v>
      </c>
      <c r="X182" s="1948">
        <v>156</v>
      </c>
      <c r="Y182" s="1948">
        <v>95.16</v>
      </c>
      <c r="Z182" s="1948">
        <v>124.8</v>
      </c>
      <c r="AA182" s="1948">
        <v>0.9849</v>
      </c>
      <c r="AB182" s="1948">
        <v>6.19</v>
      </c>
      <c r="AC182" s="1948">
        <v>4243</v>
      </c>
      <c r="AD182" s="1948">
        <f t="shared" si="34"/>
        <v>41109</v>
      </c>
      <c r="AE182" s="1948">
        <f t="shared" si="35"/>
        <v>0</v>
      </c>
      <c r="AF182" s="1948">
        <v>156</v>
      </c>
      <c r="AG182" s="1948">
        <v>107.16000000000001</v>
      </c>
      <c r="AH182" s="1948">
        <v>124.8</v>
      </c>
      <c r="AI182" s="1948">
        <v>0.97860000000000003</v>
      </c>
      <c r="AJ182" s="1948">
        <v>11.03</v>
      </c>
      <c r="AK182" s="1948">
        <v>8796</v>
      </c>
      <c r="AL182" s="1948">
        <f t="shared" si="36"/>
        <v>47836</v>
      </c>
      <c r="AM182" s="1948">
        <f t="shared" si="37"/>
        <v>0</v>
      </c>
      <c r="AN182" s="1948">
        <v>156</v>
      </c>
      <c r="AO182" s="1948">
        <v>102.96000000000001</v>
      </c>
      <c r="AP182" s="1948">
        <v>124.8</v>
      </c>
      <c r="AQ182" s="1948">
        <v>0.9849</v>
      </c>
      <c r="AR182" s="1948">
        <v>14.53</v>
      </c>
      <c r="AS182" s="1948">
        <v>11132</v>
      </c>
      <c r="AT182" s="1948">
        <f t="shared" si="38"/>
        <v>45961</v>
      </c>
      <c r="AU182" s="1948">
        <f t="shared" si="39"/>
        <v>0</v>
      </c>
      <c r="AV182" s="1948">
        <v>156</v>
      </c>
      <c r="AW182" s="1948">
        <v>104.76</v>
      </c>
      <c r="AX182" s="1948">
        <v>124.8</v>
      </c>
      <c r="AY182" s="1948">
        <v>0.98570000000000002</v>
      </c>
      <c r="AZ182" s="1948">
        <v>18.079999999999998</v>
      </c>
      <c r="BA182" s="1948">
        <v>13638</v>
      </c>
      <c r="BB182" s="1948">
        <f t="shared" si="40"/>
        <v>45256</v>
      </c>
      <c r="BC182" s="1948">
        <f t="shared" si="41"/>
        <v>0</v>
      </c>
      <c r="BD182" s="1949">
        <v>156</v>
      </c>
      <c r="BE182" s="1948">
        <v>112.92</v>
      </c>
      <c r="BF182" s="1949">
        <v>124.8</v>
      </c>
      <c r="BG182" s="1949">
        <v>0.98480000000000001</v>
      </c>
      <c r="BH182" s="1949">
        <v>18.91</v>
      </c>
      <c r="BI182" s="1948">
        <v>15889</v>
      </c>
      <c r="BJ182" s="1948">
        <f t="shared" si="42"/>
        <v>50407</v>
      </c>
      <c r="BK182" s="1948">
        <f t="shared" si="43"/>
        <v>0</v>
      </c>
    </row>
    <row r="183" spans="1:63" ht="15">
      <c r="A183" s="1946">
        <v>615000000043</v>
      </c>
      <c r="B183" s="1947">
        <f t="shared" si="44"/>
        <v>177</v>
      </c>
      <c r="C183" s="1906" t="s">
        <v>3060</v>
      </c>
      <c r="D183" s="1907" t="s">
        <v>524</v>
      </c>
      <c r="E183" s="1906" t="s">
        <v>541</v>
      </c>
      <c r="F183" s="1948" t="s">
        <v>259</v>
      </c>
      <c r="G183" s="1949">
        <v>156</v>
      </c>
      <c r="H183" s="1948">
        <v>156</v>
      </c>
      <c r="I183" s="1950">
        <v>115.21</v>
      </c>
      <c r="J183" s="1948">
        <v>124.8</v>
      </c>
      <c r="K183" s="1948">
        <v>0.95279999999999998</v>
      </c>
      <c r="L183" s="1948">
        <v>19.32</v>
      </c>
      <c r="M183" s="1948">
        <v>16024</v>
      </c>
      <c r="N183" s="1948">
        <f t="shared" si="30"/>
        <v>49771</v>
      </c>
      <c r="O183" s="1948">
        <f t="shared" si="31"/>
        <v>0</v>
      </c>
      <c r="P183" s="1948">
        <v>156</v>
      </c>
      <c r="Q183" s="1948">
        <v>385.74400000000003</v>
      </c>
      <c r="R183" s="1948">
        <v>124.8</v>
      </c>
      <c r="S183" s="1948">
        <v>0.93589999999999995</v>
      </c>
      <c r="T183" s="1948">
        <v>19.39</v>
      </c>
      <c r="U183" s="1948">
        <v>13913</v>
      </c>
      <c r="V183" s="1948">
        <f t="shared" si="32"/>
        <v>172196</v>
      </c>
      <c r="W183" s="1948">
        <f t="shared" si="33"/>
        <v>0</v>
      </c>
      <c r="X183" s="1948">
        <v>156</v>
      </c>
      <c r="Y183" s="1948">
        <v>91.983999999999995</v>
      </c>
      <c r="Z183" s="1948">
        <v>124.8</v>
      </c>
      <c r="AA183" s="1948">
        <v>0.95730000000000004</v>
      </c>
      <c r="AB183" s="1948">
        <v>5.7</v>
      </c>
      <c r="AC183" s="1948">
        <v>3772</v>
      </c>
      <c r="AD183" s="1948">
        <f t="shared" si="34"/>
        <v>39737</v>
      </c>
      <c r="AE183" s="1948">
        <f t="shared" si="35"/>
        <v>0</v>
      </c>
      <c r="AF183" s="1948">
        <v>156</v>
      </c>
      <c r="AG183" s="1948">
        <v>99.681600000000003</v>
      </c>
      <c r="AH183" s="1948">
        <v>124.8</v>
      </c>
      <c r="AI183" s="1948">
        <v>0.92469999999999997</v>
      </c>
      <c r="AJ183" s="1948">
        <v>10.199999999999999</v>
      </c>
      <c r="AK183" s="1948">
        <v>7563</v>
      </c>
      <c r="AL183" s="1948">
        <f t="shared" si="36"/>
        <v>44498</v>
      </c>
      <c r="AM183" s="1948">
        <f t="shared" si="37"/>
        <v>0</v>
      </c>
      <c r="AN183" s="1948">
        <v>156</v>
      </c>
      <c r="AO183" s="1948">
        <v>107.92319999999999</v>
      </c>
      <c r="AP183" s="1948">
        <v>124.8</v>
      </c>
      <c r="AQ183" s="1948">
        <v>0.93279999999999996</v>
      </c>
      <c r="AR183" s="1948">
        <v>15.04</v>
      </c>
      <c r="AS183" s="1948">
        <v>12079</v>
      </c>
      <c r="AT183" s="1948">
        <f t="shared" si="38"/>
        <v>48177</v>
      </c>
      <c r="AU183" s="1948">
        <f t="shared" si="39"/>
        <v>0</v>
      </c>
      <c r="AV183" s="1948">
        <v>156</v>
      </c>
      <c r="AW183" s="1948">
        <v>124.024</v>
      </c>
      <c r="AX183" s="1948">
        <v>124.8</v>
      </c>
      <c r="AY183" s="1948">
        <v>0.92949999999999999</v>
      </c>
      <c r="AZ183" s="1948">
        <v>12.55</v>
      </c>
      <c r="BA183" s="1948">
        <v>11204</v>
      </c>
      <c r="BB183" s="1948">
        <f t="shared" si="40"/>
        <v>53578</v>
      </c>
      <c r="BC183" s="1948">
        <f t="shared" si="41"/>
        <v>0</v>
      </c>
      <c r="BD183" s="1949">
        <v>156</v>
      </c>
      <c r="BE183" s="1948">
        <v>109.57599999999999</v>
      </c>
      <c r="BF183" s="1949">
        <v>124.8</v>
      </c>
      <c r="BG183" s="1949">
        <v>0.92849999999999999</v>
      </c>
      <c r="BH183" s="1949">
        <v>14.76</v>
      </c>
      <c r="BI183" s="1948">
        <v>12036</v>
      </c>
      <c r="BJ183" s="1948">
        <f t="shared" si="42"/>
        <v>48915</v>
      </c>
      <c r="BK183" s="1948">
        <f t="shared" si="43"/>
        <v>0</v>
      </c>
    </row>
    <row r="184" spans="1:63" ht="15">
      <c r="A184" s="1946">
        <v>123000000048</v>
      </c>
      <c r="B184" s="1947">
        <f t="shared" si="44"/>
        <v>178</v>
      </c>
      <c r="C184" s="1906" t="s">
        <v>3068</v>
      </c>
      <c r="D184" s="1907" t="s">
        <v>524</v>
      </c>
      <c r="E184" s="1906" t="s">
        <v>541</v>
      </c>
      <c r="F184" s="1948" t="s">
        <v>259</v>
      </c>
      <c r="G184" s="1949">
        <v>160</v>
      </c>
      <c r="H184" s="1948">
        <v>160</v>
      </c>
      <c r="I184" s="1950">
        <v>153.04</v>
      </c>
      <c r="J184" s="1948">
        <v>153.04</v>
      </c>
      <c r="K184" s="1948">
        <v>0.99480000000000002</v>
      </c>
      <c r="L184" s="1948">
        <v>47</v>
      </c>
      <c r="M184" s="1948">
        <v>51788</v>
      </c>
      <c r="N184" s="1948">
        <f t="shared" si="30"/>
        <v>66113</v>
      </c>
      <c r="O184" s="1948">
        <f t="shared" si="31"/>
        <v>0</v>
      </c>
      <c r="P184" s="1948">
        <v>160</v>
      </c>
      <c r="Q184" s="1948">
        <v>155.04</v>
      </c>
      <c r="R184" s="1948">
        <v>155.04</v>
      </c>
      <c r="S184" s="1948">
        <v>0.99360000000000004</v>
      </c>
      <c r="T184" s="1948">
        <v>53.57</v>
      </c>
      <c r="U184" s="1948">
        <v>61791</v>
      </c>
      <c r="V184" s="1948">
        <f t="shared" si="32"/>
        <v>69210</v>
      </c>
      <c r="W184" s="1948">
        <f t="shared" si="33"/>
        <v>0</v>
      </c>
      <c r="X184" s="1948">
        <v>160</v>
      </c>
      <c r="Y184" s="1948">
        <v>201.12</v>
      </c>
      <c r="Z184" s="1948">
        <v>201.12</v>
      </c>
      <c r="AA184" s="1948">
        <v>0.99160000000000004</v>
      </c>
      <c r="AB184" s="1948">
        <v>65.61</v>
      </c>
      <c r="AC184" s="1948">
        <v>95008</v>
      </c>
      <c r="AD184" s="1948">
        <f t="shared" si="34"/>
        <v>86884</v>
      </c>
      <c r="AE184" s="1948">
        <f t="shared" si="35"/>
        <v>8124</v>
      </c>
      <c r="AF184" s="1948">
        <v>160</v>
      </c>
      <c r="AG184" s="1948">
        <v>179.6</v>
      </c>
      <c r="AH184" s="1948">
        <v>179.6</v>
      </c>
      <c r="AI184" s="1948">
        <v>0.997</v>
      </c>
      <c r="AJ184" s="1948">
        <v>72.34</v>
      </c>
      <c r="AK184" s="1948">
        <v>96669</v>
      </c>
      <c r="AL184" s="1948">
        <f t="shared" si="36"/>
        <v>80173</v>
      </c>
      <c r="AM184" s="1948">
        <f t="shared" si="37"/>
        <v>16496</v>
      </c>
      <c r="AN184" s="1948">
        <v>160</v>
      </c>
      <c r="AO184" s="1948">
        <v>204.72000000000003</v>
      </c>
      <c r="AP184" s="1948">
        <v>204.72</v>
      </c>
      <c r="AQ184" s="1948">
        <v>0.98519999999999996</v>
      </c>
      <c r="AR184" s="1948">
        <v>57.8</v>
      </c>
      <c r="AS184" s="1948">
        <v>88039</v>
      </c>
      <c r="AT184" s="1948">
        <f t="shared" si="38"/>
        <v>91387</v>
      </c>
      <c r="AU184" s="1948">
        <f t="shared" si="39"/>
        <v>0</v>
      </c>
      <c r="AV184" s="1948">
        <v>160</v>
      </c>
      <c r="AW184" s="1948">
        <v>181.04</v>
      </c>
      <c r="AX184" s="1948">
        <v>181.04</v>
      </c>
      <c r="AY184" s="1948">
        <v>0.97450000000000003</v>
      </c>
      <c r="AZ184" s="1948">
        <v>69.540000000000006</v>
      </c>
      <c r="BA184" s="1948">
        <v>90639</v>
      </c>
      <c r="BB184" s="1948">
        <f t="shared" si="40"/>
        <v>78209</v>
      </c>
      <c r="BC184" s="1948">
        <f t="shared" si="41"/>
        <v>12430</v>
      </c>
      <c r="BD184" s="1949">
        <v>160</v>
      </c>
      <c r="BE184" s="1948">
        <v>182.4</v>
      </c>
      <c r="BF184" s="1949">
        <v>182.4</v>
      </c>
      <c r="BG184" s="1949">
        <v>0.96950000000000003</v>
      </c>
      <c r="BH184" s="1949">
        <v>65.94</v>
      </c>
      <c r="BI184" s="1948">
        <v>89485</v>
      </c>
      <c r="BJ184" s="1948">
        <f t="shared" si="42"/>
        <v>81423</v>
      </c>
      <c r="BK184" s="1948">
        <f t="shared" si="43"/>
        <v>8062</v>
      </c>
    </row>
    <row r="185" spans="1:63" ht="15">
      <c r="A185" s="1946">
        <v>127000000020</v>
      </c>
      <c r="B185" s="1947">
        <f t="shared" si="44"/>
        <v>179</v>
      </c>
      <c r="C185" s="1906" t="s">
        <v>3066</v>
      </c>
      <c r="D185" s="1907" t="s">
        <v>524</v>
      </c>
      <c r="E185" s="1906" t="s">
        <v>636</v>
      </c>
      <c r="F185" s="1948" t="s">
        <v>259</v>
      </c>
      <c r="G185" s="1949">
        <v>160</v>
      </c>
      <c r="H185" s="1948">
        <v>160</v>
      </c>
      <c r="I185" s="1950">
        <v>116.96</v>
      </c>
      <c r="J185" s="1948">
        <v>128</v>
      </c>
      <c r="K185" s="1948">
        <v>0.96</v>
      </c>
      <c r="L185" s="1948">
        <v>67.5</v>
      </c>
      <c r="M185" s="1948">
        <v>56844</v>
      </c>
      <c r="N185" s="1948">
        <f t="shared" si="30"/>
        <v>50527</v>
      </c>
      <c r="O185" s="1948">
        <f t="shared" si="31"/>
        <v>6317</v>
      </c>
      <c r="P185" s="1948">
        <v>160</v>
      </c>
      <c r="Q185" s="1948">
        <v>112.79999999999998</v>
      </c>
      <c r="R185" s="1948">
        <v>128</v>
      </c>
      <c r="S185" s="1948">
        <v>0.95860000000000001</v>
      </c>
      <c r="T185" s="1948">
        <v>67.12</v>
      </c>
      <c r="U185" s="1948">
        <v>56330</v>
      </c>
      <c r="V185" s="1948">
        <f t="shared" si="32"/>
        <v>50354</v>
      </c>
      <c r="W185" s="1948">
        <f t="shared" si="33"/>
        <v>5976</v>
      </c>
      <c r="X185" s="1948">
        <v>160</v>
      </c>
      <c r="Y185" s="1948">
        <v>116.64000000000001</v>
      </c>
      <c r="Z185" s="1948">
        <v>128</v>
      </c>
      <c r="AA185" s="1948">
        <v>0.94259999999999999</v>
      </c>
      <c r="AB185" s="1948">
        <v>45</v>
      </c>
      <c r="AC185" s="1948">
        <v>37788</v>
      </c>
      <c r="AD185" s="1948">
        <f t="shared" si="34"/>
        <v>50388</v>
      </c>
      <c r="AE185" s="1948">
        <f t="shared" si="35"/>
        <v>0</v>
      </c>
      <c r="AF185" s="1948">
        <v>160</v>
      </c>
      <c r="AG185" s="1948">
        <v>111.68</v>
      </c>
      <c r="AH185" s="1948">
        <v>128</v>
      </c>
      <c r="AI185" s="1948">
        <v>0.95</v>
      </c>
      <c r="AJ185" s="1948">
        <v>42.03</v>
      </c>
      <c r="AK185" s="1948">
        <v>34925</v>
      </c>
      <c r="AL185" s="1948">
        <f t="shared" si="36"/>
        <v>49854</v>
      </c>
      <c r="AM185" s="1948">
        <f t="shared" si="37"/>
        <v>0</v>
      </c>
      <c r="AN185" s="1948">
        <v>160</v>
      </c>
      <c r="AO185" s="1948">
        <v>116.48</v>
      </c>
      <c r="AP185" s="1948">
        <v>128</v>
      </c>
      <c r="AQ185" s="1948">
        <v>0.96530000000000005</v>
      </c>
      <c r="AR185" s="1948">
        <v>69.83</v>
      </c>
      <c r="AS185" s="1948">
        <v>60515</v>
      </c>
      <c r="AT185" s="1948">
        <f t="shared" si="38"/>
        <v>51997</v>
      </c>
      <c r="AU185" s="1948">
        <f t="shared" si="39"/>
        <v>8518</v>
      </c>
      <c r="AV185" s="1948">
        <v>160</v>
      </c>
      <c r="AW185" s="1948">
        <v>123.2</v>
      </c>
      <c r="AX185" s="1948">
        <v>128</v>
      </c>
      <c r="AY185" s="1948">
        <v>0.94720000000000004</v>
      </c>
      <c r="AZ185" s="1948">
        <v>35.29</v>
      </c>
      <c r="BA185" s="1948">
        <v>31301</v>
      </c>
      <c r="BB185" s="1948">
        <f t="shared" si="40"/>
        <v>53222</v>
      </c>
      <c r="BC185" s="1948">
        <f t="shared" si="41"/>
        <v>0</v>
      </c>
      <c r="BD185" s="1949">
        <v>160</v>
      </c>
      <c r="BE185" s="1948">
        <v>124.64</v>
      </c>
      <c r="BF185" s="1949">
        <v>128</v>
      </c>
      <c r="BG185" s="1949">
        <v>0.95020000000000004</v>
      </c>
      <c r="BH185" s="1949">
        <v>58.1</v>
      </c>
      <c r="BI185" s="1948">
        <v>53876</v>
      </c>
      <c r="BJ185" s="1948">
        <f t="shared" si="42"/>
        <v>55639</v>
      </c>
      <c r="BK185" s="1948">
        <f t="shared" si="43"/>
        <v>0</v>
      </c>
    </row>
    <row r="186" spans="1:63" ht="15">
      <c r="A186" s="1946">
        <v>124000000003</v>
      </c>
      <c r="B186" s="1947">
        <f t="shared" si="44"/>
        <v>180</v>
      </c>
      <c r="C186" s="1906" t="s">
        <v>3069</v>
      </c>
      <c r="D186" s="1907" t="s">
        <v>524</v>
      </c>
      <c r="E186" s="1906" t="s">
        <v>636</v>
      </c>
      <c r="F186" s="1948" t="s">
        <v>259</v>
      </c>
      <c r="G186" s="1949">
        <v>160</v>
      </c>
      <c r="H186" s="1948">
        <v>160</v>
      </c>
      <c r="I186" s="1950">
        <v>43.8</v>
      </c>
      <c r="J186" s="1948">
        <v>128</v>
      </c>
      <c r="K186" s="1948">
        <v>1</v>
      </c>
      <c r="L186" s="1948">
        <v>63.82</v>
      </c>
      <c r="M186" s="1948">
        <v>20127</v>
      </c>
      <c r="N186" s="1948">
        <f t="shared" si="30"/>
        <v>18922</v>
      </c>
      <c r="O186" s="1948">
        <f t="shared" si="31"/>
        <v>1205</v>
      </c>
      <c r="P186" s="1948">
        <v>160</v>
      </c>
      <c r="Q186" s="1948">
        <v>51.72</v>
      </c>
      <c r="R186" s="1948">
        <v>128</v>
      </c>
      <c r="S186" s="1948">
        <v>0.99990000000000001</v>
      </c>
      <c r="T186" s="1948">
        <v>55.59</v>
      </c>
      <c r="U186" s="1948">
        <v>21391</v>
      </c>
      <c r="V186" s="1948">
        <f t="shared" si="32"/>
        <v>23088</v>
      </c>
      <c r="W186" s="1948">
        <f t="shared" si="33"/>
        <v>0</v>
      </c>
      <c r="X186" s="1948">
        <v>160</v>
      </c>
      <c r="Y186" s="1948">
        <v>55.44</v>
      </c>
      <c r="Z186" s="1948">
        <v>128</v>
      </c>
      <c r="AA186" s="1948">
        <v>0.99990000000000001</v>
      </c>
      <c r="AB186" s="1948">
        <v>52.67</v>
      </c>
      <c r="AC186" s="1948">
        <v>21024</v>
      </c>
      <c r="AD186" s="1948">
        <f t="shared" si="34"/>
        <v>23950</v>
      </c>
      <c r="AE186" s="1948">
        <f t="shared" si="35"/>
        <v>0</v>
      </c>
      <c r="AF186" s="1948">
        <v>160</v>
      </c>
      <c r="AG186" s="1948">
        <v>50.04</v>
      </c>
      <c r="AH186" s="1948">
        <v>128</v>
      </c>
      <c r="AI186" s="1948">
        <v>1</v>
      </c>
      <c r="AJ186" s="1948">
        <v>58.39</v>
      </c>
      <c r="AK186" s="1948">
        <v>21739</v>
      </c>
      <c r="AL186" s="1948">
        <f t="shared" si="36"/>
        <v>22338</v>
      </c>
      <c r="AM186" s="1948">
        <f t="shared" si="37"/>
        <v>0</v>
      </c>
      <c r="AN186" s="1948">
        <v>160</v>
      </c>
      <c r="AO186" s="1948">
        <v>47.279999999999994</v>
      </c>
      <c r="AP186" s="1948">
        <v>128</v>
      </c>
      <c r="AQ186" s="1948">
        <v>0.99990000000000001</v>
      </c>
      <c r="AR186" s="1948">
        <v>60.07</v>
      </c>
      <c r="AS186" s="1948">
        <v>21129</v>
      </c>
      <c r="AT186" s="1948">
        <f t="shared" si="38"/>
        <v>21106</v>
      </c>
      <c r="AU186" s="1948">
        <f t="shared" si="39"/>
        <v>23</v>
      </c>
      <c r="AV186" s="1948">
        <v>160</v>
      </c>
      <c r="AW186" s="1948">
        <v>47.4</v>
      </c>
      <c r="AX186" s="1948">
        <v>128</v>
      </c>
      <c r="AY186" s="1948">
        <v>0.99990000000000001</v>
      </c>
      <c r="AZ186" s="1948">
        <v>58.16</v>
      </c>
      <c r="BA186" s="1948">
        <v>19848</v>
      </c>
      <c r="BB186" s="1948">
        <f t="shared" si="40"/>
        <v>20477</v>
      </c>
      <c r="BC186" s="1948">
        <f t="shared" si="41"/>
        <v>0</v>
      </c>
      <c r="BD186" s="1949">
        <v>160</v>
      </c>
      <c r="BE186" s="1948">
        <v>45.6</v>
      </c>
      <c r="BF186" s="1949">
        <v>128</v>
      </c>
      <c r="BG186" s="1949">
        <v>1</v>
      </c>
      <c r="BH186" s="1949">
        <v>57.02</v>
      </c>
      <c r="BI186" s="1948">
        <v>19346</v>
      </c>
      <c r="BJ186" s="1948">
        <f t="shared" si="42"/>
        <v>20356</v>
      </c>
      <c r="BK186" s="1948">
        <f t="shared" si="43"/>
        <v>0</v>
      </c>
    </row>
    <row r="187" spans="1:63" ht="15">
      <c r="A187" s="1946">
        <v>121000000032</v>
      </c>
      <c r="B187" s="1947">
        <f t="shared" si="44"/>
        <v>181</v>
      </c>
      <c r="C187" s="1906" t="s">
        <v>3067</v>
      </c>
      <c r="D187" s="1907" t="s">
        <v>524</v>
      </c>
      <c r="E187" s="1906" t="s">
        <v>541</v>
      </c>
      <c r="F187" s="1948" t="s">
        <v>259</v>
      </c>
      <c r="G187" s="1949">
        <v>160</v>
      </c>
      <c r="H187" s="1948">
        <v>160</v>
      </c>
      <c r="I187" s="1950">
        <v>101.2</v>
      </c>
      <c r="J187" s="1948">
        <v>128</v>
      </c>
      <c r="K187" s="1948">
        <v>0.97660000000000002</v>
      </c>
      <c r="L187" s="1948">
        <v>10.29</v>
      </c>
      <c r="M187" s="1948">
        <v>8996</v>
      </c>
      <c r="N187" s="1948">
        <f t="shared" si="30"/>
        <v>43718</v>
      </c>
      <c r="O187" s="1948">
        <f t="shared" si="31"/>
        <v>0</v>
      </c>
      <c r="P187" s="1948">
        <v>160</v>
      </c>
      <c r="Q187" s="1948">
        <v>91.759999999999991</v>
      </c>
      <c r="R187" s="1948">
        <v>128</v>
      </c>
      <c r="S187" s="1948">
        <v>0.98499999999999999</v>
      </c>
      <c r="T187" s="1948">
        <v>5.64</v>
      </c>
      <c r="U187" s="1948">
        <v>3604</v>
      </c>
      <c r="V187" s="1948">
        <f t="shared" si="32"/>
        <v>40962</v>
      </c>
      <c r="W187" s="1948">
        <f t="shared" si="33"/>
        <v>0</v>
      </c>
      <c r="X187" s="1948">
        <v>160</v>
      </c>
      <c r="Y187" s="1948">
        <v>94.48</v>
      </c>
      <c r="Z187" s="1948">
        <v>128</v>
      </c>
      <c r="AA187" s="1948">
        <v>0.99099999999999999</v>
      </c>
      <c r="AB187" s="1948">
        <v>6.9</v>
      </c>
      <c r="AC187" s="1948">
        <v>4382</v>
      </c>
      <c r="AD187" s="1948">
        <f t="shared" si="34"/>
        <v>40815</v>
      </c>
      <c r="AE187" s="1948">
        <f t="shared" si="35"/>
        <v>0</v>
      </c>
      <c r="AF187" s="1948">
        <v>160</v>
      </c>
      <c r="AG187" s="1948">
        <v>102.08</v>
      </c>
      <c r="AH187" s="1948">
        <v>128</v>
      </c>
      <c r="AI187" s="1948">
        <v>0.97789999999999999</v>
      </c>
      <c r="AJ187" s="1948">
        <v>8.08</v>
      </c>
      <c r="AK187" s="1948">
        <v>5937</v>
      </c>
      <c r="AL187" s="1948">
        <f t="shared" si="36"/>
        <v>45569</v>
      </c>
      <c r="AM187" s="1948">
        <f t="shared" si="37"/>
        <v>0</v>
      </c>
      <c r="AN187" s="1948">
        <v>160</v>
      </c>
      <c r="AO187" s="1948">
        <v>1.0207999999999999</v>
      </c>
      <c r="AP187" s="1948">
        <v>128</v>
      </c>
      <c r="AQ187" s="1948">
        <v>0.98360000000000003</v>
      </c>
      <c r="AR187" s="1948">
        <v>6.22</v>
      </c>
      <c r="AS187" s="1948">
        <v>5487</v>
      </c>
      <c r="AT187" s="1948">
        <f t="shared" si="38"/>
        <v>456</v>
      </c>
      <c r="AU187" s="1948">
        <f t="shared" si="39"/>
        <v>5031</v>
      </c>
      <c r="AV187" s="1948">
        <v>160</v>
      </c>
      <c r="AW187" s="1948">
        <v>55.588000000000001</v>
      </c>
      <c r="AX187" s="1948">
        <v>128</v>
      </c>
      <c r="AY187" s="1948">
        <v>0.96779999999999999</v>
      </c>
      <c r="AZ187" s="1948">
        <v>8.7799999999999994</v>
      </c>
      <c r="BA187" s="1948">
        <v>3515</v>
      </c>
      <c r="BB187" s="1948">
        <f t="shared" si="40"/>
        <v>24014</v>
      </c>
      <c r="BC187" s="1948">
        <f t="shared" si="41"/>
        <v>0</v>
      </c>
      <c r="BD187" s="1949">
        <v>160</v>
      </c>
      <c r="BE187" s="1948">
        <v>18.303999999999998</v>
      </c>
      <c r="BF187" s="1949">
        <v>128</v>
      </c>
      <c r="BG187" s="1949">
        <v>0.95960000000000001</v>
      </c>
      <c r="BH187" s="1949">
        <v>20.76</v>
      </c>
      <c r="BI187" s="1948">
        <v>2827</v>
      </c>
      <c r="BJ187" s="1948">
        <f t="shared" si="42"/>
        <v>8171</v>
      </c>
      <c r="BK187" s="1948">
        <f t="shared" si="43"/>
        <v>0</v>
      </c>
    </row>
    <row r="188" spans="1:63" ht="15">
      <c r="A188" s="1946">
        <v>613000000038</v>
      </c>
      <c r="B188" s="1947">
        <f t="shared" si="44"/>
        <v>182</v>
      </c>
      <c r="C188" s="1906" t="s">
        <v>3065</v>
      </c>
      <c r="D188" s="1907" t="s">
        <v>524</v>
      </c>
      <c r="E188" s="1906" t="s">
        <v>541</v>
      </c>
      <c r="F188" s="1948" t="s">
        <v>259</v>
      </c>
      <c r="G188" s="1949">
        <v>160</v>
      </c>
      <c r="H188" s="1948">
        <v>160</v>
      </c>
      <c r="I188" s="1950">
        <v>149.4</v>
      </c>
      <c r="J188" s="1948">
        <v>149.4</v>
      </c>
      <c r="K188" s="1948">
        <v>0.44319999999999998</v>
      </c>
      <c r="L188" s="1948">
        <v>12.07</v>
      </c>
      <c r="M188" s="1948">
        <v>12988</v>
      </c>
      <c r="N188" s="1948">
        <f t="shared" si="30"/>
        <v>64541</v>
      </c>
      <c r="O188" s="1948">
        <f t="shared" si="31"/>
        <v>0</v>
      </c>
      <c r="P188" s="1948">
        <v>160</v>
      </c>
      <c r="Q188" s="1948">
        <v>155.64000000000001</v>
      </c>
      <c r="R188" s="1948">
        <v>155.63999999999999</v>
      </c>
      <c r="S188" s="1948">
        <v>0.44540000000000002</v>
      </c>
      <c r="T188" s="1948">
        <v>12.31</v>
      </c>
      <c r="U188" s="1948">
        <v>14256</v>
      </c>
      <c r="V188" s="1948">
        <f t="shared" si="32"/>
        <v>69478</v>
      </c>
      <c r="W188" s="1948">
        <f t="shared" si="33"/>
        <v>0</v>
      </c>
      <c r="X188" s="1948">
        <v>160</v>
      </c>
      <c r="Y188" s="1948">
        <v>156.35999999999999</v>
      </c>
      <c r="Z188" s="1948">
        <v>156.36000000000001</v>
      </c>
      <c r="AA188" s="1948">
        <v>0.37230000000000002</v>
      </c>
      <c r="AB188" s="1948">
        <v>9.26</v>
      </c>
      <c r="AC188" s="1948">
        <v>10429</v>
      </c>
      <c r="AD188" s="1948">
        <f t="shared" si="34"/>
        <v>67548</v>
      </c>
      <c r="AE188" s="1948">
        <f t="shared" si="35"/>
        <v>0</v>
      </c>
      <c r="AF188" s="1948">
        <v>160</v>
      </c>
      <c r="AG188" s="1948">
        <v>170.52</v>
      </c>
      <c r="AH188" s="1948">
        <v>170.52</v>
      </c>
      <c r="AI188" s="1948">
        <v>0.42699999999999999</v>
      </c>
      <c r="AJ188" s="1948">
        <v>13.27</v>
      </c>
      <c r="AK188" s="1948">
        <v>16838</v>
      </c>
      <c r="AL188" s="1948">
        <f t="shared" si="36"/>
        <v>76120</v>
      </c>
      <c r="AM188" s="1948">
        <f t="shared" si="37"/>
        <v>0</v>
      </c>
      <c r="AN188" s="1948">
        <v>160</v>
      </c>
      <c r="AO188" s="1948">
        <v>171.12</v>
      </c>
      <c r="AP188" s="1948">
        <v>171.12</v>
      </c>
      <c r="AQ188" s="1948">
        <v>0.28260000000000002</v>
      </c>
      <c r="AR188" s="1948">
        <v>5.17</v>
      </c>
      <c r="AS188" s="1948">
        <v>6583</v>
      </c>
      <c r="AT188" s="1948">
        <f t="shared" si="38"/>
        <v>76388</v>
      </c>
      <c r="AU188" s="1948">
        <f t="shared" si="39"/>
        <v>0</v>
      </c>
      <c r="AV188" s="1948">
        <v>160</v>
      </c>
      <c r="AW188" s="1948">
        <v>11.76</v>
      </c>
      <c r="AX188" s="1948">
        <v>128</v>
      </c>
      <c r="AY188" s="1948">
        <v>0.1716</v>
      </c>
      <c r="AZ188" s="1948">
        <v>55.05</v>
      </c>
      <c r="BA188" s="1948">
        <v>4661</v>
      </c>
      <c r="BB188" s="1948">
        <f t="shared" si="40"/>
        <v>5080</v>
      </c>
      <c r="BC188" s="1948">
        <f t="shared" si="41"/>
        <v>0</v>
      </c>
      <c r="BD188" s="1949">
        <v>160</v>
      </c>
      <c r="BE188" s="1948">
        <v>10.56</v>
      </c>
      <c r="BF188" s="1949">
        <v>128</v>
      </c>
      <c r="BG188" s="1949">
        <v>0.15740000000000001</v>
      </c>
      <c r="BH188" s="1949">
        <v>55.88</v>
      </c>
      <c r="BI188" s="1948">
        <v>4390</v>
      </c>
      <c r="BJ188" s="1948">
        <f t="shared" si="42"/>
        <v>4714</v>
      </c>
      <c r="BK188" s="1948">
        <f t="shared" si="43"/>
        <v>0</v>
      </c>
    </row>
    <row r="189" spans="1:63" ht="15">
      <c r="A189" s="1946">
        <v>622000000008</v>
      </c>
      <c r="B189" s="1947">
        <f t="shared" si="44"/>
        <v>183</v>
      </c>
      <c r="C189" s="1906" t="s">
        <v>3070</v>
      </c>
      <c r="D189" s="1907" t="s">
        <v>524</v>
      </c>
      <c r="E189" s="1906" t="s">
        <v>629</v>
      </c>
      <c r="F189" s="1948" t="s">
        <v>259</v>
      </c>
      <c r="G189" s="1949">
        <v>160</v>
      </c>
      <c r="H189" s="1948">
        <v>160</v>
      </c>
      <c r="I189" s="1950">
        <v>68.320000000000007</v>
      </c>
      <c r="J189" s="1948">
        <v>160</v>
      </c>
      <c r="K189" s="1948">
        <v>0.93</v>
      </c>
      <c r="L189" s="1948">
        <v>0</v>
      </c>
      <c r="M189" s="1948">
        <v>20133</v>
      </c>
      <c r="N189" s="1948">
        <f t="shared" si="30"/>
        <v>29514</v>
      </c>
      <c r="O189" s="1948">
        <f t="shared" si="31"/>
        <v>0</v>
      </c>
      <c r="P189" s="1948">
        <v>160</v>
      </c>
      <c r="Q189" s="1948">
        <v>64.88000000000001</v>
      </c>
      <c r="R189" s="1948">
        <v>160</v>
      </c>
      <c r="S189" s="1948">
        <v>0.92479999999999996</v>
      </c>
      <c r="T189" s="1948">
        <v>0</v>
      </c>
      <c r="U189" s="1948">
        <v>26091</v>
      </c>
      <c r="V189" s="1948">
        <f t="shared" si="32"/>
        <v>28962</v>
      </c>
      <c r="W189" s="1948">
        <f t="shared" si="33"/>
        <v>0</v>
      </c>
      <c r="X189" s="1948">
        <v>160</v>
      </c>
      <c r="Y189" s="1948">
        <v>67.36</v>
      </c>
      <c r="Z189" s="1948">
        <v>160</v>
      </c>
      <c r="AA189" s="1948">
        <v>0.93459999999999999</v>
      </c>
      <c r="AB189" s="1948">
        <v>0</v>
      </c>
      <c r="AC189" s="1948">
        <v>21093</v>
      </c>
      <c r="AD189" s="1948">
        <f t="shared" si="34"/>
        <v>29100</v>
      </c>
      <c r="AE189" s="1948">
        <f t="shared" si="35"/>
        <v>0</v>
      </c>
      <c r="AF189" s="1948">
        <v>160</v>
      </c>
      <c r="AG189" s="1948">
        <v>68.88</v>
      </c>
      <c r="AH189" s="1948">
        <v>160</v>
      </c>
      <c r="AI189" s="1948">
        <v>0.93340000000000001</v>
      </c>
      <c r="AJ189" s="1948">
        <v>0</v>
      </c>
      <c r="AK189" s="1948">
        <v>23146</v>
      </c>
      <c r="AL189" s="1948">
        <f t="shared" si="36"/>
        <v>30748</v>
      </c>
      <c r="AM189" s="1948">
        <f t="shared" si="37"/>
        <v>0</v>
      </c>
      <c r="AN189" s="1948">
        <v>160</v>
      </c>
      <c r="AO189" s="1948">
        <v>69.040000000000006</v>
      </c>
      <c r="AP189" s="1948">
        <v>160</v>
      </c>
      <c r="AQ189" s="1948">
        <v>0.93379999999999996</v>
      </c>
      <c r="AR189" s="1948">
        <v>0</v>
      </c>
      <c r="AS189" s="1948">
        <v>24094</v>
      </c>
      <c r="AT189" s="1948">
        <f t="shared" si="38"/>
        <v>30819</v>
      </c>
      <c r="AU189" s="1948">
        <f t="shared" si="39"/>
        <v>0</v>
      </c>
      <c r="AV189" s="1948">
        <v>160</v>
      </c>
      <c r="AW189" s="1948">
        <v>66.400000000000006</v>
      </c>
      <c r="AX189" s="1948">
        <v>160</v>
      </c>
      <c r="AY189" s="1948">
        <v>0.93410000000000004</v>
      </c>
      <c r="AZ189" s="1948">
        <v>0</v>
      </c>
      <c r="BA189" s="1948">
        <v>21671</v>
      </c>
      <c r="BB189" s="1948">
        <f t="shared" si="40"/>
        <v>28685</v>
      </c>
      <c r="BC189" s="1948">
        <f t="shared" si="41"/>
        <v>0</v>
      </c>
      <c r="BD189" s="1949">
        <v>160</v>
      </c>
      <c r="BE189" s="1948">
        <v>64.8</v>
      </c>
      <c r="BF189" s="1949">
        <v>160</v>
      </c>
      <c r="BG189" s="1949">
        <v>0.93859999999999999</v>
      </c>
      <c r="BH189" s="1949">
        <v>0</v>
      </c>
      <c r="BI189" s="1948">
        <v>25859</v>
      </c>
      <c r="BJ189" s="1948">
        <f t="shared" si="42"/>
        <v>28927</v>
      </c>
      <c r="BK189" s="1948">
        <f t="shared" si="43"/>
        <v>0</v>
      </c>
    </row>
    <row r="190" spans="1:63" ht="15">
      <c r="A190" s="1946">
        <v>121000000082</v>
      </c>
      <c r="B190" s="1947">
        <f t="shared" si="44"/>
        <v>184</v>
      </c>
      <c r="C190" s="1906" t="s">
        <v>3071</v>
      </c>
      <c r="D190" s="1907" t="s">
        <v>524</v>
      </c>
      <c r="E190" s="1906" t="s">
        <v>541</v>
      </c>
      <c r="F190" s="1948" t="s">
        <v>259</v>
      </c>
      <c r="G190" s="1949">
        <v>161</v>
      </c>
      <c r="H190" s="1948">
        <v>161</v>
      </c>
      <c r="I190" s="1950">
        <v>91.679999999999993</v>
      </c>
      <c r="J190" s="1948">
        <v>128.80000000000001</v>
      </c>
      <c r="K190" s="1948">
        <v>0.99890000000000001</v>
      </c>
      <c r="L190" s="1948">
        <v>31.35</v>
      </c>
      <c r="M190" s="1948">
        <v>20694</v>
      </c>
      <c r="N190" s="1948">
        <f t="shared" si="30"/>
        <v>39606</v>
      </c>
      <c r="O190" s="1948">
        <f t="shared" si="31"/>
        <v>0</v>
      </c>
      <c r="P190" s="1948">
        <v>161</v>
      </c>
      <c r="Q190" s="1948">
        <v>72.239999999999995</v>
      </c>
      <c r="R190" s="1948">
        <v>128.80000000000001</v>
      </c>
      <c r="S190" s="1948">
        <v>0.99870000000000003</v>
      </c>
      <c r="T190" s="1948">
        <v>22.77</v>
      </c>
      <c r="U190" s="1948">
        <v>12237</v>
      </c>
      <c r="V190" s="1948">
        <f t="shared" si="32"/>
        <v>32248</v>
      </c>
      <c r="W190" s="1948">
        <f t="shared" si="33"/>
        <v>0</v>
      </c>
      <c r="X190" s="1948">
        <v>161</v>
      </c>
      <c r="Y190" s="1948">
        <v>68.400000000000006</v>
      </c>
      <c r="Z190" s="1948">
        <v>128.80000000000001</v>
      </c>
      <c r="AA190" s="1948">
        <v>0.98809999999999998</v>
      </c>
      <c r="AB190" s="1948">
        <v>9.23</v>
      </c>
      <c r="AC190" s="1948">
        <v>4545</v>
      </c>
      <c r="AD190" s="1948">
        <f t="shared" si="34"/>
        <v>29549</v>
      </c>
      <c r="AE190" s="1948">
        <f t="shared" si="35"/>
        <v>0</v>
      </c>
      <c r="AF190" s="1948">
        <v>161</v>
      </c>
      <c r="AG190" s="1948">
        <v>22.560000000000002</v>
      </c>
      <c r="AH190" s="1948">
        <v>128.80000000000001</v>
      </c>
      <c r="AI190" s="1948">
        <v>0.99929999999999997</v>
      </c>
      <c r="AJ190" s="1948">
        <v>29.35</v>
      </c>
      <c r="AK190" s="1948">
        <v>4926</v>
      </c>
      <c r="AL190" s="1948">
        <f t="shared" si="36"/>
        <v>10071</v>
      </c>
      <c r="AM190" s="1948">
        <f t="shared" si="37"/>
        <v>0</v>
      </c>
      <c r="AN190" s="1948">
        <v>161</v>
      </c>
      <c r="AO190" s="1948">
        <v>69.12</v>
      </c>
      <c r="AP190" s="1948">
        <v>128.80000000000001</v>
      </c>
      <c r="AQ190" s="1948">
        <v>0.99339999999999995</v>
      </c>
      <c r="AR190" s="1948">
        <v>7.97</v>
      </c>
      <c r="AS190" s="1948">
        <v>4101</v>
      </c>
      <c r="AT190" s="1948">
        <f t="shared" si="38"/>
        <v>30855</v>
      </c>
      <c r="AU190" s="1948">
        <f t="shared" si="39"/>
        <v>0</v>
      </c>
      <c r="AV190" s="1948">
        <v>161</v>
      </c>
      <c r="AW190" s="1948">
        <v>66.960000000000008</v>
      </c>
      <c r="AX190" s="1948">
        <v>128.80000000000001</v>
      </c>
      <c r="AY190" s="1948">
        <v>0.995</v>
      </c>
      <c r="AZ190" s="1948">
        <v>18.940000000000001</v>
      </c>
      <c r="BA190" s="1948">
        <v>9132</v>
      </c>
      <c r="BB190" s="1948">
        <f t="shared" si="40"/>
        <v>28927</v>
      </c>
      <c r="BC190" s="1948">
        <f t="shared" si="41"/>
        <v>0</v>
      </c>
      <c r="BD190" s="1949">
        <v>161</v>
      </c>
      <c r="BE190" s="1948">
        <v>53.76</v>
      </c>
      <c r="BF190" s="1949">
        <v>128.80000000000001</v>
      </c>
      <c r="BG190" s="1949">
        <v>1</v>
      </c>
      <c r="BH190" s="1949">
        <v>1.75</v>
      </c>
      <c r="BI190" s="1948">
        <v>699</v>
      </c>
      <c r="BJ190" s="1948">
        <f t="shared" si="42"/>
        <v>23998</v>
      </c>
      <c r="BK190" s="1948">
        <f t="shared" si="43"/>
        <v>0</v>
      </c>
    </row>
    <row r="191" spans="1:63" ht="15">
      <c r="A191" s="1946">
        <v>421000000019</v>
      </c>
      <c r="B191" s="1947">
        <f t="shared" si="44"/>
        <v>185</v>
      </c>
      <c r="C191" s="1906" t="s">
        <v>3072</v>
      </c>
      <c r="D191" s="1907" t="s">
        <v>524</v>
      </c>
      <c r="E191" s="1906" t="s">
        <v>541</v>
      </c>
      <c r="F191" s="1948" t="s">
        <v>259</v>
      </c>
      <c r="G191" s="1949">
        <v>161</v>
      </c>
      <c r="H191" s="1948">
        <v>161</v>
      </c>
      <c r="I191" s="1950">
        <v>176.16</v>
      </c>
      <c r="J191" s="1948">
        <v>176.16</v>
      </c>
      <c r="K191" s="1948">
        <v>0.95809999999999995</v>
      </c>
      <c r="L191" s="1948">
        <v>37.18</v>
      </c>
      <c r="M191" s="1948">
        <v>47155</v>
      </c>
      <c r="N191" s="1948">
        <f t="shared" si="30"/>
        <v>76101</v>
      </c>
      <c r="O191" s="1948">
        <f t="shared" si="31"/>
        <v>0</v>
      </c>
      <c r="P191" s="1948">
        <v>161</v>
      </c>
      <c r="Q191" s="1948">
        <v>172.48000000000002</v>
      </c>
      <c r="R191" s="1948">
        <v>172.48</v>
      </c>
      <c r="S191" s="1948">
        <v>0.96299999999999997</v>
      </c>
      <c r="T191" s="1948">
        <v>41.51</v>
      </c>
      <c r="U191" s="1948">
        <v>53273</v>
      </c>
      <c r="V191" s="1948">
        <f t="shared" si="32"/>
        <v>76995</v>
      </c>
      <c r="W191" s="1948">
        <f t="shared" si="33"/>
        <v>0</v>
      </c>
      <c r="X191" s="1948">
        <v>161</v>
      </c>
      <c r="Y191" s="1948">
        <v>182.48</v>
      </c>
      <c r="Z191" s="1948">
        <v>182.48</v>
      </c>
      <c r="AA191" s="1948">
        <v>0.96899999999999997</v>
      </c>
      <c r="AB191" s="1948">
        <v>29.88</v>
      </c>
      <c r="AC191" s="1948">
        <v>39258</v>
      </c>
      <c r="AD191" s="1948">
        <f t="shared" si="34"/>
        <v>78831</v>
      </c>
      <c r="AE191" s="1948">
        <f t="shared" si="35"/>
        <v>0</v>
      </c>
      <c r="AF191" s="1948">
        <v>161</v>
      </c>
      <c r="AG191" s="1948">
        <v>181.12</v>
      </c>
      <c r="AH191" s="1948">
        <v>181.12</v>
      </c>
      <c r="AI191" s="1948">
        <v>0.96870000000000001</v>
      </c>
      <c r="AJ191" s="1948">
        <v>20.3</v>
      </c>
      <c r="AK191" s="1948">
        <v>27349</v>
      </c>
      <c r="AL191" s="1948">
        <f t="shared" si="36"/>
        <v>80852</v>
      </c>
      <c r="AM191" s="1948">
        <f t="shared" si="37"/>
        <v>0</v>
      </c>
      <c r="AN191" s="1948">
        <v>161</v>
      </c>
      <c r="AO191" s="1948">
        <v>178.88</v>
      </c>
      <c r="AP191" s="1948">
        <v>178.88</v>
      </c>
      <c r="AQ191" s="1948">
        <v>0.97060000000000002</v>
      </c>
      <c r="AR191" s="1948">
        <v>35.65</v>
      </c>
      <c r="AS191" s="1948">
        <v>47442</v>
      </c>
      <c r="AT191" s="1948">
        <f t="shared" si="38"/>
        <v>79852</v>
      </c>
      <c r="AU191" s="1948">
        <f t="shared" si="39"/>
        <v>0</v>
      </c>
      <c r="AV191" s="1948">
        <v>161</v>
      </c>
      <c r="AW191" s="1948">
        <v>110.48</v>
      </c>
      <c r="AX191" s="1948">
        <v>128.80000000000001</v>
      </c>
      <c r="AY191" s="1948">
        <v>0.98009999999999997</v>
      </c>
      <c r="AZ191" s="1948">
        <v>5.7</v>
      </c>
      <c r="BA191" s="1948">
        <v>4531</v>
      </c>
      <c r="BB191" s="1948">
        <f t="shared" si="40"/>
        <v>47727</v>
      </c>
      <c r="BC191" s="1948">
        <f t="shared" si="41"/>
        <v>0</v>
      </c>
      <c r="BD191" s="1949">
        <v>161</v>
      </c>
      <c r="BE191" s="1948">
        <v>16.16</v>
      </c>
      <c r="BF191" s="1949">
        <v>128.80000000000001</v>
      </c>
      <c r="BG191" s="1949">
        <v>0.99560000000000004</v>
      </c>
      <c r="BH191" s="1949">
        <v>13.39</v>
      </c>
      <c r="BI191" s="1948">
        <v>1610</v>
      </c>
      <c r="BJ191" s="1948">
        <f t="shared" si="42"/>
        <v>7214</v>
      </c>
      <c r="BK191" s="1948">
        <f t="shared" si="43"/>
        <v>0</v>
      </c>
    </row>
    <row r="192" spans="1:63" ht="15">
      <c r="A192" s="1946">
        <v>121000000025</v>
      </c>
      <c r="B192" s="1947">
        <f t="shared" si="44"/>
        <v>186</v>
      </c>
      <c r="C192" s="1906" t="s">
        <v>3073</v>
      </c>
      <c r="D192" s="1907" t="s">
        <v>524</v>
      </c>
      <c r="E192" s="1906" t="s">
        <v>541</v>
      </c>
      <c r="F192" s="1948" t="s">
        <v>259</v>
      </c>
      <c r="G192" s="1949">
        <v>162</v>
      </c>
      <c r="H192" s="1948">
        <v>162</v>
      </c>
      <c r="I192" s="1950">
        <v>160.95999999999998</v>
      </c>
      <c r="J192" s="1948">
        <v>160.96</v>
      </c>
      <c r="K192" s="1948">
        <v>0.97940000000000005</v>
      </c>
      <c r="L192" s="1948">
        <v>56.95</v>
      </c>
      <c r="M192" s="1948">
        <v>65998</v>
      </c>
      <c r="N192" s="1948">
        <f t="shared" si="30"/>
        <v>69535</v>
      </c>
      <c r="O192" s="1948">
        <f t="shared" si="31"/>
        <v>0</v>
      </c>
      <c r="P192" s="1948">
        <v>162</v>
      </c>
      <c r="Q192" s="1948">
        <v>192.64</v>
      </c>
      <c r="R192" s="1948">
        <v>192.64</v>
      </c>
      <c r="S192" s="1948">
        <v>0.97409999999999997</v>
      </c>
      <c r="T192" s="1948">
        <v>48.5</v>
      </c>
      <c r="U192" s="1948">
        <v>69506</v>
      </c>
      <c r="V192" s="1948">
        <f t="shared" si="32"/>
        <v>85994</v>
      </c>
      <c r="W192" s="1948">
        <f t="shared" si="33"/>
        <v>0</v>
      </c>
      <c r="X192" s="1948">
        <v>162</v>
      </c>
      <c r="Y192" s="1948">
        <v>180.96</v>
      </c>
      <c r="Z192" s="1948">
        <v>180.96</v>
      </c>
      <c r="AA192" s="1948">
        <v>0.96189999999999998</v>
      </c>
      <c r="AB192" s="1948">
        <v>38.96</v>
      </c>
      <c r="AC192" s="1948">
        <v>50762</v>
      </c>
      <c r="AD192" s="1948">
        <f t="shared" si="34"/>
        <v>78175</v>
      </c>
      <c r="AE192" s="1948">
        <f t="shared" si="35"/>
        <v>0</v>
      </c>
      <c r="AF192" s="1948">
        <v>162</v>
      </c>
      <c r="AG192" s="1948">
        <v>179.36</v>
      </c>
      <c r="AH192" s="1948">
        <v>179.36</v>
      </c>
      <c r="AI192" s="1948">
        <v>0.98409999999999997</v>
      </c>
      <c r="AJ192" s="1948">
        <v>40.33</v>
      </c>
      <c r="AK192" s="1948">
        <v>53814</v>
      </c>
      <c r="AL192" s="1948">
        <f t="shared" si="36"/>
        <v>80066</v>
      </c>
      <c r="AM192" s="1948">
        <f t="shared" si="37"/>
        <v>0</v>
      </c>
      <c r="AN192" s="1948">
        <v>162</v>
      </c>
      <c r="AO192" s="1948">
        <v>227.36</v>
      </c>
      <c r="AP192" s="1948">
        <v>227.36</v>
      </c>
      <c r="AQ192" s="1948">
        <v>0.92859999999999998</v>
      </c>
      <c r="AR192" s="1948">
        <v>34.119999999999997</v>
      </c>
      <c r="AS192" s="1948">
        <v>57712</v>
      </c>
      <c r="AT192" s="1948">
        <f t="shared" si="38"/>
        <v>101494</v>
      </c>
      <c r="AU192" s="1948">
        <f t="shared" si="39"/>
        <v>0</v>
      </c>
      <c r="AV192" s="1948">
        <v>162</v>
      </c>
      <c r="AW192" s="1948">
        <v>166.56</v>
      </c>
      <c r="AX192" s="1948">
        <v>166.56</v>
      </c>
      <c r="AY192" s="1948">
        <v>0.99909999999999999</v>
      </c>
      <c r="AZ192" s="1948">
        <v>42.2</v>
      </c>
      <c r="BA192" s="1948">
        <v>50604</v>
      </c>
      <c r="BB192" s="1948">
        <f t="shared" si="40"/>
        <v>71954</v>
      </c>
      <c r="BC192" s="1948">
        <f t="shared" si="41"/>
        <v>0</v>
      </c>
      <c r="BD192" s="1949">
        <v>162</v>
      </c>
      <c r="BE192" s="1948">
        <v>127.67999999999999</v>
      </c>
      <c r="BF192" s="1949">
        <v>129.6</v>
      </c>
      <c r="BG192" s="1949">
        <v>0.99819999999999998</v>
      </c>
      <c r="BH192" s="1949">
        <v>8.27</v>
      </c>
      <c r="BI192" s="1948">
        <v>7852</v>
      </c>
      <c r="BJ192" s="1948">
        <f t="shared" si="42"/>
        <v>56996</v>
      </c>
      <c r="BK192" s="1948">
        <f t="shared" si="43"/>
        <v>0</v>
      </c>
    </row>
    <row r="193" spans="1:63" ht="15">
      <c r="A193" s="1946">
        <v>614000000008</v>
      </c>
      <c r="B193" s="1947">
        <f t="shared" si="44"/>
        <v>187</v>
      </c>
      <c r="C193" s="1906" t="s">
        <v>3557</v>
      </c>
      <c r="D193" s="1907" t="s">
        <v>524</v>
      </c>
      <c r="E193" s="1906" t="s">
        <v>636</v>
      </c>
      <c r="F193" s="1948" t="s">
        <v>259</v>
      </c>
      <c r="G193" s="1949">
        <v>163</v>
      </c>
      <c r="H193" s="1948">
        <v>0</v>
      </c>
      <c r="I193" s="1950">
        <v>0</v>
      </c>
      <c r="J193" s="1948">
        <v>0</v>
      </c>
      <c r="K193" s="1948">
        <v>0</v>
      </c>
      <c r="L193" s="1948">
        <v>0</v>
      </c>
      <c r="M193" s="1948">
        <v>0</v>
      </c>
      <c r="N193" s="1948">
        <f t="shared" si="30"/>
        <v>0</v>
      </c>
      <c r="O193" s="1948">
        <f t="shared" si="31"/>
        <v>0</v>
      </c>
      <c r="P193" s="1948">
        <v>0</v>
      </c>
      <c r="Q193" s="1948">
        <v>0</v>
      </c>
      <c r="R193" s="1948">
        <v>0</v>
      </c>
      <c r="S193" s="1948">
        <v>0</v>
      </c>
      <c r="T193" s="1948">
        <v>0</v>
      </c>
      <c r="U193" s="1948">
        <v>0</v>
      </c>
      <c r="V193" s="1948">
        <f t="shared" si="32"/>
        <v>0</v>
      </c>
      <c r="W193" s="1948">
        <f t="shared" si="33"/>
        <v>0</v>
      </c>
      <c r="X193" s="1948">
        <v>0</v>
      </c>
      <c r="Y193" s="1948">
        <v>0</v>
      </c>
      <c r="Z193" s="1948">
        <v>0</v>
      </c>
      <c r="AA193" s="1948">
        <v>0</v>
      </c>
      <c r="AB193" s="1948">
        <v>0</v>
      </c>
      <c r="AC193" s="1948">
        <v>0</v>
      </c>
      <c r="AD193" s="1948">
        <f t="shared" si="34"/>
        <v>0</v>
      </c>
      <c r="AE193" s="1948">
        <f t="shared" si="35"/>
        <v>0</v>
      </c>
      <c r="AF193" s="1948">
        <v>0</v>
      </c>
      <c r="AG193" s="1948">
        <v>0</v>
      </c>
      <c r="AH193" s="1948">
        <v>0</v>
      </c>
      <c r="AI193" s="1948">
        <v>0</v>
      </c>
      <c r="AJ193" s="1948">
        <v>0</v>
      </c>
      <c r="AK193" s="1948">
        <v>0</v>
      </c>
      <c r="AL193" s="1948">
        <f t="shared" si="36"/>
        <v>0</v>
      </c>
      <c r="AM193" s="1948">
        <f t="shared" si="37"/>
        <v>0</v>
      </c>
      <c r="AN193" s="1948">
        <v>163</v>
      </c>
      <c r="AO193" s="1948">
        <v>67.319999999999993</v>
      </c>
      <c r="AP193" s="1948">
        <v>130.4</v>
      </c>
      <c r="AQ193" s="1948">
        <v>0.95169999999999999</v>
      </c>
      <c r="AR193" s="1948">
        <v>15.71</v>
      </c>
      <c r="AS193" s="1948">
        <v>9136</v>
      </c>
      <c r="AT193" s="1948">
        <f t="shared" si="38"/>
        <v>30052</v>
      </c>
      <c r="AU193" s="1948">
        <f t="shared" si="39"/>
        <v>0</v>
      </c>
      <c r="AV193" s="1948">
        <v>163</v>
      </c>
      <c r="AW193" s="1948">
        <v>49.320000000000007</v>
      </c>
      <c r="AX193" s="1948">
        <v>130.4</v>
      </c>
      <c r="AY193" s="1948">
        <v>0.91549999999999998</v>
      </c>
      <c r="AZ193" s="1948">
        <v>18.52</v>
      </c>
      <c r="BA193" s="1948">
        <v>6575</v>
      </c>
      <c r="BB193" s="1948">
        <f t="shared" si="40"/>
        <v>21306</v>
      </c>
      <c r="BC193" s="1948">
        <f t="shared" si="41"/>
        <v>0</v>
      </c>
      <c r="BD193" s="1949">
        <v>163</v>
      </c>
      <c r="BE193" s="1948">
        <v>81.8</v>
      </c>
      <c r="BF193" s="1949">
        <v>130.4</v>
      </c>
      <c r="BG193" s="1949">
        <v>0.89500000000000002</v>
      </c>
      <c r="BH193" s="1949">
        <v>18.3</v>
      </c>
      <c r="BI193" s="1948">
        <v>11135</v>
      </c>
      <c r="BJ193" s="1948">
        <f t="shared" si="42"/>
        <v>36516</v>
      </c>
      <c r="BK193" s="1948">
        <f t="shared" si="43"/>
        <v>0</v>
      </c>
    </row>
    <row r="194" spans="1:63" ht="15">
      <c r="A194" s="1946">
        <v>613000000046</v>
      </c>
      <c r="B194" s="1947">
        <f t="shared" si="44"/>
        <v>188</v>
      </c>
      <c r="C194" s="1906" t="s">
        <v>3662</v>
      </c>
      <c r="D194" s="1907" t="s">
        <v>613</v>
      </c>
      <c r="E194" s="1906" t="s">
        <v>730</v>
      </c>
      <c r="F194" s="1948" t="s">
        <v>259</v>
      </c>
      <c r="G194" s="1949">
        <v>164</v>
      </c>
      <c r="H194" s="1948">
        <v>0</v>
      </c>
      <c r="I194" s="1950">
        <v>0</v>
      </c>
      <c r="J194" s="1948">
        <v>0</v>
      </c>
      <c r="K194" s="1948">
        <v>0</v>
      </c>
      <c r="L194" s="1948">
        <v>0</v>
      </c>
      <c r="M194" s="1948">
        <v>0</v>
      </c>
      <c r="N194" s="1948">
        <f t="shared" si="30"/>
        <v>0</v>
      </c>
      <c r="O194" s="1948">
        <f t="shared" si="31"/>
        <v>0</v>
      </c>
      <c r="P194" s="1948">
        <v>0</v>
      </c>
      <c r="Q194" s="1948">
        <v>0</v>
      </c>
      <c r="R194" s="1948">
        <v>0</v>
      </c>
      <c r="S194" s="1948">
        <v>0</v>
      </c>
      <c r="T194" s="1948">
        <v>0</v>
      </c>
      <c r="U194" s="1948">
        <v>0</v>
      </c>
      <c r="V194" s="1948">
        <f t="shared" si="32"/>
        <v>0</v>
      </c>
      <c r="W194" s="1948">
        <f t="shared" si="33"/>
        <v>0</v>
      </c>
      <c r="X194" s="1948">
        <v>0</v>
      </c>
      <c r="Y194" s="1948">
        <v>0</v>
      </c>
      <c r="Z194" s="1948">
        <v>0</v>
      </c>
      <c r="AA194" s="1948">
        <v>0</v>
      </c>
      <c r="AB194" s="1948">
        <v>0</v>
      </c>
      <c r="AC194" s="1948">
        <v>0</v>
      </c>
      <c r="AD194" s="1948">
        <f t="shared" si="34"/>
        <v>0</v>
      </c>
      <c r="AE194" s="1948">
        <f t="shared" si="35"/>
        <v>0</v>
      </c>
      <c r="AF194" s="1948">
        <v>0</v>
      </c>
      <c r="AG194" s="1948">
        <v>0</v>
      </c>
      <c r="AH194" s="1948">
        <v>0</v>
      </c>
      <c r="AI194" s="1948">
        <v>0</v>
      </c>
      <c r="AJ194" s="1948">
        <v>0</v>
      </c>
      <c r="AK194" s="1948">
        <v>0</v>
      </c>
      <c r="AL194" s="1948">
        <f t="shared" si="36"/>
        <v>0</v>
      </c>
      <c r="AM194" s="1948">
        <f t="shared" si="37"/>
        <v>0</v>
      </c>
      <c r="AN194" s="1948">
        <v>0</v>
      </c>
      <c r="AO194" s="1948">
        <v>0</v>
      </c>
      <c r="AP194" s="1948">
        <v>0</v>
      </c>
      <c r="AQ194" s="1948">
        <v>0</v>
      </c>
      <c r="AR194" s="1948">
        <v>0</v>
      </c>
      <c r="AS194" s="1948">
        <v>0</v>
      </c>
      <c r="AT194" s="1948">
        <f t="shared" si="38"/>
        <v>0</v>
      </c>
      <c r="AU194" s="1948">
        <f t="shared" si="39"/>
        <v>0</v>
      </c>
      <c r="AV194" s="1948">
        <v>0</v>
      </c>
      <c r="AW194" s="1948">
        <v>0</v>
      </c>
      <c r="AX194" s="1948">
        <v>0</v>
      </c>
      <c r="AY194" s="1948">
        <v>0</v>
      </c>
      <c r="AZ194" s="1948">
        <v>0</v>
      </c>
      <c r="BA194" s="1948">
        <v>0</v>
      </c>
      <c r="BB194" s="1948">
        <f t="shared" si="40"/>
        <v>0</v>
      </c>
      <c r="BC194" s="1948">
        <f t="shared" si="41"/>
        <v>0</v>
      </c>
      <c r="BD194" s="1949">
        <v>164</v>
      </c>
      <c r="BE194" s="1948">
        <v>89.418000000000006</v>
      </c>
      <c r="BF194" s="1949">
        <v>131.19999999999999</v>
      </c>
      <c r="BG194" s="1949">
        <v>0.81059999999999999</v>
      </c>
      <c r="BH194" s="1949">
        <v>2.98</v>
      </c>
      <c r="BI194" s="1948">
        <v>1278</v>
      </c>
      <c r="BJ194" s="1948">
        <f t="shared" si="42"/>
        <v>39916</v>
      </c>
      <c r="BK194" s="1948">
        <f t="shared" si="43"/>
        <v>0</v>
      </c>
    </row>
    <row r="195" spans="1:63" ht="15">
      <c r="A195" s="1946">
        <v>124000000065</v>
      </c>
      <c r="B195" s="1947">
        <f t="shared" si="44"/>
        <v>189</v>
      </c>
      <c r="C195" s="1906" t="s">
        <v>3075</v>
      </c>
      <c r="D195" s="1907" t="s">
        <v>524</v>
      </c>
      <c r="E195" s="1906" t="s">
        <v>636</v>
      </c>
      <c r="F195" s="1948" t="s">
        <v>259</v>
      </c>
      <c r="G195" s="1949">
        <v>165</v>
      </c>
      <c r="H195" s="1948">
        <v>165</v>
      </c>
      <c r="I195" s="1950">
        <v>17.36</v>
      </c>
      <c r="J195" s="1948">
        <v>132</v>
      </c>
      <c r="K195" s="1948">
        <v>0.95109999999999995</v>
      </c>
      <c r="L195" s="1948">
        <v>31.28</v>
      </c>
      <c r="M195" s="1948">
        <v>3910</v>
      </c>
      <c r="N195" s="1948">
        <f t="shared" si="30"/>
        <v>7500</v>
      </c>
      <c r="O195" s="1948">
        <f t="shared" si="31"/>
        <v>0</v>
      </c>
      <c r="P195" s="1948">
        <v>165</v>
      </c>
      <c r="Q195" s="1948">
        <v>19.52</v>
      </c>
      <c r="R195" s="1948">
        <v>132</v>
      </c>
      <c r="S195" s="1948">
        <v>0.96479999999999999</v>
      </c>
      <c r="T195" s="1948">
        <v>31.34</v>
      </c>
      <c r="U195" s="1948">
        <v>4551</v>
      </c>
      <c r="V195" s="1948">
        <f t="shared" si="32"/>
        <v>8714</v>
      </c>
      <c r="W195" s="1948">
        <f t="shared" si="33"/>
        <v>0</v>
      </c>
      <c r="X195" s="1948">
        <v>165</v>
      </c>
      <c r="Y195" s="1948">
        <v>22.4</v>
      </c>
      <c r="Z195" s="1948">
        <v>132</v>
      </c>
      <c r="AA195" s="1948">
        <v>0.97140000000000004</v>
      </c>
      <c r="AB195" s="1948">
        <v>32.630000000000003</v>
      </c>
      <c r="AC195" s="1948">
        <v>5262</v>
      </c>
      <c r="AD195" s="1948">
        <f t="shared" si="34"/>
        <v>9677</v>
      </c>
      <c r="AE195" s="1948">
        <f t="shared" si="35"/>
        <v>0</v>
      </c>
      <c r="AF195" s="1948">
        <v>165</v>
      </c>
      <c r="AG195" s="1948">
        <v>18.079999999999998</v>
      </c>
      <c r="AH195" s="1948">
        <v>132</v>
      </c>
      <c r="AI195" s="1948">
        <v>0.96540000000000004</v>
      </c>
      <c r="AJ195" s="1948">
        <v>35.33</v>
      </c>
      <c r="AK195" s="1948">
        <v>4753</v>
      </c>
      <c r="AL195" s="1948">
        <f t="shared" si="36"/>
        <v>8071</v>
      </c>
      <c r="AM195" s="1948">
        <f t="shared" si="37"/>
        <v>0</v>
      </c>
      <c r="AN195" s="1948">
        <v>165</v>
      </c>
      <c r="AO195" s="1948">
        <v>17.600000000000001</v>
      </c>
      <c r="AP195" s="1948">
        <v>132</v>
      </c>
      <c r="AQ195" s="1948">
        <v>0.95430000000000004</v>
      </c>
      <c r="AR195" s="1948">
        <v>35.31</v>
      </c>
      <c r="AS195" s="1948">
        <v>4623</v>
      </c>
      <c r="AT195" s="1948">
        <f t="shared" si="38"/>
        <v>7857</v>
      </c>
      <c r="AU195" s="1948">
        <f t="shared" si="39"/>
        <v>0</v>
      </c>
      <c r="AV195" s="1948">
        <v>165</v>
      </c>
      <c r="AW195" s="1948">
        <v>16.64</v>
      </c>
      <c r="AX195" s="1948">
        <v>132</v>
      </c>
      <c r="AY195" s="1948">
        <v>0.95209999999999995</v>
      </c>
      <c r="AZ195" s="1948">
        <v>38.57</v>
      </c>
      <c r="BA195" s="1948">
        <v>4621</v>
      </c>
      <c r="BB195" s="1948">
        <f t="shared" si="40"/>
        <v>7188</v>
      </c>
      <c r="BC195" s="1948">
        <f t="shared" si="41"/>
        <v>0</v>
      </c>
      <c r="BD195" s="1949">
        <v>165</v>
      </c>
      <c r="BE195" s="1948">
        <v>17.12</v>
      </c>
      <c r="BF195" s="1949">
        <v>132</v>
      </c>
      <c r="BG195" s="1949">
        <v>0.93469999999999998</v>
      </c>
      <c r="BH195" s="1949">
        <v>35.72</v>
      </c>
      <c r="BI195" s="1948">
        <v>4550</v>
      </c>
      <c r="BJ195" s="1948">
        <f t="shared" si="42"/>
        <v>7642</v>
      </c>
      <c r="BK195" s="1948">
        <f t="shared" si="43"/>
        <v>0</v>
      </c>
    </row>
    <row r="196" spans="1:63" ht="15">
      <c r="A196" s="1946">
        <v>124000000069</v>
      </c>
      <c r="B196" s="1947">
        <f t="shared" si="44"/>
        <v>190</v>
      </c>
      <c r="C196" s="1906" t="s">
        <v>3074</v>
      </c>
      <c r="D196" s="1907" t="s">
        <v>524</v>
      </c>
      <c r="E196" s="1906" t="s">
        <v>623</v>
      </c>
      <c r="F196" s="1948" t="s">
        <v>259</v>
      </c>
      <c r="G196" s="1949">
        <v>165</v>
      </c>
      <c r="H196" s="1948">
        <v>165</v>
      </c>
      <c r="I196" s="1950">
        <v>64.959999999999994</v>
      </c>
      <c r="J196" s="1948">
        <v>165</v>
      </c>
      <c r="K196" s="1948">
        <v>0.999</v>
      </c>
      <c r="L196" s="1948">
        <v>0</v>
      </c>
      <c r="M196" s="1948">
        <v>26188</v>
      </c>
      <c r="N196" s="1948">
        <f t="shared" si="30"/>
        <v>28063</v>
      </c>
      <c r="O196" s="1948">
        <f t="shared" si="31"/>
        <v>0</v>
      </c>
      <c r="P196" s="1948">
        <v>165</v>
      </c>
      <c r="Q196" s="1948">
        <v>50.239999999999995</v>
      </c>
      <c r="R196" s="1948">
        <v>165</v>
      </c>
      <c r="S196" s="1948">
        <v>0.99860000000000004</v>
      </c>
      <c r="T196" s="1948">
        <v>0</v>
      </c>
      <c r="U196" s="1948">
        <v>21724</v>
      </c>
      <c r="V196" s="1948">
        <f t="shared" si="32"/>
        <v>22427</v>
      </c>
      <c r="W196" s="1948">
        <f t="shared" si="33"/>
        <v>0</v>
      </c>
      <c r="X196" s="1948">
        <v>165</v>
      </c>
      <c r="Y196" s="1948">
        <v>51.519999999999996</v>
      </c>
      <c r="Z196" s="1948">
        <v>165</v>
      </c>
      <c r="AA196" s="1948">
        <v>0.99829999999999997</v>
      </c>
      <c r="AB196" s="1948">
        <v>0</v>
      </c>
      <c r="AC196" s="1948">
        <v>20748</v>
      </c>
      <c r="AD196" s="1948">
        <f t="shared" si="34"/>
        <v>22257</v>
      </c>
      <c r="AE196" s="1948">
        <f t="shared" si="35"/>
        <v>0</v>
      </c>
      <c r="AF196" s="1948">
        <v>165</v>
      </c>
      <c r="AG196" s="1948">
        <v>49.76</v>
      </c>
      <c r="AH196" s="1948">
        <v>165</v>
      </c>
      <c r="AI196" s="1948">
        <v>0.99860000000000004</v>
      </c>
      <c r="AJ196" s="1948">
        <v>0</v>
      </c>
      <c r="AK196" s="1948">
        <v>20460</v>
      </c>
      <c r="AL196" s="1948">
        <f t="shared" si="36"/>
        <v>22213</v>
      </c>
      <c r="AM196" s="1948">
        <f t="shared" si="37"/>
        <v>0</v>
      </c>
      <c r="AN196" s="1948">
        <v>165</v>
      </c>
      <c r="AO196" s="1948">
        <v>49.76</v>
      </c>
      <c r="AP196" s="1948">
        <v>165</v>
      </c>
      <c r="AQ196" s="1948">
        <v>0.99850000000000005</v>
      </c>
      <c r="AR196" s="1948">
        <v>0</v>
      </c>
      <c r="AS196" s="1948">
        <v>19972</v>
      </c>
      <c r="AT196" s="1948">
        <f t="shared" si="38"/>
        <v>22213</v>
      </c>
      <c r="AU196" s="1948">
        <f t="shared" si="39"/>
        <v>0</v>
      </c>
      <c r="AV196" s="1948">
        <v>165</v>
      </c>
      <c r="AW196" s="1948">
        <v>48.96</v>
      </c>
      <c r="AX196" s="1948">
        <v>165</v>
      </c>
      <c r="AY196" s="1948">
        <v>0.99829999999999997</v>
      </c>
      <c r="AZ196" s="1948">
        <v>0</v>
      </c>
      <c r="BA196" s="1948">
        <v>19400</v>
      </c>
      <c r="BB196" s="1948">
        <f t="shared" si="40"/>
        <v>21151</v>
      </c>
      <c r="BC196" s="1948">
        <f t="shared" si="41"/>
        <v>0</v>
      </c>
      <c r="BD196" s="1949">
        <v>165</v>
      </c>
      <c r="BE196" s="1948">
        <v>49.919999999999995</v>
      </c>
      <c r="BF196" s="1949">
        <v>165</v>
      </c>
      <c r="BG196" s="1949">
        <v>0.99850000000000005</v>
      </c>
      <c r="BH196" s="1949">
        <v>0</v>
      </c>
      <c r="BI196" s="1948">
        <v>18696</v>
      </c>
      <c r="BJ196" s="1948">
        <f t="shared" si="42"/>
        <v>22284</v>
      </c>
      <c r="BK196" s="1948">
        <f t="shared" si="43"/>
        <v>0</v>
      </c>
    </row>
    <row r="197" spans="1:63" ht="15">
      <c r="A197" s="1946">
        <v>122000000044</v>
      </c>
      <c r="B197" s="1947">
        <f t="shared" si="44"/>
        <v>191</v>
      </c>
      <c r="C197" s="1906" t="s">
        <v>3094</v>
      </c>
      <c r="D197" s="1907" t="s">
        <v>524</v>
      </c>
      <c r="E197" s="1906" t="s">
        <v>541</v>
      </c>
      <c r="F197" s="1948" t="s">
        <v>259</v>
      </c>
      <c r="G197" s="1949">
        <v>167</v>
      </c>
      <c r="H197" s="1948">
        <v>167</v>
      </c>
      <c r="I197" s="1950">
        <v>8.4</v>
      </c>
      <c r="J197" s="1948">
        <v>133.6</v>
      </c>
      <c r="K197" s="1948">
        <v>0.28489999999999999</v>
      </c>
      <c r="L197" s="1948">
        <v>37.369999999999997</v>
      </c>
      <c r="M197" s="1948">
        <v>2260</v>
      </c>
      <c r="N197" s="1948">
        <f t="shared" si="30"/>
        <v>3629</v>
      </c>
      <c r="O197" s="1948">
        <f t="shared" si="31"/>
        <v>0</v>
      </c>
      <c r="P197" s="1948">
        <v>167</v>
      </c>
      <c r="Q197" s="1948">
        <v>5.6000000000000005</v>
      </c>
      <c r="R197" s="1948">
        <v>133.6</v>
      </c>
      <c r="S197" s="1948">
        <v>0.27229999999999999</v>
      </c>
      <c r="T197" s="1948">
        <v>54.29</v>
      </c>
      <c r="U197" s="1948">
        <v>2262</v>
      </c>
      <c r="V197" s="1948">
        <f t="shared" si="32"/>
        <v>2500</v>
      </c>
      <c r="W197" s="1948">
        <f t="shared" si="33"/>
        <v>0</v>
      </c>
      <c r="X197" s="1948">
        <v>167</v>
      </c>
      <c r="Y197" s="1948">
        <v>29.360000000000003</v>
      </c>
      <c r="Z197" s="1948">
        <v>133.6</v>
      </c>
      <c r="AA197" s="1948">
        <v>0.39889999999999998</v>
      </c>
      <c r="AB197" s="1948">
        <v>11.47</v>
      </c>
      <c r="AC197" s="1948">
        <v>2424</v>
      </c>
      <c r="AD197" s="1948">
        <f t="shared" si="34"/>
        <v>12684</v>
      </c>
      <c r="AE197" s="1948">
        <f t="shared" si="35"/>
        <v>0</v>
      </c>
      <c r="AF197" s="1948">
        <v>167</v>
      </c>
      <c r="AG197" s="1948">
        <v>6.72</v>
      </c>
      <c r="AH197" s="1948">
        <v>133.6</v>
      </c>
      <c r="AI197" s="1948">
        <v>0.42280000000000001</v>
      </c>
      <c r="AJ197" s="1948">
        <v>51.74</v>
      </c>
      <c r="AK197" s="1948">
        <v>2587</v>
      </c>
      <c r="AL197" s="1948">
        <f t="shared" si="36"/>
        <v>3000</v>
      </c>
      <c r="AM197" s="1948">
        <f t="shared" si="37"/>
        <v>0</v>
      </c>
      <c r="AN197" s="1948">
        <v>167</v>
      </c>
      <c r="AO197" s="1948">
        <v>11.12</v>
      </c>
      <c r="AP197" s="1948">
        <v>133.6</v>
      </c>
      <c r="AQ197" s="1948">
        <v>0.42480000000000001</v>
      </c>
      <c r="AR197" s="1948">
        <v>34.590000000000003</v>
      </c>
      <c r="AS197" s="1948">
        <v>2862</v>
      </c>
      <c r="AT197" s="1948">
        <f t="shared" si="38"/>
        <v>4964</v>
      </c>
      <c r="AU197" s="1948">
        <f t="shared" si="39"/>
        <v>0</v>
      </c>
      <c r="AV197" s="1948">
        <v>167</v>
      </c>
      <c r="AW197" s="1948">
        <v>7.4399999999999995</v>
      </c>
      <c r="AX197" s="1948">
        <v>133.6</v>
      </c>
      <c r="AY197" s="1948">
        <v>0.41499999999999998</v>
      </c>
      <c r="AZ197" s="1948">
        <v>54.06</v>
      </c>
      <c r="BA197" s="1948">
        <v>2896</v>
      </c>
      <c r="BB197" s="1948">
        <f t="shared" si="40"/>
        <v>3214</v>
      </c>
      <c r="BC197" s="1948">
        <f t="shared" si="41"/>
        <v>0</v>
      </c>
      <c r="BD197" s="1949">
        <v>167</v>
      </c>
      <c r="BE197" s="1948">
        <v>6.4799999999999995</v>
      </c>
      <c r="BF197" s="1949">
        <v>133.6</v>
      </c>
      <c r="BG197" s="1949">
        <v>0.33339999999999997</v>
      </c>
      <c r="BH197" s="1949">
        <v>61.58</v>
      </c>
      <c r="BI197" s="1948">
        <v>2969</v>
      </c>
      <c r="BJ197" s="1948">
        <f t="shared" si="42"/>
        <v>2893</v>
      </c>
      <c r="BK197" s="1948">
        <f t="shared" si="43"/>
        <v>76</v>
      </c>
    </row>
    <row r="198" spans="1:63" ht="15">
      <c r="A198" s="1946">
        <v>123000000121</v>
      </c>
      <c r="B198" s="1947">
        <f t="shared" si="44"/>
        <v>192</v>
      </c>
      <c r="C198" s="1906" t="s">
        <v>3095</v>
      </c>
      <c r="D198" s="1907" t="s">
        <v>524</v>
      </c>
      <c r="E198" s="1906" t="s">
        <v>636</v>
      </c>
      <c r="F198" s="1948" t="s">
        <v>259</v>
      </c>
      <c r="G198" s="1949">
        <v>167</v>
      </c>
      <c r="H198" s="1948">
        <v>167</v>
      </c>
      <c r="I198" s="1950">
        <v>30.12</v>
      </c>
      <c r="J198" s="1948">
        <v>133.6</v>
      </c>
      <c r="K198" s="1948">
        <v>0.96799999999999997</v>
      </c>
      <c r="L198" s="1948">
        <v>17.32</v>
      </c>
      <c r="M198" s="1948">
        <v>3756</v>
      </c>
      <c r="N198" s="1948">
        <f t="shared" si="30"/>
        <v>13012</v>
      </c>
      <c r="O198" s="1948">
        <f t="shared" si="31"/>
        <v>0</v>
      </c>
      <c r="P198" s="1948">
        <v>167</v>
      </c>
      <c r="Q198" s="1948">
        <v>31.68</v>
      </c>
      <c r="R198" s="1948">
        <v>133.6</v>
      </c>
      <c r="S198" s="1948">
        <v>0.9869</v>
      </c>
      <c r="T198" s="1948">
        <v>18.579999999999998</v>
      </c>
      <c r="U198" s="1948">
        <v>4379</v>
      </c>
      <c r="V198" s="1948">
        <f t="shared" si="32"/>
        <v>14142</v>
      </c>
      <c r="W198" s="1948">
        <f t="shared" si="33"/>
        <v>0</v>
      </c>
      <c r="X198" s="1948">
        <v>167</v>
      </c>
      <c r="Y198" s="1948">
        <v>33.24</v>
      </c>
      <c r="Z198" s="1948">
        <v>133.6</v>
      </c>
      <c r="AA198" s="1948">
        <v>0.99150000000000005</v>
      </c>
      <c r="AB198" s="1948">
        <v>17.829999999999998</v>
      </c>
      <c r="AC198" s="1948">
        <v>4268</v>
      </c>
      <c r="AD198" s="1948">
        <f t="shared" si="34"/>
        <v>14360</v>
      </c>
      <c r="AE198" s="1948">
        <f t="shared" si="35"/>
        <v>0</v>
      </c>
      <c r="AF198" s="1948">
        <v>167</v>
      </c>
      <c r="AG198" s="1948">
        <v>30.96</v>
      </c>
      <c r="AH198" s="1948">
        <v>133.6</v>
      </c>
      <c r="AI198" s="1948">
        <v>0.99039999999999995</v>
      </c>
      <c r="AJ198" s="1948">
        <v>19.190000000000001</v>
      </c>
      <c r="AK198" s="1948">
        <v>4421</v>
      </c>
      <c r="AL198" s="1948">
        <f t="shared" si="36"/>
        <v>13821</v>
      </c>
      <c r="AM198" s="1948">
        <f t="shared" si="37"/>
        <v>0</v>
      </c>
      <c r="AN198" s="1948">
        <v>167</v>
      </c>
      <c r="AO198" s="1948">
        <v>31.68</v>
      </c>
      <c r="AP198" s="1948">
        <v>133.6</v>
      </c>
      <c r="AQ198" s="1948">
        <v>0.99160000000000004</v>
      </c>
      <c r="AR198" s="1948">
        <v>17.21</v>
      </c>
      <c r="AS198" s="1948">
        <v>4056</v>
      </c>
      <c r="AT198" s="1948">
        <f t="shared" si="38"/>
        <v>14142</v>
      </c>
      <c r="AU198" s="1948">
        <f t="shared" si="39"/>
        <v>0</v>
      </c>
      <c r="AV198" s="1948">
        <v>167</v>
      </c>
      <c r="AW198" s="1948">
        <v>33.24</v>
      </c>
      <c r="AX198" s="1948">
        <v>133.6</v>
      </c>
      <c r="AY198" s="1948">
        <v>0.99209999999999998</v>
      </c>
      <c r="AZ198" s="1948">
        <v>19.18</v>
      </c>
      <c r="BA198" s="1948">
        <v>4591</v>
      </c>
      <c r="BB198" s="1948">
        <f t="shared" si="40"/>
        <v>14360</v>
      </c>
      <c r="BC198" s="1948">
        <f t="shared" si="41"/>
        <v>0</v>
      </c>
      <c r="BD198" s="1949">
        <v>167</v>
      </c>
      <c r="BE198" s="1948">
        <v>37.08</v>
      </c>
      <c r="BF198" s="1949">
        <v>133.6</v>
      </c>
      <c r="BG198" s="1949">
        <v>0.99129999999999996</v>
      </c>
      <c r="BH198" s="1949">
        <v>17.12</v>
      </c>
      <c r="BI198" s="1948">
        <v>4724</v>
      </c>
      <c r="BJ198" s="1948">
        <f t="shared" si="42"/>
        <v>16553</v>
      </c>
      <c r="BK198" s="1948">
        <f t="shared" si="43"/>
        <v>0</v>
      </c>
    </row>
    <row r="199" spans="1:63" ht="15">
      <c r="A199" s="1946">
        <v>127000000011</v>
      </c>
      <c r="B199" s="1947">
        <f t="shared" si="44"/>
        <v>193</v>
      </c>
      <c r="C199" s="1906" t="s">
        <v>3099</v>
      </c>
      <c r="D199" s="1907" t="s">
        <v>524</v>
      </c>
      <c r="E199" s="1906" t="s">
        <v>2966</v>
      </c>
      <c r="F199" s="1948" t="s">
        <v>259</v>
      </c>
      <c r="G199" s="1949">
        <v>167</v>
      </c>
      <c r="H199" s="1948">
        <v>167</v>
      </c>
      <c r="I199" s="1950">
        <v>166</v>
      </c>
      <c r="J199" s="1948">
        <v>167</v>
      </c>
      <c r="K199" s="1948">
        <v>0.75819999999999999</v>
      </c>
      <c r="L199" s="1948">
        <v>0</v>
      </c>
      <c r="M199" s="1948">
        <v>27118</v>
      </c>
      <c r="N199" s="1948">
        <f t="shared" ref="N199:N262" si="45">+ROUND(24*30*0.6*I199,0)</f>
        <v>71712</v>
      </c>
      <c r="O199" s="1948">
        <f t="shared" ref="O199:O262" si="46">+MAX((M199-N199),0)</f>
        <v>0</v>
      </c>
      <c r="P199" s="1948">
        <v>167</v>
      </c>
      <c r="Q199" s="1948">
        <v>186.24</v>
      </c>
      <c r="R199" s="1948">
        <v>186.24</v>
      </c>
      <c r="S199" s="1948">
        <v>0.75839999999999996</v>
      </c>
      <c r="T199" s="1948">
        <v>0</v>
      </c>
      <c r="U199" s="1948">
        <v>57234</v>
      </c>
      <c r="V199" s="1948">
        <f t="shared" ref="V199:V262" si="47">+ROUND(24*31*0.6*Q199,0)</f>
        <v>83138</v>
      </c>
      <c r="W199" s="1948">
        <f t="shared" ref="W199:W262" si="48">+MAX((U199-V199),0)</f>
        <v>0</v>
      </c>
      <c r="X199" s="1948">
        <v>167</v>
      </c>
      <c r="Y199" s="1948">
        <v>156.4</v>
      </c>
      <c r="Z199" s="1948">
        <v>167</v>
      </c>
      <c r="AA199" s="1948">
        <v>0.77559999999999996</v>
      </c>
      <c r="AB199" s="1948">
        <v>0</v>
      </c>
      <c r="AC199" s="1948">
        <v>36495</v>
      </c>
      <c r="AD199" s="1948">
        <f t="shared" ref="AD199:AD262" si="49">+ROUND(24*30*0.6*Y199,0)</f>
        <v>67565</v>
      </c>
      <c r="AE199" s="1948">
        <f t="shared" ref="AE199:AE262" si="50">+MAX((AC199-AD199),0)</f>
        <v>0</v>
      </c>
      <c r="AF199" s="1948">
        <v>167</v>
      </c>
      <c r="AG199" s="1948">
        <v>150.80000000000001</v>
      </c>
      <c r="AH199" s="1948">
        <v>167</v>
      </c>
      <c r="AI199" s="1948">
        <v>0.71450000000000002</v>
      </c>
      <c r="AJ199" s="1948">
        <v>0</v>
      </c>
      <c r="AK199" s="1948">
        <v>24757</v>
      </c>
      <c r="AL199" s="1948">
        <f t="shared" ref="AL199:AL262" si="51">+ROUND(24*31*0.6*AG199,0)</f>
        <v>67317</v>
      </c>
      <c r="AM199" s="1948">
        <f t="shared" ref="AM199:AM262" si="52">+MAX((AK199-AL199),0)</f>
        <v>0</v>
      </c>
      <c r="AN199" s="1948">
        <v>167</v>
      </c>
      <c r="AO199" s="1948">
        <v>180.16</v>
      </c>
      <c r="AP199" s="1948">
        <v>180.16</v>
      </c>
      <c r="AQ199" s="1948">
        <v>0.73709999999999998</v>
      </c>
      <c r="AR199" s="1948">
        <v>0</v>
      </c>
      <c r="AS199" s="1948">
        <v>45245</v>
      </c>
      <c r="AT199" s="1948">
        <f t="shared" ref="AT199:AT262" si="53">+ROUND(24*31*0.6*AO199,0)</f>
        <v>80423</v>
      </c>
      <c r="AU199" s="1948">
        <f t="shared" ref="AU199:AU262" si="54">+MAX((AS199-AT199),0)</f>
        <v>0</v>
      </c>
      <c r="AV199" s="1948">
        <v>167</v>
      </c>
      <c r="AW199" s="1948">
        <v>201.2</v>
      </c>
      <c r="AX199" s="1948">
        <v>201.2</v>
      </c>
      <c r="AY199" s="1948">
        <v>0.7409</v>
      </c>
      <c r="AZ199" s="1948">
        <v>0</v>
      </c>
      <c r="BA199" s="1948">
        <v>74081</v>
      </c>
      <c r="BB199" s="1948">
        <f t="shared" ref="BB199:BB262" si="55">+ROUND(24*30*0.6*AW199,0)</f>
        <v>86918</v>
      </c>
      <c r="BC199" s="1948">
        <f t="shared" ref="BC199:BC262" si="56">+MAX((BA199-BB199),0)</f>
        <v>0</v>
      </c>
      <c r="BD199" s="1949">
        <v>167</v>
      </c>
      <c r="BE199" s="1948">
        <v>208.07999999999998</v>
      </c>
      <c r="BF199" s="1949">
        <v>208.08</v>
      </c>
      <c r="BG199" s="1949">
        <v>0.71299999999999997</v>
      </c>
      <c r="BH199" s="1949">
        <v>0</v>
      </c>
      <c r="BI199" s="1948">
        <v>87646</v>
      </c>
      <c r="BJ199" s="1948">
        <f t="shared" ref="BJ199:BJ262" si="57">+ROUND(24*31*0.6*BE199,0)</f>
        <v>92887</v>
      </c>
      <c r="BK199" s="1948">
        <f t="shared" ref="BK199:BK262" si="58">+MAX((BI199-BJ199),0)</f>
        <v>0</v>
      </c>
    </row>
    <row r="200" spans="1:63" ht="15">
      <c r="A200" s="1946">
        <v>126000000053</v>
      </c>
      <c r="B200" s="1947">
        <f t="shared" si="44"/>
        <v>194</v>
      </c>
      <c r="C200" s="1906" t="s">
        <v>3077</v>
      </c>
      <c r="D200" s="1907" t="s">
        <v>524</v>
      </c>
      <c r="E200" s="1906" t="s">
        <v>541</v>
      </c>
      <c r="F200" s="1948" t="s">
        <v>259</v>
      </c>
      <c r="G200" s="1949">
        <v>167</v>
      </c>
      <c r="H200" s="1948">
        <v>167</v>
      </c>
      <c r="I200" s="1950">
        <v>55.84</v>
      </c>
      <c r="J200" s="1948">
        <v>133.6</v>
      </c>
      <c r="K200" s="1948">
        <v>1</v>
      </c>
      <c r="L200" s="1948">
        <v>24.25</v>
      </c>
      <c r="M200" s="1948">
        <v>9750</v>
      </c>
      <c r="N200" s="1948">
        <f t="shared" si="45"/>
        <v>24123</v>
      </c>
      <c r="O200" s="1948">
        <f t="shared" si="46"/>
        <v>0</v>
      </c>
      <c r="P200" s="1948">
        <v>167</v>
      </c>
      <c r="Q200" s="1948">
        <v>54.879999999999995</v>
      </c>
      <c r="R200" s="1948">
        <v>133.6</v>
      </c>
      <c r="S200" s="1948">
        <v>0.99980000000000002</v>
      </c>
      <c r="T200" s="1948">
        <v>28.59</v>
      </c>
      <c r="U200" s="1948">
        <v>11673</v>
      </c>
      <c r="V200" s="1948">
        <f t="shared" si="47"/>
        <v>24498</v>
      </c>
      <c r="W200" s="1948">
        <f t="shared" si="48"/>
        <v>0</v>
      </c>
      <c r="X200" s="1948">
        <v>167</v>
      </c>
      <c r="Y200" s="1948">
        <v>96.48</v>
      </c>
      <c r="Z200" s="1948">
        <v>133.6</v>
      </c>
      <c r="AA200" s="1948">
        <v>0.99929999999999997</v>
      </c>
      <c r="AB200" s="1948">
        <v>9.08</v>
      </c>
      <c r="AC200" s="1948">
        <v>6309</v>
      </c>
      <c r="AD200" s="1948">
        <f t="shared" si="49"/>
        <v>41679</v>
      </c>
      <c r="AE200" s="1948">
        <f t="shared" si="50"/>
        <v>0</v>
      </c>
      <c r="AF200" s="1948">
        <v>167</v>
      </c>
      <c r="AG200" s="1948">
        <v>48.96</v>
      </c>
      <c r="AH200" s="1948">
        <v>133.6</v>
      </c>
      <c r="AI200" s="1948">
        <v>0.99950000000000006</v>
      </c>
      <c r="AJ200" s="1948">
        <v>5.93</v>
      </c>
      <c r="AK200" s="1948">
        <v>2160</v>
      </c>
      <c r="AL200" s="1948">
        <f t="shared" si="51"/>
        <v>21856</v>
      </c>
      <c r="AM200" s="1948">
        <f t="shared" si="52"/>
        <v>0</v>
      </c>
      <c r="AN200" s="1948">
        <v>167</v>
      </c>
      <c r="AO200" s="1948">
        <v>46.08</v>
      </c>
      <c r="AP200" s="1948">
        <v>133.6</v>
      </c>
      <c r="AQ200" s="1948">
        <v>0.99870000000000003</v>
      </c>
      <c r="AR200" s="1948">
        <v>4.7699999999999996</v>
      </c>
      <c r="AS200" s="1948">
        <v>1634</v>
      </c>
      <c r="AT200" s="1948">
        <f t="shared" si="53"/>
        <v>20570</v>
      </c>
      <c r="AU200" s="1948">
        <f t="shared" si="54"/>
        <v>0</v>
      </c>
      <c r="AV200" s="1948">
        <v>167</v>
      </c>
      <c r="AW200" s="1948">
        <v>52.800000000000004</v>
      </c>
      <c r="AX200" s="1948">
        <v>133.6</v>
      </c>
      <c r="AY200" s="1948">
        <v>0.99919999999999998</v>
      </c>
      <c r="AZ200" s="1948">
        <v>7.46</v>
      </c>
      <c r="BA200" s="1948">
        <v>2835</v>
      </c>
      <c r="BB200" s="1948">
        <f t="shared" si="55"/>
        <v>22810</v>
      </c>
      <c r="BC200" s="1948">
        <f t="shared" si="56"/>
        <v>0</v>
      </c>
      <c r="BD200" s="1949">
        <v>167</v>
      </c>
      <c r="BE200" s="1948">
        <v>53.280000000000008</v>
      </c>
      <c r="BF200" s="1949">
        <v>133.6</v>
      </c>
      <c r="BG200" s="1949">
        <v>1</v>
      </c>
      <c r="BH200" s="1949">
        <v>19.66</v>
      </c>
      <c r="BI200" s="1948">
        <v>7794</v>
      </c>
      <c r="BJ200" s="1948">
        <f t="shared" si="57"/>
        <v>23784</v>
      </c>
      <c r="BK200" s="1948">
        <f t="shared" si="58"/>
        <v>0</v>
      </c>
    </row>
    <row r="201" spans="1:63" ht="15">
      <c r="A201" s="1946">
        <v>126000000057</v>
      </c>
      <c r="B201" s="1947">
        <f t="shared" ref="B201:B264" si="59">+B200+1</f>
        <v>195</v>
      </c>
      <c r="C201" s="1906" t="s">
        <v>3088</v>
      </c>
      <c r="D201" s="1907" t="s">
        <v>524</v>
      </c>
      <c r="E201" s="1906" t="s">
        <v>541</v>
      </c>
      <c r="F201" s="1948" t="s">
        <v>259</v>
      </c>
      <c r="G201" s="1949">
        <v>167</v>
      </c>
      <c r="H201" s="1948">
        <v>167</v>
      </c>
      <c r="I201" s="1950">
        <v>16.919999999999998</v>
      </c>
      <c r="J201" s="1948">
        <v>133.6</v>
      </c>
      <c r="K201" s="1948">
        <v>0.90410000000000001</v>
      </c>
      <c r="L201" s="1948">
        <v>39.979999999999997</v>
      </c>
      <c r="M201" s="1948">
        <v>4871</v>
      </c>
      <c r="N201" s="1948">
        <f t="shared" si="45"/>
        <v>7309</v>
      </c>
      <c r="O201" s="1948">
        <f t="shared" si="46"/>
        <v>0</v>
      </c>
      <c r="P201" s="1948">
        <v>167</v>
      </c>
      <c r="Q201" s="1948">
        <v>17.88</v>
      </c>
      <c r="R201" s="1948">
        <v>133.6</v>
      </c>
      <c r="S201" s="1948">
        <v>0.89949999999999997</v>
      </c>
      <c r="T201" s="1948">
        <v>47.28</v>
      </c>
      <c r="U201" s="1948">
        <v>6289</v>
      </c>
      <c r="V201" s="1948">
        <f t="shared" si="47"/>
        <v>7982</v>
      </c>
      <c r="W201" s="1948">
        <f t="shared" si="48"/>
        <v>0</v>
      </c>
      <c r="X201" s="1948">
        <v>167</v>
      </c>
      <c r="Y201" s="1948">
        <v>17.28</v>
      </c>
      <c r="Z201" s="1948">
        <v>133.6</v>
      </c>
      <c r="AA201" s="1948">
        <v>0.88519999999999999</v>
      </c>
      <c r="AB201" s="1948">
        <v>45.11</v>
      </c>
      <c r="AC201" s="1948">
        <v>5612</v>
      </c>
      <c r="AD201" s="1948">
        <f t="shared" si="49"/>
        <v>7465</v>
      </c>
      <c r="AE201" s="1948">
        <f t="shared" si="50"/>
        <v>0</v>
      </c>
      <c r="AF201" s="1948">
        <v>167</v>
      </c>
      <c r="AG201" s="1948">
        <v>17.16</v>
      </c>
      <c r="AH201" s="1948">
        <v>133.6</v>
      </c>
      <c r="AI201" s="1948">
        <v>0.88619999999999999</v>
      </c>
      <c r="AJ201" s="1948">
        <v>52.05</v>
      </c>
      <c r="AK201" s="1948">
        <v>6645</v>
      </c>
      <c r="AL201" s="1948">
        <f t="shared" si="51"/>
        <v>7660</v>
      </c>
      <c r="AM201" s="1948">
        <f t="shared" si="52"/>
        <v>0</v>
      </c>
      <c r="AN201" s="1948">
        <v>167</v>
      </c>
      <c r="AO201" s="1948">
        <v>18.12</v>
      </c>
      <c r="AP201" s="1948">
        <v>133.6</v>
      </c>
      <c r="AQ201" s="1948">
        <v>0.89159999999999995</v>
      </c>
      <c r="AR201" s="1948">
        <v>50.54</v>
      </c>
      <c r="AS201" s="1948">
        <v>6813</v>
      </c>
      <c r="AT201" s="1948">
        <f t="shared" si="53"/>
        <v>8089</v>
      </c>
      <c r="AU201" s="1948">
        <f t="shared" si="54"/>
        <v>0</v>
      </c>
      <c r="AV201" s="1948">
        <v>167</v>
      </c>
      <c r="AW201" s="1948">
        <v>21.48</v>
      </c>
      <c r="AX201" s="1948">
        <v>133.6</v>
      </c>
      <c r="AY201" s="1948">
        <v>0.9052</v>
      </c>
      <c r="AZ201" s="1948">
        <v>44.72</v>
      </c>
      <c r="BA201" s="1948">
        <v>6916</v>
      </c>
      <c r="BB201" s="1948">
        <f t="shared" si="55"/>
        <v>9279</v>
      </c>
      <c r="BC201" s="1948">
        <f t="shared" si="56"/>
        <v>0</v>
      </c>
      <c r="BD201" s="1949">
        <v>167</v>
      </c>
      <c r="BE201" s="1948">
        <v>16.559999999999999</v>
      </c>
      <c r="BF201" s="1949">
        <v>133.6</v>
      </c>
      <c r="BG201" s="1949">
        <v>0.87490000000000001</v>
      </c>
      <c r="BH201" s="1949">
        <v>54.44</v>
      </c>
      <c r="BI201" s="1948">
        <v>6707</v>
      </c>
      <c r="BJ201" s="1948">
        <f t="shared" si="57"/>
        <v>7392</v>
      </c>
      <c r="BK201" s="1948">
        <f t="shared" si="58"/>
        <v>0</v>
      </c>
    </row>
    <row r="202" spans="1:63" ht="15">
      <c r="A202" s="1946">
        <v>124000000050</v>
      </c>
      <c r="B202" s="1947">
        <f t="shared" si="59"/>
        <v>196</v>
      </c>
      <c r="C202" s="1906" t="s">
        <v>3096</v>
      </c>
      <c r="D202" s="1907" t="s">
        <v>524</v>
      </c>
      <c r="E202" s="1906" t="s">
        <v>541</v>
      </c>
      <c r="F202" s="1948" t="s">
        <v>259</v>
      </c>
      <c r="G202" s="1949">
        <v>167</v>
      </c>
      <c r="H202" s="1948">
        <v>167</v>
      </c>
      <c r="I202" s="1950">
        <v>40.08</v>
      </c>
      <c r="J202" s="1948">
        <v>133.6</v>
      </c>
      <c r="K202" s="1948">
        <v>0.99929999999999997</v>
      </c>
      <c r="L202" s="1948">
        <v>10.59</v>
      </c>
      <c r="M202" s="1948">
        <v>3056</v>
      </c>
      <c r="N202" s="1948">
        <f t="shared" si="45"/>
        <v>17315</v>
      </c>
      <c r="O202" s="1948">
        <f t="shared" si="46"/>
        <v>0</v>
      </c>
      <c r="P202" s="1948">
        <v>167</v>
      </c>
      <c r="Q202" s="1948">
        <v>53.4</v>
      </c>
      <c r="R202" s="1948">
        <v>133.6</v>
      </c>
      <c r="S202" s="1948">
        <v>0.99950000000000006</v>
      </c>
      <c r="T202" s="1948">
        <v>11.29</v>
      </c>
      <c r="U202" s="1948">
        <v>4485</v>
      </c>
      <c r="V202" s="1948">
        <f t="shared" si="47"/>
        <v>23838</v>
      </c>
      <c r="W202" s="1948">
        <f t="shared" si="48"/>
        <v>0</v>
      </c>
      <c r="X202" s="1948">
        <v>167</v>
      </c>
      <c r="Y202" s="1948">
        <v>42.36</v>
      </c>
      <c r="Z202" s="1948">
        <v>133.6</v>
      </c>
      <c r="AA202" s="1948">
        <v>0.99890000000000001</v>
      </c>
      <c r="AB202" s="1948">
        <v>9.5299999999999994</v>
      </c>
      <c r="AC202" s="1948">
        <v>2906</v>
      </c>
      <c r="AD202" s="1948">
        <f t="shared" si="49"/>
        <v>18300</v>
      </c>
      <c r="AE202" s="1948">
        <f t="shared" si="50"/>
        <v>0</v>
      </c>
      <c r="AF202" s="1948">
        <v>167</v>
      </c>
      <c r="AG202" s="1948">
        <v>44.76</v>
      </c>
      <c r="AH202" s="1948">
        <v>133.6</v>
      </c>
      <c r="AI202" s="1948">
        <v>0.99950000000000006</v>
      </c>
      <c r="AJ202" s="1948">
        <v>7.4</v>
      </c>
      <c r="AK202" s="1948">
        <v>2464</v>
      </c>
      <c r="AL202" s="1948">
        <f t="shared" si="51"/>
        <v>19981</v>
      </c>
      <c r="AM202" s="1948">
        <f t="shared" si="52"/>
        <v>0</v>
      </c>
      <c r="AN202" s="1948">
        <v>167</v>
      </c>
      <c r="AO202" s="1948">
        <v>53.76</v>
      </c>
      <c r="AP202" s="1948">
        <v>133.6</v>
      </c>
      <c r="AQ202" s="1948">
        <v>0.99929999999999997</v>
      </c>
      <c r="AR202" s="1948">
        <v>8.1</v>
      </c>
      <c r="AS202" s="1948">
        <v>3239</v>
      </c>
      <c r="AT202" s="1948">
        <f t="shared" si="53"/>
        <v>23998</v>
      </c>
      <c r="AU202" s="1948">
        <f t="shared" si="54"/>
        <v>0</v>
      </c>
      <c r="AV202" s="1948">
        <v>167</v>
      </c>
      <c r="AW202" s="1948">
        <v>48.24</v>
      </c>
      <c r="AX202" s="1948">
        <v>133.6</v>
      </c>
      <c r="AY202" s="1948">
        <v>0.99909999999999999</v>
      </c>
      <c r="AZ202" s="1948">
        <v>9.61</v>
      </c>
      <c r="BA202" s="1948">
        <v>3338</v>
      </c>
      <c r="BB202" s="1948">
        <f t="shared" si="55"/>
        <v>20840</v>
      </c>
      <c r="BC202" s="1948">
        <f t="shared" si="56"/>
        <v>0</v>
      </c>
      <c r="BD202" s="1949">
        <v>167</v>
      </c>
      <c r="BE202" s="1948">
        <v>63.120000000000005</v>
      </c>
      <c r="BF202" s="1949">
        <v>133.6</v>
      </c>
      <c r="BG202" s="1949">
        <v>0.99960000000000004</v>
      </c>
      <c r="BH202" s="1949">
        <v>6.57</v>
      </c>
      <c r="BI202" s="1948">
        <v>3084</v>
      </c>
      <c r="BJ202" s="1948">
        <f t="shared" si="57"/>
        <v>28177</v>
      </c>
      <c r="BK202" s="1948">
        <f t="shared" si="58"/>
        <v>0</v>
      </c>
    </row>
    <row r="203" spans="1:63" ht="15">
      <c r="A203" s="1946">
        <v>124000000051</v>
      </c>
      <c r="B203" s="1947">
        <f t="shared" si="59"/>
        <v>197</v>
      </c>
      <c r="C203" s="1906" t="s">
        <v>3097</v>
      </c>
      <c r="D203" s="1907" t="s">
        <v>524</v>
      </c>
      <c r="E203" s="1906" t="s">
        <v>636</v>
      </c>
      <c r="F203" s="1948" t="s">
        <v>259</v>
      </c>
      <c r="G203" s="1949">
        <v>167</v>
      </c>
      <c r="H203" s="1948">
        <v>167</v>
      </c>
      <c r="I203" s="1950">
        <v>99.48</v>
      </c>
      <c r="J203" s="1948">
        <v>133.6</v>
      </c>
      <c r="K203" s="1948">
        <v>0.93220000000000003</v>
      </c>
      <c r="L203" s="1948">
        <v>20.440000000000001</v>
      </c>
      <c r="M203" s="1948">
        <v>14638</v>
      </c>
      <c r="N203" s="1948">
        <f t="shared" si="45"/>
        <v>42975</v>
      </c>
      <c r="O203" s="1948">
        <f t="shared" si="46"/>
        <v>0</v>
      </c>
      <c r="P203" s="1948">
        <v>167</v>
      </c>
      <c r="Q203" s="1948">
        <v>0</v>
      </c>
      <c r="R203" s="1948">
        <v>133.6</v>
      </c>
      <c r="S203" s="1948">
        <v>0</v>
      </c>
      <c r="T203" s="1948">
        <v>0</v>
      </c>
      <c r="U203" s="1948">
        <v>0</v>
      </c>
      <c r="V203" s="1948">
        <f t="shared" si="47"/>
        <v>0</v>
      </c>
      <c r="W203" s="1948">
        <f t="shared" si="48"/>
        <v>0</v>
      </c>
      <c r="X203" s="1948">
        <v>167</v>
      </c>
      <c r="Y203" s="1948">
        <v>88.8</v>
      </c>
      <c r="Z203" s="1948">
        <v>133.6</v>
      </c>
      <c r="AA203" s="1948">
        <v>0.92300000000000004</v>
      </c>
      <c r="AB203" s="1948">
        <v>22.06</v>
      </c>
      <c r="AC203" s="1948">
        <v>14104</v>
      </c>
      <c r="AD203" s="1948">
        <f t="shared" si="49"/>
        <v>38362</v>
      </c>
      <c r="AE203" s="1948">
        <f t="shared" si="50"/>
        <v>0</v>
      </c>
      <c r="AF203" s="1948">
        <v>167</v>
      </c>
      <c r="AG203" s="1948">
        <v>71.399999999999991</v>
      </c>
      <c r="AH203" s="1948">
        <v>133.6</v>
      </c>
      <c r="AI203" s="1948">
        <v>0.93269999999999997</v>
      </c>
      <c r="AJ203" s="1948">
        <v>28.8</v>
      </c>
      <c r="AK203" s="1948">
        <v>15297</v>
      </c>
      <c r="AL203" s="1948">
        <f t="shared" si="51"/>
        <v>31873</v>
      </c>
      <c r="AM203" s="1948">
        <f t="shared" si="52"/>
        <v>0</v>
      </c>
      <c r="AN203" s="1948">
        <v>167</v>
      </c>
      <c r="AO203" s="1948">
        <v>54.96</v>
      </c>
      <c r="AP203" s="1948">
        <v>133.6</v>
      </c>
      <c r="AQ203" s="1948">
        <v>0.91620000000000001</v>
      </c>
      <c r="AR203" s="1948">
        <v>31.57</v>
      </c>
      <c r="AS203" s="1948">
        <v>12911</v>
      </c>
      <c r="AT203" s="1948">
        <f t="shared" si="53"/>
        <v>24534</v>
      </c>
      <c r="AU203" s="1948">
        <f t="shared" si="54"/>
        <v>0</v>
      </c>
      <c r="AV203" s="1948">
        <v>167</v>
      </c>
      <c r="AW203" s="1948">
        <v>0</v>
      </c>
      <c r="AX203" s="1948">
        <v>133.6</v>
      </c>
      <c r="AY203" s="1948">
        <v>0</v>
      </c>
      <c r="AZ203" s="1948">
        <v>0</v>
      </c>
      <c r="BA203" s="1948">
        <v>0</v>
      </c>
      <c r="BB203" s="1948">
        <f t="shared" si="55"/>
        <v>0</v>
      </c>
      <c r="BC203" s="1948">
        <f t="shared" si="56"/>
        <v>0</v>
      </c>
      <c r="BD203" s="1949">
        <v>167</v>
      </c>
      <c r="BE203" s="1948">
        <v>47.160000000000004</v>
      </c>
      <c r="BF203" s="1949">
        <v>133.6</v>
      </c>
      <c r="BG203" s="1949">
        <v>0.88939999999999997</v>
      </c>
      <c r="BH203" s="1949">
        <v>22.93</v>
      </c>
      <c r="BI203" s="1948">
        <v>8044</v>
      </c>
      <c r="BJ203" s="1948">
        <f t="shared" si="57"/>
        <v>21052</v>
      </c>
      <c r="BK203" s="1948">
        <f t="shared" si="58"/>
        <v>0</v>
      </c>
    </row>
    <row r="204" spans="1:63" ht="15">
      <c r="A204" s="1946">
        <v>124000000066</v>
      </c>
      <c r="B204" s="1947">
        <f t="shared" si="59"/>
        <v>198</v>
      </c>
      <c r="C204" s="1906" t="s">
        <v>3087</v>
      </c>
      <c r="D204" s="1907" t="s">
        <v>524</v>
      </c>
      <c r="E204" s="1906" t="s">
        <v>636</v>
      </c>
      <c r="F204" s="1948" t="s">
        <v>259</v>
      </c>
      <c r="G204" s="1949">
        <v>167</v>
      </c>
      <c r="H204" s="1948">
        <v>167</v>
      </c>
      <c r="I204" s="1950">
        <v>119.03999999999999</v>
      </c>
      <c r="J204" s="1948">
        <v>133.6</v>
      </c>
      <c r="K204" s="1948">
        <v>0.98429999999999995</v>
      </c>
      <c r="L204" s="1948">
        <v>43.22</v>
      </c>
      <c r="M204" s="1948">
        <v>37040</v>
      </c>
      <c r="N204" s="1948">
        <f t="shared" si="45"/>
        <v>51425</v>
      </c>
      <c r="O204" s="1948">
        <f t="shared" si="46"/>
        <v>0</v>
      </c>
      <c r="P204" s="1948">
        <v>167</v>
      </c>
      <c r="Q204" s="1948">
        <v>112.32000000000001</v>
      </c>
      <c r="R204" s="1948">
        <v>133.6</v>
      </c>
      <c r="S204" s="1948">
        <v>0.98319999999999996</v>
      </c>
      <c r="T204" s="1948">
        <v>49.45</v>
      </c>
      <c r="U204" s="1948">
        <v>41327</v>
      </c>
      <c r="V204" s="1948">
        <f t="shared" si="47"/>
        <v>50140</v>
      </c>
      <c r="W204" s="1948">
        <f t="shared" si="48"/>
        <v>0</v>
      </c>
      <c r="X204" s="1948">
        <v>167</v>
      </c>
      <c r="Y204" s="1948">
        <v>122.88000000000001</v>
      </c>
      <c r="Z204" s="1948">
        <v>133.6</v>
      </c>
      <c r="AA204" s="1948">
        <v>0.98399999999999999</v>
      </c>
      <c r="AB204" s="1948">
        <v>46.82</v>
      </c>
      <c r="AC204" s="1948">
        <v>41426</v>
      </c>
      <c r="AD204" s="1948">
        <f t="shared" si="49"/>
        <v>53084</v>
      </c>
      <c r="AE204" s="1948">
        <f t="shared" si="50"/>
        <v>0</v>
      </c>
      <c r="AF204" s="1948">
        <v>167</v>
      </c>
      <c r="AG204" s="1948">
        <v>118.32</v>
      </c>
      <c r="AH204" s="1948">
        <v>133.6</v>
      </c>
      <c r="AI204" s="1948">
        <v>0.98409999999999997</v>
      </c>
      <c r="AJ204" s="1948">
        <v>47.95</v>
      </c>
      <c r="AK204" s="1948">
        <v>42214</v>
      </c>
      <c r="AL204" s="1948">
        <f t="shared" si="51"/>
        <v>52818</v>
      </c>
      <c r="AM204" s="1948">
        <f t="shared" si="52"/>
        <v>0</v>
      </c>
      <c r="AN204" s="1948">
        <v>167</v>
      </c>
      <c r="AO204" s="1948">
        <v>112.55999999999999</v>
      </c>
      <c r="AP204" s="1948">
        <v>133.6</v>
      </c>
      <c r="AQ204" s="1948">
        <v>0.98099999999999998</v>
      </c>
      <c r="AR204" s="1948">
        <v>49.02</v>
      </c>
      <c r="AS204" s="1948">
        <v>41055</v>
      </c>
      <c r="AT204" s="1948">
        <f t="shared" si="53"/>
        <v>50247</v>
      </c>
      <c r="AU204" s="1948">
        <f t="shared" si="54"/>
        <v>0</v>
      </c>
      <c r="AV204" s="1948">
        <v>167</v>
      </c>
      <c r="AW204" s="1948">
        <v>102.00000000000001</v>
      </c>
      <c r="AX204" s="1948">
        <v>133.6</v>
      </c>
      <c r="AY204" s="1948">
        <v>0.98</v>
      </c>
      <c r="AZ204" s="1948">
        <v>53.81</v>
      </c>
      <c r="BA204" s="1948">
        <v>39521</v>
      </c>
      <c r="BB204" s="1948">
        <f t="shared" si="55"/>
        <v>44064</v>
      </c>
      <c r="BC204" s="1948">
        <f t="shared" si="56"/>
        <v>0</v>
      </c>
      <c r="BD204" s="1949">
        <v>167</v>
      </c>
      <c r="BE204" s="1948">
        <v>105.48</v>
      </c>
      <c r="BF204" s="1949">
        <v>133.6</v>
      </c>
      <c r="BG204" s="1949">
        <v>0.97889999999999999</v>
      </c>
      <c r="BH204" s="1949">
        <v>48.23</v>
      </c>
      <c r="BI204" s="1948">
        <v>37851</v>
      </c>
      <c r="BJ204" s="1948">
        <f t="shared" si="57"/>
        <v>47086</v>
      </c>
      <c r="BK204" s="1948">
        <f t="shared" si="58"/>
        <v>0</v>
      </c>
    </row>
    <row r="205" spans="1:63" ht="15">
      <c r="A205" s="1946">
        <v>124000000067</v>
      </c>
      <c r="B205" s="1947">
        <f t="shared" si="59"/>
        <v>199</v>
      </c>
      <c r="C205" s="1906" t="s">
        <v>3083</v>
      </c>
      <c r="D205" s="1907" t="s">
        <v>524</v>
      </c>
      <c r="E205" s="1906" t="s">
        <v>636</v>
      </c>
      <c r="F205" s="1948" t="s">
        <v>259</v>
      </c>
      <c r="G205" s="1949">
        <v>167</v>
      </c>
      <c r="H205" s="1948">
        <v>167</v>
      </c>
      <c r="I205" s="1950">
        <v>61.919999999999995</v>
      </c>
      <c r="J205" s="1948">
        <v>133.6</v>
      </c>
      <c r="K205" s="1948">
        <v>0.99409999999999998</v>
      </c>
      <c r="L205" s="1948">
        <v>39.68</v>
      </c>
      <c r="M205" s="1948">
        <v>17689</v>
      </c>
      <c r="N205" s="1948">
        <f t="shared" si="45"/>
        <v>26749</v>
      </c>
      <c r="O205" s="1948">
        <f t="shared" si="46"/>
        <v>0</v>
      </c>
      <c r="P205" s="1948">
        <v>167</v>
      </c>
      <c r="Q205" s="1948">
        <v>47.36</v>
      </c>
      <c r="R205" s="1948">
        <v>133.6</v>
      </c>
      <c r="S205" s="1948">
        <v>0.99280000000000002</v>
      </c>
      <c r="T205" s="1948">
        <v>39.47</v>
      </c>
      <c r="U205" s="1948">
        <v>13909</v>
      </c>
      <c r="V205" s="1948">
        <f t="shared" si="47"/>
        <v>21142</v>
      </c>
      <c r="W205" s="1948">
        <f t="shared" si="48"/>
        <v>0</v>
      </c>
      <c r="X205" s="1948">
        <v>167</v>
      </c>
      <c r="Y205" s="1948">
        <v>44.48</v>
      </c>
      <c r="Z205" s="1948">
        <v>133.6</v>
      </c>
      <c r="AA205" s="1948">
        <v>0.99390000000000001</v>
      </c>
      <c r="AB205" s="1948">
        <v>39.44</v>
      </c>
      <c r="AC205" s="1948">
        <v>12632</v>
      </c>
      <c r="AD205" s="1948">
        <f t="shared" si="49"/>
        <v>19215</v>
      </c>
      <c r="AE205" s="1948">
        <f t="shared" si="50"/>
        <v>0</v>
      </c>
      <c r="AF205" s="1948">
        <v>167</v>
      </c>
      <c r="AG205" s="1948">
        <v>40.160000000000004</v>
      </c>
      <c r="AH205" s="1948">
        <v>133.6</v>
      </c>
      <c r="AI205" s="1948">
        <v>0.99519999999999997</v>
      </c>
      <c r="AJ205" s="1948">
        <v>43.96</v>
      </c>
      <c r="AK205" s="1948">
        <v>13135</v>
      </c>
      <c r="AL205" s="1948">
        <f t="shared" si="51"/>
        <v>17927</v>
      </c>
      <c r="AM205" s="1948">
        <f t="shared" si="52"/>
        <v>0</v>
      </c>
      <c r="AN205" s="1948">
        <v>167</v>
      </c>
      <c r="AO205" s="1948">
        <v>58.8</v>
      </c>
      <c r="AP205" s="1948">
        <v>133.6</v>
      </c>
      <c r="AQ205" s="1948">
        <v>0.99650000000000005</v>
      </c>
      <c r="AR205" s="1948">
        <v>41.8</v>
      </c>
      <c r="AS205" s="1948">
        <v>18286</v>
      </c>
      <c r="AT205" s="1948">
        <f t="shared" si="53"/>
        <v>26248</v>
      </c>
      <c r="AU205" s="1948">
        <f t="shared" si="54"/>
        <v>0</v>
      </c>
      <c r="AV205" s="1948">
        <v>167</v>
      </c>
      <c r="AW205" s="1948">
        <v>57.599999999999994</v>
      </c>
      <c r="AX205" s="1948">
        <v>133.6</v>
      </c>
      <c r="AY205" s="1948">
        <v>0.99590000000000001</v>
      </c>
      <c r="AZ205" s="1948">
        <v>45.66</v>
      </c>
      <c r="BA205" s="1948">
        <v>18935</v>
      </c>
      <c r="BB205" s="1948">
        <f t="shared" si="55"/>
        <v>24883</v>
      </c>
      <c r="BC205" s="1948">
        <f t="shared" si="56"/>
        <v>0</v>
      </c>
      <c r="BD205" s="1949">
        <v>167</v>
      </c>
      <c r="BE205" s="1948">
        <v>58.24</v>
      </c>
      <c r="BF205" s="1949">
        <v>133.6</v>
      </c>
      <c r="BG205" s="1949">
        <v>0.99490000000000001</v>
      </c>
      <c r="BH205" s="1949">
        <v>48.23</v>
      </c>
      <c r="BI205" s="1948">
        <v>20900</v>
      </c>
      <c r="BJ205" s="1948">
        <f t="shared" si="57"/>
        <v>25998</v>
      </c>
      <c r="BK205" s="1948">
        <f t="shared" si="58"/>
        <v>0</v>
      </c>
    </row>
    <row r="206" spans="1:63" ht="15">
      <c r="A206" s="1946">
        <v>125000000037</v>
      </c>
      <c r="B206" s="1947">
        <f t="shared" si="59"/>
        <v>200</v>
      </c>
      <c r="C206" s="1906" t="s">
        <v>3098</v>
      </c>
      <c r="D206" s="1907" t="s">
        <v>524</v>
      </c>
      <c r="E206" s="1906" t="s">
        <v>541</v>
      </c>
      <c r="F206" s="1948" t="s">
        <v>259</v>
      </c>
      <c r="G206" s="1949">
        <v>167</v>
      </c>
      <c r="H206" s="1948">
        <v>167</v>
      </c>
      <c r="I206" s="1950">
        <v>161.04</v>
      </c>
      <c r="J206" s="1948">
        <v>161.04</v>
      </c>
      <c r="K206" s="1948">
        <v>0.77829999999999999</v>
      </c>
      <c r="L206" s="1948">
        <v>23.88</v>
      </c>
      <c r="M206" s="1948">
        <v>27689</v>
      </c>
      <c r="N206" s="1948">
        <f t="shared" si="45"/>
        <v>69569</v>
      </c>
      <c r="O206" s="1948">
        <f t="shared" si="46"/>
        <v>0</v>
      </c>
      <c r="P206" s="1948">
        <v>167</v>
      </c>
      <c r="Q206" s="1948">
        <v>163.35999999999999</v>
      </c>
      <c r="R206" s="1948">
        <v>163.36000000000001</v>
      </c>
      <c r="S206" s="1948">
        <v>0.78869999999999996</v>
      </c>
      <c r="T206" s="1948">
        <v>18.149999999999999</v>
      </c>
      <c r="U206" s="1948">
        <v>22057</v>
      </c>
      <c r="V206" s="1948">
        <f t="shared" si="47"/>
        <v>72924</v>
      </c>
      <c r="W206" s="1948">
        <f t="shared" si="48"/>
        <v>0</v>
      </c>
      <c r="X206" s="1948">
        <v>167</v>
      </c>
      <c r="Y206" s="1948">
        <v>199.92000000000002</v>
      </c>
      <c r="Z206" s="1948">
        <v>199.92</v>
      </c>
      <c r="AA206" s="1948">
        <v>0.77759999999999996</v>
      </c>
      <c r="AB206" s="1948">
        <v>14.97</v>
      </c>
      <c r="AC206" s="1948">
        <v>21541</v>
      </c>
      <c r="AD206" s="1948">
        <f t="shared" si="49"/>
        <v>86365</v>
      </c>
      <c r="AE206" s="1948">
        <f t="shared" si="50"/>
        <v>0</v>
      </c>
      <c r="AF206" s="1948">
        <v>167</v>
      </c>
      <c r="AG206" s="1948">
        <v>165.35999999999999</v>
      </c>
      <c r="AH206" s="1948">
        <v>165.36</v>
      </c>
      <c r="AI206" s="1948">
        <v>0.81369999999999998</v>
      </c>
      <c r="AJ206" s="1948">
        <v>25.1</v>
      </c>
      <c r="AK206" s="1948">
        <v>30875</v>
      </c>
      <c r="AL206" s="1948">
        <f t="shared" si="51"/>
        <v>73817</v>
      </c>
      <c r="AM206" s="1948">
        <f t="shared" si="52"/>
        <v>0</v>
      </c>
      <c r="AN206" s="1948">
        <v>167</v>
      </c>
      <c r="AO206" s="1948">
        <v>151.92000000000002</v>
      </c>
      <c r="AP206" s="1948">
        <v>151.91999999999999</v>
      </c>
      <c r="AQ206" s="1948">
        <v>0.99119999999999997</v>
      </c>
      <c r="AR206" s="1948">
        <v>30.72</v>
      </c>
      <c r="AS206" s="1948">
        <v>34725</v>
      </c>
      <c r="AT206" s="1948">
        <f t="shared" si="53"/>
        <v>67817</v>
      </c>
      <c r="AU206" s="1948">
        <f t="shared" si="54"/>
        <v>0</v>
      </c>
      <c r="AV206" s="1948">
        <v>167</v>
      </c>
      <c r="AW206" s="1948">
        <v>162.24</v>
      </c>
      <c r="AX206" s="1948">
        <v>162.24</v>
      </c>
      <c r="AY206" s="1948">
        <v>0.99099999999999999</v>
      </c>
      <c r="AZ206" s="1948">
        <v>26.85</v>
      </c>
      <c r="BA206" s="1948">
        <v>31366</v>
      </c>
      <c r="BB206" s="1948">
        <f t="shared" si="55"/>
        <v>70088</v>
      </c>
      <c r="BC206" s="1948">
        <f t="shared" si="56"/>
        <v>0</v>
      </c>
      <c r="BD206" s="1949">
        <v>167</v>
      </c>
      <c r="BE206" s="1948">
        <v>150.72</v>
      </c>
      <c r="BF206" s="1949">
        <v>150.72</v>
      </c>
      <c r="BG206" s="1949">
        <v>0.96960000000000002</v>
      </c>
      <c r="BH206" s="1949">
        <v>32.799999999999997</v>
      </c>
      <c r="BI206" s="1948">
        <v>36775</v>
      </c>
      <c r="BJ206" s="1948">
        <f t="shared" si="57"/>
        <v>67281</v>
      </c>
      <c r="BK206" s="1948">
        <f t="shared" si="58"/>
        <v>0</v>
      </c>
    </row>
    <row r="207" spans="1:63" ht="15">
      <c r="A207" s="1946">
        <v>121000000058</v>
      </c>
      <c r="B207" s="1947">
        <f t="shared" si="59"/>
        <v>201</v>
      </c>
      <c r="C207" s="1906" t="s">
        <v>3092</v>
      </c>
      <c r="D207" s="1907" t="s">
        <v>524</v>
      </c>
      <c r="E207" s="1906" t="s">
        <v>636</v>
      </c>
      <c r="F207" s="1948" t="s">
        <v>259</v>
      </c>
      <c r="G207" s="1949">
        <v>167</v>
      </c>
      <c r="H207" s="1948">
        <v>167</v>
      </c>
      <c r="I207" s="1950">
        <v>109.2</v>
      </c>
      <c r="J207" s="1948">
        <v>133.6</v>
      </c>
      <c r="K207" s="1948">
        <v>0.87360000000000004</v>
      </c>
      <c r="L207" s="1948">
        <v>25.63</v>
      </c>
      <c r="M207" s="1948">
        <v>20154</v>
      </c>
      <c r="N207" s="1948">
        <f t="shared" si="45"/>
        <v>47174</v>
      </c>
      <c r="O207" s="1948">
        <f t="shared" si="46"/>
        <v>0</v>
      </c>
      <c r="P207" s="1948">
        <v>167</v>
      </c>
      <c r="Q207" s="1948">
        <v>95.36</v>
      </c>
      <c r="R207" s="1948">
        <v>133.6</v>
      </c>
      <c r="S207" s="1948">
        <v>0.88029999999999997</v>
      </c>
      <c r="T207" s="1948">
        <v>25.9</v>
      </c>
      <c r="U207" s="1948">
        <v>18374</v>
      </c>
      <c r="V207" s="1948">
        <f t="shared" si="47"/>
        <v>42569</v>
      </c>
      <c r="W207" s="1948">
        <f t="shared" si="48"/>
        <v>0</v>
      </c>
      <c r="X207" s="1948">
        <v>167</v>
      </c>
      <c r="Y207" s="1948">
        <v>95.12</v>
      </c>
      <c r="Z207" s="1948">
        <v>133.6</v>
      </c>
      <c r="AA207" s="1948">
        <v>0.87549999999999994</v>
      </c>
      <c r="AB207" s="1948">
        <v>27.34</v>
      </c>
      <c r="AC207" s="1948">
        <v>18721</v>
      </c>
      <c r="AD207" s="1948">
        <f t="shared" si="49"/>
        <v>41092</v>
      </c>
      <c r="AE207" s="1948">
        <f t="shared" si="50"/>
        <v>0</v>
      </c>
      <c r="AF207" s="1948">
        <v>167</v>
      </c>
      <c r="AG207" s="1948">
        <v>105.28</v>
      </c>
      <c r="AH207" s="1948">
        <v>133.6</v>
      </c>
      <c r="AI207" s="1948">
        <v>0.89500000000000002</v>
      </c>
      <c r="AJ207" s="1948">
        <v>19.66</v>
      </c>
      <c r="AK207" s="1948">
        <v>15402</v>
      </c>
      <c r="AL207" s="1948">
        <f t="shared" si="51"/>
        <v>46997</v>
      </c>
      <c r="AM207" s="1948">
        <f t="shared" si="52"/>
        <v>0</v>
      </c>
      <c r="AN207" s="1948">
        <v>167</v>
      </c>
      <c r="AO207" s="1948">
        <v>111.75999999999999</v>
      </c>
      <c r="AP207" s="1948">
        <v>133.6</v>
      </c>
      <c r="AQ207" s="1948">
        <v>0.94330000000000003</v>
      </c>
      <c r="AR207" s="1948">
        <v>20.84</v>
      </c>
      <c r="AS207" s="1948">
        <v>17332</v>
      </c>
      <c r="AT207" s="1948">
        <f t="shared" si="53"/>
        <v>49890</v>
      </c>
      <c r="AU207" s="1948">
        <f t="shared" si="54"/>
        <v>0</v>
      </c>
      <c r="AV207" s="1948">
        <v>167</v>
      </c>
      <c r="AW207" s="1948">
        <v>97.6</v>
      </c>
      <c r="AX207" s="1948">
        <v>133.6</v>
      </c>
      <c r="AY207" s="1948">
        <v>0.9395</v>
      </c>
      <c r="AZ207" s="1948">
        <v>24.04</v>
      </c>
      <c r="BA207" s="1948">
        <v>16890</v>
      </c>
      <c r="BB207" s="1948">
        <f t="shared" si="55"/>
        <v>42163</v>
      </c>
      <c r="BC207" s="1948">
        <f t="shared" si="56"/>
        <v>0</v>
      </c>
      <c r="BD207" s="1949">
        <v>167</v>
      </c>
      <c r="BE207" s="1948">
        <v>78.959999999999994</v>
      </c>
      <c r="BF207" s="1949">
        <v>133.6</v>
      </c>
      <c r="BG207" s="1949">
        <v>0.93310000000000004</v>
      </c>
      <c r="BH207" s="1949">
        <v>29.25</v>
      </c>
      <c r="BI207" s="1948">
        <v>17185</v>
      </c>
      <c r="BJ207" s="1948">
        <f t="shared" si="57"/>
        <v>35248</v>
      </c>
      <c r="BK207" s="1948">
        <f t="shared" si="58"/>
        <v>0</v>
      </c>
    </row>
    <row r="208" spans="1:63" ht="15">
      <c r="A208" s="1946">
        <v>121000000080</v>
      </c>
      <c r="B208" s="1947">
        <f t="shared" si="59"/>
        <v>202</v>
      </c>
      <c r="C208" s="1906" t="s">
        <v>3093</v>
      </c>
      <c r="D208" s="1907" t="s">
        <v>2930</v>
      </c>
      <c r="E208" s="1906" t="s">
        <v>2966</v>
      </c>
      <c r="F208" s="1948" t="s">
        <v>259</v>
      </c>
      <c r="G208" s="1949">
        <v>167</v>
      </c>
      <c r="H208" s="1948">
        <v>167</v>
      </c>
      <c r="I208" s="1950">
        <v>180.64</v>
      </c>
      <c r="J208" s="1948">
        <v>180.64</v>
      </c>
      <c r="K208" s="1948">
        <v>0.72809999999999997</v>
      </c>
      <c r="L208" s="1948">
        <v>0</v>
      </c>
      <c r="M208" s="1948">
        <v>51191</v>
      </c>
      <c r="N208" s="1948">
        <f t="shared" si="45"/>
        <v>78036</v>
      </c>
      <c r="O208" s="1948">
        <f t="shared" si="46"/>
        <v>0</v>
      </c>
      <c r="P208" s="1948">
        <v>167</v>
      </c>
      <c r="Q208" s="1948">
        <v>186.48</v>
      </c>
      <c r="R208" s="1948">
        <v>186.48</v>
      </c>
      <c r="S208" s="1948">
        <v>0.75260000000000005</v>
      </c>
      <c r="T208" s="1948">
        <v>0</v>
      </c>
      <c r="U208" s="1948">
        <v>52361</v>
      </c>
      <c r="V208" s="1948">
        <f t="shared" si="47"/>
        <v>83245</v>
      </c>
      <c r="W208" s="1948">
        <f t="shared" si="48"/>
        <v>0</v>
      </c>
      <c r="X208" s="1948">
        <v>167</v>
      </c>
      <c r="Y208" s="1948">
        <v>99.44</v>
      </c>
      <c r="Z208" s="1948">
        <v>167</v>
      </c>
      <c r="AA208" s="1948">
        <v>0.66869999999999996</v>
      </c>
      <c r="AB208" s="1948">
        <v>0</v>
      </c>
      <c r="AC208" s="1948">
        <v>26937</v>
      </c>
      <c r="AD208" s="1948">
        <f t="shared" si="49"/>
        <v>42958</v>
      </c>
      <c r="AE208" s="1948">
        <f t="shared" si="50"/>
        <v>0</v>
      </c>
      <c r="AF208" s="1948">
        <v>167</v>
      </c>
      <c r="AG208" s="1948">
        <v>70.72</v>
      </c>
      <c r="AH208" s="1948">
        <v>167</v>
      </c>
      <c r="AI208" s="1948">
        <v>0.45669999999999999</v>
      </c>
      <c r="AJ208" s="1948">
        <v>0</v>
      </c>
      <c r="AK208" s="1948">
        <v>7238</v>
      </c>
      <c r="AL208" s="1948">
        <f t="shared" si="51"/>
        <v>31569</v>
      </c>
      <c r="AM208" s="1948">
        <f t="shared" si="52"/>
        <v>0</v>
      </c>
      <c r="AN208" s="1948">
        <v>167</v>
      </c>
      <c r="AO208" s="1948">
        <v>33.68</v>
      </c>
      <c r="AP208" s="1948">
        <v>167</v>
      </c>
      <c r="AQ208" s="1948">
        <v>0.15820000000000001</v>
      </c>
      <c r="AR208" s="1948">
        <v>0</v>
      </c>
      <c r="AS208" s="1948">
        <v>2862</v>
      </c>
      <c r="AT208" s="1948">
        <f t="shared" si="53"/>
        <v>15035</v>
      </c>
      <c r="AU208" s="1948">
        <f t="shared" si="54"/>
        <v>0</v>
      </c>
      <c r="AV208" s="1948">
        <v>167</v>
      </c>
      <c r="AW208" s="1948">
        <v>0</v>
      </c>
      <c r="AX208" s="1948">
        <v>167</v>
      </c>
      <c r="AY208" s="1948">
        <v>0</v>
      </c>
      <c r="AZ208" s="1948">
        <v>0</v>
      </c>
      <c r="BA208" s="1948">
        <v>0</v>
      </c>
      <c r="BB208" s="1948">
        <f t="shared" si="55"/>
        <v>0</v>
      </c>
      <c r="BC208" s="1948">
        <f t="shared" si="56"/>
        <v>0</v>
      </c>
      <c r="BD208" s="1949">
        <v>167</v>
      </c>
      <c r="BE208" s="1948">
        <v>0</v>
      </c>
      <c r="BF208" s="1949">
        <v>167</v>
      </c>
      <c r="BG208" s="1949">
        <v>0</v>
      </c>
      <c r="BH208" s="1949">
        <v>0</v>
      </c>
      <c r="BI208" s="1948">
        <v>0</v>
      </c>
      <c r="BJ208" s="1948">
        <f t="shared" si="57"/>
        <v>0</v>
      </c>
      <c r="BK208" s="1948">
        <f t="shared" si="58"/>
        <v>0</v>
      </c>
    </row>
    <row r="209" spans="1:63" ht="15">
      <c r="A209" s="1946">
        <v>121000000085</v>
      </c>
      <c r="B209" s="1947">
        <f t="shared" si="59"/>
        <v>203</v>
      </c>
      <c r="C209" s="1906" t="s">
        <v>3089</v>
      </c>
      <c r="D209" s="1907" t="s">
        <v>524</v>
      </c>
      <c r="E209" s="1906" t="s">
        <v>2966</v>
      </c>
      <c r="F209" s="1948" t="s">
        <v>259</v>
      </c>
      <c r="G209" s="1949">
        <v>167</v>
      </c>
      <c r="H209" s="1948">
        <v>167</v>
      </c>
      <c r="I209" s="1950">
        <v>163.20000000000002</v>
      </c>
      <c r="J209" s="1948">
        <v>167</v>
      </c>
      <c r="K209" s="1948">
        <v>0.77829999999999999</v>
      </c>
      <c r="L209" s="1948">
        <v>0</v>
      </c>
      <c r="M209" s="1948">
        <v>48300</v>
      </c>
      <c r="N209" s="1948">
        <f t="shared" si="45"/>
        <v>70502</v>
      </c>
      <c r="O209" s="1948">
        <f t="shared" si="46"/>
        <v>0</v>
      </c>
      <c r="P209" s="1948">
        <v>167</v>
      </c>
      <c r="Q209" s="1948">
        <v>167.16</v>
      </c>
      <c r="R209" s="1948">
        <v>167.16</v>
      </c>
      <c r="S209" s="1948">
        <v>0.76429999999999998</v>
      </c>
      <c r="T209" s="1948">
        <v>0</v>
      </c>
      <c r="U209" s="1948">
        <v>36219</v>
      </c>
      <c r="V209" s="1948">
        <f t="shared" si="47"/>
        <v>74620</v>
      </c>
      <c r="W209" s="1948">
        <f t="shared" si="48"/>
        <v>0</v>
      </c>
      <c r="X209" s="1948">
        <v>167</v>
      </c>
      <c r="Y209" s="1948">
        <v>125.88</v>
      </c>
      <c r="Z209" s="1948">
        <v>167</v>
      </c>
      <c r="AA209" s="1948">
        <v>0.74</v>
      </c>
      <c r="AB209" s="1948">
        <v>0</v>
      </c>
      <c r="AC209" s="1948">
        <v>19082</v>
      </c>
      <c r="AD209" s="1948">
        <f t="shared" si="49"/>
        <v>54380</v>
      </c>
      <c r="AE209" s="1948">
        <f t="shared" si="50"/>
        <v>0</v>
      </c>
      <c r="AF209" s="1948">
        <v>167</v>
      </c>
      <c r="AG209" s="1948">
        <v>125.64</v>
      </c>
      <c r="AH209" s="1948">
        <v>167</v>
      </c>
      <c r="AI209" s="1948">
        <v>0.74029999999999996</v>
      </c>
      <c r="AJ209" s="1948">
        <v>0</v>
      </c>
      <c r="AK209" s="1948">
        <v>24273</v>
      </c>
      <c r="AL209" s="1948">
        <f t="shared" si="51"/>
        <v>56086</v>
      </c>
      <c r="AM209" s="1948">
        <f t="shared" si="52"/>
        <v>0</v>
      </c>
      <c r="AN209" s="1948">
        <v>167</v>
      </c>
      <c r="AO209" s="1948">
        <v>132.24</v>
      </c>
      <c r="AP209" s="1948">
        <v>167</v>
      </c>
      <c r="AQ209" s="1948">
        <v>0.74470000000000003</v>
      </c>
      <c r="AR209" s="1948">
        <v>0</v>
      </c>
      <c r="AS209" s="1948">
        <v>35274</v>
      </c>
      <c r="AT209" s="1948">
        <f t="shared" si="53"/>
        <v>59032</v>
      </c>
      <c r="AU209" s="1948">
        <f t="shared" si="54"/>
        <v>0</v>
      </c>
      <c r="AV209" s="1948">
        <v>167</v>
      </c>
      <c r="AW209" s="1948">
        <v>112.44000000000001</v>
      </c>
      <c r="AX209" s="1948">
        <v>167</v>
      </c>
      <c r="AY209" s="1948">
        <v>0.72199999999999998</v>
      </c>
      <c r="AZ209" s="1948">
        <v>0</v>
      </c>
      <c r="BA209" s="1948">
        <v>21314</v>
      </c>
      <c r="BB209" s="1948">
        <f t="shared" si="55"/>
        <v>48574</v>
      </c>
      <c r="BC209" s="1948">
        <f t="shared" si="56"/>
        <v>0</v>
      </c>
      <c r="BD209" s="1949">
        <v>167</v>
      </c>
      <c r="BE209" s="1948">
        <v>16.080000000000002</v>
      </c>
      <c r="BF209" s="1949">
        <v>167</v>
      </c>
      <c r="BG209" s="1949">
        <v>0.50670000000000004</v>
      </c>
      <c r="BH209" s="1949">
        <v>0</v>
      </c>
      <c r="BI209" s="1948">
        <v>1924</v>
      </c>
      <c r="BJ209" s="1948">
        <f t="shared" si="57"/>
        <v>7178</v>
      </c>
      <c r="BK209" s="1948">
        <f t="shared" si="58"/>
        <v>0</v>
      </c>
    </row>
    <row r="210" spans="1:63" ht="15">
      <c r="A210" s="1946">
        <v>121000000091</v>
      </c>
      <c r="B210" s="1947">
        <f t="shared" si="59"/>
        <v>204</v>
      </c>
      <c r="C210" s="1906" t="s">
        <v>3076</v>
      </c>
      <c r="D210" s="1907" t="s">
        <v>524</v>
      </c>
      <c r="E210" s="1906" t="s">
        <v>636</v>
      </c>
      <c r="F210" s="1948" t="s">
        <v>259</v>
      </c>
      <c r="G210" s="1949">
        <v>167</v>
      </c>
      <c r="H210" s="1948">
        <v>167</v>
      </c>
      <c r="I210" s="1950">
        <v>66.080000000000013</v>
      </c>
      <c r="J210" s="1948">
        <v>133.6</v>
      </c>
      <c r="K210" s="1948">
        <v>0.89090000000000003</v>
      </c>
      <c r="L210" s="1948">
        <v>18.68</v>
      </c>
      <c r="M210" s="1948">
        <v>9480</v>
      </c>
      <c r="N210" s="1948">
        <f t="shared" si="45"/>
        <v>28547</v>
      </c>
      <c r="O210" s="1948">
        <f t="shared" si="46"/>
        <v>0</v>
      </c>
      <c r="P210" s="1948">
        <v>167</v>
      </c>
      <c r="Q210" s="1948">
        <v>66.080000000000013</v>
      </c>
      <c r="R210" s="1948">
        <v>133.6</v>
      </c>
      <c r="S210" s="1948">
        <v>0.94040000000000001</v>
      </c>
      <c r="T210" s="1948">
        <v>21.95</v>
      </c>
      <c r="U210" s="1948">
        <v>11488</v>
      </c>
      <c r="V210" s="1948">
        <f t="shared" si="47"/>
        <v>29498</v>
      </c>
      <c r="W210" s="1948">
        <f t="shared" si="48"/>
        <v>0</v>
      </c>
      <c r="X210" s="1948">
        <v>167</v>
      </c>
      <c r="Y210" s="1948">
        <v>92.320000000000007</v>
      </c>
      <c r="Z210" s="1948">
        <v>133.6</v>
      </c>
      <c r="AA210" s="1948">
        <v>0.89910000000000001</v>
      </c>
      <c r="AB210" s="1948">
        <v>12.92</v>
      </c>
      <c r="AC210" s="1948">
        <v>8014</v>
      </c>
      <c r="AD210" s="1948">
        <f t="shared" si="49"/>
        <v>39882</v>
      </c>
      <c r="AE210" s="1948">
        <f t="shared" si="50"/>
        <v>0</v>
      </c>
      <c r="AF210" s="1948">
        <v>167</v>
      </c>
      <c r="AG210" s="1948">
        <v>117.12</v>
      </c>
      <c r="AH210" s="1948">
        <v>133.6</v>
      </c>
      <c r="AI210" s="1948">
        <v>0.95409999999999995</v>
      </c>
      <c r="AJ210" s="1948">
        <v>21.65</v>
      </c>
      <c r="AK210" s="1948">
        <v>18258</v>
      </c>
      <c r="AL210" s="1948">
        <f t="shared" si="51"/>
        <v>52282</v>
      </c>
      <c r="AM210" s="1948">
        <f t="shared" si="52"/>
        <v>0</v>
      </c>
      <c r="AN210" s="1948">
        <v>167</v>
      </c>
      <c r="AO210" s="1948">
        <v>124</v>
      </c>
      <c r="AP210" s="1948">
        <v>133.6</v>
      </c>
      <c r="AQ210" s="1948">
        <v>0.95020000000000004</v>
      </c>
      <c r="AR210" s="1948">
        <v>19.920000000000002</v>
      </c>
      <c r="AS210" s="1948">
        <v>19562</v>
      </c>
      <c r="AT210" s="1948">
        <f t="shared" si="53"/>
        <v>55354</v>
      </c>
      <c r="AU210" s="1948">
        <f t="shared" si="54"/>
        <v>0</v>
      </c>
      <c r="AV210" s="1948">
        <v>167</v>
      </c>
      <c r="AW210" s="1948">
        <v>128.80000000000001</v>
      </c>
      <c r="AX210" s="1948">
        <v>133.6</v>
      </c>
      <c r="AY210" s="1948">
        <v>0.93640000000000001</v>
      </c>
      <c r="AZ210" s="1948">
        <v>17.5</v>
      </c>
      <c r="BA210" s="1948">
        <v>16228</v>
      </c>
      <c r="BB210" s="1948">
        <f t="shared" si="55"/>
        <v>55642</v>
      </c>
      <c r="BC210" s="1948">
        <f t="shared" si="56"/>
        <v>0</v>
      </c>
      <c r="BD210" s="1949">
        <v>167</v>
      </c>
      <c r="BE210" s="1948">
        <v>136.47999999999999</v>
      </c>
      <c r="BF210" s="1949">
        <v>136.47999999999999</v>
      </c>
      <c r="BG210" s="1949">
        <v>0.92290000000000005</v>
      </c>
      <c r="BH210" s="1949">
        <v>16.98</v>
      </c>
      <c r="BI210" s="1948">
        <v>18358</v>
      </c>
      <c r="BJ210" s="1948">
        <f t="shared" si="57"/>
        <v>60925</v>
      </c>
      <c r="BK210" s="1948">
        <f t="shared" si="58"/>
        <v>0</v>
      </c>
    </row>
    <row r="211" spans="1:63" ht="15">
      <c r="A211" s="1946">
        <v>121000000095</v>
      </c>
      <c r="B211" s="1947">
        <f t="shared" si="59"/>
        <v>205</v>
      </c>
      <c r="C211" s="1906" t="s">
        <v>3082</v>
      </c>
      <c r="D211" s="1907" t="s">
        <v>524</v>
      </c>
      <c r="E211" s="1906" t="s">
        <v>2966</v>
      </c>
      <c r="F211" s="1948" t="s">
        <v>259</v>
      </c>
      <c r="G211" s="1949">
        <v>167</v>
      </c>
      <c r="H211" s="1948">
        <v>167</v>
      </c>
      <c r="I211" s="1950">
        <v>108.96</v>
      </c>
      <c r="J211" s="1948">
        <v>167</v>
      </c>
      <c r="K211" s="1948">
        <v>0.97409999999999997</v>
      </c>
      <c r="L211" s="1948">
        <v>0</v>
      </c>
      <c r="M211" s="1948">
        <v>31336</v>
      </c>
      <c r="N211" s="1948">
        <f t="shared" si="45"/>
        <v>47071</v>
      </c>
      <c r="O211" s="1948">
        <f t="shared" si="46"/>
        <v>0</v>
      </c>
      <c r="P211" s="1948">
        <v>167</v>
      </c>
      <c r="Q211" s="1948">
        <v>109.52</v>
      </c>
      <c r="R211" s="1948">
        <v>167</v>
      </c>
      <c r="S211" s="1948">
        <v>0.98180000000000001</v>
      </c>
      <c r="T211" s="1948">
        <v>0</v>
      </c>
      <c r="U211" s="1948">
        <v>36093</v>
      </c>
      <c r="V211" s="1948">
        <f t="shared" si="47"/>
        <v>48890</v>
      </c>
      <c r="W211" s="1948">
        <f t="shared" si="48"/>
        <v>0</v>
      </c>
      <c r="X211" s="1948">
        <v>167</v>
      </c>
      <c r="Y211" s="1948">
        <v>108.4</v>
      </c>
      <c r="Z211" s="1948">
        <v>167</v>
      </c>
      <c r="AA211" s="1948">
        <v>0.76839999999999997</v>
      </c>
      <c r="AB211" s="1948">
        <v>0</v>
      </c>
      <c r="AC211" s="1948">
        <v>8299</v>
      </c>
      <c r="AD211" s="1948">
        <f t="shared" si="49"/>
        <v>46829</v>
      </c>
      <c r="AE211" s="1948">
        <f t="shared" si="50"/>
        <v>0</v>
      </c>
      <c r="AF211" s="1948">
        <v>167</v>
      </c>
      <c r="AG211" s="1948">
        <v>30.72</v>
      </c>
      <c r="AH211" s="1948">
        <v>167</v>
      </c>
      <c r="AI211" s="1948">
        <v>0.73129999999999995</v>
      </c>
      <c r="AJ211" s="1948">
        <v>0</v>
      </c>
      <c r="AK211" s="1948">
        <v>5543</v>
      </c>
      <c r="AL211" s="1948">
        <f t="shared" si="51"/>
        <v>13713</v>
      </c>
      <c r="AM211" s="1948">
        <f t="shared" si="52"/>
        <v>0</v>
      </c>
      <c r="AN211" s="1948">
        <v>167</v>
      </c>
      <c r="AO211" s="1948">
        <v>23.36</v>
      </c>
      <c r="AP211" s="1948">
        <v>167</v>
      </c>
      <c r="AQ211" s="1948">
        <v>0.74209999999999998</v>
      </c>
      <c r="AR211" s="1948">
        <v>0</v>
      </c>
      <c r="AS211" s="1948">
        <v>6216</v>
      </c>
      <c r="AT211" s="1948">
        <f t="shared" si="53"/>
        <v>10428</v>
      </c>
      <c r="AU211" s="1948">
        <f t="shared" si="54"/>
        <v>0</v>
      </c>
      <c r="AV211" s="1948">
        <v>167</v>
      </c>
      <c r="AW211" s="1948">
        <v>38.72</v>
      </c>
      <c r="AX211" s="1948">
        <v>167</v>
      </c>
      <c r="AY211" s="1948">
        <v>0.78769999999999996</v>
      </c>
      <c r="AZ211" s="1948">
        <v>0</v>
      </c>
      <c r="BA211" s="1948">
        <v>8118</v>
      </c>
      <c r="BB211" s="1948">
        <f t="shared" si="55"/>
        <v>16727</v>
      </c>
      <c r="BC211" s="1948">
        <f t="shared" si="56"/>
        <v>0</v>
      </c>
      <c r="BD211" s="1949">
        <v>167</v>
      </c>
      <c r="BE211" s="1948">
        <v>21.2</v>
      </c>
      <c r="BF211" s="1949">
        <v>167</v>
      </c>
      <c r="BG211" s="1949">
        <v>0.82330000000000003</v>
      </c>
      <c r="BH211" s="1949">
        <v>0</v>
      </c>
      <c r="BI211" s="1948">
        <v>6854</v>
      </c>
      <c r="BJ211" s="1948">
        <f t="shared" si="57"/>
        <v>9464</v>
      </c>
      <c r="BK211" s="1948">
        <f t="shared" si="58"/>
        <v>0</v>
      </c>
    </row>
    <row r="212" spans="1:63" ht="15">
      <c r="A212" s="1946">
        <v>121000000096</v>
      </c>
      <c r="B212" s="1947">
        <f t="shared" si="59"/>
        <v>206</v>
      </c>
      <c r="C212" s="1906" t="s">
        <v>3081</v>
      </c>
      <c r="D212" s="1907" t="s">
        <v>524</v>
      </c>
      <c r="E212" s="1906" t="s">
        <v>2966</v>
      </c>
      <c r="F212" s="1948" t="s">
        <v>259</v>
      </c>
      <c r="G212" s="1949">
        <v>167</v>
      </c>
      <c r="H212" s="1948">
        <v>167</v>
      </c>
      <c r="I212" s="1950">
        <v>164.72</v>
      </c>
      <c r="J212" s="1948">
        <v>167</v>
      </c>
      <c r="K212" s="1948">
        <v>0.82040000000000002</v>
      </c>
      <c r="L212" s="1948">
        <v>0</v>
      </c>
      <c r="M212" s="1948">
        <v>43718</v>
      </c>
      <c r="N212" s="1948">
        <f t="shared" si="45"/>
        <v>71159</v>
      </c>
      <c r="O212" s="1948">
        <f t="shared" si="46"/>
        <v>0</v>
      </c>
      <c r="P212" s="1948">
        <v>167</v>
      </c>
      <c r="Q212" s="1948">
        <v>40.56</v>
      </c>
      <c r="R212" s="1948">
        <v>167</v>
      </c>
      <c r="S212" s="1948">
        <v>0.67290000000000005</v>
      </c>
      <c r="T212" s="1948">
        <v>0</v>
      </c>
      <c r="U212" s="1948">
        <v>7009</v>
      </c>
      <c r="V212" s="1948">
        <f t="shared" si="47"/>
        <v>18106</v>
      </c>
      <c r="W212" s="1948">
        <f t="shared" si="48"/>
        <v>0</v>
      </c>
      <c r="X212" s="1948">
        <v>167</v>
      </c>
      <c r="Y212" s="1948">
        <v>136.95999999999998</v>
      </c>
      <c r="Z212" s="1948">
        <v>167</v>
      </c>
      <c r="AA212" s="1948">
        <v>0.82820000000000005</v>
      </c>
      <c r="AB212" s="1948">
        <v>0</v>
      </c>
      <c r="AC212" s="1948">
        <v>21093</v>
      </c>
      <c r="AD212" s="1948">
        <f t="shared" si="49"/>
        <v>59167</v>
      </c>
      <c r="AE212" s="1948">
        <f t="shared" si="50"/>
        <v>0</v>
      </c>
      <c r="AF212" s="1948">
        <v>167</v>
      </c>
      <c r="AG212" s="1948">
        <v>110.00000000000001</v>
      </c>
      <c r="AH212" s="1948">
        <v>167</v>
      </c>
      <c r="AI212" s="1948">
        <v>0.81950000000000001</v>
      </c>
      <c r="AJ212" s="1948">
        <v>0</v>
      </c>
      <c r="AK212" s="1948">
        <v>23395</v>
      </c>
      <c r="AL212" s="1948">
        <f t="shared" si="51"/>
        <v>49104</v>
      </c>
      <c r="AM212" s="1948">
        <f t="shared" si="52"/>
        <v>0</v>
      </c>
      <c r="AN212" s="1948">
        <v>167</v>
      </c>
      <c r="AO212" s="1948">
        <v>159.20000000000002</v>
      </c>
      <c r="AP212" s="1948">
        <v>167</v>
      </c>
      <c r="AQ212" s="1948">
        <v>0.81459999999999999</v>
      </c>
      <c r="AR212" s="1948">
        <v>0</v>
      </c>
      <c r="AS212" s="1948">
        <v>38189</v>
      </c>
      <c r="AT212" s="1948">
        <f t="shared" si="53"/>
        <v>71067</v>
      </c>
      <c r="AU212" s="1948">
        <f t="shared" si="54"/>
        <v>0</v>
      </c>
      <c r="AV212" s="1948">
        <v>167</v>
      </c>
      <c r="AW212" s="1948">
        <v>74.64</v>
      </c>
      <c r="AX212" s="1948">
        <v>167</v>
      </c>
      <c r="AY212" s="1948">
        <v>0.72409999999999997</v>
      </c>
      <c r="AZ212" s="1948">
        <v>0</v>
      </c>
      <c r="BA212" s="1948">
        <v>12760</v>
      </c>
      <c r="BB212" s="1948">
        <f t="shared" si="55"/>
        <v>32244</v>
      </c>
      <c r="BC212" s="1948">
        <f t="shared" si="56"/>
        <v>0</v>
      </c>
      <c r="BD212" s="1949">
        <v>167</v>
      </c>
      <c r="BE212" s="1948">
        <v>38.4</v>
      </c>
      <c r="BF212" s="1949">
        <v>167</v>
      </c>
      <c r="BG212" s="1949">
        <v>0.75070000000000003</v>
      </c>
      <c r="BH212" s="1949">
        <v>0</v>
      </c>
      <c r="BI212" s="1948">
        <v>8746</v>
      </c>
      <c r="BJ212" s="1948">
        <f t="shared" si="57"/>
        <v>17142</v>
      </c>
      <c r="BK212" s="1948">
        <f t="shared" si="58"/>
        <v>0</v>
      </c>
    </row>
    <row r="213" spans="1:63" ht="15">
      <c r="A213" s="1946">
        <v>121000000099</v>
      </c>
      <c r="B213" s="1947">
        <f t="shared" si="59"/>
        <v>207</v>
      </c>
      <c r="C213" s="1906" t="s">
        <v>3091</v>
      </c>
      <c r="D213" s="1907" t="s">
        <v>524</v>
      </c>
      <c r="E213" s="1906" t="s">
        <v>2966</v>
      </c>
      <c r="F213" s="1948" t="s">
        <v>259</v>
      </c>
      <c r="G213" s="1949">
        <v>167</v>
      </c>
      <c r="H213" s="1948">
        <v>167</v>
      </c>
      <c r="I213" s="1950">
        <v>105.28</v>
      </c>
      <c r="J213" s="1948">
        <v>167</v>
      </c>
      <c r="K213" s="1948">
        <v>0.72040000000000004</v>
      </c>
      <c r="L213" s="1948">
        <v>0</v>
      </c>
      <c r="M213" s="1948">
        <v>28421</v>
      </c>
      <c r="N213" s="1948">
        <f t="shared" si="45"/>
        <v>45481</v>
      </c>
      <c r="O213" s="1948">
        <f t="shared" si="46"/>
        <v>0</v>
      </c>
      <c r="P213" s="1948">
        <v>167</v>
      </c>
      <c r="Q213" s="1948">
        <v>118.8</v>
      </c>
      <c r="R213" s="1948">
        <v>167</v>
      </c>
      <c r="S213" s="1948">
        <v>0.72940000000000005</v>
      </c>
      <c r="T213" s="1948">
        <v>0</v>
      </c>
      <c r="U213" s="1948">
        <v>33912</v>
      </c>
      <c r="V213" s="1948">
        <f t="shared" si="47"/>
        <v>53032</v>
      </c>
      <c r="W213" s="1948">
        <f t="shared" si="48"/>
        <v>0</v>
      </c>
      <c r="X213" s="1948">
        <v>167</v>
      </c>
      <c r="Y213" s="1948">
        <v>120.16</v>
      </c>
      <c r="Z213" s="1948">
        <v>167</v>
      </c>
      <c r="AA213" s="1948">
        <v>0.62009999999999998</v>
      </c>
      <c r="AB213" s="1948">
        <v>0</v>
      </c>
      <c r="AC213" s="1948">
        <v>22802</v>
      </c>
      <c r="AD213" s="1948">
        <f t="shared" si="49"/>
        <v>51909</v>
      </c>
      <c r="AE213" s="1948">
        <f t="shared" si="50"/>
        <v>0</v>
      </c>
      <c r="AF213" s="1948">
        <v>167</v>
      </c>
      <c r="AG213" s="1948">
        <v>86.72</v>
      </c>
      <c r="AH213" s="1948">
        <v>167</v>
      </c>
      <c r="AI213" s="1948">
        <v>0.50209999999999999</v>
      </c>
      <c r="AJ213" s="1948">
        <v>0</v>
      </c>
      <c r="AK213" s="1948">
        <v>10992</v>
      </c>
      <c r="AL213" s="1948">
        <f t="shared" si="51"/>
        <v>38712</v>
      </c>
      <c r="AM213" s="1948">
        <f t="shared" si="52"/>
        <v>0</v>
      </c>
      <c r="AN213" s="1948">
        <v>167</v>
      </c>
      <c r="AO213" s="1948">
        <v>103.28</v>
      </c>
      <c r="AP213" s="1948">
        <v>167</v>
      </c>
      <c r="AQ213" s="1948">
        <v>0.53759999999999997</v>
      </c>
      <c r="AR213" s="1948">
        <v>0</v>
      </c>
      <c r="AS213" s="1948">
        <v>22883</v>
      </c>
      <c r="AT213" s="1948">
        <f t="shared" si="53"/>
        <v>46104</v>
      </c>
      <c r="AU213" s="1948">
        <f t="shared" si="54"/>
        <v>0</v>
      </c>
      <c r="AV213" s="1948">
        <v>167</v>
      </c>
      <c r="AW213" s="1948">
        <v>81.92</v>
      </c>
      <c r="AX213" s="1948">
        <v>167</v>
      </c>
      <c r="AY213" s="1948">
        <v>0.68100000000000005</v>
      </c>
      <c r="AZ213" s="1948">
        <v>0</v>
      </c>
      <c r="BA213" s="1948">
        <v>26349</v>
      </c>
      <c r="BB213" s="1948">
        <f t="shared" si="55"/>
        <v>35389</v>
      </c>
      <c r="BC213" s="1948">
        <f t="shared" si="56"/>
        <v>0</v>
      </c>
      <c r="BD213" s="1949">
        <v>167</v>
      </c>
      <c r="BE213" s="1948">
        <v>78</v>
      </c>
      <c r="BF213" s="1949">
        <v>167</v>
      </c>
      <c r="BG213" s="1949">
        <v>0.62960000000000005</v>
      </c>
      <c r="BH213" s="1949">
        <v>0</v>
      </c>
      <c r="BI213" s="1948">
        <v>18067</v>
      </c>
      <c r="BJ213" s="1948">
        <f t="shared" si="57"/>
        <v>34819</v>
      </c>
      <c r="BK213" s="1948">
        <f t="shared" si="58"/>
        <v>0</v>
      </c>
    </row>
    <row r="214" spans="1:63" ht="15">
      <c r="A214" s="1946">
        <v>421000000017</v>
      </c>
      <c r="B214" s="1947">
        <f t="shared" si="59"/>
        <v>208</v>
      </c>
      <c r="C214" s="1906" t="s">
        <v>3100</v>
      </c>
      <c r="D214" s="1907" t="s">
        <v>524</v>
      </c>
      <c r="E214" s="1906" t="s">
        <v>541</v>
      </c>
      <c r="F214" s="1948" t="s">
        <v>259</v>
      </c>
      <c r="G214" s="1949">
        <v>167</v>
      </c>
      <c r="H214" s="1948">
        <v>167</v>
      </c>
      <c r="I214" s="1950">
        <v>203.44000000000003</v>
      </c>
      <c r="J214" s="1948">
        <v>203.44</v>
      </c>
      <c r="K214" s="1948">
        <v>0.71560000000000001</v>
      </c>
      <c r="L214" s="1948">
        <v>19.329999999999998</v>
      </c>
      <c r="M214" s="1948">
        <v>28315</v>
      </c>
      <c r="N214" s="1948">
        <f t="shared" si="45"/>
        <v>87886</v>
      </c>
      <c r="O214" s="1948">
        <f t="shared" si="46"/>
        <v>0</v>
      </c>
      <c r="P214" s="1948">
        <v>167</v>
      </c>
      <c r="Q214" s="1948">
        <v>170.23999999999998</v>
      </c>
      <c r="R214" s="1948">
        <v>170.24</v>
      </c>
      <c r="S214" s="1948">
        <v>0.70989999999999998</v>
      </c>
      <c r="T214" s="1948">
        <v>24.2</v>
      </c>
      <c r="U214" s="1948">
        <v>30655</v>
      </c>
      <c r="V214" s="1948">
        <f t="shared" si="47"/>
        <v>75995</v>
      </c>
      <c r="W214" s="1948">
        <f t="shared" si="48"/>
        <v>0</v>
      </c>
      <c r="X214" s="1948">
        <v>167</v>
      </c>
      <c r="Y214" s="1948">
        <v>176.24</v>
      </c>
      <c r="Z214" s="1948">
        <v>176.24</v>
      </c>
      <c r="AA214" s="1948">
        <v>0.70809999999999995</v>
      </c>
      <c r="AB214" s="1948">
        <v>13.56</v>
      </c>
      <c r="AC214" s="1948">
        <v>17211</v>
      </c>
      <c r="AD214" s="1948">
        <f t="shared" si="49"/>
        <v>76136</v>
      </c>
      <c r="AE214" s="1948">
        <f t="shared" si="50"/>
        <v>0</v>
      </c>
      <c r="AF214" s="1948">
        <v>167</v>
      </c>
      <c r="AG214" s="1948">
        <v>180.16</v>
      </c>
      <c r="AH214" s="1948">
        <v>180.16</v>
      </c>
      <c r="AI214" s="1948">
        <v>0.71750000000000003</v>
      </c>
      <c r="AJ214" s="1948">
        <v>14.02</v>
      </c>
      <c r="AK214" s="1948">
        <v>18793</v>
      </c>
      <c r="AL214" s="1948">
        <f t="shared" si="51"/>
        <v>80423</v>
      </c>
      <c r="AM214" s="1948">
        <f t="shared" si="52"/>
        <v>0</v>
      </c>
      <c r="AN214" s="1948">
        <v>167</v>
      </c>
      <c r="AO214" s="1948">
        <v>189.04000000000002</v>
      </c>
      <c r="AP214" s="1948">
        <v>189.04</v>
      </c>
      <c r="AQ214" s="1948">
        <v>0.71879999999999999</v>
      </c>
      <c r="AR214" s="1948">
        <v>19.32</v>
      </c>
      <c r="AS214" s="1948">
        <v>27178</v>
      </c>
      <c r="AT214" s="1948">
        <f t="shared" si="53"/>
        <v>84387</v>
      </c>
      <c r="AU214" s="1948">
        <f t="shared" si="54"/>
        <v>0</v>
      </c>
      <c r="AV214" s="1948">
        <v>167</v>
      </c>
      <c r="AW214" s="1948">
        <v>150.56</v>
      </c>
      <c r="AX214" s="1948">
        <v>150.56</v>
      </c>
      <c r="AY214" s="1948">
        <v>0.71330000000000005</v>
      </c>
      <c r="AZ214" s="1948">
        <v>27.32</v>
      </c>
      <c r="BA214" s="1948">
        <v>29612</v>
      </c>
      <c r="BB214" s="1948">
        <f t="shared" si="55"/>
        <v>65042</v>
      </c>
      <c r="BC214" s="1948">
        <f t="shared" si="56"/>
        <v>0</v>
      </c>
      <c r="BD214" s="1949">
        <v>167</v>
      </c>
      <c r="BE214" s="1948">
        <v>182.4</v>
      </c>
      <c r="BF214" s="1949">
        <v>182.4</v>
      </c>
      <c r="BG214" s="1949">
        <v>0.70879999999999999</v>
      </c>
      <c r="BH214" s="1949">
        <v>18.62</v>
      </c>
      <c r="BI214" s="1948">
        <v>25272</v>
      </c>
      <c r="BJ214" s="1948">
        <f t="shared" si="57"/>
        <v>81423</v>
      </c>
      <c r="BK214" s="1948">
        <f t="shared" si="58"/>
        <v>0</v>
      </c>
    </row>
    <row r="215" spans="1:63" ht="15">
      <c r="A215" s="1946">
        <v>611000000117</v>
      </c>
      <c r="B215" s="1947">
        <f t="shared" si="59"/>
        <v>209</v>
      </c>
      <c r="C215" s="1906" t="s">
        <v>3086</v>
      </c>
      <c r="D215" s="1907" t="s">
        <v>524</v>
      </c>
      <c r="E215" s="1906" t="s">
        <v>636</v>
      </c>
      <c r="F215" s="1948" t="s">
        <v>259</v>
      </c>
      <c r="G215" s="1949">
        <v>167</v>
      </c>
      <c r="H215" s="1948">
        <v>167</v>
      </c>
      <c r="I215" s="1950">
        <v>26.72</v>
      </c>
      <c r="J215" s="1948">
        <v>133.6</v>
      </c>
      <c r="K215" s="1948">
        <v>0.94899999999999995</v>
      </c>
      <c r="L215" s="1948">
        <v>31.23</v>
      </c>
      <c r="M215" s="1948">
        <v>6008</v>
      </c>
      <c r="N215" s="1948">
        <f t="shared" si="45"/>
        <v>11543</v>
      </c>
      <c r="O215" s="1948">
        <f t="shared" si="46"/>
        <v>0</v>
      </c>
      <c r="P215" s="1948">
        <v>167</v>
      </c>
      <c r="Q215" s="1948">
        <v>36.480000000000004</v>
      </c>
      <c r="R215" s="1948">
        <v>133.6</v>
      </c>
      <c r="S215" s="1948">
        <v>0.97170000000000001</v>
      </c>
      <c r="T215" s="1948">
        <v>30.03</v>
      </c>
      <c r="U215" s="1948">
        <v>8150</v>
      </c>
      <c r="V215" s="1948">
        <f t="shared" si="47"/>
        <v>16285</v>
      </c>
      <c r="W215" s="1948">
        <f t="shared" si="48"/>
        <v>0</v>
      </c>
      <c r="X215" s="1948">
        <v>167</v>
      </c>
      <c r="Y215" s="1948">
        <v>32.96</v>
      </c>
      <c r="Z215" s="1948">
        <v>133.6</v>
      </c>
      <c r="AA215" s="1948">
        <v>0.96970000000000001</v>
      </c>
      <c r="AB215" s="1948">
        <v>32.56</v>
      </c>
      <c r="AC215" s="1948">
        <v>7728</v>
      </c>
      <c r="AD215" s="1948">
        <f t="shared" si="49"/>
        <v>14239</v>
      </c>
      <c r="AE215" s="1948">
        <f t="shared" si="50"/>
        <v>0</v>
      </c>
      <c r="AF215" s="1948">
        <v>167</v>
      </c>
      <c r="AG215" s="1948">
        <v>31.680000000000003</v>
      </c>
      <c r="AH215" s="1948">
        <v>133.6</v>
      </c>
      <c r="AI215" s="1948">
        <v>0.96050000000000002</v>
      </c>
      <c r="AJ215" s="1948">
        <v>26.86</v>
      </c>
      <c r="AK215" s="1948">
        <v>6332</v>
      </c>
      <c r="AL215" s="1948">
        <f t="shared" si="51"/>
        <v>14142</v>
      </c>
      <c r="AM215" s="1948">
        <f t="shared" si="52"/>
        <v>0</v>
      </c>
      <c r="AN215" s="1948">
        <v>167</v>
      </c>
      <c r="AO215" s="1948">
        <v>27.200000000000003</v>
      </c>
      <c r="AP215" s="1948">
        <v>133.6</v>
      </c>
      <c r="AQ215" s="1948">
        <v>0.93920000000000003</v>
      </c>
      <c r="AR215" s="1948">
        <v>31.74</v>
      </c>
      <c r="AS215" s="1948">
        <v>6424</v>
      </c>
      <c r="AT215" s="1948">
        <f t="shared" si="53"/>
        <v>12142</v>
      </c>
      <c r="AU215" s="1948">
        <f t="shared" si="54"/>
        <v>0</v>
      </c>
      <c r="AV215" s="1948">
        <v>167</v>
      </c>
      <c r="AW215" s="1948">
        <v>23.52</v>
      </c>
      <c r="AX215" s="1948">
        <v>133.6</v>
      </c>
      <c r="AY215" s="1948">
        <v>0.96140000000000003</v>
      </c>
      <c r="AZ215" s="1948">
        <v>37.04</v>
      </c>
      <c r="BA215" s="1948">
        <v>6272</v>
      </c>
      <c r="BB215" s="1948">
        <f t="shared" si="55"/>
        <v>10161</v>
      </c>
      <c r="BC215" s="1948">
        <f t="shared" si="56"/>
        <v>0</v>
      </c>
      <c r="BD215" s="1949">
        <v>167</v>
      </c>
      <c r="BE215" s="1948">
        <v>23.84</v>
      </c>
      <c r="BF215" s="1949">
        <v>133.6</v>
      </c>
      <c r="BG215" s="1949">
        <v>0.95030000000000003</v>
      </c>
      <c r="BH215" s="1949">
        <v>33.369999999999997</v>
      </c>
      <c r="BI215" s="1948">
        <v>5918</v>
      </c>
      <c r="BJ215" s="1948">
        <f t="shared" si="57"/>
        <v>10642</v>
      </c>
      <c r="BK215" s="1948">
        <f t="shared" si="58"/>
        <v>0</v>
      </c>
    </row>
    <row r="216" spans="1:63" ht="15">
      <c r="A216" s="1946">
        <v>611000000124</v>
      </c>
      <c r="B216" s="1947">
        <f t="shared" si="59"/>
        <v>210</v>
      </c>
      <c r="C216" s="1906" t="s">
        <v>3084</v>
      </c>
      <c r="D216" s="1907" t="s">
        <v>524</v>
      </c>
      <c r="E216" s="1906" t="s">
        <v>636</v>
      </c>
      <c r="F216" s="1948" t="s">
        <v>259</v>
      </c>
      <c r="G216" s="1949">
        <v>167</v>
      </c>
      <c r="H216" s="1948">
        <v>167</v>
      </c>
      <c r="I216" s="1950">
        <v>3.4799999999999995</v>
      </c>
      <c r="J216" s="1948">
        <v>133.6</v>
      </c>
      <c r="K216" s="1948">
        <v>0.62760000000000005</v>
      </c>
      <c r="L216" s="1948">
        <v>50.81</v>
      </c>
      <c r="M216" s="1948">
        <v>1273</v>
      </c>
      <c r="N216" s="1948">
        <f t="shared" si="45"/>
        <v>1503</v>
      </c>
      <c r="O216" s="1948">
        <f t="shared" si="46"/>
        <v>0</v>
      </c>
      <c r="P216" s="1948">
        <v>167</v>
      </c>
      <c r="Q216" s="1948">
        <v>3.1199999999999997</v>
      </c>
      <c r="R216" s="1948">
        <v>133.6</v>
      </c>
      <c r="S216" s="1948">
        <v>0.56499999999999995</v>
      </c>
      <c r="T216" s="1948">
        <v>49.33</v>
      </c>
      <c r="U216" s="1948">
        <v>1145</v>
      </c>
      <c r="V216" s="1948">
        <f t="shared" si="47"/>
        <v>1393</v>
      </c>
      <c r="W216" s="1948">
        <f t="shared" si="48"/>
        <v>0</v>
      </c>
      <c r="X216" s="1948">
        <v>167</v>
      </c>
      <c r="Y216" s="1948">
        <v>4.5599999999999996</v>
      </c>
      <c r="Z216" s="1948">
        <v>133.6</v>
      </c>
      <c r="AA216" s="1948">
        <v>0.61160000000000003</v>
      </c>
      <c r="AB216" s="1948">
        <v>38.04</v>
      </c>
      <c r="AC216" s="1948">
        <v>1249</v>
      </c>
      <c r="AD216" s="1948">
        <f t="shared" si="49"/>
        <v>1970</v>
      </c>
      <c r="AE216" s="1948">
        <f t="shared" si="50"/>
        <v>0</v>
      </c>
      <c r="AF216" s="1948">
        <v>167</v>
      </c>
      <c r="AG216" s="1948">
        <v>4.32</v>
      </c>
      <c r="AH216" s="1948">
        <v>133.6</v>
      </c>
      <c r="AI216" s="1948">
        <v>0.54500000000000004</v>
      </c>
      <c r="AJ216" s="1948">
        <v>39.049999999999997</v>
      </c>
      <c r="AK216" s="1948">
        <v>1255</v>
      </c>
      <c r="AL216" s="1948">
        <f t="shared" si="51"/>
        <v>1928</v>
      </c>
      <c r="AM216" s="1948">
        <f t="shared" si="52"/>
        <v>0</v>
      </c>
      <c r="AN216" s="1948">
        <v>167</v>
      </c>
      <c r="AO216" s="1948">
        <v>4.32</v>
      </c>
      <c r="AP216" s="1948">
        <v>133.6</v>
      </c>
      <c r="AQ216" s="1948">
        <v>0.57720000000000005</v>
      </c>
      <c r="AR216" s="1948">
        <v>41.5</v>
      </c>
      <c r="AS216" s="1948">
        <v>1334</v>
      </c>
      <c r="AT216" s="1948">
        <f t="shared" si="53"/>
        <v>1928</v>
      </c>
      <c r="AU216" s="1948">
        <f t="shared" si="54"/>
        <v>0</v>
      </c>
      <c r="AV216" s="1948">
        <v>167</v>
      </c>
      <c r="AW216" s="1948">
        <v>15.120000000000001</v>
      </c>
      <c r="AX216" s="1948">
        <v>133.6</v>
      </c>
      <c r="AY216" s="1948">
        <v>0.7339</v>
      </c>
      <c r="AZ216" s="1948">
        <v>16.3</v>
      </c>
      <c r="BA216" s="1948">
        <v>1774</v>
      </c>
      <c r="BB216" s="1948">
        <f t="shared" si="55"/>
        <v>6532</v>
      </c>
      <c r="BC216" s="1948">
        <f t="shared" si="56"/>
        <v>0</v>
      </c>
      <c r="BD216" s="1949">
        <v>167</v>
      </c>
      <c r="BE216" s="1948">
        <v>3.96</v>
      </c>
      <c r="BF216" s="1949">
        <v>133.6</v>
      </c>
      <c r="BG216" s="1949">
        <v>0.65880000000000005</v>
      </c>
      <c r="BH216" s="1949">
        <v>52.24</v>
      </c>
      <c r="BI216" s="1948">
        <v>1539</v>
      </c>
      <c r="BJ216" s="1948">
        <f t="shared" si="57"/>
        <v>1768</v>
      </c>
      <c r="BK216" s="1948">
        <f t="shared" si="58"/>
        <v>0</v>
      </c>
    </row>
    <row r="217" spans="1:63" ht="15">
      <c r="A217" s="1946">
        <v>614000000004</v>
      </c>
      <c r="B217" s="1947">
        <f t="shared" si="59"/>
        <v>211</v>
      </c>
      <c r="C217" s="1906" t="s">
        <v>3078</v>
      </c>
      <c r="D217" s="1907" t="s">
        <v>524</v>
      </c>
      <c r="E217" s="1906" t="s">
        <v>636</v>
      </c>
      <c r="F217" s="1948" t="s">
        <v>259</v>
      </c>
      <c r="G217" s="1949">
        <v>167</v>
      </c>
      <c r="H217" s="1948">
        <v>167</v>
      </c>
      <c r="I217" s="1950">
        <v>67.92</v>
      </c>
      <c r="J217" s="1948">
        <v>133.6</v>
      </c>
      <c r="K217" s="1948">
        <v>0.99909999999999999</v>
      </c>
      <c r="L217" s="1948">
        <v>32.6</v>
      </c>
      <c r="M217" s="1948">
        <v>15943</v>
      </c>
      <c r="N217" s="1948">
        <f t="shared" si="45"/>
        <v>29341</v>
      </c>
      <c r="O217" s="1948">
        <f t="shared" si="46"/>
        <v>0</v>
      </c>
      <c r="P217" s="1948">
        <v>167</v>
      </c>
      <c r="Q217" s="1948">
        <v>66.960000000000008</v>
      </c>
      <c r="R217" s="1948">
        <v>133.6</v>
      </c>
      <c r="S217" s="1948">
        <v>0.99929999999999997</v>
      </c>
      <c r="T217" s="1948">
        <v>35.83</v>
      </c>
      <c r="U217" s="1948">
        <v>17852</v>
      </c>
      <c r="V217" s="1948">
        <f t="shared" si="47"/>
        <v>29891</v>
      </c>
      <c r="W217" s="1948">
        <f t="shared" si="48"/>
        <v>0</v>
      </c>
      <c r="X217" s="1948">
        <v>167</v>
      </c>
      <c r="Y217" s="1948">
        <v>72.72</v>
      </c>
      <c r="Z217" s="1948">
        <v>133.6</v>
      </c>
      <c r="AA217" s="1948">
        <v>0.99919999999999998</v>
      </c>
      <c r="AB217" s="1948">
        <v>34.869999999999997</v>
      </c>
      <c r="AC217" s="1948">
        <v>18258</v>
      </c>
      <c r="AD217" s="1948">
        <f t="shared" si="49"/>
        <v>31415</v>
      </c>
      <c r="AE217" s="1948">
        <f t="shared" si="50"/>
        <v>0</v>
      </c>
      <c r="AF217" s="1948">
        <v>167</v>
      </c>
      <c r="AG217" s="1948">
        <v>69.959999999999994</v>
      </c>
      <c r="AH217" s="1948">
        <v>133.6</v>
      </c>
      <c r="AI217" s="1948">
        <v>0.99939999999999996</v>
      </c>
      <c r="AJ217" s="1948">
        <v>31.72</v>
      </c>
      <c r="AK217" s="1948">
        <v>16509</v>
      </c>
      <c r="AL217" s="1948">
        <f t="shared" si="51"/>
        <v>31230</v>
      </c>
      <c r="AM217" s="1948">
        <f t="shared" si="52"/>
        <v>0</v>
      </c>
      <c r="AN217" s="1948">
        <v>167</v>
      </c>
      <c r="AO217" s="1948">
        <v>62.040000000000006</v>
      </c>
      <c r="AP217" s="1948">
        <v>133.6</v>
      </c>
      <c r="AQ217" s="1948">
        <v>0.99960000000000004</v>
      </c>
      <c r="AR217" s="1948">
        <v>34.61</v>
      </c>
      <c r="AS217" s="1948">
        <v>15975</v>
      </c>
      <c r="AT217" s="1948">
        <f t="shared" si="53"/>
        <v>27695</v>
      </c>
      <c r="AU217" s="1948">
        <f t="shared" si="54"/>
        <v>0</v>
      </c>
      <c r="AV217" s="1948">
        <v>167</v>
      </c>
      <c r="AW217" s="1948">
        <v>65.039999999999992</v>
      </c>
      <c r="AX217" s="1948">
        <v>133.6</v>
      </c>
      <c r="AY217" s="1948">
        <v>0.99919999999999998</v>
      </c>
      <c r="AZ217" s="1948">
        <v>32.729999999999997</v>
      </c>
      <c r="BA217" s="1948">
        <v>15329</v>
      </c>
      <c r="BB217" s="1948">
        <f t="shared" si="55"/>
        <v>28097</v>
      </c>
      <c r="BC217" s="1948">
        <f t="shared" si="56"/>
        <v>0</v>
      </c>
      <c r="BD217" s="1949">
        <v>167</v>
      </c>
      <c r="BE217" s="1948">
        <v>60.84</v>
      </c>
      <c r="BF217" s="1949">
        <v>133.6</v>
      </c>
      <c r="BG217" s="1949">
        <v>0.99880000000000002</v>
      </c>
      <c r="BH217" s="1949">
        <v>34.770000000000003</v>
      </c>
      <c r="BI217" s="1948">
        <v>15738</v>
      </c>
      <c r="BJ217" s="1948">
        <f t="shared" si="57"/>
        <v>27159</v>
      </c>
      <c r="BK217" s="1948">
        <f t="shared" si="58"/>
        <v>0</v>
      </c>
    </row>
    <row r="218" spans="1:63" ht="15">
      <c r="A218" s="1946">
        <v>615000000015</v>
      </c>
      <c r="B218" s="1947">
        <f t="shared" si="59"/>
        <v>212</v>
      </c>
      <c r="C218" s="1906" t="s">
        <v>3104</v>
      </c>
      <c r="D218" s="1907" t="s">
        <v>524</v>
      </c>
      <c r="E218" s="1906" t="s">
        <v>541</v>
      </c>
      <c r="F218" s="1948" t="s">
        <v>259</v>
      </c>
      <c r="G218" s="1949">
        <v>167</v>
      </c>
      <c r="H218" s="1948">
        <v>167</v>
      </c>
      <c r="I218" s="1950">
        <v>223.84</v>
      </c>
      <c r="J218" s="1948">
        <v>223.84</v>
      </c>
      <c r="K218" s="1948">
        <v>0.73260000000000003</v>
      </c>
      <c r="L218" s="1948">
        <v>6.37</v>
      </c>
      <c r="M218" s="1948">
        <v>10270</v>
      </c>
      <c r="N218" s="1948">
        <f t="shared" si="45"/>
        <v>96699</v>
      </c>
      <c r="O218" s="1948">
        <f t="shared" si="46"/>
        <v>0</v>
      </c>
      <c r="P218" s="1948">
        <v>167</v>
      </c>
      <c r="Q218" s="1948">
        <v>213.83999999999997</v>
      </c>
      <c r="R218" s="1948">
        <v>213.84</v>
      </c>
      <c r="S218" s="1948">
        <v>0.71909999999999996</v>
      </c>
      <c r="T218" s="1948">
        <v>6.88</v>
      </c>
      <c r="U218" s="1948">
        <v>10953</v>
      </c>
      <c r="V218" s="1948">
        <f t="shared" si="47"/>
        <v>95458</v>
      </c>
      <c r="W218" s="1948">
        <f t="shared" si="48"/>
        <v>0</v>
      </c>
      <c r="X218" s="1948">
        <v>167</v>
      </c>
      <c r="Y218" s="1948">
        <v>227.44</v>
      </c>
      <c r="Z218" s="1948">
        <v>227.44</v>
      </c>
      <c r="AA218" s="1948">
        <v>0.73</v>
      </c>
      <c r="AB218" s="1948">
        <v>5.53</v>
      </c>
      <c r="AC218" s="1948">
        <v>9058</v>
      </c>
      <c r="AD218" s="1948">
        <f t="shared" si="49"/>
        <v>98254</v>
      </c>
      <c r="AE218" s="1948">
        <f t="shared" si="50"/>
        <v>0</v>
      </c>
      <c r="AF218" s="1948">
        <v>167</v>
      </c>
      <c r="AG218" s="1948">
        <v>201.04000000000002</v>
      </c>
      <c r="AH218" s="1948">
        <v>201.04</v>
      </c>
      <c r="AI218" s="1948">
        <v>0.65859999999999996</v>
      </c>
      <c r="AJ218" s="1948">
        <v>9.1300000000000008</v>
      </c>
      <c r="AK218" s="1948">
        <v>13655</v>
      </c>
      <c r="AL218" s="1948">
        <f t="shared" si="51"/>
        <v>89744</v>
      </c>
      <c r="AM218" s="1948">
        <f t="shared" si="52"/>
        <v>0</v>
      </c>
      <c r="AN218" s="1948">
        <v>167</v>
      </c>
      <c r="AO218" s="1948">
        <v>205.35999999999999</v>
      </c>
      <c r="AP218" s="1948">
        <v>205.36</v>
      </c>
      <c r="AQ218" s="1948">
        <v>0.67249999999999999</v>
      </c>
      <c r="AR218" s="1948">
        <v>14.67</v>
      </c>
      <c r="AS218" s="1948">
        <v>22417</v>
      </c>
      <c r="AT218" s="1948">
        <f t="shared" si="53"/>
        <v>91673</v>
      </c>
      <c r="AU218" s="1948">
        <f t="shared" si="54"/>
        <v>0</v>
      </c>
      <c r="AV218" s="1948">
        <v>167</v>
      </c>
      <c r="AW218" s="1948">
        <v>211.20000000000002</v>
      </c>
      <c r="AX218" s="1948">
        <v>211.2</v>
      </c>
      <c r="AY218" s="1948">
        <v>0.67910000000000004</v>
      </c>
      <c r="AZ218" s="1948">
        <v>7.91</v>
      </c>
      <c r="BA218" s="1948">
        <v>12029</v>
      </c>
      <c r="BB218" s="1948">
        <f t="shared" si="55"/>
        <v>91238</v>
      </c>
      <c r="BC218" s="1948">
        <f t="shared" si="56"/>
        <v>0</v>
      </c>
      <c r="BD218" s="1949">
        <v>167</v>
      </c>
      <c r="BE218" s="1948">
        <v>230.88000000000002</v>
      </c>
      <c r="BF218" s="1949">
        <v>230.88</v>
      </c>
      <c r="BG218" s="1949">
        <v>0.75329999999999997</v>
      </c>
      <c r="BH218" s="1949">
        <v>4.9800000000000004</v>
      </c>
      <c r="BI218" s="1948">
        <v>8556</v>
      </c>
      <c r="BJ218" s="1948">
        <f t="shared" si="57"/>
        <v>103065</v>
      </c>
      <c r="BK218" s="1948">
        <f t="shared" si="58"/>
        <v>0</v>
      </c>
    </row>
    <row r="219" spans="1:63" ht="15">
      <c r="A219" s="1946">
        <v>615000000050</v>
      </c>
      <c r="B219" s="1947">
        <f t="shared" si="59"/>
        <v>213</v>
      </c>
      <c r="C219" s="1906" t="s">
        <v>3079</v>
      </c>
      <c r="D219" s="1907" t="s">
        <v>524</v>
      </c>
      <c r="E219" s="1906" t="s">
        <v>541</v>
      </c>
      <c r="F219" s="1948" t="s">
        <v>259</v>
      </c>
      <c r="G219" s="1949">
        <v>167</v>
      </c>
      <c r="H219" s="1948">
        <v>167</v>
      </c>
      <c r="I219" s="1950">
        <v>58.24</v>
      </c>
      <c r="J219" s="1948">
        <v>133.6</v>
      </c>
      <c r="K219" s="1948">
        <v>0.66659999999999997</v>
      </c>
      <c r="L219" s="1948">
        <v>2.98</v>
      </c>
      <c r="M219" s="1948">
        <v>1251</v>
      </c>
      <c r="N219" s="1948">
        <f t="shared" si="45"/>
        <v>25160</v>
      </c>
      <c r="O219" s="1948">
        <f t="shared" si="46"/>
        <v>0</v>
      </c>
      <c r="P219" s="1948">
        <v>167</v>
      </c>
      <c r="Q219" s="1948">
        <v>199.36</v>
      </c>
      <c r="R219" s="1948">
        <v>199.36</v>
      </c>
      <c r="S219" s="1948">
        <v>0.76259999999999994</v>
      </c>
      <c r="T219" s="1948">
        <v>6.42</v>
      </c>
      <c r="U219" s="1948">
        <v>9515</v>
      </c>
      <c r="V219" s="1948">
        <f t="shared" si="47"/>
        <v>88994</v>
      </c>
      <c r="W219" s="1948">
        <f t="shared" si="48"/>
        <v>0</v>
      </c>
      <c r="X219" s="1948">
        <v>167</v>
      </c>
      <c r="Y219" s="1948">
        <v>203.52</v>
      </c>
      <c r="Z219" s="1948">
        <v>203.52</v>
      </c>
      <c r="AA219" s="1948">
        <v>0.79390000000000005</v>
      </c>
      <c r="AB219" s="1948">
        <v>9.59</v>
      </c>
      <c r="AC219" s="1948">
        <v>14057</v>
      </c>
      <c r="AD219" s="1948">
        <f t="shared" si="49"/>
        <v>87921</v>
      </c>
      <c r="AE219" s="1948">
        <f t="shared" si="50"/>
        <v>0</v>
      </c>
      <c r="AF219" s="1948">
        <v>167</v>
      </c>
      <c r="AG219" s="1948">
        <v>193.76</v>
      </c>
      <c r="AH219" s="1948">
        <v>193.76</v>
      </c>
      <c r="AI219" s="1948">
        <v>0.8075</v>
      </c>
      <c r="AJ219" s="1948">
        <v>20.48</v>
      </c>
      <c r="AK219" s="1948">
        <v>29520</v>
      </c>
      <c r="AL219" s="1948">
        <f t="shared" si="51"/>
        <v>86494</v>
      </c>
      <c r="AM219" s="1948">
        <f t="shared" si="52"/>
        <v>0</v>
      </c>
      <c r="AN219" s="1948">
        <v>167</v>
      </c>
      <c r="AO219" s="1948">
        <v>178.4</v>
      </c>
      <c r="AP219" s="1948">
        <v>178.4</v>
      </c>
      <c r="AQ219" s="1948">
        <v>0.70489999999999997</v>
      </c>
      <c r="AR219" s="1948">
        <v>6.55</v>
      </c>
      <c r="AS219" s="1948">
        <v>8689</v>
      </c>
      <c r="AT219" s="1948">
        <f t="shared" si="53"/>
        <v>79638</v>
      </c>
      <c r="AU219" s="1948">
        <f t="shared" si="54"/>
        <v>0</v>
      </c>
      <c r="AV219" s="1948">
        <v>167</v>
      </c>
      <c r="AW219" s="1948">
        <v>226.16</v>
      </c>
      <c r="AX219" s="1948">
        <v>226.16</v>
      </c>
      <c r="AY219" s="1948">
        <v>0.78790000000000004</v>
      </c>
      <c r="AZ219" s="1948">
        <v>10.26</v>
      </c>
      <c r="BA219" s="1948">
        <v>16715</v>
      </c>
      <c r="BB219" s="1948">
        <f t="shared" si="55"/>
        <v>97701</v>
      </c>
      <c r="BC219" s="1948">
        <f t="shared" si="56"/>
        <v>0</v>
      </c>
      <c r="BD219" s="1949">
        <v>167</v>
      </c>
      <c r="BE219" s="1948">
        <v>232.88000000000002</v>
      </c>
      <c r="BF219" s="1949">
        <v>232.88</v>
      </c>
      <c r="BG219" s="1949">
        <v>0.82930000000000004</v>
      </c>
      <c r="BH219" s="1949">
        <v>15.78</v>
      </c>
      <c r="BI219" s="1948">
        <v>27335</v>
      </c>
      <c r="BJ219" s="1948">
        <f t="shared" si="57"/>
        <v>103958</v>
      </c>
      <c r="BK219" s="1948">
        <f t="shared" si="58"/>
        <v>0</v>
      </c>
    </row>
    <row r="220" spans="1:63" ht="15">
      <c r="A220" s="1946">
        <v>613000000002</v>
      </c>
      <c r="B220" s="1947">
        <f t="shared" si="59"/>
        <v>214</v>
      </c>
      <c r="C220" s="1906" t="s">
        <v>3101</v>
      </c>
      <c r="D220" s="1907" t="s">
        <v>524</v>
      </c>
      <c r="E220" s="1906" t="s">
        <v>541</v>
      </c>
      <c r="F220" s="1948" t="s">
        <v>259</v>
      </c>
      <c r="G220" s="1949">
        <v>167</v>
      </c>
      <c r="H220" s="1948">
        <v>167</v>
      </c>
      <c r="I220" s="1950">
        <v>117.36</v>
      </c>
      <c r="J220" s="1948">
        <v>133.6</v>
      </c>
      <c r="K220" s="1948">
        <v>0.88180000000000003</v>
      </c>
      <c r="L220" s="1948">
        <v>16.79</v>
      </c>
      <c r="M220" s="1948">
        <v>14188</v>
      </c>
      <c r="N220" s="1948">
        <f t="shared" si="45"/>
        <v>50700</v>
      </c>
      <c r="O220" s="1948">
        <f t="shared" si="46"/>
        <v>0</v>
      </c>
      <c r="P220" s="1948">
        <v>167</v>
      </c>
      <c r="Q220" s="1948">
        <v>118</v>
      </c>
      <c r="R220" s="1948">
        <v>133.6</v>
      </c>
      <c r="S220" s="1948">
        <v>0.98550000000000004</v>
      </c>
      <c r="T220" s="1948">
        <v>63.68</v>
      </c>
      <c r="U220" s="1948">
        <v>55902</v>
      </c>
      <c r="V220" s="1948">
        <f t="shared" si="47"/>
        <v>52675</v>
      </c>
      <c r="W220" s="1948">
        <f t="shared" si="48"/>
        <v>3227</v>
      </c>
      <c r="X220" s="1948">
        <v>167</v>
      </c>
      <c r="Y220" s="1948">
        <v>114.39999999999999</v>
      </c>
      <c r="Z220" s="1948">
        <v>133.6</v>
      </c>
      <c r="AA220" s="1948">
        <v>0.92359999999999998</v>
      </c>
      <c r="AB220" s="1948">
        <v>24.59</v>
      </c>
      <c r="AC220" s="1948">
        <v>20254</v>
      </c>
      <c r="AD220" s="1948">
        <f t="shared" si="49"/>
        <v>49421</v>
      </c>
      <c r="AE220" s="1948">
        <f t="shared" si="50"/>
        <v>0</v>
      </c>
      <c r="AF220" s="1948">
        <v>167</v>
      </c>
      <c r="AG220" s="1948">
        <v>116.24000000000001</v>
      </c>
      <c r="AH220" s="1948">
        <v>133.6</v>
      </c>
      <c r="AI220" s="1948">
        <v>0.97070000000000001</v>
      </c>
      <c r="AJ220" s="1948">
        <v>52.94</v>
      </c>
      <c r="AK220" s="1948">
        <v>45786</v>
      </c>
      <c r="AL220" s="1948">
        <f t="shared" si="51"/>
        <v>51890</v>
      </c>
      <c r="AM220" s="1948">
        <f t="shared" si="52"/>
        <v>0</v>
      </c>
      <c r="AN220" s="1948">
        <v>167</v>
      </c>
      <c r="AO220" s="1948">
        <v>122.63999999999999</v>
      </c>
      <c r="AP220" s="1948">
        <v>133.6</v>
      </c>
      <c r="AQ220" s="1948">
        <v>0.9698</v>
      </c>
      <c r="AR220" s="1948">
        <v>52.47</v>
      </c>
      <c r="AS220" s="1948">
        <v>47873</v>
      </c>
      <c r="AT220" s="1948">
        <f t="shared" si="53"/>
        <v>54746</v>
      </c>
      <c r="AU220" s="1948">
        <f t="shared" si="54"/>
        <v>0</v>
      </c>
      <c r="AV220" s="1948">
        <v>167</v>
      </c>
      <c r="AW220" s="1948">
        <v>115.68</v>
      </c>
      <c r="AX220" s="1948">
        <v>133.6</v>
      </c>
      <c r="AY220" s="1948">
        <v>0.94820000000000004</v>
      </c>
      <c r="AZ220" s="1948">
        <v>42.75</v>
      </c>
      <c r="BA220" s="1948">
        <v>35603</v>
      </c>
      <c r="BB220" s="1948">
        <f t="shared" si="55"/>
        <v>49974</v>
      </c>
      <c r="BC220" s="1948">
        <f t="shared" si="56"/>
        <v>0</v>
      </c>
      <c r="BD220" s="1949">
        <v>167</v>
      </c>
      <c r="BE220" s="1948">
        <v>118.88000000000001</v>
      </c>
      <c r="BF220" s="1949">
        <v>133.6</v>
      </c>
      <c r="BG220" s="1949">
        <v>0.95709999999999995</v>
      </c>
      <c r="BH220" s="1949">
        <v>43.14</v>
      </c>
      <c r="BI220" s="1948">
        <v>38157</v>
      </c>
      <c r="BJ220" s="1948">
        <f t="shared" si="57"/>
        <v>53068</v>
      </c>
      <c r="BK220" s="1948">
        <f t="shared" si="58"/>
        <v>0</v>
      </c>
    </row>
    <row r="221" spans="1:63" ht="15">
      <c r="A221" s="1946">
        <v>613000000026</v>
      </c>
      <c r="B221" s="1947">
        <f t="shared" si="59"/>
        <v>215</v>
      </c>
      <c r="C221" s="1906" t="s">
        <v>3103</v>
      </c>
      <c r="D221" s="1907" t="s">
        <v>524</v>
      </c>
      <c r="E221" s="1906" t="s">
        <v>730</v>
      </c>
      <c r="F221" s="1948" t="s">
        <v>259</v>
      </c>
      <c r="G221" s="1949">
        <v>167</v>
      </c>
      <c r="H221" s="1948">
        <v>167</v>
      </c>
      <c r="I221" s="1950">
        <v>135.20000000000002</v>
      </c>
      <c r="J221" s="1948">
        <v>135.19999999999999</v>
      </c>
      <c r="K221" s="1948">
        <v>0.89470000000000005</v>
      </c>
      <c r="L221" s="1948">
        <v>72.62</v>
      </c>
      <c r="M221" s="1948">
        <v>65981</v>
      </c>
      <c r="N221" s="1948">
        <f t="shared" si="45"/>
        <v>58406</v>
      </c>
      <c r="O221" s="1948">
        <f t="shared" si="46"/>
        <v>7575</v>
      </c>
      <c r="P221" s="1948">
        <v>167</v>
      </c>
      <c r="Q221" s="1948">
        <v>134.16</v>
      </c>
      <c r="R221" s="1948">
        <v>134.16</v>
      </c>
      <c r="S221" s="1948">
        <v>0.89470000000000005</v>
      </c>
      <c r="T221" s="1948">
        <v>73.94</v>
      </c>
      <c r="U221" s="1948">
        <v>78562</v>
      </c>
      <c r="V221" s="1948">
        <f t="shared" si="47"/>
        <v>59889</v>
      </c>
      <c r="W221" s="1948">
        <f t="shared" si="48"/>
        <v>18673</v>
      </c>
      <c r="X221" s="1948">
        <v>167</v>
      </c>
      <c r="Y221" s="1948">
        <v>136.80000000000001</v>
      </c>
      <c r="Z221" s="1948">
        <v>136.80000000000001</v>
      </c>
      <c r="AA221" s="1948">
        <v>0.88829999999999998</v>
      </c>
      <c r="AB221" s="1948">
        <v>72.150000000000006</v>
      </c>
      <c r="AC221" s="1948">
        <v>71060</v>
      </c>
      <c r="AD221" s="1948">
        <f t="shared" si="49"/>
        <v>59098</v>
      </c>
      <c r="AE221" s="1948">
        <f t="shared" si="50"/>
        <v>11962</v>
      </c>
      <c r="AF221" s="1948">
        <v>167</v>
      </c>
      <c r="AG221" s="1948">
        <v>136</v>
      </c>
      <c r="AH221" s="1948">
        <v>136</v>
      </c>
      <c r="AI221" s="1948">
        <v>0.88660000000000005</v>
      </c>
      <c r="AJ221" s="1948">
        <v>76.75</v>
      </c>
      <c r="AK221" s="1948">
        <v>77658</v>
      </c>
      <c r="AL221" s="1948">
        <f t="shared" si="51"/>
        <v>60710</v>
      </c>
      <c r="AM221" s="1948">
        <f t="shared" si="52"/>
        <v>16948</v>
      </c>
      <c r="AN221" s="1948">
        <v>167</v>
      </c>
      <c r="AO221" s="1948">
        <v>138.47999999999999</v>
      </c>
      <c r="AP221" s="1948">
        <v>138.47999999999999</v>
      </c>
      <c r="AQ221" s="1948">
        <v>0.87829999999999997</v>
      </c>
      <c r="AR221" s="1948">
        <v>71.77</v>
      </c>
      <c r="AS221" s="1948">
        <v>76334</v>
      </c>
      <c r="AT221" s="1948">
        <f t="shared" si="53"/>
        <v>61817</v>
      </c>
      <c r="AU221" s="1948">
        <f t="shared" si="54"/>
        <v>14517</v>
      </c>
      <c r="AV221" s="1948">
        <v>167</v>
      </c>
      <c r="AW221" s="1948">
        <v>138.72</v>
      </c>
      <c r="AX221" s="1948">
        <v>138.72</v>
      </c>
      <c r="AY221" s="1948">
        <v>0.87629999999999997</v>
      </c>
      <c r="AZ221" s="1948">
        <v>70.91</v>
      </c>
      <c r="BA221" s="1948">
        <v>70825</v>
      </c>
      <c r="BB221" s="1948">
        <f t="shared" si="55"/>
        <v>59927</v>
      </c>
      <c r="BC221" s="1948">
        <f t="shared" si="56"/>
        <v>10898</v>
      </c>
      <c r="BD221" s="1949">
        <v>167</v>
      </c>
      <c r="BE221" s="1948">
        <v>139.04000000000002</v>
      </c>
      <c r="BF221" s="1949">
        <v>139.04</v>
      </c>
      <c r="BG221" s="1949">
        <v>0.873</v>
      </c>
      <c r="BH221" s="1949">
        <v>71.790000000000006</v>
      </c>
      <c r="BI221" s="1948">
        <v>74261</v>
      </c>
      <c r="BJ221" s="1948">
        <f t="shared" si="57"/>
        <v>62067</v>
      </c>
      <c r="BK221" s="1948">
        <f t="shared" si="58"/>
        <v>12194</v>
      </c>
    </row>
    <row r="222" spans="1:63" ht="15">
      <c r="A222" s="1946">
        <v>622000000202</v>
      </c>
      <c r="B222" s="1947">
        <f t="shared" si="59"/>
        <v>216</v>
      </c>
      <c r="C222" s="1906" t="s">
        <v>3090</v>
      </c>
      <c r="D222" s="1907" t="s">
        <v>524</v>
      </c>
      <c r="E222" s="1906" t="s">
        <v>636</v>
      </c>
      <c r="F222" s="1948" t="s">
        <v>259</v>
      </c>
      <c r="G222" s="1949">
        <v>167</v>
      </c>
      <c r="H222" s="1948">
        <v>167</v>
      </c>
      <c r="I222" s="1950">
        <v>106.56000000000002</v>
      </c>
      <c r="J222" s="1948">
        <v>133.6</v>
      </c>
      <c r="K222" s="1948">
        <v>0.79600000000000004</v>
      </c>
      <c r="L222" s="1948">
        <v>20.38</v>
      </c>
      <c r="M222" s="1948">
        <v>15640</v>
      </c>
      <c r="N222" s="1948">
        <f t="shared" si="45"/>
        <v>46034</v>
      </c>
      <c r="O222" s="1948">
        <f t="shared" si="46"/>
        <v>0</v>
      </c>
      <c r="P222" s="1948">
        <v>167</v>
      </c>
      <c r="Q222" s="1948">
        <v>111.20000000000002</v>
      </c>
      <c r="R222" s="1948">
        <v>133.6</v>
      </c>
      <c r="S222" s="1948">
        <v>0.8125</v>
      </c>
      <c r="T222" s="1948">
        <v>19.649999999999999</v>
      </c>
      <c r="U222" s="1948">
        <v>16258</v>
      </c>
      <c r="V222" s="1948">
        <f t="shared" si="47"/>
        <v>49640</v>
      </c>
      <c r="W222" s="1948">
        <f t="shared" si="48"/>
        <v>0</v>
      </c>
      <c r="X222" s="1948">
        <v>167</v>
      </c>
      <c r="Y222" s="1948">
        <v>108.16</v>
      </c>
      <c r="Z222" s="1948">
        <v>133.6</v>
      </c>
      <c r="AA222" s="1948">
        <v>0.80459999999999998</v>
      </c>
      <c r="AB222" s="1948">
        <v>21.86</v>
      </c>
      <c r="AC222" s="1948">
        <v>17024</v>
      </c>
      <c r="AD222" s="1948">
        <f t="shared" si="49"/>
        <v>46725</v>
      </c>
      <c r="AE222" s="1948">
        <f t="shared" si="50"/>
        <v>0</v>
      </c>
      <c r="AF222" s="1948">
        <v>167</v>
      </c>
      <c r="AG222" s="1948">
        <v>114.24000000000001</v>
      </c>
      <c r="AH222" s="1948">
        <v>133.6</v>
      </c>
      <c r="AI222" s="1948">
        <v>0.78390000000000004</v>
      </c>
      <c r="AJ222" s="1948">
        <v>21.42</v>
      </c>
      <c r="AK222" s="1948">
        <v>18210</v>
      </c>
      <c r="AL222" s="1948">
        <f t="shared" si="51"/>
        <v>50997</v>
      </c>
      <c r="AM222" s="1948">
        <f t="shared" si="52"/>
        <v>0</v>
      </c>
      <c r="AN222" s="1948">
        <v>167</v>
      </c>
      <c r="AO222" s="1948">
        <v>111.84</v>
      </c>
      <c r="AP222" s="1948">
        <v>133.6</v>
      </c>
      <c r="AQ222" s="1948">
        <v>0.80410000000000004</v>
      </c>
      <c r="AR222" s="1948">
        <v>20.9</v>
      </c>
      <c r="AS222" s="1948">
        <v>17388</v>
      </c>
      <c r="AT222" s="1948">
        <f t="shared" si="53"/>
        <v>49925</v>
      </c>
      <c r="AU222" s="1948">
        <f t="shared" si="54"/>
        <v>0</v>
      </c>
      <c r="AV222" s="1948">
        <v>167</v>
      </c>
      <c r="AW222" s="1948">
        <v>112.64</v>
      </c>
      <c r="AX222" s="1948">
        <v>133.6</v>
      </c>
      <c r="AY222" s="1948">
        <v>0.78900000000000003</v>
      </c>
      <c r="AZ222" s="1948">
        <v>21.22</v>
      </c>
      <c r="BA222" s="1948">
        <v>17210</v>
      </c>
      <c r="BB222" s="1948">
        <f t="shared" si="55"/>
        <v>48660</v>
      </c>
      <c r="BC222" s="1948">
        <f t="shared" si="56"/>
        <v>0</v>
      </c>
      <c r="BD222" s="1949">
        <v>167</v>
      </c>
      <c r="BE222" s="1948">
        <v>113.92</v>
      </c>
      <c r="BF222" s="1949">
        <v>133.6</v>
      </c>
      <c r="BG222" s="1949">
        <v>0.76339999999999997</v>
      </c>
      <c r="BH222" s="1949">
        <v>19.66</v>
      </c>
      <c r="BI222" s="1948">
        <v>16662</v>
      </c>
      <c r="BJ222" s="1948">
        <f t="shared" si="57"/>
        <v>50854</v>
      </c>
      <c r="BK222" s="1948">
        <f t="shared" si="58"/>
        <v>0</v>
      </c>
    </row>
    <row r="223" spans="1:63" ht="15">
      <c r="A223" s="1946">
        <v>622000000205</v>
      </c>
      <c r="B223" s="1947">
        <f t="shared" si="59"/>
        <v>217</v>
      </c>
      <c r="C223" s="1906" t="s">
        <v>3085</v>
      </c>
      <c r="D223" s="1907" t="s">
        <v>524</v>
      </c>
      <c r="E223" s="1906" t="s">
        <v>636</v>
      </c>
      <c r="F223" s="1948" t="s">
        <v>259</v>
      </c>
      <c r="G223" s="1949">
        <v>167</v>
      </c>
      <c r="H223" s="1948">
        <v>167</v>
      </c>
      <c r="I223" s="1950">
        <v>8.32</v>
      </c>
      <c r="J223" s="1948">
        <v>133.6</v>
      </c>
      <c r="K223" s="1948">
        <v>0.71319999999999995</v>
      </c>
      <c r="L223" s="1948">
        <v>27.71</v>
      </c>
      <c r="M223" s="1948">
        <v>1660</v>
      </c>
      <c r="N223" s="1948">
        <f t="shared" si="45"/>
        <v>3594</v>
      </c>
      <c r="O223" s="1948">
        <f t="shared" si="46"/>
        <v>0</v>
      </c>
      <c r="P223" s="1948">
        <v>167</v>
      </c>
      <c r="Q223" s="1948">
        <v>8.32</v>
      </c>
      <c r="R223" s="1948">
        <v>133.6</v>
      </c>
      <c r="S223" s="1948">
        <v>0.74829999999999997</v>
      </c>
      <c r="T223" s="1948">
        <v>29.92</v>
      </c>
      <c r="U223" s="1948">
        <v>1852</v>
      </c>
      <c r="V223" s="1948">
        <f t="shared" si="47"/>
        <v>3714</v>
      </c>
      <c r="W223" s="1948">
        <f t="shared" si="48"/>
        <v>0</v>
      </c>
      <c r="X223" s="1948">
        <v>167</v>
      </c>
      <c r="Y223" s="1948">
        <v>8.64</v>
      </c>
      <c r="Z223" s="1948">
        <v>133.6</v>
      </c>
      <c r="AA223" s="1948">
        <v>0.74229999999999996</v>
      </c>
      <c r="AB223" s="1948">
        <v>31.57</v>
      </c>
      <c r="AC223" s="1948">
        <v>1964</v>
      </c>
      <c r="AD223" s="1948">
        <f t="shared" si="49"/>
        <v>3732</v>
      </c>
      <c r="AE223" s="1948">
        <f t="shared" si="50"/>
        <v>0</v>
      </c>
      <c r="AF223" s="1948">
        <v>167</v>
      </c>
      <c r="AG223" s="1948">
        <v>8.9599999999999991</v>
      </c>
      <c r="AH223" s="1948">
        <v>133.6</v>
      </c>
      <c r="AI223" s="1948">
        <v>0.67510000000000003</v>
      </c>
      <c r="AJ223" s="1948">
        <v>29.46</v>
      </c>
      <c r="AK223" s="1948">
        <v>1964</v>
      </c>
      <c r="AL223" s="1948">
        <f t="shared" si="51"/>
        <v>4000</v>
      </c>
      <c r="AM223" s="1948">
        <f t="shared" si="52"/>
        <v>0</v>
      </c>
      <c r="AN223" s="1948">
        <v>167</v>
      </c>
      <c r="AO223" s="1948">
        <v>6.2399999999999993</v>
      </c>
      <c r="AP223" s="1948">
        <v>133.6</v>
      </c>
      <c r="AQ223" s="1948">
        <v>0.66769999999999996</v>
      </c>
      <c r="AR223" s="1948">
        <v>40.97</v>
      </c>
      <c r="AS223" s="1948">
        <v>1902</v>
      </c>
      <c r="AT223" s="1948">
        <f t="shared" si="53"/>
        <v>2786</v>
      </c>
      <c r="AU223" s="1948">
        <f t="shared" si="54"/>
        <v>0</v>
      </c>
      <c r="AV223" s="1948">
        <v>167</v>
      </c>
      <c r="AW223" s="1948">
        <v>8.32</v>
      </c>
      <c r="AX223" s="1948">
        <v>133.6</v>
      </c>
      <c r="AY223" s="1948">
        <v>0.67530000000000001</v>
      </c>
      <c r="AZ223" s="1948">
        <v>30.75</v>
      </c>
      <c r="BA223" s="1948">
        <v>1842</v>
      </c>
      <c r="BB223" s="1948">
        <f t="shared" si="55"/>
        <v>3594</v>
      </c>
      <c r="BC223" s="1948">
        <f t="shared" si="56"/>
        <v>0</v>
      </c>
      <c r="BD223" s="1949">
        <v>167</v>
      </c>
      <c r="BE223" s="1948">
        <v>8.64</v>
      </c>
      <c r="BF223" s="1949">
        <v>133.6</v>
      </c>
      <c r="BG223" s="1949">
        <v>0.63380000000000003</v>
      </c>
      <c r="BH223" s="1949">
        <v>29.99</v>
      </c>
      <c r="BI223" s="1948">
        <v>1928</v>
      </c>
      <c r="BJ223" s="1948">
        <f t="shared" si="57"/>
        <v>3857</v>
      </c>
      <c r="BK223" s="1948">
        <f t="shared" si="58"/>
        <v>0</v>
      </c>
    </row>
    <row r="224" spans="1:63" ht="15">
      <c r="A224" s="1946">
        <v>622000000223</v>
      </c>
      <c r="B224" s="1947">
        <f t="shared" si="59"/>
        <v>218</v>
      </c>
      <c r="C224" s="1906" t="s">
        <v>3558</v>
      </c>
      <c r="D224" s="1907" t="s">
        <v>524</v>
      </c>
      <c r="E224" s="1906" t="s">
        <v>541</v>
      </c>
      <c r="F224" s="1948" t="s">
        <v>259</v>
      </c>
      <c r="G224" s="1949">
        <v>167</v>
      </c>
      <c r="H224" s="1948">
        <v>0</v>
      </c>
      <c r="I224" s="1950">
        <v>0</v>
      </c>
      <c r="J224" s="1948">
        <v>0</v>
      </c>
      <c r="K224" s="1948">
        <v>0</v>
      </c>
      <c r="L224" s="1948">
        <v>0</v>
      </c>
      <c r="M224" s="1948">
        <v>0</v>
      </c>
      <c r="N224" s="1948">
        <f t="shared" si="45"/>
        <v>0</v>
      </c>
      <c r="O224" s="1948">
        <f t="shared" si="46"/>
        <v>0</v>
      </c>
      <c r="P224" s="1948">
        <v>0</v>
      </c>
      <c r="Q224" s="1948">
        <v>0</v>
      </c>
      <c r="R224" s="1948">
        <v>0</v>
      </c>
      <c r="S224" s="1948">
        <v>0</v>
      </c>
      <c r="T224" s="1948">
        <v>0</v>
      </c>
      <c r="U224" s="1948">
        <v>0</v>
      </c>
      <c r="V224" s="1948">
        <f t="shared" si="47"/>
        <v>0</v>
      </c>
      <c r="W224" s="1948">
        <f t="shared" si="48"/>
        <v>0</v>
      </c>
      <c r="X224" s="1948">
        <v>0</v>
      </c>
      <c r="Y224" s="1948">
        <v>0</v>
      </c>
      <c r="Z224" s="1948">
        <v>0</v>
      </c>
      <c r="AA224" s="1948">
        <v>0</v>
      </c>
      <c r="AB224" s="1948">
        <v>0</v>
      </c>
      <c r="AC224" s="1948">
        <v>0</v>
      </c>
      <c r="AD224" s="1948">
        <f t="shared" si="49"/>
        <v>0</v>
      </c>
      <c r="AE224" s="1948">
        <f t="shared" si="50"/>
        <v>0</v>
      </c>
      <c r="AF224" s="1948">
        <v>0</v>
      </c>
      <c r="AG224" s="1948">
        <v>0</v>
      </c>
      <c r="AH224" s="1948">
        <v>0</v>
      </c>
      <c r="AI224" s="1948">
        <v>0</v>
      </c>
      <c r="AJ224" s="1948">
        <v>0</v>
      </c>
      <c r="AK224" s="1948">
        <v>0</v>
      </c>
      <c r="AL224" s="1948">
        <f t="shared" si="51"/>
        <v>0</v>
      </c>
      <c r="AM224" s="1948">
        <f t="shared" si="52"/>
        <v>0</v>
      </c>
      <c r="AN224" s="1948">
        <v>167</v>
      </c>
      <c r="AO224" s="1948">
        <v>16.394400000000001</v>
      </c>
      <c r="AP224" s="1948">
        <v>133.6</v>
      </c>
      <c r="AQ224" s="1948">
        <v>0.55589999999999995</v>
      </c>
      <c r="AR224" s="1948">
        <v>18.18</v>
      </c>
      <c r="AS224" s="1948">
        <v>1502</v>
      </c>
      <c r="AT224" s="1948">
        <f t="shared" si="53"/>
        <v>7318</v>
      </c>
      <c r="AU224" s="1948">
        <f t="shared" si="54"/>
        <v>0</v>
      </c>
      <c r="AV224" s="1948">
        <v>167</v>
      </c>
      <c r="AW224" s="1948">
        <v>15.94</v>
      </c>
      <c r="AX224" s="1948">
        <v>133.6</v>
      </c>
      <c r="AY224" s="1948">
        <v>0.58020000000000005</v>
      </c>
      <c r="AZ224" s="1948">
        <v>19.66</v>
      </c>
      <c r="BA224" s="1948">
        <v>2256</v>
      </c>
      <c r="BB224" s="1948">
        <f t="shared" si="55"/>
        <v>6886</v>
      </c>
      <c r="BC224" s="1948">
        <f t="shared" si="56"/>
        <v>0</v>
      </c>
      <c r="BD224" s="1949">
        <v>167</v>
      </c>
      <c r="BE224" s="1948">
        <v>23.86</v>
      </c>
      <c r="BF224" s="1949">
        <v>133.6</v>
      </c>
      <c r="BG224" s="1949">
        <v>0.61909999999999998</v>
      </c>
      <c r="BH224" s="1949">
        <v>13.95</v>
      </c>
      <c r="BI224" s="1948">
        <v>2397</v>
      </c>
      <c r="BJ224" s="1948">
        <f t="shared" si="57"/>
        <v>10651</v>
      </c>
      <c r="BK224" s="1948">
        <f t="shared" si="58"/>
        <v>0</v>
      </c>
    </row>
    <row r="225" spans="1:63" ht="15">
      <c r="A225" s="1946">
        <v>621000000037</v>
      </c>
      <c r="B225" s="1947">
        <f t="shared" si="59"/>
        <v>219</v>
      </c>
      <c r="C225" s="1906" t="s">
        <v>3105</v>
      </c>
      <c r="D225" s="1907" t="s">
        <v>524</v>
      </c>
      <c r="E225" s="1906" t="s">
        <v>629</v>
      </c>
      <c r="F225" s="1948" t="s">
        <v>259</v>
      </c>
      <c r="G225" s="1949">
        <v>167</v>
      </c>
      <c r="H225" s="1948">
        <v>167</v>
      </c>
      <c r="I225" s="1950">
        <v>90.64</v>
      </c>
      <c r="J225" s="1948">
        <v>167</v>
      </c>
      <c r="K225" s="1948">
        <v>0.99029999999999996</v>
      </c>
      <c r="L225" s="1948">
        <v>0</v>
      </c>
      <c r="M225" s="1948">
        <v>28571</v>
      </c>
      <c r="N225" s="1948">
        <f t="shared" si="45"/>
        <v>39156</v>
      </c>
      <c r="O225" s="1948">
        <f t="shared" si="46"/>
        <v>0</v>
      </c>
      <c r="P225" s="1948">
        <v>167</v>
      </c>
      <c r="Q225" s="1948">
        <v>92.320000000000007</v>
      </c>
      <c r="R225" s="1948">
        <v>167</v>
      </c>
      <c r="S225" s="1948">
        <v>0.98980000000000001</v>
      </c>
      <c r="T225" s="1948">
        <v>0</v>
      </c>
      <c r="U225" s="1948">
        <v>30945</v>
      </c>
      <c r="V225" s="1948">
        <f t="shared" si="47"/>
        <v>41212</v>
      </c>
      <c r="W225" s="1948">
        <f t="shared" si="48"/>
        <v>0</v>
      </c>
      <c r="X225" s="1948">
        <v>167</v>
      </c>
      <c r="Y225" s="1948">
        <v>91.36</v>
      </c>
      <c r="Z225" s="1948">
        <v>167</v>
      </c>
      <c r="AA225" s="1948">
        <v>0.98650000000000004</v>
      </c>
      <c r="AB225" s="1948">
        <v>0</v>
      </c>
      <c r="AC225" s="1948">
        <v>30371</v>
      </c>
      <c r="AD225" s="1948">
        <f t="shared" si="49"/>
        <v>39468</v>
      </c>
      <c r="AE225" s="1948">
        <f t="shared" si="50"/>
        <v>0</v>
      </c>
      <c r="AF225" s="1948">
        <v>167</v>
      </c>
      <c r="AG225" s="1948">
        <v>95.199999999999989</v>
      </c>
      <c r="AH225" s="1948">
        <v>167</v>
      </c>
      <c r="AI225" s="1948">
        <v>0.98919999999999997</v>
      </c>
      <c r="AJ225" s="1948">
        <v>0</v>
      </c>
      <c r="AK225" s="1948">
        <v>33846</v>
      </c>
      <c r="AL225" s="1948">
        <f t="shared" si="51"/>
        <v>42497</v>
      </c>
      <c r="AM225" s="1948">
        <f t="shared" si="52"/>
        <v>0</v>
      </c>
      <c r="AN225" s="1948">
        <v>167</v>
      </c>
      <c r="AO225" s="1948">
        <v>97.04</v>
      </c>
      <c r="AP225" s="1948">
        <v>167</v>
      </c>
      <c r="AQ225" s="1948">
        <v>0.98860000000000003</v>
      </c>
      <c r="AR225" s="1948">
        <v>0</v>
      </c>
      <c r="AS225" s="1948">
        <v>33671</v>
      </c>
      <c r="AT225" s="1948">
        <f t="shared" si="53"/>
        <v>43319</v>
      </c>
      <c r="AU225" s="1948">
        <f t="shared" si="54"/>
        <v>0</v>
      </c>
      <c r="AV225" s="1948">
        <v>167</v>
      </c>
      <c r="AW225" s="1948">
        <v>103.28</v>
      </c>
      <c r="AX225" s="1948">
        <v>167</v>
      </c>
      <c r="AY225" s="1948">
        <v>0.98850000000000005</v>
      </c>
      <c r="AZ225" s="1948">
        <v>0</v>
      </c>
      <c r="BA225" s="1948">
        <v>33416</v>
      </c>
      <c r="BB225" s="1948">
        <f t="shared" si="55"/>
        <v>44617</v>
      </c>
      <c r="BC225" s="1948">
        <f t="shared" si="56"/>
        <v>0</v>
      </c>
      <c r="BD225" s="1949">
        <v>167</v>
      </c>
      <c r="BE225" s="1948">
        <v>106.16000000000001</v>
      </c>
      <c r="BF225" s="1949">
        <v>167</v>
      </c>
      <c r="BG225" s="1949">
        <v>0.98850000000000005</v>
      </c>
      <c r="BH225" s="1949">
        <v>0</v>
      </c>
      <c r="BI225" s="1948">
        <v>28798</v>
      </c>
      <c r="BJ225" s="1948">
        <f t="shared" si="57"/>
        <v>47390</v>
      </c>
      <c r="BK225" s="1948">
        <f t="shared" si="58"/>
        <v>0</v>
      </c>
    </row>
    <row r="226" spans="1:63" ht="15">
      <c r="A226" s="1946">
        <v>124000000009</v>
      </c>
      <c r="B226" s="1947">
        <f t="shared" si="59"/>
        <v>220</v>
      </c>
      <c r="C226" s="1906" t="s">
        <v>3106</v>
      </c>
      <c r="D226" s="1907" t="s">
        <v>524</v>
      </c>
      <c r="E226" s="1906" t="s">
        <v>730</v>
      </c>
      <c r="F226" s="1948" t="s">
        <v>259</v>
      </c>
      <c r="G226" s="1949">
        <v>167.55</v>
      </c>
      <c r="H226" s="1948">
        <v>167.55</v>
      </c>
      <c r="I226" s="1950">
        <v>115.2</v>
      </c>
      <c r="J226" s="1948">
        <v>134.04</v>
      </c>
      <c r="K226" s="1948">
        <v>0.69030000000000002</v>
      </c>
      <c r="L226" s="1948">
        <v>61.38</v>
      </c>
      <c r="M226" s="1948">
        <v>50911</v>
      </c>
      <c r="N226" s="1948">
        <f t="shared" si="45"/>
        <v>49766</v>
      </c>
      <c r="O226" s="1948">
        <f t="shared" si="46"/>
        <v>1145</v>
      </c>
      <c r="P226" s="1948">
        <v>167.55</v>
      </c>
      <c r="Q226" s="1948">
        <v>118.2</v>
      </c>
      <c r="R226" s="1948">
        <v>134.04</v>
      </c>
      <c r="S226" s="1948">
        <v>0.68689999999999996</v>
      </c>
      <c r="T226" s="1948">
        <v>57.89</v>
      </c>
      <c r="U226" s="1948">
        <v>50910</v>
      </c>
      <c r="V226" s="1948">
        <f t="shared" si="47"/>
        <v>52764</v>
      </c>
      <c r="W226" s="1948">
        <f t="shared" si="48"/>
        <v>0</v>
      </c>
      <c r="X226" s="1948">
        <v>167.55</v>
      </c>
      <c r="Y226" s="1948">
        <v>112.55999999999999</v>
      </c>
      <c r="Z226" s="1948">
        <v>134.04</v>
      </c>
      <c r="AA226" s="1948">
        <v>0.6966</v>
      </c>
      <c r="AB226" s="1948">
        <v>61.72</v>
      </c>
      <c r="AC226" s="1948">
        <v>50019</v>
      </c>
      <c r="AD226" s="1948">
        <f t="shared" si="49"/>
        <v>48626</v>
      </c>
      <c r="AE226" s="1948">
        <f t="shared" si="50"/>
        <v>1393</v>
      </c>
      <c r="AF226" s="1948">
        <v>167.55</v>
      </c>
      <c r="AG226" s="1948">
        <v>107.16000000000001</v>
      </c>
      <c r="AH226" s="1948">
        <v>134.04</v>
      </c>
      <c r="AI226" s="1948">
        <v>0.68640000000000001</v>
      </c>
      <c r="AJ226" s="1948">
        <v>64.75</v>
      </c>
      <c r="AK226" s="1948">
        <v>51621</v>
      </c>
      <c r="AL226" s="1948">
        <f t="shared" si="51"/>
        <v>47836</v>
      </c>
      <c r="AM226" s="1948">
        <f t="shared" si="52"/>
        <v>3785</v>
      </c>
      <c r="AN226" s="1948">
        <v>167.55</v>
      </c>
      <c r="AO226" s="1948">
        <v>119.03999999999999</v>
      </c>
      <c r="AP226" s="1948">
        <v>134.04</v>
      </c>
      <c r="AQ226" s="1948">
        <v>0.6492</v>
      </c>
      <c r="AR226" s="1948">
        <v>57.57</v>
      </c>
      <c r="AS226" s="1948">
        <v>50983</v>
      </c>
      <c r="AT226" s="1948">
        <f t="shared" si="53"/>
        <v>53139</v>
      </c>
      <c r="AU226" s="1948">
        <f t="shared" si="54"/>
        <v>0</v>
      </c>
      <c r="AV226" s="1948">
        <v>167.55</v>
      </c>
      <c r="AW226" s="1948">
        <v>118.68</v>
      </c>
      <c r="AX226" s="1948">
        <v>134.04</v>
      </c>
      <c r="AY226" s="1948">
        <v>0.63170000000000004</v>
      </c>
      <c r="AZ226" s="1948">
        <v>61</v>
      </c>
      <c r="BA226" s="1948">
        <v>52123</v>
      </c>
      <c r="BB226" s="1948">
        <f t="shared" si="55"/>
        <v>51270</v>
      </c>
      <c r="BC226" s="1948">
        <f t="shared" si="56"/>
        <v>853</v>
      </c>
      <c r="BD226" s="1949">
        <v>167.55</v>
      </c>
      <c r="BE226" s="1948">
        <v>117</v>
      </c>
      <c r="BF226" s="1949">
        <v>134.04</v>
      </c>
      <c r="BG226" s="1949">
        <v>0.60409999999999997</v>
      </c>
      <c r="BH226" s="1949">
        <v>60.84</v>
      </c>
      <c r="BI226" s="1948">
        <v>52957</v>
      </c>
      <c r="BJ226" s="1948">
        <f t="shared" si="57"/>
        <v>52229</v>
      </c>
      <c r="BK226" s="1948">
        <f t="shared" si="58"/>
        <v>728</v>
      </c>
    </row>
    <row r="227" spans="1:63" ht="15">
      <c r="A227" s="1946">
        <v>123000000151</v>
      </c>
      <c r="B227" s="1947">
        <f t="shared" si="59"/>
        <v>221</v>
      </c>
      <c r="C227" s="1906" t="s">
        <v>3559</v>
      </c>
      <c r="D227" s="1907" t="s">
        <v>524</v>
      </c>
      <c r="E227" s="1906" t="s">
        <v>636</v>
      </c>
      <c r="F227" s="1948" t="s">
        <v>259</v>
      </c>
      <c r="G227" s="1949">
        <v>169</v>
      </c>
      <c r="H227" s="1948">
        <v>0</v>
      </c>
      <c r="I227" s="1950">
        <v>0</v>
      </c>
      <c r="J227" s="1948">
        <v>0</v>
      </c>
      <c r="K227" s="1948">
        <v>0</v>
      </c>
      <c r="L227" s="1948">
        <v>0</v>
      </c>
      <c r="M227" s="1948">
        <v>0</v>
      </c>
      <c r="N227" s="1948">
        <f t="shared" si="45"/>
        <v>0</v>
      </c>
      <c r="O227" s="1948">
        <f t="shared" si="46"/>
        <v>0</v>
      </c>
      <c r="P227" s="1948">
        <v>0</v>
      </c>
      <c r="Q227" s="1948">
        <v>0</v>
      </c>
      <c r="R227" s="1948">
        <v>0</v>
      </c>
      <c r="S227" s="1948">
        <v>0</v>
      </c>
      <c r="T227" s="1948">
        <v>0</v>
      </c>
      <c r="U227" s="1948">
        <v>0</v>
      </c>
      <c r="V227" s="1948">
        <f t="shared" si="47"/>
        <v>0</v>
      </c>
      <c r="W227" s="1948">
        <f t="shared" si="48"/>
        <v>0</v>
      </c>
      <c r="X227" s="1948">
        <v>0</v>
      </c>
      <c r="Y227" s="1948">
        <v>0</v>
      </c>
      <c r="Z227" s="1948">
        <v>0</v>
      </c>
      <c r="AA227" s="1948">
        <v>0</v>
      </c>
      <c r="AB227" s="1948">
        <v>0</v>
      </c>
      <c r="AC227" s="1948">
        <v>0</v>
      </c>
      <c r="AD227" s="1948">
        <f t="shared" si="49"/>
        <v>0</v>
      </c>
      <c r="AE227" s="1948">
        <f t="shared" si="50"/>
        <v>0</v>
      </c>
      <c r="AF227" s="1948">
        <v>0</v>
      </c>
      <c r="AG227" s="1948">
        <v>0</v>
      </c>
      <c r="AH227" s="1948">
        <v>0</v>
      </c>
      <c r="AI227" s="1948">
        <v>0</v>
      </c>
      <c r="AJ227" s="1948">
        <v>0</v>
      </c>
      <c r="AK227" s="1948">
        <v>0</v>
      </c>
      <c r="AL227" s="1948">
        <f t="shared" si="51"/>
        <v>0</v>
      </c>
      <c r="AM227" s="1948">
        <f t="shared" si="52"/>
        <v>0</v>
      </c>
      <c r="AN227" s="1948">
        <v>169</v>
      </c>
      <c r="AO227" s="1948">
        <v>20.3264</v>
      </c>
      <c r="AP227" s="1948">
        <v>135.19999999999999</v>
      </c>
      <c r="AQ227" s="1948">
        <v>0.93130000000000002</v>
      </c>
      <c r="AR227" s="1948">
        <v>13.09</v>
      </c>
      <c r="AS227" s="1948">
        <v>1341</v>
      </c>
      <c r="AT227" s="1948">
        <f t="shared" si="53"/>
        <v>9074</v>
      </c>
      <c r="AU227" s="1948">
        <f t="shared" si="54"/>
        <v>0</v>
      </c>
      <c r="AV227" s="1948">
        <v>169</v>
      </c>
      <c r="AW227" s="1948">
        <v>17.510000000000002</v>
      </c>
      <c r="AX227" s="1948">
        <v>135.19999999999999</v>
      </c>
      <c r="AY227" s="1948">
        <v>0.94020000000000004</v>
      </c>
      <c r="AZ227" s="1948">
        <v>18.72</v>
      </c>
      <c r="BA227" s="1948">
        <v>2360</v>
      </c>
      <c r="BB227" s="1948">
        <f t="shared" si="55"/>
        <v>7564</v>
      </c>
      <c r="BC227" s="1948">
        <f t="shared" si="56"/>
        <v>0</v>
      </c>
      <c r="BD227" s="1949">
        <v>169</v>
      </c>
      <c r="BE227" s="1948">
        <v>19.594000000000001</v>
      </c>
      <c r="BF227" s="1949">
        <v>135.19999999999999</v>
      </c>
      <c r="BG227" s="1949">
        <v>0.90229999999999999</v>
      </c>
      <c r="BH227" s="1949">
        <v>13.5</v>
      </c>
      <c r="BI227" s="1948">
        <v>1967</v>
      </c>
      <c r="BJ227" s="1948">
        <f t="shared" si="57"/>
        <v>8747</v>
      </c>
      <c r="BK227" s="1948">
        <f t="shared" si="58"/>
        <v>0</v>
      </c>
    </row>
    <row r="228" spans="1:63" ht="15">
      <c r="A228" s="1946">
        <v>622000000017</v>
      </c>
      <c r="B228" s="1947">
        <f t="shared" si="59"/>
        <v>222</v>
      </c>
      <c r="C228" s="1906" t="s">
        <v>3108</v>
      </c>
      <c r="D228" s="1907" t="s">
        <v>524</v>
      </c>
      <c r="E228" s="1906" t="s">
        <v>629</v>
      </c>
      <c r="F228" s="1948" t="s">
        <v>259</v>
      </c>
      <c r="G228" s="1949">
        <v>170</v>
      </c>
      <c r="H228" s="1948">
        <v>170</v>
      </c>
      <c r="I228" s="1950">
        <v>20</v>
      </c>
      <c r="J228" s="1948">
        <v>170</v>
      </c>
      <c r="K228" s="1948">
        <v>0.91659999999999997</v>
      </c>
      <c r="L228" s="1948">
        <v>0</v>
      </c>
      <c r="M228" s="1948">
        <v>5350</v>
      </c>
      <c r="N228" s="1948">
        <f t="shared" si="45"/>
        <v>8640</v>
      </c>
      <c r="O228" s="1948">
        <f t="shared" si="46"/>
        <v>0</v>
      </c>
      <c r="P228" s="1948">
        <v>170</v>
      </c>
      <c r="Q228" s="1948">
        <v>24</v>
      </c>
      <c r="R228" s="1948">
        <v>170</v>
      </c>
      <c r="S228" s="1948">
        <v>0.9204</v>
      </c>
      <c r="T228" s="1948">
        <v>0</v>
      </c>
      <c r="U228" s="1948">
        <v>5910</v>
      </c>
      <c r="V228" s="1948">
        <f t="shared" si="47"/>
        <v>10714</v>
      </c>
      <c r="W228" s="1948">
        <f t="shared" si="48"/>
        <v>0</v>
      </c>
      <c r="X228" s="1948">
        <v>170</v>
      </c>
      <c r="Y228" s="1948">
        <v>24.8</v>
      </c>
      <c r="Z228" s="1948">
        <v>170</v>
      </c>
      <c r="AA228" s="1948">
        <v>0.95120000000000005</v>
      </c>
      <c r="AB228" s="1948">
        <v>0</v>
      </c>
      <c r="AC228" s="1948">
        <v>6644</v>
      </c>
      <c r="AD228" s="1948">
        <f t="shared" si="49"/>
        <v>10714</v>
      </c>
      <c r="AE228" s="1948">
        <f t="shared" si="50"/>
        <v>0</v>
      </c>
      <c r="AF228" s="1948">
        <v>170</v>
      </c>
      <c r="AG228" s="1948">
        <v>24.8</v>
      </c>
      <c r="AH228" s="1948">
        <v>170</v>
      </c>
      <c r="AI228" s="1948">
        <v>0.95730000000000004</v>
      </c>
      <c r="AJ228" s="1948">
        <v>0</v>
      </c>
      <c r="AK228" s="1948">
        <v>5816</v>
      </c>
      <c r="AL228" s="1948">
        <f t="shared" si="51"/>
        <v>11071</v>
      </c>
      <c r="AM228" s="1948">
        <f t="shared" si="52"/>
        <v>0</v>
      </c>
      <c r="AN228" s="1948">
        <v>170</v>
      </c>
      <c r="AO228" s="1948">
        <v>27.200000000000003</v>
      </c>
      <c r="AP228" s="1948">
        <v>170</v>
      </c>
      <c r="AQ228" s="1948">
        <v>0.95340000000000003</v>
      </c>
      <c r="AR228" s="1948">
        <v>0</v>
      </c>
      <c r="AS228" s="1948">
        <v>6570</v>
      </c>
      <c r="AT228" s="1948">
        <f t="shared" si="53"/>
        <v>12142</v>
      </c>
      <c r="AU228" s="1948">
        <f t="shared" si="54"/>
        <v>0</v>
      </c>
      <c r="AV228" s="1948">
        <v>170</v>
      </c>
      <c r="AW228" s="1948">
        <v>22.24</v>
      </c>
      <c r="AX228" s="1948">
        <v>170</v>
      </c>
      <c r="AY228" s="1948">
        <v>0.9516</v>
      </c>
      <c r="AZ228" s="1948">
        <v>0</v>
      </c>
      <c r="BA228" s="1948">
        <v>6956</v>
      </c>
      <c r="BB228" s="1948">
        <f t="shared" si="55"/>
        <v>9608</v>
      </c>
      <c r="BC228" s="1948">
        <f t="shared" si="56"/>
        <v>0</v>
      </c>
      <c r="BD228" s="1949">
        <v>170</v>
      </c>
      <c r="BE228" s="1948">
        <v>24.16</v>
      </c>
      <c r="BF228" s="1949">
        <v>170</v>
      </c>
      <c r="BG228" s="1949">
        <v>0.9516</v>
      </c>
      <c r="BH228" s="1949">
        <v>0</v>
      </c>
      <c r="BI228" s="1948">
        <v>6574</v>
      </c>
      <c r="BJ228" s="1948">
        <f t="shared" si="57"/>
        <v>10785</v>
      </c>
      <c r="BK228" s="1948">
        <f t="shared" si="58"/>
        <v>0</v>
      </c>
    </row>
    <row r="229" spans="1:63" ht="15">
      <c r="A229" s="1946">
        <v>621000000001</v>
      </c>
      <c r="B229" s="1947">
        <f t="shared" si="59"/>
        <v>223</v>
      </c>
      <c r="C229" s="1906" t="s">
        <v>3107</v>
      </c>
      <c r="D229" s="1907" t="s">
        <v>524</v>
      </c>
      <c r="E229" s="1906" t="s">
        <v>541</v>
      </c>
      <c r="F229" s="1948" t="s">
        <v>259</v>
      </c>
      <c r="G229" s="1949">
        <v>170</v>
      </c>
      <c r="H229" s="1948">
        <v>170</v>
      </c>
      <c r="I229" s="1950">
        <v>162</v>
      </c>
      <c r="J229" s="1948">
        <v>162</v>
      </c>
      <c r="K229" s="1948">
        <v>0.91110000000000002</v>
      </c>
      <c r="L229" s="1948">
        <v>12.75</v>
      </c>
      <c r="M229" s="1948">
        <v>14872</v>
      </c>
      <c r="N229" s="1948">
        <f t="shared" si="45"/>
        <v>69984</v>
      </c>
      <c r="O229" s="1948">
        <f t="shared" si="46"/>
        <v>0</v>
      </c>
      <c r="P229" s="1948">
        <v>170</v>
      </c>
      <c r="Q229" s="1948">
        <v>146.28</v>
      </c>
      <c r="R229" s="1948">
        <v>146.28</v>
      </c>
      <c r="S229" s="1948">
        <v>0.90490000000000004</v>
      </c>
      <c r="T229" s="1948">
        <v>2.08</v>
      </c>
      <c r="U229" s="1948">
        <v>2262</v>
      </c>
      <c r="V229" s="1948">
        <f t="shared" si="47"/>
        <v>65299</v>
      </c>
      <c r="W229" s="1948">
        <f t="shared" si="48"/>
        <v>0</v>
      </c>
      <c r="X229" s="1948">
        <v>170</v>
      </c>
      <c r="Y229" s="1948">
        <v>153.24</v>
      </c>
      <c r="Z229" s="1948">
        <v>153.24</v>
      </c>
      <c r="AA229" s="1948">
        <v>0.85599999999999998</v>
      </c>
      <c r="AB229" s="1948">
        <v>8.64</v>
      </c>
      <c r="AC229" s="1948">
        <v>9538</v>
      </c>
      <c r="AD229" s="1948">
        <f t="shared" si="49"/>
        <v>66200</v>
      </c>
      <c r="AE229" s="1948">
        <f t="shared" si="50"/>
        <v>0</v>
      </c>
      <c r="AF229" s="1948">
        <v>170</v>
      </c>
      <c r="AG229" s="1948">
        <v>204.83999999999997</v>
      </c>
      <c r="AH229" s="1948">
        <v>204.84</v>
      </c>
      <c r="AI229" s="1948">
        <v>0.85029999999999994</v>
      </c>
      <c r="AJ229" s="1948">
        <v>5.24</v>
      </c>
      <c r="AK229" s="1948">
        <v>7990</v>
      </c>
      <c r="AL229" s="1948">
        <f t="shared" si="51"/>
        <v>91441</v>
      </c>
      <c r="AM229" s="1948">
        <f t="shared" si="52"/>
        <v>0</v>
      </c>
      <c r="AN229" s="1948">
        <v>170</v>
      </c>
      <c r="AO229" s="1948">
        <v>152.88000000000002</v>
      </c>
      <c r="AP229" s="1948">
        <v>152.88</v>
      </c>
      <c r="AQ229" s="1948">
        <v>0.84089999999999998</v>
      </c>
      <c r="AR229" s="1948">
        <v>5.77</v>
      </c>
      <c r="AS229" s="1948">
        <v>6566</v>
      </c>
      <c r="AT229" s="1948">
        <f t="shared" si="53"/>
        <v>68246</v>
      </c>
      <c r="AU229" s="1948">
        <f t="shared" si="54"/>
        <v>0</v>
      </c>
      <c r="AV229" s="1948">
        <v>170</v>
      </c>
      <c r="AW229" s="1948">
        <v>163.44</v>
      </c>
      <c r="AX229" s="1948">
        <v>163.44</v>
      </c>
      <c r="AY229" s="1948">
        <v>0.87450000000000006</v>
      </c>
      <c r="AZ229" s="1948">
        <v>10.84</v>
      </c>
      <c r="BA229" s="1948">
        <v>12762</v>
      </c>
      <c r="BB229" s="1948">
        <f t="shared" si="55"/>
        <v>70606</v>
      </c>
      <c r="BC229" s="1948">
        <f t="shared" si="56"/>
        <v>0</v>
      </c>
      <c r="BD229" s="1949">
        <v>170</v>
      </c>
      <c r="BE229" s="1948">
        <v>160.67999999999998</v>
      </c>
      <c r="BF229" s="1949">
        <v>160.68</v>
      </c>
      <c r="BG229" s="1949">
        <v>0.92720000000000002</v>
      </c>
      <c r="BH229" s="1949">
        <v>1.02</v>
      </c>
      <c r="BI229" s="1948">
        <v>1223</v>
      </c>
      <c r="BJ229" s="1948">
        <f t="shared" si="57"/>
        <v>71728</v>
      </c>
      <c r="BK229" s="1948">
        <f t="shared" si="58"/>
        <v>0</v>
      </c>
    </row>
    <row r="230" spans="1:63" ht="15">
      <c r="A230" s="1946">
        <v>613000000039</v>
      </c>
      <c r="B230" s="1947">
        <f t="shared" si="59"/>
        <v>224</v>
      </c>
      <c r="C230" s="1906" t="s">
        <v>3109</v>
      </c>
      <c r="D230" s="1907" t="s">
        <v>524</v>
      </c>
      <c r="E230" s="1906" t="s">
        <v>737</v>
      </c>
      <c r="F230" s="1948" t="s">
        <v>259</v>
      </c>
      <c r="G230" s="1949">
        <v>171</v>
      </c>
      <c r="H230" s="1948">
        <v>171</v>
      </c>
      <c r="I230" s="1950">
        <v>6.36</v>
      </c>
      <c r="J230" s="1948">
        <v>136.80000000000001</v>
      </c>
      <c r="K230" s="1948">
        <v>0.64180000000000004</v>
      </c>
      <c r="L230" s="1948">
        <v>48.48</v>
      </c>
      <c r="M230" s="1948">
        <v>2220</v>
      </c>
      <c r="N230" s="1948">
        <f t="shared" si="45"/>
        <v>2748</v>
      </c>
      <c r="O230" s="1948">
        <f t="shared" si="46"/>
        <v>0</v>
      </c>
      <c r="P230" s="1948">
        <v>171</v>
      </c>
      <c r="Q230" s="1948">
        <v>4.68</v>
      </c>
      <c r="R230" s="1948">
        <v>136.80000000000001</v>
      </c>
      <c r="S230" s="1948">
        <v>0.50490000000000002</v>
      </c>
      <c r="T230" s="1948">
        <v>55.06</v>
      </c>
      <c r="U230" s="1948">
        <v>1917</v>
      </c>
      <c r="V230" s="1948">
        <f t="shared" si="47"/>
        <v>2089</v>
      </c>
      <c r="W230" s="1948">
        <f t="shared" si="48"/>
        <v>0</v>
      </c>
      <c r="X230" s="1948">
        <v>171</v>
      </c>
      <c r="Y230" s="1948">
        <v>10.08</v>
      </c>
      <c r="Z230" s="1948">
        <v>136.80000000000001</v>
      </c>
      <c r="AA230" s="1948">
        <v>0.73180000000000001</v>
      </c>
      <c r="AB230" s="1948">
        <v>36.43</v>
      </c>
      <c r="AC230" s="1948">
        <v>2644</v>
      </c>
      <c r="AD230" s="1948">
        <f t="shared" si="49"/>
        <v>4355</v>
      </c>
      <c r="AE230" s="1948">
        <f t="shared" si="50"/>
        <v>0</v>
      </c>
      <c r="AF230" s="1948">
        <v>171</v>
      </c>
      <c r="AG230" s="1948">
        <v>8.76</v>
      </c>
      <c r="AH230" s="1948">
        <v>136.80000000000001</v>
      </c>
      <c r="AI230" s="1948">
        <v>0.79479999999999995</v>
      </c>
      <c r="AJ230" s="1948">
        <v>48.47</v>
      </c>
      <c r="AK230" s="1948">
        <v>3159</v>
      </c>
      <c r="AL230" s="1948">
        <f t="shared" si="51"/>
        <v>3910</v>
      </c>
      <c r="AM230" s="1948">
        <f t="shared" si="52"/>
        <v>0</v>
      </c>
      <c r="AN230" s="1948">
        <v>171</v>
      </c>
      <c r="AO230" s="1948">
        <v>9.24</v>
      </c>
      <c r="AP230" s="1948">
        <v>136.80000000000001</v>
      </c>
      <c r="AQ230" s="1948">
        <v>0.76139999999999997</v>
      </c>
      <c r="AR230" s="1948">
        <v>42.32</v>
      </c>
      <c r="AS230" s="1948">
        <v>2909</v>
      </c>
      <c r="AT230" s="1948">
        <f t="shared" si="53"/>
        <v>4125</v>
      </c>
      <c r="AU230" s="1948">
        <f t="shared" si="54"/>
        <v>0</v>
      </c>
      <c r="AV230" s="1948">
        <v>171</v>
      </c>
      <c r="AW230" s="1948">
        <v>12.84</v>
      </c>
      <c r="AX230" s="1948">
        <v>136.80000000000001</v>
      </c>
      <c r="AY230" s="1948">
        <v>0.84</v>
      </c>
      <c r="AZ230" s="1948">
        <v>49.49</v>
      </c>
      <c r="BA230" s="1948">
        <v>4575</v>
      </c>
      <c r="BB230" s="1948">
        <f t="shared" si="55"/>
        <v>5547</v>
      </c>
      <c r="BC230" s="1948">
        <f t="shared" si="56"/>
        <v>0</v>
      </c>
      <c r="BD230" s="1949">
        <v>171</v>
      </c>
      <c r="BE230" s="1948">
        <v>7.8</v>
      </c>
      <c r="BF230" s="1949">
        <v>136.80000000000001</v>
      </c>
      <c r="BG230" s="1949">
        <v>0.77310000000000001</v>
      </c>
      <c r="BH230" s="1949">
        <v>60.4</v>
      </c>
      <c r="BI230" s="1948">
        <v>3505</v>
      </c>
      <c r="BJ230" s="1948">
        <f t="shared" si="57"/>
        <v>3482</v>
      </c>
      <c r="BK230" s="1948">
        <f t="shared" si="58"/>
        <v>23</v>
      </c>
    </row>
    <row r="231" spans="1:63" ht="15">
      <c r="A231" s="1946">
        <v>122000000087</v>
      </c>
      <c r="B231" s="1947">
        <f t="shared" si="59"/>
        <v>225</v>
      </c>
      <c r="C231" s="1906" t="s">
        <v>3110</v>
      </c>
      <c r="D231" s="1907" t="s">
        <v>524</v>
      </c>
      <c r="E231" s="1906" t="s">
        <v>541</v>
      </c>
      <c r="F231" s="1948" t="s">
        <v>259</v>
      </c>
      <c r="G231" s="1949">
        <v>172</v>
      </c>
      <c r="H231" s="1948">
        <v>172</v>
      </c>
      <c r="I231" s="1950">
        <v>167.52</v>
      </c>
      <c r="J231" s="1948">
        <v>167.52</v>
      </c>
      <c r="K231" s="1948">
        <v>0.98050000000000004</v>
      </c>
      <c r="L231" s="1948">
        <v>29.95</v>
      </c>
      <c r="M231" s="1948">
        <v>36124</v>
      </c>
      <c r="N231" s="1948">
        <f t="shared" si="45"/>
        <v>72369</v>
      </c>
      <c r="O231" s="1948">
        <f t="shared" si="46"/>
        <v>0</v>
      </c>
      <c r="P231" s="1948">
        <v>172</v>
      </c>
      <c r="Q231" s="1948">
        <v>175.28</v>
      </c>
      <c r="R231" s="1948">
        <v>175.28</v>
      </c>
      <c r="S231" s="1948">
        <v>0.98150000000000004</v>
      </c>
      <c r="T231" s="1948">
        <v>46.16</v>
      </c>
      <c r="U231" s="1948">
        <v>60200</v>
      </c>
      <c r="V231" s="1948">
        <f t="shared" si="47"/>
        <v>78245</v>
      </c>
      <c r="W231" s="1948">
        <f t="shared" si="48"/>
        <v>0</v>
      </c>
      <c r="X231" s="1948">
        <v>172</v>
      </c>
      <c r="Y231" s="1948">
        <v>163.19999999999999</v>
      </c>
      <c r="Z231" s="1948">
        <v>163.19999999999999</v>
      </c>
      <c r="AA231" s="1948">
        <v>0.96550000000000002</v>
      </c>
      <c r="AB231" s="1948">
        <v>57.75</v>
      </c>
      <c r="AC231" s="1948">
        <v>67853</v>
      </c>
      <c r="AD231" s="1948">
        <f t="shared" si="49"/>
        <v>70502</v>
      </c>
      <c r="AE231" s="1948">
        <f t="shared" si="50"/>
        <v>0</v>
      </c>
      <c r="AF231" s="1948">
        <v>172</v>
      </c>
      <c r="AG231" s="1948">
        <v>164.48000000000002</v>
      </c>
      <c r="AH231" s="1948">
        <v>164.48</v>
      </c>
      <c r="AI231" s="1948">
        <v>0.95109999999999995</v>
      </c>
      <c r="AJ231" s="1948">
        <v>50.27</v>
      </c>
      <c r="AK231" s="1948">
        <v>61521</v>
      </c>
      <c r="AL231" s="1948">
        <f t="shared" si="51"/>
        <v>73424</v>
      </c>
      <c r="AM231" s="1948">
        <f t="shared" si="52"/>
        <v>0</v>
      </c>
      <c r="AN231" s="1948">
        <v>172</v>
      </c>
      <c r="AO231" s="1948">
        <v>171.68</v>
      </c>
      <c r="AP231" s="1948">
        <v>171.68</v>
      </c>
      <c r="AQ231" s="1948">
        <v>0.92230000000000001</v>
      </c>
      <c r="AR231" s="1948">
        <v>49.37</v>
      </c>
      <c r="AS231" s="1948">
        <v>63062</v>
      </c>
      <c r="AT231" s="1948">
        <f t="shared" si="53"/>
        <v>76638</v>
      </c>
      <c r="AU231" s="1948">
        <f t="shared" si="54"/>
        <v>0</v>
      </c>
      <c r="AV231" s="1948">
        <v>172</v>
      </c>
      <c r="AW231" s="1948">
        <v>166.4</v>
      </c>
      <c r="AX231" s="1948">
        <v>166.4</v>
      </c>
      <c r="AY231" s="1948">
        <v>0.91490000000000005</v>
      </c>
      <c r="AZ231" s="1948">
        <v>49.04</v>
      </c>
      <c r="BA231" s="1948">
        <v>58754</v>
      </c>
      <c r="BB231" s="1948">
        <f t="shared" si="55"/>
        <v>71885</v>
      </c>
      <c r="BC231" s="1948">
        <f t="shared" si="56"/>
        <v>0</v>
      </c>
      <c r="BD231" s="1949">
        <v>172</v>
      </c>
      <c r="BE231" s="1948">
        <v>167.92000000000002</v>
      </c>
      <c r="BF231" s="1949">
        <v>167.92</v>
      </c>
      <c r="BG231" s="1949">
        <v>0.90739999999999998</v>
      </c>
      <c r="BH231" s="1949">
        <v>50.27</v>
      </c>
      <c r="BI231" s="1948">
        <v>62798</v>
      </c>
      <c r="BJ231" s="1948">
        <f t="shared" si="57"/>
        <v>74959</v>
      </c>
      <c r="BK231" s="1948">
        <f t="shared" si="58"/>
        <v>0</v>
      </c>
    </row>
    <row r="232" spans="1:63" ht="15">
      <c r="A232" s="1946">
        <v>122000000053</v>
      </c>
      <c r="B232" s="1947">
        <f t="shared" si="59"/>
        <v>226</v>
      </c>
      <c r="C232" s="1906" t="s">
        <v>3111</v>
      </c>
      <c r="D232" s="1907" t="s">
        <v>524</v>
      </c>
      <c r="E232" s="1906" t="s">
        <v>541</v>
      </c>
      <c r="F232" s="1948" t="s">
        <v>259</v>
      </c>
      <c r="G232" s="1949">
        <v>174</v>
      </c>
      <c r="H232" s="1948">
        <v>174</v>
      </c>
      <c r="I232" s="1950">
        <v>94.16</v>
      </c>
      <c r="J232" s="1948">
        <v>139.19999999999999</v>
      </c>
      <c r="K232" s="1948">
        <v>0.99980000000000002</v>
      </c>
      <c r="L232" s="1948">
        <v>48.06</v>
      </c>
      <c r="M232" s="1948">
        <v>32581</v>
      </c>
      <c r="N232" s="1948">
        <f t="shared" si="45"/>
        <v>40677</v>
      </c>
      <c r="O232" s="1948">
        <f t="shared" si="46"/>
        <v>0</v>
      </c>
      <c r="P232" s="1948">
        <v>174</v>
      </c>
      <c r="Q232" s="1948">
        <v>230.48000000000002</v>
      </c>
      <c r="R232" s="1948">
        <v>230.48</v>
      </c>
      <c r="S232" s="1948">
        <v>0.99299999999999999</v>
      </c>
      <c r="T232" s="1948">
        <v>46.13</v>
      </c>
      <c r="U232" s="1948">
        <v>79105</v>
      </c>
      <c r="V232" s="1948">
        <f t="shared" si="47"/>
        <v>102886</v>
      </c>
      <c r="W232" s="1948">
        <f t="shared" si="48"/>
        <v>0</v>
      </c>
      <c r="X232" s="1948">
        <v>174</v>
      </c>
      <c r="Y232" s="1948">
        <v>228.08</v>
      </c>
      <c r="Z232" s="1948">
        <v>228.08</v>
      </c>
      <c r="AA232" s="1948">
        <v>0.99050000000000005</v>
      </c>
      <c r="AB232" s="1948">
        <v>45.16</v>
      </c>
      <c r="AC232" s="1948">
        <v>74163</v>
      </c>
      <c r="AD232" s="1948">
        <f t="shared" si="49"/>
        <v>98531</v>
      </c>
      <c r="AE232" s="1948">
        <f t="shared" si="50"/>
        <v>0</v>
      </c>
      <c r="AF232" s="1948">
        <v>174</v>
      </c>
      <c r="AG232" s="1948">
        <v>178.07999999999998</v>
      </c>
      <c r="AH232" s="1948">
        <v>178.08</v>
      </c>
      <c r="AI232" s="1948">
        <v>0.98899999999999999</v>
      </c>
      <c r="AJ232" s="1948">
        <v>32.299999999999997</v>
      </c>
      <c r="AK232" s="1948">
        <v>42792</v>
      </c>
      <c r="AL232" s="1948">
        <f t="shared" si="51"/>
        <v>79495</v>
      </c>
      <c r="AM232" s="1948">
        <f t="shared" si="52"/>
        <v>0</v>
      </c>
      <c r="AN232" s="1948">
        <v>174</v>
      </c>
      <c r="AO232" s="1948">
        <v>184.32</v>
      </c>
      <c r="AP232" s="1948">
        <v>184.32</v>
      </c>
      <c r="AQ232" s="1948">
        <v>0.99860000000000004</v>
      </c>
      <c r="AR232" s="1948">
        <v>25.7</v>
      </c>
      <c r="AS232" s="1948">
        <v>35241</v>
      </c>
      <c r="AT232" s="1948">
        <f t="shared" si="53"/>
        <v>82280</v>
      </c>
      <c r="AU232" s="1948">
        <f t="shared" si="54"/>
        <v>0</v>
      </c>
      <c r="AV232" s="1948">
        <v>174</v>
      </c>
      <c r="AW232" s="1948">
        <v>171.12</v>
      </c>
      <c r="AX232" s="1948">
        <v>171.12</v>
      </c>
      <c r="AY232" s="1948">
        <v>0.99960000000000004</v>
      </c>
      <c r="AZ232" s="1948">
        <v>29.58</v>
      </c>
      <c r="BA232" s="1948">
        <v>36443</v>
      </c>
      <c r="BB232" s="1948">
        <f t="shared" si="55"/>
        <v>73924</v>
      </c>
      <c r="BC232" s="1948">
        <f t="shared" si="56"/>
        <v>0</v>
      </c>
      <c r="BD232" s="1949">
        <v>174</v>
      </c>
      <c r="BE232" s="1948">
        <v>186.88</v>
      </c>
      <c r="BF232" s="1949">
        <v>186.88</v>
      </c>
      <c r="BG232" s="1949">
        <v>0.998</v>
      </c>
      <c r="BH232" s="1949">
        <v>31.57</v>
      </c>
      <c r="BI232" s="1948">
        <v>43893</v>
      </c>
      <c r="BJ232" s="1948">
        <f t="shared" si="57"/>
        <v>83423</v>
      </c>
      <c r="BK232" s="1948">
        <f t="shared" si="58"/>
        <v>0</v>
      </c>
    </row>
    <row r="233" spans="1:63" ht="15">
      <c r="A233" s="1946">
        <v>122000000059</v>
      </c>
      <c r="B233" s="1947">
        <f t="shared" si="59"/>
        <v>227</v>
      </c>
      <c r="C233" s="1906" t="s">
        <v>3112</v>
      </c>
      <c r="D233" s="1907" t="s">
        <v>524</v>
      </c>
      <c r="E233" s="1906" t="s">
        <v>541</v>
      </c>
      <c r="F233" s="1948" t="s">
        <v>259</v>
      </c>
      <c r="G233" s="1949">
        <v>174</v>
      </c>
      <c r="H233" s="1948">
        <v>174</v>
      </c>
      <c r="I233" s="1950">
        <v>58.720000000000006</v>
      </c>
      <c r="J233" s="1948">
        <v>139.19999999999999</v>
      </c>
      <c r="K233" s="1948">
        <v>0.98750000000000004</v>
      </c>
      <c r="L233" s="1948">
        <v>33.44</v>
      </c>
      <c r="M233" s="1948">
        <v>14136</v>
      </c>
      <c r="N233" s="1948">
        <f t="shared" si="45"/>
        <v>25367</v>
      </c>
      <c r="O233" s="1948">
        <f t="shared" si="46"/>
        <v>0</v>
      </c>
      <c r="P233" s="1948">
        <v>174</v>
      </c>
      <c r="Q233" s="1948">
        <v>186.5256</v>
      </c>
      <c r="R233" s="1948">
        <v>186.53</v>
      </c>
      <c r="S233" s="1948">
        <v>0.98919999999999997</v>
      </c>
      <c r="T233" s="1948">
        <v>33.06</v>
      </c>
      <c r="U233" s="1948">
        <v>45884</v>
      </c>
      <c r="V233" s="1948">
        <f t="shared" si="47"/>
        <v>83265</v>
      </c>
      <c r="W233" s="1948">
        <f t="shared" si="48"/>
        <v>0</v>
      </c>
      <c r="X233" s="1948">
        <v>174</v>
      </c>
      <c r="Y233" s="1948">
        <v>191.44200000000001</v>
      </c>
      <c r="Z233" s="1948">
        <v>191.44</v>
      </c>
      <c r="AA233" s="1948">
        <v>0.98939999999999995</v>
      </c>
      <c r="AB233" s="1948">
        <v>55.98</v>
      </c>
      <c r="AC233" s="1948">
        <v>77160</v>
      </c>
      <c r="AD233" s="1948">
        <f t="shared" si="49"/>
        <v>82703</v>
      </c>
      <c r="AE233" s="1948">
        <f t="shared" si="50"/>
        <v>0</v>
      </c>
      <c r="AF233" s="1948">
        <v>174</v>
      </c>
      <c r="AG233" s="1948">
        <v>189.08160000000001</v>
      </c>
      <c r="AH233" s="1948">
        <v>189.08</v>
      </c>
      <c r="AI233" s="1948">
        <v>0.9879</v>
      </c>
      <c r="AJ233" s="1948">
        <v>42.25</v>
      </c>
      <c r="AK233" s="1948">
        <v>59441</v>
      </c>
      <c r="AL233" s="1948">
        <f t="shared" si="51"/>
        <v>84406</v>
      </c>
      <c r="AM233" s="1948">
        <f t="shared" si="52"/>
        <v>0</v>
      </c>
      <c r="AN233" s="1948">
        <v>174</v>
      </c>
      <c r="AO233" s="1948">
        <v>215.50109999999998</v>
      </c>
      <c r="AP233" s="1948">
        <v>215.5</v>
      </c>
      <c r="AQ233" s="1948">
        <v>0.97009999999999996</v>
      </c>
      <c r="AR233" s="1948">
        <v>41.07</v>
      </c>
      <c r="AS233" s="1948">
        <v>65856</v>
      </c>
      <c r="AT233" s="1948">
        <f t="shared" si="53"/>
        <v>96200</v>
      </c>
      <c r="AU233" s="1948">
        <f t="shared" si="54"/>
        <v>0</v>
      </c>
      <c r="AV233" s="1948">
        <v>174</v>
      </c>
      <c r="AW233" s="1948">
        <v>191.74799999999999</v>
      </c>
      <c r="AX233" s="1948">
        <v>191.75</v>
      </c>
      <c r="AY233" s="1948">
        <v>0.96930000000000005</v>
      </c>
      <c r="AZ233" s="1948">
        <v>44.91</v>
      </c>
      <c r="BA233" s="1948">
        <v>61998</v>
      </c>
      <c r="BB233" s="1948">
        <f t="shared" si="55"/>
        <v>82835</v>
      </c>
      <c r="BC233" s="1948">
        <f t="shared" si="56"/>
        <v>0</v>
      </c>
      <c r="BD233" s="1949">
        <v>174</v>
      </c>
      <c r="BE233" s="1948">
        <v>191.52</v>
      </c>
      <c r="BF233" s="1949">
        <v>191.52</v>
      </c>
      <c r="BG233" s="1949">
        <v>0.97040000000000004</v>
      </c>
      <c r="BH233" s="1949">
        <v>45.81</v>
      </c>
      <c r="BI233" s="1948">
        <v>65269</v>
      </c>
      <c r="BJ233" s="1948">
        <f t="shared" si="57"/>
        <v>85495</v>
      </c>
      <c r="BK233" s="1948">
        <f t="shared" si="58"/>
        <v>0</v>
      </c>
    </row>
    <row r="234" spans="1:63" ht="15">
      <c r="A234" s="1946">
        <v>122000000090</v>
      </c>
      <c r="B234" s="1947">
        <f t="shared" si="59"/>
        <v>228</v>
      </c>
      <c r="C234" s="1906" t="s">
        <v>3113</v>
      </c>
      <c r="D234" s="1907" t="s">
        <v>524</v>
      </c>
      <c r="E234" s="1906" t="s">
        <v>2966</v>
      </c>
      <c r="F234" s="1948" t="s">
        <v>259</v>
      </c>
      <c r="G234" s="1949">
        <v>174</v>
      </c>
      <c r="H234" s="1948">
        <v>174</v>
      </c>
      <c r="I234" s="1950">
        <v>0.16</v>
      </c>
      <c r="J234" s="1948">
        <v>174</v>
      </c>
      <c r="K234" s="1948">
        <v>0.57830000000000004</v>
      </c>
      <c r="L234" s="1948">
        <v>0</v>
      </c>
      <c r="M234" s="1948">
        <v>83</v>
      </c>
      <c r="N234" s="1948">
        <f t="shared" si="45"/>
        <v>69</v>
      </c>
      <c r="O234" s="1948">
        <f t="shared" si="46"/>
        <v>14</v>
      </c>
      <c r="P234" s="1948">
        <v>174</v>
      </c>
      <c r="Q234" s="1948">
        <v>0.08</v>
      </c>
      <c r="R234" s="1948">
        <v>174</v>
      </c>
      <c r="S234" s="1948">
        <v>0.64280000000000004</v>
      </c>
      <c r="T234" s="1948">
        <v>0</v>
      </c>
      <c r="U234" s="1948">
        <v>56</v>
      </c>
      <c r="V234" s="1948">
        <f t="shared" si="47"/>
        <v>36</v>
      </c>
      <c r="W234" s="1948">
        <f t="shared" si="48"/>
        <v>20</v>
      </c>
      <c r="X234" s="1948">
        <v>174</v>
      </c>
      <c r="Y234" s="1948">
        <v>0</v>
      </c>
      <c r="Z234" s="1948">
        <v>174</v>
      </c>
      <c r="AA234" s="1948">
        <v>1</v>
      </c>
      <c r="AB234" s="1948">
        <v>0</v>
      </c>
      <c r="AC234" s="1948">
        <v>8</v>
      </c>
      <c r="AD234" s="1948">
        <f t="shared" si="49"/>
        <v>0</v>
      </c>
      <c r="AE234" s="1948">
        <f t="shared" si="50"/>
        <v>8</v>
      </c>
      <c r="AF234" s="1948">
        <v>174</v>
      </c>
      <c r="AG234" s="1948">
        <v>0</v>
      </c>
      <c r="AH234" s="1948">
        <v>174</v>
      </c>
      <c r="AI234" s="1948">
        <v>1</v>
      </c>
      <c r="AJ234" s="1948">
        <v>0</v>
      </c>
      <c r="AK234" s="1948">
        <v>0</v>
      </c>
      <c r="AL234" s="1948">
        <f t="shared" si="51"/>
        <v>0</v>
      </c>
      <c r="AM234" s="1948">
        <f t="shared" si="52"/>
        <v>0</v>
      </c>
      <c r="AN234" s="1948">
        <v>174</v>
      </c>
      <c r="AO234" s="1948">
        <v>0</v>
      </c>
      <c r="AP234" s="1948">
        <v>174</v>
      </c>
      <c r="AQ234" s="1948">
        <v>0</v>
      </c>
      <c r="AR234" s="1948">
        <v>0</v>
      </c>
      <c r="AS234" s="1948">
        <v>0</v>
      </c>
      <c r="AT234" s="1948">
        <f t="shared" si="53"/>
        <v>0</v>
      </c>
      <c r="AU234" s="1948">
        <f t="shared" si="54"/>
        <v>0</v>
      </c>
      <c r="AV234" s="1948">
        <v>174</v>
      </c>
      <c r="AW234" s="1948">
        <v>0</v>
      </c>
      <c r="AX234" s="1948">
        <v>174</v>
      </c>
      <c r="AY234" s="1948">
        <v>0</v>
      </c>
      <c r="AZ234" s="1948">
        <v>0</v>
      </c>
      <c r="BA234" s="1948">
        <v>0</v>
      </c>
      <c r="BB234" s="1948">
        <f t="shared" si="55"/>
        <v>0</v>
      </c>
      <c r="BC234" s="1948">
        <f t="shared" si="56"/>
        <v>0</v>
      </c>
      <c r="BD234" s="1949">
        <v>174</v>
      </c>
      <c r="BE234" s="1948">
        <v>0</v>
      </c>
      <c r="BF234" s="1949">
        <v>174</v>
      </c>
      <c r="BG234" s="1949">
        <v>0</v>
      </c>
      <c r="BH234" s="1949">
        <v>0</v>
      </c>
      <c r="BI234" s="1948">
        <v>0</v>
      </c>
      <c r="BJ234" s="1948">
        <f t="shared" si="57"/>
        <v>0</v>
      </c>
      <c r="BK234" s="1948">
        <f t="shared" si="58"/>
        <v>0</v>
      </c>
    </row>
    <row r="235" spans="1:63" ht="15">
      <c r="A235" s="1946">
        <v>122000000001</v>
      </c>
      <c r="B235" s="1947">
        <f t="shared" si="59"/>
        <v>229</v>
      </c>
      <c r="C235" s="1906" t="s">
        <v>3115</v>
      </c>
      <c r="D235" s="1907" t="s">
        <v>524</v>
      </c>
      <c r="E235" s="1906" t="s">
        <v>541</v>
      </c>
      <c r="F235" s="1948" t="s">
        <v>259</v>
      </c>
      <c r="G235" s="1949">
        <v>175</v>
      </c>
      <c r="H235" s="1948">
        <v>175</v>
      </c>
      <c r="I235" s="1950">
        <v>134.72</v>
      </c>
      <c r="J235" s="1948">
        <v>140</v>
      </c>
      <c r="K235" s="1948">
        <v>0.98329999999999995</v>
      </c>
      <c r="L235" s="1948">
        <v>36.770000000000003</v>
      </c>
      <c r="M235" s="1948">
        <v>35664</v>
      </c>
      <c r="N235" s="1948">
        <f t="shared" si="45"/>
        <v>58199</v>
      </c>
      <c r="O235" s="1948">
        <f t="shared" si="46"/>
        <v>0</v>
      </c>
      <c r="P235" s="1948">
        <v>175</v>
      </c>
      <c r="Q235" s="1948">
        <v>265.28000000000003</v>
      </c>
      <c r="R235" s="1948">
        <v>265.27999999999997</v>
      </c>
      <c r="S235" s="1948">
        <v>0.98799999999999999</v>
      </c>
      <c r="T235" s="1948">
        <v>44.24</v>
      </c>
      <c r="U235" s="1948">
        <v>87322</v>
      </c>
      <c r="V235" s="1948">
        <f t="shared" si="47"/>
        <v>118421</v>
      </c>
      <c r="W235" s="1948">
        <f t="shared" si="48"/>
        <v>0</v>
      </c>
      <c r="X235" s="1948">
        <v>175</v>
      </c>
      <c r="Y235" s="1948">
        <v>277.92</v>
      </c>
      <c r="Z235" s="1948">
        <v>277.92</v>
      </c>
      <c r="AA235" s="1948">
        <v>0.98019999999999996</v>
      </c>
      <c r="AB235" s="1948">
        <v>50.89</v>
      </c>
      <c r="AC235" s="1948">
        <v>101830</v>
      </c>
      <c r="AD235" s="1948">
        <f t="shared" si="49"/>
        <v>120061</v>
      </c>
      <c r="AE235" s="1948">
        <f t="shared" si="50"/>
        <v>0</v>
      </c>
      <c r="AF235" s="1948">
        <v>175</v>
      </c>
      <c r="AG235" s="1948">
        <v>215.83999999999997</v>
      </c>
      <c r="AH235" s="1948">
        <v>215.84</v>
      </c>
      <c r="AI235" s="1948">
        <v>0.99139999999999995</v>
      </c>
      <c r="AJ235" s="1948">
        <v>53.77</v>
      </c>
      <c r="AK235" s="1948">
        <v>86346</v>
      </c>
      <c r="AL235" s="1948">
        <f t="shared" si="51"/>
        <v>96351</v>
      </c>
      <c r="AM235" s="1948">
        <f t="shared" si="52"/>
        <v>0</v>
      </c>
      <c r="AN235" s="1948">
        <v>175</v>
      </c>
      <c r="AO235" s="1948">
        <v>214.08</v>
      </c>
      <c r="AP235" s="1948">
        <v>214.08</v>
      </c>
      <c r="AQ235" s="1948">
        <v>0.99350000000000005</v>
      </c>
      <c r="AR235" s="1948">
        <v>55.32</v>
      </c>
      <c r="AS235" s="1948">
        <v>88108</v>
      </c>
      <c r="AT235" s="1948">
        <f t="shared" si="53"/>
        <v>95565</v>
      </c>
      <c r="AU235" s="1948">
        <f t="shared" si="54"/>
        <v>0</v>
      </c>
      <c r="AV235" s="1948">
        <v>175</v>
      </c>
      <c r="AW235" s="1948">
        <v>213.60000000000002</v>
      </c>
      <c r="AX235" s="1948">
        <v>213.6</v>
      </c>
      <c r="AY235" s="1948">
        <v>0.99239999999999995</v>
      </c>
      <c r="AZ235" s="1948">
        <v>55.64</v>
      </c>
      <c r="BA235" s="1948">
        <v>85574</v>
      </c>
      <c r="BB235" s="1948">
        <f t="shared" si="55"/>
        <v>92275</v>
      </c>
      <c r="BC235" s="1948">
        <f t="shared" si="56"/>
        <v>0</v>
      </c>
      <c r="BD235" s="1949">
        <v>175</v>
      </c>
      <c r="BE235" s="1948">
        <v>210.08</v>
      </c>
      <c r="BF235" s="1949">
        <v>210.08</v>
      </c>
      <c r="BG235" s="1949">
        <v>0.99270000000000003</v>
      </c>
      <c r="BH235" s="1949">
        <v>61.56</v>
      </c>
      <c r="BI235" s="1948">
        <v>96220</v>
      </c>
      <c r="BJ235" s="1948">
        <f t="shared" si="57"/>
        <v>93780</v>
      </c>
      <c r="BK235" s="1948">
        <f t="shared" si="58"/>
        <v>2440</v>
      </c>
    </row>
    <row r="236" spans="1:63" ht="15">
      <c r="A236" s="1946">
        <v>121000000010</v>
      </c>
      <c r="B236" s="1947">
        <f t="shared" si="59"/>
        <v>230</v>
      </c>
      <c r="C236" s="1906" t="s">
        <v>3114</v>
      </c>
      <c r="D236" s="1907" t="s">
        <v>524</v>
      </c>
      <c r="E236" s="1906" t="s">
        <v>541</v>
      </c>
      <c r="F236" s="1948" t="s">
        <v>259</v>
      </c>
      <c r="G236" s="1949">
        <v>175</v>
      </c>
      <c r="H236" s="1948">
        <v>175</v>
      </c>
      <c r="I236" s="1950">
        <v>125.6</v>
      </c>
      <c r="J236" s="1948">
        <v>140</v>
      </c>
      <c r="K236" s="1948">
        <v>0.99839999999999995</v>
      </c>
      <c r="L236" s="1948">
        <v>60.27</v>
      </c>
      <c r="M236" s="1948">
        <v>54501</v>
      </c>
      <c r="N236" s="1948">
        <f t="shared" si="45"/>
        <v>54259</v>
      </c>
      <c r="O236" s="1948">
        <f t="shared" si="46"/>
        <v>242</v>
      </c>
      <c r="P236" s="1948">
        <v>175</v>
      </c>
      <c r="Q236" s="1948">
        <v>138.79999999999998</v>
      </c>
      <c r="R236" s="1948">
        <v>140</v>
      </c>
      <c r="S236" s="1948">
        <v>0.99770000000000003</v>
      </c>
      <c r="T236" s="1948">
        <v>57.53</v>
      </c>
      <c r="U236" s="1948">
        <v>59408</v>
      </c>
      <c r="V236" s="1948">
        <f t="shared" si="47"/>
        <v>61960</v>
      </c>
      <c r="W236" s="1948">
        <f t="shared" si="48"/>
        <v>0</v>
      </c>
      <c r="X236" s="1948">
        <v>175</v>
      </c>
      <c r="Y236" s="1948">
        <v>180.72</v>
      </c>
      <c r="Z236" s="1948">
        <v>180.72</v>
      </c>
      <c r="AA236" s="1948">
        <v>0.88759999999999994</v>
      </c>
      <c r="AB236" s="1948">
        <v>37.31</v>
      </c>
      <c r="AC236" s="1948">
        <v>48547</v>
      </c>
      <c r="AD236" s="1948">
        <f t="shared" si="49"/>
        <v>78071</v>
      </c>
      <c r="AE236" s="1948">
        <f t="shared" si="50"/>
        <v>0</v>
      </c>
      <c r="AF236" s="1948">
        <v>175</v>
      </c>
      <c r="AG236" s="1948">
        <v>131.36000000000001</v>
      </c>
      <c r="AH236" s="1948">
        <v>140</v>
      </c>
      <c r="AI236" s="1948">
        <v>0.99219999999999997</v>
      </c>
      <c r="AJ236" s="1948">
        <v>45.29</v>
      </c>
      <c r="AK236" s="1948">
        <v>44261</v>
      </c>
      <c r="AL236" s="1948">
        <f t="shared" si="51"/>
        <v>58639</v>
      </c>
      <c r="AM236" s="1948">
        <f t="shared" si="52"/>
        <v>0</v>
      </c>
      <c r="AN236" s="1948">
        <v>175</v>
      </c>
      <c r="AO236" s="1948">
        <v>126.08</v>
      </c>
      <c r="AP236" s="1948">
        <v>140</v>
      </c>
      <c r="AQ236" s="1948">
        <v>0.9919</v>
      </c>
      <c r="AR236" s="1948">
        <v>51.12</v>
      </c>
      <c r="AS236" s="1948">
        <v>47955</v>
      </c>
      <c r="AT236" s="1948">
        <f t="shared" si="53"/>
        <v>56282</v>
      </c>
      <c r="AU236" s="1948">
        <f t="shared" si="54"/>
        <v>0</v>
      </c>
      <c r="AV236" s="1948">
        <v>175</v>
      </c>
      <c r="AW236" s="1948">
        <v>124.32000000000001</v>
      </c>
      <c r="AX236" s="1948">
        <v>140</v>
      </c>
      <c r="AY236" s="1948">
        <v>0.99080000000000001</v>
      </c>
      <c r="AZ236" s="1948">
        <v>58.71</v>
      </c>
      <c r="BA236" s="1948">
        <v>52556</v>
      </c>
      <c r="BB236" s="1948">
        <f t="shared" si="55"/>
        <v>53706</v>
      </c>
      <c r="BC236" s="1948">
        <f t="shared" si="56"/>
        <v>0</v>
      </c>
      <c r="BD236" s="1949">
        <v>175</v>
      </c>
      <c r="BE236" s="1948">
        <v>120.72</v>
      </c>
      <c r="BF236" s="1949">
        <v>140</v>
      </c>
      <c r="BG236" s="1949">
        <v>0.97650000000000003</v>
      </c>
      <c r="BH236" s="1949">
        <v>21.06</v>
      </c>
      <c r="BI236" s="1948">
        <v>18913</v>
      </c>
      <c r="BJ236" s="1948">
        <f t="shared" si="57"/>
        <v>53889</v>
      </c>
      <c r="BK236" s="1948">
        <f t="shared" si="58"/>
        <v>0</v>
      </c>
    </row>
    <row r="237" spans="1:63" ht="15">
      <c r="A237" s="1946">
        <v>421000000004</v>
      </c>
      <c r="B237" s="1947">
        <f t="shared" si="59"/>
        <v>231</v>
      </c>
      <c r="C237" s="1906" t="s">
        <v>3116</v>
      </c>
      <c r="D237" s="1907" t="s">
        <v>524</v>
      </c>
      <c r="E237" s="1906" t="s">
        <v>541</v>
      </c>
      <c r="F237" s="1948" t="s">
        <v>259</v>
      </c>
      <c r="G237" s="1949">
        <v>175</v>
      </c>
      <c r="H237" s="1948">
        <v>175</v>
      </c>
      <c r="I237" s="1950">
        <v>178.48</v>
      </c>
      <c r="J237" s="1948">
        <v>178.48</v>
      </c>
      <c r="K237" s="1948">
        <v>0.97750000000000004</v>
      </c>
      <c r="L237" s="1948">
        <v>45.68</v>
      </c>
      <c r="M237" s="1948">
        <v>58699</v>
      </c>
      <c r="N237" s="1948">
        <f t="shared" si="45"/>
        <v>77103</v>
      </c>
      <c r="O237" s="1948">
        <f t="shared" si="46"/>
        <v>0</v>
      </c>
      <c r="P237" s="1948">
        <v>175</v>
      </c>
      <c r="Q237" s="1948">
        <v>169.76</v>
      </c>
      <c r="R237" s="1948">
        <v>169.76</v>
      </c>
      <c r="S237" s="1948">
        <v>0.98170000000000002</v>
      </c>
      <c r="T237" s="1948">
        <v>46.95</v>
      </c>
      <c r="U237" s="1948">
        <v>59295</v>
      </c>
      <c r="V237" s="1948">
        <f t="shared" si="47"/>
        <v>75781</v>
      </c>
      <c r="W237" s="1948">
        <f t="shared" si="48"/>
        <v>0</v>
      </c>
      <c r="X237" s="1948">
        <v>175</v>
      </c>
      <c r="Y237" s="1948">
        <v>160</v>
      </c>
      <c r="Z237" s="1948">
        <v>160</v>
      </c>
      <c r="AA237" s="1948">
        <v>0.98040000000000005</v>
      </c>
      <c r="AB237" s="1948">
        <v>43.92</v>
      </c>
      <c r="AC237" s="1948">
        <v>50595</v>
      </c>
      <c r="AD237" s="1948">
        <f t="shared" si="49"/>
        <v>69120</v>
      </c>
      <c r="AE237" s="1948">
        <f t="shared" si="50"/>
        <v>0</v>
      </c>
      <c r="AF237" s="1948">
        <v>175</v>
      </c>
      <c r="AG237" s="1948">
        <v>173.12</v>
      </c>
      <c r="AH237" s="1948">
        <v>173.12</v>
      </c>
      <c r="AI237" s="1948">
        <v>0.95750000000000002</v>
      </c>
      <c r="AJ237" s="1948">
        <v>44.19</v>
      </c>
      <c r="AK237" s="1948">
        <v>56915</v>
      </c>
      <c r="AL237" s="1948">
        <f t="shared" si="51"/>
        <v>77281</v>
      </c>
      <c r="AM237" s="1948">
        <f t="shared" si="52"/>
        <v>0</v>
      </c>
      <c r="AN237" s="1948">
        <v>175</v>
      </c>
      <c r="AO237" s="1948">
        <v>170.23999999999998</v>
      </c>
      <c r="AP237" s="1948">
        <v>170.24</v>
      </c>
      <c r="AQ237" s="1948">
        <v>0.94410000000000005</v>
      </c>
      <c r="AR237" s="1948">
        <v>48.36</v>
      </c>
      <c r="AS237" s="1948">
        <v>61251</v>
      </c>
      <c r="AT237" s="1948">
        <f t="shared" si="53"/>
        <v>75995</v>
      </c>
      <c r="AU237" s="1948">
        <f t="shared" si="54"/>
        <v>0</v>
      </c>
      <c r="AV237" s="1948">
        <v>175</v>
      </c>
      <c r="AW237" s="1948">
        <v>183.76</v>
      </c>
      <c r="AX237" s="1948">
        <v>183.76</v>
      </c>
      <c r="AY237" s="1948">
        <v>0.93899999999999995</v>
      </c>
      <c r="AZ237" s="1948">
        <v>40.78</v>
      </c>
      <c r="BA237" s="1948">
        <v>53951</v>
      </c>
      <c r="BB237" s="1948">
        <f t="shared" si="55"/>
        <v>79384</v>
      </c>
      <c r="BC237" s="1948">
        <f t="shared" si="56"/>
        <v>0</v>
      </c>
      <c r="BD237" s="1949">
        <v>175</v>
      </c>
      <c r="BE237" s="1948">
        <v>142.88</v>
      </c>
      <c r="BF237" s="1949">
        <v>142.88</v>
      </c>
      <c r="BG237" s="1949">
        <v>0.75360000000000005</v>
      </c>
      <c r="BH237" s="1949">
        <v>5.0599999999999996</v>
      </c>
      <c r="BI237" s="1948">
        <v>5374</v>
      </c>
      <c r="BJ237" s="1948">
        <f t="shared" si="57"/>
        <v>63782</v>
      </c>
      <c r="BK237" s="1948">
        <f t="shared" si="58"/>
        <v>0</v>
      </c>
    </row>
    <row r="238" spans="1:63" ht="15">
      <c r="A238" s="1946">
        <v>122000000014</v>
      </c>
      <c r="B238" s="1947">
        <f t="shared" si="59"/>
        <v>232</v>
      </c>
      <c r="C238" s="1906" t="s">
        <v>3117</v>
      </c>
      <c r="D238" s="1907" t="s">
        <v>524</v>
      </c>
      <c r="E238" s="1906" t="s">
        <v>636</v>
      </c>
      <c r="F238" s="1948" t="s">
        <v>259</v>
      </c>
      <c r="G238" s="1949">
        <v>177</v>
      </c>
      <c r="H238" s="1948">
        <v>177</v>
      </c>
      <c r="I238" s="1950">
        <v>89.600000000000009</v>
      </c>
      <c r="J238" s="1948">
        <v>141.6</v>
      </c>
      <c r="K238" s="1948">
        <v>0.99990000000000001</v>
      </c>
      <c r="L238" s="1948">
        <v>60.76</v>
      </c>
      <c r="M238" s="1948">
        <v>39199</v>
      </c>
      <c r="N238" s="1948">
        <f t="shared" si="45"/>
        <v>38707</v>
      </c>
      <c r="O238" s="1948">
        <f t="shared" si="46"/>
        <v>492</v>
      </c>
      <c r="P238" s="1948">
        <v>177</v>
      </c>
      <c r="Q238" s="1948">
        <v>114.32</v>
      </c>
      <c r="R238" s="1948">
        <v>141.6</v>
      </c>
      <c r="S238" s="1948">
        <v>0.99990000000000001</v>
      </c>
      <c r="T238" s="1948">
        <v>49.72</v>
      </c>
      <c r="U238" s="1948">
        <v>42292</v>
      </c>
      <c r="V238" s="1948">
        <f t="shared" si="47"/>
        <v>51032</v>
      </c>
      <c r="W238" s="1948">
        <f t="shared" si="48"/>
        <v>0</v>
      </c>
      <c r="X238" s="1948">
        <v>177</v>
      </c>
      <c r="Y238" s="1948">
        <v>99.52</v>
      </c>
      <c r="Z238" s="1948">
        <v>141.6</v>
      </c>
      <c r="AA238" s="1948">
        <v>0.99990000000000001</v>
      </c>
      <c r="AB238" s="1948">
        <v>58.92</v>
      </c>
      <c r="AC238" s="1948">
        <v>42219</v>
      </c>
      <c r="AD238" s="1948">
        <f t="shared" si="49"/>
        <v>42993</v>
      </c>
      <c r="AE238" s="1948">
        <f t="shared" si="50"/>
        <v>0</v>
      </c>
      <c r="AF238" s="1948">
        <v>177</v>
      </c>
      <c r="AG238" s="1948">
        <v>107.60000000000001</v>
      </c>
      <c r="AH238" s="1948">
        <v>141.6</v>
      </c>
      <c r="AI238" s="1948">
        <v>0.99990000000000001</v>
      </c>
      <c r="AJ238" s="1948">
        <v>51.94</v>
      </c>
      <c r="AK238" s="1948">
        <v>41582</v>
      </c>
      <c r="AL238" s="1948">
        <f t="shared" si="51"/>
        <v>48033</v>
      </c>
      <c r="AM238" s="1948">
        <f t="shared" si="52"/>
        <v>0</v>
      </c>
      <c r="AN238" s="1948">
        <v>177</v>
      </c>
      <c r="AO238" s="1948">
        <v>124</v>
      </c>
      <c r="AP238" s="1948">
        <v>141.6</v>
      </c>
      <c r="AQ238" s="1948">
        <v>0.99990000000000001</v>
      </c>
      <c r="AR238" s="1948">
        <v>44.08</v>
      </c>
      <c r="AS238" s="1948">
        <v>40671</v>
      </c>
      <c r="AT238" s="1948">
        <f t="shared" si="53"/>
        <v>55354</v>
      </c>
      <c r="AU238" s="1948">
        <f t="shared" si="54"/>
        <v>0</v>
      </c>
      <c r="AV238" s="1948">
        <v>177</v>
      </c>
      <c r="AW238" s="1948">
        <v>97.36</v>
      </c>
      <c r="AX238" s="1948">
        <v>141.6</v>
      </c>
      <c r="AY238" s="1948">
        <v>0.99990000000000001</v>
      </c>
      <c r="AZ238" s="1948">
        <v>56.87</v>
      </c>
      <c r="BA238" s="1948">
        <v>39868</v>
      </c>
      <c r="BB238" s="1948">
        <f t="shared" si="55"/>
        <v>42060</v>
      </c>
      <c r="BC238" s="1948">
        <f t="shared" si="56"/>
        <v>0</v>
      </c>
      <c r="BD238" s="1949">
        <v>177</v>
      </c>
      <c r="BE238" s="1948">
        <v>99.2</v>
      </c>
      <c r="BF238" s="1949">
        <v>141.6</v>
      </c>
      <c r="BG238" s="1949">
        <v>0.99990000000000001</v>
      </c>
      <c r="BH238" s="1949">
        <v>53.77</v>
      </c>
      <c r="BI238" s="1948">
        <v>39683</v>
      </c>
      <c r="BJ238" s="1948">
        <f t="shared" si="57"/>
        <v>44283</v>
      </c>
      <c r="BK238" s="1948">
        <f t="shared" si="58"/>
        <v>0</v>
      </c>
    </row>
    <row r="239" spans="1:63" ht="15">
      <c r="A239" s="1946">
        <v>122000000102</v>
      </c>
      <c r="B239" s="1947">
        <f t="shared" si="59"/>
        <v>233</v>
      </c>
      <c r="C239" s="1906" t="s">
        <v>3118</v>
      </c>
      <c r="D239" s="1907" t="s">
        <v>524</v>
      </c>
      <c r="E239" s="1906" t="s">
        <v>636</v>
      </c>
      <c r="F239" s="1948" t="s">
        <v>259</v>
      </c>
      <c r="G239" s="1949">
        <v>177.77</v>
      </c>
      <c r="H239" s="1948">
        <v>177.77</v>
      </c>
      <c r="I239" s="1950">
        <v>107.04</v>
      </c>
      <c r="J239" s="1948">
        <v>142.21600000000001</v>
      </c>
      <c r="K239" s="1948">
        <v>0.99990000000000001</v>
      </c>
      <c r="L239" s="1948">
        <v>37.82</v>
      </c>
      <c r="M239" s="1948">
        <v>29148</v>
      </c>
      <c r="N239" s="1948">
        <f t="shared" si="45"/>
        <v>46241</v>
      </c>
      <c r="O239" s="1948">
        <f t="shared" si="46"/>
        <v>0</v>
      </c>
      <c r="P239" s="1948">
        <v>177.77</v>
      </c>
      <c r="Q239" s="1948">
        <v>102.08</v>
      </c>
      <c r="R239" s="1948">
        <v>142.21600000000001</v>
      </c>
      <c r="S239" s="1948">
        <v>1</v>
      </c>
      <c r="T239" s="1948">
        <v>39.11</v>
      </c>
      <c r="U239" s="1948">
        <v>29700</v>
      </c>
      <c r="V239" s="1948">
        <f t="shared" si="47"/>
        <v>45569</v>
      </c>
      <c r="W239" s="1948">
        <f t="shared" si="48"/>
        <v>0</v>
      </c>
      <c r="X239" s="1948">
        <v>177.77</v>
      </c>
      <c r="Y239" s="1948">
        <v>112.16</v>
      </c>
      <c r="Z239" s="1948">
        <v>142.21600000000001</v>
      </c>
      <c r="AA239" s="1948">
        <v>1</v>
      </c>
      <c r="AB239" s="1948">
        <v>35.74</v>
      </c>
      <c r="AC239" s="1948">
        <v>28862</v>
      </c>
      <c r="AD239" s="1948">
        <f t="shared" si="49"/>
        <v>48453</v>
      </c>
      <c r="AE239" s="1948">
        <f t="shared" si="50"/>
        <v>0</v>
      </c>
      <c r="AF239" s="1948">
        <v>177.77</v>
      </c>
      <c r="AG239" s="1948">
        <v>94.56</v>
      </c>
      <c r="AH239" s="1948">
        <v>142.21600000000001</v>
      </c>
      <c r="AI239" s="1948">
        <v>0.99990000000000001</v>
      </c>
      <c r="AJ239" s="1948">
        <v>38.159999999999997</v>
      </c>
      <c r="AK239" s="1948">
        <v>26850</v>
      </c>
      <c r="AL239" s="1948">
        <f t="shared" si="51"/>
        <v>42212</v>
      </c>
      <c r="AM239" s="1948">
        <f t="shared" si="52"/>
        <v>0</v>
      </c>
      <c r="AN239" s="1948">
        <v>177.77</v>
      </c>
      <c r="AO239" s="1948">
        <v>93.600000000000009</v>
      </c>
      <c r="AP239" s="1948">
        <v>142.21600000000001</v>
      </c>
      <c r="AQ239" s="1948">
        <v>1</v>
      </c>
      <c r="AR239" s="1948">
        <v>40.21</v>
      </c>
      <c r="AS239" s="1948">
        <v>28000</v>
      </c>
      <c r="AT239" s="1948">
        <f t="shared" si="53"/>
        <v>41783</v>
      </c>
      <c r="AU239" s="1948">
        <f t="shared" si="54"/>
        <v>0</v>
      </c>
      <c r="AV239" s="1948">
        <v>177.77</v>
      </c>
      <c r="AW239" s="1948">
        <v>96.32</v>
      </c>
      <c r="AX239" s="1948">
        <v>142.21600000000001</v>
      </c>
      <c r="AY239" s="1948">
        <v>0.99990000000000001</v>
      </c>
      <c r="AZ239" s="1948">
        <v>39.630000000000003</v>
      </c>
      <c r="BA239" s="1948">
        <v>27486</v>
      </c>
      <c r="BB239" s="1948">
        <f t="shared" si="55"/>
        <v>41610</v>
      </c>
      <c r="BC239" s="1948">
        <f t="shared" si="56"/>
        <v>0</v>
      </c>
      <c r="BD239" s="1949">
        <v>177.77</v>
      </c>
      <c r="BE239" s="1948">
        <v>91.36</v>
      </c>
      <c r="BF239" s="1949">
        <v>142.21600000000001</v>
      </c>
      <c r="BG239" s="1949">
        <v>1</v>
      </c>
      <c r="BH239" s="1949">
        <v>41.31</v>
      </c>
      <c r="BI239" s="1948">
        <v>28076</v>
      </c>
      <c r="BJ239" s="1948">
        <f t="shared" si="57"/>
        <v>40783</v>
      </c>
      <c r="BK239" s="1948">
        <f t="shared" si="58"/>
        <v>0</v>
      </c>
    </row>
    <row r="240" spans="1:63" ht="15">
      <c r="A240" s="1946">
        <v>122000000098</v>
      </c>
      <c r="B240" s="1947">
        <f t="shared" si="59"/>
        <v>234</v>
      </c>
      <c r="C240" s="1906" t="s">
        <v>3121</v>
      </c>
      <c r="D240" s="1907" t="s">
        <v>524</v>
      </c>
      <c r="E240" s="1906" t="s">
        <v>2966</v>
      </c>
      <c r="F240" s="1948" t="s">
        <v>259</v>
      </c>
      <c r="G240" s="1949">
        <v>178</v>
      </c>
      <c r="H240" s="1948">
        <v>178</v>
      </c>
      <c r="I240" s="1950">
        <v>64.48</v>
      </c>
      <c r="J240" s="1948">
        <v>178</v>
      </c>
      <c r="K240" s="1948">
        <v>0.67520000000000002</v>
      </c>
      <c r="L240" s="1948">
        <v>0</v>
      </c>
      <c r="M240" s="1948">
        <v>13980</v>
      </c>
      <c r="N240" s="1948">
        <f t="shared" si="45"/>
        <v>27855</v>
      </c>
      <c r="O240" s="1948">
        <f t="shared" si="46"/>
        <v>0</v>
      </c>
      <c r="P240" s="1948">
        <v>178</v>
      </c>
      <c r="Q240" s="1948">
        <v>74.08</v>
      </c>
      <c r="R240" s="1948">
        <v>178</v>
      </c>
      <c r="S240" s="1948">
        <v>0.66249999999999998</v>
      </c>
      <c r="T240" s="1948">
        <v>0</v>
      </c>
      <c r="U240" s="1948">
        <v>15278</v>
      </c>
      <c r="V240" s="1948">
        <f t="shared" si="47"/>
        <v>33069</v>
      </c>
      <c r="W240" s="1948">
        <f t="shared" si="48"/>
        <v>0</v>
      </c>
      <c r="X240" s="1948">
        <v>178</v>
      </c>
      <c r="Y240" s="1948">
        <v>81.44</v>
      </c>
      <c r="Z240" s="1948">
        <v>178</v>
      </c>
      <c r="AA240" s="1948">
        <v>0.65090000000000003</v>
      </c>
      <c r="AB240" s="1948">
        <v>0</v>
      </c>
      <c r="AC240" s="1948">
        <v>10492</v>
      </c>
      <c r="AD240" s="1948">
        <f t="shared" si="49"/>
        <v>35182</v>
      </c>
      <c r="AE240" s="1948">
        <f t="shared" si="50"/>
        <v>0</v>
      </c>
      <c r="AF240" s="1948">
        <v>178</v>
      </c>
      <c r="AG240" s="1948">
        <v>92.64</v>
      </c>
      <c r="AH240" s="1948">
        <v>178</v>
      </c>
      <c r="AI240" s="1948">
        <v>0.63900000000000001</v>
      </c>
      <c r="AJ240" s="1948">
        <v>0</v>
      </c>
      <c r="AK240" s="1948">
        <v>20676</v>
      </c>
      <c r="AL240" s="1948">
        <f t="shared" si="51"/>
        <v>41354</v>
      </c>
      <c r="AM240" s="1948">
        <f t="shared" si="52"/>
        <v>0</v>
      </c>
      <c r="AN240" s="1948">
        <v>178</v>
      </c>
      <c r="AO240" s="1948">
        <v>84</v>
      </c>
      <c r="AP240" s="1948">
        <v>178</v>
      </c>
      <c r="AQ240" s="1948">
        <v>0.6371</v>
      </c>
      <c r="AR240" s="1948">
        <v>0</v>
      </c>
      <c r="AS240" s="1948">
        <v>18982</v>
      </c>
      <c r="AT240" s="1948">
        <f t="shared" si="53"/>
        <v>37498</v>
      </c>
      <c r="AU240" s="1948">
        <f t="shared" si="54"/>
        <v>0</v>
      </c>
      <c r="AV240" s="1948">
        <v>178</v>
      </c>
      <c r="AW240" s="1948">
        <v>62.56</v>
      </c>
      <c r="AX240" s="1948">
        <v>178</v>
      </c>
      <c r="AY240" s="1948">
        <v>0.67800000000000005</v>
      </c>
      <c r="AZ240" s="1948">
        <v>0</v>
      </c>
      <c r="BA240" s="1948">
        <v>12972</v>
      </c>
      <c r="BB240" s="1948">
        <f t="shared" si="55"/>
        <v>27026</v>
      </c>
      <c r="BC240" s="1948">
        <f t="shared" si="56"/>
        <v>0</v>
      </c>
      <c r="BD240" s="1949">
        <v>178</v>
      </c>
      <c r="BE240" s="1948">
        <v>86.08</v>
      </c>
      <c r="BF240" s="1949">
        <v>178</v>
      </c>
      <c r="BG240" s="1949">
        <v>0.6744</v>
      </c>
      <c r="BH240" s="1949">
        <v>0</v>
      </c>
      <c r="BI240" s="1948">
        <v>26814</v>
      </c>
      <c r="BJ240" s="1948">
        <f t="shared" si="57"/>
        <v>38426</v>
      </c>
      <c r="BK240" s="1948">
        <f t="shared" si="58"/>
        <v>0</v>
      </c>
    </row>
    <row r="241" spans="1:63" ht="15">
      <c r="A241" s="1946">
        <v>123000000100</v>
      </c>
      <c r="B241" s="1947">
        <f t="shared" si="59"/>
        <v>235</v>
      </c>
      <c r="C241" s="1906" t="s">
        <v>3125</v>
      </c>
      <c r="D241" s="1907" t="s">
        <v>524</v>
      </c>
      <c r="E241" s="1906" t="s">
        <v>2966</v>
      </c>
      <c r="F241" s="1948" t="s">
        <v>259</v>
      </c>
      <c r="G241" s="1949">
        <v>178</v>
      </c>
      <c r="H241" s="1948">
        <v>178</v>
      </c>
      <c r="I241" s="1950">
        <v>158.56</v>
      </c>
      <c r="J241" s="1948">
        <v>178</v>
      </c>
      <c r="K241" s="1948">
        <v>0.75680000000000003</v>
      </c>
      <c r="L241" s="1948">
        <v>0</v>
      </c>
      <c r="M241" s="1948">
        <v>30448</v>
      </c>
      <c r="N241" s="1948">
        <f t="shared" si="45"/>
        <v>68498</v>
      </c>
      <c r="O241" s="1948">
        <f t="shared" si="46"/>
        <v>0</v>
      </c>
      <c r="P241" s="1948">
        <v>178</v>
      </c>
      <c r="Q241" s="1948">
        <v>146.23999999999998</v>
      </c>
      <c r="R241" s="1948">
        <v>178</v>
      </c>
      <c r="S241" s="1948">
        <v>0.79800000000000004</v>
      </c>
      <c r="T241" s="1948">
        <v>0</v>
      </c>
      <c r="U241" s="1948">
        <v>43922</v>
      </c>
      <c r="V241" s="1948">
        <f t="shared" si="47"/>
        <v>65282</v>
      </c>
      <c r="W241" s="1948">
        <f t="shared" si="48"/>
        <v>0</v>
      </c>
      <c r="X241" s="1948">
        <v>178</v>
      </c>
      <c r="Y241" s="1948">
        <v>110.88</v>
      </c>
      <c r="Z241" s="1948">
        <v>178</v>
      </c>
      <c r="AA241" s="1948">
        <v>0.82950000000000002</v>
      </c>
      <c r="AB241" s="1948">
        <v>0</v>
      </c>
      <c r="AC241" s="1948">
        <v>5410</v>
      </c>
      <c r="AD241" s="1948">
        <f t="shared" si="49"/>
        <v>47900</v>
      </c>
      <c r="AE241" s="1948">
        <f t="shared" si="50"/>
        <v>0</v>
      </c>
      <c r="AF241" s="1948">
        <v>178</v>
      </c>
      <c r="AG241" s="1948">
        <v>103.03999999999999</v>
      </c>
      <c r="AH241" s="1948">
        <v>178</v>
      </c>
      <c r="AI241" s="1948">
        <v>0.82899999999999996</v>
      </c>
      <c r="AJ241" s="1948">
        <v>0</v>
      </c>
      <c r="AK241" s="1948">
        <v>14870</v>
      </c>
      <c r="AL241" s="1948">
        <f t="shared" si="51"/>
        <v>45997</v>
      </c>
      <c r="AM241" s="1948">
        <f t="shared" si="52"/>
        <v>0</v>
      </c>
      <c r="AN241" s="1948">
        <v>178</v>
      </c>
      <c r="AO241" s="1948">
        <v>113.75999999999999</v>
      </c>
      <c r="AP241" s="1948">
        <v>178</v>
      </c>
      <c r="AQ241" s="1948">
        <v>0.78649999999999998</v>
      </c>
      <c r="AR241" s="1948">
        <v>0</v>
      </c>
      <c r="AS241" s="1948">
        <v>25800</v>
      </c>
      <c r="AT241" s="1948">
        <f t="shared" si="53"/>
        <v>50782</v>
      </c>
      <c r="AU241" s="1948">
        <f t="shared" si="54"/>
        <v>0</v>
      </c>
      <c r="AV241" s="1948">
        <v>178</v>
      </c>
      <c r="AW241" s="1948">
        <v>120.32000000000001</v>
      </c>
      <c r="AX241" s="1948">
        <v>178</v>
      </c>
      <c r="AY241" s="1948">
        <v>0.79339999999999999</v>
      </c>
      <c r="AZ241" s="1948">
        <v>0</v>
      </c>
      <c r="BA241" s="1948">
        <v>33016</v>
      </c>
      <c r="BB241" s="1948">
        <f t="shared" si="55"/>
        <v>51978</v>
      </c>
      <c r="BC241" s="1948">
        <f t="shared" si="56"/>
        <v>0</v>
      </c>
      <c r="BD241" s="1949">
        <v>178</v>
      </c>
      <c r="BE241" s="1948">
        <v>11.68</v>
      </c>
      <c r="BF241" s="1949">
        <v>178</v>
      </c>
      <c r="BG241" s="1949">
        <v>0.37080000000000002</v>
      </c>
      <c r="BH241" s="1949">
        <v>0</v>
      </c>
      <c r="BI241" s="1948">
        <v>2168</v>
      </c>
      <c r="BJ241" s="1948">
        <f t="shared" si="57"/>
        <v>5214</v>
      </c>
      <c r="BK241" s="1948">
        <f t="shared" si="58"/>
        <v>0</v>
      </c>
    </row>
    <row r="242" spans="1:63" ht="15">
      <c r="A242" s="1946">
        <v>123000000102</v>
      </c>
      <c r="B242" s="1947">
        <f t="shared" si="59"/>
        <v>236</v>
      </c>
      <c r="C242" s="1906" t="s">
        <v>3126</v>
      </c>
      <c r="D242" s="1907" t="s">
        <v>524</v>
      </c>
      <c r="E242" s="1906" t="s">
        <v>2966</v>
      </c>
      <c r="F242" s="1948" t="s">
        <v>259</v>
      </c>
      <c r="G242" s="1949">
        <v>178</v>
      </c>
      <c r="H242" s="1948">
        <v>178</v>
      </c>
      <c r="I242" s="1950">
        <v>264.64</v>
      </c>
      <c r="J242" s="1948">
        <v>264.64</v>
      </c>
      <c r="K242" s="1948">
        <v>0.72030000000000005</v>
      </c>
      <c r="L242" s="1948">
        <v>0</v>
      </c>
      <c r="M242" s="1948">
        <v>79042</v>
      </c>
      <c r="N242" s="1948">
        <f t="shared" si="45"/>
        <v>114324</v>
      </c>
      <c r="O242" s="1948">
        <f t="shared" si="46"/>
        <v>0</v>
      </c>
      <c r="P242" s="1948">
        <v>178</v>
      </c>
      <c r="Q242" s="1948">
        <v>271.52</v>
      </c>
      <c r="R242" s="1948">
        <v>271.52</v>
      </c>
      <c r="S242" s="1948">
        <v>0.71289999999999998</v>
      </c>
      <c r="T242" s="1948">
        <v>0</v>
      </c>
      <c r="U242" s="1948">
        <v>73503</v>
      </c>
      <c r="V242" s="1948">
        <f t="shared" si="47"/>
        <v>121207</v>
      </c>
      <c r="W242" s="1948">
        <f t="shared" si="48"/>
        <v>0</v>
      </c>
      <c r="X242" s="1948">
        <v>178</v>
      </c>
      <c r="Y242" s="1948">
        <v>136</v>
      </c>
      <c r="Z242" s="1948">
        <v>178</v>
      </c>
      <c r="AA242" s="1948">
        <v>0.8216</v>
      </c>
      <c r="AB242" s="1948">
        <v>0</v>
      </c>
      <c r="AC242" s="1948">
        <v>20785</v>
      </c>
      <c r="AD242" s="1948">
        <f t="shared" si="49"/>
        <v>58752</v>
      </c>
      <c r="AE242" s="1948">
        <f t="shared" si="50"/>
        <v>0</v>
      </c>
      <c r="AF242" s="1948">
        <v>178</v>
      </c>
      <c r="AG242" s="1948">
        <v>210.32000000000002</v>
      </c>
      <c r="AH242" s="1948">
        <v>210.32</v>
      </c>
      <c r="AI242" s="1948">
        <v>0.77880000000000005</v>
      </c>
      <c r="AJ242" s="1948">
        <v>0</v>
      </c>
      <c r="AK242" s="1948">
        <v>43260</v>
      </c>
      <c r="AL242" s="1948">
        <f t="shared" si="51"/>
        <v>93887</v>
      </c>
      <c r="AM242" s="1948">
        <f t="shared" si="52"/>
        <v>0</v>
      </c>
      <c r="AN242" s="1948">
        <v>178</v>
      </c>
      <c r="AO242" s="1948">
        <v>213.04</v>
      </c>
      <c r="AP242" s="1948">
        <v>213.04</v>
      </c>
      <c r="AQ242" s="1948">
        <v>0.75119999999999998</v>
      </c>
      <c r="AR242" s="1948">
        <v>0</v>
      </c>
      <c r="AS242" s="1948">
        <v>61133</v>
      </c>
      <c r="AT242" s="1948">
        <f t="shared" si="53"/>
        <v>95101</v>
      </c>
      <c r="AU242" s="1948">
        <f t="shared" si="54"/>
        <v>0</v>
      </c>
      <c r="AV242" s="1948">
        <v>178</v>
      </c>
      <c r="AW242" s="1948">
        <v>175.44</v>
      </c>
      <c r="AX242" s="1948">
        <v>178</v>
      </c>
      <c r="AY242" s="1948">
        <v>0.76619999999999999</v>
      </c>
      <c r="AZ242" s="1948">
        <v>0</v>
      </c>
      <c r="BA242" s="1948">
        <v>47943</v>
      </c>
      <c r="BB242" s="1948">
        <f t="shared" si="55"/>
        <v>75790</v>
      </c>
      <c r="BC242" s="1948">
        <f t="shared" si="56"/>
        <v>0</v>
      </c>
      <c r="BD242" s="1949">
        <v>178</v>
      </c>
      <c r="BE242" s="1948">
        <v>244.4</v>
      </c>
      <c r="BF242" s="1949">
        <v>244.4</v>
      </c>
      <c r="BG242" s="1949">
        <v>0.75409999999999999</v>
      </c>
      <c r="BH242" s="1949">
        <v>0</v>
      </c>
      <c r="BI242" s="1948">
        <v>85947</v>
      </c>
      <c r="BJ242" s="1948">
        <f t="shared" si="57"/>
        <v>109100</v>
      </c>
      <c r="BK242" s="1948">
        <f t="shared" si="58"/>
        <v>0</v>
      </c>
    </row>
    <row r="243" spans="1:63" ht="15">
      <c r="A243" s="1946">
        <v>123000000103</v>
      </c>
      <c r="B243" s="1947">
        <f t="shared" si="59"/>
        <v>237</v>
      </c>
      <c r="C243" s="1906" t="s">
        <v>3127</v>
      </c>
      <c r="D243" s="1907" t="s">
        <v>524</v>
      </c>
      <c r="E243" s="1906" t="s">
        <v>2966</v>
      </c>
      <c r="F243" s="1948" t="s">
        <v>259</v>
      </c>
      <c r="G243" s="1949">
        <v>178</v>
      </c>
      <c r="H243" s="1948">
        <v>178</v>
      </c>
      <c r="I243" s="1950">
        <v>25.04</v>
      </c>
      <c r="J243" s="1948">
        <v>178</v>
      </c>
      <c r="K243" s="1948">
        <v>0.73980000000000001</v>
      </c>
      <c r="L243" s="1948">
        <v>0</v>
      </c>
      <c r="M243" s="1948">
        <v>6336</v>
      </c>
      <c r="N243" s="1948">
        <f t="shared" si="45"/>
        <v>10817</v>
      </c>
      <c r="O243" s="1948">
        <f t="shared" si="46"/>
        <v>0</v>
      </c>
      <c r="P243" s="1948">
        <v>178</v>
      </c>
      <c r="Q243" s="1948">
        <v>67.040000000000006</v>
      </c>
      <c r="R243" s="1948">
        <v>178</v>
      </c>
      <c r="S243" s="1948">
        <v>0.77070000000000005</v>
      </c>
      <c r="T243" s="1948">
        <v>0</v>
      </c>
      <c r="U243" s="1948">
        <v>11461</v>
      </c>
      <c r="V243" s="1948">
        <f t="shared" si="47"/>
        <v>29927</v>
      </c>
      <c r="W243" s="1948">
        <f t="shared" si="48"/>
        <v>0</v>
      </c>
      <c r="X243" s="1948">
        <v>178</v>
      </c>
      <c r="Y243" s="1948">
        <v>115.28</v>
      </c>
      <c r="Z243" s="1948">
        <v>178</v>
      </c>
      <c r="AA243" s="1948">
        <v>0.75819999999999999</v>
      </c>
      <c r="AB243" s="1948">
        <v>0</v>
      </c>
      <c r="AC243" s="1948">
        <v>23355</v>
      </c>
      <c r="AD243" s="1948">
        <f t="shared" si="49"/>
        <v>49801</v>
      </c>
      <c r="AE243" s="1948">
        <f t="shared" si="50"/>
        <v>0</v>
      </c>
      <c r="AF243" s="1948">
        <v>178</v>
      </c>
      <c r="AG243" s="1948">
        <v>98</v>
      </c>
      <c r="AH243" s="1948">
        <v>178</v>
      </c>
      <c r="AI243" s="1948">
        <v>0.75970000000000004</v>
      </c>
      <c r="AJ243" s="1948">
        <v>0</v>
      </c>
      <c r="AK243" s="1948">
        <v>24841</v>
      </c>
      <c r="AL243" s="1948">
        <f t="shared" si="51"/>
        <v>43747</v>
      </c>
      <c r="AM243" s="1948">
        <f t="shared" si="52"/>
        <v>0</v>
      </c>
      <c r="AN243" s="1948">
        <v>178</v>
      </c>
      <c r="AO243" s="1948">
        <v>98</v>
      </c>
      <c r="AP243" s="1948">
        <v>178</v>
      </c>
      <c r="AQ243" s="1948">
        <v>0.5494</v>
      </c>
      <c r="AR243" s="1948">
        <v>0</v>
      </c>
      <c r="AS243" s="1948">
        <v>91</v>
      </c>
      <c r="AT243" s="1948">
        <f t="shared" si="53"/>
        <v>43747</v>
      </c>
      <c r="AU243" s="1948">
        <f t="shared" si="54"/>
        <v>0</v>
      </c>
      <c r="AV243" s="1948">
        <v>178</v>
      </c>
      <c r="AW243" s="1948">
        <v>61.04</v>
      </c>
      <c r="AX243" s="1948">
        <v>178</v>
      </c>
      <c r="AY243" s="1948">
        <v>0.7399</v>
      </c>
      <c r="AZ243" s="1948">
        <v>0</v>
      </c>
      <c r="BA243" s="1948">
        <v>24522</v>
      </c>
      <c r="BB243" s="1948">
        <f t="shared" si="55"/>
        <v>26369</v>
      </c>
      <c r="BC243" s="1948">
        <f t="shared" si="56"/>
        <v>0</v>
      </c>
      <c r="BD243" s="1949">
        <v>178</v>
      </c>
      <c r="BE243" s="1948">
        <v>61.04</v>
      </c>
      <c r="BF243" s="1949">
        <v>178</v>
      </c>
      <c r="BG243" s="1949">
        <v>0.67579999999999996</v>
      </c>
      <c r="BH243" s="1949">
        <v>0</v>
      </c>
      <c r="BI243" s="1948">
        <v>182</v>
      </c>
      <c r="BJ243" s="1948">
        <f t="shared" si="57"/>
        <v>27248</v>
      </c>
      <c r="BK243" s="1948">
        <f t="shared" si="58"/>
        <v>0</v>
      </c>
    </row>
    <row r="244" spans="1:63" ht="15">
      <c r="A244" s="1946">
        <v>123000000104</v>
      </c>
      <c r="B244" s="1947">
        <f t="shared" si="59"/>
        <v>238</v>
      </c>
      <c r="C244" s="1906" t="s">
        <v>3128</v>
      </c>
      <c r="D244" s="1907" t="s">
        <v>524</v>
      </c>
      <c r="E244" s="1906" t="s">
        <v>636</v>
      </c>
      <c r="F244" s="1948" t="s">
        <v>259</v>
      </c>
      <c r="G244" s="1949">
        <v>178</v>
      </c>
      <c r="H244" s="1948">
        <v>178</v>
      </c>
      <c r="I244" s="1950">
        <v>122</v>
      </c>
      <c r="J244" s="1948">
        <v>142.4</v>
      </c>
      <c r="K244" s="1948">
        <v>0.72150000000000003</v>
      </c>
      <c r="L244" s="1948">
        <v>26.85</v>
      </c>
      <c r="M244" s="1948">
        <v>23581</v>
      </c>
      <c r="N244" s="1948">
        <f t="shared" si="45"/>
        <v>52704</v>
      </c>
      <c r="O244" s="1948">
        <f t="shared" si="46"/>
        <v>0</v>
      </c>
      <c r="P244" s="1948">
        <v>178</v>
      </c>
      <c r="Q244" s="1948">
        <v>145.04</v>
      </c>
      <c r="R244" s="1948">
        <v>145.04</v>
      </c>
      <c r="S244" s="1948">
        <v>0.74380000000000002</v>
      </c>
      <c r="T244" s="1948">
        <v>41.65</v>
      </c>
      <c r="U244" s="1948">
        <v>44943</v>
      </c>
      <c r="V244" s="1948">
        <f t="shared" si="47"/>
        <v>64746</v>
      </c>
      <c r="W244" s="1948">
        <f t="shared" si="48"/>
        <v>0</v>
      </c>
      <c r="X244" s="1948">
        <v>178</v>
      </c>
      <c r="Y244" s="1948">
        <v>154.80000000000001</v>
      </c>
      <c r="Z244" s="1948">
        <v>154.80000000000001</v>
      </c>
      <c r="AA244" s="1948">
        <v>0.73939999999999995</v>
      </c>
      <c r="AB244" s="1948">
        <v>30.56</v>
      </c>
      <c r="AC244" s="1948">
        <v>34065</v>
      </c>
      <c r="AD244" s="1948">
        <f t="shared" si="49"/>
        <v>66874</v>
      </c>
      <c r="AE244" s="1948">
        <f t="shared" si="50"/>
        <v>0</v>
      </c>
      <c r="AF244" s="1948">
        <v>178</v>
      </c>
      <c r="AG244" s="1948">
        <v>77.680000000000007</v>
      </c>
      <c r="AH244" s="1948">
        <v>142.4</v>
      </c>
      <c r="AI244" s="1948">
        <v>0.74019999999999997</v>
      </c>
      <c r="AJ244" s="1948">
        <v>30.77</v>
      </c>
      <c r="AK244" s="1948">
        <v>17783</v>
      </c>
      <c r="AL244" s="1948">
        <f t="shared" si="51"/>
        <v>34676</v>
      </c>
      <c r="AM244" s="1948">
        <f t="shared" si="52"/>
        <v>0</v>
      </c>
      <c r="AN244" s="1948">
        <v>178</v>
      </c>
      <c r="AO244" s="1948">
        <v>117.52</v>
      </c>
      <c r="AP244" s="1948">
        <v>142.4</v>
      </c>
      <c r="AQ244" s="1948">
        <v>0.7238</v>
      </c>
      <c r="AR244" s="1948">
        <v>37.840000000000003</v>
      </c>
      <c r="AS244" s="1948">
        <v>33088</v>
      </c>
      <c r="AT244" s="1948">
        <f t="shared" si="53"/>
        <v>52461</v>
      </c>
      <c r="AU244" s="1948">
        <f t="shared" si="54"/>
        <v>0</v>
      </c>
      <c r="AV244" s="1948">
        <v>178</v>
      </c>
      <c r="AW244" s="1948">
        <v>127.51999999999998</v>
      </c>
      <c r="AX244" s="1948">
        <v>142.4</v>
      </c>
      <c r="AY244" s="1948">
        <v>0.72499999999999998</v>
      </c>
      <c r="AZ244" s="1948">
        <v>38.04</v>
      </c>
      <c r="BA244" s="1948">
        <v>34924</v>
      </c>
      <c r="BB244" s="1948">
        <f t="shared" si="55"/>
        <v>55089</v>
      </c>
      <c r="BC244" s="1948">
        <f t="shared" si="56"/>
        <v>0</v>
      </c>
      <c r="BD244" s="1949">
        <v>178</v>
      </c>
      <c r="BE244" s="1948">
        <v>87.6</v>
      </c>
      <c r="BF244" s="1949">
        <v>142.4</v>
      </c>
      <c r="BG244" s="1949">
        <v>0.7</v>
      </c>
      <c r="BH244" s="1949">
        <v>13.93</v>
      </c>
      <c r="BI244" s="1948">
        <v>9082</v>
      </c>
      <c r="BJ244" s="1948">
        <f t="shared" si="57"/>
        <v>39105</v>
      </c>
      <c r="BK244" s="1948">
        <f t="shared" si="58"/>
        <v>0</v>
      </c>
    </row>
    <row r="245" spans="1:63" ht="15">
      <c r="A245" s="1946">
        <v>123000000114</v>
      </c>
      <c r="B245" s="1947">
        <f t="shared" si="59"/>
        <v>239</v>
      </c>
      <c r="C245" s="1906" t="s">
        <v>3129</v>
      </c>
      <c r="D245" s="1907" t="s">
        <v>524</v>
      </c>
      <c r="E245" s="1906" t="s">
        <v>2966</v>
      </c>
      <c r="F245" s="1948" t="s">
        <v>259</v>
      </c>
      <c r="G245" s="1949">
        <v>178</v>
      </c>
      <c r="H245" s="1948">
        <v>178</v>
      </c>
      <c r="I245" s="1950">
        <v>204.72000000000003</v>
      </c>
      <c r="J245" s="1948">
        <v>204.72</v>
      </c>
      <c r="K245" s="1948">
        <v>0.99009999999999998</v>
      </c>
      <c r="L245" s="1948">
        <v>0</v>
      </c>
      <c r="M245" s="1948">
        <v>45149</v>
      </c>
      <c r="N245" s="1948">
        <f t="shared" si="45"/>
        <v>88439</v>
      </c>
      <c r="O245" s="1948">
        <f t="shared" si="46"/>
        <v>0</v>
      </c>
      <c r="P245" s="1948">
        <v>178</v>
      </c>
      <c r="Q245" s="1948">
        <v>141.6</v>
      </c>
      <c r="R245" s="1948">
        <v>178</v>
      </c>
      <c r="S245" s="1948">
        <v>0.99160000000000004</v>
      </c>
      <c r="T245" s="1948">
        <v>0</v>
      </c>
      <c r="U245" s="1948">
        <v>45639</v>
      </c>
      <c r="V245" s="1948">
        <f t="shared" si="47"/>
        <v>63210</v>
      </c>
      <c r="W245" s="1948">
        <f t="shared" si="48"/>
        <v>0</v>
      </c>
      <c r="X245" s="1948">
        <v>178</v>
      </c>
      <c r="Y245" s="1948">
        <v>182.24</v>
      </c>
      <c r="Z245" s="1948">
        <v>182.24</v>
      </c>
      <c r="AA245" s="1948">
        <v>0.98709999999999998</v>
      </c>
      <c r="AB245" s="1948">
        <v>0</v>
      </c>
      <c r="AC245" s="1948">
        <v>43230</v>
      </c>
      <c r="AD245" s="1948">
        <f t="shared" si="49"/>
        <v>78728</v>
      </c>
      <c r="AE245" s="1948">
        <f t="shared" si="50"/>
        <v>0</v>
      </c>
      <c r="AF245" s="1948">
        <v>178</v>
      </c>
      <c r="AG245" s="1948">
        <v>227.59999999999997</v>
      </c>
      <c r="AH245" s="1948">
        <v>227.6</v>
      </c>
      <c r="AI245" s="1948">
        <v>0.97609999999999997</v>
      </c>
      <c r="AJ245" s="1948">
        <v>0</v>
      </c>
      <c r="AK245" s="1948">
        <v>55210</v>
      </c>
      <c r="AL245" s="1948">
        <f t="shared" si="51"/>
        <v>101601</v>
      </c>
      <c r="AM245" s="1948">
        <f t="shared" si="52"/>
        <v>0</v>
      </c>
      <c r="AN245" s="1948">
        <v>178</v>
      </c>
      <c r="AO245" s="1948">
        <v>193.92000000000002</v>
      </c>
      <c r="AP245" s="1948">
        <v>193.92</v>
      </c>
      <c r="AQ245" s="1948">
        <v>0.95309999999999995</v>
      </c>
      <c r="AR245" s="1948">
        <v>0</v>
      </c>
      <c r="AS245" s="1948">
        <v>53279</v>
      </c>
      <c r="AT245" s="1948">
        <f t="shared" si="53"/>
        <v>86566</v>
      </c>
      <c r="AU245" s="1948">
        <f t="shared" si="54"/>
        <v>0</v>
      </c>
      <c r="AV245" s="1948">
        <v>178</v>
      </c>
      <c r="AW245" s="1948">
        <v>137.04000000000002</v>
      </c>
      <c r="AX245" s="1948">
        <v>178</v>
      </c>
      <c r="AY245" s="1948">
        <v>0.98370000000000002</v>
      </c>
      <c r="AZ245" s="1948">
        <v>0</v>
      </c>
      <c r="BA245" s="1948">
        <v>31092</v>
      </c>
      <c r="BB245" s="1948">
        <f t="shared" si="55"/>
        <v>59201</v>
      </c>
      <c r="BC245" s="1948">
        <f t="shared" si="56"/>
        <v>0</v>
      </c>
      <c r="BD245" s="1949">
        <v>178</v>
      </c>
      <c r="BE245" s="1948">
        <v>44.16</v>
      </c>
      <c r="BF245" s="1949">
        <v>178</v>
      </c>
      <c r="BG245" s="1949">
        <v>0.91520000000000001</v>
      </c>
      <c r="BH245" s="1949">
        <v>0</v>
      </c>
      <c r="BI245" s="1948">
        <v>10242</v>
      </c>
      <c r="BJ245" s="1948">
        <f t="shared" si="57"/>
        <v>19713</v>
      </c>
      <c r="BK245" s="1948">
        <f t="shared" si="58"/>
        <v>0</v>
      </c>
    </row>
    <row r="246" spans="1:63" ht="15">
      <c r="A246" s="1946">
        <v>123000000147</v>
      </c>
      <c r="B246" s="1947">
        <f t="shared" si="59"/>
        <v>240</v>
      </c>
      <c r="C246" s="1906" t="s">
        <v>3560</v>
      </c>
      <c r="D246" s="1907" t="s">
        <v>524</v>
      </c>
      <c r="E246" s="1906" t="s">
        <v>2966</v>
      </c>
      <c r="F246" s="1948" t="s">
        <v>259</v>
      </c>
      <c r="G246" s="1949">
        <v>178</v>
      </c>
      <c r="H246" s="1948">
        <v>178</v>
      </c>
      <c r="I246" s="1950">
        <v>269.76</v>
      </c>
      <c r="J246" s="1948">
        <v>269.76</v>
      </c>
      <c r="K246" s="1948">
        <v>0.69440000000000002</v>
      </c>
      <c r="L246" s="1948">
        <v>37.32</v>
      </c>
      <c r="M246" s="1948">
        <v>53152</v>
      </c>
      <c r="N246" s="1948">
        <f t="shared" si="45"/>
        <v>116536</v>
      </c>
      <c r="O246" s="1948">
        <f t="shared" si="46"/>
        <v>0</v>
      </c>
      <c r="P246" s="1948">
        <v>178</v>
      </c>
      <c r="Q246" s="1948">
        <v>262.40000000000003</v>
      </c>
      <c r="R246" s="1948">
        <v>262.39999999999998</v>
      </c>
      <c r="S246" s="1948">
        <v>0.63580000000000003</v>
      </c>
      <c r="T246" s="1948">
        <v>37.380000000000003</v>
      </c>
      <c r="U246" s="1948">
        <v>82402</v>
      </c>
      <c r="V246" s="1948">
        <f t="shared" si="47"/>
        <v>117135</v>
      </c>
      <c r="W246" s="1948">
        <f t="shared" si="48"/>
        <v>0</v>
      </c>
      <c r="X246" s="1948">
        <v>178</v>
      </c>
      <c r="Y246" s="1948">
        <v>165.76</v>
      </c>
      <c r="Z246" s="1948">
        <v>165.76</v>
      </c>
      <c r="AA246" s="1948">
        <v>0.75029999999999997</v>
      </c>
      <c r="AB246" s="1948">
        <v>11.39</v>
      </c>
      <c r="AC246" s="1948">
        <v>13596</v>
      </c>
      <c r="AD246" s="1948">
        <f t="shared" si="49"/>
        <v>71608</v>
      </c>
      <c r="AE246" s="1948">
        <f t="shared" si="50"/>
        <v>0</v>
      </c>
      <c r="AF246" s="1948">
        <v>178</v>
      </c>
      <c r="AG246" s="1948">
        <v>207.52</v>
      </c>
      <c r="AH246" s="1948">
        <v>207.52</v>
      </c>
      <c r="AI246" s="1948">
        <v>0.60870000000000002</v>
      </c>
      <c r="AJ246" s="1948">
        <v>26.28</v>
      </c>
      <c r="AK246" s="1948">
        <v>40568</v>
      </c>
      <c r="AL246" s="1948">
        <f t="shared" si="51"/>
        <v>92637</v>
      </c>
      <c r="AM246" s="1948">
        <f t="shared" si="52"/>
        <v>0</v>
      </c>
      <c r="AN246" s="1948">
        <v>178</v>
      </c>
      <c r="AO246" s="1948">
        <v>235.36</v>
      </c>
      <c r="AP246" s="1948">
        <v>235.36</v>
      </c>
      <c r="AQ246" s="1948">
        <v>0.59009999999999996</v>
      </c>
      <c r="AR246" s="1948">
        <v>0</v>
      </c>
      <c r="AS246" s="1948">
        <v>55402</v>
      </c>
      <c r="AT246" s="1948">
        <f t="shared" si="53"/>
        <v>105065</v>
      </c>
      <c r="AU246" s="1948">
        <f t="shared" si="54"/>
        <v>0</v>
      </c>
      <c r="AV246" s="1948">
        <v>178</v>
      </c>
      <c r="AW246" s="1948">
        <v>94.399999999999991</v>
      </c>
      <c r="AX246" s="1948">
        <v>178</v>
      </c>
      <c r="AY246" s="1948">
        <v>0.59630000000000005</v>
      </c>
      <c r="AZ246" s="1948">
        <v>0</v>
      </c>
      <c r="BA246" s="1948">
        <v>14596</v>
      </c>
      <c r="BB246" s="1948">
        <f t="shared" si="55"/>
        <v>40781</v>
      </c>
      <c r="BC246" s="1948">
        <f t="shared" si="56"/>
        <v>0</v>
      </c>
      <c r="BD246" s="1949">
        <v>178</v>
      </c>
      <c r="BE246" s="1948">
        <v>102.08</v>
      </c>
      <c r="BF246" s="1949">
        <v>178</v>
      </c>
      <c r="BG246" s="1949">
        <v>0.55840000000000001</v>
      </c>
      <c r="BH246" s="1949">
        <v>0</v>
      </c>
      <c r="BI246" s="1948">
        <v>19582</v>
      </c>
      <c r="BJ246" s="1948">
        <f t="shared" si="57"/>
        <v>45569</v>
      </c>
      <c r="BK246" s="1948">
        <f t="shared" si="58"/>
        <v>0</v>
      </c>
    </row>
    <row r="247" spans="1:63" ht="15">
      <c r="A247" s="1946">
        <v>127000000010</v>
      </c>
      <c r="B247" s="1947">
        <f t="shared" si="59"/>
        <v>241</v>
      </c>
      <c r="C247" s="1906" t="s">
        <v>3131</v>
      </c>
      <c r="D247" s="1907" t="s">
        <v>524</v>
      </c>
      <c r="E247" s="1906" t="s">
        <v>2966</v>
      </c>
      <c r="F247" s="1948" t="s">
        <v>259</v>
      </c>
      <c r="G247" s="1949">
        <v>178</v>
      </c>
      <c r="H247" s="1948">
        <v>178</v>
      </c>
      <c r="I247" s="1950">
        <v>102.72</v>
      </c>
      <c r="J247" s="1948">
        <v>178</v>
      </c>
      <c r="K247" s="1948">
        <v>0.76770000000000005</v>
      </c>
      <c r="L247" s="1948">
        <v>0</v>
      </c>
      <c r="M247" s="1948">
        <v>11705</v>
      </c>
      <c r="N247" s="1948">
        <f t="shared" si="45"/>
        <v>44375</v>
      </c>
      <c r="O247" s="1948">
        <f t="shared" si="46"/>
        <v>0</v>
      </c>
      <c r="P247" s="1948">
        <v>178</v>
      </c>
      <c r="Q247" s="1948">
        <v>107.88</v>
      </c>
      <c r="R247" s="1948">
        <v>178</v>
      </c>
      <c r="S247" s="1948">
        <v>0.81920000000000004</v>
      </c>
      <c r="T247" s="1948">
        <v>0</v>
      </c>
      <c r="U247" s="1948">
        <v>22002</v>
      </c>
      <c r="V247" s="1948">
        <f t="shared" si="47"/>
        <v>48158</v>
      </c>
      <c r="W247" s="1948">
        <f t="shared" si="48"/>
        <v>0</v>
      </c>
      <c r="X247" s="1948">
        <v>178</v>
      </c>
      <c r="Y247" s="1948">
        <v>140.4</v>
      </c>
      <c r="Z247" s="1948">
        <v>178</v>
      </c>
      <c r="AA247" s="1948">
        <v>0.80930000000000002</v>
      </c>
      <c r="AB247" s="1948">
        <v>0</v>
      </c>
      <c r="AC247" s="1948">
        <v>39928</v>
      </c>
      <c r="AD247" s="1948">
        <f t="shared" si="49"/>
        <v>60653</v>
      </c>
      <c r="AE247" s="1948">
        <f t="shared" si="50"/>
        <v>0</v>
      </c>
      <c r="AF247" s="1948">
        <v>178</v>
      </c>
      <c r="AG247" s="1948">
        <v>138.47999999999999</v>
      </c>
      <c r="AH247" s="1948">
        <v>178</v>
      </c>
      <c r="AI247" s="1948">
        <v>0.76719999999999999</v>
      </c>
      <c r="AJ247" s="1948">
        <v>0</v>
      </c>
      <c r="AK247" s="1948">
        <v>17976</v>
      </c>
      <c r="AL247" s="1948">
        <f t="shared" si="51"/>
        <v>61817</v>
      </c>
      <c r="AM247" s="1948">
        <f t="shared" si="52"/>
        <v>0</v>
      </c>
      <c r="AN247" s="1948">
        <v>178</v>
      </c>
      <c r="AO247" s="1948">
        <v>131.4</v>
      </c>
      <c r="AP247" s="1948">
        <v>178</v>
      </c>
      <c r="AQ247" s="1948">
        <v>0.76929999999999998</v>
      </c>
      <c r="AR247" s="1948">
        <v>0</v>
      </c>
      <c r="AS247" s="1948">
        <v>25511</v>
      </c>
      <c r="AT247" s="1948">
        <f t="shared" si="53"/>
        <v>58657</v>
      </c>
      <c r="AU247" s="1948">
        <f t="shared" si="54"/>
        <v>0</v>
      </c>
      <c r="AV247" s="1948">
        <v>178</v>
      </c>
      <c r="AW247" s="1948">
        <v>6.36</v>
      </c>
      <c r="AX247" s="1948">
        <v>178</v>
      </c>
      <c r="AY247" s="1948">
        <v>0.61199999999999999</v>
      </c>
      <c r="AZ247" s="1948">
        <v>0</v>
      </c>
      <c r="BA247" s="1948">
        <v>861</v>
      </c>
      <c r="BB247" s="1948">
        <f t="shared" si="55"/>
        <v>2748</v>
      </c>
      <c r="BC247" s="1948">
        <f t="shared" si="56"/>
        <v>0</v>
      </c>
      <c r="BD247" s="1949">
        <v>178</v>
      </c>
      <c r="BE247" s="1948">
        <v>2.52</v>
      </c>
      <c r="BF247" s="1949">
        <v>178</v>
      </c>
      <c r="BG247" s="1949">
        <v>0.82809999999999995</v>
      </c>
      <c r="BH247" s="1949">
        <v>0</v>
      </c>
      <c r="BI247" s="1948">
        <v>646</v>
      </c>
      <c r="BJ247" s="1948">
        <f t="shared" si="57"/>
        <v>1125</v>
      </c>
      <c r="BK247" s="1948">
        <f t="shared" si="58"/>
        <v>0</v>
      </c>
    </row>
    <row r="248" spans="1:63" ht="15">
      <c r="A248" s="1946">
        <v>127000000012</v>
      </c>
      <c r="B248" s="1947">
        <f t="shared" si="59"/>
        <v>242</v>
      </c>
      <c r="C248" s="1906" t="s">
        <v>3132</v>
      </c>
      <c r="D248" s="1907" t="s">
        <v>524</v>
      </c>
      <c r="E248" s="1906" t="s">
        <v>2966</v>
      </c>
      <c r="F248" s="1948" t="s">
        <v>259</v>
      </c>
      <c r="G248" s="1949">
        <v>178</v>
      </c>
      <c r="H248" s="1948">
        <v>178</v>
      </c>
      <c r="I248" s="1950">
        <v>234.39999999999998</v>
      </c>
      <c r="J248" s="1948">
        <v>234.4</v>
      </c>
      <c r="K248" s="1948">
        <v>0.65690000000000004</v>
      </c>
      <c r="L248" s="1948">
        <v>0</v>
      </c>
      <c r="M248" s="1948">
        <v>37424</v>
      </c>
      <c r="N248" s="1948">
        <f t="shared" si="45"/>
        <v>101261</v>
      </c>
      <c r="O248" s="1948">
        <f t="shared" si="46"/>
        <v>0</v>
      </c>
      <c r="P248" s="1948">
        <v>178</v>
      </c>
      <c r="Q248" s="1948">
        <v>128.56</v>
      </c>
      <c r="R248" s="1948">
        <v>178</v>
      </c>
      <c r="S248" s="1948">
        <v>0.83989999999999998</v>
      </c>
      <c r="T248" s="1948">
        <v>0</v>
      </c>
      <c r="U248" s="1948">
        <v>39050</v>
      </c>
      <c r="V248" s="1948">
        <f t="shared" si="47"/>
        <v>57389</v>
      </c>
      <c r="W248" s="1948">
        <f t="shared" si="48"/>
        <v>0</v>
      </c>
      <c r="X248" s="1948">
        <v>178</v>
      </c>
      <c r="Y248" s="1948">
        <v>129.20000000000002</v>
      </c>
      <c r="Z248" s="1948">
        <v>178</v>
      </c>
      <c r="AA248" s="1948">
        <v>0.82479999999999998</v>
      </c>
      <c r="AB248" s="1948">
        <v>0</v>
      </c>
      <c r="AC248" s="1948">
        <v>43740</v>
      </c>
      <c r="AD248" s="1948">
        <f t="shared" si="49"/>
        <v>55814</v>
      </c>
      <c r="AE248" s="1948">
        <f t="shared" si="50"/>
        <v>0</v>
      </c>
      <c r="AF248" s="1948">
        <v>178</v>
      </c>
      <c r="AG248" s="1948">
        <v>124.32000000000001</v>
      </c>
      <c r="AH248" s="1948">
        <v>178</v>
      </c>
      <c r="AI248" s="1948">
        <v>0.77700000000000002</v>
      </c>
      <c r="AJ248" s="1948">
        <v>0</v>
      </c>
      <c r="AK248" s="1948">
        <v>32721</v>
      </c>
      <c r="AL248" s="1948">
        <f t="shared" si="51"/>
        <v>55496</v>
      </c>
      <c r="AM248" s="1948">
        <f t="shared" si="52"/>
        <v>0</v>
      </c>
      <c r="AN248" s="1948">
        <v>178</v>
      </c>
      <c r="AO248" s="1948">
        <v>120.63999999999999</v>
      </c>
      <c r="AP248" s="1948">
        <v>178</v>
      </c>
      <c r="AQ248" s="1948">
        <v>0.7641</v>
      </c>
      <c r="AR248" s="1948">
        <v>0</v>
      </c>
      <c r="AS248" s="1948">
        <v>31221</v>
      </c>
      <c r="AT248" s="1948">
        <f t="shared" si="53"/>
        <v>53854</v>
      </c>
      <c r="AU248" s="1948">
        <f t="shared" si="54"/>
        <v>0</v>
      </c>
      <c r="AV248" s="1948">
        <v>178</v>
      </c>
      <c r="AW248" s="1948">
        <v>126.8</v>
      </c>
      <c r="AX248" s="1948">
        <v>178</v>
      </c>
      <c r="AY248" s="1948">
        <v>0.77159999999999995</v>
      </c>
      <c r="AZ248" s="1948">
        <v>0</v>
      </c>
      <c r="BA248" s="1948">
        <v>47213</v>
      </c>
      <c r="BB248" s="1948">
        <f t="shared" si="55"/>
        <v>54778</v>
      </c>
      <c r="BC248" s="1948">
        <f t="shared" si="56"/>
        <v>0</v>
      </c>
      <c r="BD248" s="1949">
        <v>178</v>
      </c>
      <c r="BE248" s="1948">
        <v>105.11999999999999</v>
      </c>
      <c r="BF248" s="1949">
        <v>178</v>
      </c>
      <c r="BG248" s="1949">
        <v>0.66890000000000005</v>
      </c>
      <c r="BH248" s="1949">
        <v>0</v>
      </c>
      <c r="BI248" s="1948">
        <v>21066</v>
      </c>
      <c r="BJ248" s="1948">
        <f t="shared" si="57"/>
        <v>46926</v>
      </c>
      <c r="BK248" s="1948">
        <f t="shared" si="58"/>
        <v>0</v>
      </c>
    </row>
    <row r="249" spans="1:63" ht="15">
      <c r="A249" s="1946">
        <v>127000000018</v>
      </c>
      <c r="B249" s="1947">
        <f t="shared" si="59"/>
        <v>243</v>
      </c>
      <c r="C249" s="1906" t="s">
        <v>3122</v>
      </c>
      <c r="D249" s="1907" t="s">
        <v>524</v>
      </c>
      <c r="E249" s="1906" t="s">
        <v>2966</v>
      </c>
      <c r="F249" s="1948" t="s">
        <v>259</v>
      </c>
      <c r="G249" s="1949">
        <v>178</v>
      </c>
      <c r="H249" s="1948">
        <v>178</v>
      </c>
      <c r="I249" s="1950">
        <v>148.07999999999998</v>
      </c>
      <c r="J249" s="1948">
        <v>178</v>
      </c>
      <c r="K249" s="1948">
        <v>0.7853</v>
      </c>
      <c r="L249" s="1948">
        <v>0</v>
      </c>
      <c r="M249" s="1948">
        <v>42348</v>
      </c>
      <c r="N249" s="1948">
        <f t="shared" si="45"/>
        <v>63971</v>
      </c>
      <c r="O249" s="1948">
        <f t="shared" si="46"/>
        <v>0</v>
      </c>
      <c r="P249" s="1948">
        <v>178</v>
      </c>
      <c r="Q249" s="1948">
        <v>146.88</v>
      </c>
      <c r="R249" s="1948">
        <v>178</v>
      </c>
      <c r="S249" s="1948">
        <v>0.80940000000000001</v>
      </c>
      <c r="T249" s="1948">
        <v>0</v>
      </c>
      <c r="U249" s="1948">
        <v>51777</v>
      </c>
      <c r="V249" s="1948">
        <f t="shared" si="47"/>
        <v>65567</v>
      </c>
      <c r="W249" s="1948">
        <f t="shared" si="48"/>
        <v>0</v>
      </c>
      <c r="X249" s="1948">
        <v>178</v>
      </c>
      <c r="Y249" s="1948">
        <v>155.76</v>
      </c>
      <c r="Z249" s="1948">
        <v>178</v>
      </c>
      <c r="AA249" s="1948">
        <v>0.80089999999999995</v>
      </c>
      <c r="AB249" s="1948">
        <v>0</v>
      </c>
      <c r="AC249" s="1948">
        <v>35469</v>
      </c>
      <c r="AD249" s="1948">
        <f t="shared" si="49"/>
        <v>67288</v>
      </c>
      <c r="AE249" s="1948">
        <f t="shared" si="50"/>
        <v>0</v>
      </c>
      <c r="AF249" s="1948">
        <v>178</v>
      </c>
      <c r="AG249" s="1948">
        <v>130.80000000000001</v>
      </c>
      <c r="AH249" s="1948">
        <v>178</v>
      </c>
      <c r="AI249" s="1948">
        <v>0.71550000000000002</v>
      </c>
      <c r="AJ249" s="1948">
        <v>0</v>
      </c>
      <c r="AK249" s="1948">
        <v>10272</v>
      </c>
      <c r="AL249" s="1948">
        <f t="shared" si="51"/>
        <v>58389</v>
      </c>
      <c r="AM249" s="1948">
        <f t="shared" si="52"/>
        <v>0</v>
      </c>
      <c r="AN249" s="1948">
        <v>178</v>
      </c>
      <c r="AO249" s="1948">
        <v>136.80000000000001</v>
      </c>
      <c r="AP249" s="1948">
        <v>178</v>
      </c>
      <c r="AQ249" s="1948">
        <v>0.71989999999999998</v>
      </c>
      <c r="AR249" s="1948">
        <v>0</v>
      </c>
      <c r="AS249" s="1948">
        <v>26478</v>
      </c>
      <c r="AT249" s="1948">
        <f t="shared" si="53"/>
        <v>61068</v>
      </c>
      <c r="AU249" s="1948">
        <f t="shared" si="54"/>
        <v>0</v>
      </c>
      <c r="AV249" s="1948">
        <v>178</v>
      </c>
      <c r="AW249" s="1948">
        <v>135.12</v>
      </c>
      <c r="AX249" s="1948">
        <v>178</v>
      </c>
      <c r="AY249" s="1948">
        <v>0.70430000000000004</v>
      </c>
      <c r="AZ249" s="1948">
        <v>0</v>
      </c>
      <c r="BA249" s="1948">
        <v>20955</v>
      </c>
      <c r="BB249" s="1948">
        <f t="shared" si="55"/>
        <v>58372</v>
      </c>
      <c r="BC249" s="1948">
        <f t="shared" si="56"/>
        <v>0</v>
      </c>
      <c r="BD249" s="1949">
        <v>178</v>
      </c>
      <c r="BE249" s="1948">
        <v>15.84</v>
      </c>
      <c r="BF249" s="1949">
        <v>178</v>
      </c>
      <c r="BG249" s="1949">
        <v>0.40600000000000003</v>
      </c>
      <c r="BH249" s="1949">
        <v>0</v>
      </c>
      <c r="BI249" s="1948">
        <v>3177</v>
      </c>
      <c r="BJ249" s="1948">
        <f t="shared" si="57"/>
        <v>7071</v>
      </c>
      <c r="BK249" s="1948">
        <f t="shared" si="58"/>
        <v>0</v>
      </c>
    </row>
    <row r="250" spans="1:63" ht="15">
      <c r="A250" s="1946">
        <v>127000000019</v>
      </c>
      <c r="B250" s="1947">
        <f t="shared" si="59"/>
        <v>244</v>
      </c>
      <c r="C250" s="1906" t="s">
        <v>3133</v>
      </c>
      <c r="D250" s="1907" t="s">
        <v>524</v>
      </c>
      <c r="E250" s="1906" t="s">
        <v>2966</v>
      </c>
      <c r="F250" s="1948" t="s">
        <v>259</v>
      </c>
      <c r="G250" s="1949">
        <v>178</v>
      </c>
      <c r="H250" s="1948">
        <v>178</v>
      </c>
      <c r="I250" s="1950">
        <v>52.08</v>
      </c>
      <c r="J250" s="1948">
        <v>178</v>
      </c>
      <c r="K250" s="1948">
        <v>0.90239999999999998</v>
      </c>
      <c r="L250" s="1948">
        <v>0</v>
      </c>
      <c r="M250" s="1948">
        <v>20250</v>
      </c>
      <c r="N250" s="1948">
        <f t="shared" si="45"/>
        <v>22499</v>
      </c>
      <c r="O250" s="1948">
        <f t="shared" si="46"/>
        <v>0</v>
      </c>
      <c r="P250" s="1948">
        <v>178</v>
      </c>
      <c r="Q250" s="1948">
        <v>42.72</v>
      </c>
      <c r="R250" s="1948">
        <v>178</v>
      </c>
      <c r="S250" s="1948">
        <v>0.8659</v>
      </c>
      <c r="T250" s="1948">
        <v>0</v>
      </c>
      <c r="U250" s="1948">
        <v>16761</v>
      </c>
      <c r="V250" s="1948">
        <f t="shared" si="47"/>
        <v>19070</v>
      </c>
      <c r="W250" s="1948">
        <f t="shared" si="48"/>
        <v>0</v>
      </c>
      <c r="X250" s="1948">
        <v>178</v>
      </c>
      <c r="Y250" s="1948">
        <v>46.8</v>
      </c>
      <c r="Z250" s="1948">
        <v>178</v>
      </c>
      <c r="AA250" s="1948">
        <v>0.84389999999999998</v>
      </c>
      <c r="AB250" s="1948">
        <v>0</v>
      </c>
      <c r="AC250" s="1948">
        <v>15627</v>
      </c>
      <c r="AD250" s="1948">
        <f t="shared" si="49"/>
        <v>20218</v>
      </c>
      <c r="AE250" s="1948">
        <f t="shared" si="50"/>
        <v>0</v>
      </c>
      <c r="AF250" s="1948">
        <v>178</v>
      </c>
      <c r="AG250" s="1948">
        <v>47.04</v>
      </c>
      <c r="AH250" s="1948">
        <v>178</v>
      </c>
      <c r="AI250" s="1948">
        <v>0.8468</v>
      </c>
      <c r="AJ250" s="1948">
        <v>0</v>
      </c>
      <c r="AK250" s="1948">
        <v>19491</v>
      </c>
      <c r="AL250" s="1948">
        <f t="shared" si="51"/>
        <v>20999</v>
      </c>
      <c r="AM250" s="1948">
        <f t="shared" si="52"/>
        <v>0</v>
      </c>
      <c r="AN250" s="1948">
        <v>178</v>
      </c>
      <c r="AO250" s="1948">
        <v>42.96</v>
      </c>
      <c r="AP250" s="1948">
        <v>178</v>
      </c>
      <c r="AQ250" s="1948">
        <v>0.85519999999999996</v>
      </c>
      <c r="AR250" s="1948">
        <v>0</v>
      </c>
      <c r="AS250" s="1948">
        <v>20580</v>
      </c>
      <c r="AT250" s="1948">
        <f t="shared" si="53"/>
        <v>19177</v>
      </c>
      <c r="AU250" s="1948">
        <f t="shared" si="54"/>
        <v>1403</v>
      </c>
      <c r="AV250" s="1948">
        <v>178</v>
      </c>
      <c r="AW250" s="1948">
        <v>47.760000000000005</v>
      </c>
      <c r="AX250" s="1948">
        <v>178</v>
      </c>
      <c r="AY250" s="1948">
        <v>0.83050000000000002</v>
      </c>
      <c r="AZ250" s="1948">
        <v>0</v>
      </c>
      <c r="BA250" s="1948">
        <v>16352</v>
      </c>
      <c r="BB250" s="1948">
        <f t="shared" si="55"/>
        <v>20632</v>
      </c>
      <c r="BC250" s="1948">
        <f t="shared" si="56"/>
        <v>0</v>
      </c>
      <c r="BD250" s="1949">
        <v>178</v>
      </c>
      <c r="BE250" s="1948">
        <v>42.12</v>
      </c>
      <c r="BF250" s="1949">
        <v>178</v>
      </c>
      <c r="BG250" s="1949">
        <v>0.86219999999999997</v>
      </c>
      <c r="BH250" s="1949">
        <v>0</v>
      </c>
      <c r="BI250" s="1948">
        <v>18133</v>
      </c>
      <c r="BJ250" s="1948">
        <f t="shared" si="57"/>
        <v>18802</v>
      </c>
      <c r="BK250" s="1948">
        <f t="shared" si="58"/>
        <v>0</v>
      </c>
    </row>
    <row r="251" spans="1:63" ht="15">
      <c r="A251" s="1946">
        <v>126000000007</v>
      </c>
      <c r="B251" s="1947">
        <f t="shared" si="59"/>
        <v>245</v>
      </c>
      <c r="C251" s="1906" t="s">
        <v>3130</v>
      </c>
      <c r="D251" s="1907" t="s">
        <v>524</v>
      </c>
      <c r="E251" s="1906" t="s">
        <v>541</v>
      </c>
      <c r="F251" s="1948" t="s">
        <v>259</v>
      </c>
      <c r="G251" s="1949">
        <v>178</v>
      </c>
      <c r="H251" s="1948">
        <v>178</v>
      </c>
      <c r="I251" s="1950">
        <v>1.64</v>
      </c>
      <c r="J251" s="1948">
        <v>164</v>
      </c>
      <c r="K251" s="1948">
        <v>0.97950000000000004</v>
      </c>
      <c r="L251" s="1948">
        <v>45.38</v>
      </c>
      <c r="M251" s="1948">
        <v>48224</v>
      </c>
      <c r="N251" s="1948">
        <f t="shared" si="45"/>
        <v>708</v>
      </c>
      <c r="O251" s="1948">
        <f t="shared" si="46"/>
        <v>47516</v>
      </c>
      <c r="P251" s="1948">
        <v>178</v>
      </c>
      <c r="Q251" s="1948">
        <v>172.1104</v>
      </c>
      <c r="R251" s="1948">
        <v>172.11</v>
      </c>
      <c r="S251" s="1948">
        <v>0.97070000000000001</v>
      </c>
      <c r="T251" s="1948">
        <v>41.6</v>
      </c>
      <c r="U251" s="1948">
        <v>58429</v>
      </c>
      <c r="V251" s="1948">
        <f t="shared" si="47"/>
        <v>76830</v>
      </c>
      <c r="W251" s="1948">
        <f t="shared" si="48"/>
        <v>0</v>
      </c>
      <c r="X251" s="1948">
        <v>178</v>
      </c>
      <c r="Y251" s="1948">
        <v>174.77600000000001</v>
      </c>
      <c r="Z251" s="1948">
        <v>174.78</v>
      </c>
      <c r="AA251" s="1948">
        <v>0.95950000000000002</v>
      </c>
      <c r="AB251" s="1948">
        <v>34.340000000000003</v>
      </c>
      <c r="AC251" s="1948">
        <v>43217</v>
      </c>
      <c r="AD251" s="1948">
        <f t="shared" si="49"/>
        <v>75503</v>
      </c>
      <c r="AE251" s="1948">
        <f t="shared" si="50"/>
        <v>0</v>
      </c>
      <c r="AF251" s="1948">
        <v>178</v>
      </c>
      <c r="AG251" s="1948">
        <v>220.4512</v>
      </c>
      <c r="AH251" s="1948">
        <v>220.45</v>
      </c>
      <c r="AI251" s="1948">
        <v>0.96950000000000003</v>
      </c>
      <c r="AJ251" s="1948">
        <v>34.01</v>
      </c>
      <c r="AK251" s="1948">
        <v>55786</v>
      </c>
      <c r="AL251" s="1948">
        <f t="shared" si="51"/>
        <v>98409</v>
      </c>
      <c r="AM251" s="1948">
        <f t="shared" si="52"/>
        <v>0</v>
      </c>
      <c r="AN251" s="1948">
        <v>178</v>
      </c>
      <c r="AO251" s="1948">
        <v>164.98480000000001</v>
      </c>
      <c r="AP251" s="1948">
        <v>164.98</v>
      </c>
      <c r="AQ251" s="1948">
        <v>0.99229999999999996</v>
      </c>
      <c r="AR251" s="1948">
        <v>29.32</v>
      </c>
      <c r="AS251" s="1948">
        <v>35986</v>
      </c>
      <c r="AT251" s="1948">
        <f t="shared" si="53"/>
        <v>73649</v>
      </c>
      <c r="AU251" s="1948">
        <f t="shared" si="54"/>
        <v>0</v>
      </c>
      <c r="AV251" s="1948">
        <v>178</v>
      </c>
      <c r="AW251" s="1948">
        <v>157.46</v>
      </c>
      <c r="AX251" s="1948">
        <v>157.46</v>
      </c>
      <c r="AY251" s="1948">
        <v>0.98619999999999997</v>
      </c>
      <c r="AZ251" s="1948">
        <v>19.93</v>
      </c>
      <c r="BA251" s="1948">
        <v>22595</v>
      </c>
      <c r="BB251" s="1948">
        <f t="shared" si="55"/>
        <v>68023</v>
      </c>
      <c r="BC251" s="1948">
        <f t="shared" si="56"/>
        <v>0</v>
      </c>
      <c r="BD251" s="1949">
        <v>178</v>
      </c>
      <c r="BE251" s="1948">
        <v>18.53</v>
      </c>
      <c r="BF251" s="1949">
        <v>142.4</v>
      </c>
      <c r="BG251" s="1949">
        <v>0.7571</v>
      </c>
      <c r="BH251" s="1949">
        <v>25.74</v>
      </c>
      <c r="BI251" s="1948">
        <v>3549</v>
      </c>
      <c r="BJ251" s="1948">
        <f t="shared" si="57"/>
        <v>8272</v>
      </c>
      <c r="BK251" s="1948">
        <f t="shared" si="58"/>
        <v>0</v>
      </c>
    </row>
    <row r="252" spans="1:63" ht="15">
      <c r="A252" s="1946">
        <v>121000000054</v>
      </c>
      <c r="B252" s="1947">
        <f t="shared" si="59"/>
        <v>246</v>
      </c>
      <c r="C252" s="1906" t="s">
        <v>3123</v>
      </c>
      <c r="D252" s="1907" t="s">
        <v>524</v>
      </c>
      <c r="E252" s="1906" t="s">
        <v>636</v>
      </c>
      <c r="F252" s="1948" t="s">
        <v>259</v>
      </c>
      <c r="G252" s="1949">
        <v>178</v>
      </c>
      <c r="H252" s="1948">
        <v>178</v>
      </c>
      <c r="I252" s="1950">
        <v>105.84</v>
      </c>
      <c r="J252" s="1948">
        <v>142.4</v>
      </c>
      <c r="K252" s="1948">
        <v>0.99780000000000002</v>
      </c>
      <c r="L252" s="1948">
        <v>21.97</v>
      </c>
      <c r="M252" s="1948">
        <v>16746</v>
      </c>
      <c r="N252" s="1948">
        <f t="shared" si="45"/>
        <v>45723</v>
      </c>
      <c r="O252" s="1948">
        <f t="shared" si="46"/>
        <v>0</v>
      </c>
      <c r="P252" s="1948">
        <v>178</v>
      </c>
      <c r="Q252" s="1948">
        <v>117.36</v>
      </c>
      <c r="R252" s="1948">
        <v>142.4</v>
      </c>
      <c r="S252" s="1948">
        <v>0.91290000000000004</v>
      </c>
      <c r="T252" s="1948">
        <v>22.97</v>
      </c>
      <c r="U252" s="1948">
        <v>20059</v>
      </c>
      <c r="V252" s="1948">
        <f t="shared" si="47"/>
        <v>52390</v>
      </c>
      <c r="W252" s="1948">
        <f t="shared" si="48"/>
        <v>0</v>
      </c>
      <c r="X252" s="1948">
        <v>178</v>
      </c>
      <c r="Y252" s="1948">
        <v>131.52000000000001</v>
      </c>
      <c r="Z252" s="1948">
        <v>142.4</v>
      </c>
      <c r="AA252" s="1948">
        <v>0.90849999999999997</v>
      </c>
      <c r="AB252" s="1948">
        <v>21.68</v>
      </c>
      <c r="AC252" s="1948">
        <v>20526</v>
      </c>
      <c r="AD252" s="1948">
        <f t="shared" si="49"/>
        <v>56817</v>
      </c>
      <c r="AE252" s="1948">
        <f t="shared" si="50"/>
        <v>0</v>
      </c>
      <c r="AF252" s="1948">
        <v>178</v>
      </c>
      <c r="AG252" s="1948">
        <v>87.6</v>
      </c>
      <c r="AH252" s="1948">
        <v>142.4</v>
      </c>
      <c r="AI252" s="1948">
        <v>0.90129999999999999</v>
      </c>
      <c r="AJ252" s="1948">
        <v>24.8</v>
      </c>
      <c r="AK252" s="1948">
        <v>16165</v>
      </c>
      <c r="AL252" s="1948">
        <f t="shared" si="51"/>
        <v>39105</v>
      </c>
      <c r="AM252" s="1948">
        <f t="shared" si="52"/>
        <v>0</v>
      </c>
      <c r="AN252" s="1948">
        <v>178</v>
      </c>
      <c r="AO252" s="1948">
        <v>101.76</v>
      </c>
      <c r="AP252" s="1948">
        <v>142.4</v>
      </c>
      <c r="AQ252" s="1948">
        <v>0.89259999999999995</v>
      </c>
      <c r="AR252" s="1948">
        <v>21.8</v>
      </c>
      <c r="AS252" s="1948">
        <v>16508</v>
      </c>
      <c r="AT252" s="1948">
        <f t="shared" si="53"/>
        <v>45426</v>
      </c>
      <c r="AU252" s="1948">
        <f t="shared" si="54"/>
        <v>0</v>
      </c>
      <c r="AV252" s="1948">
        <v>178</v>
      </c>
      <c r="AW252" s="1948">
        <v>111.24000000000001</v>
      </c>
      <c r="AX252" s="1948">
        <v>142.4</v>
      </c>
      <c r="AY252" s="1948">
        <v>0.89119999999999999</v>
      </c>
      <c r="AZ252" s="1948">
        <v>21.41</v>
      </c>
      <c r="BA252" s="1948">
        <v>17151</v>
      </c>
      <c r="BB252" s="1948">
        <f t="shared" si="55"/>
        <v>48056</v>
      </c>
      <c r="BC252" s="1948">
        <f t="shared" si="56"/>
        <v>0</v>
      </c>
      <c r="BD252" s="1949">
        <v>178</v>
      </c>
      <c r="BE252" s="1948">
        <v>122.16</v>
      </c>
      <c r="BF252" s="1949">
        <v>142.4</v>
      </c>
      <c r="BG252" s="1949">
        <v>0.89280000000000004</v>
      </c>
      <c r="BH252" s="1949">
        <v>21.78</v>
      </c>
      <c r="BI252" s="1948">
        <v>19792</v>
      </c>
      <c r="BJ252" s="1948">
        <f t="shared" si="57"/>
        <v>54532</v>
      </c>
      <c r="BK252" s="1948">
        <f t="shared" si="58"/>
        <v>0</v>
      </c>
    </row>
    <row r="253" spans="1:63" ht="15">
      <c r="A253" s="1946">
        <v>121000000097</v>
      </c>
      <c r="B253" s="1947">
        <f t="shared" si="59"/>
        <v>247</v>
      </c>
      <c r="C253" s="1906" t="s">
        <v>3120</v>
      </c>
      <c r="D253" s="1907" t="s">
        <v>524</v>
      </c>
      <c r="E253" s="1906" t="s">
        <v>2966</v>
      </c>
      <c r="F253" s="1948" t="s">
        <v>259</v>
      </c>
      <c r="G253" s="1949">
        <v>178</v>
      </c>
      <c r="H253" s="1948">
        <v>178</v>
      </c>
      <c r="I253" s="1950">
        <v>104</v>
      </c>
      <c r="J253" s="1948">
        <v>178</v>
      </c>
      <c r="K253" s="1948">
        <v>0.74590000000000001</v>
      </c>
      <c r="L253" s="1948">
        <v>0</v>
      </c>
      <c r="M253" s="1948">
        <v>28944</v>
      </c>
      <c r="N253" s="1948">
        <f t="shared" si="45"/>
        <v>44928</v>
      </c>
      <c r="O253" s="1948">
        <f t="shared" si="46"/>
        <v>0</v>
      </c>
      <c r="P253" s="1948">
        <v>178</v>
      </c>
      <c r="Q253" s="1948">
        <v>83.52000000000001</v>
      </c>
      <c r="R253" s="1948">
        <v>178</v>
      </c>
      <c r="S253" s="1948">
        <v>0.76790000000000003</v>
      </c>
      <c r="T253" s="1948">
        <v>0</v>
      </c>
      <c r="U253" s="1948">
        <v>4448</v>
      </c>
      <c r="V253" s="1948">
        <f t="shared" si="47"/>
        <v>37283</v>
      </c>
      <c r="W253" s="1948">
        <f t="shared" si="48"/>
        <v>0</v>
      </c>
      <c r="X253" s="1948">
        <v>178</v>
      </c>
      <c r="Y253" s="1948">
        <v>60.319999999999993</v>
      </c>
      <c r="Z253" s="1948">
        <v>178</v>
      </c>
      <c r="AA253" s="1948">
        <v>0.747</v>
      </c>
      <c r="AB253" s="1948">
        <v>0</v>
      </c>
      <c r="AC253" s="1948">
        <v>1858</v>
      </c>
      <c r="AD253" s="1948">
        <f t="shared" si="49"/>
        <v>26058</v>
      </c>
      <c r="AE253" s="1948">
        <f t="shared" si="50"/>
        <v>0</v>
      </c>
      <c r="AF253" s="1948">
        <v>178</v>
      </c>
      <c r="AG253" s="1948">
        <v>62.56</v>
      </c>
      <c r="AH253" s="1948">
        <v>178</v>
      </c>
      <c r="AI253" s="1948">
        <v>0.76060000000000005</v>
      </c>
      <c r="AJ253" s="1948">
        <v>0</v>
      </c>
      <c r="AK253" s="1948">
        <v>7060</v>
      </c>
      <c r="AL253" s="1948">
        <f t="shared" si="51"/>
        <v>27927</v>
      </c>
      <c r="AM253" s="1948">
        <f t="shared" si="52"/>
        <v>0</v>
      </c>
      <c r="AN253" s="1948">
        <v>178</v>
      </c>
      <c r="AO253" s="1948">
        <v>65.44</v>
      </c>
      <c r="AP253" s="1948">
        <v>178</v>
      </c>
      <c r="AQ253" s="1948">
        <v>0.75690000000000002</v>
      </c>
      <c r="AR253" s="1948">
        <v>0</v>
      </c>
      <c r="AS253" s="1948">
        <v>24384</v>
      </c>
      <c r="AT253" s="1948">
        <f t="shared" si="53"/>
        <v>29212</v>
      </c>
      <c r="AU253" s="1948">
        <f t="shared" si="54"/>
        <v>0</v>
      </c>
      <c r="AV253" s="1948">
        <v>178</v>
      </c>
      <c r="AW253" s="1948">
        <v>64.48</v>
      </c>
      <c r="AX253" s="1948">
        <v>178</v>
      </c>
      <c r="AY253" s="1948">
        <v>0.69410000000000005</v>
      </c>
      <c r="AZ253" s="1948">
        <v>0</v>
      </c>
      <c r="BA253" s="1948">
        <v>5376</v>
      </c>
      <c r="BB253" s="1948">
        <f t="shared" si="55"/>
        <v>27855</v>
      </c>
      <c r="BC253" s="1948">
        <f t="shared" si="56"/>
        <v>0</v>
      </c>
      <c r="BD253" s="1949">
        <v>178</v>
      </c>
      <c r="BE253" s="1948">
        <v>4.4799999999999995</v>
      </c>
      <c r="BF253" s="1949">
        <v>178</v>
      </c>
      <c r="BG253" s="1949">
        <v>0.42699999999999999</v>
      </c>
      <c r="BH253" s="1949">
        <v>0</v>
      </c>
      <c r="BI253" s="1948">
        <v>1658</v>
      </c>
      <c r="BJ253" s="1948">
        <f t="shared" si="57"/>
        <v>2000</v>
      </c>
      <c r="BK253" s="1948">
        <f t="shared" si="58"/>
        <v>0</v>
      </c>
    </row>
    <row r="254" spans="1:63" ht="15">
      <c r="A254" s="1946">
        <v>611000000104</v>
      </c>
      <c r="B254" s="1947">
        <f t="shared" si="59"/>
        <v>248</v>
      </c>
      <c r="C254" s="1906" t="s">
        <v>3134</v>
      </c>
      <c r="D254" s="1907" t="s">
        <v>524</v>
      </c>
      <c r="E254" s="1906" t="s">
        <v>636</v>
      </c>
      <c r="F254" s="1948" t="s">
        <v>259</v>
      </c>
      <c r="G254" s="1949">
        <v>178</v>
      </c>
      <c r="H254" s="1948">
        <v>178</v>
      </c>
      <c r="I254" s="1950">
        <v>96</v>
      </c>
      <c r="J254" s="1948">
        <v>142.4</v>
      </c>
      <c r="K254" s="1948">
        <v>0.86119999999999997</v>
      </c>
      <c r="L254" s="1948">
        <v>24.62</v>
      </c>
      <c r="M254" s="1948">
        <v>17014</v>
      </c>
      <c r="N254" s="1948">
        <f t="shared" si="45"/>
        <v>41472</v>
      </c>
      <c r="O254" s="1948">
        <f t="shared" si="46"/>
        <v>0</v>
      </c>
      <c r="P254" s="1948">
        <v>178</v>
      </c>
      <c r="Q254" s="1948">
        <v>90.56</v>
      </c>
      <c r="R254" s="1948">
        <v>142.4</v>
      </c>
      <c r="S254" s="1948">
        <v>0.85799999999999998</v>
      </c>
      <c r="T254" s="1948">
        <v>25.4</v>
      </c>
      <c r="U254" s="1948">
        <v>17116</v>
      </c>
      <c r="V254" s="1948">
        <f t="shared" si="47"/>
        <v>40426</v>
      </c>
      <c r="W254" s="1948">
        <f t="shared" si="48"/>
        <v>0</v>
      </c>
      <c r="X254" s="1948">
        <v>178</v>
      </c>
      <c r="Y254" s="1948">
        <v>132.95999999999998</v>
      </c>
      <c r="Z254" s="1948">
        <v>142.4</v>
      </c>
      <c r="AA254" s="1948">
        <v>0.86570000000000003</v>
      </c>
      <c r="AB254" s="1948">
        <v>22.28</v>
      </c>
      <c r="AC254" s="1948">
        <v>21328</v>
      </c>
      <c r="AD254" s="1948">
        <f t="shared" si="49"/>
        <v>57439</v>
      </c>
      <c r="AE254" s="1948">
        <f t="shared" si="50"/>
        <v>0</v>
      </c>
      <c r="AF254" s="1948">
        <v>178</v>
      </c>
      <c r="AG254" s="1948">
        <v>125.76</v>
      </c>
      <c r="AH254" s="1948">
        <v>142.4</v>
      </c>
      <c r="AI254" s="1948">
        <v>0.82779999999999998</v>
      </c>
      <c r="AJ254" s="1948">
        <v>17.28</v>
      </c>
      <c r="AK254" s="1948">
        <v>16168</v>
      </c>
      <c r="AL254" s="1948">
        <f t="shared" si="51"/>
        <v>56139</v>
      </c>
      <c r="AM254" s="1948">
        <f t="shared" si="52"/>
        <v>0</v>
      </c>
      <c r="AN254" s="1948">
        <v>178</v>
      </c>
      <c r="AO254" s="1948">
        <v>113.75999999999999</v>
      </c>
      <c r="AP254" s="1948">
        <v>142.4</v>
      </c>
      <c r="AQ254" s="1948">
        <v>0.81640000000000001</v>
      </c>
      <c r="AR254" s="1948">
        <v>19.18</v>
      </c>
      <c r="AS254" s="1948">
        <v>16232</v>
      </c>
      <c r="AT254" s="1948">
        <f t="shared" si="53"/>
        <v>50782</v>
      </c>
      <c r="AU254" s="1948">
        <f t="shared" si="54"/>
        <v>0</v>
      </c>
      <c r="AV254" s="1948">
        <v>178</v>
      </c>
      <c r="AW254" s="1948">
        <v>114.56</v>
      </c>
      <c r="AX254" s="1948">
        <v>142.4</v>
      </c>
      <c r="AY254" s="1948">
        <v>0.81459999999999999</v>
      </c>
      <c r="AZ254" s="1948">
        <v>20.11</v>
      </c>
      <c r="BA254" s="1948">
        <v>16588</v>
      </c>
      <c r="BB254" s="1948">
        <f t="shared" si="55"/>
        <v>49490</v>
      </c>
      <c r="BC254" s="1948">
        <f t="shared" si="56"/>
        <v>0</v>
      </c>
      <c r="BD254" s="1949">
        <v>178</v>
      </c>
      <c r="BE254" s="1948">
        <v>110.88</v>
      </c>
      <c r="BF254" s="1949">
        <v>142.4</v>
      </c>
      <c r="BG254" s="1949">
        <v>0.82069999999999999</v>
      </c>
      <c r="BH254" s="1949">
        <v>22.37</v>
      </c>
      <c r="BI254" s="1948">
        <v>17860</v>
      </c>
      <c r="BJ254" s="1948">
        <f t="shared" si="57"/>
        <v>49497</v>
      </c>
      <c r="BK254" s="1948">
        <f t="shared" si="58"/>
        <v>0</v>
      </c>
    </row>
    <row r="255" spans="1:63" ht="15">
      <c r="A255" s="1946">
        <v>615000000034</v>
      </c>
      <c r="B255" s="1947">
        <f t="shared" si="59"/>
        <v>249</v>
      </c>
      <c r="C255" s="1906" t="s">
        <v>3135</v>
      </c>
      <c r="D255" s="1907" t="s">
        <v>2930</v>
      </c>
      <c r="E255" s="1906" t="s">
        <v>541</v>
      </c>
      <c r="F255" s="1948" t="s">
        <v>259</v>
      </c>
      <c r="G255" s="1949">
        <v>178</v>
      </c>
      <c r="H255" s="1948">
        <v>178</v>
      </c>
      <c r="I255" s="1950">
        <v>0</v>
      </c>
      <c r="J255" s="1948">
        <v>142.4</v>
      </c>
      <c r="K255" s="1948">
        <v>0</v>
      </c>
      <c r="L255" s="1948">
        <v>0</v>
      </c>
      <c r="M255" s="1948">
        <v>0</v>
      </c>
      <c r="N255" s="1948">
        <f t="shared" si="45"/>
        <v>0</v>
      </c>
      <c r="O255" s="1948">
        <f t="shared" si="46"/>
        <v>0</v>
      </c>
      <c r="P255" s="1948">
        <v>178</v>
      </c>
      <c r="Q255" s="1948">
        <v>0</v>
      </c>
      <c r="R255" s="1948">
        <v>142.4</v>
      </c>
      <c r="S255" s="1948">
        <v>0</v>
      </c>
      <c r="T255" s="1948">
        <v>0</v>
      </c>
      <c r="U255" s="1948">
        <v>0</v>
      </c>
      <c r="V255" s="1948">
        <f t="shared" si="47"/>
        <v>0</v>
      </c>
      <c r="W255" s="1948">
        <f t="shared" si="48"/>
        <v>0</v>
      </c>
      <c r="X255" s="1948">
        <v>178</v>
      </c>
      <c r="Y255" s="1948">
        <v>0</v>
      </c>
      <c r="Z255" s="1948">
        <v>142.4</v>
      </c>
      <c r="AA255" s="1948">
        <v>0</v>
      </c>
      <c r="AB255" s="1948">
        <v>0</v>
      </c>
      <c r="AC255" s="1948">
        <v>0</v>
      </c>
      <c r="AD255" s="1948">
        <f t="shared" si="49"/>
        <v>0</v>
      </c>
      <c r="AE255" s="1948">
        <f t="shared" si="50"/>
        <v>0</v>
      </c>
      <c r="AF255" s="1948">
        <v>178</v>
      </c>
      <c r="AG255" s="1948">
        <v>0</v>
      </c>
      <c r="AH255" s="1948">
        <v>142.4</v>
      </c>
      <c r="AI255" s="1948">
        <v>0</v>
      </c>
      <c r="AJ255" s="1948">
        <v>0</v>
      </c>
      <c r="AK255" s="1948">
        <v>0</v>
      </c>
      <c r="AL255" s="1948">
        <f t="shared" si="51"/>
        <v>0</v>
      </c>
      <c r="AM255" s="1948">
        <f t="shared" si="52"/>
        <v>0</v>
      </c>
      <c r="AN255" s="1948">
        <v>178</v>
      </c>
      <c r="AO255" s="1948">
        <v>0</v>
      </c>
      <c r="AP255" s="1948">
        <v>142.4</v>
      </c>
      <c r="AQ255" s="1948">
        <v>0</v>
      </c>
      <c r="AR255" s="1948">
        <v>0</v>
      </c>
      <c r="AS255" s="1948">
        <v>0</v>
      </c>
      <c r="AT255" s="1948">
        <f t="shared" si="53"/>
        <v>0</v>
      </c>
      <c r="AU255" s="1948">
        <f t="shared" si="54"/>
        <v>0</v>
      </c>
      <c r="AV255" s="1948">
        <v>178</v>
      </c>
      <c r="AW255" s="1948">
        <v>0</v>
      </c>
      <c r="AX255" s="1948">
        <v>142.4</v>
      </c>
      <c r="AY255" s="1948">
        <v>0</v>
      </c>
      <c r="AZ255" s="1948">
        <v>0</v>
      </c>
      <c r="BA255" s="1948">
        <v>0</v>
      </c>
      <c r="BB255" s="1948">
        <f t="shared" si="55"/>
        <v>0</v>
      </c>
      <c r="BC255" s="1948">
        <f t="shared" si="56"/>
        <v>0</v>
      </c>
      <c r="BD255" s="1949">
        <v>178</v>
      </c>
      <c r="BE255" s="1948">
        <v>0</v>
      </c>
      <c r="BF255" s="1949">
        <v>142.4</v>
      </c>
      <c r="BG255" s="1949">
        <v>0</v>
      </c>
      <c r="BH255" s="1949">
        <v>0</v>
      </c>
      <c r="BI255" s="1948">
        <v>0</v>
      </c>
      <c r="BJ255" s="1948">
        <f t="shared" si="57"/>
        <v>0</v>
      </c>
      <c r="BK255" s="1948">
        <f t="shared" si="58"/>
        <v>0</v>
      </c>
    </row>
    <row r="256" spans="1:63" ht="15">
      <c r="A256" s="1946">
        <v>622000000206</v>
      </c>
      <c r="B256" s="1947">
        <f t="shared" si="59"/>
        <v>250</v>
      </c>
      <c r="C256" s="1906" t="s">
        <v>3119</v>
      </c>
      <c r="D256" s="1907" t="s">
        <v>524</v>
      </c>
      <c r="E256" s="1906" t="s">
        <v>541</v>
      </c>
      <c r="F256" s="1948" t="s">
        <v>259</v>
      </c>
      <c r="G256" s="1949">
        <v>178</v>
      </c>
      <c r="H256" s="1948">
        <v>178</v>
      </c>
      <c r="I256" s="1950">
        <v>58.24</v>
      </c>
      <c r="J256" s="1948">
        <v>142.4</v>
      </c>
      <c r="K256" s="1948">
        <v>0.95630000000000004</v>
      </c>
      <c r="L256" s="1948">
        <v>31.45</v>
      </c>
      <c r="M256" s="1948">
        <v>14944</v>
      </c>
      <c r="N256" s="1948">
        <f t="shared" si="45"/>
        <v>25160</v>
      </c>
      <c r="O256" s="1948">
        <f t="shared" si="46"/>
        <v>0</v>
      </c>
      <c r="P256" s="1948">
        <v>178</v>
      </c>
      <c r="Q256" s="1948">
        <v>56.32</v>
      </c>
      <c r="R256" s="1948">
        <v>142.4</v>
      </c>
      <c r="S256" s="1948">
        <v>0.94330000000000003</v>
      </c>
      <c r="T256" s="1948">
        <v>28.92</v>
      </c>
      <c r="U256" s="1948">
        <v>10162</v>
      </c>
      <c r="V256" s="1948">
        <f t="shared" si="47"/>
        <v>25141</v>
      </c>
      <c r="W256" s="1948">
        <f t="shared" si="48"/>
        <v>0</v>
      </c>
      <c r="X256" s="1948">
        <v>178</v>
      </c>
      <c r="Y256" s="1948">
        <v>70.88</v>
      </c>
      <c r="Z256" s="1948">
        <v>142.4</v>
      </c>
      <c r="AA256" s="1948">
        <v>0.92530000000000001</v>
      </c>
      <c r="AB256" s="1948">
        <v>24.45</v>
      </c>
      <c r="AC256" s="1948">
        <v>14556</v>
      </c>
      <c r="AD256" s="1948">
        <f t="shared" si="49"/>
        <v>30620</v>
      </c>
      <c r="AE256" s="1948">
        <f t="shared" si="50"/>
        <v>0</v>
      </c>
      <c r="AF256" s="1948">
        <v>178</v>
      </c>
      <c r="AG256" s="1948">
        <v>62.239999999999995</v>
      </c>
      <c r="AH256" s="1948">
        <v>142.4</v>
      </c>
      <c r="AI256" s="1948">
        <v>0.94130000000000003</v>
      </c>
      <c r="AJ256" s="1948">
        <v>39.520000000000003</v>
      </c>
      <c r="AK256" s="1948">
        <v>20072</v>
      </c>
      <c r="AL256" s="1948">
        <f t="shared" si="51"/>
        <v>27784</v>
      </c>
      <c r="AM256" s="1948">
        <f t="shared" si="52"/>
        <v>0</v>
      </c>
      <c r="AN256" s="1948">
        <v>178</v>
      </c>
      <c r="AO256" s="1948">
        <v>69.12</v>
      </c>
      <c r="AP256" s="1948">
        <v>142.4</v>
      </c>
      <c r="AQ256" s="1948">
        <v>0.89739999999999998</v>
      </c>
      <c r="AR256" s="1948">
        <v>27.19</v>
      </c>
      <c r="AS256" s="1948">
        <v>13984</v>
      </c>
      <c r="AT256" s="1948">
        <f t="shared" si="53"/>
        <v>30855</v>
      </c>
      <c r="AU256" s="1948">
        <f t="shared" si="54"/>
        <v>0</v>
      </c>
      <c r="AV256" s="1948">
        <v>178</v>
      </c>
      <c r="AW256" s="1948">
        <v>57.92</v>
      </c>
      <c r="AX256" s="1948">
        <v>142.4</v>
      </c>
      <c r="AY256" s="1948">
        <v>0.92290000000000005</v>
      </c>
      <c r="AZ256" s="1948">
        <v>28.69</v>
      </c>
      <c r="BA256" s="1948">
        <v>11966</v>
      </c>
      <c r="BB256" s="1948">
        <f t="shared" si="55"/>
        <v>25021</v>
      </c>
      <c r="BC256" s="1948">
        <f t="shared" si="56"/>
        <v>0</v>
      </c>
      <c r="BD256" s="1949">
        <v>178</v>
      </c>
      <c r="BE256" s="1948">
        <v>60</v>
      </c>
      <c r="BF256" s="1949">
        <v>142.4</v>
      </c>
      <c r="BG256" s="1949">
        <v>0.96699999999999997</v>
      </c>
      <c r="BH256" s="1949">
        <v>37.75</v>
      </c>
      <c r="BI256" s="1948">
        <v>16852</v>
      </c>
      <c r="BJ256" s="1948">
        <f t="shared" si="57"/>
        <v>26784</v>
      </c>
      <c r="BK256" s="1948">
        <f t="shared" si="58"/>
        <v>0</v>
      </c>
    </row>
    <row r="257" spans="1:63" ht="15">
      <c r="A257" s="1946">
        <v>121000000023</v>
      </c>
      <c r="B257" s="1947">
        <f t="shared" si="59"/>
        <v>251</v>
      </c>
      <c r="C257" s="1906" t="s">
        <v>3136</v>
      </c>
      <c r="D257" s="1907" t="s">
        <v>524</v>
      </c>
      <c r="E257" s="1906" t="s">
        <v>541</v>
      </c>
      <c r="F257" s="1948" t="s">
        <v>259</v>
      </c>
      <c r="G257" s="1949">
        <v>179</v>
      </c>
      <c r="H257" s="1948">
        <v>179</v>
      </c>
      <c r="I257" s="1950">
        <v>159.24</v>
      </c>
      <c r="J257" s="1948">
        <v>159.24</v>
      </c>
      <c r="K257" s="1948">
        <v>0.75409999999999999</v>
      </c>
      <c r="L257" s="1948">
        <v>29.04</v>
      </c>
      <c r="M257" s="1948">
        <v>33290</v>
      </c>
      <c r="N257" s="1948">
        <f t="shared" si="45"/>
        <v>68792</v>
      </c>
      <c r="O257" s="1948">
        <f t="shared" si="46"/>
        <v>0</v>
      </c>
      <c r="P257" s="1948">
        <v>179</v>
      </c>
      <c r="Q257" s="1948">
        <v>144.47999999999999</v>
      </c>
      <c r="R257" s="1948">
        <v>144.47999999999999</v>
      </c>
      <c r="S257" s="1948">
        <v>0.76659999999999995</v>
      </c>
      <c r="T257" s="1948">
        <v>22.76</v>
      </c>
      <c r="U257" s="1948">
        <v>24468</v>
      </c>
      <c r="V257" s="1948">
        <f t="shared" si="47"/>
        <v>64496</v>
      </c>
      <c r="W257" s="1948">
        <f t="shared" si="48"/>
        <v>0</v>
      </c>
      <c r="X257" s="1948">
        <v>179</v>
      </c>
      <c r="Y257" s="1948">
        <v>84.11999999999999</v>
      </c>
      <c r="Z257" s="1948">
        <v>143.19999999999999</v>
      </c>
      <c r="AA257" s="1948">
        <v>0.89710000000000001</v>
      </c>
      <c r="AB257" s="1948">
        <v>3.8</v>
      </c>
      <c r="AC257" s="1948">
        <v>2304</v>
      </c>
      <c r="AD257" s="1948">
        <f t="shared" si="49"/>
        <v>36340</v>
      </c>
      <c r="AE257" s="1948">
        <f t="shared" si="50"/>
        <v>0</v>
      </c>
      <c r="AF257" s="1948">
        <v>179</v>
      </c>
      <c r="AG257" s="1948">
        <v>78.48</v>
      </c>
      <c r="AH257" s="1948">
        <v>143.19999999999999</v>
      </c>
      <c r="AI257" s="1948">
        <v>0.80530000000000002</v>
      </c>
      <c r="AJ257" s="1948">
        <v>7.87</v>
      </c>
      <c r="AK257" s="1948">
        <v>4593</v>
      </c>
      <c r="AL257" s="1948">
        <f t="shared" si="51"/>
        <v>35033</v>
      </c>
      <c r="AM257" s="1948">
        <f t="shared" si="52"/>
        <v>0</v>
      </c>
      <c r="AN257" s="1948">
        <v>179</v>
      </c>
      <c r="AO257" s="1948">
        <v>64.92</v>
      </c>
      <c r="AP257" s="1948">
        <v>143.19999999999999</v>
      </c>
      <c r="AQ257" s="1948">
        <v>0.96379999999999999</v>
      </c>
      <c r="AR257" s="1948">
        <v>2.69</v>
      </c>
      <c r="AS257" s="1948">
        <v>1300</v>
      </c>
      <c r="AT257" s="1948">
        <f t="shared" si="53"/>
        <v>28980</v>
      </c>
      <c r="AU257" s="1948">
        <f t="shared" si="54"/>
        <v>0</v>
      </c>
      <c r="AV257" s="1948">
        <v>179</v>
      </c>
      <c r="AW257" s="1948">
        <v>46.44</v>
      </c>
      <c r="AX257" s="1948">
        <v>143.19999999999999</v>
      </c>
      <c r="AY257" s="1948">
        <v>0.98370000000000002</v>
      </c>
      <c r="AZ257" s="1948">
        <v>3.67</v>
      </c>
      <c r="BA257" s="1948">
        <v>1227</v>
      </c>
      <c r="BB257" s="1948">
        <f t="shared" si="55"/>
        <v>20062</v>
      </c>
      <c r="BC257" s="1948">
        <f t="shared" si="56"/>
        <v>0</v>
      </c>
      <c r="BD257" s="1949">
        <v>179</v>
      </c>
      <c r="BE257" s="1948">
        <v>5.04</v>
      </c>
      <c r="BF257" s="1949">
        <v>143.19999999999999</v>
      </c>
      <c r="BG257" s="1949">
        <v>0.99839999999999995</v>
      </c>
      <c r="BH257" s="1949">
        <v>35.020000000000003</v>
      </c>
      <c r="BI257" s="1948">
        <v>1313</v>
      </c>
      <c r="BJ257" s="1948">
        <f t="shared" si="57"/>
        <v>2250</v>
      </c>
      <c r="BK257" s="1948">
        <f t="shared" si="58"/>
        <v>0</v>
      </c>
    </row>
    <row r="258" spans="1:63" ht="15">
      <c r="A258" s="1946">
        <v>125000000026</v>
      </c>
      <c r="B258" s="1947">
        <f t="shared" si="59"/>
        <v>252</v>
      </c>
      <c r="C258" s="1906" t="s">
        <v>3139</v>
      </c>
      <c r="D258" s="1907" t="s">
        <v>524</v>
      </c>
      <c r="E258" s="1906" t="s">
        <v>541</v>
      </c>
      <c r="F258" s="1948" t="s">
        <v>259</v>
      </c>
      <c r="G258" s="1949">
        <v>180</v>
      </c>
      <c r="H258" s="1948">
        <v>180</v>
      </c>
      <c r="I258" s="1950">
        <v>234.36</v>
      </c>
      <c r="J258" s="1948">
        <v>234.36</v>
      </c>
      <c r="K258" s="1948">
        <v>0.86040000000000005</v>
      </c>
      <c r="L258" s="1948">
        <v>12.67</v>
      </c>
      <c r="M258" s="1948">
        <v>21379</v>
      </c>
      <c r="N258" s="1948">
        <f t="shared" si="45"/>
        <v>101244</v>
      </c>
      <c r="O258" s="1948">
        <f t="shared" si="46"/>
        <v>0</v>
      </c>
      <c r="P258" s="1948">
        <v>180</v>
      </c>
      <c r="Q258" s="1948">
        <v>232.56000000000003</v>
      </c>
      <c r="R258" s="1948">
        <v>232.56</v>
      </c>
      <c r="S258" s="1948">
        <v>0.86150000000000004</v>
      </c>
      <c r="T258" s="1948">
        <v>13.58</v>
      </c>
      <c r="U258" s="1948">
        <v>23495</v>
      </c>
      <c r="V258" s="1948">
        <f t="shared" si="47"/>
        <v>103815</v>
      </c>
      <c r="W258" s="1948">
        <f t="shared" si="48"/>
        <v>0</v>
      </c>
      <c r="X258" s="1948">
        <v>180</v>
      </c>
      <c r="Y258" s="1948">
        <v>253.44000000000003</v>
      </c>
      <c r="Z258" s="1948">
        <v>253.44</v>
      </c>
      <c r="AA258" s="1948">
        <v>0.83120000000000005</v>
      </c>
      <c r="AB258" s="1948">
        <v>8.7100000000000009</v>
      </c>
      <c r="AC258" s="1948">
        <v>15889</v>
      </c>
      <c r="AD258" s="1948">
        <f t="shared" si="49"/>
        <v>109486</v>
      </c>
      <c r="AE258" s="1948">
        <f t="shared" si="50"/>
        <v>0</v>
      </c>
      <c r="AF258" s="1948">
        <v>180</v>
      </c>
      <c r="AG258" s="1948">
        <v>214.56</v>
      </c>
      <c r="AH258" s="1948">
        <v>214.56</v>
      </c>
      <c r="AI258" s="1948">
        <v>0.85670000000000002</v>
      </c>
      <c r="AJ258" s="1948">
        <v>6.12</v>
      </c>
      <c r="AK258" s="1948">
        <v>9770</v>
      </c>
      <c r="AL258" s="1948">
        <f t="shared" si="51"/>
        <v>95780</v>
      </c>
      <c r="AM258" s="1948">
        <f t="shared" si="52"/>
        <v>0</v>
      </c>
      <c r="AN258" s="1948">
        <v>180</v>
      </c>
      <c r="AO258" s="1948">
        <v>214.56</v>
      </c>
      <c r="AP258" s="1948">
        <v>214.56</v>
      </c>
      <c r="AQ258" s="1948">
        <v>0.79569999999999996</v>
      </c>
      <c r="AR258" s="1948">
        <v>4.2300000000000004</v>
      </c>
      <c r="AS258" s="1948">
        <v>6746</v>
      </c>
      <c r="AT258" s="1948">
        <f t="shared" si="53"/>
        <v>95780</v>
      </c>
      <c r="AU258" s="1948">
        <f t="shared" si="54"/>
        <v>0</v>
      </c>
      <c r="AV258" s="1948">
        <v>180</v>
      </c>
      <c r="AW258" s="1948">
        <v>222.12</v>
      </c>
      <c r="AX258" s="1948">
        <v>222.12</v>
      </c>
      <c r="AY258" s="1948">
        <v>0.74409999999999998</v>
      </c>
      <c r="AZ258" s="1948">
        <v>3.12</v>
      </c>
      <c r="BA258" s="1948">
        <v>4995</v>
      </c>
      <c r="BB258" s="1948">
        <f t="shared" si="55"/>
        <v>95956</v>
      </c>
      <c r="BC258" s="1948">
        <f t="shared" si="56"/>
        <v>0</v>
      </c>
      <c r="BD258" s="1949">
        <v>180</v>
      </c>
      <c r="BE258" s="1948">
        <v>90.72</v>
      </c>
      <c r="BF258" s="1949">
        <v>144</v>
      </c>
      <c r="BG258" s="1949">
        <v>0.5393</v>
      </c>
      <c r="BH258" s="1949">
        <v>7.29</v>
      </c>
      <c r="BI258" s="1948">
        <v>4923</v>
      </c>
      <c r="BJ258" s="1948">
        <f t="shared" si="57"/>
        <v>40497</v>
      </c>
      <c r="BK258" s="1948">
        <f t="shared" si="58"/>
        <v>0</v>
      </c>
    </row>
    <row r="259" spans="1:63" ht="15">
      <c r="A259" s="1946">
        <v>121000000066</v>
      </c>
      <c r="B259" s="1947">
        <f t="shared" si="59"/>
        <v>253</v>
      </c>
      <c r="C259" s="1906" t="s">
        <v>3138</v>
      </c>
      <c r="D259" s="1907" t="s">
        <v>524</v>
      </c>
      <c r="E259" s="1906" t="s">
        <v>541</v>
      </c>
      <c r="F259" s="1948" t="s">
        <v>259</v>
      </c>
      <c r="G259" s="1949">
        <v>180</v>
      </c>
      <c r="H259" s="1948">
        <v>180</v>
      </c>
      <c r="I259" s="1950">
        <v>202.72</v>
      </c>
      <c r="J259" s="1948">
        <v>202.72</v>
      </c>
      <c r="K259" s="1948">
        <v>0.96970000000000001</v>
      </c>
      <c r="L259" s="1948">
        <v>36.5</v>
      </c>
      <c r="M259" s="1948">
        <v>53270</v>
      </c>
      <c r="N259" s="1948">
        <f t="shared" si="45"/>
        <v>87575</v>
      </c>
      <c r="O259" s="1948">
        <f t="shared" si="46"/>
        <v>0</v>
      </c>
      <c r="P259" s="1948">
        <v>180</v>
      </c>
      <c r="Q259" s="1948">
        <v>177.44</v>
      </c>
      <c r="R259" s="1948">
        <v>177.44</v>
      </c>
      <c r="S259" s="1948">
        <v>0.99890000000000001</v>
      </c>
      <c r="T259" s="1948">
        <v>41.22</v>
      </c>
      <c r="U259" s="1948">
        <v>54420</v>
      </c>
      <c r="V259" s="1948">
        <f t="shared" si="47"/>
        <v>79209</v>
      </c>
      <c r="W259" s="1948">
        <f t="shared" si="48"/>
        <v>0</v>
      </c>
      <c r="X259" s="1948">
        <v>180</v>
      </c>
      <c r="Y259" s="1948">
        <v>188.96</v>
      </c>
      <c r="Z259" s="1948">
        <v>188.96</v>
      </c>
      <c r="AA259" s="1948">
        <v>0.99350000000000005</v>
      </c>
      <c r="AB259" s="1948">
        <v>38.85</v>
      </c>
      <c r="AC259" s="1948">
        <v>52856</v>
      </c>
      <c r="AD259" s="1948">
        <f t="shared" si="49"/>
        <v>81631</v>
      </c>
      <c r="AE259" s="1948">
        <f t="shared" si="50"/>
        <v>0</v>
      </c>
      <c r="AF259" s="1948">
        <v>180</v>
      </c>
      <c r="AG259" s="1948">
        <v>153.76000000000002</v>
      </c>
      <c r="AH259" s="1948">
        <v>153.76</v>
      </c>
      <c r="AI259" s="1948">
        <v>0.98729999999999996</v>
      </c>
      <c r="AJ259" s="1948">
        <v>27.56</v>
      </c>
      <c r="AK259" s="1948">
        <v>31526</v>
      </c>
      <c r="AL259" s="1948">
        <f t="shared" si="51"/>
        <v>68638</v>
      </c>
      <c r="AM259" s="1948">
        <f t="shared" si="52"/>
        <v>0</v>
      </c>
      <c r="AN259" s="1948">
        <v>180</v>
      </c>
      <c r="AO259" s="1948">
        <v>121.6</v>
      </c>
      <c r="AP259" s="1948">
        <v>144</v>
      </c>
      <c r="AQ259" s="1948">
        <v>0.98850000000000005</v>
      </c>
      <c r="AR259" s="1948">
        <v>26.75</v>
      </c>
      <c r="AS259" s="1948">
        <v>24202</v>
      </c>
      <c r="AT259" s="1948">
        <f t="shared" si="53"/>
        <v>54282</v>
      </c>
      <c r="AU259" s="1948">
        <f t="shared" si="54"/>
        <v>0</v>
      </c>
      <c r="AV259" s="1948">
        <v>180</v>
      </c>
      <c r="AW259" s="1948">
        <v>133.6</v>
      </c>
      <c r="AX259" s="1948">
        <v>144</v>
      </c>
      <c r="AY259" s="1948">
        <v>0.99250000000000005</v>
      </c>
      <c r="AZ259" s="1948">
        <v>32.450000000000003</v>
      </c>
      <c r="BA259" s="1948">
        <v>31210</v>
      </c>
      <c r="BB259" s="1948">
        <f t="shared" si="55"/>
        <v>57715</v>
      </c>
      <c r="BC259" s="1948">
        <f t="shared" si="56"/>
        <v>0</v>
      </c>
      <c r="BD259" s="1949">
        <v>180</v>
      </c>
      <c r="BE259" s="1948">
        <v>149.44</v>
      </c>
      <c r="BF259" s="1949">
        <v>149.44</v>
      </c>
      <c r="BG259" s="1949">
        <v>0.99570000000000003</v>
      </c>
      <c r="BH259" s="1949">
        <v>36.94</v>
      </c>
      <c r="BI259" s="1948">
        <v>41072</v>
      </c>
      <c r="BJ259" s="1948">
        <f t="shared" si="57"/>
        <v>66710</v>
      </c>
      <c r="BK259" s="1948">
        <f t="shared" si="58"/>
        <v>0</v>
      </c>
    </row>
    <row r="260" spans="1:63" ht="15">
      <c r="A260" s="1946">
        <v>611000000089</v>
      </c>
      <c r="B260" s="1947">
        <f t="shared" si="59"/>
        <v>254</v>
      </c>
      <c r="C260" s="1906" t="s">
        <v>3140</v>
      </c>
      <c r="D260" s="1907" t="s">
        <v>524</v>
      </c>
      <c r="E260" s="1906" t="s">
        <v>541</v>
      </c>
      <c r="F260" s="1948" t="s">
        <v>259</v>
      </c>
      <c r="G260" s="1949">
        <v>180</v>
      </c>
      <c r="H260" s="1948">
        <v>180</v>
      </c>
      <c r="I260" s="1950">
        <v>78.239999999999995</v>
      </c>
      <c r="J260" s="1948">
        <v>144</v>
      </c>
      <c r="K260" s="1948">
        <v>0.84050000000000002</v>
      </c>
      <c r="L260" s="1948">
        <v>26.05</v>
      </c>
      <c r="M260" s="1948">
        <v>14676</v>
      </c>
      <c r="N260" s="1948">
        <f t="shared" si="45"/>
        <v>33800</v>
      </c>
      <c r="O260" s="1948">
        <f t="shared" si="46"/>
        <v>0</v>
      </c>
      <c r="P260" s="1948">
        <v>180</v>
      </c>
      <c r="Q260" s="1948">
        <v>87.84</v>
      </c>
      <c r="R260" s="1948">
        <v>144</v>
      </c>
      <c r="S260" s="1948">
        <v>0.86050000000000004</v>
      </c>
      <c r="T260" s="1948">
        <v>20.74</v>
      </c>
      <c r="U260" s="1948">
        <v>13554</v>
      </c>
      <c r="V260" s="1948">
        <f t="shared" si="47"/>
        <v>39212</v>
      </c>
      <c r="W260" s="1948">
        <f t="shared" si="48"/>
        <v>0</v>
      </c>
      <c r="X260" s="1948">
        <v>180</v>
      </c>
      <c r="Y260" s="1948">
        <v>88.32</v>
      </c>
      <c r="Z260" s="1948">
        <v>144</v>
      </c>
      <c r="AA260" s="1948">
        <v>0.86419999999999997</v>
      </c>
      <c r="AB260" s="1948">
        <v>22.04</v>
      </c>
      <c r="AC260" s="1948">
        <v>14016</v>
      </c>
      <c r="AD260" s="1948">
        <f t="shared" si="49"/>
        <v>38154</v>
      </c>
      <c r="AE260" s="1948">
        <f t="shared" si="50"/>
        <v>0</v>
      </c>
      <c r="AF260" s="1948">
        <v>180</v>
      </c>
      <c r="AG260" s="1948">
        <v>88.32</v>
      </c>
      <c r="AH260" s="1948">
        <v>144</v>
      </c>
      <c r="AI260" s="1948">
        <v>0.85409999999999997</v>
      </c>
      <c r="AJ260" s="1948">
        <v>24.47</v>
      </c>
      <c r="AK260" s="1948">
        <v>16080</v>
      </c>
      <c r="AL260" s="1948">
        <f t="shared" si="51"/>
        <v>39426</v>
      </c>
      <c r="AM260" s="1948">
        <f t="shared" si="52"/>
        <v>0</v>
      </c>
      <c r="AN260" s="1948">
        <v>180</v>
      </c>
      <c r="AO260" s="1948">
        <v>74.88</v>
      </c>
      <c r="AP260" s="1948">
        <v>144</v>
      </c>
      <c r="AQ260" s="1948">
        <v>0.84179999999999999</v>
      </c>
      <c r="AR260" s="1948">
        <v>29.35</v>
      </c>
      <c r="AS260" s="1948">
        <v>16350</v>
      </c>
      <c r="AT260" s="1948">
        <f t="shared" si="53"/>
        <v>33426</v>
      </c>
      <c r="AU260" s="1948">
        <f t="shared" si="54"/>
        <v>0</v>
      </c>
      <c r="AV260" s="1948">
        <v>180</v>
      </c>
      <c r="AW260" s="1948">
        <v>82.56</v>
      </c>
      <c r="AX260" s="1948">
        <v>144</v>
      </c>
      <c r="AY260" s="1948">
        <v>0.85119999999999996</v>
      </c>
      <c r="AZ260" s="1948">
        <v>22.73</v>
      </c>
      <c r="BA260" s="1948">
        <v>13512</v>
      </c>
      <c r="BB260" s="1948">
        <f t="shared" si="55"/>
        <v>35666</v>
      </c>
      <c r="BC260" s="1948">
        <f t="shared" si="56"/>
        <v>0</v>
      </c>
      <c r="BD260" s="1949">
        <v>180</v>
      </c>
      <c r="BE260" s="1948">
        <v>91.68</v>
      </c>
      <c r="BF260" s="1949">
        <v>144</v>
      </c>
      <c r="BG260" s="1949">
        <v>0.86560000000000004</v>
      </c>
      <c r="BH260" s="1949">
        <v>19.45</v>
      </c>
      <c r="BI260" s="1948">
        <v>13266</v>
      </c>
      <c r="BJ260" s="1948">
        <f t="shared" si="57"/>
        <v>40926</v>
      </c>
      <c r="BK260" s="1948">
        <f t="shared" si="58"/>
        <v>0</v>
      </c>
    </row>
    <row r="261" spans="1:63" ht="15">
      <c r="A261" s="1946">
        <v>621000000058</v>
      </c>
      <c r="B261" s="1947">
        <f t="shared" si="59"/>
        <v>255</v>
      </c>
      <c r="C261" s="1906" t="s">
        <v>3137</v>
      </c>
      <c r="D261" s="1907" t="s">
        <v>524</v>
      </c>
      <c r="E261" s="1906" t="s">
        <v>636</v>
      </c>
      <c r="F261" s="1948" t="s">
        <v>259</v>
      </c>
      <c r="G261" s="1949">
        <v>180</v>
      </c>
      <c r="H261" s="1948">
        <v>180</v>
      </c>
      <c r="I261" s="1950">
        <v>36.32</v>
      </c>
      <c r="J261" s="1948">
        <v>144</v>
      </c>
      <c r="K261" s="1948">
        <v>0.49919999999999998</v>
      </c>
      <c r="L261" s="1948">
        <v>25.34</v>
      </c>
      <c r="M261" s="1948">
        <v>6626</v>
      </c>
      <c r="N261" s="1948">
        <f t="shared" si="45"/>
        <v>15690</v>
      </c>
      <c r="O261" s="1948">
        <f t="shared" si="46"/>
        <v>0</v>
      </c>
      <c r="P261" s="1948">
        <v>180</v>
      </c>
      <c r="Q261" s="1948">
        <v>36.159999999999997</v>
      </c>
      <c r="R261" s="1948">
        <v>144</v>
      </c>
      <c r="S261" s="1948">
        <v>0.5282</v>
      </c>
      <c r="T261" s="1948">
        <v>24.63</v>
      </c>
      <c r="U261" s="1948">
        <v>6626</v>
      </c>
      <c r="V261" s="1948">
        <f t="shared" si="47"/>
        <v>16142</v>
      </c>
      <c r="W261" s="1948">
        <f t="shared" si="48"/>
        <v>0</v>
      </c>
      <c r="X261" s="1948">
        <v>180</v>
      </c>
      <c r="Y261" s="1948">
        <v>35.68</v>
      </c>
      <c r="Z261" s="1948">
        <v>144</v>
      </c>
      <c r="AA261" s="1948">
        <v>0.47589999999999999</v>
      </c>
      <c r="AB261" s="1948">
        <v>26.24</v>
      </c>
      <c r="AC261" s="1948">
        <v>6740</v>
      </c>
      <c r="AD261" s="1948">
        <f t="shared" si="49"/>
        <v>15414</v>
      </c>
      <c r="AE261" s="1948">
        <f t="shared" si="50"/>
        <v>0</v>
      </c>
      <c r="AF261" s="1948">
        <v>180</v>
      </c>
      <c r="AG261" s="1948">
        <v>46.56</v>
      </c>
      <c r="AH261" s="1948">
        <v>144</v>
      </c>
      <c r="AI261" s="1948">
        <v>0.48670000000000002</v>
      </c>
      <c r="AJ261" s="1948">
        <v>22.05</v>
      </c>
      <c r="AK261" s="1948">
        <v>7638</v>
      </c>
      <c r="AL261" s="1948">
        <f t="shared" si="51"/>
        <v>20784</v>
      </c>
      <c r="AM261" s="1948">
        <f t="shared" si="52"/>
        <v>0</v>
      </c>
      <c r="AN261" s="1948">
        <v>180</v>
      </c>
      <c r="AO261" s="1948">
        <v>30.56</v>
      </c>
      <c r="AP261" s="1948">
        <v>144</v>
      </c>
      <c r="AQ261" s="1948">
        <v>0.55630000000000002</v>
      </c>
      <c r="AR261" s="1948">
        <v>32.08</v>
      </c>
      <c r="AS261" s="1948">
        <v>7294</v>
      </c>
      <c r="AT261" s="1948">
        <f t="shared" si="53"/>
        <v>13642</v>
      </c>
      <c r="AU261" s="1948">
        <f t="shared" si="54"/>
        <v>0</v>
      </c>
      <c r="AV261" s="1948">
        <v>180</v>
      </c>
      <c r="AW261" s="1948">
        <v>25.919999999999998</v>
      </c>
      <c r="AX261" s="1948">
        <v>144</v>
      </c>
      <c r="AY261" s="1948">
        <v>0.52329999999999999</v>
      </c>
      <c r="AZ261" s="1948">
        <v>37.33</v>
      </c>
      <c r="BA261" s="1948">
        <v>6966</v>
      </c>
      <c r="BB261" s="1948">
        <f t="shared" si="55"/>
        <v>11197</v>
      </c>
      <c r="BC261" s="1948">
        <f t="shared" si="56"/>
        <v>0</v>
      </c>
      <c r="BD261" s="1949">
        <v>180</v>
      </c>
      <c r="BE261" s="1948">
        <v>72.960000000000008</v>
      </c>
      <c r="BF261" s="1949">
        <v>144</v>
      </c>
      <c r="BG261" s="1949">
        <v>0.56930000000000003</v>
      </c>
      <c r="BH261" s="1949">
        <v>15.19</v>
      </c>
      <c r="BI261" s="1948">
        <v>8248</v>
      </c>
      <c r="BJ261" s="1948">
        <f t="shared" si="57"/>
        <v>32569</v>
      </c>
      <c r="BK261" s="1948">
        <f t="shared" si="58"/>
        <v>0</v>
      </c>
    </row>
    <row r="262" spans="1:63" ht="15">
      <c r="A262" s="1946">
        <v>622000000016</v>
      </c>
      <c r="B262" s="1947">
        <f t="shared" si="59"/>
        <v>256</v>
      </c>
      <c r="C262" s="1906" t="s">
        <v>3141</v>
      </c>
      <c r="D262" s="1907" t="s">
        <v>524</v>
      </c>
      <c r="E262" s="1906" t="s">
        <v>629</v>
      </c>
      <c r="F262" s="1948" t="s">
        <v>259</v>
      </c>
      <c r="G262" s="1949">
        <v>182.22</v>
      </c>
      <c r="H262" s="1948">
        <v>182.22</v>
      </c>
      <c r="I262" s="1950">
        <v>97.36</v>
      </c>
      <c r="J262" s="1948">
        <v>182.22</v>
      </c>
      <c r="K262" s="1948">
        <v>0.9698</v>
      </c>
      <c r="L262" s="1948">
        <v>0</v>
      </c>
      <c r="M262" s="1948">
        <v>36929</v>
      </c>
      <c r="N262" s="1948">
        <f t="shared" si="45"/>
        <v>42060</v>
      </c>
      <c r="O262" s="1948">
        <f t="shared" si="46"/>
        <v>0</v>
      </c>
      <c r="P262" s="1948">
        <v>182.22</v>
      </c>
      <c r="Q262" s="1948">
        <v>106.664</v>
      </c>
      <c r="R262" s="1948">
        <v>182.22</v>
      </c>
      <c r="S262" s="1948">
        <v>0.97150000000000003</v>
      </c>
      <c r="T262" s="1948">
        <v>0</v>
      </c>
      <c r="U262" s="1948">
        <v>44347</v>
      </c>
      <c r="V262" s="1948">
        <f t="shared" si="47"/>
        <v>47615</v>
      </c>
      <c r="W262" s="1948">
        <f t="shared" si="48"/>
        <v>0</v>
      </c>
      <c r="X262" s="1948">
        <v>182.22</v>
      </c>
      <c r="Y262" s="1948">
        <v>102.95</v>
      </c>
      <c r="Z262" s="1948">
        <v>182.22</v>
      </c>
      <c r="AA262" s="1948">
        <v>0.97240000000000004</v>
      </c>
      <c r="AB262" s="1948">
        <v>0</v>
      </c>
      <c r="AC262" s="1948">
        <v>42457</v>
      </c>
      <c r="AD262" s="1948">
        <f t="shared" si="49"/>
        <v>44474</v>
      </c>
      <c r="AE262" s="1948">
        <f t="shared" si="50"/>
        <v>0</v>
      </c>
      <c r="AF262" s="1948">
        <v>182.22</v>
      </c>
      <c r="AG262" s="1948">
        <v>108.6328</v>
      </c>
      <c r="AH262" s="1948">
        <v>182.22</v>
      </c>
      <c r="AI262" s="1948">
        <v>0.96950000000000003</v>
      </c>
      <c r="AJ262" s="1948">
        <v>0</v>
      </c>
      <c r="AK262" s="1948">
        <v>42551</v>
      </c>
      <c r="AL262" s="1948">
        <f t="shared" si="51"/>
        <v>48494</v>
      </c>
      <c r="AM262" s="1948">
        <f t="shared" si="52"/>
        <v>0</v>
      </c>
      <c r="AN262" s="1948">
        <v>182.22</v>
      </c>
      <c r="AO262" s="1948">
        <v>106.0808</v>
      </c>
      <c r="AP262" s="1948">
        <v>182.22</v>
      </c>
      <c r="AQ262" s="1948">
        <v>0.96879999999999999</v>
      </c>
      <c r="AR262" s="1948">
        <v>0</v>
      </c>
      <c r="AS262" s="1948">
        <v>40701</v>
      </c>
      <c r="AT262" s="1948">
        <f t="shared" si="53"/>
        <v>47354</v>
      </c>
      <c r="AU262" s="1948">
        <f t="shared" si="54"/>
        <v>0</v>
      </c>
      <c r="AV262" s="1948">
        <v>182.22</v>
      </c>
      <c r="AW262" s="1948">
        <v>104.684</v>
      </c>
      <c r="AX262" s="1948">
        <v>182.22</v>
      </c>
      <c r="AY262" s="1948">
        <v>0.9698</v>
      </c>
      <c r="AZ262" s="1948">
        <v>0</v>
      </c>
      <c r="BA262" s="1948">
        <v>40752</v>
      </c>
      <c r="BB262" s="1948">
        <f t="shared" si="55"/>
        <v>45223</v>
      </c>
      <c r="BC262" s="1948">
        <f t="shared" si="56"/>
        <v>0</v>
      </c>
      <c r="BD262" s="1949">
        <v>182.22</v>
      </c>
      <c r="BE262" s="1948">
        <v>143.75399999999999</v>
      </c>
      <c r="BF262" s="1949">
        <v>182.22</v>
      </c>
      <c r="BG262" s="1949">
        <v>0.97189999999999999</v>
      </c>
      <c r="BH262" s="1949">
        <v>0</v>
      </c>
      <c r="BI262" s="1948">
        <v>38613</v>
      </c>
      <c r="BJ262" s="1948">
        <f t="shared" si="57"/>
        <v>64172</v>
      </c>
      <c r="BK262" s="1948">
        <f t="shared" si="58"/>
        <v>0</v>
      </c>
    </row>
    <row r="263" spans="1:63" ht="15">
      <c r="A263" s="1946">
        <v>123000000079</v>
      </c>
      <c r="B263" s="1947">
        <f t="shared" si="59"/>
        <v>257</v>
      </c>
      <c r="C263" s="1906" t="s">
        <v>3142</v>
      </c>
      <c r="D263" s="1907" t="s">
        <v>524</v>
      </c>
      <c r="E263" s="1906" t="s">
        <v>541</v>
      </c>
      <c r="F263" s="1948" t="s">
        <v>259</v>
      </c>
      <c r="G263" s="1949">
        <v>183</v>
      </c>
      <c r="H263" s="1948">
        <v>183</v>
      </c>
      <c r="I263" s="1950">
        <v>152.07999999999998</v>
      </c>
      <c r="J263" s="1948">
        <v>152.08000000000001</v>
      </c>
      <c r="K263" s="1948">
        <v>0.90849999999999997</v>
      </c>
      <c r="L263" s="1948">
        <v>44.21</v>
      </c>
      <c r="M263" s="1948">
        <v>48413</v>
      </c>
      <c r="N263" s="1948">
        <f t="shared" ref="N263:N326" si="60">+ROUND(24*30*0.6*I263,0)</f>
        <v>65699</v>
      </c>
      <c r="O263" s="1948">
        <f t="shared" ref="O263:O326" si="61">+MAX((M263-N263),0)</f>
        <v>0</v>
      </c>
      <c r="P263" s="1948">
        <v>183</v>
      </c>
      <c r="Q263" s="1948">
        <v>145.19999999999999</v>
      </c>
      <c r="R263" s="1948">
        <v>146.4</v>
      </c>
      <c r="S263" s="1948">
        <v>0.95699999999999996</v>
      </c>
      <c r="T263" s="1948">
        <v>31.9</v>
      </c>
      <c r="U263" s="1948">
        <v>34457</v>
      </c>
      <c r="V263" s="1948">
        <f t="shared" ref="V263:V326" si="62">+ROUND(24*31*0.6*Q263,0)</f>
        <v>64817</v>
      </c>
      <c r="W263" s="1948">
        <f t="shared" ref="W263:W326" si="63">+MAX((U263-V263),0)</f>
        <v>0</v>
      </c>
      <c r="X263" s="1948">
        <v>183</v>
      </c>
      <c r="Y263" s="1948">
        <v>126.16000000000001</v>
      </c>
      <c r="Z263" s="1948">
        <v>146.4</v>
      </c>
      <c r="AA263" s="1948">
        <v>0.96450000000000002</v>
      </c>
      <c r="AB263" s="1948">
        <v>39.659999999999997</v>
      </c>
      <c r="AC263" s="1948">
        <v>36022</v>
      </c>
      <c r="AD263" s="1948">
        <f t="shared" ref="AD263:AD326" si="64">+ROUND(24*30*0.6*Y263,0)</f>
        <v>54501</v>
      </c>
      <c r="AE263" s="1948">
        <f t="shared" ref="AE263:AE326" si="65">+MAX((AC263-AD263),0)</f>
        <v>0</v>
      </c>
      <c r="AF263" s="1948">
        <v>183</v>
      </c>
      <c r="AG263" s="1948">
        <v>141.04000000000002</v>
      </c>
      <c r="AH263" s="1948">
        <v>146.4</v>
      </c>
      <c r="AI263" s="1948">
        <v>0.96020000000000005</v>
      </c>
      <c r="AJ263" s="1948">
        <v>45.37</v>
      </c>
      <c r="AK263" s="1948">
        <v>47609</v>
      </c>
      <c r="AL263" s="1948">
        <f t="shared" ref="AL263:AL326" si="66">+ROUND(24*31*0.6*AG263,0)</f>
        <v>62960</v>
      </c>
      <c r="AM263" s="1948">
        <f t="shared" ref="AM263:AM326" si="67">+MAX((AK263-AL263),0)</f>
        <v>0</v>
      </c>
      <c r="AN263" s="1948">
        <v>183</v>
      </c>
      <c r="AO263" s="1948">
        <v>137.6</v>
      </c>
      <c r="AP263" s="1948">
        <v>146.4</v>
      </c>
      <c r="AQ263" s="1948">
        <v>0.95989999999999998</v>
      </c>
      <c r="AR263" s="1948">
        <v>35.56</v>
      </c>
      <c r="AS263" s="1948">
        <v>36403</v>
      </c>
      <c r="AT263" s="1948">
        <f t="shared" ref="AT263:AT326" si="68">+ROUND(24*31*0.6*AO263,0)</f>
        <v>61425</v>
      </c>
      <c r="AU263" s="1948">
        <f t="shared" ref="AU263:AU326" si="69">+MAX((AS263-AT263),0)</f>
        <v>0</v>
      </c>
      <c r="AV263" s="1948">
        <v>183</v>
      </c>
      <c r="AW263" s="1948">
        <v>118</v>
      </c>
      <c r="AX263" s="1948">
        <v>146.4</v>
      </c>
      <c r="AY263" s="1948">
        <v>0.97689999999999999</v>
      </c>
      <c r="AZ263" s="1948">
        <v>13.25</v>
      </c>
      <c r="BA263" s="1948">
        <v>11258</v>
      </c>
      <c r="BB263" s="1948">
        <f t="shared" ref="BB263:BB326" si="70">+ROUND(24*30*0.6*AW263,0)</f>
        <v>50976</v>
      </c>
      <c r="BC263" s="1948">
        <f t="shared" ref="BC263:BC326" si="71">+MAX((BA263-BB263),0)</f>
        <v>0</v>
      </c>
      <c r="BD263" s="1949">
        <v>183</v>
      </c>
      <c r="BE263" s="1948">
        <v>130.63999999999999</v>
      </c>
      <c r="BF263" s="1949">
        <v>146.4</v>
      </c>
      <c r="BG263" s="1949">
        <v>0.96220000000000006</v>
      </c>
      <c r="BH263" s="1949">
        <v>12.14</v>
      </c>
      <c r="BI263" s="1948">
        <v>11801</v>
      </c>
      <c r="BJ263" s="1948">
        <f t="shared" ref="BJ263:BJ326" si="72">+ROUND(24*31*0.6*BE263,0)</f>
        <v>58318</v>
      </c>
      <c r="BK263" s="1948">
        <f t="shared" ref="BK263:BK326" si="73">+MAX((BI263-BJ263),0)</f>
        <v>0</v>
      </c>
    </row>
    <row r="264" spans="1:63" ht="15">
      <c r="A264" s="1946">
        <v>125000000030</v>
      </c>
      <c r="B264" s="1947">
        <f t="shared" si="59"/>
        <v>258</v>
      </c>
      <c r="C264" s="1906" t="s">
        <v>3143</v>
      </c>
      <c r="D264" s="1907" t="s">
        <v>524</v>
      </c>
      <c r="E264" s="1906" t="s">
        <v>541</v>
      </c>
      <c r="F264" s="1948" t="s">
        <v>259</v>
      </c>
      <c r="G264" s="1949">
        <v>183</v>
      </c>
      <c r="H264" s="1948">
        <v>183</v>
      </c>
      <c r="I264" s="1950">
        <v>159.12</v>
      </c>
      <c r="J264" s="1948">
        <v>159.12</v>
      </c>
      <c r="K264" s="1948">
        <v>0.66520000000000001</v>
      </c>
      <c r="L264" s="1948">
        <v>18.29</v>
      </c>
      <c r="M264" s="1948">
        <v>20956</v>
      </c>
      <c r="N264" s="1948">
        <f t="shared" si="60"/>
        <v>68740</v>
      </c>
      <c r="O264" s="1948">
        <f t="shared" si="61"/>
        <v>0</v>
      </c>
      <c r="P264" s="1948">
        <v>183</v>
      </c>
      <c r="Q264" s="1948">
        <v>168.60000000000002</v>
      </c>
      <c r="R264" s="1948">
        <v>168.6</v>
      </c>
      <c r="S264" s="1948">
        <v>0.71579999999999999</v>
      </c>
      <c r="T264" s="1948">
        <v>26.43</v>
      </c>
      <c r="U264" s="1948">
        <v>33156</v>
      </c>
      <c r="V264" s="1948">
        <f t="shared" si="62"/>
        <v>75263</v>
      </c>
      <c r="W264" s="1948">
        <f t="shared" si="63"/>
        <v>0</v>
      </c>
      <c r="X264" s="1948">
        <v>183</v>
      </c>
      <c r="Y264" s="1948">
        <v>148.32</v>
      </c>
      <c r="Z264" s="1948">
        <v>148.32</v>
      </c>
      <c r="AA264" s="1948">
        <v>0.73150000000000004</v>
      </c>
      <c r="AB264" s="1948">
        <v>20.149999999999999</v>
      </c>
      <c r="AC264" s="1948">
        <v>21520</v>
      </c>
      <c r="AD264" s="1948">
        <f t="shared" si="64"/>
        <v>64074</v>
      </c>
      <c r="AE264" s="1948">
        <f t="shared" si="65"/>
        <v>0</v>
      </c>
      <c r="AF264" s="1948">
        <v>183</v>
      </c>
      <c r="AG264" s="1948">
        <v>153</v>
      </c>
      <c r="AH264" s="1948">
        <v>153</v>
      </c>
      <c r="AI264" s="1948">
        <v>0.72929999999999995</v>
      </c>
      <c r="AJ264" s="1948">
        <v>21.13</v>
      </c>
      <c r="AK264" s="1948">
        <v>24048</v>
      </c>
      <c r="AL264" s="1948">
        <f t="shared" si="66"/>
        <v>68299</v>
      </c>
      <c r="AM264" s="1948">
        <f t="shared" si="67"/>
        <v>0</v>
      </c>
      <c r="AN264" s="1948">
        <v>183</v>
      </c>
      <c r="AO264" s="1948">
        <v>154.07999999999998</v>
      </c>
      <c r="AP264" s="1948">
        <v>154.08000000000001</v>
      </c>
      <c r="AQ264" s="1948">
        <v>0.6643</v>
      </c>
      <c r="AR264" s="1948">
        <v>14.21</v>
      </c>
      <c r="AS264" s="1948">
        <v>13140</v>
      </c>
      <c r="AT264" s="1948">
        <f t="shared" si="68"/>
        <v>68781</v>
      </c>
      <c r="AU264" s="1948">
        <f t="shared" si="69"/>
        <v>0</v>
      </c>
      <c r="AV264" s="1948">
        <v>183</v>
      </c>
      <c r="AW264" s="1948">
        <v>153.24</v>
      </c>
      <c r="AX264" s="1948">
        <v>153.24</v>
      </c>
      <c r="AY264" s="1948">
        <v>0.59509999999999996</v>
      </c>
      <c r="AZ264" s="1948">
        <v>10.1</v>
      </c>
      <c r="BA264" s="1948">
        <v>13368</v>
      </c>
      <c r="BB264" s="1948">
        <f t="shared" si="70"/>
        <v>66200</v>
      </c>
      <c r="BC264" s="1948">
        <f t="shared" si="71"/>
        <v>0</v>
      </c>
      <c r="BD264" s="1949">
        <v>183</v>
      </c>
      <c r="BE264" s="1948">
        <v>160.20000000000002</v>
      </c>
      <c r="BF264" s="1949">
        <v>160.19999999999999</v>
      </c>
      <c r="BG264" s="1949">
        <v>0.71230000000000004</v>
      </c>
      <c r="BH264" s="1949">
        <v>30.15</v>
      </c>
      <c r="BI264" s="1948">
        <v>35939</v>
      </c>
      <c r="BJ264" s="1948">
        <f t="shared" si="72"/>
        <v>71513</v>
      </c>
      <c r="BK264" s="1948">
        <f t="shared" si="73"/>
        <v>0</v>
      </c>
    </row>
    <row r="265" spans="1:63" ht="15">
      <c r="A265" s="1946">
        <v>622000000120</v>
      </c>
      <c r="B265" s="1947">
        <f t="shared" ref="B265:B328" si="74">+B264+1</f>
        <v>259</v>
      </c>
      <c r="C265" s="1906" t="s">
        <v>3144</v>
      </c>
      <c r="D265" s="1907" t="s">
        <v>524</v>
      </c>
      <c r="E265" s="1906" t="s">
        <v>541</v>
      </c>
      <c r="F265" s="1948" t="s">
        <v>259</v>
      </c>
      <c r="G265" s="1949">
        <v>184</v>
      </c>
      <c r="H265" s="1948">
        <v>184</v>
      </c>
      <c r="I265" s="1950">
        <v>97.44</v>
      </c>
      <c r="J265" s="1948">
        <v>147.19999999999999</v>
      </c>
      <c r="K265" s="1948">
        <v>0.72350000000000003</v>
      </c>
      <c r="L265" s="1948">
        <v>16.29</v>
      </c>
      <c r="M265" s="1948">
        <v>14478</v>
      </c>
      <c r="N265" s="1948">
        <f t="shared" si="60"/>
        <v>42094</v>
      </c>
      <c r="O265" s="1948">
        <f t="shared" si="61"/>
        <v>0</v>
      </c>
      <c r="P265" s="1948">
        <v>184</v>
      </c>
      <c r="Q265" s="1948">
        <v>197.64000000000001</v>
      </c>
      <c r="R265" s="1948">
        <v>197.64</v>
      </c>
      <c r="S265" s="1948">
        <v>0.76719999999999999</v>
      </c>
      <c r="T265" s="1948">
        <v>17.89</v>
      </c>
      <c r="U265" s="1948">
        <v>22064</v>
      </c>
      <c r="V265" s="1948">
        <f t="shared" si="62"/>
        <v>88226</v>
      </c>
      <c r="W265" s="1948">
        <f t="shared" si="63"/>
        <v>0</v>
      </c>
      <c r="X265" s="1948">
        <v>184</v>
      </c>
      <c r="Y265" s="1948">
        <v>163.44</v>
      </c>
      <c r="Z265" s="1948">
        <v>163.44</v>
      </c>
      <c r="AA265" s="1948">
        <v>0.78149999999999997</v>
      </c>
      <c r="AB265" s="1948">
        <v>14.97</v>
      </c>
      <c r="AC265" s="1948">
        <v>19378</v>
      </c>
      <c r="AD265" s="1948">
        <f t="shared" si="64"/>
        <v>70606</v>
      </c>
      <c r="AE265" s="1948">
        <f t="shared" si="65"/>
        <v>0</v>
      </c>
      <c r="AF265" s="1948">
        <v>184</v>
      </c>
      <c r="AG265" s="1948">
        <v>191.16</v>
      </c>
      <c r="AH265" s="1948">
        <v>191.16</v>
      </c>
      <c r="AI265" s="1948">
        <v>0.76870000000000005</v>
      </c>
      <c r="AJ265" s="1948">
        <v>17.95</v>
      </c>
      <c r="AK265" s="1948">
        <v>27177</v>
      </c>
      <c r="AL265" s="1948">
        <f t="shared" si="66"/>
        <v>85334</v>
      </c>
      <c r="AM265" s="1948">
        <f t="shared" si="67"/>
        <v>0</v>
      </c>
      <c r="AN265" s="1948">
        <v>184</v>
      </c>
      <c r="AO265" s="1948">
        <v>130.80000000000001</v>
      </c>
      <c r="AP265" s="1948">
        <v>147.19999999999999</v>
      </c>
      <c r="AQ265" s="1948">
        <v>0.75260000000000005</v>
      </c>
      <c r="AR265" s="1948">
        <v>19.920000000000002</v>
      </c>
      <c r="AS265" s="1948">
        <v>19388</v>
      </c>
      <c r="AT265" s="1948">
        <f t="shared" si="68"/>
        <v>58389</v>
      </c>
      <c r="AU265" s="1948">
        <f t="shared" si="69"/>
        <v>0</v>
      </c>
      <c r="AV265" s="1948">
        <v>184</v>
      </c>
      <c r="AW265" s="1948">
        <v>109.32000000000001</v>
      </c>
      <c r="AX265" s="1948">
        <v>147.19999999999999</v>
      </c>
      <c r="AY265" s="1948">
        <v>0.66979999999999995</v>
      </c>
      <c r="AZ265" s="1948">
        <v>23.67</v>
      </c>
      <c r="BA265" s="1948">
        <v>18629</v>
      </c>
      <c r="BB265" s="1948">
        <f t="shared" si="70"/>
        <v>47226</v>
      </c>
      <c r="BC265" s="1948">
        <f t="shared" si="71"/>
        <v>0</v>
      </c>
      <c r="BD265" s="1949">
        <v>184</v>
      </c>
      <c r="BE265" s="1948">
        <v>93</v>
      </c>
      <c r="BF265" s="1949">
        <v>147.19999999999999</v>
      </c>
      <c r="BG265" s="1949">
        <v>0.69699999999999995</v>
      </c>
      <c r="BH265" s="1949">
        <v>32.26</v>
      </c>
      <c r="BI265" s="1948">
        <v>22324</v>
      </c>
      <c r="BJ265" s="1948">
        <f t="shared" si="72"/>
        <v>41515</v>
      </c>
      <c r="BK265" s="1948">
        <f t="shared" si="73"/>
        <v>0</v>
      </c>
    </row>
    <row r="266" spans="1:63" ht="15">
      <c r="A266" s="1946">
        <v>122000000046</v>
      </c>
      <c r="B266" s="1947">
        <f t="shared" si="74"/>
        <v>260</v>
      </c>
      <c r="C266" s="1906" t="s">
        <v>3145</v>
      </c>
      <c r="D266" s="1907" t="s">
        <v>524</v>
      </c>
      <c r="E266" s="1906" t="s">
        <v>629</v>
      </c>
      <c r="F266" s="1948" t="s">
        <v>259</v>
      </c>
      <c r="G266" s="1949">
        <v>185.56</v>
      </c>
      <c r="H266" s="1948">
        <v>185.56</v>
      </c>
      <c r="I266" s="1950">
        <v>57.120000000000005</v>
      </c>
      <c r="J266" s="1948">
        <v>185.56</v>
      </c>
      <c r="K266" s="1948">
        <v>0.95489999999999997</v>
      </c>
      <c r="L266" s="1948">
        <v>0</v>
      </c>
      <c r="M266" s="1948">
        <v>22637</v>
      </c>
      <c r="N266" s="1948">
        <f t="shared" si="60"/>
        <v>24676</v>
      </c>
      <c r="O266" s="1948">
        <f t="shared" si="61"/>
        <v>0</v>
      </c>
      <c r="P266" s="1948">
        <v>185.56</v>
      </c>
      <c r="Q266" s="1948">
        <v>55.92</v>
      </c>
      <c r="R266" s="1948">
        <v>185.56</v>
      </c>
      <c r="S266" s="1948">
        <v>0.94989999999999997</v>
      </c>
      <c r="T266" s="1948">
        <v>0</v>
      </c>
      <c r="U266" s="1948">
        <v>23461</v>
      </c>
      <c r="V266" s="1948">
        <f t="shared" si="62"/>
        <v>24963</v>
      </c>
      <c r="W266" s="1948">
        <f t="shared" si="63"/>
        <v>0</v>
      </c>
      <c r="X266" s="1948">
        <v>185.56</v>
      </c>
      <c r="Y266" s="1948">
        <v>87.48</v>
      </c>
      <c r="Z266" s="1948">
        <v>185.56</v>
      </c>
      <c r="AA266" s="1948">
        <v>0.94969999999999999</v>
      </c>
      <c r="AB266" s="1948">
        <v>0</v>
      </c>
      <c r="AC266" s="1948">
        <v>31854</v>
      </c>
      <c r="AD266" s="1948">
        <f t="shared" si="64"/>
        <v>37791</v>
      </c>
      <c r="AE266" s="1948">
        <f t="shared" si="65"/>
        <v>0</v>
      </c>
      <c r="AF266" s="1948">
        <v>185.56</v>
      </c>
      <c r="AG266" s="1948">
        <v>86.28</v>
      </c>
      <c r="AH266" s="1948">
        <v>185.56</v>
      </c>
      <c r="AI266" s="1948">
        <v>0.94750000000000001</v>
      </c>
      <c r="AJ266" s="1948">
        <v>0</v>
      </c>
      <c r="AK266" s="1948">
        <v>29554</v>
      </c>
      <c r="AL266" s="1948">
        <f t="shared" si="66"/>
        <v>38515</v>
      </c>
      <c r="AM266" s="1948">
        <f t="shared" si="67"/>
        <v>0</v>
      </c>
      <c r="AN266" s="1948">
        <v>185.56</v>
      </c>
      <c r="AO266" s="1948">
        <v>58.56</v>
      </c>
      <c r="AP266" s="1948">
        <v>185.56</v>
      </c>
      <c r="AQ266" s="1948">
        <v>0.94379999999999997</v>
      </c>
      <c r="AR266" s="1948">
        <v>0</v>
      </c>
      <c r="AS266" s="1948">
        <v>23740</v>
      </c>
      <c r="AT266" s="1948">
        <f t="shared" si="68"/>
        <v>26141</v>
      </c>
      <c r="AU266" s="1948">
        <f t="shared" si="69"/>
        <v>0</v>
      </c>
      <c r="AV266" s="1948">
        <v>185.56</v>
      </c>
      <c r="AW266" s="1948">
        <v>63.6</v>
      </c>
      <c r="AX266" s="1948">
        <v>185.56</v>
      </c>
      <c r="AY266" s="1948">
        <v>0.9506</v>
      </c>
      <c r="AZ266" s="1948">
        <v>0</v>
      </c>
      <c r="BA266" s="1948">
        <v>22997</v>
      </c>
      <c r="BB266" s="1948">
        <f t="shared" si="70"/>
        <v>27475</v>
      </c>
      <c r="BC266" s="1948">
        <f t="shared" si="71"/>
        <v>0</v>
      </c>
      <c r="BD266" s="1949">
        <v>185.56</v>
      </c>
      <c r="BE266" s="1948">
        <v>56.879999999999995</v>
      </c>
      <c r="BF266" s="1949">
        <v>185.56</v>
      </c>
      <c r="BG266" s="1949">
        <v>0.94979999999999998</v>
      </c>
      <c r="BH266" s="1949">
        <v>0</v>
      </c>
      <c r="BI266" s="1948">
        <v>22083</v>
      </c>
      <c r="BJ266" s="1948">
        <f t="shared" si="72"/>
        <v>25391</v>
      </c>
      <c r="BK266" s="1948">
        <f t="shared" si="73"/>
        <v>0</v>
      </c>
    </row>
    <row r="267" spans="1:63" ht="15">
      <c r="A267" s="1946">
        <v>123000000127</v>
      </c>
      <c r="B267" s="1947">
        <f t="shared" si="74"/>
        <v>261</v>
      </c>
      <c r="C267" s="1906" t="s">
        <v>3146</v>
      </c>
      <c r="D267" s="1907" t="s">
        <v>524</v>
      </c>
      <c r="E267" s="1906" t="s">
        <v>737</v>
      </c>
      <c r="F267" s="1948" t="s">
        <v>259</v>
      </c>
      <c r="G267" s="1949">
        <v>186</v>
      </c>
      <c r="H267" s="1948">
        <v>186</v>
      </c>
      <c r="I267" s="1950">
        <v>16.32</v>
      </c>
      <c r="J267" s="1948">
        <v>148.80000000000001</v>
      </c>
      <c r="K267" s="1948">
        <v>0.95279999999999998</v>
      </c>
      <c r="L267" s="1948">
        <v>44.97</v>
      </c>
      <c r="M267" s="1948">
        <v>5284</v>
      </c>
      <c r="N267" s="1948">
        <f t="shared" si="60"/>
        <v>7050</v>
      </c>
      <c r="O267" s="1948">
        <f t="shared" si="61"/>
        <v>0</v>
      </c>
      <c r="P267" s="1948">
        <v>186</v>
      </c>
      <c r="Q267" s="1948">
        <v>6.64</v>
      </c>
      <c r="R267" s="1948">
        <v>148.80000000000001</v>
      </c>
      <c r="S267" s="1948">
        <v>0.75619999999999998</v>
      </c>
      <c r="T267" s="1948">
        <v>30.14</v>
      </c>
      <c r="U267" s="1948">
        <v>1489</v>
      </c>
      <c r="V267" s="1948">
        <f t="shared" si="62"/>
        <v>2964</v>
      </c>
      <c r="W267" s="1948">
        <f t="shared" si="63"/>
        <v>0</v>
      </c>
      <c r="X267" s="1948">
        <v>186</v>
      </c>
      <c r="Y267" s="1948">
        <v>16.400000000000002</v>
      </c>
      <c r="Z267" s="1948">
        <v>148.80000000000001</v>
      </c>
      <c r="AA267" s="1948">
        <v>0.88859999999999995</v>
      </c>
      <c r="AB267" s="1948">
        <v>23.19</v>
      </c>
      <c r="AC267" s="1948">
        <v>2738</v>
      </c>
      <c r="AD267" s="1948">
        <f t="shared" si="64"/>
        <v>7085</v>
      </c>
      <c r="AE267" s="1948">
        <f t="shared" si="65"/>
        <v>0</v>
      </c>
      <c r="AF267" s="1948">
        <v>186</v>
      </c>
      <c r="AG267" s="1948">
        <v>17.2</v>
      </c>
      <c r="AH267" s="1948">
        <v>148.80000000000001</v>
      </c>
      <c r="AI267" s="1948">
        <v>0.98950000000000005</v>
      </c>
      <c r="AJ267" s="1948">
        <v>51.09</v>
      </c>
      <c r="AK267" s="1948">
        <v>6538</v>
      </c>
      <c r="AL267" s="1948">
        <f t="shared" si="66"/>
        <v>7678</v>
      </c>
      <c r="AM267" s="1948">
        <f t="shared" si="67"/>
        <v>0</v>
      </c>
      <c r="AN267" s="1948">
        <v>186</v>
      </c>
      <c r="AO267" s="1948">
        <v>18.32</v>
      </c>
      <c r="AP267" s="1948">
        <v>148.80000000000001</v>
      </c>
      <c r="AQ267" s="1948">
        <v>0.97850000000000004</v>
      </c>
      <c r="AR267" s="1948">
        <v>50.29</v>
      </c>
      <c r="AS267" s="1948">
        <v>6855</v>
      </c>
      <c r="AT267" s="1948">
        <f t="shared" si="68"/>
        <v>8178</v>
      </c>
      <c r="AU267" s="1948">
        <f t="shared" si="69"/>
        <v>0</v>
      </c>
      <c r="AV267" s="1948">
        <v>186</v>
      </c>
      <c r="AW267" s="1948">
        <v>18.8</v>
      </c>
      <c r="AX267" s="1948">
        <v>148.80000000000001</v>
      </c>
      <c r="AY267" s="1948">
        <v>0.97</v>
      </c>
      <c r="AZ267" s="1948">
        <v>54.02</v>
      </c>
      <c r="BA267" s="1948">
        <v>7312</v>
      </c>
      <c r="BB267" s="1948">
        <f t="shared" si="70"/>
        <v>8122</v>
      </c>
      <c r="BC267" s="1948">
        <f t="shared" si="71"/>
        <v>0</v>
      </c>
      <c r="BD267" s="1949">
        <v>186</v>
      </c>
      <c r="BE267" s="1948">
        <v>17.52</v>
      </c>
      <c r="BF267" s="1949">
        <v>148.80000000000001</v>
      </c>
      <c r="BG267" s="1949">
        <v>0.93089999999999995</v>
      </c>
      <c r="BH267" s="1949">
        <v>42.66</v>
      </c>
      <c r="BI267" s="1948">
        <v>5561</v>
      </c>
      <c r="BJ267" s="1948">
        <f t="shared" si="72"/>
        <v>7821</v>
      </c>
      <c r="BK267" s="1948">
        <f t="shared" si="73"/>
        <v>0</v>
      </c>
    </row>
    <row r="268" spans="1:63" ht="15">
      <c r="A268" s="1946">
        <v>614000000011</v>
      </c>
      <c r="B268" s="1947">
        <f t="shared" si="74"/>
        <v>262</v>
      </c>
      <c r="C268" s="1906" t="s">
        <v>3663</v>
      </c>
      <c r="D268" s="1907" t="s">
        <v>524</v>
      </c>
      <c r="E268" s="1906" t="s">
        <v>636</v>
      </c>
      <c r="F268" s="1948" t="s">
        <v>259</v>
      </c>
      <c r="G268" s="1949">
        <v>186</v>
      </c>
      <c r="H268" s="1948">
        <v>0</v>
      </c>
      <c r="I268" s="1950">
        <v>0</v>
      </c>
      <c r="J268" s="1948">
        <v>0</v>
      </c>
      <c r="K268" s="1948">
        <v>0</v>
      </c>
      <c r="L268" s="1948">
        <v>0</v>
      </c>
      <c r="M268" s="1948">
        <v>0</v>
      </c>
      <c r="N268" s="1948">
        <f t="shared" si="60"/>
        <v>0</v>
      </c>
      <c r="O268" s="1948">
        <f t="shared" si="61"/>
        <v>0</v>
      </c>
      <c r="P268" s="1948">
        <v>0</v>
      </c>
      <c r="Q268" s="1948">
        <v>0</v>
      </c>
      <c r="R268" s="1948">
        <v>0</v>
      </c>
      <c r="S268" s="1948">
        <v>0</v>
      </c>
      <c r="T268" s="1948">
        <v>0</v>
      </c>
      <c r="U268" s="1948">
        <v>0</v>
      </c>
      <c r="V268" s="1948">
        <f t="shared" si="62"/>
        <v>0</v>
      </c>
      <c r="W268" s="1948">
        <f t="shared" si="63"/>
        <v>0</v>
      </c>
      <c r="X268" s="1948">
        <v>0</v>
      </c>
      <c r="Y268" s="1948">
        <v>0</v>
      </c>
      <c r="Z268" s="1948">
        <v>0</v>
      </c>
      <c r="AA268" s="1948">
        <v>0</v>
      </c>
      <c r="AB268" s="1948">
        <v>0</v>
      </c>
      <c r="AC268" s="1948">
        <v>0</v>
      </c>
      <c r="AD268" s="1948">
        <f t="shared" si="64"/>
        <v>0</v>
      </c>
      <c r="AE268" s="1948">
        <f t="shared" si="65"/>
        <v>0</v>
      </c>
      <c r="AF268" s="1948">
        <v>0</v>
      </c>
      <c r="AG268" s="1948">
        <v>0</v>
      </c>
      <c r="AH268" s="1948">
        <v>0</v>
      </c>
      <c r="AI268" s="1948">
        <v>0</v>
      </c>
      <c r="AJ268" s="1948">
        <v>0</v>
      </c>
      <c r="AK268" s="1948">
        <v>0</v>
      </c>
      <c r="AL268" s="1948">
        <f t="shared" si="66"/>
        <v>0</v>
      </c>
      <c r="AM268" s="1948">
        <f t="shared" si="67"/>
        <v>0</v>
      </c>
      <c r="AN268" s="1948">
        <v>0</v>
      </c>
      <c r="AO268" s="1948">
        <v>0</v>
      </c>
      <c r="AP268" s="1948">
        <v>0</v>
      </c>
      <c r="AQ268" s="1948">
        <v>0</v>
      </c>
      <c r="AR268" s="1948">
        <v>0</v>
      </c>
      <c r="AS268" s="1948">
        <v>0</v>
      </c>
      <c r="AT268" s="1948">
        <f t="shared" si="68"/>
        <v>0</v>
      </c>
      <c r="AU268" s="1948">
        <f t="shared" si="69"/>
        <v>0</v>
      </c>
      <c r="AV268" s="1948">
        <v>0</v>
      </c>
      <c r="AW268" s="1948">
        <v>0</v>
      </c>
      <c r="AX268" s="1948">
        <v>0</v>
      </c>
      <c r="AY268" s="1948">
        <v>0</v>
      </c>
      <c r="AZ268" s="1948">
        <v>0</v>
      </c>
      <c r="BA268" s="1948">
        <v>0</v>
      </c>
      <c r="BB268" s="1948">
        <f t="shared" si="70"/>
        <v>0</v>
      </c>
      <c r="BC268" s="1948">
        <f t="shared" si="71"/>
        <v>0</v>
      </c>
      <c r="BD268" s="1949">
        <v>186</v>
      </c>
      <c r="BE268" s="1948">
        <v>35.213999999999999</v>
      </c>
      <c r="BF268" s="1949">
        <v>148.80000000000001</v>
      </c>
      <c r="BG268" s="1949">
        <v>0.8911</v>
      </c>
      <c r="BH268" s="1949">
        <v>34.630000000000003</v>
      </c>
      <c r="BI268" s="1948">
        <v>10241</v>
      </c>
      <c r="BJ268" s="1948">
        <f t="shared" si="72"/>
        <v>15720</v>
      </c>
      <c r="BK268" s="1948">
        <f t="shared" si="73"/>
        <v>0</v>
      </c>
    </row>
    <row r="269" spans="1:63" ht="15">
      <c r="A269" s="1946">
        <v>124000000040</v>
      </c>
      <c r="B269" s="1947">
        <f t="shared" si="74"/>
        <v>263</v>
      </c>
      <c r="C269" s="1906" t="s">
        <v>3148</v>
      </c>
      <c r="D269" s="1907" t="s">
        <v>524</v>
      </c>
      <c r="E269" s="1906" t="s">
        <v>541</v>
      </c>
      <c r="F269" s="1948" t="s">
        <v>259</v>
      </c>
      <c r="G269" s="1949">
        <v>187</v>
      </c>
      <c r="H269" s="1948">
        <v>187</v>
      </c>
      <c r="I269" s="1950">
        <v>165.28</v>
      </c>
      <c r="J269" s="1948">
        <v>165.28</v>
      </c>
      <c r="K269" s="1948">
        <v>0.68440000000000001</v>
      </c>
      <c r="L269" s="1948">
        <v>30.26</v>
      </c>
      <c r="M269" s="1948">
        <v>36006</v>
      </c>
      <c r="N269" s="1948">
        <f t="shared" si="60"/>
        <v>71401</v>
      </c>
      <c r="O269" s="1948">
        <f t="shared" si="61"/>
        <v>0</v>
      </c>
      <c r="P269" s="1948">
        <v>187</v>
      </c>
      <c r="Q269" s="1948">
        <v>172.32</v>
      </c>
      <c r="R269" s="1948">
        <v>172.32</v>
      </c>
      <c r="S269" s="1948">
        <v>0.69350000000000001</v>
      </c>
      <c r="T269" s="1948">
        <v>53.12</v>
      </c>
      <c r="U269" s="1948">
        <v>68108</v>
      </c>
      <c r="V269" s="1948">
        <f t="shared" si="62"/>
        <v>76924</v>
      </c>
      <c r="W269" s="1948">
        <f t="shared" si="63"/>
        <v>0</v>
      </c>
      <c r="X269" s="1948">
        <v>187</v>
      </c>
      <c r="Y269" s="1948">
        <v>168.79999999999998</v>
      </c>
      <c r="Z269" s="1948">
        <v>168.8</v>
      </c>
      <c r="AA269" s="1948">
        <v>0.68479999999999996</v>
      </c>
      <c r="AB269" s="1948">
        <v>38.5</v>
      </c>
      <c r="AC269" s="1948">
        <v>46796</v>
      </c>
      <c r="AD269" s="1948">
        <f t="shared" si="64"/>
        <v>72922</v>
      </c>
      <c r="AE269" s="1948">
        <f t="shared" si="65"/>
        <v>0</v>
      </c>
      <c r="AF269" s="1948">
        <v>187</v>
      </c>
      <c r="AG269" s="1948">
        <v>174.56</v>
      </c>
      <c r="AH269" s="1948">
        <v>174.56</v>
      </c>
      <c r="AI269" s="1948">
        <v>0.70830000000000004</v>
      </c>
      <c r="AJ269" s="1948">
        <v>44.46</v>
      </c>
      <c r="AK269" s="1948">
        <v>57746</v>
      </c>
      <c r="AL269" s="1948">
        <f t="shared" si="66"/>
        <v>77924</v>
      </c>
      <c r="AM269" s="1948">
        <f t="shared" si="67"/>
        <v>0</v>
      </c>
      <c r="AN269" s="1948">
        <v>187</v>
      </c>
      <c r="AO269" s="1948">
        <v>191.35999999999999</v>
      </c>
      <c r="AP269" s="1948">
        <v>191.36</v>
      </c>
      <c r="AQ269" s="1948">
        <v>0.71379999999999999</v>
      </c>
      <c r="AR269" s="1948">
        <v>36.47</v>
      </c>
      <c r="AS269" s="1948">
        <v>51918</v>
      </c>
      <c r="AT269" s="1948">
        <f t="shared" si="68"/>
        <v>85423</v>
      </c>
      <c r="AU269" s="1948">
        <f t="shared" si="69"/>
        <v>0</v>
      </c>
      <c r="AV269" s="1948">
        <v>187</v>
      </c>
      <c r="AW269" s="1948">
        <v>185.76</v>
      </c>
      <c r="AX269" s="1948">
        <v>185.76</v>
      </c>
      <c r="AY269" s="1948">
        <v>0.71650000000000003</v>
      </c>
      <c r="AZ269" s="1948">
        <v>36.47</v>
      </c>
      <c r="BA269" s="1948">
        <v>48776</v>
      </c>
      <c r="BB269" s="1948">
        <f t="shared" si="70"/>
        <v>80248</v>
      </c>
      <c r="BC269" s="1948">
        <f t="shared" si="71"/>
        <v>0</v>
      </c>
      <c r="BD269" s="1949">
        <v>187</v>
      </c>
      <c r="BE269" s="1948">
        <v>164.79999999999998</v>
      </c>
      <c r="BF269" s="1949">
        <v>164.8</v>
      </c>
      <c r="BG269" s="1949">
        <v>0.59370000000000001</v>
      </c>
      <c r="BH269" s="1949">
        <v>5.23</v>
      </c>
      <c r="BI269" s="1948">
        <v>6414</v>
      </c>
      <c r="BJ269" s="1948">
        <f t="shared" si="72"/>
        <v>73567</v>
      </c>
      <c r="BK269" s="1948">
        <f t="shared" si="73"/>
        <v>0</v>
      </c>
    </row>
    <row r="270" spans="1:63" ht="15">
      <c r="A270" s="1946">
        <v>121000000056</v>
      </c>
      <c r="B270" s="1947">
        <f t="shared" si="74"/>
        <v>264</v>
      </c>
      <c r="C270" s="1906" t="s">
        <v>3147</v>
      </c>
      <c r="D270" s="1907" t="s">
        <v>524</v>
      </c>
      <c r="E270" s="1906" t="s">
        <v>2966</v>
      </c>
      <c r="F270" s="1948" t="s">
        <v>259</v>
      </c>
      <c r="G270" s="1949">
        <v>187</v>
      </c>
      <c r="H270" s="1948">
        <v>187</v>
      </c>
      <c r="I270" s="1950">
        <v>38.879999999999995</v>
      </c>
      <c r="J270" s="1948">
        <v>187</v>
      </c>
      <c r="K270" s="1948">
        <v>0.85040000000000004</v>
      </c>
      <c r="L270" s="1948">
        <v>0</v>
      </c>
      <c r="M270" s="1948">
        <v>7036</v>
      </c>
      <c r="N270" s="1948">
        <f t="shared" si="60"/>
        <v>16796</v>
      </c>
      <c r="O270" s="1948">
        <f t="shared" si="61"/>
        <v>0</v>
      </c>
      <c r="P270" s="1948">
        <v>187</v>
      </c>
      <c r="Q270" s="1948">
        <v>29.52</v>
      </c>
      <c r="R270" s="1948">
        <v>187</v>
      </c>
      <c r="S270" s="1948">
        <v>0.86</v>
      </c>
      <c r="T270" s="1948">
        <v>0</v>
      </c>
      <c r="U270" s="1948">
        <v>2630</v>
      </c>
      <c r="V270" s="1948">
        <f t="shared" si="62"/>
        <v>13178</v>
      </c>
      <c r="W270" s="1948">
        <f t="shared" si="63"/>
        <v>0</v>
      </c>
      <c r="X270" s="1948">
        <v>187</v>
      </c>
      <c r="Y270" s="1948">
        <v>2.2799999999999998</v>
      </c>
      <c r="Z270" s="1948">
        <v>187</v>
      </c>
      <c r="AA270" s="1948">
        <v>0.9153</v>
      </c>
      <c r="AB270" s="1948">
        <v>0</v>
      </c>
      <c r="AC270" s="1948">
        <v>378</v>
      </c>
      <c r="AD270" s="1948">
        <f t="shared" si="64"/>
        <v>985</v>
      </c>
      <c r="AE270" s="1948">
        <f t="shared" si="65"/>
        <v>0</v>
      </c>
      <c r="AF270" s="1948">
        <v>187</v>
      </c>
      <c r="AG270" s="1948">
        <v>1.9200000000000002</v>
      </c>
      <c r="AH270" s="1948">
        <v>187</v>
      </c>
      <c r="AI270" s="1948">
        <v>1</v>
      </c>
      <c r="AJ270" s="1948">
        <v>0</v>
      </c>
      <c r="AK270" s="1948">
        <v>308</v>
      </c>
      <c r="AL270" s="1948">
        <f t="shared" si="66"/>
        <v>857</v>
      </c>
      <c r="AM270" s="1948">
        <f t="shared" si="67"/>
        <v>0</v>
      </c>
      <c r="AN270" s="1948">
        <v>187</v>
      </c>
      <c r="AO270" s="1948">
        <v>5.88</v>
      </c>
      <c r="AP270" s="1948">
        <v>187</v>
      </c>
      <c r="AQ270" s="1948">
        <v>0.97150000000000003</v>
      </c>
      <c r="AR270" s="1948">
        <v>0</v>
      </c>
      <c r="AS270" s="1948">
        <v>246</v>
      </c>
      <c r="AT270" s="1948">
        <f t="shared" si="68"/>
        <v>2625</v>
      </c>
      <c r="AU270" s="1948">
        <f t="shared" si="69"/>
        <v>0</v>
      </c>
      <c r="AV270" s="1948">
        <v>187</v>
      </c>
      <c r="AW270" s="1948">
        <v>1.32</v>
      </c>
      <c r="AX270" s="1948">
        <v>187</v>
      </c>
      <c r="AY270" s="1948">
        <v>1</v>
      </c>
      <c r="AZ270" s="1948">
        <v>0</v>
      </c>
      <c r="BA270" s="1948">
        <v>121</v>
      </c>
      <c r="BB270" s="1948">
        <f t="shared" si="70"/>
        <v>570</v>
      </c>
      <c r="BC270" s="1948">
        <f t="shared" si="71"/>
        <v>0</v>
      </c>
      <c r="BD270" s="1949">
        <v>187</v>
      </c>
      <c r="BE270" s="1948">
        <v>1.32</v>
      </c>
      <c r="BF270" s="1949">
        <v>187</v>
      </c>
      <c r="BG270" s="1949">
        <v>1</v>
      </c>
      <c r="BH270" s="1949">
        <v>0</v>
      </c>
      <c r="BI270" s="1948">
        <v>138</v>
      </c>
      <c r="BJ270" s="1948">
        <f t="shared" si="72"/>
        <v>589</v>
      </c>
      <c r="BK270" s="1948">
        <f t="shared" si="73"/>
        <v>0</v>
      </c>
    </row>
    <row r="271" spans="1:63" ht="15">
      <c r="A271" s="1946">
        <v>621000000052</v>
      </c>
      <c r="B271" s="1947">
        <f t="shared" si="74"/>
        <v>265</v>
      </c>
      <c r="C271" s="1906" t="s">
        <v>3149</v>
      </c>
      <c r="D271" s="1907" t="s">
        <v>524</v>
      </c>
      <c r="E271" s="1906" t="s">
        <v>636</v>
      </c>
      <c r="F271" s="1948" t="s">
        <v>259</v>
      </c>
      <c r="G271" s="1949">
        <v>187</v>
      </c>
      <c r="H271" s="1948">
        <v>187</v>
      </c>
      <c r="I271" s="1950">
        <v>114</v>
      </c>
      <c r="J271" s="1948">
        <v>149.6</v>
      </c>
      <c r="K271" s="1948">
        <v>0.98040000000000005</v>
      </c>
      <c r="L271" s="1948">
        <v>32.950000000000003</v>
      </c>
      <c r="M271" s="1948">
        <v>27045</v>
      </c>
      <c r="N271" s="1948">
        <f t="shared" si="60"/>
        <v>49248</v>
      </c>
      <c r="O271" s="1948">
        <f t="shared" si="61"/>
        <v>0</v>
      </c>
      <c r="P271" s="1948">
        <v>187</v>
      </c>
      <c r="Q271" s="1948">
        <v>111.84</v>
      </c>
      <c r="R271" s="1948">
        <v>149.6</v>
      </c>
      <c r="S271" s="1948">
        <v>0.99260000000000004</v>
      </c>
      <c r="T271" s="1948">
        <v>36.549999999999997</v>
      </c>
      <c r="U271" s="1948">
        <v>30414</v>
      </c>
      <c r="V271" s="1948">
        <f t="shared" si="62"/>
        <v>49925</v>
      </c>
      <c r="W271" s="1948">
        <f t="shared" si="63"/>
        <v>0</v>
      </c>
      <c r="X271" s="1948">
        <v>187</v>
      </c>
      <c r="Y271" s="1948">
        <v>112.32000000000001</v>
      </c>
      <c r="Z271" s="1948">
        <v>149.6</v>
      </c>
      <c r="AA271" s="1948">
        <v>0.99339999999999995</v>
      </c>
      <c r="AB271" s="1948">
        <v>33.58</v>
      </c>
      <c r="AC271" s="1948">
        <v>27156</v>
      </c>
      <c r="AD271" s="1948">
        <f t="shared" si="64"/>
        <v>48522</v>
      </c>
      <c r="AE271" s="1948">
        <f t="shared" si="65"/>
        <v>0</v>
      </c>
      <c r="AF271" s="1948">
        <v>187</v>
      </c>
      <c r="AG271" s="1948">
        <v>91.679999999999993</v>
      </c>
      <c r="AH271" s="1948">
        <v>149.6</v>
      </c>
      <c r="AI271" s="1948">
        <v>0.99550000000000005</v>
      </c>
      <c r="AJ271" s="1948">
        <v>35.409999999999997</v>
      </c>
      <c r="AK271" s="1948">
        <v>24150</v>
      </c>
      <c r="AL271" s="1948">
        <f t="shared" si="66"/>
        <v>40926</v>
      </c>
      <c r="AM271" s="1948">
        <f t="shared" si="67"/>
        <v>0</v>
      </c>
      <c r="AN271" s="1948">
        <v>187</v>
      </c>
      <c r="AO271" s="1948">
        <v>99.36</v>
      </c>
      <c r="AP271" s="1948">
        <v>149.6</v>
      </c>
      <c r="AQ271" s="1948">
        <v>0.99619999999999997</v>
      </c>
      <c r="AR271" s="1948">
        <v>31.04</v>
      </c>
      <c r="AS271" s="1948">
        <v>22944</v>
      </c>
      <c r="AT271" s="1948">
        <f t="shared" si="68"/>
        <v>44354</v>
      </c>
      <c r="AU271" s="1948">
        <f t="shared" si="69"/>
        <v>0</v>
      </c>
      <c r="AV271" s="1948">
        <v>187</v>
      </c>
      <c r="AW271" s="1948">
        <v>103.68</v>
      </c>
      <c r="AX271" s="1948">
        <v>149.6</v>
      </c>
      <c r="AY271" s="1948">
        <v>0.99680000000000002</v>
      </c>
      <c r="AZ271" s="1948">
        <v>31.59</v>
      </c>
      <c r="BA271" s="1948">
        <v>23580</v>
      </c>
      <c r="BB271" s="1948">
        <f t="shared" si="70"/>
        <v>44790</v>
      </c>
      <c r="BC271" s="1948">
        <f t="shared" si="71"/>
        <v>0</v>
      </c>
      <c r="BD271" s="1949">
        <v>187</v>
      </c>
      <c r="BE271" s="1948">
        <v>91.2</v>
      </c>
      <c r="BF271" s="1949">
        <v>149.6</v>
      </c>
      <c r="BG271" s="1949">
        <v>0.99770000000000003</v>
      </c>
      <c r="BH271" s="1949">
        <v>33.81</v>
      </c>
      <c r="BI271" s="1948">
        <v>22941</v>
      </c>
      <c r="BJ271" s="1948">
        <f t="shared" si="72"/>
        <v>40712</v>
      </c>
      <c r="BK271" s="1948">
        <f t="shared" si="73"/>
        <v>0</v>
      </c>
    </row>
    <row r="272" spans="1:63" ht="15">
      <c r="A272" s="1946">
        <v>122000000013</v>
      </c>
      <c r="B272" s="1947">
        <f t="shared" si="74"/>
        <v>266</v>
      </c>
      <c r="C272" s="1906" t="s">
        <v>3153</v>
      </c>
      <c r="D272" s="1907" t="s">
        <v>524</v>
      </c>
      <c r="E272" s="1906" t="s">
        <v>623</v>
      </c>
      <c r="F272" s="1948" t="s">
        <v>259</v>
      </c>
      <c r="G272" s="1949">
        <v>189</v>
      </c>
      <c r="H272" s="1948">
        <v>189</v>
      </c>
      <c r="I272" s="1950">
        <v>65.199999999999989</v>
      </c>
      <c r="J272" s="1948">
        <v>189</v>
      </c>
      <c r="K272" s="1948">
        <v>0.98399999999999999</v>
      </c>
      <c r="L272" s="1948">
        <v>0</v>
      </c>
      <c r="M272" s="1948">
        <v>23364.144400000001</v>
      </c>
      <c r="N272" s="1948">
        <f t="shared" si="60"/>
        <v>28166</v>
      </c>
      <c r="O272" s="1948">
        <f t="shared" si="61"/>
        <v>0</v>
      </c>
      <c r="P272" s="1948">
        <v>189</v>
      </c>
      <c r="Q272" s="1948">
        <v>61.800000000000004</v>
      </c>
      <c r="R272" s="1948">
        <v>189</v>
      </c>
      <c r="S272" s="1948">
        <v>0.98450000000000004</v>
      </c>
      <c r="T272" s="1948">
        <v>0</v>
      </c>
      <c r="U272" s="1948">
        <v>20240</v>
      </c>
      <c r="V272" s="1948">
        <f t="shared" si="62"/>
        <v>27588</v>
      </c>
      <c r="W272" s="1948">
        <f t="shared" si="63"/>
        <v>0</v>
      </c>
      <c r="X272" s="1948">
        <v>189</v>
      </c>
      <c r="Y272" s="1948">
        <v>62.199999999999996</v>
      </c>
      <c r="Z272" s="1948">
        <v>189</v>
      </c>
      <c r="AA272" s="1948">
        <v>0.9788</v>
      </c>
      <c r="AB272" s="1948">
        <v>0</v>
      </c>
      <c r="AC272" s="1948">
        <v>21649</v>
      </c>
      <c r="AD272" s="1948">
        <f t="shared" si="64"/>
        <v>26870</v>
      </c>
      <c r="AE272" s="1948">
        <f t="shared" si="65"/>
        <v>0</v>
      </c>
      <c r="AF272" s="1948">
        <v>189</v>
      </c>
      <c r="AG272" s="1948">
        <v>58.8</v>
      </c>
      <c r="AH272" s="1948">
        <v>189</v>
      </c>
      <c r="AI272" s="1948">
        <v>0.98029999999999995</v>
      </c>
      <c r="AJ272" s="1948">
        <v>0</v>
      </c>
      <c r="AK272" s="1948">
        <v>20571.316999999999</v>
      </c>
      <c r="AL272" s="1948">
        <f t="shared" si="66"/>
        <v>26248</v>
      </c>
      <c r="AM272" s="1948">
        <f t="shared" si="67"/>
        <v>0</v>
      </c>
      <c r="AN272" s="1948">
        <v>189</v>
      </c>
      <c r="AO272" s="1948">
        <v>58.8</v>
      </c>
      <c r="AP272" s="1948">
        <v>189</v>
      </c>
      <c r="AQ272" s="1948">
        <v>0.96519999999999995</v>
      </c>
      <c r="AR272" s="1948">
        <v>0</v>
      </c>
      <c r="AS272" s="1948">
        <v>21277.448799999998</v>
      </c>
      <c r="AT272" s="1948">
        <f t="shared" si="68"/>
        <v>26248</v>
      </c>
      <c r="AU272" s="1948">
        <f t="shared" si="69"/>
        <v>0</v>
      </c>
      <c r="AV272" s="1948">
        <v>189</v>
      </c>
      <c r="AW272" s="1948">
        <v>62.8</v>
      </c>
      <c r="AX272" s="1948">
        <v>189</v>
      </c>
      <c r="AY272" s="1948">
        <v>0.97160000000000002</v>
      </c>
      <c r="AZ272" s="1948">
        <v>0</v>
      </c>
      <c r="BA272" s="1948">
        <v>22868</v>
      </c>
      <c r="BB272" s="1948">
        <f t="shared" si="70"/>
        <v>27130</v>
      </c>
      <c r="BC272" s="1948">
        <f t="shared" si="71"/>
        <v>0</v>
      </c>
      <c r="BD272" s="1949">
        <v>189</v>
      </c>
      <c r="BE272" s="1948">
        <v>66.400000000000006</v>
      </c>
      <c r="BF272" s="1949">
        <v>189</v>
      </c>
      <c r="BG272" s="1949">
        <v>0.97340000000000004</v>
      </c>
      <c r="BH272" s="1949">
        <v>0</v>
      </c>
      <c r="BI272" s="1948">
        <v>25556</v>
      </c>
      <c r="BJ272" s="1948">
        <f t="shared" si="72"/>
        <v>29641</v>
      </c>
      <c r="BK272" s="1948">
        <f t="shared" si="73"/>
        <v>0</v>
      </c>
    </row>
    <row r="273" spans="1:63" ht="15">
      <c r="A273" s="1946">
        <v>122000000070</v>
      </c>
      <c r="B273" s="1947">
        <f t="shared" si="74"/>
        <v>267</v>
      </c>
      <c r="C273" s="1906" t="s">
        <v>3154</v>
      </c>
      <c r="D273" s="1907" t="s">
        <v>524</v>
      </c>
      <c r="E273" s="1906" t="s">
        <v>541</v>
      </c>
      <c r="F273" s="1948" t="s">
        <v>259</v>
      </c>
      <c r="G273" s="1949">
        <v>189</v>
      </c>
      <c r="H273" s="1948">
        <v>189</v>
      </c>
      <c r="I273" s="1950">
        <v>112.2</v>
      </c>
      <c r="J273" s="1948">
        <v>151.19999999999999</v>
      </c>
      <c r="K273" s="1948">
        <v>0.99780000000000002</v>
      </c>
      <c r="L273" s="1948">
        <v>21.91</v>
      </c>
      <c r="M273" s="1948">
        <v>17702</v>
      </c>
      <c r="N273" s="1948">
        <f t="shared" si="60"/>
        <v>48470</v>
      </c>
      <c r="O273" s="1948">
        <f t="shared" si="61"/>
        <v>0</v>
      </c>
      <c r="P273" s="1948">
        <v>189</v>
      </c>
      <c r="Q273" s="1948">
        <v>90.240000000000009</v>
      </c>
      <c r="R273" s="1948">
        <v>151.19999999999999</v>
      </c>
      <c r="S273" s="1948">
        <v>0.99439999999999995</v>
      </c>
      <c r="T273" s="1948">
        <v>31.8</v>
      </c>
      <c r="U273" s="1948">
        <v>21351</v>
      </c>
      <c r="V273" s="1948">
        <f t="shared" si="62"/>
        <v>40283</v>
      </c>
      <c r="W273" s="1948">
        <f t="shared" si="63"/>
        <v>0</v>
      </c>
      <c r="X273" s="1948">
        <v>189</v>
      </c>
      <c r="Y273" s="1948">
        <v>92.88</v>
      </c>
      <c r="Z273" s="1948">
        <v>151.19999999999999</v>
      </c>
      <c r="AA273" s="1948">
        <v>0.99309999999999998</v>
      </c>
      <c r="AB273" s="1948">
        <v>28.91</v>
      </c>
      <c r="AC273" s="1948">
        <v>19336</v>
      </c>
      <c r="AD273" s="1948">
        <f t="shared" si="64"/>
        <v>40124</v>
      </c>
      <c r="AE273" s="1948">
        <f t="shared" si="65"/>
        <v>0</v>
      </c>
      <c r="AF273" s="1948">
        <v>189</v>
      </c>
      <c r="AG273" s="1948">
        <v>86.399999999999991</v>
      </c>
      <c r="AH273" s="1948">
        <v>151.19999999999999</v>
      </c>
      <c r="AI273" s="1948">
        <v>0.99439999999999995</v>
      </c>
      <c r="AJ273" s="1948">
        <v>36.32</v>
      </c>
      <c r="AK273" s="1948">
        <v>23346</v>
      </c>
      <c r="AL273" s="1948">
        <f t="shared" si="66"/>
        <v>38569</v>
      </c>
      <c r="AM273" s="1948">
        <f t="shared" si="67"/>
        <v>0</v>
      </c>
      <c r="AN273" s="1948">
        <v>189</v>
      </c>
      <c r="AO273" s="1948">
        <v>94.440000000000012</v>
      </c>
      <c r="AP273" s="1948">
        <v>151.19999999999999</v>
      </c>
      <c r="AQ273" s="1948">
        <v>0.99029999999999996</v>
      </c>
      <c r="AR273" s="1948">
        <v>30.27</v>
      </c>
      <c r="AS273" s="1948">
        <v>21268</v>
      </c>
      <c r="AT273" s="1948">
        <f t="shared" si="68"/>
        <v>42158</v>
      </c>
      <c r="AU273" s="1948">
        <f t="shared" si="69"/>
        <v>0</v>
      </c>
      <c r="AV273" s="1948">
        <v>189</v>
      </c>
      <c r="AW273" s="1948">
        <v>102.48</v>
      </c>
      <c r="AX273" s="1948">
        <v>151.19999999999999</v>
      </c>
      <c r="AY273" s="1948">
        <v>0.99350000000000005</v>
      </c>
      <c r="AZ273" s="1948">
        <v>22.18</v>
      </c>
      <c r="BA273" s="1948">
        <v>16364</v>
      </c>
      <c r="BB273" s="1948">
        <f t="shared" si="70"/>
        <v>44271</v>
      </c>
      <c r="BC273" s="1948">
        <f t="shared" si="71"/>
        <v>0</v>
      </c>
      <c r="BD273" s="1949">
        <v>189</v>
      </c>
      <c r="BE273" s="1948">
        <v>91.44</v>
      </c>
      <c r="BF273" s="1949">
        <v>151.19999999999999</v>
      </c>
      <c r="BG273" s="1949">
        <v>0.99199999999999999</v>
      </c>
      <c r="BH273" s="1949">
        <v>16.5</v>
      </c>
      <c r="BI273" s="1948">
        <v>11228</v>
      </c>
      <c r="BJ273" s="1948">
        <f t="shared" si="72"/>
        <v>40819</v>
      </c>
      <c r="BK273" s="1948">
        <f t="shared" si="73"/>
        <v>0</v>
      </c>
    </row>
    <row r="274" spans="1:63" ht="15">
      <c r="A274" s="1946">
        <v>122000000073</v>
      </c>
      <c r="B274" s="1947">
        <f t="shared" si="74"/>
        <v>268</v>
      </c>
      <c r="C274" s="1906" t="s">
        <v>3155</v>
      </c>
      <c r="D274" s="1907" t="s">
        <v>524</v>
      </c>
      <c r="E274" s="1906" t="s">
        <v>541</v>
      </c>
      <c r="F274" s="1948" t="s">
        <v>259</v>
      </c>
      <c r="G274" s="1949">
        <v>189</v>
      </c>
      <c r="H274" s="1948">
        <v>189</v>
      </c>
      <c r="I274" s="1950">
        <v>170.32</v>
      </c>
      <c r="J274" s="1948">
        <v>170.32</v>
      </c>
      <c r="K274" s="1948">
        <v>0.89429999999999998</v>
      </c>
      <c r="L274" s="1948">
        <v>27.71</v>
      </c>
      <c r="M274" s="1948">
        <v>33981</v>
      </c>
      <c r="N274" s="1948">
        <f t="shared" si="60"/>
        <v>73578</v>
      </c>
      <c r="O274" s="1948">
        <f t="shared" si="61"/>
        <v>0</v>
      </c>
      <c r="P274" s="1948">
        <v>189</v>
      </c>
      <c r="Q274" s="1948">
        <v>155.28</v>
      </c>
      <c r="R274" s="1948">
        <v>155.28</v>
      </c>
      <c r="S274" s="1948">
        <v>0.90529999999999999</v>
      </c>
      <c r="T274" s="1948">
        <v>32.99</v>
      </c>
      <c r="U274" s="1948">
        <v>38110</v>
      </c>
      <c r="V274" s="1948">
        <f t="shared" si="62"/>
        <v>69317</v>
      </c>
      <c r="W274" s="1948">
        <f t="shared" si="63"/>
        <v>0</v>
      </c>
      <c r="X274" s="1948">
        <v>189</v>
      </c>
      <c r="Y274" s="1948">
        <v>137.28</v>
      </c>
      <c r="Z274" s="1948">
        <v>151.19999999999999</v>
      </c>
      <c r="AA274" s="1948">
        <v>0.87970000000000004</v>
      </c>
      <c r="AB274" s="1948">
        <v>30.19</v>
      </c>
      <c r="AC274" s="1948">
        <v>29839</v>
      </c>
      <c r="AD274" s="1948">
        <f t="shared" si="64"/>
        <v>59305</v>
      </c>
      <c r="AE274" s="1948">
        <f t="shared" si="65"/>
        <v>0</v>
      </c>
      <c r="AF274" s="1948">
        <v>189</v>
      </c>
      <c r="AG274" s="1948">
        <v>158.80000000000001</v>
      </c>
      <c r="AH274" s="1948">
        <v>158.80000000000001</v>
      </c>
      <c r="AI274" s="1948">
        <v>0.89170000000000005</v>
      </c>
      <c r="AJ274" s="1948">
        <v>28.89</v>
      </c>
      <c r="AK274" s="1948">
        <v>34133</v>
      </c>
      <c r="AL274" s="1948">
        <f t="shared" si="66"/>
        <v>70888</v>
      </c>
      <c r="AM274" s="1948">
        <f t="shared" si="67"/>
        <v>0</v>
      </c>
      <c r="AN274" s="1948">
        <v>189</v>
      </c>
      <c r="AO274" s="1948">
        <v>132.72</v>
      </c>
      <c r="AP274" s="1948">
        <v>151.19999999999999</v>
      </c>
      <c r="AQ274" s="1948">
        <v>0.87619999999999998</v>
      </c>
      <c r="AR274" s="1948">
        <v>31.02</v>
      </c>
      <c r="AS274" s="1948">
        <v>30627</v>
      </c>
      <c r="AT274" s="1948">
        <f t="shared" si="68"/>
        <v>59246</v>
      </c>
      <c r="AU274" s="1948">
        <f t="shared" si="69"/>
        <v>0</v>
      </c>
      <c r="AV274" s="1948">
        <v>189</v>
      </c>
      <c r="AW274" s="1948">
        <v>131.51999999999998</v>
      </c>
      <c r="AX274" s="1948">
        <v>151.19999999999999</v>
      </c>
      <c r="AY274" s="1948">
        <v>0.94379999999999997</v>
      </c>
      <c r="AZ274" s="1948">
        <v>28.41</v>
      </c>
      <c r="BA274" s="1948">
        <v>26906</v>
      </c>
      <c r="BB274" s="1948">
        <f t="shared" si="70"/>
        <v>56817</v>
      </c>
      <c r="BC274" s="1948">
        <f t="shared" si="71"/>
        <v>0</v>
      </c>
      <c r="BD274" s="1949">
        <v>189</v>
      </c>
      <c r="BE274" s="1948">
        <v>122.56</v>
      </c>
      <c r="BF274" s="1949">
        <v>151.19999999999999</v>
      </c>
      <c r="BG274" s="1949">
        <v>0.95389999999999997</v>
      </c>
      <c r="BH274" s="1949">
        <v>25.03</v>
      </c>
      <c r="BI274" s="1948">
        <v>22821</v>
      </c>
      <c r="BJ274" s="1948">
        <f t="shared" si="72"/>
        <v>54711</v>
      </c>
      <c r="BK274" s="1948">
        <f t="shared" si="73"/>
        <v>0</v>
      </c>
    </row>
    <row r="275" spans="1:63" ht="15">
      <c r="A275" s="1946">
        <v>122000000103</v>
      </c>
      <c r="B275" s="1947">
        <f t="shared" si="74"/>
        <v>269</v>
      </c>
      <c r="C275" s="1906" t="s">
        <v>3561</v>
      </c>
      <c r="D275" s="1907" t="s">
        <v>524</v>
      </c>
      <c r="E275" s="1906" t="s">
        <v>636</v>
      </c>
      <c r="F275" s="1948" t="s">
        <v>259</v>
      </c>
      <c r="G275" s="1949">
        <v>189</v>
      </c>
      <c r="H275" s="1948">
        <v>0</v>
      </c>
      <c r="I275" s="1950">
        <v>0</v>
      </c>
      <c r="J275" s="1948">
        <v>0</v>
      </c>
      <c r="K275" s="1948">
        <v>0</v>
      </c>
      <c r="L275" s="1948">
        <v>0</v>
      </c>
      <c r="M275" s="1948">
        <v>0</v>
      </c>
      <c r="N275" s="1948">
        <f t="shared" si="60"/>
        <v>0</v>
      </c>
      <c r="O275" s="1948">
        <f t="shared" si="61"/>
        <v>0</v>
      </c>
      <c r="P275" s="1948">
        <v>0</v>
      </c>
      <c r="Q275" s="1948">
        <v>0</v>
      </c>
      <c r="R275" s="1948">
        <v>0</v>
      </c>
      <c r="S275" s="1948">
        <v>0</v>
      </c>
      <c r="T275" s="1948">
        <v>0</v>
      </c>
      <c r="U275" s="1948">
        <v>0</v>
      </c>
      <c r="V275" s="1948">
        <f t="shared" si="62"/>
        <v>0</v>
      </c>
      <c r="W275" s="1948">
        <f t="shared" si="63"/>
        <v>0</v>
      </c>
      <c r="X275" s="1948">
        <v>0</v>
      </c>
      <c r="Y275" s="1948">
        <v>0</v>
      </c>
      <c r="Z275" s="1948">
        <v>0</v>
      </c>
      <c r="AA275" s="1948">
        <v>0</v>
      </c>
      <c r="AB275" s="1948">
        <v>0</v>
      </c>
      <c r="AC275" s="1948">
        <v>0</v>
      </c>
      <c r="AD275" s="1948">
        <f t="shared" si="64"/>
        <v>0</v>
      </c>
      <c r="AE275" s="1948">
        <f t="shared" si="65"/>
        <v>0</v>
      </c>
      <c r="AF275" s="1948">
        <v>189</v>
      </c>
      <c r="AG275" s="1948">
        <v>51.733199999999997</v>
      </c>
      <c r="AH275" s="1948">
        <v>151.19999999999999</v>
      </c>
      <c r="AI275" s="1948">
        <v>0.94079999999999997</v>
      </c>
      <c r="AJ275" s="1948">
        <v>33.97</v>
      </c>
      <c r="AK275" s="1948">
        <v>10121</v>
      </c>
      <c r="AL275" s="1948">
        <f t="shared" si="66"/>
        <v>23094</v>
      </c>
      <c r="AM275" s="1948">
        <f t="shared" si="67"/>
        <v>0</v>
      </c>
      <c r="AN275" s="1948">
        <v>189</v>
      </c>
      <c r="AO275" s="1948">
        <v>63.602400000000003</v>
      </c>
      <c r="AP275" s="1948">
        <v>151.19999999999999</v>
      </c>
      <c r="AQ275" s="1948">
        <v>0.97750000000000004</v>
      </c>
      <c r="AR275" s="1948">
        <v>37.44</v>
      </c>
      <c r="AS275" s="1948">
        <v>17718</v>
      </c>
      <c r="AT275" s="1948">
        <f t="shared" si="68"/>
        <v>28392</v>
      </c>
      <c r="AU275" s="1948">
        <f t="shared" si="69"/>
        <v>0</v>
      </c>
      <c r="AV275" s="1948">
        <v>189</v>
      </c>
      <c r="AW275" s="1948">
        <v>64.847999999999999</v>
      </c>
      <c r="AX275" s="1948">
        <v>151.19999999999999</v>
      </c>
      <c r="AY275" s="1948">
        <v>0.98080000000000001</v>
      </c>
      <c r="AZ275" s="1948">
        <v>41.72</v>
      </c>
      <c r="BA275" s="1948">
        <v>19481</v>
      </c>
      <c r="BB275" s="1948">
        <f t="shared" si="70"/>
        <v>28014</v>
      </c>
      <c r="BC275" s="1948">
        <f t="shared" si="71"/>
        <v>0</v>
      </c>
      <c r="BD275" s="1949">
        <v>189</v>
      </c>
      <c r="BE275" s="1948">
        <v>59.19</v>
      </c>
      <c r="BF275" s="1949">
        <v>151.19999999999999</v>
      </c>
      <c r="BG275" s="1949">
        <v>0.97929999999999995</v>
      </c>
      <c r="BH275" s="1949">
        <v>44.18</v>
      </c>
      <c r="BI275" s="1948">
        <v>19454</v>
      </c>
      <c r="BJ275" s="1948">
        <f t="shared" si="72"/>
        <v>26422</v>
      </c>
      <c r="BK275" s="1948">
        <f t="shared" si="73"/>
        <v>0</v>
      </c>
    </row>
    <row r="276" spans="1:63" ht="15">
      <c r="A276" s="1946">
        <v>128000000007</v>
      </c>
      <c r="B276" s="1947">
        <f t="shared" si="74"/>
        <v>270</v>
      </c>
      <c r="C276" s="1906" t="s">
        <v>3562</v>
      </c>
      <c r="D276" s="1907" t="s">
        <v>524</v>
      </c>
      <c r="E276" s="1906" t="s">
        <v>2966</v>
      </c>
      <c r="F276" s="1948" t="s">
        <v>259</v>
      </c>
      <c r="G276" s="1949">
        <v>189</v>
      </c>
      <c r="H276" s="1948">
        <v>0</v>
      </c>
      <c r="I276" s="1950">
        <v>0</v>
      </c>
      <c r="J276" s="1948">
        <v>0</v>
      </c>
      <c r="K276" s="1948">
        <v>0</v>
      </c>
      <c r="L276" s="1948">
        <v>0</v>
      </c>
      <c r="M276" s="1948">
        <v>0</v>
      </c>
      <c r="N276" s="1948">
        <f t="shared" si="60"/>
        <v>0</v>
      </c>
      <c r="O276" s="1948">
        <f t="shared" si="61"/>
        <v>0</v>
      </c>
      <c r="P276" s="1948">
        <v>189</v>
      </c>
      <c r="Q276" s="1948">
        <v>143.41399999999999</v>
      </c>
      <c r="R276" s="1948">
        <v>189</v>
      </c>
      <c r="S276" s="1948">
        <v>0.81859999999999999</v>
      </c>
      <c r="T276" s="1948">
        <v>0</v>
      </c>
      <c r="U276" s="1948">
        <v>29617</v>
      </c>
      <c r="V276" s="1948">
        <f t="shared" si="62"/>
        <v>64020</v>
      </c>
      <c r="W276" s="1948">
        <f t="shared" si="63"/>
        <v>0</v>
      </c>
      <c r="X276" s="1948">
        <v>189</v>
      </c>
      <c r="Y276" s="1948">
        <v>123.625</v>
      </c>
      <c r="Z276" s="1948">
        <v>189</v>
      </c>
      <c r="AA276" s="1948">
        <v>0.79059999999999997</v>
      </c>
      <c r="AB276" s="1948">
        <v>0</v>
      </c>
      <c r="AC276" s="1948">
        <v>24986</v>
      </c>
      <c r="AD276" s="1948">
        <f t="shared" si="64"/>
        <v>53406</v>
      </c>
      <c r="AE276" s="1948">
        <f t="shared" si="65"/>
        <v>0</v>
      </c>
      <c r="AF276" s="1948">
        <v>189</v>
      </c>
      <c r="AG276" s="1948">
        <v>120.334</v>
      </c>
      <c r="AH276" s="1948">
        <v>189</v>
      </c>
      <c r="AI276" s="1948">
        <v>0.77739999999999998</v>
      </c>
      <c r="AJ276" s="1948">
        <v>0</v>
      </c>
      <c r="AK276" s="1948">
        <v>24071</v>
      </c>
      <c r="AL276" s="1948">
        <f t="shared" si="66"/>
        <v>53717</v>
      </c>
      <c r="AM276" s="1948">
        <f t="shared" si="67"/>
        <v>0</v>
      </c>
      <c r="AN276" s="1948">
        <v>189</v>
      </c>
      <c r="AO276" s="1948">
        <v>140.31399999999999</v>
      </c>
      <c r="AP276" s="1948">
        <v>189</v>
      </c>
      <c r="AQ276" s="1948">
        <v>0.78539999999999999</v>
      </c>
      <c r="AR276" s="1948">
        <v>0</v>
      </c>
      <c r="AS276" s="1948">
        <v>37594</v>
      </c>
      <c r="AT276" s="1948">
        <f t="shared" si="68"/>
        <v>62636</v>
      </c>
      <c r="AU276" s="1948">
        <f t="shared" si="69"/>
        <v>0</v>
      </c>
      <c r="AV276" s="1948">
        <v>189</v>
      </c>
      <c r="AW276" s="1948">
        <v>102.5</v>
      </c>
      <c r="AX276" s="1948">
        <v>189</v>
      </c>
      <c r="AY276" s="1948">
        <v>0.77259999999999995</v>
      </c>
      <c r="AZ276" s="1948">
        <v>0</v>
      </c>
      <c r="BA276" s="1948">
        <v>27594</v>
      </c>
      <c r="BB276" s="1948">
        <f t="shared" si="70"/>
        <v>44280</v>
      </c>
      <c r="BC276" s="1948">
        <f t="shared" si="71"/>
        <v>0</v>
      </c>
      <c r="BD276" s="1949">
        <v>189</v>
      </c>
      <c r="BE276" s="1948">
        <v>111.28</v>
      </c>
      <c r="BF276" s="1949">
        <v>189</v>
      </c>
      <c r="BG276" s="1949">
        <v>0.75819999999999999</v>
      </c>
      <c r="BH276" s="1949">
        <v>0</v>
      </c>
      <c r="BI276" s="1948">
        <v>16326</v>
      </c>
      <c r="BJ276" s="1948">
        <f t="shared" si="72"/>
        <v>49675</v>
      </c>
      <c r="BK276" s="1948">
        <f t="shared" si="73"/>
        <v>0</v>
      </c>
    </row>
    <row r="277" spans="1:63" ht="15">
      <c r="A277" s="1946">
        <v>123000000129</v>
      </c>
      <c r="B277" s="1947">
        <f t="shared" si="74"/>
        <v>271</v>
      </c>
      <c r="C277" s="1906" t="s">
        <v>3158</v>
      </c>
      <c r="D277" s="1907" t="s">
        <v>524</v>
      </c>
      <c r="E277" s="1906" t="s">
        <v>636</v>
      </c>
      <c r="F277" s="1948" t="s">
        <v>259</v>
      </c>
      <c r="G277" s="1949">
        <v>189</v>
      </c>
      <c r="H277" s="1948">
        <v>189</v>
      </c>
      <c r="I277" s="1950">
        <v>28.560000000000002</v>
      </c>
      <c r="J277" s="1948">
        <v>151.19999999999999</v>
      </c>
      <c r="K277" s="1948">
        <v>0.97740000000000005</v>
      </c>
      <c r="L277" s="1948">
        <v>21.15</v>
      </c>
      <c r="M277" s="1948">
        <v>4349</v>
      </c>
      <c r="N277" s="1948">
        <f t="shared" si="60"/>
        <v>12338</v>
      </c>
      <c r="O277" s="1948">
        <f t="shared" si="61"/>
        <v>0</v>
      </c>
      <c r="P277" s="1948">
        <v>189</v>
      </c>
      <c r="Q277" s="1948">
        <v>12.32</v>
      </c>
      <c r="R277" s="1948">
        <v>151.19999999999999</v>
      </c>
      <c r="S277" s="1948">
        <v>0.97009999999999996</v>
      </c>
      <c r="T277" s="1948">
        <v>31.02</v>
      </c>
      <c r="U277" s="1948">
        <v>2843</v>
      </c>
      <c r="V277" s="1948">
        <f t="shared" si="62"/>
        <v>5500</v>
      </c>
      <c r="W277" s="1948">
        <f t="shared" si="63"/>
        <v>0</v>
      </c>
      <c r="X277" s="1948">
        <v>189</v>
      </c>
      <c r="Y277" s="1948">
        <v>22.88</v>
      </c>
      <c r="Z277" s="1948">
        <v>151.19999999999999</v>
      </c>
      <c r="AA277" s="1948">
        <v>0.97119999999999995</v>
      </c>
      <c r="AB277" s="1948">
        <v>27.68</v>
      </c>
      <c r="AC277" s="1948">
        <v>4560</v>
      </c>
      <c r="AD277" s="1948">
        <f t="shared" si="64"/>
        <v>9884</v>
      </c>
      <c r="AE277" s="1948">
        <f t="shared" si="65"/>
        <v>0</v>
      </c>
      <c r="AF277" s="1948">
        <v>189</v>
      </c>
      <c r="AG277" s="1948">
        <v>37.44</v>
      </c>
      <c r="AH277" s="1948">
        <v>151.19999999999999</v>
      </c>
      <c r="AI277" s="1948">
        <v>0.98960000000000004</v>
      </c>
      <c r="AJ277" s="1948">
        <v>27.09</v>
      </c>
      <c r="AK277" s="1948">
        <v>7547</v>
      </c>
      <c r="AL277" s="1948">
        <f t="shared" si="66"/>
        <v>16713</v>
      </c>
      <c r="AM277" s="1948">
        <f t="shared" si="67"/>
        <v>0</v>
      </c>
      <c r="AN277" s="1948">
        <v>189</v>
      </c>
      <c r="AO277" s="1948">
        <v>38.32</v>
      </c>
      <c r="AP277" s="1948">
        <v>151.19999999999999</v>
      </c>
      <c r="AQ277" s="1948">
        <v>0.98780000000000001</v>
      </c>
      <c r="AR277" s="1948">
        <v>23.87</v>
      </c>
      <c r="AS277" s="1948">
        <v>6805</v>
      </c>
      <c r="AT277" s="1948">
        <f t="shared" si="68"/>
        <v>17106</v>
      </c>
      <c r="AU277" s="1948">
        <f t="shared" si="69"/>
        <v>0</v>
      </c>
      <c r="AV277" s="1948">
        <v>189</v>
      </c>
      <c r="AW277" s="1948">
        <v>44.64</v>
      </c>
      <c r="AX277" s="1948">
        <v>151.19999999999999</v>
      </c>
      <c r="AY277" s="1948">
        <v>0.9879</v>
      </c>
      <c r="AZ277" s="1948">
        <v>19.54</v>
      </c>
      <c r="BA277" s="1948">
        <v>6281</v>
      </c>
      <c r="BB277" s="1948">
        <f t="shared" si="70"/>
        <v>19284</v>
      </c>
      <c r="BC277" s="1948">
        <f t="shared" si="71"/>
        <v>0</v>
      </c>
      <c r="BD277" s="1949">
        <v>189</v>
      </c>
      <c r="BE277" s="1948">
        <v>26.72</v>
      </c>
      <c r="BF277" s="1949">
        <v>151.19999999999999</v>
      </c>
      <c r="BG277" s="1949">
        <v>0.98470000000000002</v>
      </c>
      <c r="BH277" s="1949">
        <v>27.96</v>
      </c>
      <c r="BI277" s="1948">
        <v>5558</v>
      </c>
      <c r="BJ277" s="1948">
        <f t="shared" si="72"/>
        <v>11928</v>
      </c>
      <c r="BK277" s="1948">
        <f t="shared" si="73"/>
        <v>0</v>
      </c>
    </row>
    <row r="278" spans="1:63" ht="15">
      <c r="A278" s="1946">
        <v>127000000008</v>
      </c>
      <c r="B278" s="1947">
        <f t="shared" si="74"/>
        <v>272</v>
      </c>
      <c r="C278" s="1906" t="s">
        <v>3156</v>
      </c>
      <c r="D278" s="1907" t="s">
        <v>524</v>
      </c>
      <c r="E278" s="1906" t="s">
        <v>636</v>
      </c>
      <c r="F278" s="1948" t="s">
        <v>259</v>
      </c>
      <c r="G278" s="1949">
        <v>189</v>
      </c>
      <c r="H278" s="1948">
        <v>189</v>
      </c>
      <c r="I278" s="1950">
        <v>42.12</v>
      </c>
      <c r="J278" s="1948">
        <v>151.19999999999999</v>
      </c>
      <c r="K278" s="1948">
        <v>0.99470000000000003</v>
      </c>
      <c r="L278" s="1948">
        <v>18.239999999999998</v>
      </c>
      <c r="M278" s="1948">
        <v>5533</v>
      </c>
      <c r="N278" s="1948">
        <f t="shared" si="60"/>
        <v>18196</v>
      </c>
      <c r="O278" s="1948">
        <f t="shared" si="61"/>
        <v>0</v>
      </c>
      <c r="P278" s="1948">
        <v>189</v>
      </c>
      <c r="Q278" s="1948">
        <v>41.519999999999996</v>
      </c>
      <c r="R278" s="1948">
        <v>151.19999999999999</v>
      </c>
      <c r="S278" s="1948">
        <v>0.99260000000000004</v>
      </c>
      <c r="T278" s="1948">
        <v>20.05</v>
      </c>
      <c r="U278" s="1948">
        <v>5994</v>
      </c>
      <c r="V278" s="1948">
        <f t="shared" si="62"/>
        <v>18535</v>
      </c>
      <c r="W278" s="1948">
        <f t="shared" si="63"/>
        <v>0</v>
      </c>
      <c r="X278" s="1948">
        <v>189</v>
      </c>
      <c r="Y278" s="1948">
        <v>44.88</v>
      </c>
      <c r="Z278" s="1948">
        <v>151.19999999999999</v>
      </c>
      <c r="AA278" s="1948">
        <v>0.98829999999999996</v>
      </c>
      <c r="AB278" s="1948">
        <v>13.64</v>
      </c>
      <c r="AC278" s="1948">
        <v>4555</v>
      </c>
      <c r="AD278" s="1948">
        <f t="shared" si="64"/>
        <v>19388</v>
      </c>
      <c r="AE278" s="1948">
        <f t="shared" si="65"/>
        <v>0</v>
      </c>
      <c r="AF278" s="1948">
        <v>189</v>
      </c>
      <c r="AG278" s="1948">
        <v>50.64</v>
      </c>
      <c r="AH278" s="1948">
        <v>151.19999999999999</v>
      </c>
      <c r="AI278" s="1948">
        <v>0.99590000000000001</v>
      </c>
      <c r="AJ278" s="1948">
        <v>18.52</v>
      </c>
      <c r="AK278" s="1948">
        <v>6977</v>
      </c>
      <c r="AL278" s="1948">
        <f t="shared" si="66"/>
        <v>22606</v>
      </c>
      <c r="AM278" s="1948">
        <f t="shared" si="67"/>
        <v>0</v>
      </c>
      <c r="AN278" s="1948">
        <v>189</v>
      </c>
      <c r="AO278" s="1948">
        <v>48.96</v>
      </c>
      <c r="AP278" s="1948">
        <v>151.19999999999999</v>
      </c>
      <c r="AQ278" s="1948">
        <v>0.99719999999999998</v>
      </c>
      <c r="AR278" s="1948">
        <v>20.32</v>
      </c>
      <c r="AS278" s="1948">
        <v>7402</v>
      </c>
      <c r="AT278" s="1948">
        <f t="shared" si="68"/>
        <v>21856</v>
      </c>
      <c r="AU278" s="1948">
        <f t="shared" si="69"/>
        <v>0</v>
      </c>
      <c r="AV278" s="1948">
        <v>189</v>
      </c>
      <c r="AW278" s="1948">
        <v>48.48</v>
      </c>
      <c r="AX278" s="1948">
        <v>151.19999999999999</v>
      </c>
      <c r="AY278" s="1948">
        <v>0.996</v>
      </c>
      <c r="AZ278" s="1948">
        <v>18.18</v>
      </c>
      <c r="BA278" s="1948">
        <v>6347</v>
      </c>
      <c r="BB278" s="1948">
        <f t="shared" si="70"/>
        <v>20943</v>
      </c>
      <c r="BC278" s="1948">
        <f t="shared" si="71"/>
        <v>0</v>
      </c>
      <c r="BD278" s="1949">
        <v>189</v>
      </c>
      <c r="BE278" s="1948">
        <v>43.32</v>
      </c>
      <c r="BF278" s="1949">
        <v>151.19999999999999</v>
      </c>
      <c r="BG278" s="1949">
        <v>0.99250000000000005</v>
      </c>
      <c r="BH278" s="1949">
        <v>16.75</v>
      </c>
      <c r="BI278" s="1948">
        <v>5400</v>
      </c>
      <c r="BJ278" s="1948">
        <f t="shared" si="72"/>
        <v>19338</v>
      </c>
      <c r="BK278" s="1948">
        <f t="shared" si="73"/>
        <v>0</v>
      </c>
    </row>
    <row r="279" spans="1:63" ht="15">
      <c r="A279" s="1946">
        <v>121000000024</v>
      </c>
      <c r="B279" s="1947">
        <f t="shared" si="74"/>
        <v>273</v>
      </c>
      <c r="C279" s="1906" t="s">
        <v>3151</v>
      </c>
      <c r="D279" s="1907" t="s">
        <v>524</v>
      </c>
      <c r="E279" s="1906" t="s">
        <v>541</v>
      </c>
      <c r="F279" s="1948" t="s">
        <v>259</v>
      </c>
      <c r="G279" s="1949">
        <v>189</v>
      </c>
      <c r="H279" s="1948">
        <v>189</v>
      </c>
      <c r="I279" s="1950">
        <v>194.04000000000002</v>
      </c>
      <c r="J279" s="1948">
        <v>194.04</v>
      </c>
      <c r="K279" s="1948">
        <v>0.98750000000000004</v>
      </c>
      <c r="L279" s="1948">
        <v>38.700000000000003</v>
      </c>
      <c r="M279" s="1948">
        <v>59475</v>
      </c>
      <c r="N279" s="1948">
        <f t="shared" si="60"/>
        <v>83825</v>
      </c>
      <c r="O279" s="1948">
        <f t="shared" si="61"/>
        <v>0</v>
      </c>
      <c r="P279" s="1948">
        <v>189</v>
      </c>
      <c r="Q279" s="1948">
        <v>202.20000000000002</v>
      </c>
      <c r="R279" s="1948">
        <v>202.2</v>
      </c>
      <c r="S279" s="1948">
        <v>0.98670000000000002</v>
      </c>
      <c r="T279" s="1948">
        <v>36.64</v>
      </c>
      <c r="U279" s="1948">
        <v>53347</v>
      </c>
      <c r="V279" s="1948">
        <f t="shared" si="62"/>
        <v>90262</v>
      </c>
      <c r="W279" s="1948">
        <f t="shared" si="63"/>
        <v>0</v>
      </c>
      <c r="X279" s="1948">
        <v>189</v>
      </c>
      <c r="Y279" s="1948">
        <v>182.64000000000001</v>
      </c>
      <c r="Z279" s="1948">
        <v>182.64</v>
      </c>
      <c r="AA279" s="1948">
        <v>0.98740000000000006</v>
      </c>
      <c r="AB279" s="1948">
        <v>30.31</v>
      </c>
      <c r="AC279" s="1948">
        <v>39863</v>
      </c>
      <c r="AD279" s="1948">
        <f t="shared" si="64"/>
        <v>78900</v>
      </c>
      <c r="AE279" s="1948">
        <f t="shared" si="65"/>
        <v>0</v>
      </c>
      <c r="AF279" s="1948">
        <v>189</v>
      </c>
      <c r="AG279" s="1948">
        <v>178.08</v>
      </c>
      <c r="AH279" s="1948">
        <v>178.08</v>
      </c>
      <c r="AI279" s="1948">
        <v>0.98640000000000005</v>
      </c>
      <c r="AJ279" s="1948">
        <v>36.04</v>
      </c>
      <c r="AK279" s="1948">
        <v>47756</v>
      </c>
      <c r="AL279" s="1948">
        <f t="shared" si="66"/>
        <v>79495</v>
      </c>
      <c r="AM279" s="1948">
        <f t="shared" si="67"/>
        <v>0</v>
      </c>
      <c r="AN279" s="1948">
        <v>189</v>
      </c>
      <c r="AO279" s="1948">
        <v>184.2</v>
      </c>
      <c r="AP279" s="1948">
        <v>184.2</v>
      </c>
      <c r="AQ279" s="1948">
        <v>0.98650000000000004</v>
      </c>
      <c r="AR279" s="1948">
        <v>39.42</v>
      </c>
      <c r="AS279" s="1948">
        <v>55760</v>
      </c>
      <c r="AT279" s="1948">
        <f t="shared" si="68"/>
        <v>82227</v>
      </c>
      <c r="AU279" s="1948">
        <f t="shared" si="69"/>
        <v>0</v>
      </c>
      <c r="AV279" s="1948">
        <v>189</v>
      </c>
      <c r="AW279" s="1948">
        <v>194.64000000000001</v>
      </c>
      <c r="AX279" s="1948">
        <v>194.64</v>
      </c>
      <c r="AY279" s="1948">
        <v>0.95830000000000004</v>
      </c>
      <c r="AZ279" s="1948">
        <v>47.33</v>
      </c>
      <c r="BA279" s="1948">
        <v>72960</v>
      </c>
      <c r="BB279" s="1948">
        <f t="shared" si="70"/>
        <v>84084</v>
      </c>
      <c r="BC279" s="1948">
        <f t="shared" si="71"/>
        <v>0</v>
      </c>
      <c r="BD279" s="1949">
        <v>189</v>
      </c>
      <c r="BE279" s="1948">
        <v>175.08</v>
      </c>
      <c r="BF279" s="1949">
        <v>175.08</v>
      </c>
      <c r="BG279" s="1949">
        <v>0.94840000000000002</v>
      </c>
      <c r="BH279" s="1949">
        <v>20.84</v>
      </c>
      <c r="BI279" s="1948">
        <v>27144</v>
      </c>
      <c r="BJ279" s="1948">
        <f t="shared" si="72"/>
        <v>78156</v>
      </c>
      <c r="BK279" s="1948">
        <f t="shared" si="73"/>
        <v>0</v>
      </c>
    </row>
    <row r="280" spans="1:63" ht="15">
      <c r="A280" s="1946">
        <v>121000000047</v>
      </c>
      <c r="B280" s="1947">
        <f t="shared" si="74"/>
        <v>274</v>
      </c>
      <c r="C280" s="1906" t="s">
        <v>3152</v>
      </c>
      <c r="D280" s="1907" t="s">
        <v>524</v>
      </c>
      <c r="E280" s="1906" t="s">
        <v>541</v>
      </c>
      <c r="F280" s="1948" t="s">
        <v>259</v>
      </c>
      <c r="G280" s="1949">
        <v>189</v>
      </c>
      <c r="H280" s="1948">
        <v>189</v>
      </c>
      <c r="I280" s="1950">
        <v>103.4</v>
      </c>
      <c r="J280" s="1948">
        <v>151.19999999999999</v>
      </c>
      <c r="K280" s="1948">
        <v>0.94920000000000004</v>
      </c>
      <c r="L280" s="1948">
        <v>29.08</v>
      </c>
      <c r="M280" s="1948">
        <v>21653</v>
      </c>
      <c r="N280" s="1948">
        <f t="shared" si="60"/>
        <v>44669</v>
      </c>
      <c r="O280" s="1948">
        <f t="shared" si="61"/>
        <v>0</v>
      </c>
      <c r="P280" s="1948">
        <v>189</v>
      </c>
      <c r="Q280" s="1948">
        <v>239.4</v>
      </c>
      <c r="R280" s="1948">
        <v>239.4</v>
      </c>
      <c r="S280" s="1948">
        <v>0.88219999999999998</v>
      </c>
      <c r="T280" s="1948">
        <v>27.86</v>
      </c>
      <c r="U280" s="1948">
        <v>49625</v>
      </c>
      <c r="V280" s="1948">
        <f t="shared" si="62"/>
        <v>106868</v>
      </c>
      <c r="W280" s="1948">
        <f t="shared" si="63"/>
        <v>0</v>
      </c>
      <c r="X280" s="1948">
        <v>189</v>
      </c>
      <c r="Y280" s="1948">
        <v>242.4</v>
      </c>
      <c r="Z280" s="1948">
        <v>242.4</v>
      </c>
      <c r="AA280" s="1948">
        <v>0.91459999999999997</v>
      </c>
      <c r="AB280" s="1948">
        <v>25.67</v>
      </c>
      <c r="AC280" s="1948">
        <v>44810</v>
      </c>
      <c r="AD280" s="1948">
        <f t="shared" si="64"/>
        <v>104717</v>
      </c>
      <c r="AE280" s="1948">
        <f t="shared" si="65"/>
        <v>0</v>
      </c>
      <c r="AF280" s="1948">
        <v>189</v>
      </c>
      <c r="AG280" s="1948">
        <v>200.8</v>
      </c>
      <c r="AH280" s="1948">
        <v>200.8</v>
      </c>
      <c r="AI280" s="1948">
        <v>0.95209999999999995</v>
      </c>
      <c r="AJ280" s="1948">
        <v>20.02</v>
      </c>
      <c r="AK280" s="1948">
        <v>29908</v>
      </c>
      <c r="AL280" s="1948">
        <f t="shared" si="66"/>
        <v>89637</v>
      </c>
      <c r="AM280" s="1948">
        <f t="shared" si="67"/>
        <v>0</v>
      </c>
      <c r="AN280" s="1948">
        <v>189</v>
      </c>
      <c r="AO280" s="1948">
        <v>200.8</v>
      </c>
      <c r="AP280" s="1948">
        <v>200.8</v>
      </c>
      <c r="AQ280" s="1948">
        <v>0.9617</v>
      </c>
      <c r="AR280" s="1948">
        <v>20.97</v>
      </c>
      <c r="AS280" s="1948">
        <v>31330</v>
      </c>
      <c r="AT280" s="1948">
        <f t="shared" si="68"/>
        <v>89637</v>
      </c>
      <c r="AU280" s="1948">
        <f t="shared" si="69"/>
        <v>0</v>
      </c>
      <c r="AV280" s="1948">
        <v>189</v>
      </c>
      <c r="AW280" s="1948">
        <v>200.4</v>
      </c>
      <c r="AX280" s="1948">
        <v>200.4</v>
      </c>
      <c r="AY280" s="1948">
        <v>0.97160000000000002</v>
      </c>
      <c r="AZ280" s="1948">
        <v>22.52</v>
      </c>
      <c r="BA280" s="1948">
        <v>32493</v>
      </c>
      <c r="BB280" s="1948">
        <f t="shared" si="70"/>
        <v>86573</v>
      </c>
      <c r="BC280" s="1948">
        <f t="shared" si="71"/>
        <v>0</v>
      </c>
      <c r="BD280" s="1949">
        <v>189</v>
      </c>
      <c r="BE280" s="1948">
        <v>187.79999999999998</v>
      </c>
      <c r="BF280" s="1949">
        <v>187.8</v>
      </c>
      <c r="BG280" s="1949">
        <v>0.96779999999999999</v>
      </c>
      <c r="BH280" s="1949">
        <v>22.48</v>
      </c>
      <c r="BI280" s="1948">
        <v>31408</v>
      </c>
      <c r="BJ280" s="1948">
        <f t="shared" si="72"/>
        <v>83834</v>
      </c>
      <c r="BK280" s="1948">
        <f t="shared" si="73"/>
        <v>0</v>
      </c>
    </row>
    <row r="281" spans="1:63" ht="15">
      <c r="A281" s="1946">
        <v>121000000094</v>
      </c>
      <c r="B281" s="1947">
        <f t="shared" si="74"/>
        <v>275</v>
      </c>
      <c r="C281" s="1906" t="s">
        <v>3150</v>
      </c>
      <c r="D281" s="1907" t="s">
        <v>524</v>
      </c>
      <c r="E281" s="1906" t="s">
        <v>2966</v>
      </c>
      <c r="F281" s="1948" t="s">
        <v>259</v>
      </c>
      <c r="G281" s="1949">
        <v>189</v>
      </c>
      <c r="H281" s="1948">
        <v>189</v>
      </c>
      <c r="I281" s="1950">
        <v>154.4</v>
      </c>
      <c r="J281" s="1948">
        <v>189</v>
      </c>
      <c r="K281" s="1948">
        <v>0.83589999999999998</v>
      </c>
      <c r="L281" s="1948">
        <v>0</v>
      </c>
      <c r="M281" s="1948">
        <v>37584</v>
      </c>
      <c r="N281" s="1948">
        <f t="shared" si="60"/>
        <v>66701</v>
      </c>
      <c r="O281" s="1948">
        <f t="shared" si="61"/>
        <v>0</v>
      </c>
      <c r="P281" s="1948">
        <v>189</v>
      </c>
      <c r="Q281" s="1948">
        <v>124</v>
      </c>
      <c r="R281" s="1948">
        <v>189</v>
      </c>
      <c r="S281" s="1948">
        <v>0.88090000000000002</v>
      </c>
      <c r="T281" s="1948">
        <v>0</v>
      </c>
      <c r="U281" s="1948">
        <v>25508</v>
      </c>
      <c r="V281" s="1948">
        <f t="shared" si="62"/>
        <v>55354</v>
      </c>
      <c r="W281" s="1948">
        <f t="shared" si="63"/>
        <v>0</v>
      </c>
      <c r="X281" s="1948">
        <v>189</v>
      </c>
      <c r="Y281" s="1948">
        <v>127.36000000000001</v>
      </c>
      <c r="Z281" s="1948">
        <v>189</v>
      </c>
      <c r="AA281" s="1948">
        <v>0.87819999999999998</v>
      </c>
      <c r="AB281" s="1948">
        <v>0</v>
      </c>
      <c r="AC281" s="1948">
        <v>26292</v>
      </c>
      <c r="AD281" s="1948">
        <f t="shared" si="64"/>
        <v>55020</v>
      </c>
      <c r="AE281" s="1948">
        <f t="shared" si="65"/>
        <v>0</v>
      </c>
      <c r="AF281" s="1948">
        <v>189</v>
      </c>
      <c r="AG281" s="1948">
        <v>122.72000000000001</v>
      </c>
      <c r="AH281" s="1948">
        <v>189</v>
      </c>
      <c r="AI281" s="1948">
        <v>0.88690000000000002</v>
      </c>
      <c r="AJ281" s="1948">
        <v>0</v>
      </c>
      <c r="AK281" s="1948">
        <v>27608</v>
      </c>
      <c r="AL281" s="1948">
        <f t="shared" si="66"/>
        <v>54782</v>
      </c>
      <c r="AM281" s="1948">
        <f t="shared" si="67"/>
        <v>0</v>
      </c>
      <c r="AN281" s="1948">
        <v>189</v>
      </c>
      <c r="AO281" s="1948">
        <v>96.8</v>
      </c>
      <c r="AP281" s="1948">
        <v>189</v>
      </c>
      <c r="AQ281" s="1948">
        <v>0.93440000000000001</v>
      </c>
      <c r="AR281" s="1948">
        <v>0</v>
      </c>
      <c r="AS281" s="1948">
        <v>17330</v>
      </c>
      <c r="AT281" s="1948">
        <f t="shared" si="68"/>
        <v>43212</v>
      </c>
      <c r="AU281" s="1948">
        <f t="shared" si="69"/>
        <v>0</v>
      </c>
      <c r="AV281" s="1948">
        <v>189</v>
      </c>
      <c r="AW281" s="1948">
        <v>25.919999999999998</v>
      </c>
      <c r="AX281" s="1948">
        <v>189</v>
      </c>
      <c r="AY281" s="1948">
        <v>0.99939999999999996</v>
      </c>
      <c r="AZ281" s="1948">
        <v>0</v>
      </c>
      <c r="BA281" s="1948">
        <v>3978</v>
      </c>
      <c r="BB281" s="1948">
        <f t="shared" si="70"/>
        <v>11197</v>
      </c>
      <c r="BC281" s="1948">
        <f t="shared" si="71"/>
        <v>0</v>
      </c>
      <c r="BD281" s="1949">
        <v>189</v>
      </c>
      <c r="BE281" s="1948">
        <v>71.84</v>
      </c>
      <c r="BF281" s="1949">
        <v>189</v>
      </c>
      <c r="BG281" s="1949">
        <v>0.88529999999999998</v>
      </c>
      <c r="BH281" s="1949">
        <v>0</v>
      </c>
      <c r="BI281" s="1948">
        <v>15702</v>
      </c>
      <c r="BJ281" s="1948">
        <f t="shared" si="72"/>
        <v>32069</v>
      </c>
      <c r="BK281" s="1948">
        <f t="shared" si="73"/>
        <v>0</v>
      </c>
    </row>
    <row r="282" spans="1:63" ht="15">
      <c r="A282" s="1946">
        <v>613000000027</v>
      </c>
      <c r="B282" s="1947">
        <f t="shared" si="74"/>
        <v>276</v>
      </c>
      <c r="C282" s="1906" t="s">
        <v>3157</v>
      </c>
      <c r="D282" s="1907" t="s">
        <v>524</v>
      </c>
      <c r="E282" s="1906" t="s">
        <v>636</v>
      </c>
      <c r="F282" s="1948" t="s">
        <v>259</v>
      </c>
      <c r="G282" s="1949">
        <v>189</v>
      </c>
      <c r="H282" s="1948">
        <v>189</v>
      </c>
      <c r="I282" s="1950">
        <v>11.360000000000001</v>
      </c>
      <c r="J282" s="1948">
        <v>151.19999999999999</v>
      </c>
      <c r="K282" s="1948">
        <v>0.50349999999999995</v>
      </c>
      <c r="L282" s="1948">
        <v>13.79</v>
      </c>
      <c r="M282" s="1948">
        <v>1128</v>
      </c>
      <c r="N282" s="1948">
        <f t="shared" si="60"/>
        <v>4908</v>
      </c>
      <c r="O282" s="1948">
        <f t="shared" si="61"/>
        <v>0</v>
      </c>
      <c r="P282" s="1948">
        <v>189</v>
      </c>
      <c r="Q282" s="1948">
        <v>15.52</v>
      </c>
      <c r="R282" s="1948">
        <v>151.19999999999999</v>
      </c>
      <c r="S282" s="1948">
        <v>0.42459999999999998</v>
      </c>
      <c r="T282" s="1948">
        <v>8.16</v>
      </c>
      <c r="U282" s="1948">
        <v>942</v>
      </c>
      <c r="V282" s="1948">
        <f t="shared" si="62"/>
        <v>6928</v>
      </c>
      <c r="W282" s="1948">
        <f t="shared" si="63"/>
        <v>0</v>
      </c>
      <c r="X282" s="1948">
        <v>189</v>
      </c>
      <c r="Y282" s="1948">
        <v>3.69</v>
      </c>
      <c r="Z282" s="1948">
        <v>151.19999999999999</v>
      </c>
      <c r="AA282" s="1948">
        <v>0.41439999999999999</v>
      </c>
      <c r="AB282" s="1948">
        <v>47.05</v>
      </c>
      <c r="AC282" s="1948">
        <v>1250</v>
      </c>
      <c r="AD282" s="1948">
        <f t="shared" si="64"/>
        <v>1594</v>
      </c>
      <c r="AE282" s="1948">
        <f t="shared" si="65"/>
        <v>0</v>
      </c>
      <c r="AF282" s="1948">
        <v>189</v>
      </c>
      <c r="AG282" s="1948">
        <v>14.228400000000001</v>
      </c>
      <c r="AH282" s="1948">
        <v>151.19999999999999</v>
      </c>
      <c r="AI282" s="1948">
        <v>0.36649999999999999</v>
      </c>
      <c r="AJ282" s="1948">
        <v>22.55</v>
      </c>
      <c r="AK282" s="1948">
        <v>2387</v>
      </c>
      <c r="AL282" s="1948">
        <f t="shared" si="66"/>
        <v>6352</v>
      </c>
      <c r="AM282" s="1948">
        <f t="shared" si="67"/>
        <v>0</v>
      </c>
      <c r="AN282" s="1948">
        <v>189</v>
      </c>
      <c r="AO282" s="1948">
        <v>50.199600000000004</v>
      </c>
      <c r="AP282" s="1948">
        <v>151.19999999999999</v>
      </c>
      <c r="AQ282" s="1948">
        <v>0.43</v>
      </c>
      <c r="AR282" s="1948">
        <v>8.51</v>
      </c>
      <c r="AS282" s="1948">
        <v>3179</v>
      </c>
      <c r="AT282" s="1948">
        <f t="shared" si="68"/>
        <v>22409</v>
      </c>
      <c r="AU282" s="1948">
        <f t="shared" si="69"/>
        <v>0</v>
      </c>
      <c r="AV282" s="1948">
        <v>189</v>
      </c>
      <c r="AW282" s="1948">
        <v>34.884</v>
      </c>
      <c r="AX282" s="1948">
        <v>151.19999999999999</v>
      </c>
      <c r="AY282" s="1948">
        <v>0.41099999999999998</v>
      </c>
      <c r="AZ282" s="1948">
        <v>11.19</v>
      </c>
      <c r="BA282" s="1948">
        <v>2810</v>
      </c>
      <c r="BB282" s="1948">
        <f t="shared" si="70"/>
        <v>15070</v>
      </c>
      <c r="BC282" s="1948">
        <f t="shared" si="71"/>
        <v>0</v>
      </c>
      <c r="BD282" s="1949">
        <v>189</v>
      </c>
      <c r="BE282" s="1948">
        <v>28.223999999999997</v>
      </c>
      <c r="BF282" s="1949">
        <v>151.19999999999999</v>
      </c>
      <c r="BG282" s="1949">
        <v>0.36149999999999999</v>
      </c>
      <c r="BH282" s="1949">
        <v>13.66</v>
      </c>
      <c r="BI282" s="1948">
        <v>2868</v>
      </c>
      <c r="BJ282" s="1948">
        <f t="shared" si="72"/>
        <v>12599</v>
      </c>
      <c r="BK282" s="1948">
        <f t="shared" si="73"/>
        <v>0</v>
      </c>
    </row>
    <row r="283" spans="1:63" ht="15">
      <c r="A283" s="1946">
        <v>122000000092</v>
      </c>
      <c r="B283" s="1947">
        <f t="shared" si="74"/>
        <v>277</v>
      </c>
      <c r="C283" s="1906" t="s">
        <v>3159</v>
      </c>
      <c r="D283" s="1907" t="s">
        <v>524</v>
      </c>
      <c r="E283" s="1906" t="s">
        <v>636</v>
      </c>
      <c r="F283" s="1948" t="s">
        <v>259</v>
      </c>
      <c r="G283" s="1949">
        <v>190</v>
      </c>
      <c r="H283" s="1948">
        <v>190</v>
      </c>
      <c r="I283" s="1950">
        <v>98.88</v>
      </c>
      <c r="J283" s="1948">
        <v>152</v>
      </c>
      <c r="K283" s="1948">
        <v>0.92610000000000003</v>
      </c>
      <c r="L283" s="1948">
        <v>20.77</v>
      </c>
      <c r="M283" s="1948">
        <v>14787</v>
      </c>
      <c r="N283" s="1948">
        <f t="shared" si="60"/>
        <v>42716</v>
      </c>
      <c r="O283" s="1948">
        <f t="shared" si="61"/>
        <v>0</v>
      </c>
      <c r="P283" s="1948">
        <v>190</v>
      </c>
      <c r="Q283" s="1948">
        <v>108.47999999999999</v>
      </c>
      <c r="R283" s="1948">
        <v>152</v>
      </c>
      <c r="S283" s="1948">
        <v>0.98060000000000003</v>
      </c>
      <c r="T283" s="1948">
        <v>21.51</v>
      </c>
      <c r="U283" s="1948">
        <v>17358</v>
      </c>
      <c r="V283" s="1948">
        <f t="shared" si="62"/>
        <v>48425</v>
      </c>
      <c r="W283" s="1948">
        <f t="shared" si="63"/>
        <v>0</v>
      </c>
      <c r="X283" s="1948">
        <v>190</v>
      </c>
      <c r="Y283" s="1948">
        <v>96.24</v>
      </c>
      <c r="Z283" s="1948">
        <v>152</v>
      </c>
      <c r="AA283" s="1948">
        <v>0.98150000000000004</v>
      </c>
      <c r="AB283" s="1948">
        <v>27.5</v>
      </c>
      <c r="AC283" s="1948">
        <v>19056</v>
      </c>
      <c r="AD283" s="1948">
        <f t="shared" si="64"/>
        <v>41576</v>
      </c>
      <c r="AE283" s="1948">
        <f t="shared" si="65"/>
        <v>0</v>
      </c>
      <c r="AF283" s="1948">
        <v>190</v>
      </c>
      <c r="AG283" s="1948">
        <v>123.84</v>
      </c>
      <c r="AH283" s="1948">
        <v>152</v>
      </c>
      <c r="AI283" s="1948">
        <v>0.97989999999999999</v>
      </c>
      <c r="AJ283" s="1948">
        <v>18.059999999999999</v>
      </c>
      <c r="AK283" s="1948">
        <v>16641</v>
      </c>
      <c r="AL283" s="1948">
        <f t="shared" si="66"/>
        <v>55282</v>
      </c>
      <c r="AM283" s="1948">
        <f t="shared" si="67"/>
        <v>0</v>
      </c>
      <c r="AN283" s="1948">
        <v>190</v>
      </c>
      <c r="AO283" s="1948">
        <v>103.92</v>
      </c>
      <c r="AP283" s="1948">
        <v>152</v>
      </c>
      <c r="AQ283" s="1948">
        <v>0.97560000000000002</v>
      </c>
      <c r="AR283" s="1948">
        <v>21.17</v>
      </c>
      <c r="AS283" s="1948">
        <v>16365</v>
      </c>
      <c r="AT283" s="1948">
        <f t="shared" si="68"/>
        <v>46390</v>
      </c>
      <c r="AU283" s="1948">
        <f t="shared" si="69"/>
        <v>0</v>
      </c>
      <c r="AV283" s="1948">
        <v>190</v>
      </c>
      <c r="AW283" s="1948">
        <v>80.64</v>
      </c>
      <c r="AX283" s="1948">
        <v>152</v>
      </c>
      <c r="AY283" s="1948">
        <v>0.97499999999999998</v>
      </c>
      <c r="AZ283" s="1948">
        <v>26.94</v>
      </c>
      <c r="BA283" s="1948">
        <v>15639</v>
      </c>
      <c r="BB283" s="1948">
        <f t="shared" si="70"/>
        <v>34836</v>
      </c>
      <c r="BC283" s="1948">
        <f t="shared" si="71"/>
        <v>0</v>
      </c>
      <c r="BD283" s="1949">
        <v>190</v>
      </c>
      <c r="BE283" s="1948">
        <v>80.400000000000006</v>
      </c>
      <c r="BF283" s="1949">
        <v>152</v>
      </c>
      <c r="BG283" s="1949">
        <v>0.97350000000000003</v>
      </c>
      <c r="BH283" s="1949">
        <v>26.89</v>
      </c>
      <c r="BI283" s="1948">
        <v>16086</v>
      </c>
      <c r="BJ283" s="1948">
        <f t="shared" si="72"/>
        <v>35891</v>
      </c>
      <c r="BK283" s="1948">
        <f t="shared" si="73"/>
        <v>0</v>
      </c>
    </row>
    <row r="284" spans="1:63" ht="15">
      <c r="A284" s="1946">
        <v>124000000019</v>
      </c>
      <c r="B284" s="1947">
        <f t="shared" si="74"/>
        <v>278</v>
      </c>
      <c r="C284" s="1906" t="s">
        <v>3161</v>
      </c>
      <c r="D284" s="1907" t="s">
        <v>524</v>
      </c>
      <c r="E284" s="1906" t="s">
        <v>636</v>
      </c>
      <c r="F284" s="1948" t="s">
        <v>259</v>
      </c>
      <c r="G284" s="1949">
        <v>193</v>
      </c>
      <c r="H284" s="1948">
        <v>193</v>
      </c>
      <c r="I284" s="1950">
        <v>105.6</v>
      </c>
      <c r="J284" s="1948">
        <v>154.4</v>
      </c>
      <c r="K284" s="1948">
        <v>0.9899</v>
      </c>
      <c r="L284" s="1948">
        <v>34</v>
      </c>
      <c r="M284" s="1948">
        <v>25851</v>
      </c>
      <c r="N284" s="1948">
        <f t="shared" si="60"/>
        <v>45619</v>
      </c>
      <c r="O284" s="1948">
        <f t="shared" si="61"/>
        <v>0</v>
      </c>
      <c r="P284" s="1948">
        <v>193</v>
      </c>
      <c r="Q284" s="1948">
        <v>111.47999999999999</v>
      </c>
      <c r="R284" s="1948">
        <v>154.4</v>
      </c>
      <c r="S284" s="1948">
        <v>0.99019999999999997</v>
      </c>
      <c r="T284" s="1948">
        <v>31.61</v>
      </c>
      <c r="U284" s="1948">
        <v>26214</v>
      </c>
      <c r="V284" s="1948">
        <f t="shared" si="62"/>
        <v>49765</v>
      </c>
      <c r="W284" s="1948">
        <f t="shared" si="63"/>
        <v>0</v>
      </c>
      <c r="X284" s="1948">
        <v>193</v>
      </c>
      <c r="Y284" s="1948">
        <v>113.88</v>
      </c>
      <c r="Z284" s="1948">
        <v>154.4</v>
      </c>
      <c r="AA284" s="1948">
        <v>0.99260000000000004</v>
      </c>
      <c r="AB284" s="1948">
        <v>18.45</v>
      </c>
      <c r="AC284" s="1948">
        <v>15124</v>
      </c>
      <c r="AD284" s="1948">
        <f t="shared" si="64"/>
        <v>49196</v>
      </c>
      <c r="AE284" s="1948">
        <f t="shared" si="65"/>
        <v>0</v>
      </c>
      <c r="AF284" s="1948">
        <v>193</v>
      </c>
      <c r="AG284" s="1948">
        <v>103.92</v>
      </c>
      <c r="AH284" s="1948">
        <v>154.4</v>
      </c>
      <c r="AI284" s="1948">
        <v>0.99039999999999995</v>
      </c>
      <c r="AJ284" s="1948">
        <v>28.18</v>
      </c>
      <c r="AK284" s="1948">
        <v>21788</v>
      </c>
      <c r="AL284" s="1948">
        <f t="shared" si="66"/>
        <v>46390</v>
      </c>
      <c r="AM284" s="1948">
        <f t="shared" si="67"/>
        <v>0</v>
      </c>
      <c r="AN284" s="1948">
        <v>193</v>
      </c>
      <c r="AO284" s="1948">
        <v>99.839999999999989</v>
      </c>
      <c r="AP284" s="1948">
        <v>154.4</v>
      </c>
      <c r="AQ284" s="1948">
        <v>0.98880000000000001</v>
      </c>
      <c r="AR284" s="1948">
        <v>33.42</v>
      </c>
      <c r="AS284" s="1948">
        <v>24824</v>
      </c>
      <c r="AT284" s="1948">
        <f t="shared" si="68"/>
        <v>44569</v>
      </c>
      <c r="AU284" s="1948">
        <f t="shared" si="69"/>
        <v>0</v>
      </c>
      <c r="AV284" s="1948">
        <v>193</v>
      </c>
      <c r="AW284" s="1948">
        <v>101.52</v>
      </c>
      <c r="AX284" s="1948">
        <v>154.4</v>
      </c>
      <c r="AY284" s="1948">
        <v>0.99029999999999996</v>
      </c>
      <c r="AZ284" s="1948">
        <v>31.42</v>
      </c>
      <c r="BA284" s="1948">
        <v>22963</v>
      </c>
      <c r="BB284" s="1948">
        <f t="shared" si="70"/>
        <v>43857</v>
      </c>
      <c r="BC284" s="1948">
        <f t="shared" si="71"/>
        <v>0</v>
      </c>
      <c r="BD284" s="1949">
        <v>193</v>
      </c>
      <c r="BE284" s="1948">
        <v>110.75999999999999</v>
      </c>
      <c r="BF284" s="1949">
        <v>154.4</v>
      </c>
      <c r="BG284" s="1949">
        <v>0.98970000000000002</v>
      </c>
      <c r="BH284" s="1949">
        <v>24.93</v>
      </c>
      <c r="BI284" s="1948">
        <v>20544</v>
      </c>
      <c r="BJ284" s="1948">
        <f t="shared" si="72"/>
        <v>49443</v>
      </c>
      <c r="BK284" s="1948">
        <f t="shared" si="73"/>
        <v>0</v>
      </c>
    </row>
    <row r="285" spans="1:63" ht="15">
      <c r="A285" s="1946">
        <v>611000000107</v>
      </c>
      <c r="B285" s="1947">
        <f t="shared" si="74"/>
        <v>279</v>
      </c>
      <c r="C285" s="1906" t="s">
        <v>3160</v>
      </c>
      <c r="D285" s="1907" t="s">
        <v>524</v>
      </c>
      <c r="E285" s="1906" t="s">
        <v>636</v>
      </c>
      <c r="F285" s="1948" t="s">
        <v>259</v>
      </c>
      <c r="G285" s="1949">
        <v>193</v>
      </c>
      <c r="H285" s="1948">
        <v>193</v>
      </c>
      <c r="I285" s="1950">
        <v>63.360000000000007</v>
      </c>
      <c r="J285" s="1948">
        <v>154.4</v>
      </c>
      <c r="K285" s="1948">
        <v>0.99260000000000004</v>
      </c>
      <c r="L285" s="1948">
        <v>52.23</v>
      </c>
      <c r="M285" s="1948">
        <v>23826</v>
      </c>
      <c r="N285" s="1948">
        <f t="shared" si="60"/>
        <v>27372</v>
      </c>
      <c r="O285" s="1948">
        <f t="shared" si="61"/>
        <v>0</v>
      </c>
      <c r="P285" s="1948">
        <v>193</v>
      </c>
      <c r="Q285" s="1948">
        <v>64.64</v>
      </c>
      <c r="R285" s="1948">
        <v>154.4</v>
      </c>
      <c r="S285" s="1948">
        <v>0.99519999999999997</v>
      </c>
      <c r="T285" s="1948">
        <v>59.22</v>
      </c>
      <c r="U285" s="1948">
        <v>28480</v>
      </c>
      <c r="V285" s="1948">
        <f t="shared" si="62"/>
        <v>28855</v>
      </c>
      <c r="W285" s="1948">
        <f t="shared" si="63"/>
        <v>0</v>
      </c>
      <c r="X285" s="1948">
        <v>193</v>
      </c>
      <c r="Y285" s="1948">
        <v>68.959999999999994</v>
      </c>
      <c r="Z285" s="1948">
        <v>154.4</v>
      </c>
      <c r="AA285" s="1948">
        <v>0.99390000000000001</v>
      </c>
      <c r="AB285" s="1948">
        <v>60.16</v>
      </c>
      <c r="AC285" s="1948">
        <v>29868</v>
      </c>
      <c r="AD285" s="1948">
        <f t="shared" si="64"/>
        <v>29791</v>
      </c>
      <c r="AE285" s="1948">
        <f t="shared" si="65"/>
        <v>77</v>
      </c>
      <c r="AF285" s="1948">
        <v>193</v>
      </c>
      <c r="AG285" s="1948">
        <v>62.56</v>
      </c>
      <c r="AH285" s="1948">
        <v>154.4</v>
      </c>
      <c r="AI285" s="1948">
        <v>0.98970000000000002</v>
      </c>
      <c r="AJ285" s="1948">
        <v>59.39</v>
      </c>
      <c r="AK285" s="1948">
        <v>27644</v>
      </c>
      <c r="AL285" s="1948">
        <f t="shared" si="66"/>
        <v>27927</v>
      </c>
      <c r="AM285" s="1948">
        <f t="shared" si="67"/>
        <v>0</v>
      </c>
      <c r="AN285" s="1948">
        <v>193</v>
      </c>
      <c r="AO285" s="1948">
        <v>68.8</v>
      </c>
      <c r="AP285" s="1948">
        <v>154.4</v>
      </c>
      <c r="AQ285" s="1948">
        <v>0.99160000000000004</v>
      </c>
      <c r="AR285" s="1948">
        <v>55.14</v>
      </c>
      <c r="AS285" s="1948">
        <v>28224</v>
      </c>
      <c r="AT285" s="1948">
        <f t="shared" si="68"/>
        <v>30712</v>
      </c>
      <c r="AU285" s="1948">
        <f t="shared" si="69"/>
        <v>0</v>
      </c>
      <c r="AV285" s="1948">
        <v>193</v>
      </c>
      <c r="AW285" s="1948">
        <v>93.28</v>
      </c>
      <c r="AX285" s="1948">
        <v>154.4</v>
      </c>
      <c r="AY285" s="1948">
        <v>0.99060000000000004</v>
      </c>
      <c r="AZ285" s="1948">
        <v>41.83</v>
      </c>
      <c r="BA285" s="1948">
        <v>28092</v>
      </c>
      <c r="BB285" s="1948">
        <f t="shared" si="70"/>
        <v>40297</v>
      </c>
      <c r="BC285" s="1948">
        <f t="shared" si="71"/>
        <v>0</v>
      </c>
      <c r="BD285" s="1949">
        <v>193</v>
      </c>
      <c r="BE285" s="1948">
        <v>54.24</v>
      </c>
      <c r="BF285" s="1949">
        <v>154.4</v>
      </c>
      <c r="BG285" s="1949">
        <v>0.99019999999999997</v>
      </c>
      <c r="BH285" s="1949">
        <v>56.15</v>
      </c>
      <c r="BI285" s="1948">
        <v>22660</v>
      </c>
      <c r="BJ285" s="1948">
        <f t="shared" si="72"/>
        <v>24213</v>
      </c>
      <c r="BK285" s="1948">
        <f t="shared" si="73"/>
        <v>0</v>
      </c>
    </row>
    <row r="286" spans="1:63" ht="15">
      <c r="A286" s="1946">
        <v>621000000035</v>
      </c>
      <c r="B286" s="1947">
        <f t="shared" si="74"/>
        <v>280</v>
      </c>
      <c r="C286" s="1906" t="s">
        <v>3162</v>
      </c>
      <c r="D286" s="1907" t="s">
        <v>524</v>
      </c>
      <c r="E286" s="1906" t="s">
        <v>636</v>
      </c>
      <c r="F286" s="1948" t="s">
        <v>259</v>
      </c>
      <c r="G286" s="1949">
        <v>193</v>
      </c>
      <c r="H286" s="1948">
        <v>193</v>
      </c>
      <c r="I286" s="1950">
        <v>63.72</v>
      </c>
      <c r="J286" s="1948">
        <v>154.4</v>
      </c>
      <c r="K286" s="1948">
        <v>0.99790000000000001</v>
      </c>
      <c r="L286" s="1948">
        <v>27.69</v>
      </c>
      <c r="M286" s="1948">
        <v>12705</v>
      </c>
      <c r="N286" s="1948">
        <f t="shared" si="60"/>
        <v>27527</v>
      </c>
      <c r="O286" s="1948">
        <f t="shared" si="61"/>
        <v>0</v>
      </c>
      <c r="P286" s="1948">
        <v>193</v>
      </c>
      <c r="Q286" s="1948">
        <v>71.760000000000005</v>
      </c>
      <c r="R286" s="1948">
        <v>154.4</v>
      </c>
      <c r="S286" s="1948">
        <v>0.99890000000000001</v>
      </c>
      <c r="T286" s="1948">
        <v>29.97</v>
      </c>
      <c r="U286" s="1948">
        <v>16003</v>
      </c>
      <c r="V286" s="1948">
        <f t="shared" si="62"/>
        <v>32034</v>
      </c>
      <c r="W286" s="1948">
        <f t="shared" si="63"/>
        <v>0</v>
      </c>
      <c r="X286" s="1948">
        <v>193</v>
      </c>
      <c r="Y286" s="1948">
        <v>77.400000000000006</v>
      </c>
      <c r="Z286" s="1948">
        <v>154.4</v>
      </c>
      <c r="AA286" s="1948">
        <v>0.99839999999999995</v>
      </c>
      <c r="AB286" s="1948">
        <v>26.11</v>
      </c>
      <c r="AC286" s="1948">
        <v>14549</v>
      </c>
      <c r="AD286" s="1948">
        <f t="shared" si="64"/>
        <v>33437</v>
      </c>
      <c r="AE286" s="1948">
        <f t="shared" si="65"/>
        <v>0</v>
      </c>
      <c r="AF286" s="1948">
        <v>193</v>
      </c>
      <c r="AG286" s="1948">
        <v>58.08</v>
      </c>
      <c r="AH286" s="1948">
        <v>154.4</v>
      </c>
      <c r="AI286" s="1948">
        <v>0.99850000000000005</v>
      </c>
      <c r="AJ286" s="1948">
        <v>34.33</v>
      </c>
      <c r="AK286" s="1948">
        <v>14835</v>
      </c>
      <c r="AL286" s="1948">
        <f t="shared" si="66"/>
        <v>25927</v>
      </c>
      <c r="AM286" s="1948">
        <f t="shared" si="67"/>
        <v>0</v>
      </c>
      <c r="AN286" s="1948">
        <v>193</v>
      </c>
      <c r="AO286" s="1948">
        <v>52.92</v>
      </c>
      <c r="AP286" s="1948">
        <v>154.4</v>
      </c>
      <c r="AQ286" s="1948">
        <v>0.99760000000000004</v>
      </c>
      <c r="AR286" s="1948">
        <v>30.1</v>
      </c>
      <c r="AS286" s="1948">
        <v>11851</v>
      </c>
      <c r="AT286" s="1948">
        <f t="shared" si="68"/>
        <v>23623</v>
      </c>
      <c r="AU286" s="1948">
        <f t="shared" si="69"/>
        <v>0</v>
      </c>
      <c r="AV286" s="1948">
        <v>193</v>
      </c>
      <c r="AW286" s="1948">
        <v>0.57719999999999994</v>
      </c>
      <c r="AX286" s="1948">
        <v>154.4</v>
      </c>
      <c r="AY286" s="1948">
        <v>0.99760000000000004</v>
      </c>
      <c r="AZ286" s="1948">
        <v>25.01</v>
      </c>
      <c r="BA286" s="1948">
        <v>10394</v>
      </c>
      <c r="BB286" s="1948">
        <f t="shared" si="70"/>
        <v>249</v>
      </c>
      <c r="BC286" s="1948">
        <f t="shared" si="71"/>
        <v>10145</v>
      </c>
      <c r="BD286" s="1949">
        <v>193</v>
      </c>
      <c r="BE286" s="1948">
        <v>46.661999999999999</v>
      </c>
      <c r="BF286" s="1949">
        <v>154.4</v>
      </c>
      <c r="BG286" s="1949">
        <v>0.99690000000000001</v>
      </c>
      <c r="BH286" s="1949">
        <v>25.82</v>
      </c>
      <c r="BI286" s="1948">
        <v>8964</v>
      </c>
      <c r="BJ286" s="1948">
        <f t="shared" si="72"/>
        <v>20830</v>
      </c>
      <c r="BK286" s="1948">
        <f t="shared" si="73"/>
        <v>0</v>
      </c>
    </row>
    <row r="287" spans="1:63" ht="15">
      <c r="A287" s="1946">
        <v>126000000015</v>
      </c>
      <c r="B287" s="1947">
        <f t="shared" si="74"/>
        <v>281</v>
      </c>
      <c r="C287" s="1906" t="s">
        <v>3163</v>
      </c>
      <c r="D287" s="1907" t="s">
        <v>524</v>
      </c>
      <c r="E287" s="1906" t="s">
        <v>541</v>
      </c>
      <c r="F287" s="1948" t="s">
        <v>259</v>
      </c>
      <c r="G287" s="1949">
        <v>195</v>
      </c>
      <c r="H287" s="1948">
        <v>195</v>
      </c>
      <c r="I287" s="1950">
        <v>115.28</v>
      </c>
      <c r="J287" s="1948">
        <v>156</v>
      </c>
      <c r="K287" s="1948">
        <v>0.98229999999999995</v>
      </c>
      <c r="L287" s="1948">
        <v>24.7</v>
      </c>
      <c r="M287" s="1948">
        <v>20504</v>
      </c>
      <c r="N287" s="1948">
        <f t="shared" si="60"/>
        <v>49801</v>
      </c>
      <c r="O287" s="1948">
        <f t="shared" si="61"/>
        <v>0</v>
      </c>
      <c r="P287" s="1948">
        <v>195</v>
      </c>
      <c r="Q287" s="1948">
        <v>96.8</v>
      </c>
      <c r="R287" s="1948">
        <v>156</v>
      </c>
      <c r="S287" s="1948">
        <v>0.98570000000000002</v>
      </c>
      <c r="T287" s="1948">
        <v>4.6900000000000004</v>
      </c>
      <c r="U287" s="1948">
        <v>3376</v>
      </c>
      <c r="V287" s="1948">
        <f t="shared" si="62"/>
        <v>43212</v>
      </c>
      <c r="W287" s="1948">
        <f t="shared" si="63"/>
        <v>0</v>
      </c>
      <c r="X287" s="1948">
        <v>195</v>
      </c>
      <c r="Y287" s="1948">
        <v>6.72</v>
      </c>
      <c r="Z287" s="1948">
        <v>156</v>
      </c>
      <c r="AA287" s="1948">
        <v>1</v>
      </c>
      <c r="AB287" s="1948">
        <v>34.93</v>
      </c>
      <c r="AC287" s="1948">
        <v>1690</v>
      </c>
      <c r="AD287" s="1948">
        <f t="shared" si="64"/>
        <v>2903</v>
      </c>
      <c r="AE287" s="1948">
        <f t="shared" si="65"/>
        <v>0</v>
      </c>
      <c r="AF287" s="1948">
        <v>195</v>
      </c>
      <c r="AG287" s="1948">
        <v>23.76</v>
      </c>
      <c r="AH287" s="1948">
        <v>156</v>
      </c>
      <c r="AI287" s="1948">
        <v>0.61499999999999999</v>
      </c>
      <c r="AJ287" s="1948">
        <v>13.62</v>
      </c>
      <c r="AK287" s="1948">
        <v>2408</v>
      </c>
      <c r="AL287" s="1948">
        <f t="shared" si="66"/>
        <v>10606</v>
      </c>
      <c r="AM287" s="1948">
        <f t="shared" si="67"/>
        <v>0</v>
      </c>
      <c r="AN287" s="1948">
        <v>195</v>
      </c>
      <c r="AO287" s="1948">
        <v>26.96</v>
      </c>
      <c r="AP287" s="1948">
        <v>156</v>
      </c>
      <c r="AQ287" s="1948">
        <v>0.2591</v>
      </c>
      <c r="AR287" s="1948">
        <v>20.47</v>
      </c>
      <c r="AS287" s="1948">
        <v>4106</v>
      </c>
      <c r="AT287" s="1948">
        <f t="shared" si="68"/>
        <v>12035</v>
      </c>
      <c r="AU287" s="1948">
        <f t="shared" si="69"/>
        <v>0</v>
      </c>
      <c r="AV287" s="1948">
        <v>195</v>
      </c>
      <c r="AW287" s="1948">
        <v>10.879999999999999</v>
      </c>
      <c r="AX287" s="1948">
        <v>156</v>
      </c>
      <c r="AY287" s="1948">
        <v>0.26640000000000003</v>
      </c>
      <c r="AZ287" s="1948">
        <v>50.54</v>
      </c>
      <c r="BA287" s="1948">
        <v>3959</v>
      </c>
      <c r="BB287" s="1948">
        <f t="shared" si="70"/>
        <v>4700</v>
      </c>
      <c r="BC287" s="1948">
        <f t="shared" si="71"/>
        <v>0</v>
      </c>
      <c r="BD287" s="1949">
        <v>195</v>
      </c>
      <c r="BE287" s="1948">
        <v>10.24</v>
      </c>
      <c r="BF287" s="1949">
        <v>156</v>
      </c>
      <c r="BG287" s="1949">
        <v>0.21709999999999999</v>
      </c>
      <c r="BH287" s="1949">
        <v>65.27</v>
      </c>
      <c r="BI287" s="1948">
        <v>4973</v>
      </c>
      <c r="BJ287" s="1948">
        <f t="shared" si="72"/>
        <v>4571</v>
      </c>
      <c r="BK287" s="1948">
        <f t="shared" si="73"/>
        <v>402</v>
      </c>
    </row>
    <row r="288" spans="1:63" ht="15">
      <c r="A288" s="1946">
        <v>421000000005</v>
      </c>
      <c r="B288" s="1947">
        <f t="shared" si="74"/>
        <v>282</v>
      </c>
      <c r="C288" s="1906" t="s">
        <v>3164</v>
      </c>
      <c r="D288" s="1907" t="s">
        <v>524</v>
      </c>
      <c r="E288" s="1906" t="s">
        <v>541</v>
      </c>
      <c r="F288" s="1948" t="s">
        <v>259</v>
      </c>
      <c r="G288" s="1949">
        <v>195</v>
      </c>
      <c r="H288" s="1948">
        <v>195</v>
      </c>
      <c r="I288" s="1950">
        <v>166.16</v>
      </c>
      <c r="J288" s="1948">
        <v>166.16</v>
      </c>
      <c r="K288" s="1948">
        <v>0.93389999999999995</v>
      </c>
      <c r="L288" s="1948">
        <v>42.28</v>
      </c>
      <c r="M288" s="1948">
        <v>48899</v>
      </c>
      <c r="N288" s="1948">
        <f t="shared" si="60"/>
        <v>71781</v>
      </c>
      <c r="O288" s="1948">
        <f t="shared" si="61"/>
        <v>0</v>
      </c>
      <c r="P288" s="1948">
        <v>195</v>
      </c>
      <c r="Q288" s="1948">
        <v>170</v>
      </c>
      <c r="R288" s="1948">
        <v>170</v>
      </c>
      <c r="S288" s="1948">
        <v>0.76419999999999999</v>
      </c>
      <c r="T288" s="1948">
        <v>47.7</v>
      </c>
      <c r="U288" s="1948">
        <v>50602</v>
      </c>
      <c r="V288" s="1948">
        <f t="shared" si="62"/>
        <v>75888</v>
      </c>
      <c r="W288" s="1948">
        <f t="shared" si="63"/>
        <v>0</v>
      </c>
      <c r="X288" s="1948">
        <v>195</v>
      </c>
      <c r="Y288" s="1948">
        <v>173.04</v>
      </c>
      <c r="Z288" s="1948">
        <v>173.04</v>
      </c>
      <c r="AA288" s="1948">
        <v>0.81910000000000005</v>
      </c>
      <c r="AB288" s="1948">
        <v>33.69</v>
      </c>
      <c r="AC288" s="1948">
        <v>50376</v>
      </c>
      <c r="AD288" s="1948">
        <f t="shared" si="64"/>
        <v>74753</v>
      </c>
      <c r="AE288" s="1948">
        <f t="shared" si="65"/>
        <v>0</v>
      </c>
      <c r="AF288" s="1948">
        <v>195</v>
      </c>
      <c r="AG288" s="1948">
        <v>170.23999999999998</v>
      </c>
      <c r="AH288" s="1948">
        <v>170.24</v>
      </c>
      <c r="AI288" s="1948">
        <v>0.90390000000000004</v>
      </c>
      <c r="AJ288" s="1948">
        <v>27.75</v>
      </c>
      <c r="AK288" s="1948">
        <v>35153</v>
      </c>
      <c r="AL288" s="1948">
        <f t="shared" si="66"/>
        <v>75995</v>
      </c>
      <c r="AM288" s="1948">
        <f t="shared" si="67"/>
        <v>0</v>
      </c>
      <c r="AN288" s="1948">
        <v>195</v>
      </c>
      <c r="AO288" s="1948">
        <v>170.08</v>
      </c>
      <c r="AP288" s="1948">
        <v>170.08</v>
      </c>
      <c r="AQ288" s="1948">
        <v>0.91549999999999998</v>
      </c>
      <c r="AR288" s="1948">
        <v>39.14</v>
      </c>
      <c r="AS288" s="1948">
        <v>49522</v>
      </c>
      <c r="AT288" s="1948">
        <f t="shared" si="68"/>
        <v>75924</v>
      </c>
      <c r="AU288" s="1948">
        <f t="shared" si="69"/>
        <v>0</v>
      </c>
      <c r="AV288" s="1948">
        <v>195</v>
      </c>
      <c r="AW288" s="1948">
        <v>178.96</v>
      </c>
      <c r="AX288" s="1948">
        <v>178.96</v>
      </c>
      <c r="AY288" s="1948">
        <v>0.86129999999999995</v>
      </c>
      <c r="AZ288" s="1948">
        <v>17.25</v>
      </c>
      <c r="BA288" s="1948">
        <v>22229</v>
      </c>
      <c r="BB288" s="1948">
        <f t="shared" si="70"/>
        <v>77311</v>
      </c>
      <c r="BC288" s="1948">
        <f t="shared" si="71"/>
        <v>0</v>
      </c>
      <c r="BD288" s="1949">
        <v>195</v>
      </c>
      <c r="BE288" s="1948">
        <v>133.6</v>
      </c>
      <c r="BF288" s="1949">
        <v>156</v>
      </c>
      <c r="BG288" s="1949">
        <v>0.96909999999999996</v>
      </c>
      <c r="BH288" s="1949">
        <v>9.8699999999999992</v>
      </c>
      <c r="BI288" s="1948">
        <v>7912</v>
      </c>
      <c r="BJ288" s="1948">
        <f t="shared" si="72"/>
        <v>59639</v>
      </c>
      <c r="BK288" s="1948">
        <f t="shared" si="73"/>
        <v>0</v>
      </c>
    </row>
    <row r="289" spans="1:63" ht="15">
      <c r="A289" s="1946">
        <v>122000000027</v>
      </c>
      <c r="B289" s="1947">
        <f t="shared" si="74"/>
        <v>283</v>
      </c>
      <c r="C289" s="1906" t="s">
        <v>3177</v>
      </c>
      <c r="D289" s="1907" t="s">
        <v>524</v>
      </c>
      <c r="E289" s="1906" t="s">
        <v>541</v>
      </c>
      <c r="F289" s="1948" t="s">
        <v>259</v>
      </c>
      <c r="G289" s="1949">
        <v>200</v>
      </c>
      <c r="H289" s="1948">
        <v>200</v>
      </c>
      <c r="I289" s="1950">
        <v>192</v>
      </c>
      <c r="J289" s="1948">
        <v>192</v>
      </c>
      <c r="K289" s="1948">
        <v>0.79300000000000004</v>
      </c>
      <c r="L289" s="1948">
        <v>20.93</v>
      </c>
      <c r="M289" s="1948">
        <v>28930</v>
      </c>
      <c r="N289" s="1948">
        <f t="shared" si="60"/>
        <v>82944</v>
      </c>
      <c r="O289" s="1948">
        <f t="shared" si="61"/>
        <v>0</v>
      </c>
      <c r="P289" s="1948">
        <v>200</v>
      </c>
      <c r="Q289" s="1948">
        <v>286.24</v>
      </c>
      <c r="R289" s="1948">
        <v>286.24</v>
      </c>
      <c r="S289" s="1948">
        <v>0.98060000000000003</v>
      </c>
      <c r="T289" s="1948">
        <v>51.21</v>
      </c>
      <c r="U289" s="1948">
        <v>109058</v>
      </c>
      <c r="V289" s="1948">
        <f t="shared" si="62"/>
        <v>127778</v>
      </c>
      <c r="W289" s="1948">
        <f t="shared" si="63"/>
        <v>0</v>
      </c>
      <c r="X289" s="1948">
        <v>200</v>
      </c>
      <c r="Y289" s="1948">
        <v>356.32</v>
      </c>
      <c r="Z289" s="1948">
        <v>356.32</v>
      </c>
      <c r="AA289" s="1948">
        <v>0.92830000000000001</v>
      </c>
      <c r="AB289" s="1948">
        <v>31.36</v>
      </c>
      <c r="AC289" s="1948">
        <v>80454</v>
      </c>
      <c r="AD289" s="1948">
        <f t="shared" si="64"/>
        <v>153930</v>
      </c>
      <c r="AE289" s="1948">
        <f t="shared" si="65"/>
        <v>0</v>
      </c>
      <c r="AF289" s="1948">
        <v>200</v>
      </c>
      <c r="AG289" s="1948">
        <v>270.88</v>
      </c>
      <c r="AH289" s="1948">
        <v>270.88</v>
      </c>
      <c r="AI289" s="1948">
        <v>0.97119999999999995</v>
      </c>
      <c r="AJ289" s="1948">
        <v>35.64</v>
      </c>
      <c r="AK289" s="1948">
        <v>71820</v>
      </c>
      <c r="AL289" s="1948">
        <f t="shared" si="66"/>
        <v>120921</v>
      </c>
      <c r="AM289" s="1948">
        <f t="shared" si="67"/>
        <v>0</v>
      </c>
      <c r="AN289" s="1948">
        <v>200</v>
      </c>
      <c r="AO289" s="1948">
        <v>234.56</v>
      </c>
      <c r="AP289" s="1948">
        <v>234.56</v>
      </c>
      <c r="AQ289" s="1948">
        <v>0.98640000000000005</v>
      </c>
      <c r="AR289" s="1948">
        <v>37.24</v>
      </c>
      <c r="AS289" s="1948">
        <v>64990</v>
      </c>
      <c r="AT289" s="1948">
        <f t="shared" si="68"/>
        <v>104708</v>
      </c>
      <c r="AU289" s="1948">
        <f t="shared" si="69"/>
        <v>0</v>
      </c>
      <c r="AV289" s="1948">
        <v>200</v>
      </c>
      <c r="AW289" s="1948">
        <v>225.92</v>
      </c>
      <c r="AX289" s="1948">
        <v>225.92</v>
      </c>
      <c r="AY289" s="1948">
        <v>0.98519999999999996</v>
      </c>
      <c r="AZ289" s="1948">
        <v>39.51</v>
      </c>
      <c r="BA289" s="1948">
        <v>64274</v>
      </c>
      <c r="BB289" s="1948">
        <f t="shared" si="70"/>
        <v>97597</v>
      </c>
      <c r="BC289" s="1948">
        <f t="shared" si="71"/>
        <v>0</v>
      </c>
      <c r="BD289" s="1949">
        <v>200</v>
      </c>
      <c r="BE289" s="1948">
        <v>236.64000000000001</v>
      </c>
      <c r="BF289" s="1949">
        <v>236.64</v>
      </c>
      <c r="BG289" s="1949">
        <v>0.97570000000000001</v>
      </c>
      <c r="BH289" s="1949">
        <v>23.42</v>
      </c>
      <c r="BI289" s="1948">
        <v>41234</v>
      </c>
      <c r="BJ289" s="1948">
        <f t="shared" si="72"/>
        <v>105636</v>
      </c>
      <c r="BK289" s="1948">
        <f t="shared" si="73"/>
        <v>0</v>
      </c>
    </row>
    <row r="290" spans="1:63" ht="15">
      <c r="A290" s="1946">
        <v>122000000057</v>
      </c>
      <c r="B290" s="1947">
        <f t="shared" si="74"/>
        <v>284</v>
      </c>
      <c r="C290" s="1906" t="s">
        <v>3178</v>
      </c>
      <c r="D290" s="1907" t="s">
        <v>524</v>
      </c>
      <c r="E290" s="1906" t="s">
        <v>541</v>
      </c>
      <c r="F290" s="1948" t="s">
        <v>259</v>
      </c>
      <c r="G290" s="1949">
        <v>200</v>
      </c>
      <c r="H290" s="1948">
        <v>200</v>
      </c>
      <c r="I290" s="1950">
        <v>0.84799999999999998</v>
      </c>
      <c r="J290" s="1948">
        <v>160</v>
      </c>
      <c r="K290" s="1948">
        <v>0.95599999999999996</v>
      </c>
      <c r="L290" s="1948">
        <v>22.02</v>
      </c>
      <c r="M290" s="1948">
        <v>32768</v>
      </c>
      <c r="N290" s="1948">
        <f t="shared" si="60"/>
        <v>366</v>
      </c>
      <c r="O290" s="1948">
        <f t="shared" si="61"/>
        <v>32402</v>
      </c>
      <c r="P290" s="1948">
        <v>200</v>
      </c>
      <c r="Q290" s="1948">
        <v>76.505600000000001</v>
      </c>
      <c r="R290" s="1948">
        <v>160</v>
      </c>
      <c r="S290" s="1948">
        <v>0.95299999999999996</v>
      </c>
      <c r="T290" s="1948">
        <v>52.55</v>
      </c>
      <c r="U290" s="1948">
        <v>32809</v>
      </c>
      <c r="V290" s="1948">
        <f t="shared" si="62"/>
        <v>34152</v>
      </c>
      <c r="W290" s="1948">
        <f t="shared" si="63"/>
        <v>0</v>
      </c>
      <c r="X290" s="1948">
        <v>200</v>
      </c>
      <c r="Y290" s="1948">
        <v>69.135999999999996</v>
      </c>
      <c r="Z290" s="1948">
        <v>160</v>
      </c>
      <c r="AA290" s="1948">
        <v>0.94979999999999998</v>
      </c>
      <c r="AB290" s="1948">
        <v>56.04</v>
      </c>
      <c r="AC290" s="1948">
        <v>27899</v>
      </c>
      <c r="AD290" s="1948">
        <f t="shared" si="64"/>
        <v>29867</v>
      </c>
      <c r="AE290" s="1948">
        <f t="shared" si="65"/>
        <v>0</v>
      </c>
      <c r="AF290" s="1948">
        <v>200</v>
      </c>
      <c r="AG290" s="1948">
        <v>77.313599999999994</v>
      </c>
      <c r="AH290" s="1948">
        <v>160</v>
      </c>
      <c r="AI290" s="1948">
        <v>0.95089999999999997</v>
      </c>
      <c r="AJ290" s="1948">
        <v>50.81</v>
      </c>
      <c r="AK290" s="1948">
        <v>29225</v>
      </c>
      <c r="AL290" s="1948">
        <f t="shared" si="66"/>
        <v>34513</v>
      </c>
      <c r="AM290" s="1948">
        <f t="shared" si="67"/>
        <v>0</v>
      </c>
      <c r="AN290" s="1948">
        <v>200</v>
      </c>
      <c r="AO290" s="1948">
        <v>76.084800000000001</v>
      </c>
      <c r="AP290" s="1948">
        <v>160</v>
      </c>
      <c r="AQ290" s="1948">
        <v>0.95279999999999998</v>
      </c>
      <c r="AR290" s="1948">
        <v>54.14</v>
      </c>
      <c r="AS290" s="1948">
        <v>30646</v>
      </c>
      <c r="AT290" s="1948">
        <f t="shared" si="68"/>
        <v>33964</v>
      </c>
      <c r="AU290" s="1948">
        <f t="shared" si="69"/>
        <v>0</v>
      </c>
      <c r="AV290" s="1948">
        <v>200</v>
      </c>
      <c r="AW290" s="1948">
        <v>78.811999999999998</v>
      </c>
      <c r="AX290" s="1948">
        <v>160</v>
      </c>
      <c r="AY290" s="1948">
        <v>0.95489999999999997</v>
      </c>
      <c r="AZ290" s="1948">
        <v>52.23</v>
      </c>
      <c r="BA290" s="1948">
        <v>29636</v>
      </c>
      <c r="BB290" s="1948">
        <f t="shared" si="70"/>
        <v>34047</v>
      </c>
      <c r="BC290" s="1948">
        <f t="shared" si="71"/>
        <v>0</v>
      </c>
      <c r="BD290" s="1949">
        <v>200</v>
      </c>
      <c r="BE290" s="1948">
        <v>89.811999999999998</v>
      </c>
      <c r="BF290" s="1949">
        <v>160</v>
      </c>
      <c r="BG290" s="1949">
        <v>0.94359999999999999</v>
      </c>
      <c r="BH290" s="1949">
        <v>43.21</v>
      </c>
      <c r="BI290" s="1948">
        <v>28869</v>
      </c>
      <c r="BJ290" s="1948">
        <f t="shared" si="72"/>
        <v>40092</v>
      </c>
      <c r="BK290" s="1948">
        <f t="shared" si="73"/>
        <v>0</v>
      </c>
    </row>
    <row r="291" spans="1:63" ht="15">
      <c r="A291" s="1946">
        <v>122000000081</v>
      </c>
      <c r="B291" s="1947">
        <f t="shared" si="74"/>
        <v>285</v>
      </c>
      <c r="C291" s="1906" t="s">
        <v>3179</v>
      </c>
      <c r="D291" s="1907" t="s">
        <v>524</v>
      </c>
      <c r="E291" s="1906" t="s">
        <v>541</v>
      </c>
      <c r="F291" s="1948" t="s">
        <v>259</v>
      </c>
      <c r="G291" s="1949">
        <v>200</v>
      </c>
      <c r="H291" s="1948">
        <v>200</v>
      </c>
      <c r="I291" s="1950">
        <v>73.2</v>
      </c>
      <c r="J291" s="1948">
        <v>160</v>
      </c>
      <c r="K291" s="1948">
        <v>0.96079999999999999</v>
      </c>
      <c r="L291" s="1948">
        <v>22.88</v>
      </c>
      <c r="M291" s="1948">
        <v>12059</v>
      </c>
      <c r="N291" s="1948">
        <f t="shared" si="60"/>
        <v>31622</v>
      </c>
      <c r="O291" s="1948">
        <f t="shared" si="61"/>
        <v>0</v>
      </c>
      <c r="P291" s="1948">
        <v>200</v>
      </c>
      <c r="Q291" s="1948">
        <v>72.48</v>
      </c>
      <c r="R291" s="1948">
        <v>160</v>
      </c>
      <c r="S291" s="1948">
        <v>0.97309999999999997</v>
      </c>
      <c r="T291" s="1948">
        <v>24.88</v>
      </c>
      <c r="U291" s="1948">
        <v>13418</v>
      </c>
      <c r="V291" s="1948">
        <f t="shared" si="62"/>
        <v>32355</v>
      </c>
      <c r="W291" s="1948">
        <f t="shared" si="63"/>
        <v>0</v>
      </c>
      <c r="X291" s="1948">
        <v>200</v>
      </c>
      <c r="Y291" s="1948">
        <v>77.600000000000009</v>
      </c>
      <c r="Z291" s="1948">
        <v>160</v>
      </c>
      <c r="AA291" s="1948">
        <v>0.97240000000000004</v>
      </c>
      <c r="AB291" s="1948">
        <v>29.59</v>
      </c>
      <c r="AC291" s="1948">
        <v>16532</v>
      </c>
      <c r="AD291" s="1948">
        <f t="shared" si="64"/>
        <v>33523</v>
      </c>
      <c r="AE291" s="1948">
        <f t="shared" si="65"/>
        <v>0</v>
      </c>
      <c r="AF291" s="1948">
        <v>200</v>
      </c>
      <c r="AG291" s="1948">
        <v>82</v>
      </c>
      <c r="AH291" s="1948">
        <v>160</v>
      </c>
      <c r="AI291" s="1948">
        <v>0.9728</v>
      </c>
      <c r="AJ291" s="1948">
        <v>26.91</v>
      </c>
      <c r="AK291" s="1948">
        <v>16418</v>
      </c>
      <c r="AL291" s="1948">
        <f t="shared" si="66"/>
        <v>36605</v>
      </c>
      <c r="AM291" s="1948">
        <f t="shared" si="67"/>
        <v>0</v>
      </c>
      <c r="AN291" s="1948">
        <v>200</v>
      </c>
      <c r="AO291" s="1948">
        <v>62.8</v>
      </c>
      <c r="AP291" s="1948">
        <v>160</v>
      </c>
      <c r="AQ291" s="1948">
        <v>0.98</v>
      </c>
      <c r="AR291" s="1948">
        <v>29.47</v>
      </c>
      <c r="AS291" s="1948">
        <v>13768</v>
      </c>
      <c r="AT291" s="1948">
        <f t="shared" si="68"/>
        <v>28034</v>
      </c>
      <c r="AU291" s="1948">
        <f t="shared" si="69"/>
        <v>0</v>
      </c>
      <c r="AV291" s="1948">
        <v>200</v>
      </c>
      <c r="AW291" s="1948">
        <v>80.959999999999994</v>
      </c>
      <c r="AX291" s="1948">
        <v>160</v>
      </c>
      <c r="AY291" s="1948">
        <v>0.96919999999999995</v>
      </c>
      <c r="AZ291" s="1948">
        <v>24.66</v>
      </c>
      <c r="BA291" s="1948">
        <v>14374</v>
      </c>
      <c r="BB291" s="1948">
        <f t="shared" si="70"/>
        <v>34975</v>
      </c>
      <c r="BC291" s="1948">
        <f t="shared" si="71"/>
        <v>0</v>
      </c>
      <c r="BD291" s="1949">
        <v>200</v>
      </c>
      <c r="BE291" s="1948">
        <v>76.8</v>
      </c>
      <c r="BF291" s="1949">
        <v>160</v>
      </c>
      <c r="BG291" s="1949">
        <v>0.95820000000000005</v>
      </c>
      <c r="BH291" s="1949">
        <v>25.23</v>
      </c>
      <c r="BI291" s="1948">
        <v>14415</v>
      </c>
      <c r="BJ291" s="1948">
        <f t="shared" si="72"/>
        <v>34284</v>
      </c>
      <c r="BK291" s="1948">
        <f t="shared" si="73"/>
        <v>0</v>
      </c>
    </row>
    <row r="292" spans="1:63" ht="15">
      <c r="A292" s="1946">
        <v>123000000084</v>
      </c>
      <c r="B292" s="1947">
        <f t="shared" si="74"/>
        <v>286</v>
      </c>
      <c r="C292" s="1906" t="s">
        <v>3180</v>
      </c>
      <c r="D292" s="1907" t="s">
        <v>524</v>
      </c>
      <c r="E292" s="1906" t="s">
        <v>541</v>
      </c>
      <c r="F292" s="1948" t="s">
        <v>259</v>
      </c>
      <c r="G292" s="1949">
        <v>200</v>
      </c>
      <c r="H292" s="1948">
        <v>200</v>
      </c>
      <c r="I292" s="1950">
        <v>0</v>
      </c>
      <c r="J292" s="1948">
        <v>160</v>
      </c>
      <c r="K292" s="1948">
        <v>0</v>
      </c>
      <c r="L292" s="1948">
        <v>0</v>
      </c>
      <c r="M292" s="1948">
        <v>0</v>
      </c>
      <c r="N292" s="1948">
        <f t="shared" si="60"/>
        <v>0</v>
      </c>
      <c r="O292" s="1948">
        <f t="shared" si="61"/>
        <v>0</v>
      </c>
      <c r="P292" s="1948">
        <v>200</v>
      </c>
      <c r="Q292" s="1948">
        <v>0</v>
      </c>
      <c r="R292" s="1948">
        <v>160</v>
      </c>
      <c r="S292" s="1948">
        <v>0</v>
      </c>
      <c r="T292" s="1948">
        <v>0</v>
      </c>
      <c r="U292" s="1948">
        <v>0</v>
      </c>
      <c r="V292" s="1948">
        <f t="shared" si="62"/>
        <v>0</v>
      </c>
      <c r="W292" s="1948">
        <f t="shared" si="63"/>
        <v>0</v>
      </c>
      <c r="X292" s="1948">
        <v>200</v>
      </c>
      <c r="Y292" s="1948">
        <v>0</v>
      </c>
      <c r="Z292" s="1948">
        <v>160</v>
      </c>
      <c r="AA292" s="1948">
        <v>0</v>
      </c>
      <c r="AB292" s="1948">
        <v>0</v>
      </c>
      <c r="AC292" s="1948">
        <v>0</v>
      </c>
      <c r="AD292" s="1948">
        <f t="shared" si="64"/>
        <v>0</v>
      </c>
      <c r="AE292" s="1948">
        <f t="shared" si="65"/>
        <v>0</v>
      </c>
      <c r="AF292" s="1948">
        <v>200</v>
      </c>
      <c r="AG292" s="1948">
        <v>87.2</v>
      </c>
      <c r="AH292" s="1948">
        <v>160</v>
      </c>
      <c r="AI292" s="1948">
        <v>0.74170000000000003</v>
      </c>
      <c r="AJ292" s="1948">
        <v>0.16</v>
      </c>
      <c r="AK292" s="1948">
        <v>6598</v>
      </c>
      <c r="AL292" s="1948">
        <f t="shared" si="66"/>
        <v>38926</v>
      </c>
      <c r="AM292" s="1948">
        <f t="shared" si="67"/>
        <v>0</v>
      </c>
      <c r="AN292" s="1948">
        <v>200</v>
      </c>
      <c r="AO292" s="1948">
        <v>87.2</v>
      </c>
      <c r="AP292" s="1948">
        <v>160</v>
      </c>
      <c r="AQ292" s="1948">
        <v>0.76980000000000004</v>
      </c>
      <c r="AR292" s="1948">
        <v>14.51</v>
      </c>
      <c r="AS292" s="1948">
        <v>9412</v>
      </c>
      <c r="AT292" s="1948">
        <f t="shared" si="68"/>
        <v>38926</v>
      </c>
      <c r="AU292" s="1948">
        <f t="shared" si="69"/>
        <v>0</v>
      </c>
      <c r="AV292" s="1948">
        <v>200</v>
      </c>
      <c r="AW292" s="1948">
        <v>96.960000000000008</v>
      </c>
      <c r="AX292" s="1948">
        <v>160</v>
      </c>
      <c r="AY292" s="1948">
        <v>0.76829999999999998</v>
      </c>
      <c r="AZ292" s="1948">
        <v>15.64</v>
      </c>
      <c r="BA292" s="1948">
        <v>10920</v>
      </c>
      <c r="BB292" s="1948">
        <f t="shared" si="70"/>
        <v>41887</v>
      </c>
      <c r="BC292" s="1948">
        <f t="shared" si="71"/>
        <v>0</v>
      </c>
      <c r="BD292" s="1949">
        <v>200</v>
      </c>
      <c r="BE292" s="1948">
        <v>89.44</v>
      </c>
      <c r="BF292" s="1949">
        <v>160</v>
      </c>
      <c r="BG292" s="1949">
        <v>0.73699999999999999</v>
      </c>
      <c r="BH292" s="1949">
        <v>13.11</v>
      </c>
      <c r="BI292" s="1948">
        <v>8724</v>
      </c>
      <c r="BJ292" s="1948">
        <f t="shared" si="72"/>
        <v>39926</v>
      </c>
      <c r="BK292" s="1948">
        <f t="shared" si="73"/>
        <v>0</v>
      </c>
    </row>
    <row r="293" spans="1:63" ht="15">
      <c r="A293" s="1946">
        <v>123000000112</v>
      </c>
      <c r="B293" s="1947">
        <f t="shared" si="74"/>
        <v>287</v>
      </c>
      <c r="C293" s="1906" t="s">
        <v>3181</v>
      </c>
      <c r="D293" s="1907" t="s">
        <v>524</v>
      </c>
      <c r="E293" s="1906" t="s">
        <v>2966</v>
      </c>
      <c r="F293" s="1948" t="s">
        <v>259</v>
      </c>
      <c r="G293" s="1949">
        <v>200</v>
      </c>
      <c r="H293" s="1948">
        <v>200</v>
      </c>
      <c r="I293" s="1950">
        <v>19.2</v>
      </c>
      <c r="J293" s="1948">
        <v>200</v>
      </c>
      <c r="K293" s="1948">
        <v>0.83069999999999999</v>
      </c>
      <c r="L293" s="1948">
        <v>0</v>
      </c>
      <c r="M293" s="1948">
        <v>4704</v>
      </c>
      <c r="N293" s="1948">
        <f t="shared" si="60"/>
        <v>8294</v>
      </c>
      <c r="O293" s="1948">
        <f t="shared" si="61"/>
        <v>0</v>
      </c>
      <c r="P293" s="1948">
        <v>200</v>
      </c>
      <c r="Q293" s="1948">
        <v>47.839999999999996</v>
      </c>
      <c r="R293" s="1948">
        <v>200</v>
      </c>
      <c r="S293" s="1948">
        <v>0.82589999999999997</v>
      </c>
      <c r="T293" s="1948">
        <v>0</v>
      </c>
      <c r="U293" s="1948">
        <v>9172</v>
      </c>
      <c r="V293" s="1948">
        <f t="shared" si="62"/>
        <v>21356</v>
      </c>
      <c r="W293" s="1948">
        <f t="shared" si="63"/>
        <v>0</v>
      </c>
      <c r="X293" s="1948">
        <v>200</v>
      </c>
      <c r="Y293" s="1948">
        <v>51.519999999999996</v>
      </c>
      <c r="Z293" s="1948">
        <v>200</v>
      </c>
      <c r="AA293" s="1948">
        <v>0.78900000000000003</v>
      </c>
      <c r="AB293" s="1948">
        <v>0</v>
      </c>
      <c r="AC293" s="1948">
        <v>12108</v>
      </c>
      <c r="AD293" s="1948">
        <f t="shared" si="64"/>
        <v>22257</v>
      </c>
      <c r="AE293" s="1948">
        <f t="shared" si="65"/>
        <v>0</v>
      </c>
      <c r="AF293" s="1948">
        <v>200</v>
      </c>
      <c r="AG293" s="1948">
        <v>45.12</v>
      </c>
      <c r="AH293" s="1948">
        <v>200</v>
      </c>
      <c r="AI293" s="1948">
        <v>0.75939999999999996</v>
      </c>
      <c r="AJ293" s="1948">
        <v>0</v>
      </c>
      <c r="AK293" s="1948">
        <v>13958</v>
      </c>
      <c r="AL293" s="1948">
        <f t="shared" si="66"/>
        <v>20142</v>
      </c>
      <c r="AM293" s="1948">
        <f t="shared" si="67"/>
        <v>0</v>
      </c>
      <c r="AN293" s="1948">
        <v>200</v>
      </c>
      <c r="AO293" s="1948">
        <v>46.88</v>
      </c>
      <c r="AP293" s="1948">
        <v>200</v>
      </c>
      <c r="AQ293" s="1948">
        <v>0.80549999999999999</v>
      </c>
      <c r="AR293" s="1948">
        <v>0</v>
      </c>
      <c r="AS293" s="1948">
        <v>14380</v>
      </c>
      <c r="AT293" s="1948">
        <f t="shared" si="68"/>
        <v>20927</v>
      </c>
      <c r="AU293" s="1948">
        <f t="shared" si="69"/>
        <v>0</v>
      </c>
      <c r="AV293" s="1948">
        <v>200</v>
      </c>
      <c r="AW293" s="1948">
        <v>37.119999999999997</v>
      </c>
      <c r="AX293" s="1948">
        <v>200</v>
      </c>
      <c r="AY293" s="1948">
        <v>0.8276</v>
      </c>
      <c r="AZ293" s="1948">
        <v>0</v>
      </c>
      <c r="BA293" s="1948">
        <v>10736</v>
      </c>
      <c r="BB293" s="1948">
        <f t="shared" si="70"/>
        <v>16036</v>
      </c>
      <c r="BC293" s="1948">
        <f t="shared" si="71"/>
        <v>0</v>
      </c>
      <c r="BD293" s="1949">
        <v>200</v>
      </c>
      <c r="BE293" s="1948">
        <v>28.32</v>
      </c>
      <c r="BF293" s="1949">
        <v>200</v>
      </c>
      <c r="BG293" s="1949">
        <v>0.80840000000000001</v>
      </c>
      <c r="BH293" s="1949">
        <v>0</v>
      </c>
      <c r="BI293" s="1948">
        <v>10108</v>
      </c>
      <c r="BJ293" s="1948">
        <f t="shared" si="72"/>
        <v>12642</v>
      </c>
      <c r="BK293" s="1948">
        <f t="shared" si="73"/>
        <v>0</v>
      </c>
    </row>
    <row r="294" spans="1:63" ht="15">
      <c r="A294" s="1946">
        <v>123000000123</v>
      </c>
      <c r="B294" s="1947">
        <f t="shared" si="74"/>
        <v>288</v>
      </c>
      <c r="C294" s="1906" t="s">
        <v>3173</v>
      </c>
      <c r="D294" s="1907" t="s">
        <v>524</v>
      </c>
      <c r="E294" s="1906" t="s">
        <v>2966</v>
      </c>
      <c r="F294" s="1948" t="s">
        <v>259</v>
      </c>
      <c r="G294" s="1949">
        <v>200</v>
      </c>
      <c r="H294" s="1948">
        <v>200</v>
      </c>
      <c r="I294" s="1950">
        <v>139.84</v>
      </c>
      <c r="J294" s="1948">
        <v>200</v>
      </c>
      <c r="K294" s="1948">
        <v>0.75239999999999996</v>
      </c>
      <c r="L294" s="1948">
        <v>0</v>
      </c>
      <c r="M294" s="1948">
        <v>38948</v>
      </c>
      <c r="N294" s="1948">
        <f t="shared" si="60"/>
        <v>60411</v>
      </c>
      <c r="O294" s="1948">
        <f t="shared" si="61"/>
        <v>0</v>
      </c>
      <c r="P294" s="1948">
        <v>200</v>
      </c>
      <c r="Q294" s="1948">
        <v>140.79999999999998</v>
      </c>
      <c r="R294" s="1948">
        <v>200</v>
      </c>
      <c r="S294" s="1948">
        <v>0.77859999999999996</v>
      </c>
      <c r="T294" s="1948">
        <v>0</v>
      </c>
      <c r="U294" s="1948">
        <v>20080</v>
      </c>
      <c r="V294" s="1948">
        <f t="shared" si="62"/>
        <v>62853</v>
      </c>
      <c r="W294" s="1948">
        <f t="shared" si="63"/>
        <v>0</v>
      </c>
      <c r="X294" s="1948">
        <v>200</v>
      </c>
      <c r="Y294" s="1948">
        <v>14.24</v>
      </c>
      <c r="Z294" s="1948">
        <v>200</v>
      </c>
      <c r="AA294" s="1948">
        <v>0.92269999999999996</v>
      </c>
      <c r="AB294" s="1948">
        <v>0</v>
      </c>
      <c r="AC294" s="1948">
        <v>2666</v>
      </c>
      <c r="AD294" s="1948">
        <f t="shared" si="64"/>
        <v>6152</v>
      </c>
      <c r="AE294" s="1948">
        <f t="shared" si="65"/>
        <v>0</v>
      </c>
      <c r="AF294" s="1948">
        <v>200</v>
      </c>
      <c r="AG294" s="1948">
        <v>22.400000000000002</v>
      </c>
      <c r="AH294" s="1948">
        <v>200</v>
      </c>
      <c r="AI294" s="1948">
        <v>0.83489999999999998</v>
      </c>
      <c r="AJ294" s="1948">
        <v>0</v>
      </c>
      <c r="AK294" s="1948">
        <v>3950</v>
      </c>
      <c r="AL294" s="1948">
        <f t="shared" si="66"/>
        <v>9999</v>
      </c>
      <c r="AM294" s="1948">
        <f t="shared" si="67"/>
        <v>0</v>
      </c>
      <c r="AN294" s="1948">
        <v>200</v>
      </c>
      <c r="AO294" s="1948">
        <v>96.64</v>
      </c>
      <c r="AP294" s="1948">
        <v>200</v>
      </c>
      <c r="AQ294" s="1948">
        <v>0.80669999999999997</v>
      </c>
      <c r="AR294" s="1948">
        <v>0</v>
      </c>
      <c r="AS294" s="1948">
        <v>6624</v>
      </c>
      <c r="AT294" s="1948">
        <f t="shared" si="68"/>
        <v>43140</v>
      </c>
      <c r="AU294" s="1948">
        <f t="shared" si="69"/>
        <v>0</v>
      </c>
      <c r="AV294" s="1948">
        <v>200</v>
      </c>
      <c r="AW294" s="1948">
        <v>115.36</v>
      </c>
      <c r="AX294" s="1948">
        <v>200</v>
      </c>
      <c r="AY294" s="1948">
        <v>0.75439999999999996</v>
      </c>
      <c r="AZ294" s="1948">
        <v>0</v>
      </c>
      <c r="BA294" s="1948">
        <v>20988</v>
      </c>
      <c r="BB294" s="1948">
        <f t="shared" si="70"/>
        <v>49836</v>
      </c>
      <c r="BC294" s="1948">
        <f t="shared" si="71"/>
        <v>0</v>
      </c>
      <c r="BD294" s="1949">
        <v>200</v>
      </c>
      <c r="BE294" s="1948">
        <v>132.64000000000001</v>
      </c>
      <c r="BF294" s="1949">
        <v>200</v>
      </c>
      <c r="BG294" s="1949">
        <v>0.78290000000000004</v>
      </c>
      <c r="BH294" s="1949">
        <v>0</v>
      </c>
      <c r="BI294" s="1948">
        <v>40554</v>
      </c>
      <c r="BJ294" s="1948">
        <f t="shared" si="72"/>
        <v>59210</v>
      </c>
      <c r="BK294" s="1948">
        <f t="shared" si="73"/>
        <v>0</v>
      </c>
    </row>
    <row r="295" spans="1:63" ht="15">
      <c r="A295" s="1946">
        <v>123000000124</v>
      </c>
      <c r="B295" s="1947">
        <f t="shared" si="74"/>
        <v>289</v>
      </c>
      <c r="C295" s="1906" t="s">
        <v>3171</v>
      </c>
      <c r="D295" s="1907" t="s">
        <v>524</v>
      </c>
      <c r="E295" s="1906" t="s">
        <v>2966</v>
      </c>
      <c r="F295" s="1948" t="s">
        <v>259</v>
      </c>
      <c r="G295" s="1949">
        <v>200</v>
      </c>
      <c r="H295" s="1948">
        <v>200</v>
      </c>
      <c r="I295" s="1950">
        <v>136.80000000000001</v>
      </c>
      <c r="J295" s="1948">
        <v>200</v>
      </c>
      <c r="K295" s="1948">
        <v>0.62180000000000002</v>
      </c>
      <c r="L295" s="1948">
        <v>0</v>
      </c>
      <c r="M295" s="1948">
        <v>39772</v>
      </c>
      <c r="N295" s="1948">
        <f t="shared" si="60"/>
        <v>59098</v>
      </c>
      <c r="O295" s="1948">
        <f t="shared" si="61"/>
        <v>0</v>
      </c>
      <c r="P295" s="1948">
        <v>200</v>
      </c>
      <c r="Q295" s="1948">
        <v>137.4</v>
      </c>
      <c r="R295" s="1948">
        <v>200</v>
      </c>
      <c r="S295" s="1948">
        <v>0.61639999999999995</v>
      </c>
      <c r="T295" s="1948">
        <v>0</v>
      </c>
      <c r="U295" s="1948">
        <v>40260</v>
      </c>
      <c r="V295" s="1948">
        <f t="shared" si="62"/>
        <v>61335</v>
      </c>
      <c r="W295" s="1948">
        <f t="shared" si="63"/>
        <v>0</v>
      </c>
      <c r="X295" s="1948">
        <v>200</v>
      </c>
      <c r="Y295" s="1948">
        <v>120.11999999999999</v>
      </c>
      <c r="Z295" s="1948">
        <v>200</v>
      </c>
      <c r="AA295" s="1948">
        <v>0.66080000000000005</v>
      </c>
      <c r="AB295" s="1948">
        <v>0</v>
      </c>
      <c r="AC295" s="1948">
        <v>27933</v>
      </c>
      <c r="AD295" s="1948">
        <f t="shared" si="64"/>
        <v>51892</v>
      </c>
      <c r="AE295" s="1948">
        <f t="shared" si="65"/>
        <v>0</v>
      </c>
      <c r="AF295" s="1948">
        <v>200</v>
      </c>
      <c r="AG295" s="1948">
        <v>122.39999999999999</v>
      </c>
      <c r="AH295" s="1948">
        <v>200</v>
      </c>
      <c r="AI295" s="1948">
        <v>0.65739999999999998</v>
      </c>
      <c r="AJ295" s="1948">
        <v>0</v>
      </c>
      <c r="AK295" s="1948">
        <v>20697</v>
      </c>
      <c r="AL295" s="1948">
        <f t="shared" si="66"/>
        <v>54639</v>
      </c>
      <c r="AM295" s="1948">
        <f t="shared" si="67"/>
        <v>0</v>
      </c>
      <c r="AN295" s="1948">
        <v>200</v>
      </c>
      <c r="AO295" s="1948">
        <v>134.76</v>
      </c>
      <c r="AP295" s="1948">
        <v>200</v>
      </c>
      <c r="AQ295" s="1948">
        <v>0.61539999999999995</v>
      </c>
      <c r="AR295" s="1948">
        <v>0</v>
      </c>
      <c r="AS295" s="1948">
        <v>34749</v>
      </c>
      <c r="AT295" s="1948">
        <f t="shared" si="68"/>
        <v>60157</v>
      </c>
      <c r="AU295" s="1948">
        <f t="shared" si="69"/>
        <v>0</v>
      </c>
      <c r="AV295" s="1948">
        <v>200</v>
      </c>
      <c r="AW295" s="1948">
        <v>1.7088000000000001</v>
      </c>
      <c r="AX295" s="1948">
        <v>200</v>
      </c>
      <c r="AY295" s="1948">
        <v>0.64339999999999997</v>
      </c>
      <c r="AZ295" s="1948">
        <v>0</v>
      </c>
      <c r="BA295" s="1948">
        <v>26534</v>
      </c>
      <c r="BB295" s="1948">
        <f t="shared" si="70"/>
        <v>738</v>
      </c>
      <c r="BC295" s="1948">
        <f t="shared" si="71"/>
        <v>25796</v>
      </c>
      <c r="BD295" s="1949">
        <v>200</v>
      </c>
      <c r="BE295" s="1948">
        <v>33.112000000000002</v>
      </c>
      <c r="BF295" s="1949">
        <v>200</v>
      </c>
      <c r="BG295" s="1949">
        <v>0.64490000000000003</v>
      </c>
      <c r="BH295" s="1949">
        <v>0</v>
      </c>
      <c r="BI295" s="1948">
        <v>6534</v>
      </c>
      <c r="BJ295" s="1948">
        <f t="shared" si="72"/>
        <v>14781</v>
      </c>
      <c r="BK295" s="1948">
        <f t="shared" si="73"/>
        <v>0</v>
      </c>
    </row>
    <row r="296" spans="1:63" ht="15">
      <c r="A296" s="1946">
        <v>123000000134</v>
      </c>
      <c r="B296" s="1947">
        <f t="shared" si="74"/>
        <v>290</v>
      </c>
      <c r="C296" s="1906" t="s">
        <v>3166</v>
      </c>
      <c r="D296" s="1907" t="s">
        <v>524</v>
      </c>
      <c r="E296" s="1906" t="s">
        <v>541</v>
      </c>
      <c r="F296" s="1948" t="s">
        <v>259</v>
      </c>
      <c r="G296" s="1949">
        <v>200</v>
      </c>
      <c r="H296" s="1948">
        <v>200</v>
      </c>
      <c r="I296" s="1950">
        <v>110.55999999999999</v>
      </c>
      <c r="J296" s="1948">
        <v>160</v>
      </c>
      <c r="K296" s="1948">
        <v>0.98509999999999998</v>
      </c>
      <c r="L296" s="1948">
        <v>33.729999999999997</v>
      </c>
      <c r="M296" s="1948">
        <v>26848</v>
      </c>
      <c r="N296" s="1948">
        <f t="shared" si="60"/>
        <v>47762</v>
      </c>
      <c r="O296" s="1948">
        <f t="shared" si="61"/>
        <v>0</v>
      </c>
      <c r="P296" s="1948">
        <v>200</v>
      </c>
      <c r="Q296" s="1948">
        <v>83.04</v>
      </c>
      <c r="R296" s="1948">
        <v>160</v>
      </c>
      <c r="S296" s="1948">
        <v>0.97670000000000001</v>
      </c>
      <c r="T296" s="1948">
        <v>32.6</v>
      </c>
      <c r="U296" s="1948">
        <v>20140</v>
      </c>
      <c r="V296" s="1948">
        <f t="shared" si="62"/>
        <v>37069</v>
      </c>
      <c r="W296" s="1948">
        <f t="shared" si="63"/>
        <v>0</v>
      </c>
      <c r="X296" s="1948">
        <v>200</v>
      </c>
      <c r="Y296" s="1948">
        <v>109.11999999999999</v>
      </c>
      <c r="Z296" s="1948">
        <v>160</v>
      </c>
      <c r="AA296" s="1948">
        <v>0.97940000000000005</v>
      </c>
      <c r="AB296" s="1948">
        <v>29.94</v>
      </c>
      <c r="AC296" s="1948">
        <v>23520</v>
      </c>
      <c r="AD296" s="1948">
        <f t="shared" si="64"/>
        <v>47140</v>
      </c>
      <c r="AE296" s="1948">
        <f t="shared" si="65"/>
        <v>0</v>
      </c>
      <c r="AF296" s="1948">
        <v>200</v>
      </c>
      <c r="AG296" s="1948">
        <v>88.8</v>
      </c>
      <c r="AH296" s="1948">
        <v>160</v>
      </c>
      <c r="AI296" s="1948">
        <v>0.9839</v>
      </c>
      <c r="AJ296" s="1948">
        <v>36.29</v>
      </c>
      <c r="AK296" s="1948">
        <v>23976</v>
      </c>
      <c r="AL296" s="1948">
        <f t="shared" si="66"/>
        <v>39640</v>
      </c>
      <c r="AM296" s="1948">
        <f t="shared" si="67"/>
        <v>0</v>
      </c>
      <c r="AN296" s="1948">
        <v>200</v>
      </c>
      <c r="AO296" s="1948">
        <v>104.64</v>
      </c>
      <c r="AP296" s="1948">
        <v>160</v>
      </c>
      <c r="AQ296" s="1948">
        <v>0.97729999999999995</v>
      </c>
      <c r="AR296" s="1948">
        <v>24.24</v>
      </c>
      <c r="AS296" s="1948">
        <v>18872</v>
      </c>
      <c r="AT296" s="1948">
        <f t="shared" si="68"/>
        <v>46711</v>
      </c>
      <c r="AU296" s="1948">
        <f t="shared" si="69"/>
        <v>0</v>
      </c>
      <c r="AV296" s="1948">
        <v>200</v>
      </c>
      <c r="AW296" s="1948">
        <v>98.72</v>
      </c>
      <c r="AX296" s="1948">
        <v>160</v>
      </c>
      <c r="AY296" s="1948">
        <v>0.97819999999999996</v>
      </c>
      <c r="AZ296" s="1948">
        <v>30.93</v>
      </c>
      <c r="BA296" s="1948">
        <v>21986</v>
      </c>
      <c r="BB296" s="1948">
        <f t="shared" si="70"/>
        <v>42647</v>
      </c>
      <c r="BC296" s="1948">
        <f t="shared" si="71"/>
        <v>0</v>
      </c>
      <c r="BD296" s="1949">
        <v>200</v>
      </c>
      <c r="BE296" s="1948">
        <v>101.44</v>
      </c>
      <c r="BF296" s="1949">
        <v>160</v>
      </c>
      <c r="BG296" s="1949">
        <v>0.96899999999999997</v>
      </c>
      <c r="BH296" s="1949">
        <v>35.409999999999997</v>
      </c>
      <c r="BI296" s="1948">
        <v>26726</v>
      </c>
      <c r="BJ296" s="1948">
        <f t="shared" si="72"/>
        <v>45283</v>
      </c>
      <c r="BK296" s="1948">
        <f t="shared" si="73"/>
        <v>0</v>
      </c>
    </row>
    <row r="297" spans="1:63" ht="15">
      <c r="A297" s="1946">
        <v>123000000138</v>
      </c>
      <c r="B297" s="1947">
        <f t="shared" si="74"/>
        <v>291</v>
      </c>
      <c r="C297" s="1906" t="s">
        <v>3165</v>
      </c>
      <c r="D297" s="1907" t="s">
        <v>524</v>
      </c>
      <c r="E297" s="1906" t="s">
        <v>2966</v>
      </c>
      <c r="F297" s="1948" t="s">
        <v>259</v>
      </c>
      <c r="G297" s="1949">
        <v>200</v>
      </c>
      <c r="H297" s="1948">
        <v>200</v>
      </c>
      <c r="I297" s="1950">
        <v>135.17000000000002</v>
      </c>
      <c r="J297" s="1948">
        <v>200</v>
      </c>
      <c r="K297" s="1948">
        <v>0.72729999999999995</v>
      </c>
      <c r="L297" s="1948">
        <v>20.79</v>
      </c>
      <c r="M297" s="1948">
        <v>20236</v>
      </c>
      <c r="N297" s="1948">
        <f t="shared" si="60"/>
        <v>58393</v>
      </c>
      <c r="O297" s="1948">
        <f t="shared" si="61"/>
        <v>0</v>
      </c>
      <c r="P297" s="1948">
        <v>200</v>
      </c>
      <c r="Q297" s="1948">
        <v>179.93</v>
      </c>
      <c r="R297" s="1948">
        <v>200</v>
      </c>
      <c r="S297" s="1948">
        <v>0.74250000000000005</v>
      </c>
      <c r="T297" s="1948">
        <v>25.36</v>
      </c>
      <c r="U297" s="1948">
        <v>33955</v>
      </c>
      <c r="V297" s="1948">
        <f t="shared" si="62"/>
        <v>80321</v>
      </c>
      <c r="W297" s="1948">
        <f t="shared" si="63"/>
        <v>0</v>
      </c>
      <c r="X297" s="1948">
        <v>200</v>
      </c>
      <c r="Y297" s="1948">
        <v>185.20999999999998</v>
      </c>
      <c r="Z297" s="1948">
        <v>200</v>
      </c>
      <c r="AA297" s="1948">
        <v>0.77129999999999999</v>
      </c>
      <c r="AB297" s="1948">
        <v>13.59</v>
      </c>
      <c r="AC297" s="1948">
        <v>18127</v>
      </c>
      <c r="AD297" s="1948">
        <f t="shared" si="64"/>
        <v>80011</v>
      </c>
      <c r="AE297" s="1948">
        <f t="shared" si="65"/>
        <v>0</v>
      </c>
      <c r="AF297" s="1948">
        <v>200</v>
      </c>
      <c r="AG297" s="1948">
        <v>152.33000000000001</v>
      </c>
      <c r="AH297" s="1948">
        <v>200</v>
      </c>
      <c r="AI297" s="1948">
        <v>0.73699999999999999</v>
      </c>
      <c r="AJ297" s="1948">
        <v>18.95</v>
      </c>
      <c r="AK297" s="1948">
        <v>21480</v>
      </c>
      <c r="AL297" s="1948">
        <f t="shared" si="66"/>
        <v>68000</v>
      </c>
      <c r="AM297" s="1948">
        <f t="shared" si="67"/>
        <v>0</v>
      </c>
      <c r="AN297" s="1948">
        <v>200</v>
      </c>
      <c r="AO297" s="1948">
        <v>162.16999999999999</v>
      </c>
      <c r="AP297" s="1948">
        <v>200</v>
      </c>
      <c r="AQ297" s="1948">
        <v>0.74270000000000003</v>
      </c>
      <c r="AR297" s="1948">
        <v>32.020000000000003</v>
      </c>
      <c r="AS297" s="1948">
        <v>38632</v>
      </c>
      <c r="AT297" s="1948">
        <f t="shared" si="68"/>
        <v>72393</v>
      </c>
      <c r="AU297" s="1948">
        <f t="shared" si="69"/>
        <v>0</v>
      </c>
      <c r="AV297" s="1948">
        <v>200</v>
      </c>
      <c r="AW297" s="1948">
        <v>175.49</v>
      </c>
      <c r="AX297" s="1948">
        <v>200</v>
      </c>
      <c r="AY297" s="1948">
        <v>0.73360000000000003</v>
      </c>
      <c r="AZ297" s="1948">
        <v>15</v>
      </c>
      <c r="BA297" s="1948">
        <v>18958</v>
      </c>
      <c r="BB297" s="1948">
        <f t="shared" si="70"/>
        <v>75812</v>
      </c>
      <c r="BC297" s="1948">
        <f t="shared" si="71"/>
        <v>0</v>
      </c>
      <c r="BD297" s="1949">
        <v>200</v>
      </c>
      <c r="BE297" s="1948">
        <v>48.529999999999994</v>
      </c>
      <c r="BF297" s="1949">
        <v>200</v>
      </c>
      <c r="BG297" s="1949">
        <v>0.58540000000000003</v>
      </c>
      <c r="BH297" s="1949">
        <v>9.66</v>
      </c>
      <c r="BI297" s="1948">
        <v>3487</v>
      </c>
      <c r="BJ297" s="1948">
        <f t="shared" si="72"/>
        <v>21664</v>
      </c>
      <c r="BK297" s="1948">
        <f t="shared" si="73"/>
        <v>0</v>
      </c>
    </row>
    <row r="298" spans="1:63" ht="15">
      <c r="A298" s="1946">
        <v>123000000150</v>
      </c>
      <c r="B298" s="1947">
        <f t="shared" si="74"/>
        <v>292</v>
      </c>
      <c r="C298" s="1906" t="s">
        <v>3563</v>
      </c>
      <c r="D298" s="1907" t="s">
        <v>524</v>
      </c>
      <c r="E298" s="1906" t="s">
        <v>541</v>
      </c>
      <c r="F298" s="1948" t="s">
        <v>259</v>
      </c>
      <c r="G298" s="1949">
        <v>200</v>
      </c>
      <c r="H298" s="1948">
        <v>0</v>
      </c>
      <c r="I298" s="1950">
        <v>0</v>
      </c>
      <c r="J298" s="1948">
        <v>0</v>
      </c>
      <c r="K298" s="1948">
        <v>0</v>
      </c>
      <c r="L298" s="1948">
        <v>0</v>
      </c>
      <c r="M298" s="1948">
        <v>0</v>
      </c>
      <c r="N298" s="1948">
        <f t="shared" si="60"/>
        <v>0</v>
      </c>
      <c r="O298" s="1948">
        <f t="shared" si="61"/>
        <v>0</v>
      </c>
      <c r="P298" s="1948">
        <v>0</v>
      </c>
      <c r="Q298" s="1948">
        <v>0</v>
      </c>
      <c r="R298" s="1948">
        <v>0</v>
      </c>
      <c r="S298" s="1948">
        <v>0</v>
      </c>
      <c r="T298" s="1948">
        <v>0</v>
      </c>
      <c r="U298" s="1948">
        <v>0</v>
      </c>
      <c r="V298" s="1948">
        <f t="shared" si="62"/>
        <v>0</v>
      </c>
      <c r="W298" s="1948">
        <f t="shared" si="63"/>
        <v>0</v>
      </c>
      <c r="X298" s="1948">
        <v>0</v>
      </c>
      <c r="Y298" s="1948">
        <v>0</v>
      </c>
      <c r="Z298" s="1948">
        <v>0</v>
      </c>
      <c r="AA298" s="1948">
        <v>0</v>
      </c>
      <c r="AB298" s="1948">
        <v>0</v>
      </c>
      <c r="AC298" s="1948">
        <v>0</v>
      </c>
      <c r="AD298" s="1948">
        <f t="shared" si="64"/>
        <v>0</v>
      </c>
      <c r="AE298" s="1948">
        <f t="shared" si="65"/>
        <v>0</v>
      </c>
      <c r="AF298" s="1948">
        <v>0</v>
      </c>
      <c r="AG298" s="1948">
        <v>0</v>
      </c>
      <c r="AH298" s="1948">
        <v>0</v>
      </c>
      <c r="AI298" s="1948">
        <v>0</v>
      </c>
      <c r="AJ298" s="1948">
        <v>0</v>
      </c>
      <c r="AK298" s="1948">
        <v>0</v>
      </c>
      <c r="AL298" s="1948">
        <f t="shared" si="66"/>
        <v>0</v>
      </c>
      <c r="AM298" s="1948">
        <f t="shared" si="67"/>
        <v>0</v>
      </c>
      <c r="AN298" s="1948">
        <v>200</v>
      </c>
      <c r="AO298" s="1948">
        <v>80.063999999999993</v>
      </c>
      <c r="AP298" s="1948">
        <v>160</v>
      </c>
      <c r="AQ298" s="1948">
        <v>0.30980000000000002</v>
      </c>
      <c r="AR298" s="1948">
        <v>6.1</v>
      </c>
      <c r="AS298" s="1948">
        <v>2930</v>
      </c>
      <c r="AT298" s="1948">
        <f t="shared" si="68"/>
        <v>35741</v>
      </c>
      <c r="AU298" s="1948">
        <f t="shared" si="69"/>
        <v>0</v>
      </c>
      <c r="AV298" s="1948">
        <v>200</v>
      </c>
      <c r="AW298" s="1948">
        <v>115.70399999999999</v>
      </c>
      <c r="AX298" s="1948">
        <v>160</v>
      </c>
      <c r="AY298" s="1948">
        <v>0.38019999999999998</v>
      </c>
      <c r="AZ298" s="1948">
        <v>5.2</v>
      </c>
      <c r="BA298" s="1948">
        <v>4331</v>
      </c>
      <c r="BB298" s="1948">
        <f t="shared" si="70"/>
        <v>49984</v>
      </c>
      <c r="BC298" s="1948">
        <f t="shared" si="71"/>
        <v>0</v>
      </c>
      <c r="BD298" s="1949">
        <v>200</v>
      </c>
      <c r="BE298" s="1948">
        <v>77.840999999999994</v>
      </c>
      <c r="BF298" s="1949">
        <v>160</v>
      </c>
      <c r="BG298" s="1949">
        <v>0.3805</v>
      </c>
      <c r="BH298" s="1949">
        <v>4.5999999999999996</v>
      </c>
      <c r="BI298" s="1948">
        <v>2662</v>
      </c>
      <c r="BJ298" s="1948">
        <f t="shared" si="72"/>
        <v>34748</v>
      </c>
      <c r="BK298" s="1948">
        <f t="shared" si="73"/>
        <v>0</v>
      </c>
    </row>
    <row r="299" spans="1:63" ht="15">
      <c r="A299" s="1946">
        <v>126000000035</v>
      </c>
      <c r="B299" s="1947">
        <f t="shared" si="74"/>
        <v>293</v>
      </c>
      <c r="C299" s="1906" t="s">
        <v>3184</v>
      </c>
      <c r="D299" s="1907" t="s">
        <v>524</v>
      </c>
      <c r="E299" s="1906" t="s">
        <v>541</v>
      </c>
      <c r="F299" s="1948" t="s">
        <v>259</v>
      </c>
      <c r="G299" s="1949">
        <v>200</v>
      </c>
      <c r="H299" s="1948">
        <v>200</v>
      </c>
      <c r="I299" s="1950">
        <v>330.08000000000004</v>
      </c>
      <c r="J299" s="1948">
        <v>330.08</v>
      </c>
      <c r="K299" s="1948">
        <v>0.77739999999999998</v>
      </c>
      <c r="L299" s="1948">
        <v>40.1</v>
      </c>
      <c r="M299" s="1948">
        <v>95290</v>
      </c>
      <c r="N299" s="1948">
        <f t="shared" si="60"/>
        <v>142595</v>
      </c>
      <c r="O299" s="1948">
        <f t="shared" si="61"/>
        <v>0</v>
      </c>
      <c r="P299" s="1948">
        <v>200</v>
      </c>
      <c r="Q299" s="1948">
        <v>303.92</v>
      </c>
      <c r="R299" s="1948">
        <v>303.92</v>
      </c>
      <c r="S299" s="1948">
        <v>0.76390000000000002</v>
      </c>
      <c r="T299" s="1948">
        <v>36.81</v>
      </c>
      <c r="U299" s="1948">
        <v>83243</v>
      </c>
      <c r="V299" s="1948">
        <f t="shared" si="62"/>
        <v>135670</v>
      </c>
      <c r="W299" s="1948">
        <f t="shared" si="63"/>
        <v>0</v>
      </c>
      <c r="X299" s="1948">
        <v>200</v>
      </c>
      <c r="Y299" s="1948">
        <v>304.39999999999998</v>
      </c>
      <c r="Z299" s="1948">
        <v>304.39999999999998</v>
      </c>
      <c r="AA299" s="1948">
        <v>0.77370000000000005</v>
      </c>
      <c r="AB299" s="1948">
        <v>25.78</v>
      </c>
      <c r="AC299" s="1948">
        <v>56498</v>
      </c>
      <c r="AD299" s="1948">
        <f t="shared" si="64"/>
        <v>131501</v>
      </c>
      <c r="AE299" s="1948">
        <f t="shared" si="65"/>
        <v>0</v>
      </c>
      <c r="AF299" s="1948">
        <v>200</v>
      </c>
      <c r="AG299" s="1948">
        <v>307.83999999999997</v>
      </c>
      <c r="AH299" s="1948">
        <v>307.83999999999997</v>
      </c>
      <c r="AI299" s="1948">
        <v>0.77300000000000002</v>
      </c>
      <c r="AJ299" s="1948">
        <v>30.85</v>
      </c>
      <c r="AK299" s="1948">
        <v>70663</v>
      </c>
      <c r="AL299" s="1948">
        <f t="shared" si="66"/>
        <v>137420</v>
      </c>
      <c r="AM299" s="1948">
        <f t="shared" si="67"/>
        <v>0</v>
      </c>
      <c r="AN299" s="1948">
        <v>200</v>
      </c>
      <c r="AO299" s="1948">
        <v>322.64</v>
      </c>
      <c r="AP299" s="1948">
        <v>322.64</v>
      </c>
      <c r="AQ299" s="1948">
        <v>0.7762</v>
      </c>
      <c r="AR299" s="1948">
        <v>31.37</v>
      </c>
      <c r="AS299" s="1948">
        <v>75305</v>
      </c>
      <c r="AT299" s="1948">
        <f t="shared" si="68"/>
        <v>144026</v>
      </c>
      <c r="AU299" s="1948">
        <f t="shared" si="69"/>
        <v>0</v>
      </c>
      <c r="AV299" s="1948">
        <v>200</v>
      </c>
      <c r="AW299" s="1948">
        <v>337.84000000000003</v>
      </c>
      <c r="AX299" s="1948">
        <v>337.84</v>
      </c>
      <c r="AY299" s="1948">
        <v>0.78139999999999998</v>
      </c>
      <c r="AZ299" s="1948">
        <v>32.99</v>
      </c>
      <c r="BA299" s="1948">
        <v>80235</v>
      </c>
      <c r="BB299" s="1948">
        <f t="shared" si="70"/>
        <v>145947</v>
      </c>
      <c r="BC299" s="1948">
        <f t="shared" si="71"/>
        <v>0</v>
      </c>
      <c r="BD299" s="1949">
        <v>200</v>
      </c>
      <c r="BE299" s="1948">
        <v>326.16000000000003</v>
      </c>
      <c r="BF299" s="1949">
        <v>326.16000000000003</v>
      </c>
      <c r="BG299" s="1949">
        <v>0.79759999999999998</v>
      </c>
      <c r="BH299" s="1949">
        <v>11.91</v>
      </c>
      <c r="BI299" s="1948">
        <v>28892</v>
      </c>
      <c r="BJ299" s="1948">
        <f t="shared" si="72"/>
        <v>145598</v>
      </c>
      <c r="BK299" s="1948">
        <f t="shared" si="73"/>
        <v>0</v>
      </c>
    </row>
    <row r="300" spans="1:63" ht="15">
      <c r="A300" s="1946">
        <v>124000000057</v>
      </c>
      <c r="B300" s="1947">
        <f t="shared" si="74"/>
        <v>294</v>
      </c>
      <c r="C300" s="1906" t="s">
        <v>3182</v>
      </c>
      <c r="D300" s="1907" t="s">
        <v>524</v>
      </c>
      <c r="E300" s="1906" t="s">
        <v>737</v>
      </c>
      <c r="F300" s="1948" t="s">
        <v>259</v>
      </c>
      <c r="G300" s="1949">
        <v>200</v>
      </c>
      <c r="H300" s="1948">
        <v>200</v>
      </c>
      <c r="I300" s="1950">
        <v>42.72</v>
      </c>
      <c r="J300" s="1948">
        <v>160</v>
      </c>
      <c r="K300" s="1948">
        <v>0.96960000000000002</v>
      </c>
      <c r="L300" s="1948">
        <v>67.989999999999995</v>
      </c>
      <c r="M300" s="1948">
        <v>20914</v>
      </c>
      <c r="N300" s="1948">
        <f t="shared" si="60"/>
        <v>18455</v>
      </c>
      <c r="O300" s="1948">
        <f t="shared" si="61"/>
        <v>2459</v>
      </c>
      <c r="P300" s="1948">
        <v>200</v>
      </c>
      <c r="Q300" s="1948">
        <v>44.16</v>
      </c>
      <c r="R300" s="1948">
        <v>160</v>
      </c>
      <c r="S300" s="1948">
        <v>0.97</v>
      </c>
      <c r="T300" s="1948">
        <v>65.25</v>
      </c>
      <c r="U300" s="1948">
        <v>21438</v>
      </c>
      <c r="V300" s="1948">
        <f t="shared" si="62"/>
        <v>19713</v>
      </c>
      <c r="W300" s="1948">
        <f t="shared" si="63"/>
        <v>1725</v>
      </c>
      <c r="X300" s="1948">
        <v>200</v>
      </c>
      <c r="Y300" s="1948">
        <v>48</v>
      </c>
      <c r="Z300" s="1948">
        <v>160</v>
      </c>
      <c r="AA300" s="1948">
        <v>0.97399999999999998</v>
      </c>
      <c r="AB300" s="1948">
        <v>60.06</v>
      </c>
      <c r="AC300" s="1948">
        <v>20758</v>
      </c>
      <c r="AD300" s="1948">
        <f t="shared" si="64"/>
        <v>20736</v>
      </c>
      <c r="AE300" s="1948">
        <f t="shared" si="65"/>
        <v>22</v>
      </c>
      <c r="AF300" s="1948">
        <v>200</v>
      </c>
      <c r="AG300" s="1948">
        <v>42.88</v>
      </c>
      <c r="AH300" s="1948">
        <v>160</v>
      </c>
      <c r="AI300" s="1948">
        <v>0.97470000000000001</v>
      </c>
      <c r="AJ300" s="1948">
        <v>67.91</v>
      </c>
      <c r="AK300" s="1948">
        <v>21666</v>
      </c>
      <c r="AL300" s="1948">
        <f t="shared" si="66"/>
        <v>19142</v>
      </c>
      <c r="AM300" s="1948">
        <f t="shared" si="67"/>
        <v>2524</v>
      </c>
      <c r="AN300" s="1948">
        <v>200</v>
      </c>
      <c r="AO300" s="1948">
        <v>43.04</v>
      </c>
      <c r="AP300" s="1948">
        <v>160</v>
      </c>
      <c r="AQ300" s="1948">
        <v>0.98</v>
      </c>
      <c r="AR300" s="1948">
        <v>63.44</v>
      </c>
      <c r="AS300" s="1948">
        <v>20314</v>
      </c>
      <c r="AT300" s="1948">
        <f t="shared" si="68"/>
        <v>19213</v>
      </c>
      <c r="AU300" s="1948">
        <f t="shared" si="69"/>
        <v>1101</v>
      </c>
      <c r="AV300" s="1948">
        <v>200</v>
      </c>
      <c r="AW300" s="1948">
        <v>43.2</v>
      </c>
      <c r="AX300" s="1948">
        <v>160</v>
      </c>
      <c r="AY300" s="1948">
        <v>0.9778</v>
      </c>
      <c r="AZ300" s="1948">
        <v>62.22</v>
      </c>
      <c r="BA300" s="1948">
        <v>19352</v>
      </c>
      <c r="BB300" s="1948">
        <f t="shared" si="70"/>
        <v>18662</v>
      </c>
      <c r="BC300" s="1948">
        <f t="shared" si="71"/>
        <v>690</v>
      </c>
      <c r="BD300" s="1949">
        <v>200</v>
      </c>
      <c r="BE300" s="1948">
        <v>44.64</v>
      </c>
      <c r="BF300" s="1949">
        <v>160</v>
      </c>
      <c r="BG300" s="1949">
        <v>0.97</v>
      </c>
      <c r="BH300" s="1949">
        <v>61.66</v>
      </c>
      <c r="BI300" s="1948">
        <v>20478</v>
      </c>
      <c r="BJ300" s="1948">
        <f t="shared" si="72"/>
        <v>19927</v>
      </c>
      <c r="BK300" s="1948">
        <f t="shared" si="73"/>
        <v>551</v>
      </c>
    </row>
    <row r="301" spans="1:63" ht="15">
      <c r="A301" s="1946">
        <v>124000000061</v>
      </c>
      <c r="B301" s="1947">
        <f t="shared" si="74"/>
        <v>295</v>
      </c>
      <c r="C301" s="1906" t="s">
        <v>3183</v>
      </c>
      <c r="D301" s="1907" t="s">
        <v>524</v>
      </c>
      <c r="E301" s="1906" t="s">
        <v>737</v>
      </c>
      <c r="F301" s="1948" t="s">
        <v>259</v>
      </c>
      <c r="G301" s="1949">
        <v>200</v>
      </c>
      <c r="H301" s="1948">
        <v>200</v>
      </c>
      <c r="I301" s="1950">
        <v>32.64</v>
      </c>
      <c r="J301" s="1948">
        <v>160</v>
      </c>
      <c r="K301" s="1948">
        <v>0.98280000000000001</v>
      </c>
      <c r="L301" s="1948">
        <v>36.99</v>
      </c>
      <c r="M301" s="1948">
        <v>8404</v>
      </c>
      <c r="N301" s="1948">
        <f t="shared" si="60"/>
        <v>14100</v>
      </c>
      <c r="O301" s="1948">
        <f t="shared" si="61"/>
        <v>0</v>
      </c>
      <c r="P301" s="1948">
        <v>200</v>
      </c>
      <c r="Q301" s="1948">
        <v>21.279999999999998</v>
      </c>
      <c r="R301" s="1948">
        <v>160</v>
      </c>
      <c r="S301" s="1948">
        <v>0.9869</v>
      </c>
      <c r="T301" s="1948">
        <v>29.05</v>
      </c>
      <c r="U301" s="1948">
        <v>4748</v>
      </c>
      <c r="V301" s="1948">
        <f t="shared" si="62"/>
        <v>9499</v>
      </c>
      <c r="W301" s="1948">
        <f t="shared" si="63"/>
        <v>0</v>
      </c>
      <c r="X301" s="1948">
        <v>200</v>
      </c>
      <c r="Y301" s="1948">
        <v>22.24</v>
      </c>
      <c r="Z301" s="1948">
        <v>160</v>
      </c>
      <c r="AA301" s="1948">
        <v>0.98670000000000002</v>
      </c>
      <c r="AB301" s="1948">
        <v>22.54</v>
      </c>
      <c r="AC301" s="1948">
        <v>3610</v>
      </c>
      <c r="AD301" s="1948">
        <f t="shared" si="64"/>
        <v>9608</v>
      </c>
      <c r="AE301" s="1948">
        <f t="shared" si="65"/>
        <v>0</v>
      </c>
      <c r="AF301" s="1948">
        <v>200</v>
      </c>
      <c r="AG301" s="1948">
        <v>33.92</v>
      </c>
      <c r="AH301" s="1948">
        <v>160</v>
      </c>
      <c r="AI301" s="1948">
        <v>0.98829999999999996</v>
      </c>
      <c r="AJ301" s="1948">
        <v>38.119999999999997</v>
      </c>
      <c r="AK301" s="1948">
        <v>9620</v>
      </c>
      <c r="AL301" s="1948">
        <f t="shared" si="66"/>
        <v>15142</v>
      </c>
      <c r="AM301" s="1948">
        <f t="shared" si="67"/>
        <v>0</v>
      </c>
      <c r="AN301" s="1948">
        <v>200</v>
      </c>
      <c r="AO301" s="1948">
        <v>40.64</v>
      </c>
      <c r="AP301" s="1948">
        <v>160</v>
      </c>
      <c r="AQ301" s="1948">
        <v>0.98719999999999997</v>
      </c>
      <c r="AR301" s="1948">
        <v>37.42</v>
      </c>
      <c r="AS301" s="1948">
        <v>11314</v>
      </c>
      <c r="AT301" s="1948">
        <f t="shared" si="68"/>
        <v>18142</v>
      </c>
      <c r="AU301" s="1948">
        <f t="shared" si="69"/>
        <v>0</v>
      </c>
      <c r="AV301" s="1948">
        <v>200</v>
      </c>
      <c r="AW301" s="1948">
        <v>37.44</v>
      </c>
      <c r="AX301" s="1948">
        <v>160</v>
      </c>
      <c r="AY301" s="1948">
        <v>0.98760000000000003</v>
      </c>
      <c r="AZ301" s="1948">
        <v>44.46</v>
      </c>
      <c r="BA301" s="1948">
        <v>11986</v>
      </c>
      <c r="BB301" s="1948">
        <f t="shared" si="70"/>
        <v>16174</v>
      </c>
      <c r="BC301" s="1948">
        <f t="shared" si="71"/>
        <v>0</v>
      </c>
      <c r="BD301" s="1949">
        <v>200</v>
      </c>
      <c r="BE301" s="1948">
        <v>35.199999999999996</v>
      </c>
      <c r="BF301" s="1949">
        <v>160</v>
      </c>
      <c r="BG301" s="1949">
        <v>0.98209999999999997</v>
      </c>
      <c r="BH301" s="1949">
        <v>41.6</v>
      </c>
      <c r="BI301" s="1948">
        <v>10894</v>
      </c>
      <c r="BJ301" s="1948">
        <f t="shared" si="72"/>
        <v>15713</v>
      </c>
      <c r="BK301" s="1948">
        <f t="shared" si="73"/>
        <v>0</v>
      </c>
    </row>
    <row r="302" spans="1:63" ht="15">
      <c r="A302" s="1946">
        <v>124000000068</v>
      </c>
      <c r="B302" s="1947">
        <f t="shared" si="74"/>
        <v>296</v>
      </c>
      <c r="C302" s="1906" t="s">
        <v>3172</v>
      </c>
      <c r="D302" s="1907" t="s">
        <v>524</v>
      </c>
      <c r="E302" s="1906" t="s">
        <v>737</v>
      </c>
      <c r="F302" s="1948" t="s">
        <v>259</v>
      </c>
      <c r="G302" s="1949">
        <v>200</v>
      </c>
      <c r="H302" s="1948">
        <v>200</v>
      </c>
      <c r="I302" s="1950">
        <v>67.2</v>
      </c>
      <c r="J302" s="1948">
        <v>160</v>
      </c>
      <c r="K302" s="1948">
        <v>0.93759999999999999</v>
      </c>
      <c r="L302" s="1948">
        <v>6.39</v>
      </c>
      <c r="M302" s="1948">
        <v>3094</v>
      </c>
      <c r="N302" s="1948">
        <f t="shared" si="60"/>
        <v>29030</v>
      </c>
      <c r="O302" s="1948">
        <f t="shared" si="61"/>
        <v>0</v>
      </c>
      <c r="P302" s="1948">
        <v>200</v>
      </c>
      <c r="Q302" s="1948">
        <v>66.36</v>
      </c>
      <c r="R302" s="1948">
        <v>160</v>
      </c>
      <c r="S302" s="1948">
        <v>0.94489999999999996</v>
      </c>
      <c r="T302" s="1948">
        <v>7.39</v>
      </c>
      <c r="U302" s="1948">
        <v>3648</v>
      </c>
      <c r="V302" s="1948">
        <f t="shared" si="62"/>
        <v>29623</v>
      </c>
      <c r="W302" s="1948">
        <f t="shared" si="63"/>
        <v>0</v>
      </c>
      <c r="X302" s="1948">
        <v>200</v>
      </c>
      <c r="Y302" s="1948">
        <v>26.04</v>
      </c>
      <c r="Z302" s="1948">
        <v>160</v>
      </c>
      <c r="AA302" s="1948">
        <v>0.95079999999999998</v>
      </c>
      <c r="AB302" s="1948">
        <v>21.25</v>
      </c>
      <c r="AC302" s="1948">
        <v>3984</v>
      </c>
      <c r="AD302" s="1948">
        <f t="shared" si="64"/>
        <v>11249</v>
      </c>
      <c r="AE302" s="1948">
        <f t="shared" si="65"/>
        <v>0</v>
      </c>
      <c r="AF302" s="1948">
        <v>200</v>
      </c>
      <c r="AG302" s="1948">
        <v>33.480000000000004</v>
      </c>
      <c r="AH302" s="1948">
        <v>160</v>
      </c>
      <c r="AI302" s="1948">
        <v>0.94589999999999996</v>
      </c>
      <c r="AJ302" s="1948">
        <v>14.49</v>
      </c>
      <c r="AK302" s="1948">
        <v>3609</v>
      </c>
      <c r="AL302" s="1948">
        <f t="shared" si="66"/>
        <v>14945</v>
      </c>
      <c r="AM302" s="1948">
        <f t="shared" si="67"/>
        <v>0</v>
      </c>
      <c r="AN302" s="1948">
        <v>200</v>
      </c>
      <c r="AO302" s="1948">
        <v>28.68</v>
      </c>
      <c r="AP302" s="1948">
        <v>160</v>
      </c>
      <c r="AQ302" s="1948">
        <v>0.93899999999999995</v>
      </c>
      <c r="AR302" s="1948">
        <v>16.75</v>
      </c>
      <c r="AS302" s="1948">
        <v>3574</v>
      </c>
      <c r="AT302" s="1948">
        <f t="shared" si="68"/>
        <v>12803</v>
      </c>
      <c r="AU302" s="1948">
        <f t="shared" si="69"/>
        <v>0</v>
      </c>
      <c r="AV302" s="1948">
        <v>200</v>
      </c>
      <c r="AW302" s="1948">
        <v>19.920000000000002</v>
      </c>
      <c r="AX302" s="1948">
        <v>160</v>
      </c>
      <c r="AY302" s="1948">
        <v>0.94089999999999996</v>
      </c>
      <c r="AZ302" s="1948">
        <v>24.08</v>
      </c>
      <c r="BA302" s="1948">
        <v>3454</v>
      </c>
      <c r="BB302" s="1948">
        <f t="shared" si="70"/>
        <v>8605</v>
      </c>
      <c r="BC302" s="1948">
        <f t="shared" si="71"/>
        <v>0</v>
      </c>
      <c r="BD302" s="1949">
        <v>200</v>
      </c>
      <c r="BE302" s="1948">
        <v>65.52000000000001</v>
      </c>
      <c r="BF302" s="1949">
        <v>160</v>
      </c>
      <c r="BG302" s="1949">
        <v>0.9234</v>
      </c>
      <c r="BH302" s="1949">
        <v>6.94</v>
      </c>
      <c r="BI302" s="1948">
        <v>3385</v>
      </c>
      <c r="BJ302" s="1948">
        <f t="shared" si="72"/>
        <v>29248</v>
      </c>
      <c r="BK302" s="1948">
        <f t="shared" si="73"/>
        <v>0</v>
      </c>
    </row>
    <row r="303" spans="1:63" ht="15">
      <c r="A303" s="1946">
        <v>124000000070</v>
      </c>
      <c r="B303" s="1947">
        <f t="shared" si="74"/>
        <v>297</v>
      </c>
      <c r="C303" s="1906" t="s">
        <v>3169</v>
      </c>
      <c r="D303" s="1907" t="s">
        <v>524</v>
      </c>
      <c r="E303" s="1906" t="s">
        <v>737</v>
      </c>
      <c r="F303" s="1948" t="s">
        <v>259</v>
      </c>
      <c r="G303" s="1949">
        <v>200</v>
      </c>
      <c r="H303" s="1948">
        <v>200</v>
      </c>
      <c r="I303" s="1950">
        <v>143.16</v>
      </c>
      <c r="J303" s="1948">
        <v>160</v>
      </c>
      <c r="K303" s="1948">
        <v>0.94979999999999998</v>
      </c>
      <c r="L303" s="1948">
        <v>33.549999999999997</v>
      </c>
      <c r="M303" s="1948">
        <v>34584</v>
      </c>
      <c r="N303" s="1948">
        <f t="shared" si="60"/>
        <v>61845</v>
      </c>
      <c r="O303" s="1948">
        <f t="shared" si="61"/>
        <v>0</v>
      </c>
      <c r="P303" s="1948">
        <v>200</v>
      </c>
      <c r="Q303" s="1948">
        <v>142.79999999999998</v>
      </c>
      <c r="R303" s="1948">
        <v>160</v>
      </c>
      <c r="S303" s="1948">
        <v>0.95</v>
      </c>
      <c r="T303" s="1948">
        <v>34.89</v>
      </c>
      <c r="U303" s="1948">
        <v>37071</v>
      </c>
      <c r="V303" s="1948">
        <f t="shared" si="62"/>
        <v>63746</v>
      </c>
      <c r="W303" s="1948">
        <f t="shared" si="63"/>
        <v>0</v>
      </c>
      <c r="X303" s="1948">
        <v>200</v>
      </c>
      <c r="Y303" s="1948">
        <v>141.12</v>
      </c>
      <c r="Z303" s="1948">
        <v>160</v>
      </c>
      <c r="AA303" s="1948">
        <v>0.95850000000000002</v>
      </c>
      <c r="AB303" s="1948">
        <v>37.08</v>
      </c>
      <c r="AC303" s="1948">
        <v>37676</v>
      </c>
      <c r="AD303" s="1948">
        <f t="shared" si="64"/>
        <v>60964</v>
      </c>
      <c r="AE303" s="1948">
        <f t="shared" si="65"/>
        <v>0</v>
      </c>
      <c r="AF303" s="1948">
        <v>200</v>
      </c>
      <c r="AG303" s="1948">
        <v>80.760000000000005</v>
      </c>
      <c r="AH303" s="1948">
        <v>160</v>
      </c>
      <c r="AI303" s="1948">
        <v>0.95550000000000002</v>
      </c>
      <c r="AJ303" s="1948">
        <v>62.16</v>
      </c>
      <c r="AK303" s="1948">
        <v>37348</v>
      </c>
      <c r="AL303" s="1948">
        <f t="shared" si="66"/>
        <v>36051</v>
      </c>
      <c r="AM303" s="1948">
        <f t="shared" si="67"/>
        <v>1297</v>
      </c>
      <c r="AN303" s="1948">
        <v>200</v>
      </c>
      <c r="AO303" s="1948">
        <v>77.16</v>
      </c>
      <c r="AP303" s="1948">
        <v>160</v>
      </c>
      <c r="AQ303" s="1948">
        <v>0.95440000000000003</v>
      </c>
      <c r="AR303" s="1948">
        <v>68</v>
      </c>
      <c r="AS303" s="1948">
        <v>39036</v>
      </c>
      <c r="AT303" s="1948">
        <f t="shared" si="68"/>
        <v>34444</v>
      </c>
      <c r="AU303" s="1948">
        <f t="shared" si="69"/>
        <v>4592</v>
      </c>
      <c r="AV303" s="1948">
        <v>200</v>
      </c>
      <c r="AW303" s="1948">
        <v>79.680000000000007</v>
      </c>
      <c r="AX303" s="1948">
        <v>160</v>
      </c>
      <c r="AY303" s="1948">
        <v>0.95530000000000004</v>
      </c>
      <c r="AZ303" s="1948">
        <v>68.099999999999994</v>
      </c>
      <c r="BA303" s="1948">
        <v>39069</v>
      </c>
      <c r="BB303" s="1948">
        <f t="shared" si="70"/>
        <v>34422</v>
      </c>
      <c r="BC303" s="1948">
        <f t="shared" si="71"/>
        <v>4647</v>
      </c>
      <c r="BD303" s="1949">
        <v>200</v>
      </c>
      <c r="BE303" s="1948">
        <v>77.28</v>
      </c>
      <c r="BF303" s="1949">
        <v>160</v>
      </c>
      <c r="BG303" s="1949">
        <v>0.95889999999999997</v>
      </c>
      <c r="BH303" s="1949">
        <v>65.180000000000007</v>
      </c>
      <c r="BI303" s="1948">
        <v>37476</v>
      </c>
      <c r="BJ303" s="1948">
        <f t="shared" si="72"/>
        <v>34498</v>
      </c>
      <c r="BK303" s="1948">
        <f t="shared" si="73"/>
        <v>2978</v>
      </c>
    </row>
    <row r="304" spans="1:63" ht="15">
      <c r="A304" s="1946">
        <v>124000000077</v>
      </c>
      <c r="B304" s="1947">
        <f t="shared" si="74"/>
        <v>298</v>
      </c>
      <c r="C304" s="1906" t="s">
        <v>3167</v>
      </c>
      <c r="D304" s="1907" t="s">
        <v>524</v>
      </c>
      <c r="E304" s="1906" t="s">
        <v>541</v>
      </c>
      <c r="F304" s="1948" t="s">
        <v>259</v>
      </c>
      <c r="G304" s="1949">
        <v>200</v>
      </c>
      <c r="H304" s="1948">
        <v>200</v>
      </c>
      <c r="I304" s="1950">
        <v>115.92</v>
      </c>
      <c r="J304" s="1948">
        <v>160</v>
      </c>
      <c r="K304" s="1948">
        <v>0.99929999999999997</v>
      </c>
      <c r="L304" s="1948">
        <v>37.9</v>
      </c>
      <c r="M304" s="1948">
        <v>33744</v>
      </c>
      <c r="N304" s="1948">
        <f t="shared" si="60"/>
        <v>50077</v>
      </c>
      <c r="O304" s="1948">
        <f t="shared" si="61"/>
        <v>0</v>
      </c>
      <c r="P304" s="1948">
        <v>200</v>
      </c>
      <c r="Q304" s="1948">
        <v>118.44</v>
      </c>
      <c r="R304" s="1948">
        <v>160</v>
      </c>
      <c r="S304" s="1948">
        <v>0.99839999999999995</v>
      </c>
      <c r="T304" s="1948">
        <v>24.06</v>
      </c>
      <c r="U304" s="1948">
        <v>23252</v>
      </c>
      <c r="V304" s="1948">
        <f t="shared" si="62"/>
        <v>52872</v>
      </c>
      <c r="W304" s="1948">
        <f t="shared" si="63"/>
        <v>0</v>
      </c>
      <c r="X304" s="1948">
        <v>200</v>
      </c>
      <c r="Y304" s="1948">
        <v>86.16</v>
      </c>
      <c r="Z304" s="1948">
        <v>160</v>
      </c>
      <c r="AA304" s="1948">
        <v>0.99380000000000002</v>
      </c>
      <c r="AB304" s="1948">
        <v>5.66</v>
      </c>
      <c r="AC304" s="1948">
        <v>3396</v>
      </c>
      <c r="AD304" s="1948">
        <f t="shared" si="64"/>
        <v>37221</v>
      </c>
      <c r="AE304" s="1948">
        <f t="shared" si="65"/>
        <v>0</v>
      </c>
      <c r="AF304" s="1948">
        <v>200</v>
      </c>
      <c r="AG304" s="1948">
        <v>61.559999999999995</v>
      </c>
      <c r="AH304" s="1948">
        <v>160</v>
      </c>
      <c r="AI304" s="1948">
        <v>0.99739999999999995</v>
      </c>
      <c r="AJ304" s="1948">
        <v>7.08</v>
      </c>
      <c r="AK304" s="1948">
        <v>3555</v>
      </c>
      <c r="AL304" s="1948">
        <f t="shared" si="66"/>
        <v>27480</v>
      </c>
      <c r="AM304" s="1948">
        <f t="shared" si="67"/>
        <v>0</v>
      </c>
      <c r="AN304" s="1948">
        <v>200</v>
      </c>
      <c r="AO304" s="1948">
        <v>9.1199999999999992</v>
      </c>
      <c r="AP304" s="1948">
        <v>160</v>
      </c>
      <c r="AQ304" s="1948">
        <v>0.99470000000000003</v>
      </c>
      <c r="AR304" s="1948">
        <v>16.760000000000002</v>
      </c>
      <c r="AS304" s="1948">
        <v>1137</v>
      </c>
      <c r="AT304" s="1948">
        <f t="shared" si="68"/>
        <v>4071</v>
      </c>
      <c r="AU304" s="1948">
        <f t="shared" si="69"/>
        <v>0</v>
      </c>
      <c r="AV304" s="1948">
        <v>200</v>
      </c>
      <c r="AW304" s="1948">
        <v>7.2</v>
      </c>
      <c r="AX304" s="1948">
        <v>160</v>
      </c>
      <c r="AY304" s="1948">
        <v>0.99139999999999995</v>
      </c>
      <c r="AZ304" s="1948">
        <v>17.98</v>
      </c>
      <c r="BA304" s="1948">
        <v>932</v>
      </c>
      <c r="BB304" s="1948">
        <f t="shared" si="70"/>
        <v>3110</v>
      </c>
      <c r="BC304" s="1948">
        <f t="shared" si="71"/>
        <v>0</v>
      </c>
      <c r="BD304" s="1949">
        <v>200</v>
      </c>
      <c r="BE304" s="1948">
        <v>5.3999999999999995</v>
      </c>
      <c r="BF304" s="1949">
        <v>160</v>
      </c>
      <c r="BG304" s="1949">
        <v>0.99439999999999995</v>
      </c>
      <c r="BH304" s="1949">
        <v>22.38</v>
      </c>
      <c r="BI304" s="1948">
        <v>899</v>
      </c>
      <c r="BJ304" s="1948">
        <f t="shared" si="72"/>
        <v>2411</v>
      </c>
      <c r="BK304" s="1948">
        <f t="shared" si="73"/>
        <v>0</v>
      </c>
    </row>
    <row r="305" spans="1:63" ht="15">
      <c r="A305" s="1946">
        <v>121000000061</v>
      </c>
      <c r="B305" s="1947">
        <f t="shared" si="74"/>
        <v>299</v>
      </c>
      <c r="C305" s="1906" t="s">
        <v>3176</v>
      </c>
      <c r="D305" s="1907" t="s">
        <v>524</v>
      </c>
      <c r="E305" s="1906" t="s">
        <v>2966</v>
      </c>
      <c r="F305" s="1948" t="s">
        <v>259</v>
      </c>
      <c r="G305" s="1949">
        <v>200</v>
      </c>
      <c r="H305" s="1948">
        <v>200</v>
      </c>
      <c r="I305" s="1950">
        <v>312.15999999999997</v>
      </c>
      <c r="J305" s="1948">
        <v>312.16000000000003</v>
      </c>
      <c r="K305" s="1948">
        <v>0.72609999999999997</v>
      </c>
      <c r="L305" s="1948">
        <v>0</v>
      </c>
      <c r="M305" s="1948">
        <v>100784</v>
      </c>
      <c r="N305" s="1948">
        <f t="shared" si="60"/>
        <v>134853</v>
      </c>
      <c r="O305" s="1948">
        <f t="shared" si="61"/>
        <v>0</v>
      </c>
      <c r="P305" s="1948">
        <v>200</v>
      </c>
      <c r="Q305" s="1948">
        <v>296.32</v>
      </c>
      <c r="R305" s="1948">
        <v>296.32</v>
      </c>
      <c r="S305" s="1948">
        <v>0.72719999999999996</v>
      </c>
      <c r="T305" s="1948">
        <v>0</v>
      </c>
      <c r="U305" s="1948">
        <v>93450</v>
      </c>
      <c r="V305" s="1948">
        <f t="shared" si="62"/>
        <v>132277</v>
      </c>
      <c r="W305" s="1948">
        <f t="shared" si="63"/>
        <v>0</v>
      </c>
      <c r="X305" s="1948">
        <v>200</v>
      </c>
      <c r="Y305" s="1948">
        <v>218.56</v>
      </c>
      <c r="Z305" s="1948">
        <v>218.56</v>
      </c>
      <c r="AA305" s="1948">
        <v>0.7097</v>
      </c>
      <c r="AB305" s="1948">
        <v>0</v>
      </c>
      <c r="AC305" s="1948">
        <v>42936</v>
      </c>
      <c r="AD305" s="1948">
        <f t="shared" si="64"/>
        <v>94418</v>
      </c>
      <c r="AE305" s="1948">
        <f t="shared" si="65"/>
        <v>0</v>
      </c>
      <c r="AF305" s="1948">
        <v>200</v>
      </c>
      <c r="AG305" s="1948">
        <v>124.32000000000001</v>
      </c>
      <c r="AH305" s="1948">
        <v>200</v>
      </c>
      <c r="AI305" s="1948">
        <v>0.74980000000000002</v>
      </c>
      <c r="AJ305" s="1948">
        <v>0</v>
      </c>
      <c r="AK305" s="1948">
        <v>19152</v>
      </c>
      <c r="AL305" s="1948">
        <f t="shared" si="66"/>
        <v>55496</v>
      </c>
      <c r="AM305" s="1948">
        <f t="shared" si="67"/>
        <v>0</v>
      </c>
      <c r="AN305" s="1948">
        <v>200</v>
      </c>
      <c r="AO305" s="1948">
        <v>151.52000000000001</v>
      </c>
      <c r="AP305" s="1948">
        <v>200</v>
      </c>
      <c r="AQ305" s="1948">
        <v>0.78720000000000001</v>
      </c>
      <c r="AR305" s="1948">
        <v>0</v>
      </c>
      <c r="AS305" s="1948">
        <v>42368</v>
      </c>
      <c r="AT305" s="1948">
        <f t="shared" si="68"/>
        <v>67639</v>
      </c>
      <c r="AU305" s="1948">
        <f t="shared" si="69"/>
        <v>0</v>
      </c>
      <c r="AV305" s="1948">
        <v>200</v>
      </c>
      <c r="AW305" s="1948">
        <v>136.16</v>
      </c>
      <c r="AX305" s="1948">
        <v>200</v>
      </c>
      <c r="AY305" s="1948">
        <v>0.87129999999999996</v>
      </c>
      <c r="AZ305" s="1948">
        <v>0</v>
      </c>
      <c r="BA305" s="1948">
        <v>38854</v>
      </c>
      <c r="BB305" s="1948">
        <f t="shared" si="70"/>
        <v>58821</v>
      </c>
      <c r="BC305" s="1948">
        <f t="shared" si="71"/>
        <v>0</v>
      </c>
      <c r="BD305" s="1949">
        <v>200</v>
      </c>
      <c r="BE305" s="1948">
        <v>84</v>
      </c>
      <c r="BF305" s="1949">
        <v>200</v>
      </c>
      <c r="BG305" s="1949">
        <v>0.87529999999999997</v>
      </c>
      <c r="BH305" s="1949">
        <v>0</v>
      </c>
      <c r="BI305" s="1948">
        <v>24534</v>
      </c>
      <c r="BJ305" s="1948">
        <f t="shared" si="72"/>
        <v>37498</v>
      </c>
      <c r="BK305" s="1948">
        <f t="shared" si="73"/>
        <v>0</v>
      </c>
    </row>
    <row r="306" spans="1:63" ht="15">
      <c r="A306" s="1946">
        <v>121000000105</v>
      </c>
      <c r="B306" s="1947">
        <f t="shared" si="74"/>
        <v>300</v>
      </c>
      <c r="C306" s="1906" t="s">
        <v>3664</v>
      </c>
      <c r="D306" s="1907" t="s">
        <v>613</v>
      </c>
      <c r="E306" s="1906" t="s">
        <v>2966</v>
      </c>
      <c r="F306" s="1948" t="s">
        <v>259</v>
      </c>
      <c r="G306" s="1949">
        <v>200</v>
      </c>
      <c r="H306" s="1948">
        <v>0</v>
      </c>
      <c r="I306" s="1950">
        <v>0</v>
      </c>
      <c r="J306" s="1948">
        <v>0</v>
      </c>
      <c r="K306" s="1948">
        <v>0</v>
      </c>
      <c r="L306" s="1948">
        <v>0</v>
      </c>
      <c r="M306" s="1948">
        <v>0</v>
      </c>
      <c r="N306" s="1948">
        <f t="shared" si="60"/>
        <v>0</v>
      </c>
      <c r="O306" s="1948">
        <f t="shared" si="61"/>
        <v>0</v>
      </c>
      <c r="P306" s="1948">
        <v>0</v>
      </c>
      <c r="Q306" s="1948">
        <v>0</v>
      </c>
      <c r="R306" s="1948">
        <v>0</v>
      </c>
      <c r="S306" s="1948">
        <v>0</v>
      </c>
      <c r="T306" s="1948">
        <v>0</v>
      </c>
      <c r="U306" s="1948">
        <v>0</v>
      </c>
      <c r="V306" s="1948">
        <f t="shared" si="62"/>
        <v>0</v>
      </c>
      <c r="W306" s="1948">
        <f t="shared" si="63"/>
        <v>0</v>
      </c>
      <c r="X306" s="1948">
        <v>0</v>
      </c>
      <c r="Y306" s="1948">
        <v>0</v>
      </c>
      <c r="Z306" s="1948">
        <v>0</v>
      </c>
      <c r="AA306" s="1948">
        <v>0</v>
      </c>
      <c r="AB306" s="1948">
        <v>0</v>
      </c>
      <c r="AC306" s="1948">
        <v>0</v>
      </c>
      <c r="AD306" s="1948">
        <f t="shared" si="64"/>
        <v>0</v>
      </c>
      <c r="AE306" s="1948">
        <f t="shared" si="65"/>
        <v>0</v>
      </c>
      <c r="AF306" s="1948">
        <v>0</v>
      </c>
      <c r="AG306" s="1948">
        <v>0</v>
      </c>
      <c r="AH306" s="1948">
        <v>0</v>
      </c>
      <c r="AI306" s="1948">
        <v>0</v>
      </c>
      <c r="AJ306" s="1948">
        <v>0</v>
      </c>
      <c r="AK306" s="1948">
        <v>0</v>
      </c>
      <c r="AL306" s="1948">
        <f t="shared" si="66"/>
        <v>0</v>
      </c>
      <c r="AM306" s="1948">
        <f t="shared" si="67"/>
        <v>0</v>
      </c>
      <c r="AN306" s="1948">
        <v>0</v>
      </c>
      <c r="AO306" s="1948">
        <v>0</v>
      </c>
      <c r="AP306" s="1948">
        <v>0</v>
      </c>
      <c r="AQ306" s="1948">
        <v>0</v>
      </c>
      <c r="AR306" s="1948">
        <v>0</v>
      </c>
      <c r="AS306" s="1948">
        <v>0</v>
      </c>
      <c r="AT306" s="1948">
        <f t="shared" si="68"/>
        <v>0</v>
      </c>
      <c r="AU306" s="1948">
        <f t="shared" si="69"/>
        <v>0</v>
      </c>
      <c r="AV306" s="1948">
        <v>0</v>
      </c>
      <c r="AW306" s="1948">
        <v>0</v>
      </c>
      <c r="AX306" s="1948">
        <v>0</v>
      </c>
      <c r="AY306" s="1948">
        <v>0</v>
      </c>
      <c r="AZ306" s="1948">
        <v>0</v>
      </c>
      <c r="BA306" s="1948">
        <v>0</v>
      </c>
      <c r="BB306" s="1948">
        <f t="shared" si="70"/>
        <v>0</v>
      </c>
      <c r="BC306" s="1948">
        <f t="shared" si="71"/>
        <v>0</v>
      </c>
      <c r="BD306" s="1949">
        <v>200</v>
      </c>
      <c r="BE306" s="1948">
        <v>183.048</v>
      </c>
      <c r="BF306" s="1949">
        <v>200</v>
      </c>
      <c r="BG306" s="1949">
        <v>0.83279999999999998</v>
      </c>
      <c r="BH306" s="1949">
        <v>0</v>
      </c>
      <c r="BI306" s="1948">
        <v>14717</v>
      </c>
      <c r="BJ306" s="1948">
        <f t="shared" si="72"/>
        <v>81713</v>
      </c>
      <c r="BK306" s="1948">
        <f t="shared" si="73"/>
        <v>0</v>
      </c>
    </row>
    <row r="307" spans="1:63" ht="15">
      <c r="A307" s="1946">
        <v>611000000098</v>
      </c>
      <c r="B307" s="1947">
        <f t="shared" si="74"/>
        <v>301</v>
      </c>
      <c r="C307" s="1906" t="s">
        <v>3185</v>
      </c>
      <c r="D307" s="1907" t="s">
        <v>524</v>
      </c>
      <c r="E307" s="1906" t="s">
        <v>636</v>
      </c>
      <c r="F307" s="1948" t="s">
        <v>259</v>
      </c>
      <c r="G307" s="1949">
        <v>200</v>
      </c>
      <c r="H307" s="1948">
        <v>200</v>
      </c>
      <c r="I307" s="1950">
        <v>99.52</v>
      </c>
      <c r="J307" s="1948">
        <v>160</v>
      </c>
      <c r="K307" s="1948">
        <v>0.97709999999999997</v>
      </c>
      <c r="L307" s="1948">
        <v>44.8</v>
      </c>
      <c r="M307" s="1948">
        <v>32098</v>
      </c>
      <c r="N307" s="1948">
        <f t="shared" si="60"/>
        <v>42993</v>
      </c>
      <c r="O307" s="1948">
        <f t="shared" si="61"/>
        <v>0</v>
      </c>
      <c r="P307" s="1948">
        <v>200</v>
      </c>
      <c r="Q307" s="1948">
        <v>100.16000000000001</v>
      </c>
      <c r="R307" s="1948">
        <v>160</v>
      </c>
      <c r="S307" s="1948">
        <v>0.98040000000000005</v>
      </c>
      <c r="T307" s="1948">
        <v>48.51</v>
      </c>
      <c r="U307" s="1948">
        <v>36150</v>
      </c>
      <c r="V307" s="1948">
        <f t="shared" si="62"/>
        <v>44711</v>
      </c>
      <c r="W307" s="1948">
        <f t="shared" si="63"/>
        <v>0</v>
      </c>
      <c r="X307" s="1948">
        <v>200</v>
      </c>
      <c r="Y307" s="1948">
        <v>107.84</v>
      </c>
      <c r="Z307" s="1948">
        <v>160</v>
      </c>
      <c r="AA307" s="1948">
        <v>0.98040000000000005</v>
      </c>
      <c r="AB307" s="1948">
        <v>45.27</v>
      </c>
      <c r="AC307" s="1948">
        <v>35152</v>
      </c>
      <c r="AD307" s="1948">
        <f t="shared" si="64"/>
        <v>46587</v>
      </c>
      <c r="AE307" s="1948">
        <f t="shared" si="65"/>
        <v>0</v>
      </c>
      <c r="AF307" s="1948">
        <v>200</v>
      </c>
      <c r="AG307" s="1948">
        <v>92.96</v>
      </c>
      <c r="AH307" s="1948">
        <v>160</v>
      </c>
      <c r="AI307" s="1948">
        <v>0.97950000000000004</v>
      </c>
      <c r="AJ307" s="1948">
        <v>46.46</v>
      </c>
      <c r="AK307" s="1948">
        <v>32132</v>
      </c>
      <c r="AL307" s="1948">
        <f t="shared" si="66"/>
        <v>41497</v>
      </c>
      <c r="AM307" s="1948">
        <f t="shared" si="67"/>
        <v>0</v>
      </c>
      <c r="AN307" s="1948">
        <v>200</v>
      </c>
      <c r="AO307" s="1948">
        <v>89.92</v>
      </c>
      <c r="AP307" s="1948">
        <v>160</v>
      </c>
      <c r="AQ307" s="1948">
        <v>0.97760000000000002</v>
      </c>
      <c r="AR307" s="1948">
        <v>46.85</v>
      </c>
      <c r="AS307" s="1948">
        <v>31346</v>
      </c>
      <c r="AT307" s="1948">
        <f t="shared" si="68"/>
        <v>40140</v>
      </c>
      <c r="AU307" s="1948">
        <f t="shared" si="69"/>
        <v>0</v>
      </c>
      <c r="AV307" s="1948">
        <v>200</v>
      </c>
      <c r="AW307" s="1948">
        <v>80.959999999999994</v>
      </c>
      <c r="AX307" s="1948">
        <v>160</v>
      </c>
      <c r="AY307" s="1948">
        <v>0.97929999999999995</v>
      </c>
      <c r="AZ307" s="1948">
        <v>51.23</v>
      </c>
      <c r="BA307" s="1948">
        <v>29862</v>
      </c>
      <c r="BB307" s="1948">
        <f t="shared" si="70"/>
        <v>34975</v>
      </c>
      <c r="BC307" s="1948">
        <f t="shared" si="71"/>
        <v>0</v>
      </c>
      <c r="BD307" s="1949">
        <v>200</v>
      </c>
      <c r="BE307" s="1948">
        <v>77.44</v>
      </c>
      <c r="BF307" s="1949">
        <v>160</v>
      </c>
      <c r="BG307" s="1949">
        <v>0.96809999999999996</v>
      </c>
      <c r="BH307" s="1949">
        <v>48.17</v>
      </c>
      <c r="BI307" s="1948">
        <v>27754</v>
      </c>
      <c r="BJ307" s="1948">
        <f t="shared" si="72"/>
        <v>34569</v>
      </c>
      <c r="BK307" s="1948">
        <f t="shared" si="73"/>
        <v>0</v>
      </c>
    </row>
    <row r="308" spans="1:63" ht="15">
      <c r="A308" s="1946">
        <v>615000000013</v>
      </c>
      <c r="B308" s="1947">
        <f t="shared" si="74"/>
        <v>302</v>
      </c>
      <c r="C308" s="1906" t="s">
        <v>3008</v>
      </c>
      <c r="D308" s="1907" t="s">
        <v>524</v>
      </c>
      <c r="E308" s="1906" t="s">
        <v>541</v>
      </c>
      <c r="F308" s="1948" t="s">
        <v>259</v>
      </c>
      <c r="G308" s="1949">
        <v>200</v>
      </c>
      <c r="H308" s="1948">
        <v>200</v>
      </c>
      <c r="I308" s="1950">
        <v>6.72</v>
      </c>
      <c r="J308" s="1948">
        <v>160</v>
      </c>
      <c r="K308" s="1948">
        <v>0.36070000000000002</v>
      </c>
      <c r="L308" s="1948">
        <v>49.67</v>
      </c>
      <c r="M308" s="1948">
        <v>2403</v>
      </c>
      <c r="N308" s="1948">
        <f t="shared" si="60"/>
        <v>2903</v>
      </c>
      <c r="O308" s="1948">
        <f t="shared" si="61"/>
        <v>0</v>
      </c>
      <c r="P308" s="1948">
        <v>200</v>
      </c>
      <c r="Q308" s="1948">
        <v>6.9599999999999991</v>
      </c>
      <c r="R308" s="1948">
        <v>160</v>
      </c>
      <c r="S308" s="1948">
        <v>0.38229999999999997</v>
      </c>
      <c r="T308" s="1948">
        <v>45.3</v>
      </c>
      <c r="U308" s="1948">
        <v>2346</v>
      </c>
      <c r="V308" s="1948">
        <f t="shared" si="62"/>
        <v>3107</v>
      </c>
      <c r="W308" s="1948">
        <f t="shared" si="63"/>
        <v>0</v>
      </c>
      <c r="X308" s="1948">
        <v>200</v>
      </c>
      <c r="Y308" s="1948">
        <v>6.72</v>
      </c>
      <c r="Z308" s="1948">
        <v>160</v>
      </c>
      <c r="AA308" s="1948">
        <v>0.38500000000000001</v>
      </c>
      <c r="AB308" s="1948">
        <v>47.19</v>
      </c>
      <c r="AC308" s="1948">
        <v>2283</v>
      </c>
      <c r="AD308" s="1948">
        <f t="shared" si="64"/>
        <v>2903</v>
      </c>
      <c r="AE308" s="1948">
        <f t="shared" si="65"/>
        <v>0</v>
      </c>
      <c r="AF308" s="1948">
        <v>200</v>
      </c>
      <c r="AG308" s="1948">
        <v>6.72</v>
      </c>
      <c r="AH308" s="1948">
        <v>160</v>
      </c>
      <c r="AI308" s="1948">
        <v>0.35149999999999998</v>
      </c>
      <c r="AJ308" s="1948">
        <v>53.94</v>
      </c>
      <c r="AK308" s="1948">
        <v>2697</v>
      </c>
      <c r="AL308" s="1948">
        <f t="shared" si="66"/>
        <v>3000</v>
      </c>
      <c r="AM308" s="1948">
        <f t="shared" si="67"/>
        <v>0</v>
      </c>
      <c r="AN308" s="1948">
        <v>200</v>
      </c>
      <c r="AO308" s="1948">
        <v>9.1199999999999992</v>
      </c>
      <c r="AP308" s="1948">
        <v>160</v>
      </c>
      <c r="AQ308" s="1948">
        <v>0.36840000000000001</v>
      </c>
      <c r="AR308" s="1948">
        <v>36.479999999999997</v>
      </c>
      <c r="AS308" s="1948">
        <v>2475</v>
      </c>
      <c r="AT308" s="1948">
        <f t="shared" si="68"/>
        <v>4071</v>
      </c>
      <c r="AU308" s="1948">
        <f t="shared" si="69"/>
        <v>0</v>
      </c>
      <c r="AV308" s="1948">
        <v>200</v>
      </c>
      <c r="AW308" s="1948">
        <v>14.64</v>
      </c>
      <c r="AX308" s="1948">
        <v>160</v>
      </c>
      <c r="AY308" s="1948">
        <v>0.3604</v>
      </c>
      <c r="AZ308" s="1948">
        <v>24.48</v>
      </c>
      <c r="BA308" s="1948">
        <v>2580</v>
      </c>
      <c r="BB308" s="1948">
        <f t="shared" si="70"/>
        <v>6324</v>
      </c>
      <c r="BC308" s="1948">
        <f t="shared" si="71"/>
        <v>0</v>
      </c>
      <c r="BD308" s="1949">
        <v>200</v>
      </c>
      <c r="BE308" s="1948">
        <v>7.4399999999999995</v>
      </c>
      <c r="BF308" s="1949">
        <v>160</v>
      </c>
      <c r="BG308" s="1949">
        <v>0.3468</v>
      </c>
      <c r="BH308" s="1949">
        <v>53.6</v>
      </c>
      <c r="BI308" s="1948">
        <v>2967</v>
      </c>
      <c r="BJ308" s="1948">
        <f t="shared" si="72"/>
        <v>3321</v>
      </c>
      <c r="BK308" s="1948">
        <f t="shared" si="73"/>
        <v>0</v>
      </c>
    </row>
    <row r="309" spans="1:63" ht="15">
      <c r="A309" s="1946">
        <v>615000000036</v>
      </c>
      <c r="B309" s="1947">
        <f t="shared" si="74"/>
        <v>303</v>
      </c>
      <c r="C309" s="1906" t="s">
        <v>3188</v>
      </c>
      <c r="D309" s="1907" t="s">
        <v>524</v>
      </c>
      <c r="E309" s="1906" t="s">
        <v>541</v>
      </c>
      <c r="F309" s="1948" t="s">
        <v>259</v>
      </c>
      <c r="G309" s="1949">
        <v>200</v>
      </c>
      <c r="H309" s="1948">
        <v>200</v>
      </c>
      <c r="I309" s="1950">
        <v>161.12</v>
      </c>
      <c r="J309" s="1948">
        <v>161.12</v>
      </c>
      <c r="K309" s="1948">
        <v>0.98360000000000003</v>
      </c>
      <c r="L309" s="1948">
        <v>52.41</v>
      </c>
      <c r="M309" s="1948">
        <v>60798</v>
      </c>
      <c r="N309" s="1948">
        <f t="shared" si="60"/>
        <v>69604</v>
      </c>
      <c r="O309" s="1948">
        <f t="shared" si="61"/>
        <v>0</v>
      </c>
      <c r="P309" s="1948">
        <v>200</v>
      </c>
      <c r="Q309" s="1948">
        <v>185.28</v>
      </c>
      <c r="R309" s="1948">
        <v>185.28</v>
      </c>
      <c r="S309" s="1948">
        <v>0.97650000000000003</v>
      </c>
      <c r="T309" s="1948">
        <v>49.63</v>
      </c>
      <c r="U309" s="1948">
        <v>68409</v>
      </c>
      <c r="V309" s="1948">
        <f t="shared" si="62"/>
        <v>82709</v>
      </c>
      <c r="W309" s="1948">
        <f t="shared" si="63"/>
        <v>0</v>
      </c>
      <c r="X309" s="1948">
        <v>200</v>
      </c>
      <c r="Y309" s="1948">
        <v>178.56</v>
      </c>
      <c r="Z309" s="1948">
        <v>178.56</v>
      </c>
      <c r="AA309" s="1948">
        <v>0.97899999999999998</v>
      </c>
      <c r="AB309" s="1948">
        <v>44.46</v>
      </c>
      <c r="AC309" s="1948">
        <v>57163</v>
      </c>
      <c r="AD309" s="1948">
        <f t="shared" si="64"/>
        <v>77138</v>
      </c>
      <c r="AE309" s="1948">
        <f t="shared" si="65"/>
        <v>0</v>
      </c>
      <c r="AF309" s="1948">
        <v>200</v>
      </c>
      <c r="AG309" s="1948">
        <v>162.24</v>
      </c>
      <c r="AH309" s="1948">
        <v>162.24</v>
      </c>
      <c r="AI309" s="1948">
        <v>0.97070000000000001</v>
      </c>
      <c r="AJ309" s="1948">
        <v>44.11</v>
      </c>
      <c r="AK309" s="1948">
        <v>53246</v>
      </c>
      <c r="AL309" s="1948">
        <f t="shared" si="66"/>
        <v>72424</v>
      </c>
      <c r="AM309" s="1948">
        <f t="shared" si="67"/>
        <v>0</v>
      </c>
      <c r="AN309" s="1948">
        <v>200</v>
      </c>
      <c r="AO309" s="1948">
        <v>162.4</v>
      </c>
      <c r="AP309" s="1948">
        <v>162.4</v>
      </c>
      <c r="AQ309" s="1948">
        <v>0.96389999999999998</v>
      </c>
      <c r="AR309" s="1948">
        <v>46.6</v>
      </c>
      <c r="AS309" s="1948">
        <v>56308</v>
      </c>
      <c r="AT309" s="1948">
        <f t="shared" si="68"/>
        <v>72495</v>
      </c>
      <c r="AU309" s="1948">
        <f t="shared" si="69"/>
        <v>0</v>
      </c>
      <c r="AV309" s="1948">
        <v>200</v>
      </c>
      <c r="AW309" s="1948">
        <v>182.64000000000001</v>
      </c>
      <c r="AX309" s="1948">
        <v>182.64</v>
      </c>
      <c r="AY309" s="1948">
        <v>0.96130000000000004</v>
      </c>
      <c r="AZ309" s="1948">
        <v>43.1</v>
      </c>
      <c r="BA309" s="1948">
        <v>56678</v>
      </c>
      <c r="BB309" s="1948">
        <f t="shared" si="70"/>
        <v>78900</v>
      </c>
      <c r="BC309" s="1948">
        <f t="shared" si="71"/>
        <v>0</v>
      </c>
      <c r="BD309" s="1949">
        <v>200</v>
      </c>
      <c r="BE309" s="1948">
        <v>164.32</v>
      </c>
      <c r="BF309" s="1949">
        <v>164.32</v>
      </c>
      <c r="BG309" s="1949">
        <v>0.94289999999999996</v>
      </c>
      <c r="BH309" s="1949">
        <v>36.79</v>
      </c>
      <c r="BI309" s="1948">
        <v>44975</v>
      </c>
      <c r="BJ309" s="1948">
        <f t="shared" si="72"/>
        <v>73352</v>
      </c>
      <c r="BK309" s="1948">
        <f t="shared" si="73"/>
        <v>0</v>
      </c>
    </row>
    <row r="310" spans="1:63" ht="15">
      <c r="A310" s="1946">
        <v>615000000037</v>
      </c>
      <c r="B310" s="1947">
        <f t="shared" si="74"/>
        <v>304</v>
      </c>
      <c r="C310" s="1906" t="s">
        <v>3189</v>
      </c>
      <c r="D310" s="1907" t="s">
        <v>524</v>
      </c>
      <c r="E310" s="1906" t="s">
        <v>541</v>
      </c>
      <c r="F310" s="1948" t="s">
        <v>259</v>
      </c>
      <c r="G310" s="1949">
        <v>200</v>
      </c>
      <c r="H310" s="1948">
        <v>200</v>
      </c>
      <c r="I310" s="1950">
        <v>142.79999999999998</v>
      </c>
      <c r="J310" s="1948">
        <v>160</v>
      </c>
      <c r="K310" s="1948">
        <v>0.61899999999999999</v>
      </c>
      <c r="L310" s="1948">
        <v>19.489999999999998</v>
      </c>
      <c r="M310" s="1948">
        <v>20042</v>
      </c>
      <c r="N310" s="1948">
        <f t="shared" si="60"/>
        <v>61690</v>
      </c>
      <c r="O310" s="1948">
        <f t="shared" si="61"/>
        <v>0</v>
      </c>
      <c r="P310" s="1948">
        <v>200</v>
      </c>
      <c r="Q310" s="1948">
        <v>142.79999999999998</v>
      </c>
      <c r="R310" s="1948">
        <v>160</v>
      </c>
      <c r="S310" s="1948">
        <v>0.61890000000000001</v>
      </c>
      <c r="T310" s="1948">
        <v>15.57</v>
      </c>
      <c r="U310" s="1948">
        <v>16538</v>
      </c>
      <c r="V310" s="1948">
        <f t="shared" si="62"/>
        <v>63746</v>
      </c>
      <c r="W310" s="1948">
        <f t="shared" si="63"/>
        <v>0</v>
      </c>
      <c r="X310" s="1948">
        <v>200</v>
      </c>
      <c r="Y310" s="1948">
        <v>139.6</v>
      </c>
      <c r="Z310" s="1948">
        <v>160</v>
      </c>
      <c r="AA310" s="1948">
        <v>0.58020000000000005</v>
      </c>
      <c r="AB310" s="1948">
        <v>19.899999999999999</v>
      </c>
      <c r="AC310" s="1948">
        <v>20004</v>
      </c>
      <c r="AD310" s="1948">
        <f t="shared" si="64"/>
        <v>60307</v>
      </c>
      <c r="AE310" s="1948">
        <f t="shared" si="65"/>
        <v>0</v>
      </c>
      <c r="AF310" s="1948">
        <v>200</v>
      </c>
      <c r="AG310" s="1948">
        <v>125.6</v>
      </c>
      <c r="AH310" s="1948">
        <v>160</v>
      </c>
      <c r="AI310" s="1948">
        <v>0.61199999999999999</v>
      </c>
      <c r="AJ310" s="1948">
        <v>15.1</v>
      </c>
      <c r="AK310" s="1948">
        <v>14114</v>
      </c>
      <c r="AL310" s="1948">
        <f t="shared" si="66"/>
        <v>56068</v>
      </c>
      <c r="AM310" s="1948">
        <f t="shared" si="67"/>
        <v>0</v>
      </c>
      <c r="AN310" s="1948">
        <v>200</v>
      </c>
      <c r="AO310" s="1948">
        <v>136</v>
      </c>
      <c r="AP310" s="1948">
        <v>160</v>
      </c>
      <c r="AQ310" s="1948">
        <v>0.61080000000000001</v>
      </c>
      <c r="AR310" s="1948">
        <v>19.84</v>
      </c>
      <c r="AS310" s="1948">
        <v>20078</v>
      </c>
      <c r="AT310" s="1948">
        <f t="shared" si="68"/>
        <v>60710</v>
      </c>
      <c r="AU310" s="1948">
        <f t="shared" si="69"/>
        <v>0</v>
      </c>
      <c r="AV310" s="1948">
        <v>200</v>
      </c>
      <c r="AW310" s="1948">
        <v>126.4</v>
      </c>
      <c r="AX310" s="1948">
        <v>160</v>
      </c>
      <c r="AY310" s="1948">
        <v>0.54869999999999997</v>
      </c>
      <c r="AZ310" s="1948">
        <v>20.04</v>
      </c>
      <c r="BA310" s="1948">
        <v>18238</v>
      </c>
      <c r="BB310" s="1948">
        <f t="shared" si="70"/>
        <v>54605</v>
      </c>
      <c r="BC310" s="1948">
        <f t="shared" si="71"/>
        <v>0</v>
      </c>
      <c r="BD310" s="1949">
        <v>200</v>
      </c>
      <c r="BE310" s="1948">
        <v>140.79999999999998</v>
      </c>
      <c r="BF310" s="1949">
        <v>160</v>
      </c>
      <c r="BG310" s="1949">
        <v>0.51480000000000004</v>
      </c>
      <c r="BH310" s="1949">
        <v>28.18</v>
      </c>
      <c r="BI310" s="1948">
        <v>29524</v>
      </c>
      <c r="BJ310" s="1948">
        <f t="shared" si="72"/>
        <v>62853</v>
      </c>
      <c r="BK310" s="1948">
        <f t="shared" si="73"/>
        <v>0</v>
      </c>
    </row>
    <row r="311" spans="1:63" ht="15">
      <c r="A311" s="1946">
        <v>622000000037</v>
      </c>
      <c r="B311" s="1947">
        <f t="shared" si="74"/>
        <v>305</v>
      </c>
      <c r="C311" s="1906" t="s">
        <v>3186</v>
      </c>
      <c r="D311" s="1907" t="s">
        <v>524</v>
      </c>
      <c r="E311" s="1906" t="s">
        <v>541</v>
      </c>
      <c r="F311" s="1948" t="s">
        <v>259</v>
      </c>
      <c r="G311" s="1949">
        <v>200</v>
      </c>
      <c r="H311" s="1948">
        <v>200</v>
      </c>
      <c r="I311" s="1950">
        <v>115.68</v>
      </c>
      <c r="J311" s="1948">
        <v>160</v>
      </c>
      <c r="K311" s="1948">
        <v>0.89590000000000003</v>
      </c>
      <c r="L311" s="1948">
        <v>49.48</v>
      </c>
      <c r="M311" s="1948">
        <v>46706</v>
      </c>
      <c r="N311" s="1948">
        <f t="shared" si="60"/>
        <v>49974</v>
      </c>
      <c r="O311" s="1948">
        <f t="shared" si="61"/>
        <v>0</v>
      </c>
      <c r="P311" s="1948">
        <v>200</v>
      </c>
      <c r="Q311" s="1948">
        <v>126.56</v>
      </c>
      <c r="R311" s="1948">
        <v>160</v>
      </c>
      <c r="S311" s="1948">
        <v>0.89549999999999996</v>
      </c>
      <c r="T311" s="1948">
        <v>46.56</v>
      </c>
      <c r="U311" s="1948">
        <v>42430</v>
      </c>
      <c r="V311" s="1948">
        <f t="shared" si="62"/>
        <v>56496</v>
      </c>
      <c r="W311" s="1948">
        <f t="shared" si="63"/>
        <v>0</v>
      </c>
      <c r="X311" s="1948">
        <v>200</v>
      </c>
      <c r="Y311" s="1948">
        <v>122.24</v>
      </c>
      <c r="Z311" s="1948">
        <v>160</v>
      </c>
      <c r="AA311" s="1948">
        <v>0.89859999999999995</v>
      </c>
      <c r="AB311" s="1948">
        <v>49.89</v>
      </c>
      <c r="AC311" s="1948">
        <v>42444</v>
      </c>
      <c r="AD311" s="1948">
        <f t="shared" si="64"/>
        <v>52808</v>
      </c>
      <c r="AE311" s="1948">
        <f t="shared" si="65"/>
        <v>0</v>
      </c>
      <c r="AF311" s="1948">
        <v>200</v>
      </c>
      <c r="AG311" s="1948">
        <v>122.08000000000001</v>
      </c>
      <c r="AH311" s="1948">
        <v>160</v>
      </c>
      <c r="AI311" s="1948">
        <v>0.8962</v>
      </c>
      <c r="AJ311" s="1948">
        <v>47.22</v>
      </c>
      <c r="AK311" s="1948">
        <v>42888</v>
      </c>
      <c r="AL311" s="1948">
        <f t="shared" si="66"/>
        <v>54497</v>
      </c>
      <c r="AM311" s="1948">
        <f t="shared" si="67"/>
        <v>0</v>
      </c>
      <c r="AN311" s="1948">
        <v>200</v>
      </c>
      <c r="AO311" s="1948">
        <v>119.03999999999999</v>
      </c>
      <c r="AP311" s="1948">
        <v>160</v>
      </c>
      <c r="AQ311" s="1948">
        <v>0.89259999999999995</v>
      </c>
      <c r="AR311" s="1948">
        <v>51.86</v>
      </c>
      <c r="AS311" s="1948">
        <v>45928</v>
      </c>
      <c r="AT311" s="1948">
        <f t="shared" si="68"/>
        <v>53139</v>
      </c>
      <c r="AU311" s="1948">
        <f t="shared" si="69"/>
        <v>0</v>
      </c>
      <c r="AV311" s="1948">
        <v>200</v>
      </c>
      <c r="AW311" s="1948">
        <v>123.2</v>
      </c>
      <c r="AX311" s="1948">
        <v>160</v>
      </c>
      <c r="AY311" s="1948">
        <v>0.89249999999999996</v>
      </c>
      <c r="AZ311" s="1948">
        <v>51.29</v>
      </c>
      <c r="BA311" s="1948">
        <v>48530</v>
      </c>
      <c r="BB311" s="1948">
        <f t="shared" si="70"/>
        <v>53222</v>
      </c>
      <c r="BC311" s="1948">
        <f t="shared" si="71"/>
        <v>0</v>
      </c>
      <c r="BD311" s="1949">
        <v>200</v>
      </c>
      <c r="BE311" s="1948">
        <v>122.24</v>
      </c>
      <c r="BF311" s="1949">
        <v>160</v>
      </c>
      <c r="BG311" s="1949">
        <v>0.88470000000000004</v>
      </c>
      <c r="BH311" s="1949">
        <v>53.22</v>
      </c>
      <c r="BI311" s="1948">
        <v>45276</v>
      </c>
      <c r="BJ311" s="1948">
        <f t="shared" si="72"/>
        <v>54568</v>
      </c>
      <c r="BK311" s="1948">
        <f t="shared" si="73"/>
        <v>0</v>
      </c>
    </row>
    <row r="312" spans="1:63" ht="15">
      <c r="A312" s="1946">
        <v>622000000193</v>
      </c>
      <c r="B312" s="1947">
        <f t="shared" si="74"/>
        <v>306</v>
      </c>
      <c r="C312" s="1906" t="s">
        <v>690</v>
      </c>
      <c r="D312" s="1907" t="s">
        <v>524</v>
      </c>
      <c r="E312" s="1906" t="s">
        <v>636</v>
      </c>
      <c r="F312" s="1948" t="s">
        <v>259</v>
      </c>
      <c r="G312" s="1949">
        <v>200</v>
      </c>
      <c r="H312" s="1948">
        <v>200</v>
      </c>
      <c r="I312" s="1950">
        <v>147.52000000000001</v>
      </c>
      <c r="J312" s="1948">
        <v>160</v>
      </c>
      <c r="K312" s="1948">
        <v>0.97340000000000004</v>
      </c>
      <c r="L312" s="1948">
        <v>57.23</v>
      </c>
      <c r="M312" s="1948">
        <v>68890</v>
      </c>
      <c r="N312" s="1948">
        <f t="shared" si="60"/>
        <v>63729</v>
      </c>
      <c r="O312" s="1948">
        <f t="shared" si="61"/>
        <v>5161</v>
      </c>
      <c r="P312" s="1948">
        <v>200</v>
      </c>
      <c r="Q312" s="1948">
        <v>163.04000000000002</v>
      </c>
      <c r="R312" s="1948">
        <v>163.04</v>
      </c>
      <c r="S312" s="1948">
        <v>0.97240000000000004</v>
      </c>
      <c r="T312" s="1948">
        <v>57.38</v>
      </c>
      <c r="U312" s="1948">
        <v>58380</v>
      </c>
      <c r="V312" s="1948">
        <f t="shared" si="62"/>
        <v>72781</v>
      </c>
      <c r="W312" s="1948">
        <f t="shared" si="63"/>
        <v>0</v>
      </c>
      <c r="X312" s="1948">
        <v>200</v>
      </c>
      <c r="Y312" s="1948">
        <v>174.88</v>
      </c>
      <c r="Z312" s="1948">
        <v>174.88</v>
      </c>
      <c r="AA312" s="1948">
        <v>0.97619999999999996</v>
      </c>
      <c r="AB312" s="1948">
        <v>59.15</v>
      </c>
      <c r="AC312" s="1948">
        <v>81932</v>
      </c>
      <c r="AD312" s="1948">
        <f t="shared" si="64"/>
        <v>75548</v>
      </c>
      <c r="AE312" s="1948">
        <f t="shared" si="65"/>
        <v>6384</v>
      </c>
      <c r="AF312" s="1948">
        <v>200</v>
      </c>
      <c r="AG312" s="1948">
        <v>152.47999999999999</v>
      </c>
      <c r="AH312" s="1948">
        <v>160</v>
      </c>
      <c r="AI312" s="1948">
        <v>0.98060000000000003</v>
      </c>
      <c r="AJ312" s="1948">
        <v>58.57</v>
      </c>
      <c r="AK312" s="1948">
        <v>75016</v>
      </c>
      <c r="AL312" s="1948">
        <f t="shared" si="66"/>
        <v>68067</v>
      </c>
      <c r="AM312" s="1948">
        <f t="shared" si="67"/>
        <v>6949</v>
      </c>
      <c r="AN312" s="1948">
        <v>200</v>
      </c>
      <c r="AO312" s="1948">
        <v>146.72</v>
      </c>
      <c r="AP312" s="1948">
        <v>160</v>
      </c>
      <c r="AQ312" s="1948">
        <v>0.98229999999999995</v>
      </c>
      <c r="AR312" s="1948">
        <v>56.97</v>
      </c>
      <c r="AS312" s="1948">
        <v>62186</v>
      </c>
      <c r="AT312" s="1948">
        <f t="shared" si="68"/>
        <v>65496</v>
      </c>
      <c r="AU312" s="1948">
        <f t="shared" si="69"/>
        <v>0</v>
      </c>
      <c r="AV312" s="1948">
        <v>200</v>
      </c>
      <c r="AW312" s="1948">
        <v>141.44</v>
      </c>
      <c r="AX312" s="1948">
        <v>160</v>
      </c>
      <c r="AY312" s="1948">
        <v>0.98070000000000002</v>
      </c>
      <c r="AZ312" s="1948">
        <v>61.76</v>
      </c>
      <c r="BA312" s="1948">
        <v>62894</v>
      </c>
      <c r="BB312" s="1948">
        <f t="shared" si="70"/>
        <v>61102</v>
      </c>
      <c r="BC312" s="1948">
        <f t="shared" si="71"/>
        <v>1792</v>
      </c>
      <c r="BD312" s="1949">
        <v>200</v>
      </c>
      <c r="BE312" s="1948">
        <v>140.48000000000002</v>
      </c>
      <c r="BF312" s="1949">
        <v>160</v>
      </c>
      <c r="BG312" s="1949">
        <v>0.97609999999999997</v>
      </c>
      <c r="BH312" s="1949">
        <v>53.03</v>
      </c>
      <c r="BI312" s="1948">
        <v>55422</v>
      </c>
      <c r="BJ312" s="1948">
        <f t="shared" si="72"/>
        <v>62710</v>
      </c>
      <c r="BK312" s="1948">
        <f t="shared" si="73"/>
        <v>0</v>
      </c>
    </row>
    <row r="313" spans="1:63" ht="15">
      <c r="A313" s="1946">
        <v>622000000210</v>
      </c>
      <c r="B313" s="1947">
        <f t="shared" si="74"/>
        <v>307</v>
      </c>
      <c r="C313" s="1906" t="s">
        <v>3175</v>
      </c>
      <c r="D313" s="1907" t="s">
        <v>524</v>
      </c>
      <c r="E313" s="1906" t="s">
        <v>629</v>
      </c>
      <c r="F313" s="1948" t="s">
        <v>259</v>
      </c>
      <c r="G313" s="1949">
        <v>200</v>
      </c>
      <c r="H313" s="1948">
        <v>200</v>
      </c>
      <c r="I313" s="1950">
        <v>105.84</v>
      </c>
      <c r="J313" s="1948">
        <v>200</v>
      </c>
      <c r="K313" s="1948">
        <v>0.99870000000000003</v>
      </c>
      <c r="L313" s="1948">
        <v>0</v>
      </c>
      <c r="M313" s="1948">
        <v>38067</v>
      </c>
      <c r="N313" s="1948">
        <f t="shared" si="60"/>
        <v>45723</v>
      </c>
      <c r="O313" s="1948">
        <f t="shared" si="61"/>
        <v>0</v>
      </c>
      <c r="P313" s="1948">
        <v>200</v>
      </c>
      <c r="Q313" s="1948">
        <v>130.32</v>
      </c>
      <c r="R313" s="1948">
        <v>200</v>
      </c>
      <c r="S313" s="1948">
        <v>0.99919999999999998</v>
      </c>
      <c r="T313" s="1948">
        <v>0</v>
      </c>
      <c r="U313" s="1948">
        <v>47067</v>
      </c>
      <c r="V313" s="1948">
        <f t="shared" si="62"/>
        <v>58175</v>
      </c>
      <c r="W313" s="1948">
        <f t="shared" si="63"/>
        <v>0</v>
      </c>
      <c r="X313" s="1948">
        <v>200</v>
      </c>
      <c r="Y313" s="1948">
        <v>151.19999999999999</v>
      </c>
      <c r="Z313" s="1948">
        <v>200</v>
      </c>
      <c r="AA313" s="1948">
        <v>0.999</v>
      </c>
      <c r="AB313" s="1948">
        <v>0</v>
      </c>
      <c r="AC313" s="1948">
        <v>47127</v>
      </c>
      <c r="AD313" s="1948">
        <f t="shared" si="64"/>
        <v>65318</v>
      </c>
      <c r="AE313" s="1948">
        <f t="shared" si="65"/>
        <v>0</v>
      </c>
      <c r="AF313" s="1948">
        <v>200</v>
      </c>
      <c r="AG313" s="1948">
        <v>122.64</v>
      </c>
      <c r="AH313" s="1948">
        <v>200</v>
      </c>
      <c r="AI313" s="1948">
        <v>0.99760000000000004</v>
      </c>
      <c r="AJ313" s="1948">
        <v>0</v>
      </c>
      <c r="AK313" s="1948">
        <v>44196</v>
      </c>
      <c r="AL313" s="1948">
        <f t="shared" si="66"/>
        <v>54746</v>
      </c>
      <c r="AM313" s="1948">
        <f t="shared" si="67"/>
        <v>0</v>
      </c>
      <c r="AN313" s="1948">
        <v>200</v>
      </c>
      <c r="AO313" s="1948">
        <v>130.80000000000001</v>
      </c>
      <c r="AP313" s="1948">
        <v>200</v>
      </c>
      <c r="AQ313" s="1948">
        <v>0.99729999999999996</v>
      </c>
      <c r="AR313" s="1948">
        <v>0</v>
      </c>
      <c r="AS313" s="1948">
        <v>42540</v>
      </c>
      <c r="AT313" s="1948">
        <f t="shared" si="68"/>
        <v>58389</v>
      </c>
      <c r="AU313" s="1948">
        <f t="shared" si="69"/>
        <v>0</v>
      </c>
      <c r="AV313" s="1948">
        <v>200</v>
      </c>
      <c r="AW313" s="1948">
        <v>122.88000000000001</v>
      </c>
      <c r="AX313" s="1948">
        <v>200</v>
      </c>
      <c r="AY313" s="1948">
        <v>0.99719999999999998</v>
      </c>
      <c r="AZ313" s="1948">
        <v>0</v>
      </c>
      <c r="BA313" s="1948">
        <v>45273</v>
      </c>
      <c r="BB313" s="1948">
        <f t="shared" si="70"/>
        <v>53084</v>
      </c>
      <c r="BC313" s="1948">
        <f t="shared" si="71"/>
        <v>0</v>
      </c>
      <c r="BD313" s="1949">
        <v>200</v>
      </c>
      <c r="BE313" s="1948">
        <v>117.83999999999999</v>
      </c>
      <c r="BF313" s="1949">
        <v>200</v>
      </c>
      <c r="BG313" s="1949">
        <v>0.99580000000000002</v>
      </c>
      <c r="BH313" s="1949">
        <v>0</v>
      </c>
      <c r="BI313" s="1948">
        <v>39267</v>
      </c>
      <c r="BJ313" s="1948">
        <f t="shared" si="72"/>
        <v>52604</v>
      </c>
      <c r="BK313" s="1948">
        <f t="shared" si="73"/>
        <v>0</v>
      </c>
    </row>
    <row r="314" spans="1:63" ht="15">
      <c r="A314" s="1946">
        <v>622000000215</v>
      </c>
      <c r="B314" s="1947">
        <f t="shared" si="74"/>
        <v>308</v>
      </c>
      <c r="C314" s="1906" t="s">
        <v>3170</v>
      </c>
      <c r="D314" s="1907" t="s">
        <v>524</v>
      </c>
      <c r="E314" s="1906" t="s">
        <v>541</v>
      </c>
      <c r="F314" s="1948" t="s">
        <v>259</v>
      </c>
      <c r="G314" s="1949">
        <v>200</v>
      </c>
      <c r="H314" s="1948">
        <v>200</v>
      </c>
      <c r="I314" s="1950">
        <v>113.4</v>
      </c>
      <c r="J314" s="1948">
        <v>160</v>
      </c>
      <c r="K314" s="1948">
        <v>0.64910000000000001</v>
      </c>
      <c r="L314" s="1948">
        <v>13.52</v>
      </c>
      <c r="M314" s="1948">
        <v>11042</v>
      </c>
      <c r="N314" s="1948">
        <f t="shared" si="60"/>
        <v>48989</v>
      </c>
      <c r="O314" s="1948">
        <f t="shared" si="61"/>
        <v>0</v>
      </c>
      <c r="P314" s="1948">
        <v>200</v>
      </c>
      <c r="Q314" s="1948">
        <v>110.52</v>
      </c>
      <c r="R314" s="1948">
        <v>160</v>
      </c>
      <c r="S314" s="1948">
        <v>0.64439999999999997</v>
      </c>
      <c r="T314" s="1948">
        <v>15.45</v>
      </c>
      <c r="U314" s="1948">
        <v>12701</v>
      </c>
      <c r="V314" s="1948">
        <f t="shared" si="62"/>
        <v>49336</v>
      </c>
      <c r="W314" s="1948">
        <f t="shared" si="63"/>
        <v>0</v>
      </c>
      <c r="X314" s="1948">
        <v>200</v>
      </c>
      <c r="Y314" s="1948">
        <v>12.36</v>
      </c>
      <c r="Z314" s="1948">
        <v>160</v>
      </c>
      <c r="AA314" s="1948">
        <v>0.96319999999999995</v>
      </c>
      <c r="AB314" s="1948">
        <v>11.3</v>
      </c>
      <c r="AC314" s="1948">
        <v>1006</v>
      </c>
      <c r="AD314" s="1948">
        <f t="shared" si="64"/>
        <v>5340</v>
      </c>
      <c r="AE314" s="1948">
        <f t="shared" si="65"/>
        <v>0</v>
      </c>
      <c r="AF314" s="1948">
        <v>200</v>
      </c>
      <c r="AG314" s="1948">
        <v>15.120000000000001</v>
      </c>
      <c r="AH314" s="1948">
        <v>160</v>
      </c>
      <c r="AI314" s="1948">
        <v>0.94230000000000003</v>
      </c>
      <c r="AJ314" s="1948">
        <v>13.43</v>
      </c>
      <c r="AK314" s="1948">
        <v>1267</v>
      </c>
      <c r="AL314" s="1948">
        <f t="shared" si="66"/>
        <v>6750</v>
      </c>
      <c r="AM314" s="1948">
        <f t="shared" si="67"/>
        <v>0</v>
      </c>
      <c r="AN314" s="1948">
        <v>200</v>
      </c>
      <c r="AO314" s="1948">
        <v>17.64</v>
      </c>
      <c r="AP314" s="1948">
        <v>160</v>
      </c>
      <c r="AQ314" s="1948">
        <v>0.90939999999999999</v>
      </c>
      <c r="AR314" s="1948">
        <v>11.67</v>
      </c>
      <c r="AS314" s="1948">
        <v>1778</v>
      </c>
      <c r="AT314" s="1948">
        <f t="shared" si="68"/>
        <v>7874</v>
      </c>
      <c r="AU314" s="1948">
        <f t="shared" si="69"/>
        <v>0</v>
      </c>
      <c r="AV314" s="1948">
        <v>200</v>
      </c>
      <c r="AW314" s="1948">
        <v>61.92</v>
      </c>
      <c r="AX314" s="1948">
        <v>160</v>
      </c>
      <c r="AY314" s="1948">
        <v>0.86960000000000004</v>
      </c>
      <c r="AZ314" s="1948">
        <v>3.05</v>
      </c>
      <c r="BA314" s="1948">
        <v>1358</v>
      </c>
      <c r="BB314" s="1948">
        <f t="shared" si="70"/>
        <v>26749</v>
      </c>
      <c r="BC314" s="1948">
        <f t="shared" si="71"/>
        <v>0</v>
      </c>
      <c r="BD314" s="1949">
        <v>200</v>
      </c>
      <c r="BE314" s="1948">
        <v>136.91999999999999</v>
      </c>
      <c r="BF314" s="1949">
        <v>160</v>
      </c>
      <c r="BG314" s="1949">
        <v>0.63400000000000001</v>
      </c>
      <c r="BH314" s="1949">
        <v>9.6</v>
      </c>
      <c r="BI314" s="1948">
        <v>8517</v>
      </c>
      <c r="BJ314" s="1948">
        <f t="shared" si="72"/>
        <v>61121</v>
      </c>
      <c r="BK314" s="1948">
        <f t="shared" si="73"/>
        <v>0</v>
      </c>
    </row>
    <row r="315" spans="1:63" ht="15">
      <c r="A315" s="1946">
        <v>622000000225</v>
      </c>
      <c r="B315" s="1947">
        <f t="shared" si="74"/>
        <v>309</v>
      </c>
      <c r="C315" s="1906" t="s">
        <v>3665</v>
      </c>
      <c r="D315" s="1907" t="s">
        <v>613</v>
      </c>
      <c r="E315" s="1906" t="s">
        <v>636</v>
      </c>
      <c r="F315" s="1948" t="s">
        <v>259</v>
      </c>
      <c r="G315" s="1949">
        <v>200</v>
      </c>
      <c r="H315" s="1948">
        <v>0</v>
      </c>
      <c r="I315" s="1950">
        <v>0</v>
      </c>
      <c r="J315" s="1948">
        <v>0</v>
      </c>
      <c r="K315" s="1948">
        <v>0</v>
      </c>
      <c r="L315" s="1948">
        <v>0</v>
      </c>
      <c r="M315" s="1948">
        <v>0</v>
      </c>
      <c r="N315" s="1948">
        <f t="shared" si="60"/>
        <v>0</v>
      </c>
      <c r="O315" s="1948">
        <f t="shared" si="61"/>
        <v>0</v>
      </c>
      <c r="P315" s="1948">
        <v>0</v>
      </c>
      <c r="Q315" s="1948">
        <v>0</v>
      </c>
      <c r="R315" s="1948">
        <v>0</v>
      </c>
      <c r="S315" s="1948">
        <v>0</v>
      </c>
      <c r="T315" s="1948">
        <v>0</v>
      </c>
      <c r="U315" s="1948">
        <v>0</v>
      </c>
      <c r="V315" s="1948">
        <f t="shared" si="62"/>
        <v>0</v>
      </c>
      <c r="W315" s="1948">
        <f t="shared" si="63"/>
        <v>0</v>
      </c>
      <c r="X315" s="1948">
        <v>0</v>
      </c>
      <c r="Y315" s="1948">
        <v>0</v>
      </c>
      <c r="Z315" s="1948">
        <v>0</v>
      </c>
      <c r="AA315" s="1948">
        <v>0</v>
      </c>
      <c r="AB315" s="1948">
        <v>0</v>
      </c>
      <c r="AC315" s="1948">
        <v>0</v>
      </c>
      <c r="AD315" s="1948">
        <f t="shared" si="64"/>
        <v>0</v>
      </c>
      <c r="AE315" s="1948">
        <f t="shared" si="65"/>
        <v>0</v>
      </c>
      <c r="AF315" s="1948">
        <v>0</v>
      </c>
      <c r="AG315" s="1948">
        <v>0</v>
      </c>
      <c r="AH315" s="1948">
        <v>0</v>
      </c>
      <c r="AI315" s="1948">
        <v>0</v>
      </c>
      <c r="AJ315" s="1948">
        <v>0</v>
      </c>
      <c r="AK315" s="1948">
        <v>0</v>
      </c>
      <c r="AL315" s="1948">
        <f t="shared" si="66"/>
        <v>0</v>
      </c>
      <c r="AM315" s="1948">
        <f t="shared" si="67"/>
        <v>0</v>
      </c>
      <c r="AN315" s="1948">
        <v>0</v>
      </c>
      <c r="AO315" s="1948">
        <v>0</v>
      </c>
      <c r="AP315" s="1948">
        <v>0</v>
      </c>
      <c r="AQ315" s="1948">
        <v>0</v>
      </c>
      <c r="AR315" s="1948">
        <v>0</v>
      </c>
      <c r="AS315" s="1948">
        <v>0</v>
      </c>
      <c r="AT315" s="1948">
        <f t="shared" si="68"/>
        <v>0</v>
      </c>
      <c r="AU315" s="1948">
        <f t="shared" si="69"/>
        <v>0</v>
      </c>
      <c r="AV315" s="1948">
        <v>0</v>
      </c>
      <c r="AW315" s="1948">
        <v>0</v>
      </c>
      <c r="AX315" s="1948">
        <v>0</v>
      </c>
      <c r="AY315" s="1948">
        <v>0</v>
      </c>
      <c r="AZ315" s="1948">
        <v>0</v>
      </c>
      <c r="BA315" s="1948">
        <v>0</v>
      </c>
      <c r="BB315" s="1948">
        <f t="shared" si="70"/>
        <v>0</v>
      </c>
      <c r="BC315" s="1948">
        <f t="shared" si="71"/>
        <v>0</v>
      </c>
      <c r="BD315" s="1949">
        <v>200</v>
      </c>
      <c r="BE315" s="1948">
        <v>10.760400000000001</v>
      </c>
      <c r="BF315" s="1949">
        <v>160</v>
      </c>
      <c r="BG315" s="1949">
        <v>0.95230000000000004</v>
      </c>
      <c r="BH315" s="1949">
        <v>39.03</v>
      </c>
      <c r="BI315" s="1948">
        <v>2520</v>
      </c>
      <c r="BJ315" s="1948">
        <f t="shared" si="72"/>
        <v>4803</v>
      </c>
      <c r="BK315" s="1948">
        <f t="shared" si="73"/>
        <v>0</v>
      </c>
    </row>
    <row r="316" spans="1:63" ht="15">
      <c r="A316" s="1946">
        <v>621000000043</v>
      </c>
      <c r="B316" s="1947">
        <f t="shared" si="74"/>
        <v>310</v>
      </c>
      <c r="C316" s="1906" t="s">
        <v>3190</v>
      </c>
      <c r="D316" s="1907" t="s">
        <v>524</v>
      </c>
      <c r="E316" s="1906" t="s">
        <v>636</v>
      </c>
      <c r="F316" s="1948" t="s">
        <v>259</v>
      </c>
      <c r="G316" s="1949">
        <v>200</v>
      </c>
      <c r="H316" s="1948">
        <v>200</v>
      </c>
      <c r="I316" s="1950">
        <v>112.64</v>
      </c>
      <c r="J316" s="1948">
        <v>160</v>
      </c>
      <c r="K316" s="1948">
        <v>0.99160000000000004</v>
      </c>
      <c r="L316" s="1948">
        <v>21.22</v>
      </c>
      <c r="M316" s="1948">
        <v>17209</v>
      </c>
      <c r="N316" s="1948">
        <f t="shared" si="60"/>
        <v>48660</v>
      </c>
      <c r="O316" s="1948">
        <f t="shared" si="61"/>
        <v>0</v>
      </c>
      <c r="P316" s="1948">
        <v>200</v>
      </c>
      <c r="Q316" s="1948">
        <v>128.24</v>
      </c>
      <c r="R316" s="1948">
        <v>160</v>
      </c>
      <c r="S316" s="1948">
        <v>0.99229999999999996</v>
      </c>
      <c r="T316" s="1948">
        <v>19.07</v>
      </c>
      <c r="U316" s="1948">
        <v>18198</v>
      </c>
      <c r="V316" s="1948">
        <f t="shared" si="62"/>
        <v>57246</v>
      </c>
      <c r="W316" s="1948">
        <f t="shared" si="63"/>
        <v>0</v>
      </c>
      <c r="X316" s="1948">
        <v>200</v>
      </c>
      <c r="Y316" s="1948">
        <v>134.24</v>
      </c>
      <c r="Z316" s="1948">
        <v>160</v>
      </c>
      <c r="AA316" s="1948">
        <v>0.99</v>
      </c>
      <c r="AB316" s="1948">
        <v>20.99</v>
      </c>
      <c r="AC316" s="1948">
        <v>20290</v>
      </c>
      <c r="AD316" s="1948">
        <f t="shared" si="64"/>
        <v>57992</v>
      </c>
      <c r="AE316" s="1948">
        <f t="shared" si="65"/>
        <v>0</v>
      </c>
      <c r="AF316" s="1948">
        <v>200</v>
      </c>
      <c r="AG316" s="1948">
        <v>107.60000000000001</v>
      </c>
      <c r="AH316" s="1948">
        <v>160</v>
      </c>
      <c r="AI316" s="1948">
        <v>0.98950000000000005</v>
      </c>
      <c r="AJ316" s="1948">
        <v>20.89</v>
      </c>
      <c r="AK316" s="1948">
        <v>16727</v>
      </c>
      <c r="AL316" s="1948">
        <f t="shared" si="66"/>
        <v>48033</v>
      </c>
      <c r="AM316" s="1948">
        <f t="shared" si="67"/>
        <v>0</v>
      </c>
      <c r="AN316" s="1948">
        <v>200</v>
      </c>
      <c r="AO316" s="1948">
        <v>106.64</v>
      </c>
      <c r="AP316" s="1948">
        <v>160</v>
      </c>
      <c r="AQ316" s="1948">
        <v>0.98609999999999998</v>
      </c>
      <c r="AR316" s="1948">
        <v>18.46</v>
      </c>
      <c r="AS316" s="1948">
        <v>14648</v>
      </c>
      <c r="AT316" s="1948">
        <f t="shared" si="68"/>
        <v>47604</v>
      </c>
      <c r="AU316" s="1948">
        <f t="shared" si="69"/>
        <v>0</v>
      </c>
      <c r="AV316" s="1948">
        <v>200</v>
      </c>
      <c r="AW316" s="1948">
        <v>95.04</v>
      </c>
      <c r="AX316" s="1948">
        <v>160</v>
      </c>
      <c r="AY316" s="1948">
        <v>0.98960000000000004</v>
      </c>
      <c r="AZ316" s="1948">
        <v>21.53</v>
      </c>
      <c r="BA316" s="1948">
        <v>14731</v>
      </c>
      <c r="BB316" s="1948">
        <f t="shared" si="70"/>
        <v>41057</v>
      </c>
      <c r="BC316" s="1948">
        <f t="shared" si="71"/>
        <v>0</v>
      </c>
      <c r="BD316" s="1949">
        <v>200</v>
      </c>
      <c r="BE316" s="1948">
        <v>93.52000000000001</v>
      </c>
      <c r="BF316" s="1949">
        <v>160</v>
      </c>
      <c r="BG316" s="1949">
        <v>0.98509999999999998</v>
      </c>
      <c r="BH316" s="1949">
        <v>22.71</v>
      </c>
      <c r="BI316" s="1948">
        <v>15802</v>
      </c>
      <c r="BJ316" s="1948">
        <f t="shared" si="72"/>
        <v>41747</v>
      </c>
      <c r="BK316" s="1948">
        <f t="shared" si="73"/>
        <v>0</v>
      </c>
    </row>
    <row r="317" spans="1:63" ht="15">
      <c r="A317" s="1946">
        <v>621000000056</v>
      </c>
      <c r="B317" s="1947">
        <f t="shared" si="74"/>
        <v>311</v>
      </c>
      <c r="C317" s="1906" t="s">
        <v>3174</v>
      </c>
      <c r="D317" s="1907" t="s">
        <v>524</v>
      </c>
      <c r="E317" s="1906" t="s">
        <v>541</v>
      </c>
      <c r="F317" s="1948" t="s">
        <v>259</v>
      </c>
      <c r="G317" s="1949">
        <v>200</v>
      </c>
      <c r="H317" s="1948">
        <v>200</v>
      </c>
      <c r="I317" s="1950">
        <v>63.36</v>
      </c>
      <c r="J317" s="1948">
        <v>160</v>
      </c>
      <c r="K317" s="1948">
        <v>0.95820000000000005</v>
      </c>
      <c r="L317" s="1948">
        <v>7.76</v>
      </c>
      <c r="M317" s="1948">
        <v>3542</v>
      </c>
      <c r="N317" s="1948">
        <f t="shared" si="60"/>
        <v>27372</v>
      </c>
      <c r="O317" s="1948">
        <f t="shared" si="61"/>
        <v>0</v>
      </c>
      <c r="P317" s="1948">
        <v>200</v>
      </c>
      <c r="Q317" s="1948">
        <v>17.760000000000002</v>
      </c>
      <c r="R317" s="1948">
        <v>160</v>
      </c>
      <c r="S317" s="1948">
        <v>0.95699999999999996</v>
      </c>
      <c r="T317" s="1948">
        <v>25</v>
      </c>
      <c r="U317" s="1948">
        <v>3303</v>
      </c>
      <c r="V317" s="1948">
        <f t="shared" si="62"/>
        <v>7928</v>
      </c>
      <c r="W317" s="1948">
        <f t="shared" si="63"/>
        <v>0</v>
      </c>
      <c r="X317" s="1948">
        <v>200</v>
      </c>
      <c r="Y317" s="1948">
        <v>0</v>
      </c>
      <c r="Z317" s="1948">
        <v>160</v>
      </c>
      <c r="AA317" s="1948">
        <v>0</v>
      </c>
      <c r="AB317" s="1948">
        <v>0</v>
      </c>
      <c r="AC317" s="1948">
        <v>0</v>
      </c>
      <c r="AD317" s="1948">
        <f t="shared" si="64"/>
        <v>0</v>
      </c>
      <c r="AE317" s="1948">
        <f t="shared" si="65"/>
        <v>0</v>
      </c>
      <c r="AF317" s="1948">
        <v>200</v>
      </c>
      <c r="AG317" s="1948">
        <v>276</v>
      </c>
      <c r="AH317" s="1948">
        <v>160</v>
      </c>
      <c r="AI317" s="1948">
        <v>1</v>
      </c>
      <c r="AJ317" s="1948">
        <v>10.66</v>
      </c>
      <c r="AK317" s="1948">
        <v>990</v>
      </c>
      <c r="AL317" s="1948">
        <f t="shared" si="66"/>
        <v>123206</v>
      </c>
      <c r="AM317" s="1948">
        <f t="shared" si="67"/>
        <v>0</v>
      </c>
      <c r="AN317" s="1948">
        <v>200</v>
      </c>
      <c r="AO317" s="1948">
        <v>18.48</v>
      </c>
      <c r="AP317" s="1948">
        <v>160</v>
      </c>
      <c r="AQ317" s="1948">
        <v>1.0004999999999999</v>
      </c>
      <c r="AR317" s="1948">
        <v>38.36</v>
      </c>
      <c r="AS317" s="1948">
        <v>5274</v>
      </c>
      <c r="AT317" s="1948">
        <f t="shared" si="68"/>
        <v>8249</v>
      </c>
      <c r="AU317" s="1948">
        <f t="shared" si="69"/>
        <v>0</v>
      </c>
      <c r="AV317" s="1948">
        <v>200</v>
      </c>
      <c r="AW317" s="1948">
        <v>17.760000000000002</v>
      </c>
      <c r="AX317" s="1948">
        <v>160</v>
      </c>
      <c r="AY317" s="1948">
        <v>1</v>
      </c>
      <c r="AZ317" s="1948">
        <v>35.92</v>
      </c>
      <c r="BA317" s="1948">
        <v>4593</v>
      </c>
      <c r="BB317" s="1948">
        <f t="shared" si="70"/>
        <v>7672</v>
      </c>
      <c r="BC317" s="1948">
        <f t="shared" si="71"/>
        <v>0</v>
      </c>
      <c r="BD317" s="1949">
        <v>200</v>
      </c>
      <c r="BE317" s="1948">
        <v>19.2</v>
      </c>
      <c r="BF317" s="1949">
        <v>160</v>
      </c>
      <c r="BG317" s="1949">
        <v>1</v>
      </c>
      <c r="BH317" s="1949">
        <v>36.44</v>
      </c>
      <c r="BI317" s="1948">
        <v>5205</v>
      </c>
      <c r="BJ317" s="1948">
        <f t="shared" si="72"/>
        <v>8571</v>
      </c>
      <c r="BK317" s="1948">
        <f t="shared" si="73"/>
        <v>0</v>
      </c>
    </row>
    <row r="318" spans="1:63" ht="15">
      <c r="A318" s="1946">
        <v>621000000060</v>
      </c>
      <c r="B318" s="1947">
        <f t="shared" si="74"/>
        <v>312</v>
      </c>
      <c r="C318" s="1906" t="s">
        <v>3168</v>
      </c>
      <c r="D318" s="1907" t="s">
        <v>524</v>
      </c>
      <c r="E318" s="1906" t="s">
        <v>2966</v>
      </c>
      <c r="F318" s="1948" t="s">
        <v>259</v>
      </c>
      <c r="G318" s="1949">
        <v>200</v>
      </c>
      <c r="H318" s="1948">
        <v>200</v>
      </c>
      <c r="I318" s="1950">
        <v>56.8</v>
      </c>
      <c r="J318" s="1948">
        <v>200</v>
      </c>
      <c r="K318" s="1948">
        <v>0.95550000000000002</v>
      </c>
      <c r="L318" s="1948">
        <v>27.7</v>
      </c>
      <c r="M318" s="1948">
        <v>11330</v>
      </c>
      <c r="N318" s="1948">
        <f t="shared" si="60"/>
        <v>24538</v>
      </c>
      <c r="O318" s="1948">
        <f t="shared" si="61"/>
        <v>0</v>
      </c>
      <c r="P318" s="1948">
        <v>200</v>
      </c>
      <c r="Q318" s="1948">
        <v>53.76</v>
      </c>
      <c r="R318" s="1948">
        <v>200</v>
      </c>
      <c r="S318" s="1948">
        <v>0.95569999999999999</v>
      </c>
      <c r="T318" s="1948">
        <v>24.19</v>
      </c>
      <c r="U318" s="1948">
        <v>9674</v>
      </c>
      <c r="V318" s="1948">
        <f t="shared" si="62"/>
        <v>23998</v>
      </c>
      <c r="W318" s="1948">
        <f t="shared" si="63"/>
        <v>0</v>
      </c>
      <c r="X318" s="1948">
        <v>200</v>
      </c>
      <c r="Y318" s="1948">
        <v>62.88</v>
      </c>
      <c r="Z318" s="1948">
        <v>200</v>
      </c>
      <c r="AA318" s="1948">
        <v>0.95830000000000004</v>
      </c>
      <c r="AB318" s="1948">
        <v>19.82</v>
      </c>
      <c r="AC318" s="1948">
        <v>8972</v>
      </c>
      <c r="AD318" s="1948">
        <f t="shared" si="64"/>
        <v>27164</v>
      </c>
      <c r="AE318" s="1948">
        <f t="shared" si="65"/>
        <v>0</v>
      </c>
      <c r="AF318" s="1948">
        <v>200</v>
      </c>
      <c r="AG318" s="1948">
        <v>109.28</v>
      </c>
      <c r="AH318" s="1948">
        <v>200</v>
      </c>
      <c r="AI318" s="1948">
        <v>0.98329999999999995</v>
      </c>
      <c r="AJ318" s="1948">
        <v>31.63</v>
      </c>
      <c r="AK318" s="1948">
        <v>25718</v>
      </c>
      <c r="AL318" s="1948">
        <f t="shared" si="66"/>
        <v>48783</v>
      </c>
      <c r="AM318" s="1948">
        <f t="shared" si="67"/>
        <v>0</v>
      </c>
      <c r="AN318" s="1948">
        <v>200</v>
      </c>
      <c r="AO318" s="1948">
        <v>56.32</v>
      </c>
      <c r="AP318" s="1948">
        <v>200</v>
      </c>
      <c r="AQ318" s="1948">
        <v>0.92579999999999996</v>
      </c>
      <c r="AR318" s="1948">
        <v>21.95</v>
      </c>
      <c r="AS318" s="1948">
        <v>9198</v>
      </c>
      <c r="AT318" s="1948">
        <f t="shared" si="68"/>
        <v>25141</v>
      </c>
      <c r="AU318" s="1948">
        <f t="shared" si="69"/>
        <v>0</v>
      </c>
      <c r="AV318" s="1948">
        <v>200</v>
      </c>
      <c r="AW318" s="1948">
        <v>59.84</v>
      </c>
      <c r="AX318" s="1948">
        <v>200</v>
      </c>
      <c r="AY318" s="1948">
        <v>0.9335</v>
      </c>
      <c r="AZ318" s="1948">
        <v>20.239999999999998</v>
      </c>
      <c r="BA318" s="1948">
        <v>8722</v>
      </c>
      <c r="BB318" s="1948">
        <f t="shared" si="70"/>
        <v>25851</v>
      </c>
      <c r="BC318" s="1948">
        <f t="shared" si="71"/>
        <v>0</v>
      </c>
      <c r="BD318" s="1949">
        <v>200</v>
      </c>
      <c r="BE318" s="1948">
        <v>54.24</v>
      </c>
      <c r="BF318" s="1949">
        <v>200</v>
      </c>
      <c r="BG318" s="1949">
        <v>0.91539999999999999</v>
      </c>
      <c r="BH318" s="1949">
        <v>17.7</v>
      </c>
      <c r="BI318" s="1948">
        <v>7142</v>
      </c>
      <c r="BJ318" s="1948">
        <f t="shared" si="72"/>
        <v>24213</v>
      </c>
      <c r="BK318" s="1948">
        <f t="shared" si="73"/>
        <v>0</v>
      </c>
    </row>
    <row r="319" spans="1:63" ht="15">
      <c r="A319" s="1946">
        <v>123000000135</v>
      </c>
      <c r="B319" s="1947">
        <f t="shared" si="74"/>
        <v>313</v>
      </c>
      <c r="C319" s="1906" t="s">
        <v>3191</v>
      </c>
      <c r="D319" s="1907" t="s">
        <v>524</v>
      </c>
      <c r="E319" s="1906" t="s">
        <v>541</v>
      </c>
      <c r="F319" s="1948" t="s">
        <v>259</v>
      </c>
      <c r="G319" s="1949">
        <v>201</v>
      </c>
      <c r="H319" s="1948">
        <v>201</v>
      </c>
      <c r="I319" s="1950">
        <v>120.60000000000001</v>
      </c>
      <c r="J319" s="1948">
        <v>160.80000000000001</v>
      </c>
      <c r="K319" s="1948">
        <v>0.99609999999999999</v>
      </c>
      <c r="L319" s="1948">
        <v>43.8</v>
      </c>
      <c r="M319" s="1948">
        <v>39298</v>
      </c>
      <c r="N319" s="1948">
        <f t="shared" si="60"/>
        <v>52099</v>
      </c>
      <c r="O319" s="1948">
        <f t="shared" si="61"/>
        <v>0</v>
      </c>
      <c r="P319" s="1948">
        <v>201</v>
      </c>
      <c r="Q319" s="1948">
        <v>125.39999999999999</v>
      </c>
      <c r="R319" s="1948">
        <v>160.80000000000001</v>
      </c>
      <c r="S319" s="1948">
        <v>0.99109999999999998</v>
      </c>
      <c r="T319" s="1948">
        <v>50.38</v>
      </c>
      <c r="U319" s="1948">
        <v>47007</v>
      </c>
      <c r="V319" s="1948">
        <f t="shared" si="62"/>
        <v>55979</v>
      </c>
      <c r="W319" s="1948">
        <f t="shared" si="63"/>
        <v>0</v>
      </c>
      <c r="X319" s="1948">
        <v>201</v>
      </c>
      <c r="Y319" s="1948">
        <v>98.759999999999991</v>
      </c>
      <c r="Z319" s="1948">
        <v>160.80000000000001</v>
      </c>
      <c r="AA319" s="1948">
        <v>0.98299999999999998</v>
      </c>
      <c r="AB319" s="1948">
        <v>26.57</v>
      </c>
      <c r="AC319" s="1948">
        <v>18895</v>
      </c>
      <c r="AD319" s="1948">
        <f t="shared" si="64"/>
        <v>42664</v>
      </c>
      <c r="AE319" s="1948">
        <f t="shared" si="65"/>
        <v>0</v>
      </c>
      <c r="AF319" s="1948">
        <v>201</v>
      </c>
      <c r="AG319" s="1948">
        <v>84.84</v>
      </c>
      <c r="AH319" s="1948">
        <v>160.80000000000001</v>
      </c>
      <c r="AI319" s="1948">
        <v>0.95050000000000001</v>
      </c>
      <c r="AJ319" s="1948">
        <v>24.11</v>
      </c>
      <c r="AK319" s="1948">
        <v>15216</v>
      </c>
      <c r="AL319" s="1948">
        <f t="shared" si="66"/>
        <v>37873</v>
      </c>
      <c r="AM319" s="1948">
        <f t="shared" si="67"/>
        <v>0</v>
      </c>
      <c r="AN319" s="1948">
        <v>201</v>
      </c>
      <c r="AO319" s="1948">
        <v>88.679999999999993</v>
      </c>
      <c r="AP319" s="1948">
        <v>160.80000000000001</v>
      </c>
      <c r="AQ319" s="1948">
        <v>0.98450000000000004</v>
      </c>
      <c r="AR319" s="1948">
        <v>44.69</v>
      </c>
      <c r="AS319" s="1948">
        <v>29484</v>
      </c>
      <c r="AT319" s="1948">
        <f t="shared" si="68"/>
        <v>39587</v>
      </c>
      <c r="AU319" s="1948">
        <f t="shared" si="69"/>
        <v>0</v>
      </c>
      <c r="AV319" s="1948">
        <v>201</v>
      </c>
      <c r="AW319" s="1948">
        <v>106.44</v>
      </c>
      <c r="AX319" s="1948">
        <v>160.80000000000001</v>
      </c>
      <c r="AY319" s="1948">
        <v>0.98499999999999999</v>
      </c>
      <c r="AZ319" s="1948">
        <v>40.229999999999997</v>
      </c>
      <c r="BA319" s="1948">
        <v>30828</v>
      </c>
      <c r="BB319" s="1948">
        <f t="shared" si="70"/>
        <v>45982</v>
      </c>
      <c r="BC319" s="1948">
        <f t="shared" si="71"/>
        <v>0</v>
      </c>
      <c r="BD319" s="1949">
        <v>201</v>
      </c>
      <c r="BE319" s="1948">
        <v>84.6</v>
      </c>
      <c r="BF319" s="1949">
        <v>160.80000000000001</v>
      </c>
      <c r="BG319" s="1949">
        <v>0.97509999999999997</v>
      </c>
      <c r="BH319" s="1949">
        <v>51.09</v>
      </c>
      <c r="BI319" s="1948">
        <v>32155</v>
      </c>
      <c r="BJ319" s="1948">
        <f t="shared" si="72"/>
        <v>37765</v>
      </c>
      <c r="BK319" s="1948">
        <f t="shared" si="73"/>
        <v>0</v>
      </c>
    </row>
    <row r="320" spans="1:63" ht="15">
      <c r="A320" s="1946">
        <v>621000000042</v>
      </c>
      <c r="B320" s="1947">
        <f t="shared" si="74"/>
        <v>314</v>
      </c>
      <c r="C320" s="1906" t="s">
        <v>3192</v>
      </c>
      <c r="D320" s="1907" t="s">
        <v>524</v>
      </c>
      <c r="E320" s="1906" t="s">
        <v>541</v>
      </c>
      <c r="F320" s="1948" t="s">
        <v>259</v>
      </c>
      <c r="G320" s="1949">
        <v>201</v>
      </c>
      <c r="H320" s="1948">
        <v>201</v>
      </c>
      <c r="I320" s="1950">
        <v>163.44</v>
      </c>
      <c r="J320" s="1948">
        <v>163.44</v>
      </c>
      <c r="K320" s="1948">
        <v>0.58360000000000001</v>
      </c>
      <c r="L320" s="1948">
        <v>38.43</v>
      </c>
      <c r="M320" s="1948">
        <v>45223</v>
      </c>
      <c r="N320" s="1948">
        <f t="shared" si="60"/>
        <v>70606</v>
      </c>
      <c r="O320" s="1948">
        <f t="shared" si="61"/>
        <v>0</v>
      </c>
      <c r="P320" s="1948">
        <v>201</v>
      </c>
      <c r="Q320" s="1948">
        <v>164.76000000000002</v>
      </c>
      <c r="R320" s="1948">
        <v>164.76</v>
      </c>
      <c r="S320" s="1948">
        <v>0.60770000000000002</v>
      </c>
      <c r="T320" s="1948">
        <v>49.03</v>
      </c>
      <c r="U320" s="1948">
        <v>60102</v>
      </c>
      <c r="V320" s="1948">
        <f t="shared" si="62"/>
        <v>73549</v>
      </c>
      <c r="W320" s="1948">
        <f t="shared" si="63"/>
        <v>0</v>
      </c>
      <c r="X320" s="1948">
        <v>201</v>
      </c>
      <c r="Y320" s="1948">
        <v>162</v>
      </c>
      <c r="Z320" s="1948">
        <v>162</v>
      </c>
      <c r="AA320" s="1948">
        <v>0.57310000000000005</v>
      </c>
      <c r="AB320" s="1948">
        <v>32.380000000000003</v>
      </c>
      <c r="AC320" s="1948">
        <v>37764</v>
      </c>
      <c r="AD320" s="1948">
        <f t="shared" si="64"/>
        <v>69984</v>
      </c>
      <c r="AE320" s="1948">
        <f t="shared" si="65"/>
        <v>0</v>
      </c>
      <c r="AF320" s="1948">
        <v>201</v>
      </c>
      <c r="AG320" s="1948">
        <v>170.52</v>
      </c>
      <c r="AH320" s="1948">
        <v>170.52</v>
      </c>
      <c r="AI320" s="1948">
        <v>0.57420000000000004</v>
      </c>
      <c r="AJ320" s="1948">
        <v>32.409999999999997</v>
      </c>
      <c r="AK320" s="1948">
        <v>41121</v>
      </c>
      <c r="AL320" s="1948">
        <f t="shared" si="66"/>
        <v>76120</v>
      </c>
      <c r="AM320" s="1948">
        <f t="shared" si="67"/>
        <v>0</v>
      </c>
      <c r="AN320" s="1948">
        <v>201</v>
      </c>
      <c r="AO320" s="1948">
        <v>168.12</v>
      </c>
      <c r="AP320" s="1948">
        <v>168.12</v>
      </c>
      <c r="AQ320" s="1948">
        <v>0.56459999999999999</v>
      </c>
      <c r="AR320" s="1948">
        <v>30.12</v>
      </c>
      <c r="AS320" s="1948">
        <v>37674</v>
      </c>
      <c r="AT320" s="1948">
        <f t="shared" si="68"/>
        <v>75049</v>
      </c>
      <c r="AU320" s="1948">
        <f t="shared" si="69"/>
        <v>0</v>
      </c>
      <c r="AV320" s="1948">
        <v>201</v>
      </c>
      <c r="AW320" s="1948">
        <v>172.92000000000002</v>
      </c>
      <c r="AX320" s="1948">
        <v>172.92</v>
      </c>
      <c r="AY320" s="1948">
        <v>0.58779999999999999</v>
      </c>
      <c r="AZ320" s="1948">
        <v>45.66</v>
      </c>
      <c r="BA320" s="1948">
        <v>56848</v>
      </c>
      <c r="BB320" s="1948">
        <f t="shared" si="70"/>
        <v>74701</v>
      </c>
      <c r="BC320" s="1948">
        <f t="shared" si="71"/>
        <v>0</v>
      </c>
      <c r="BD320" s="1949">
        <v>201</v>
      </c>
      <c r="BE320" s="1948">
        <v>169.44</v>
      </c>
      <c r="BF320" s="1949">
        <v>169.44</v>
      </c>
      <c r="BG320" s="1949">
        <v>0.58650000000000002</v>
      </c>
      <c r="BH320" s="1949">
        <v>25.27</v>
      </c>
      <c r="BI320" s="1948">
        <v>31856</v>
      </c>
      <c r="BJ320" s="1948">
        <f t="shared" si="72"/>
        <v>75638</v>
      </c>
      <c r="BK320" s="1948">
        <f t="shared" si="73"/>
        <v>0</v>
      </c>
    </row>
    <row r="321" spans="1:63" ht="15">
      <c r="A321" s="1946">
        <v>615000000048</v>
      </c>
      <c r="B321" s="1947">
        <f t="shared" si="74"/>
        <v>315</v>
      </c>
      <c r="C321" s="1906" t="s">
        <v>3193</v>
      </c>
      <c r="D321" s="1907" t="s">
        <v>524</v>
      </c>
      <c r="E321" s="1906" t="s">
        <v>541</v>
      </c>
      <c r="F321" s="1948" t="s">
        <v>259</v>
      </c>
      <c r="G321" s="1949">
        <v>202</v>
      </c>
      <c r="H321" s="1948">
        <v>202</v>
      </c>
      <c r="I321" s="1950">
        <v>240.23999999999998</v>
      </c>
      <c r="J321" s="1948">
        <v>240.24</v>
      </c>
      <c r="K321" s="1948">
        <v>0.97170000000000001</v>
      </c>
      <c r="L321" s="1948">
        <v>16.64</v>
      </c>
      <c r="M321" s="1948">
        <v>28776</v>
      </c>
      <c r="N321" s="1948">
        <f t="shared" si="60"/>
        <v>103784</v>
      </c>
      <c r="O321" s="1948">
        <f t="shared" si="61"/>
        <v>0</v>
      </c>
      <c r="P321" s="1948">
        <v>202</v>
      </c>
      <c r="Q321" s="1948">
        <v>205.68</v>
      </c>
      <c r="R321" s="1948">
        <v>205.68</v>
      </c>
      <c r="S321" s="1948">
        <v>0.98380000000000001</v>
      </c>
      <c r="T321" s="1948">
        <v>18.3</v>
      </c>
      <c r="U321" s="1948">
        <v>27999</v>
      </c>
      <c r="V321" s="1948">
        <f t="shared" si="62"/>
        <v>91816</v>
      </c>
      <c r="W321" s="1948">
        <f t="shared" si="63"/>
        <v>0</v>
      </c>
      <c r="X321" s="1948">
        <v>202</v>
      </c>
      <c r="Y321" s="1948">
        <v>192.24</v>
      </c>
      <c r="Z321" s="1948">
        <v>192.24</v>
      </c>
      <c r="AA321" s="1948">
        <v>0.92449999999999999</v>
      </c>
      <c r="AB321" s="1948">
        <v>9.9700000000000006</v>
      </c>
      <c r="AC321" s="1948">
        <v>13800</v>
      </c>
      <c r="AD321" s="1948">
        <f t="shared" si="64"/>
        <v>83048</v>
      </c>
      <c r="AE321" s="1948">
        <f t="shared" si="65"/>
        <v>0</v>
      </c>
      <c r="AF321" s="1948">
        <v>202</v>
      </c>
      <c r="AG321" s="1948">
        <v>206.88</v>
      </c>
      <c r="AH321" s="1948">
        <v>206.88</v>
      </c>
      <c r="AI321" s="1948">
        <v>0.87549999999999994</v>
      </c>
      <c r="AJ321" s="1948">
        <v>6.66</v>
      </c>
      <c r="AK321" s="1948">
        <v>10248</v>
      </c>
      <c r="AL321" s="1948">
        <f t="shared" si="66"/>
        <v>92351</v>
      </c>
      <c r="AM321" s="1948">
        <f t="shared" si="67"/>
        <v>0</v>
      </c>
      <c r="AN321" s="1948">
        <v>202</v>
      </c>
      <c r="AO321" s="1948">
        <v>203.28</v>
      </c>
      <c r="AP321" s="1948">
        <v>203.28</v>
      </c>
      <c r="AQ321" s="1948">
        <v>0.81630000000000003</v>
      </c>
      <c r="AR321" s="1948">
        <v>3.18</v>
      </c>
      <c r="AS321" s="1948">
        <v>4803</v>
      </c>
      <c r="AT321" s="1948">
        <f t="shared" si="68"/>
        <v>90744</v>
      </c>
      <c r="AU321" s="1948">
        <f t="shared" si="69"/>
        <v>0</v>
      </c>
      <c r="AV321" s="1948">
        <v>202</v>
      </c>
      <c r="AW321" s="1948">
        <v>3.1199999999999997</v>
      </c>
      <c r="AX321" s="1948">
        <v>161.6</v>
      </c>
      <c r="AY321" s="1948">
        <v>0.28599999999999998</v>
      </c>
      <c r="AZ321" s="1948">
        <v>54.62</v>
      </c>
      <c r="BA321" s="1948">
        <v>1227</v>
      </c>
      <c r="BB321" s="1948">
        <f t="shared" si="70"/>
        <v>1348</v>
      </c>
      <c r="BC321" s="1948">
        <f t="shared" si="71"/>
        <v>0</v>
      </c>
      <c r="BD321" s="1949">
        <v>202</v>
      </c>
      <c r="BE321" s="1948">
        <v>3.6</v>
      </c>
      <c r="BF321" s="1949">
        <v>161.6</v>
      </c>
      <c r="BG321" s="1949">
        <v>0.27500000000000002</v>
      </c>
      <c r="BH321" s="1949">
        <v>53.76</v>
      </c>
      <c r="BI321" s="1948">
        <v>1440</v>
      </c>
      <c r="BJ321" s="1948">
        <f t="shared" si="72"/>
        <v>1607</v>
      </c>
      <c r="BK321" s="1948">
        <f t="shared" si="73"/>
        <v>0</v>
      </c>
    </row>
    <row r="322" spans="1:63" ht="15">
      <c r="A322" s="1946">
        <v>615000000052</v>
      </c>
      <c r="B322" s="1947">
        <f t="shared" si="74"/>
        <v>316</v>
      </c>
      <c r="C322" s="1906" t="s">
        <v>3194</v>
      </c>
      <c r="D322" s="1907" t="s">
        <v>524</v>
      </c>
      <c r="E322" s="1906" t="s">
        <v>737</v>
      </c>
      <c r="F322" s="1948" t="s">
        <v>259</v>
      </c>
      <c r="G322" s="1949">
        <v>202</v>
      </c>
      <c r="H322" s="1948">
        <v>202</v>
      </c>
      <c r="I322" s="1950">
        <v>10.16</v>
      </c>
      <c r="J322" s="1948">
        <v>161.6</v>
      </c>
      <c r="K322" s="1948">
        <v>0.3301</v>
      </c>
      <c r="L322" s="1948">
        <v>15.31</v>
      </c>
      <c r="M322" s="1948">
        <v>933</v>
      </c>
      <c r="N322" s="1948">
        <f t="shared" si="60"/>
        <v>4389</v>
      </c>
      <c r="O322" s="1948">
        <f t="shared" si="61"/>
        <v>0</v>
      </c>
      <c r="P322" s="1948">
        <v>202</v>
      </c>
      <c r="Q322" s="1948">
        <v>14.16</v>
      </c>
      <c r="R322" s="1948">
        <v>161.6</v>
      </c>
      <c r="S322" s="1948">
        <v>0.30349999999999999</v>
      </c>
      <c r="T322" s="1948">
        <v>13.92</v>
      </c>
      <c r="U322" s="1948">
        <v>1703</v>
      </c>
      <c r="V322" s="1948">
        <f t="shared" si="62"/>
        <v>6321</v>
      </c>
      <c r="W322" s="1948">
        <f t="shared" si="63"/>
        <v>0</v>
      </c>
      <c r="X322" s="1948">
        <v>202</v>
      </c>
      <c r="Y322" s="1948">
        <v>5.4399999999999995</v>
      </c>
      <c r="Z322" s="1948">
        <v>161.6</v>
      </c>
      <c r="AA322" s="1948">
        <v>0.28160000000000002</v>
      </c>
      <c r="AB322" s="1948">
        <v>36.89</v>
      </c>
      <c r="AC322" s="1948">
        <v>1445</v>
      </c>
      <c r="AD322" s="1948">
        <f t="shared" si="64"/>
        <v>2350</v>
      </c>
      <c r="AE322" s="1948">
        <f t="shared" si="65"/>
        <v>0</v>
      </c>
      <c r="AF322" s="1948">
        <v>202</v>
      </c>
      <c r="AG322" s="1948">
        <v>6.3407999999999998</v>
      </c>
      <c r="AH322" s="1948">
        <v>161.6</v>
      </c>
      <c r="AI322" s="1948">
        <v>0.78369999999999995</v>
      </c>
      <c r="AJ322" s="1948">
        <v>17.79</v>
      </c>
      <c r="AK322" s="1948">
        <v>839</v>
      </c>
      <c r="AL322" s="1948">
        <f t="shared" si="66"/>
        <v>2831</v>
      </c>
      <c r="AM322" s="1948">
        <f t="shared" si="67"/>
        <v>0</v>
      </c>
      <c r="AN322" s="1948">
        <v>202</v>
      </c>
      <c r="AO322" s="1948">
        <v>8.0223999999999993</v>
      </c>
      <c r="AP322" s="1948">
        <v>161.6</v>
      </c>
      <c r="AQ322" s="1948">
        <v>0.60760000000000003</v>
      </c>
      <c r="AR322" s="1948">
        <v>0</v>
      </c>
      <c r="AS322" s="1948">
        <v>0</v>
      </c>
      <c r="AT322" s="1948">
        <f t="shared" si="68"/>
        <v>3581</v>
      </c>
      <c r="AU322" s="1948">
        <f t="shared" si="69"/>
        <v>0</v>
      </c>
      <c r="AV322" s="1948">
        <v>202</v>
      </c>
      <c r="AW322" s="1948">
        <v>13.058</v>
      </c>
      <c r="AX322" s="1948">
        <v>161.6</v>
      </c>
      <c r="AY322" s="1948">
        <v>0.30790000000000001</v>
      </c>
      <c r="AZ322" s="1948">
        <v>0</v>
      </c>
      <c r="BA322" s="1948">
        <v>0</v>
      </c>
      <c r="BB322" s="1948">
        <f t="shared" si="70"/>
        <v>5641</v>
      </c>
      <c r="BC322" s="1948">
        <f t="shared" si="71"/>
        <v>0</v>
      </c>
      <c r="BD322" s="1949">
        <v>202</v>
      </c>
      <c r="BE322" s="1948">
        <v>11.64</v>
      </c>
      <c r="BF322" s="1949">
        <v>161.6</v>
      </c>
      <c r="BG322" s="1949">
        <v>0.31929999999999997</v>
      </c>
      <c r="BH322" s="1949">
        <v>0</v>
      </c>
      <c r="BI322" s="1948">
        <v>0</v>
      </c>
      <c r="BJ322" s="1948">
        <f t="shared" si="72"/>
        <v>5196</v>
      </c>
      <c r="BK322" s="1948">
        <f t="shared" si="73"/>
        <v>0</v>
      </c>
    </row>
    <row r="323" spans="1:63" ht="15">
      <c r="A323" s="1946">
        <v>615000000059</v>
      </c>
      <c r="B323" s="1947">
        <f t="shared" si="74"/>
        <v>317</v>
      </c>
      <c r="C323" s="1906" t="s">
        <v>3195</v>
      </c>
      <c r="D323" s="1907" t="s">
        <v>524</v>
      </c>
      <c r="E323" s="1906" t="s">
        <v>541</v>
      </c>
      <c r="F323" s="1948" t="s">
        <v>259</v>
      </c>
      <c r="G323" s="1949">
        <v>202</v>
      </c>
      <c r="H323" s="1948">
        <v>202</v>
      </c>
      <c r="I323" s="1950">
        <v>181.32000000000002</v>
      </c>
      <c r="J323" s="1948">
        <v>181.32</v>
      </c>
      <c r="K323" s="1948">
        <v>0.66420000000000001</v>
      </c>
      <c r="L323" s="1948">
        <v>13.26</v>
      </c>
      <c r="M323" s="1948">
        <v>17315</v>
      </c>
      <c r="N323" s="1948">
        <f t="shared" si="60"/>
        <v>78330</v>
      </c>
      <c r="O323" s="1948">
        <f t="shared" si="61"/>
        <v>0</v>
      </c>
      <c r="P323" s="1948">
        <v>202</v>
      </c>
      <c r="Q323" s="1948">
        <v>165.83999999999997</v>
      </c>
      <c r="R323" s="1948">
        <v>165.84</v>
      </c>
      <c r="S323" s="1948">
        <v>0.65669999999999995</v>
      </c>
      <c r="T323" s="1948">
        <v>18.53</v>
      </c>
      <c r="U323" s="1948">
        <v>22860</v>
      </c>
      <c r="V323" s="1948">
        <f t="shared" si="62"/>
        <v>74031</v>
      </c>
      <c r="W323" s="1948">
        <f t="shared" si="63"/>
        <v>0</v>
      </c>
      <c r="X323" s="1948">
        <v>202</v>
      </c>
      <c r="Y323" s="1948">
        <v>147.36000000000001</v>
      </c>
      <c r="Z323" s="1948">
        <v>161.6</v>
      </c>
      <c r="AA323" s="1948">
        <v>0.60170000000000001</v>
      </c>
      <c r="AB323" s="1948">
        <v>7.72</v>
      </c>
      <c r="AC323" s="1948">
        <v>8189</v>
      </c>
      <c r="AD323" s="1948">
        <f t="shared" si="64"/>
        <v>63660</v>
      </c>
      <c r="AE323" s="1948">
        <f t="shared" si="65"/>
        <v>0</v>
      </c>
      <c r="AF323" s="1948">
        <v>202</v>
      </c>
      <c r="AG323" s="1948">
        <v>163.44</v>
      </c>
      <c r="AH323" s="1948">
        <v>163.44</v>
      </c>
      <c r="AI323" s="1948">
        <v>0.55379999999999996</v>
      </c>
      <c r="AJ323" s="1948">
        <v>4.92</v>
      </c>
      <c r="AK323" s="1948">
        <v>5982</v>
      </c>
      <c r="AL323" s="1948">
        <f t="shared" si="66"/>
        <v>72960</v>
      </c>
      <c r="AM323" s="1948">
        <f t="shared" si="67"/>
        <v>0</v>
      </c>
      <c r="AN323" s="1948">
        <v>202</v>
      </c>
      <c r="AO323" s="1948">
        <v>182.28</v>
      </c>
      <c r="AP323" s="1948">
        <v>182.28</v>
      </c>
      <c r="AQ323" s="1948">
        <v>0.65229999999999999</v>
      </c>
      <c r="AR323" s="1948">
        <v>9.17</v>
      </c>
      <c r="AS323" s="1948">
        <v>12440</v>
      </c>
      <c r="AT323" s="1948">
        <f t="shared" si="68"/>
        <v>81370</v>
      </c>
      <c r="AU323" s="1948">
        <f t="shared" si="69"/>
        <v>0</v>
      </c>
      <c r="AV323" s="1948">
        <v>202</v>
      </c>
      <c r="AW323" s="1948">
        <v>182.64000000000001</v>
      </c>
      <c r="AX323" s="1948">
        <v>182.64</v>
      </c>
      <c r="AY323" s="1948">
        <v>0.67169999999999996</v>
      </c>
      <c r="AZ323" s="1948">
        <v>14.25</v>
      </c>
      <c r="BA323" s="1948">
        <v>18739</v>
      </c>
      <c r="BB323" s="1948">
        <f t="shared" si="70"/>
        <v>78900</v>
      </c>
      <c r="BC323" s="1948">
        <f t="shared" si="71"/>
        <v>0</v>
      </c>
      <c r="BD323" s="1949">
        <v>202</v>
      </c>
      <c r="BE323" s="1948">
        <v>201.72</v>
      </c>
      <c r="BF323" s="1949">
        <v>201.72</v>
      </c>
      <c r="BG323" s="1949">
        <v>0.65800000000000003</v>
      </c>
      <c r="BH323" s="1949">
        <v>15.46</v>
      </c>
      <c r="BI323" s="1948">
        <v>23205</v>
      </c>
      <c r="BJ323" s="1948">
        <f t="shared" si="72"/>
        <v>90048</v>
      </c>
      <c r="BK323" s="1948">
        <f t="shared" si="73"/>
        <v>0</v>
      </c>
    </row>
    <row r="324" spans="1:63" ht="15">
      <c r="A324" s="1946">
        <v>622000000160</v>
      </c>
      <c r="B324" s="1947">
        <f t="shared" si="74"/>
        <v>318</v>
      </c>
      <c r="C324" s="1906" t="s">
        <v>3196</v>
      </c>
      <c r="D324" s="1907" t="s">
        <v>524</v>
      </c>
      <c r="E324" s="1906" t="s">
        <v>737</v>
      </c>
      <c r="F324" s="1948" t="s">
        <v>259</v>
      </c>
      <c r="G324" s="1949">
        <v>204</v>
      </c>
      <c r="H324" s="1948">
        <v>204</v>
      </c>
      <c r="I324" s="1950">
        <v>59.88</v>
      </c>
      <c r="J324" s="1948">
        <v>163.19999999999999</v>
      </c>
      <c r="K324" s="1948">
        <v>0.97940000000000005</v>
      </c>
      <c r="L324" s="1948">
        <v>21.56</v>
      </c>
      <c r="M324" s="1948">
        <v>9294</v>
      </c>
      <c r="N324" s="1948">
        <f t="shared" si="60"/>
        <v>25868</v>
      </c>
      <c r="O324" s="1948">
        <f t="shared" si="61"/>
        <v>0</v>
      </c>
      <c r="P324" s="1948">
        <v>204</v>
      </c>
      <c r="Q324" s="1948">
        <v>67.44</v>
      </c>
      <c r="R324" s="1948">
        <v>163.19999999999999</v>
      </c>
      <c r="S324" s="1948">
        <v>0.97340000000000004</v>
      </c>
      <c r="T324" s="1948">
        <v>19.79</v>
      </c>
      <c r="U324" s="1948">
        <v>9932</v>
      </c>
      <c r="V324" s="1948">
        <f t="shared" si="62"/>
        <v>30105</v>
      </c>
      <c r="W324" s="1948">
        <f t="shared" si="63"/>
        <v>0</v>
      </c>
      <c r="X324" s="1948">
        <v>204</v>
      </c>
      <c r="Y324" s="1948">
        <v>69.36</v>
      </c>
      <c r="Z324" s="1948">
        <v>163.19999999999999</v>
      </c>
      <c r="AA324" s="1948">
        <v>0.96150000000000002</v>
      </c>
      <c r="AB324" s="1948">
        <v>18.95</v>
      </c>
      <c r="AC324" s="1948">
        <v>9462</v>
      </c>
      <c r="AD324" s="1948">
        <f t="shared" si="64"/>
        <v>29964</v>
      </c>
      <c r="AE324" s="1948">
        <f t="shared" si="65"/>
        <v>0</v>
      </c>
      <c r="AF324" s="1948">
        <v>204</v>
      </c>
      <c r="AG324" s="1948">
        <v>51.000000000000007</v>
      </c>
      <c r="AH324" s="1948">
        <v>163.19999999999999</v>
      </c>
      <c r="AI324" s="1948">
        <v>0.94620000000000004</v>
      </c>
      <c r="AJ324" s="1948">
        <v>24.85</v>
      </c>
      <c r="AK324" s="1948">
        <v>9428</v>
      </c>
      <c r="AL324" s="1948">
        <f t="shared" si="66"/>
        <v>22766</v>
      </c>
      <c r="AM324" s="1948">
        <f t="shared" si="67"/>
        <v>0</v>
      </c>
      <c r="AN324" s="1948">
        <v>204</v>
      </c>
      <c r="AO324" s="1948">
        <v>40.800000000000004</v>
      </c>
      <c r="AP324" s="1948">
        <v>163.19999999999999</v>
      </c>
      <c r="AQ324" s="1948">
        <v>0.96650000000000003</v>
      </c>
      <c r="AR324" s="1948">
        <v>24.89</v>
      </c>
      <c r="AS324" s="1948">
        <v>7555</v>
      </c>
      <c r="AT324" s="1948">
        <f t="shared" si="68"/>
        <v>18213</v>
      </c>
      <c r="AU324" s="1948">
        <f t="shared" si="69"/>
        <v>0</v>
      </c>
      <c r="AV324" s="1948">
        <v>204</v>
      </c>
      <c r="AW324" s="1948">
        <v>34.44</v>
      </c>
      <c r="AX324" s="1948">
        <v>163.19999999999999</v>
      </c>
      <c r="AY324" s="1948">
        <v>0.96860000000000002</v>
      </c>
      <c r="AZ324" s="1948">
        <v>25.96</v>
      </c>
      <c r="BA324" s="1948">
        <v>6438</v>
      </c>
      <c r="BB324" s="1948">
        <f t="shared" si="70"/>
        <v>14878</v>
      </c>
      <c r="BC324" s="1948">
        <f t="shared" si="71"/>
        <v>0</v>
      </c>
      <c r="BD324" s="1949">
        <v>204</v>
      </c>
      <c r="BE324" s="1948">
        <v>36.96</v>
      </c>
      <c r="BF324" s="1949">
        <v>163.19999999999999</v>
      </c>
      <c r="BG324" s="1949">
        <v>0.93320000000000003</v>
      </c>
      <c r="BH324" s="1949">
        <v>24.63</v>
      </c>
      <c r="BI324" s="1948">
        <v>6773</v>
      </c>
      <c r="BJ324" s="1948">
        <f t="shared" si="72"/>
        <v>16499</v>
      </c>
      <c r="BK324" s="1948">
        <f t="shared" si="73"/>
        <v>0</v>
      </c>
    </row>
    <row r="325" spans="1:63" ht="15">
      <c r="A325" s="1946">
        <v>125000000005</v>
      </c>
      <c r="B325" s="1947">
        <f t="shared" si="74"/>
        <v>319</v>
      </c>
      <c r="C325" s="1906" t="s">
        <v>3197</v>
      </c>
      <c r="D325" s="1907" t="s">
        <v>524</v>
      </c>
      <c r="E325" s="1906" t="s">
        <v>2966</v>
      </c>
      <c r="F325" s="1948" t="s">
        <v>259</v>
      </c>
      <c r="G325" s="1949">
        <v>205</v>
      </c>
      <c r="H325" s="1948">
        <v>205</v>
      </c>
      <c r="I325" s="1950">
        <v>147</v>
      </c>
      <c r="J325" s="1948">
        <v>205</v>
      </c>
      <c r="K325" s="1948">
        <v>0.96299999999999997</v>
      </c>
      <c r="L325" s="1948">
        <v>0</v>
      </c>
      <c r="M325" s="1948">
        <v>76140</v>
      </c>
      <c r="N325" s="1948">
        <f t="shared" si="60"/>
        <v>63504</v>
      </c>
      <c r="O325" s="1948">
        <f t="shared" si="61"/>
        <v>12636</v>
      </c>
      <c r="P325" s="1948">
        <v>205</v>
      </c>
      <c r="Q325" s="1948">
        <v>144.6</v>
      </c>
      <c r="R325" s="1948">
        <v>205</v>
      </c>
      <c r="S325" s="1948">
        <v>0.95750000000000002</v>
      </c>
      <c r="T325" s="1948">
        <v>0</v>
      </c>
      <c r="U325" s="1948">
        <v>76628</v>
      </c>
      <c r="V325" s="1948">
        <f t="shared" si="62"/>
        <v>64549</v>
      </c>
      <c r="W325" s="1948">
        <f t="shared" si="63"/>
        <v>12079</v>
      </c>
      <c r="X325" s="1948">
        <v>205</v>
      </c>
      <c r="Y325" s="1948">
        <v>146.4</v>
      </c>
      <c r="Z325" s="1948">
        <v>205</v>
      </c>
      <c r="AA325" s="1948">
        <v>0.95379999999999998</v>
      </c>
      <c r="AB325" s="1948">
        <v>0</v>
      </c>
      <c r="AC325" s="1948">
        <v>72232</v>
      </c>
      <c r="AD325" s="1948">
        <f t="shared" si="64"/>
        <v>63245</v>
      </c>
      <c r="AE325" s="1948">
        <f t="shared" si="65"/>
        <v>8987</v>
      </c>
      <c r="AF325" s="1948">
        <v>205</v>
      </c>
      <c r="AG325" s="1948">
        <v>208.20000000000002</v>
      </c>
      <c r="AH325" s="1948">
        <v>208.2</v>
      </c>
      <c r="AI325" s="1948">
        <v>0.9204</v>
      </c>
      <c r="AJ325" s="1948">
        <v>0</v>
      </c>
      <c r="AK325" s="1948">
        <v>109478</v>
      </c>
      <c r="AL325" s="1948">
        <f t="shared" si="66"/>
        <v>92940</v>
      </c>
      <c r="AM325" s="1948">
        <f t="shared" si="67"/>
        <v>16538</v>
      </c>
      <c r="AN325" s="1948">
        <v>205</v>
      </c>
      <c r="AO325" s="1948">
        <v>230.39999999999998</v>
      </c>
      <c r="AP325" s="1948">
        <v>230.4</v>
      </c>
      <c r="AQ325" s="1948">
        <v>0.92549999999999999</v>
      </c>
      <c r="AR325" s="1948">
        <v>0</v>
      </c>
      <c r="AS325" s="1948">
        <v>122700</v>
      </c>
      <c r="AT325" s="1948">
        <f t="shared" si="68"/>
        <v>102851</v>
      </c>
      <c r="AU325" s="1948">
        <f t="shared" si="69"/>
        <v>19849</v>
      </c>
      <c r="AV325" s="1948">
        <v>205</v>
      </c>
      <c r="AW325" s="1948">
        <v>234.60000000000002</v>
      </c>
      <c r="AX325" s="1948">
        <v>234.6</v>
      </c>
      <c r="AY325" s="1948">
        <v>0.93</v>
      </c>
      <c r="AZ325" s="1948">
        <v>0</v>
      </c>
      <c r="BA325" s="1948">
        <v>129893</v>
      </c>
      <c r="BB325" s="1948">
        <f t="shared" si="70"/>
        <v>101347</v>
      </c>
      <c r="BC325" s="1948">
        <f t="shared" si="71"/>
        <v>28546</v>
      </c>
      <c r="BD325" s="1949">
        <v>205</v>
      </c>
      <c r="BE325" s="1948">
        <v>244.8</v>
      </c>
      <c r="BF325" s="1949">
        <v>244.8</v>
      </c>
      <c r="BG325" s="1949">
        <v>0.93669999999999998</v>
      </c>
      <c r="BH325" s="1949">
        <v>0</v>
      </c>
      <c r="BI325" s="1948">
        <v>126592</v>
      </c>
      <c r="BJ325" s="1948">
        <f t="shared" si="72"/>
        <v>109279</v>
      </c>
      <c r="BK325" s="1948">
        <f t="shared" si="73"/>
        <v>17313</v>
      </c>
    </row>
    <row r="326" spans="1:63" ht="15">
      <c r="A326" s="1946">
        <v>621000000062</v>
      </c>
      <c r="B326" s="1947">
        <f t="shared" si="74"/>
        <v>320</v>
      </c>
      <c r="C326" s="1906" t="s">
        <v>3198</v>
      </c>
      <c r="D326" s="1907" t="s">
        <v>524</v>
      </c>
      <c r="E326" s="1906" t="s">
        <v>541</v>
      </c>
      <c r="F326" s="1948" t="s">
        <v>259</v>
      </c>
      <c r="G326" s="1949">
        <v>205</v>
      </c>
      <c r="H326" s="1948">
        <v>205</v>
      </c>
      <c r="I326" s="1950">
        <v>72.319999999999993</v>
      </c>
      <c r="J326" s="1948">
        <v>164</v>
      </c>
      <c r="K326" s="1948">
        <v>0.6502</v>
      </c>
      <c r="L326" s="1948">
        <v>11.29</v>
      </c>
      <c r="M326" s="1948">
        <v>5684</v>
      </c>
      <c r="N326" s="1948">
        <f t="shared" si="60"/>
        <v>31242</v>
      </c>
      <c r="O326" s="1948">
        <f t="shared" si="61"/>
        <v>0</v>
      </c>
      <c r="P326" s="1948">
        <v>205</v>
      </c>
      <c r="Q326" s="1948">
        <v>64.48</v>
      </c>
      <c r="R326" s="1948">
        <v>164</v>
      </c>
      <c r="S326" s="1948">
        <v>0.64419999999999999</v>
      </c>
      <c r="T326" s="1948">
        <v>12.15</v>
      </c>
      <c r="U326" s="1948">
        <v>6016</v>
      </c>
      <c r="V326" s="1948">
        <f t="shared" si="62"/>
        <v>28784</v>
      </c>
      <c r="W326" s="1948">
        <f t="shared" si="63"/>
        <v>0</v>
      </c>
      <c r="X326" s="1948">
        <v>205</v>
      </c>
      <c r="Y326" s="1948">
        <v>51.359999999999992</v>
      </c>
      <c r="Z326" s="1948">
        <v>164</v>
      </c>
      <c r="AA326" s="1948">
        <v>0.53029999999999999</v>
      </c>
      <c r="AB326" s="1948">
        <v>7.13</v>
      </c>
      <c r="AC326" s="1948">
        <v>2636</v>
      </c>
      <c r="AD326" s="1948">
        <f t="shared" si="64"/>
        <v>22188</v>
      </c>
      <c r="AE326" s="1948">
        <f t="shared" si="65"/>
        <v>0</v>
      </c>
      <c r="AF326" s="1948">
        <v>205</v>
      </c>
      <c r="AG326" s="1948">
        <v>69.760000000000005</v>
      </c>
      <c r="AH326" s="1948">
        <v>164</v>
      </c>
      <c r="AI326" s="1948">
        <v>0.41699999999999998</v>
      </c>
      <c r="AJ326" s="1948">
        <v>3.71</v>
      </c>
      <c r="AK326" s="1948">
        <v>1928</v>
      </c>
      <c r="AL326" s="1948">
        <f t="shared" si="66"/>
        <v>31141</v>
      </c>
      <c r="AM326" s="1948">
        <f t="shared" si="67"/>
        <v>0</v>
      </c>
      <c r="AN326" s="1948">
        <v>205</v>
      </c>
      <c r="AO326" s="1948">
        <v>69.760000000000005</v>
      </c>
      <c r="AP326" s="1948">
        <v>164</v>
      </c>
      <c r="AQ326" s="1948">
        <v>0.497</v>
      </c>
      <c r="AR326" s="1948">
        <v>5.89</v>
      </c>
      <c r="AS326" s="1948">
        <v>3058</v>
      </c>
      <c r="AT326" s="1948">
        <f t="shared" si="68"/>
        <v>31141</v>
      </c>
      <c r="AU326" s="1948">
        <f t="shared" si="69"/>
        <v>0</v>
      </c>
      <c r="AV326" s="1948">
        <v>205</v>
      </c>
      <c r="AW326" s="1948">
        <v>70.08</v>
      </c>
      <c r="AX326" s="1948">
        <v>164</v>
      </c>
      <c r="AY326" s="1948">
        <v>0.46600000000000003</v>
      </c>
      <c r="AZ326" s="1948">
        <v>3.21</v>
      </c>
      <c r="BA326" s="1948">
        <v>1622</v>
      </c>
      <c r="BB326" s="1948">
        <f t="shared" si="70"/>
        <v>30275</v>
      </c>
      <c r="BC326" s="1948">
        <f t="shared" si="71"/>
        <v>0</v>
      </c>
      <c r="BD326" s="1949">
        <v>205</v>
      </c>
      <c r="BE326" s="1948">
        <v>14.879999999999999</v>
      </c>
      <c r="BF326" s="1949">
        <v>164</v>
      </c>
      <c r="BG326" s="1949">
        <v>0.47949999999999998</v>
      </c>
      <c r="BH326" s="1949">
        <v>11.91</v>
      </c>
      <c r="BI326" s="1948">
        <v>1318</v>
      </c>
      <c r="BJ326" s="1948">
        <f t="shared" si="72"/>
        <v>6642</v>
      </c>
      <c r="BK326" s="1948">
        <f t="shared" si="73"/>
        <v>0</v>
      </c>
    </row>
    <row r="327" spans="1:63" ht="15">
      <c r="A327" s="1946">
        <v>123000000115</v>
      </c>
      <c r="B327" s="1947">
        <f t="shared" si="74"/>
        <v>321</v>
      </c>
      <c r="C327" s="1906" t="s">
        <v>3199</v>
      </c>
      <c r="D327" s="1907" t="s">
        <v>524</v>
      </c>
      <c r="E327" s="1906" t="s">
        <v>541</v>
      </c>
      <c r="F327" s="1948" t="s">
        <v>259</v>
      </c>
      <c r="G327" s="1949">
        <v>206</v>
      </c>
      <c r="H327" s="1948">
        <v>206</v>
      </c>
      <c r="I327" s="1950">
        <v>74.28</v>
      </c>
      <c r="J327" s="1948">
        <v>164.8</v>
      </c>
      <c r="K327" s="1948">
        <v>0.84389999999999998</v>
      </c>
      <c r="L327" s="1948">
        <v>34.5</v>
      </c>
      <c r="M327" s="1948">
        <v>18450</v>
      </c>
      <c r="N327" s="1948">
        <f t="shared" ref="N327:N390" si="75">+ROUND(24*30*0.6*I327,0)</f>
        <v>32089</v>
      </c>
      <c r="O327" s="1948">
        <f t="shared" ref="O327:O390" si="76">+MAX((M327-N327),0)</f>
        <v>0</v>
      </c>
      <c r="P327" s="1948">
        <v>206</v>
      </c>
      <c r="Q327" s="1948">
        <v>154.56</v>
      </c>
      <c r="R327" s="1948">
        <v>164.8</v>
      </c>
      <c r="S327" s="1948">
        <v>0.90739999999999998</v>
      </c>
      <c r="T327" s="1948">
        <v>26.5</v>
      </c>
      <c r="U327" s="1948">
        <v>30468</v>
      </c>
      <c r="V327" s="1948">
        <f t="shared" ref="V327:V390" si="77">+ROUND(24*31*0.6*Q327,0)</f>
        <v>68996</v>
      </c>
      <c r="W327" s="1948">
        <f t="shared" ref="W327:W390" si="78">+MAX((U327-V327),0)</f>
        <v>0</v>
      </c>
      <c r="X327" s="1948">
        <v>206</v>
      </c>
      <c r="Y327" s="1948">
        <v>162.12</v>
      </c>
      <c r="Z327" s="1948">
        <v>164.8</v>
      </c>
      <c r="AA327" s="1948">
        <v>0.90239999999999998</v>
      </c>
      <c r="AB327" s="1948">
        <v>52.28</v>
      </c>
      <c r="AC327" s="1948">
        <v>61026</v>
      </c>
      <c r="AD327" s="1948">
        <f t="shared" ref="AD327:AD390" si="79">+ROUND(24*30*0.6*Y327,0)</f>
        <v>70036</v>
      </c>
      <c r="AE327" s="1948">
        <f t="shared" ref="AE327:AE390" si="80">+MAX((AC327-AD327),0)</f>
        <v>0</v>
      </c>
      <c r="AF327" s="1948">
        <v>206</v>
      </c>
      <c r="AG327" s="1948">
        <v>153.72</v>
      </c>
      <c r="AH327" s="1948">
        <v>164.8</v>
      </c>
      <c r="AI327" s="1948">
        <v>0.91930000000000001</v>
      </c>
      <c r="AJ327" s="1948">
        <v>39.82</v>
      </c>
      <c r="AK327" s="1948">
        <v>45536</v>
      </c>
      <c r="AL327" s="1948">
        <f t="shared" ref="AL327:AL390" si="81">+ROUND(24*31*0.6*AG327,0)</f>
        <v>68621</v>
      </c>
      <c r="AM327" s="1948">
        <f t="shared" ref="AM327:AM390" si="82">+MAX((AK327-AL327),0)</f>
        <v>0</v>
      </c>
      <c r="AN327" s="1948">
        <v>206</v>
      </c>
      <c r="AO327" s="1948">
        <v>147.96</v>
      </c>
      <c r="AP327" s="1948">
        <v>164.8</v>
      </c>
      <c r="AQ327" s="1948">
        <v>0.90890000000000004</v>
      </c>
      <c r="AR327" s="1948">
        <v>29.72</v>
      </c>
      <c r="AS327" s="1948">
        <v>32721</v>
      </c>
      <c r="AT327" s="1948">
        <f t="shared" ref="AT327:AT390" si="83">+ROUND(24*31*0.6*AO327,0)</f>
        <v>66049</v>
      </c>
      <c r="AU327" s="1948">
        <f t="shared" ref="AU327:AU390" si="84">+MAX((AS327-AT327),0)</f>
        <v>0</v>
      </c>
      <c r="AV327" s="1948">
        <v>206</v>
      </c>
      <c r="AW327" s="1948">
        <v>148.80000000000001</v>
      </c>
      <c r="AX327" s="1948">
        <v>164.8</v>
      </c>
      <c r="AY327" s="1948">
        <v>0.89080000000000004</v>
      </c>
      <c r="AZ327" s="1948">
        <v>30.26</v>
      </c>
      <c r="BA327" s="1948">
        <v>32414</v>
      </c>
      <c r="BB327" s="1948">
        <f t="shared" ref="BB327:BB390" si="85">+ROUND(24*30*0.6*AW327,0)</f>
        <v>64282</v>
      </c>
      <c r="BC327" s="1948">
        <f t="shared" ref="BC327:BC390" si="86">+MAX((BA327-BB327),0)</f>
        <v>0</v>
      </c>
      <c r="BD327" s="1949">
        <v>206</v>
      </c>
      <c r="BE327" s="1948">
        <v>155.76</v>
      </c>
      <c r="BF327" s="1949">
        <v>164.8</v>
      </c>
      <c r="BG327" s="1949">
        <v>0.9083</v>
      </c>
      <c r="BH327" s="1949">
        <v>23.3</v>
      </c>
      <c r="BI327" s="1948">
        <v>27001</v>
      </c>
      <c r="BJ327" s="1948">
        <f t="shared" ref="BJ327:BJ390" si="87">+ROUND(24*31*0.6*BE327,0)</f>
        <v>69531</v>
      </c>
      <c r="BK327" s="1948">
        <f t="shared" ref="BK327:BK390" si="88">+MAX((BI327-BJ327),0)</f>
        <v>0</v>
      </c>
    </row>
    <row r="328" spans="1:63" ht="15">
      <c r="A328" s="1946">
        <v>611000000082</v>
      </c>
      <c r="B328" s="1947">
        <f t="shared" si="74"/>
        <v>322</v>
      </c>
      <c r="C328" s="1906" t="s">
        <v>3200</v>
      </c>
      <c r="D328" s="1907" t="s">
        <v>524</v>
      </c>
      <c r="E328" s="1906" t="s">
        <v>636</v>
      </c>
      <c r="F328" s="1948" t="s">
        <v>259</v>
      </c>
      <c r="G328" s="1949">
        <v>206</v>
      </c>
      <c r="H328" s="1948">
        <v>206</v>
      </c>
      <c r="I328" s="1950">
        <v>197.51999999999998</v>
      </c>
      <c r="J328" s="1948">
        <v>197.52</v>
      </c>
      <c r="K328" s="1948">
        <v>0.9304</v>
      </c>
      <c r="L328" s="1948">
        <v>36.08</v>
      </c>
      <c r="M328" s="1948">
        <v>51312</v>
      </c>
      <c r="N328" s="1948">
        <f t="shared" si="75"/>
        <v>85329</v>
      </c>
      <c r="O328" s="1948">
        <f t="shared" si="76"/>
        <v>0</v>
      </c>
      <c r="P328" s="1948">
        <v>206</v>
      </c>
      <c r="Q328" s="1948">
        <v>230.4</v>
      </c>
      <c r="R328" s="1948">
        <v>230.4</v>
      </c>
      <c r="S328" s="1948">
        <v>0.93659999999999999</v>
      </c>
      <c r="T328" s="1948">
        <v>32.24</v>
      </c>
      <c r="U328" s="1948">
        <v>55269</v>
      </c>
      <c r="V328" s="1948">
        <f t="shared" si="77"/>
        <v>102851</v>
      </c>
      <c r="W328" s="1948">
        <f t="shared" si="78"/>
        <v>0</v>
      </c>
      <c r="X328" s="1948">
        <v>206</v>
      </c>
      <c r="Y328" s="1948">
        <v>225.6</v>
      </c>
      <c r="Z328" s="1948">
        <v>225.6</v>
      </c>
      <c r="AA328" s="1948">
        <v>0.92400000000000004</v>
      </c>
      <c r="AB328" s="1948">
        <v>36.5</v>
      </c>
      <c r="AC328" s="1948">
        <v>59292</v>
      </c>
      <c r="AD328" s="1948">
        <f t="shared" si="79"/>
        <v>97459</v>
      </c>
      <c r="AE328" s="1948">
        <f t="shared" si="80"/>
        <v>0</v>
      </c>
      <c r="AF328" s="1948">
        <v>206</v>
      </c>
      <c r="AG328" s="1948">
        <v>181.44</v>
      </c>
      <c r="AH328" s="1948">
        <v>181.44</v>
      </c>
      <c r="AI328" s="1948">
        <v>0.93200000000000005</v>
      </c>
      <c r="AJ328" s="1948">
        <v>37.18</v>
      </c>
      <c r="AK328" s="1948">
        <v>50184</v>
      </c>
      <c r="AL328" s="1948">
        <f t="shared" si="81"/>
        <v>80995</v>
      </c>
      <c r="AM328" s="1948">
        <f t="shared" si="82"/>
        <v>0</v>
      </c>
      <c r="AN328" s="1948">
        <v>206</v>
      </c>
      <c r="AO328" s="1948">
        <v>234.24</v>
      </c>
      <c r="AP328" s="1948">
        <v>234.24</v>
      </c>
      <c r="AQ328" s="1948">
        <v>0.91969999999999996</v>
      </c>
      <c r="AR328" s="1948">
        <v>28.3</v>
      </c>
      <c r="AS328" s="1948">
        <v>49326</v>
      </c>
      <c r="AT328" s="1948">
        <f t="shared" si="83"/>
        <v>104565</v>
      </c>
      <c r="AU328" s="1948">
        <f t="shared" si="84"/>
        <v>0</v>
      </c>
      <c r="AV328" s="1948">
        <v>206</v>
      </c>
      <c r="AW328" s="1948">
        <v>191.04000000000002</v>
      </c>
      <c r="AX328" s="1948">
        <v>191.04</v>
      </c>
      <c r="AY328" s="1948">
        <v>0.92110000000000003</v>
      </c>
      <c r="AZ328" s="1948">
        <v>34.94</v>
      </c>
      <c r="BA328" s="1948">
        <v>48060</v>
      </c>
      <c r="BB328" s="1948">
        <f t="shared" si="85"/>
        <v>82529</v>
      </c>
      <c r="BC328" s="1948">
        <f t="shared" si="86"/>
        <v>0</v>
      </c>
      <c r="BD328" s="1949">
        <v>206</v>
      </c>
      <c r="BE328" s="1948">
        <v>175.2</v>
      </c>
      <c r="BF328" s="1949">
        <v>175.2</v>
      </c>
      <c r="BG328" s="1949">
        <v>0.91159999999999997</v>
      </c>
      <c r="BH328" s="1949">
        <v>31.51</v>
      </c>
      <c r="BI328" s="1948">
        <v>41073</v>
      </c>
      <c r="BJ328" s="1948">
        <f t="shared" si="87"/>
        <v>78209</v>
      </c>
      <c r="BK328" s="1948">
        <f t="shared" si="88"/>
        <v>0</v>
      </c>
    </row>
    <row r="329" spans="1:63" ht="15">
      <c r="A329" s="1946">
        <v>613000000031</v>
      </c>
      <c r="B329" s="1947">
        <f t="shared" ref="B329:B392" si="89">+B328+1</f>
        <v>323</v>
      </c>
      <c r="C329" s="1906" t="s">
        <v>3202</v>
      </c>
      <c r="D329" s="1907" t="s">
        <v>524</v>
      </c>
      <c r="E329" s="1906" t="s">
        <v>541</v>
      </c>
      <c r="F329" s="1948" t="s">
        <v>259</v>
      </c>
      <c r="G329" s="1949">
        <v>207</v>
      </c>
      <c r="H329" s="1948">
        <v>207</v>
      </c>
      <c r="I329" s="1950">
        <v>227.68</v>
      </c>
      <c r="J329" s="1948">
        <v>227.68</v>
      </c>
      <c r="K329" s="1948">
        <v>0.76749999999999996</v>
      </c>
      <c r="L329" s="1948">
        <v>20.440000000000001</v>
      </c>
      <c r="M329" s="1948">
        <v>33511</v>
      </c>
      <c r="N329" s="1948">
        <f t="shared" si="75"/>
        <v>98358</v>
      </c>
      <c r="O329" s="1948">
        <f t="shared" si="76"/>
        <v>0</v>
      </c>
      <c r="P329" s="1948">
        <v>207</v>
      </c>
      <c r="Q329" s="1948">
        <v>236.07999999999998</v>
      </c>
      <c r="R329" s="1948">
        <v>236.08</v>
      </c>
      <c r="S329" s="1948">
        <v>0.78639999999999999</v>
      </c>
      <c r="T329" s="1948">
        <v>19.47</v>
      </c>
      <c r="U329" s="1948">
        <v>34201</v>
      </c>
      <c r="V329" s="1948">
        <f t="shared" si="77"/>
        <v>105386</v>
      </c>
      <c r="W329" s="1948">
        <f t="shared" si="78"/>
        <v>0</v>
      </c>
      <c r="X329" s="1948">
        <v>207</v>
      </c>
      <c r="Y329" s="1948">
        <v>227.2</v>
      </c>
      <c r="Z329" s="1948">
        <v>227.2</v>
      </c>
      <c r="AA329" s="1948">
        <v>0.76619999999999999</v>
      </c>
      <c r="AB329" s="1948">
        <v>14.33</v>
      </c>
      <c r="AC329" s="1948">
        <v>23444</v>
      </c>
      <c r="AD329" s="1948">
        <f t="shared" si="79"/>
        <v>98150</v>
      </c>
      <c r="AE329" s="1948">
        <f t="shared" si="80"/>
        <v>0</v>
      </c>
      <c r="AF329" s="1948">
        <v>207</v>
      </c>
      <c r="AG329" s="1948">
        <v>217.51999999999998</v>
      </c>
      <c r="AH329" s="1948">
        <v>217.52</v>
      </c>
      <c r="AI329" s="1948">
        <v>0.74560000000000004</v>
      </c>
      <c r="AJ329" s="1948">
        <v>6.46</v>
      </c>
      <c r="AK329" s="1948">
        <v>10451</v>
      </c>
      <c r="AL329" s="1948">
        <f t="shared" si="81"/>
        <v>97101</v>
      </c>
      <c r="AM329" s="1948">
        <f t="shared" si="82"/>
        <v>0</v>
      </c>
      <c r="AN329" s="1948">
        <v>207</v>
      </c>
      <c r="AO329" s="1948">
        <v>66.239999999999995</v>
      </c>
      <c r="AP329" s="1948">
        <v>165.6</v>
      </c>
      <c r="AQ329" s="1948">
        <v>0.57040000000000002</v>
      </c>
      <c r="AR329" s="1948">
        <v>6.63</v>
      </c>
      <c r="AS329" s="1948">
        <v>3266</v>
      </c>
      <c r="AT329" s="1948">
        <f t="shared" si="83"/>
        <v>29570</v>
      </c>
      <c r="AU329" s="1948">
        <f t="shared" si="84"/>
        <v>0</v>
      </c>
      <c r="AV329" s="1948">
        <v>207</v>
      </c>
      <c r="AW329" s="1948">
        <v>187.44</v>
      </c>
      <c r="AX329" s="1948">
        <v>187.44</v>
      </c>
      <c r="AY329" s="1948">
        <v>0.63560000000000005</v>
      </c>
      <c r="AZ329" s="1948">
        <v>3.87</v>
      </c>
      <c r="BA329" s="1948">
        <v>5218</v>
      </c>
      <c r="BB329" s="1948">
        <f t="shared" si="85"/>
        <v>80974</v>
      </c>
      <c r="BC329" s="1948">
        <f t="shared" si="86"/>
        <v>0</v>
      </c>
      <c r="BD329" s="1949">
        <v>207</v>
      </c>
      <c r="BE329" s="1948">
        <v>234</v>
      </c>
      <c r="BF329" s="1949">
        <v>234</v>
      </c>
      <c r="BG329" s="1949">
        <v>0.68320000000000003</v>
      </c>
      <c r="BH329" s="1949">
        <v>5.98</v>
      </c>
      <c r="BI329" s="1948">
        <v>10412</v>
      </c>
      <c r="BJ329" s="1948">
        <f t="shared" si="87"/>
        <v>104458</v>
      </c>
      <c r="BK329" s="1948">
        <f t="shared" si="88"/>
        <v>0</v>
      </c>
    </row>
    <row r="330" spans="1:63" ht="15">
      <c r="A330" s="1946">
        <v>613000000035</v>
      </c>
      <c r="B330" s="1947">
        <f t="shared" si="89"/>
        <v>324</v>
      </c>
      <c r="C330" s="1906" t="s">
        <v>3201</v>
      </c>
      <c r="D330" s="1907" t="s">
        <v>524</v>
      </c>
      <c r="E330" s="1906" t="s">
        <v>730</v>
      </c>
      <c r="F330" s="1948" t="s">
        <v>259</v>
      </c>
      <c r="G330" s="1949">
        <v>207</v>
      </c>
      <c r="H330" s="1948">
        <v>207</v>
      </c>
      <c r="I330" s="1950">
        <v>165.92</v>
      </c>
      <c r="J330" s="1948">
        <v>165.92</v>
      </c>
      <c r="K330" s="1948">
        <v>0.90969999999999995</v>
      </c>
      <c r="L330" s="1948">
        <v>48.56</v>
      </c>
      <c r="M330" s="1948">
        <v>58014</v>
      </c>
      <c r="N330" s="1948">
        <f t="shared" si="75"/>
        <v>71677</v>
      </c>
      <c r="O330" s="1948">
        <f t="shared" si="76"/>
        <v>0</v>
      </c>
      <c r="P330" s="1948">
        <v>207</v>
      </c>
      <c r="Q330" s="1948">
        <v>187.68</v>
      </c>
      <c r="R330" s="1948">
        <v>187.68</v>
      </c>
      <c r="S330" s="1948">
        <v>0.90439999999999998</v>
      </c>
      <c r="T330" s="1948">
        <v>39.03</v>
      </c>
      <c r="U330" s="1948">
        <v>54498</v>
      </c>
      <c r="V330" s="1948">
        <f t="shared" si="77"/>
        <v>83780</v>
      </c>
      <c r="W330" s="1948">
        <f t="shared" si="78"/>
        <v>0</v>
      </c>
      <c r="X330" s="1948">
        <v>207</v>
      </c>
      <c r="Y330" s="1948">
        <v>181.76000000000002</v>
      </c>
      <c r="Z330" s="1948">
        <v>181.76</v>
      </c>
      <c r="AA330" s="1948">
        <v>0.88719999999999999</v>
      </c>
      <c r="AB330" s="1948">
        <v>47.34</v>
      </c>
      <c r="AC330" s="1948">
        <v>61956</v>
      </c>
      <c r="AD330" s="1948">
        <f t="shared" si="79"/>
        <v>78520</v>
      </c>
      <c r="AE330" s="1948">
        <f t="shared" si="80"/>
        <v>0</v>
      </c>
      <c r="AF330" s="1948">
        <v>207</v>
      </c>
      <c r="AG330" s="1948">
        <v>192.79999999999998</v>
      </c>
      <c r="AH330" s="1948">
        <v>192.8</v>
      </c>
      <c r="AI330" s="1948">
        <v>0.88</v>
      </c>
      <c r="AJ330" s="1948">
        <v>45.58</v>
      </c>
      <c r="AK330" s="1948">
        <v>65386</v>
      </c>
      <c r="AL330" s="1948">
        <f t="shared" si="81"/>
        <v>86066</v>
      </c>
      <c r="AM330" s="1948">
        <f t="shared" si="82"/>
        <v>0</v>
      </c>
      <c r="AN330" s="1948">
        <v>207</v>
      </c>
      <c r="AO330" s="1948">
        <v>184.64000000000001</v>
      </c>
      <c r="AP330" s="1948">
        <v>184.64</v>
      </c>
      <c r="AQ330" s="1948">
        <v>0.86970000000000003</v>
      </c>
      <c r="AR330" s="1948">
        <v>46.65</v>
      </c>
      <c r="AS330" s="1948">
        <v>64082</v>
      </c>
      <c r="AT330" s="1948">
        <f t="shared" si="83"/>
        <v>82423</v>
      </c>
      <c r="AU330" s="1948">
        <f t="shared" si="84"/>
        <v>0</v>
      </c>
      <c r="AV330" s="1948">
        <v>207</v>
      </c>
      <c r="AW330" s="1948">
        <v>196.64</v>
      </c>
      <c r="AX330" s="1948">
        <v>196.64</v>
      </c>
      <c r="AY330" s="1948">
        <v>0.88190000000000002</v>
      </c>
      <c r="AZ330" s="1948">
        <v>39.15</v>
      </c>
      <c r="BA330" s="1948">
        <v>55422</v>
      </c>
      <c r="BB330" s="1948">
        <f t="shared" si="85"/>
        <v>84948</v>
      </c>
      <c r="BC330" s="1948">
        <f t="shared" si="86"/>
        <v>0</v>
      </c>
      <c r="BD330" s="1949">
        <v>207</v>
      </c>
      <c r="BE330" s="1948">
        <v>191.84</v>
      </c>
      <c r="BF330" s="1949">
        <v>191.84</v>
      </c>
      <c r="BG330" s="1949">
        <v>0.90469999999999995</v>
      </c>
      <c r="BH330" s="1949">
        <v>42.63</v>
      </c>
      <c r="BI330" s="1948">
        <v>60850</v>
      </c>
      <c r="BJ330" s="1948">
        <f t="shared" si="87"/>
        <v>85637</v>
      </c>
      <c r="BK330" s="1948">
        <f t="shared" si="88"/>
        <v>0</v>
      </c>
    </row>
    <row r="331" spans="1:63" ht="15">
      <c r="A331" s="1946">
        <v>123000000037</v>
      </c>
      <c r="B331" s="1947">
        <f t="shared" si="89"/>
        <v>325</v>
      </c>
      <c r="C331" s="1906" t="s">
        <v>3204</v>
      </c>
      <c r="D331" s="1907" t="s">
        <v>524</v>
      </c>
      <c r="E331" s="1906" t="s">
        <v>541</v>
      </c>
      <c r="F331" s="1948" t="s">
        <v>259</v>
      </c>
      <c r="G331" s="1949">
        <v>210</v>
      </c>
      <c r="H331" s="1948">
        <v>210</v>
      </c>
      <c r="I331" s="1950">
        <v>209.76000000000002</v>
      </c>
      <c r="J331" s="1948">
        <v>209.76</v>
      </c>
      <c r="K331" s="1948">
        <v>0.96689999999999998</v>
      </c>
      <c r="L331" s="1948">
        <v>17.02</v>
      </c>
      <c r="M331" s="1948">
        <v>25704</v>
      </c>
      <c r="N331" s="1948">
        <f t="shared" si="75"/>
        <v>90616</v>
      </c>
      <c r="O331" s="1948">
        <f t="shared" si="76"/>
        <v>0</v>
      </c>
      <c r="P331" s="1948">
        <v>210</v>
      </c>
      <c r="Q331" s="1948">
        <v>237.60000000000002</v>
      </c>
      <c r="R331" s="1948">
        <v>237.6</v>
      </c>
      <c r="S331" s="1948">
        <v>0.97970000000000002</v>
      </c>
      <c r="T331" s="1948">
        <v>14.45</v>
      </c>
      <c r="U331" s="1948">
        <v>25539</v>
      </c>
      <c r="V331" s="1948">
        <f t="shared" si="77"/>
        <v>106065</v>
      </c>
      <c r="W331" s="1948">
        <f t="shared" si="78"/>
        <v>0</v>
      </c>
      <c r="X331" s="1948">
        <v>210</v>
      </c>
      <c r="Y331" s="1948">
        <v>203.52</v>
      </c>
      <c r="Z331" s="1948">
        <v>203.52</v>
      </c>
      <c r="AA331" s="1948">
        <v>0.9929</v>
      </c>
      <c r="AB331" s="1948">
        <v>15.82</v>
      </c>
      <c r="AC331" s="1948">
        <v>21642</v>
      </c>
      <c r="AD331" s="1948">
        <f t="shared" si="79"/>
        <v>87921</v>
      </c>
      <c r="AE331" s="1948">
        <f t="shared" si="80"/>
        <v>0</v>
      </c>
      <c r="AF331" s="1948">
        <v>210</v>
      </c>
      <c r="AG331" s="1948">
        <v>154.07999999999998</v>
      </c>
      <c r="AH331" s="1948">
        <v>168</v>
      </c>
      <c r="AI331" s="1948">
        <v>0.99529999999999996</v>
      </c>
      <c r="AJ331" s="1948">
        <v>20.77</v>
      </c>
      <c r="AK331" s="1948">
        <v>25350</v>
      </c>
      <c r="AL331" s="1948">
        <f t="shared" si="81"/>
        <v>68781</v>
      </c>
      <c r="AM331" s="1948">
        <f t="shared" si="82"/>
        <v>0</v>
      </c>
      <c r="AN331" s="1948">
        <v>210</v>
      </c>
      <c r="AO331" s="1948">
        <v>193.67999999999998</v>
      </c>
      <c r="AP331" s="1948">
        <v>193.68</v>
      </c>
      <c r="AQ331" s="1948">
        <v>0.99529999999999996</v>
      </c>
      <c r="AR331" s="1948">
        <v>18.690000000000001</v>
      </c>
      <c r="AS331" s="1948">
        <v>26934</v>
      </c>
      <c r="AT331" s="1948">
        <f t="shared" si="83"/>
        <v>86459</v>
      </c>
      <c r="AU331" s="1948">
        <f t="shared" si="84"/>
        <v>0</v>
      </c>
      <c r="AV331" s="1948">
        <v>210</v>
      </c>
      <c r="AW331" s="1948">
        <v>201.12</v>
      </c>
      <c r="AX331" s="1948">
        <v>201.12</v>
      </c>
      <c r="AY331" s="1948">
        <v>0.99390000000000001</v>
      </c>
      <c r="AZ331" s="1948">
        <v>17.13</v>
      </c>
      <c r="BA331" s="1948">
        <v>24801</v>
      </c>
      <c r="BB331" s="1948">
        <f t="shared" si="85"/>
        <v>86884</v>
      </c>
      <c r="BC331" s="1948">
        <f t="shared" si="86"/>
        <v>0</v>
      </c>
      <c r="BD331" s="1949">
        <v>210</v>
      </c>
      <c r="BE331" s="1948">
        <v>184.8</v>
      </c>
      <c r="BF331" s="1949">
        <v>184.8</v>
      </c>
      <c r="BG331" s="1949">
        <v>0.98919999999999997</v>
      </c>
      <c r="BH331" s="1949">
        <v>16.59</v>
      </c>
      <c r="BI331" s="1948">
        <v>22806</v>
      </c>
      <c r="BJ331" s="1948">
        <f t="shared" si="87"/>
        <v>82495</v>
      </c>
      <c r="BK331" s="1948">
        <f t="shared" si="88"/>
        <v>0</v>
      </c>
    </row>
    <row r="332" spans="1:63" ht="15">
      <c r="A332" s="1946">
        <v>125000000049</v>
      </c>
      <c r="B332" s="1947">
        <f t="shared" si="89"/>
        <v>326</v>
      </c>
      <c r="C332" s="1906" t="s">
        <v>3564</v>
      </c>
      <c r="D332" s="1907" t="s">
        <v>524</v>
      </c>
      <c r="E332" s="1906" t="s">
        <v>730</v>
      </c>
      <c r="F332" s="1948" t="s">
        <v>259</v>
      </c>
      <c r="G332" s="1949">
        <v>210</v>
      </c>
      <c r="H332" s="1948">
        <v>0</v>
      </c>
      <c r="I332" s="1950">
        <v>0</v>
      </c>
      <c r="J332" s="1948">
        <v>0</v>
      </c>
      <c r="K332" s="1948">
        <v>0</v>
      </c>
      <c r="L332" s="1948">
        <v>0</v>
      </c>
      <c r="M332" s="1948">
        <v>0</v>
      </c>
      <c r="N332" s="1948">
        <f t="shared" si="75"/>
        <v>0</v>
      </c>
      <c r="O332" s="1948">
        <f t="shared" si="76"/>
        <v>0</v>
      </c>
      <c r="P332" s="1948">
        <v>0</v>
      </c>
      <c r="Q332" s="1948">
        <v>0</v>
      </c>
      <c r="R332" s="1948">
        <v>0</v>
      </c>
      <c r="S332" s="1948">
        <v>0</v>
      </c>
      <c r="T332" s="1948">
        <v>0</v>
      </c>
      <c r="U332" s="1948">
        <v>0</v>
      </c>
      <c r="V332" s="1948">
        <f t="shared" si="77"/>
        <v>0</v>
      </c>
      <c r="W332" s="1948">
        <f t="shared" si="78"/>
        <v>0</v>
      </c>
      <c r="X332" s="1948">
        <v>0</v>
      </c>
      <c r="Y332" s="1948">
        <v>0</v>
      </c>
      <c r="Z332" s="1948">
        <v>0</v>
      </c>
      <c r="AA332" s="1948">
        <v>0</v>
      </c>
      <c r="AB332" s="1948">
        <v>0</v>
      </c>
      <c r="AC332" s="1948">
        <v>0</v>
      </c>
      <c r="AD332" s="1948">
        <f t="shared" si="79"/>
        <v>0</v>
      </c>
      <c r="AE332" s="1948">
        <f t="shared" si="80"/>
        <v>0</v>
      </c>
      <c r="AF332" s="1948">
        <v>210</v>
      </c>
      <c r="AG332" s="1948">
        <v>85.768799999999999</v>
      </c>
      <c r="AH332" s="1948">
        <v>168</v>
      </c>
      <c r="AI332" s="1948">
        <v>0.94240000000000002</v>
      </c>
      <c r="AJ332" s="1948">
        <v>40.98</v>
      </c>
      <c r="AK332" s="1948">
        <v>26150</v>
      </c>
      <c r="AL332" s="1948">
        <f t="shared" si="81"/>
        <v>38287</v>
      </c>
      <c r="AM332" s="1948">
        <f t="shared" si="82"/>
        <v>0</v>
      </c>
      <c r="AN332" s="1948">
        <v>210</v>
      </c>
      <c r="AO332" s="1948">
        <v>129.00839999999999</v>
      </c>
      <c r="AP332" s="1948">
        <v>168</v>
      </c>
      <c r="AQ332" s="1948">
        <v>0.9889</v>
      </c>
      <c r="AR332" s="1948">
        <v>41.68</v>
      </c>
      <c r="AS332" s="1948">
        <v>40008</v>
      </c>
      <c r="AT332" s="1948">
        <f t="shared" si="83"/>
        <v>57589</v>
      </c>
      <c r="AU332" s="1948">
        <f t="shared" si="84"/>
        <v>0</v>
      </c>
      <c r="AV332" s="1948">
        <v>210</v>
      </c>
      <c r="AW332" s="1948">
        <v>89.238</v>
      </c>
      <c r="AX332" s="1948">
        <v>168</v>
      </c>
      <c r="AY332" s="1948">
        <v>0.99980000000000002</v>
      </c>
      <c r="AZ332" s="1948">
        <v>59.92</v>
      </c>
      <c r="BA332" s="1948">
        <v>38501</v>
      </c>
      <c r="BB332" s="1948">
        <f t="shared" si="85"/>
        <v>38551</v>
      </c>
      <c r="BC332" s="1948">
        <f t="shared" si="86"/>
        <v>0</v>
      </c>
      <c r="BD332" s="1949">
        <v>210</v>
      </c>
      <c r="BE332" s="1948">
        <v>76.542000000000002</v>
      </c>
      <c r="BF332" s="1949">
        <v>168</v>
      </c>
      <c r="BG332" s="1949">
        <v>0.99980000000000002</v>
      </c>
      <c r="BH332" s="1949">
        <v>65.59</v>
      </c>
      <c r="BI332" s="1948">
        <v>37353</v>
      </c>
      <c r="BJ332" s="1948">
        <f t="shared" si="87"/>
        <v>34168</v>
      </c>
      <c r="BK332" s="1948">
        <f t="shared" si="88"/>
        <v>3185</v>
      </c>
    </row>
    <row r="333" spans="1:63" ht="15">
      <c r="A333" s="1946">
        <v>129000000005</v>
      </c>
      <c r="B333" s="1947">
        <f t="shared" si="89"/>
        <v>327</v>
      </c>
      <c r="C333" s="1906" t="s">
        <v>3203</v>
      </c>
      <c r="D333" s="1907" t="s">
        <v>524</v>
      </c>
      <c r="E333" s="1906" t="s">
        <v>541</v>
      </c>
      <c r="F333" s="1948" t="s">
        <v>259</v>
      </c>
      <c r="G333" s="1949">
        <v>210</v>
      </c>
      <c r="H333" s="1948">
        <v>210</v>
      </c>
      <c r="I333" s="1950">
        <v>458.4</v>
      </c>
      <c r="J333" s="1948">
        <v>458.4</v>
      </c>
      <c r="K333" s="1948">
        <v>0.87060000000000004</v>
      </c>
      <c r="L333" s="1948">
        <v>29</v>
      </c>
      <c r="M333" s="1948">
        <v>95724</v>
      </c>
      <c r="N333" s="1948">
        <f t="shared" si="75"/>
        <v>198029</v>
      </c>
      <c r="O333" s="1948">
        <f t="shared" si="76"/>
        <v>0</v>
      </c>
      <c r="P333" s="1948">
        <v>210</v>
      </c>
      <c r="Q333" s="1948">
        <v>393.12</v>
      </c>
      <c r="R333" s="1948">
        <v>393.12</v>
      </c>
      <c r="S333" s="1948">
        <v>0.83730000000000004</v>
      </c>
      <c r="T333" s="1948">
        <v>23.25</v>
      </c>
      <c r="U333" s="1948">
        <v>68012</v>
      </c>
      <c r="V333" s="1948">
        <f t="shared" si="77"/>
        <v>175489</v>
      </c>
      <c r="W333" s="1948">
        <f t="shared" si="78"/>
        <v>0</v>
      </c>
      <c r="X333" s="1948">
        <v>210</v>
      </c>
      <c r="Y333" s="1948">
        <v>429.12</v>
      </c>
      <c r="Z333" s="1948">
        <v>429.12</v>
      </c>
      <c r="AA333" s="1948">
        <v>0.87119999999999997</v>
      </c>
      <c r="AB333" s="1948">
        <v>26.15</v>
      </c>
      <c r="AC333" s="1948">
        <v>80794</v>
      </c>
      <c r="AD333" s="1948">
        <f t="shared" si="79"/>
        <v>185380</v>
      </c>
      <c r="AE333" s="1948">
        <f t="shared" si="80"/>
        <v>0</v>
      </c>
      <c r="AF333" s="1948">
        <v>210</v>
      </c>
      <c r="AG333" s="1948">
        <v>437.43999999999994</v>
      </c>
      <c r="AH333" s="1948">
        <v>437.44</v>
      </c>
      <c r="AI333" s="1948">
        <v>0.75919999999999999</v>
      </c>
      <c r="AJ333" s="1948">
        <v>21.39</v>
      </c>
      <c r="AK333" s="1948">
        <v>69630</v>
      </c>
      <c r="AL333" s="1948">
        <f t="shared" si="81"/>
        <v>195273</v>
      </c>
      <c r="AM333" s="1948">
        <f t="shared" si="82"/>
        <v>0</v>
      </c>
      <c r="AN333" s="1948">
        <v>210</v>
      </c>
      <c r="AO333" s="1948">
        <v>467.68</v>
      </c>
      <c r="AP333" s="1948">
        <v>467.68</v>
      </c>
      <c r="AQ333" s="1948">
        <v>0.82969999999999999</v>
      </c>
      <c r="AR333" s="1948">
        <v>20.36</v>
      </c>
      <c r="AS333" s="1948">
        <v>70832</v>
      </c>
      <c r="AT333" s="1948">
        <f t="shared" si="83"/>
        <v>208772</v>
      </c>
      <c r="AU333" s="1948">
        <f t="shared" si="84"/>
        <v>0</v>
      </c>
      <c r="AV333" s="1948">
        <v>210</v>
      </c>
      <c r="AW333" s="1948">
        <v>275.83999999999997</v>
      </c>
      <c r="AX333" s="1948">
        <v>275.83999999999997</v>
      </c>
      <c r="AY333" s="1948">
        <v>0.81469999999999998</v>
      </c>
      <c r="AZ333" s="1948">
        <v>8.1</v>
      </c>
      <c r="BA333" s="1948">
        <v>16084</v>
      </c>
      <c r="BB333" s="1948">
        <f t="shared" si="85"/>
        <v>119163</v>
      </c>
      <c r="BC333" s="1948">
        <f t="shared" si="86"/>
        <v>0</v>
      </c>
      <c r="BD333" s="1949">
        <v>210</v>
      </c>
      <c r="BE333" s="1948">
        <v>32.800000000000004</v>
      </c>
      <c r="BF333" s="1949">
        <v>168</v>
      </c>
      <c r="BG333" s="1949">
        <v>0.99629999999999996</v>
      </c>
      <c r="BH333" s="1949">
        <v>9</v>
      </c>
      <c r="BI333" s="1948">
        <v>2196</v>
      </c>
      <c r="BJ333" s="1948">
        <f t="shared" si="87"/>
        <v>14642</v>
      </c>
      <c r="BK333" s="1948">
        <f t="shared" si="88"/>
        <v>0</v>
      </c>
    </row>
    <row r="334" spans="1:63" ht="15">
      <c r="A334" s="1946">
        <v>622000000190</v>
      </c>
      <c r="B334" s="1947">
        <f t="shared" si="89"/>
        <v>328</v>
      </c>
      <c r="C334" s="1906" t="s">
        <v>3205</v>
      </c>
      <c r="D334" s="1907" t="s">
        <v>524</v>
      </c>
      <c r="E334" s="1906" t="s">
        <v>541</v>
      </c>
      <c r="F334" s="1948" t="s">
        <v>259</v>
      </c>
      <c r="G334" s="1949">
        <v>210</v>
      </c>
      <c r="H334" s="1948">
        <v>210</v>
      </c>
      <c r="I334" s="1950">
        <v>176.64</v>
      </c>
      <c r="J334" s="1948">
        <v>176.64</v>
      </c>
      <c r="K334" s="1948">
        <v>0.69140000000000001</v>
      </c>
      <c r="L334" s="1948">
        <v>7.7</v>
      </c>
      <c r="M334" s="1948">
        <v>9792</v>
      </c>
      <c r="N334" s="1948">
        <f t="shared" si="75"/>
        <v>76308</v>
      </c>
      <c r="O334" s="1948">
        <f t="shared" si="76"/>
        <v>0</v>
      </c>
      <c r="P334" s="1948">
        <v>210</v>
      </c>
      <c r="Q334" s="1948">
        <v>185.04</v>
      </c>
      <c r="R334" s="1948">
        <v>185.04</v>
      </c>
      <c r="S334" s="1948">
        <v>0.74350000000000005</v>
      </c>
      <c r="T334" s="1948">
        <v>8.09</v>
      </c>
      <c r="U334" s="1948">
        <v>11136</v>
      </c>
      <c r="V334" s="1948">
        <f t="shared" si="77"/>
        <v>82602</v>
      </c>
      <c r="W334" s="1948">
        <f t="shared" si="78"/>
        <v>0</v>
      </c>
      <c r="X334" s="1948">
        <v>210</v>
      </c>
      <c r="Y334" s="1948">
        <v>173.04</v>
      </c>
      <c r="Z334" s="1948">
        <v>173.04</v>
      </c>
      <c r="AA334" s="1948">
        <v>0.7429</v>
      </c>
      <c r="AB334" s="1948">
        <v>9.09</v>
      </c>
      <c r="AC334" s="1948">
        <v>11319</v>
      </c>
      <c r="AD334" s="1948">
        <f t="shared" si="79"/>
        <v>74753</v>
      </c>
      <c r="AE334" s="1948">
        <f t="shared" si="80"/>
        <v>0</v>
      </c>
      <c r="AF334" s="1948">
        <v>210</v>
      </c>
      <c r="AG334" s="1948">
        <v>174.96</v>
      </c>
      <c r="AH334" s="1948">
        <v>174.96</v>
      </c>
      <c r="AI334" s="1948">
        <v>0.74690000000000001</v>
      </c>
      <c r="AJ334" s="1948">
        <v>11.73</v>
      </c>
      <c r="AK334" s="1948">
        <v>15270</v>
      </c>
      <c r="AL334" s="1948">
        <f t="shared" si="81"/>
        <v>78102</v>
      </c>
      <c r="AM334" s="1948">
        <f t="shared" si="82"/>
        <v>0</v>
      </c>
      <c r="AN334" s="1948">
        <v>210</v>
      </c>
      <c r="AO334" s="1948">
        <v>170.16000000000003</v>
      </c>
      <c r="AP334" s="1948">
        <v>170.16</v>
      </c>
      <c r="AQ334" s="1948">
        <v>0.73980000000000001</v>
      </c>
      <c r="AR334" s="1948">
        <v>10.15</v>
      </c>
      <c r="AS334" s="1948">
        <v>12846</v>
      </c>
      <c r="AT334" s="1948">
        <f t="shared" si="83"/>
        <v>75959</v>
      </c>
      <c r="AU334" s="1948">
        <f t="shared" si="84"/>
        <v>0</v>
      </c>
      <c r="AV334" s="1948">
        <v>210</v>
      </c>
      <c r="AW334" s="1948">
        <v>168.00000000000003</v>
      </c>
      <c r="AX334" s="1948">
        <v>168</v>
      </c>
      <c r="AY334" s="1948">
        <v>0.71140000000000003</v>
      </c>
      <c r="AZ334" s="1948">
        <v>9.01</v>
      </c>
      <c r="BA334" s="1948">
        <v>10896</v>
      </c>
      <c r="BB334" s="1948">
        <f t="shared" si="85"/>
        <v>72576</v>
      </c>
      <c r="BC334" s="1948">
        <f t="shared" si="86"/>
        <v>0</v>
      </c>
      <c r="BD334" s="1949">
        <v>210</v>
      </c>
      <c r="BE334" s="1948">
        <v>167.28</v>
      </c>
      <c r="BF334" s="1949">
        <v>168</v>
      </c>
      <c r="BG334" s="1949">
        <v>0.73960000000000004</v>
      </c>
      <c r="BH334" s="1949">
        <v>13.81</v>
      </c>
      <c r="BI334" s="1948">
        <v>17190</v>
      </c>
      <c r="BJ334" s="1948">
        <f t="shared" si="87"/>
        <v>74674</v>
      </c>
      <c r="BK334" s="1948">
        <f t="shared" si="88"/>
        <v>0</v>
      </c>
    </row>
    <row r="335" spans="1:63" ht="15">
      <c r="A335" s="1946">
        <v>126000000009</v>
      </c>
      <c r="B335" s="1947">
        <f t="shared" si="89"/>
        <v>329</v>
      </c>
      <c r="C335" s="1906" t="s">
        <v>3207</v>
      </c>
      <c r="D335" s="1907" t="s">
        <v>524</v>
      </c>
      <c r="E335" s="1906" t="s">
        <v>541</v>
      </c>
      <c r="F335" s="1948" t="s">
        <v>259</v>
      </c>
      <c r="G335" s="1949">
        <v>211</v>
      </c>
      <c r="H335" s="1948">
        <v>211</v>
      </c>
      <c r="I335" s="1950">
        <v>180.24</v>
      </c>
      <c r="J335" s="1948">
        <v>180.24</v>
      </c>
      <c r="K335" s="1948">
        <v>0.96499999999999997</v>
      </c>
      <c r="L335" s="1948">
        <v>44.28</v>
      </c>
      <c r="M335" s="1948">
        <v>57468</v>
      </c>
      <c r="N335" s="1948">
        <f t="shared" si="75"/>
        <v>77864</v>
      </c>
      <c r="O335" s="1948">
        <f t="shared" si="76"/>
        <v>0</v>
      </c>
      <c r="P335" s="1948">
        <v>211</v>
      </c>
      <c r="Q335" s="1948">
        <v>171.96</v>
      </c>
      <c r="R335" s="1948">
        <v>171.96</v>
      </c>
      <c r="S335" s="1948">
        <v>0.94379999999999997</v>
      </c>
      <c r="T335" s="1948">
        <v>43.3</v>
      </c>
      <c r="U335" s="1948">
        <v>55394</v>
      </c>
      <c r="V335" s="1948">
        <f t="shared" si="77"/>
        <v>76763</v>
      </c>
      <c r="W335" s="1948">
        <f t="shared" si="78"/>
        <v>0</v>
      </c>
      <c r="X335" s="1948">
        <v>211</v>
      </c>
      <c r="Y335" s="1948">
        <v>174.12</v>
      </c>
      <c r="Z335" s="1948">
        <v>174.12</v>
      </c>
      <c r="AA335" s="1948">
        <v>0.91039999999999999</v>
      </c>
      <c r="AB335" s="1948">
        <v>29.06</v>
      </c>
      <c r="AC335" s="1948">
        <v>36429</v>
      </c>
      <c r="AD335" s="1948">
        <f t="shared" si="79"/>
        <v>75220</v>
      </c>
      <c r="AE335" s="1948">
        <f t="shared" si="80"/>
        <v>0</v>
      </c>
      <c r="AF335" s="1948">
        <v>211</v>
      </c>
      <c r="AG335" s="1948">
        <v>166.20000000000002</v>
      </c>
      <c r="AH335" s="1948">
        <v>168.8</v>
      </c>
      <c r="AI335" s="1948">
        <v>0.9657</v>
      </c>
      <c r="AJ335" s="1948">
        <v>16.649999999999999</v>
      </c>
      <c r="AK335" s="1948">
        <v>20583</v>
      </c>
      <c r="AL335" s="1948">
        <f t="shared" si="81"/>
        <v>74192</v>
      </c>
      <c r="AM335" s="1948">
        <f t="shared" si="82"/>
        <v>0</v>
      </c>
      <c r="AN335" s="1948">
        <v>211</v>
      </c>
      <c r="AO335" s="1948">
        <v>159.96</v>
      </c>
      <c r="AP335" s="1948">
        <v>168.8</v>
      </c>
      <c r="AQ335" s="1948">
        <v>0.94750000000000001</v>
      </c>
      <c r="AR335" s="1948">
        <v>16.71</v>
      </c>
      <c r="AS335" s="1948">
        <v>19882</v>
      </c>
      <c r="AT335" s="1948">
        <f t="shared" si="83"/>
        <v>71406</v>
      </c>
      <c r="AU335" s="1948">
        <f t="shared" si="84"/>
        <v>0</v>
      </c>
      <c r="AV335" s="1948">
        <v>211</v>
      </c>
      <c r="AW335" s="1948">
        <v>145.44</v>
      </c>
      <c r="AX335" s="1948">
        <v>168.8</v>
      </c>
      <c r="AY335" s="1948">
        <v>0.97219999999999995</v>
      </c>
      <c r="AZ335" s="1948">
        <v>30.55</v>
      </c>
      <c r="BA335" s="1948">
        <v>31992</v>
      </c>
      <c r="BB335" s="1948">
        <f t="shared" si="85"/>
        <v>62830</v>
      </c>
      <c r="BC335" s="1948">
        <f t="shared" si="86"/>
        <v>0</v>
      </c>
      <c r="BD335" s="1949">
        <v>211</v>
      </c>
      <c r="BE335" s="1948">
        <v>161.28</v>
      </c>
      <c r="BF335" s="1949">
        <v>168.8</v>
      </c>
      <c r="BG335" s="1949">
        <v>0.91059999999999997</v>
      </c>
      <c r="BH335" s="1949">
        <v>8.26</v>
      </c>
      <c r="BI335" s="1948">
        <v>9909</v>
      </c>
      <c r="BJ335" s="1948">
        <f t="shared" si="87"/>
        <v>71995</v>
      </c>
      <c r="BK335" s="1948">
        <f t="shared" si="88"/>
        <v>0</v>
      </c>
    </row>
    <row r="336" spans="1:63" ht="15">
      <c r="A336" s="1946">
        <v>121000000079</v>
      </c>
      <c r="B336" s="1947">
        <f t="shared" si="89"/>
        <v>330</v>
      </c>
      <c r="C336" s="1906" t="s">
        <v>3206</v>
      </c>
      <c r="D336" s="1907" t="s">
        <v>524</v>
      </c>
      <c r="E336" s="1906" t="s">
        <v>541</v>
      </c>
      <c r="F336" s="1948" t="s">
        <v>259</v>
      </c>
      <c r="G336" s="1949">
        <v>211</v>
      </c>
      <c r="H336" s="1948">
        <v>211</v>
      </c>
      <c r="I336" s="1950">
        <v>226.88000000000002</v>
      </c>
      <c r="J336" s="1948">
        <v>226.88</v>
      </c>
      <c r="K336" s="1948">
        <v>0.92279999999999995</v>
      </c>
      <c r="L336" s="1948">
        <v>8.6</v>
      </c>
      <c r="M336" s="1948">
        <v>14046</v>
      </c>
      <c r="N336" s="1948">
        <f t="shared" si="75"/>
        <v>98012</v>
      </c>
      <c r="O336" s="1948">
        <f t="shared" si="76"/>
        <v>0</v>
      </c>
      <c r="P336" s="1948">
        <v>211</v>
      </c>
      <c r="Q336" s="1948">
        <v>288.96000000000004</v>
      </c>
      <c r="R336" s="1948">
        <v>288.95999999999998</v>
      </c>
      <c r="S336" s="1948">
        <v>0.78200000000000003</v>
      </c>
      <c r="T336" s="1948">
        <v>48.56</v>
      </c>
      <c r="U336" s="1948">
        <v>104406</v>
      </c>
      <c r="V336" s="1948">
        <f t="shared" si="77"/>
        <v>128992</v>
      </c>
      <c r="W336" s="1948">
        <f t="shared" si="78"/>
        <v>0</v>
      </c>
      <c r="X336" s="1948">
        <v>211</v>
      </c>
      <c r="Y336" s="1948">
        <v>291.52</v>
      </c>
      <c r="Z336" s="1948">
        <v>291.52</v>
      </c>
      <c r="AA336" s="1948">
        <v>0.72589999999999999</v>
      </c>
      <c r="AB336" s="1948">
        <v>49.49</v>
      </c>
      <c r="AC336" s="1948">
        <v>103878</v>
      </c>
      <c r="AD336" s="1948">
        <f t="shared" si="79"/>
        <v>125937</v>
      </c>
      <c r="AE336" s="1948">
        <f t="shared" si="80"/>
        <v>0</v>
      </c>
      <c r="AF336" s="1948">
        <v>211</v>
      </c>
      <c r="AG336" s="1948">
        <v>274.88</v>
      </c>
      <c r="AH336" s="1948">
        <v>274.88</v>
      </c>
      <c r="AI336" s="1948">
        <v>0.85880000000000001</v>
      </c>
      <c r="AJ336" s="1948">
        <v>34.29</v>
      </c>
      <c r="AK336" s="1948">
        <v>70118</v>
      </c>
      <c r="AL336" s="1948">
        <f t="shared" si="81"/>
        <v>122706</v>
      </c>
      <c r="AM336" s="1948">
        <f t="shared" si="82"/>
        <v>0</v>
      </c>
      <c r="AN336" s="1948">
        <v>211</v>
      </c>
      <c r="AO336" s="1948">
        <v>202.55999999999997</v>
      </c>
      <c r="AP336" s="1948">
        <v>202.56</v>
      </c>
      <c r="AQ336" s="1948">
        <v>0.98839999999999995</v>
      </c>
      <c r="AR336" s="1948">
        <v>35.5</v>
      </c>
      <c r="AS336" s="1948">
        <v>53500</v>
      </c>
      <c r="AT336" s="1948">
        <f t="shared" si="83"/>
        <v>90423</v>
      </c>
      <c r="AU336" s="1948">
        <f t="shared" si="84"/>
        <v>0</v>
      </c>
      <c r="AV336" s="1948">
        <v>211</v>
      </c>
      <c r="AW336" s="1948">
        <v>257.12</v>
      </c>
      <c r="AX336" s="1948">
        <v>257.12</v>
      </c>
      <c r="AY336" s="1948">
        <v>0.9859</v>
      </c>
      <c r="AZ336" s="1948">
        <v>27.57</v>
      </c>
      <c r="BA336" s="1948">
        <v>51040</v>
      </c>
      <c r="BB336" s="1948">
        <f t="shared" si="85"/>
        <v>111076</v>
      </c>
      <c r="BC336" s="1948">
        <f t="shared" si="86"/>
        <v>0</v>
      </c>
      <c r="BD336" s="1949">
        <v>211</v>
      </c>
      <c r="BE336" s="1948">
        <v>195.2</v>
      </c>
      <c r="BF336" s="1949">
        <v>195.2</v>
      </c>
      <c r="BG336" s="1949">
        <v>0.9919</v>
      </c>
      <c r="BH336" s="1949">
        <v>42.73</v>
      </c>
      <c r="BI336" s="1948">
        <v>62052</v>
      </c>
      <c r="BJ336" s="1948">
        <f t="shared" si="87"/>
        <v>87137</v>
      </c>
      <c r="BK336" s="1948">
        <f t="shared" si="88"/>
        <v>0</v>
      </c>
    </row>
    <row r="337" spans="1:63" ht="15">
      <c r="A337" s="1946">
        <v>622000000199</v>
      </c>
      <c r="B337" s="1947">
        <f t="shared" si="89"/>
        <v>331</v>
      </c>
      <c r="C337" s="1906" t="s">
        <v>3175</v>
      </c>
      <c r="D337" s="1907" t="s">
        <v>524</v>
      </c>
      <c r="E337" s="1906" t="s">
        <v>636</v>
      </c>
      <c r="F337" s="1948" t="s">
        <v>259</v>
      </c>
      <c r="G337" s="1949">
        <v>211</v>
      </c>
      <c r="H337" s="1948">
        <v>211</v>
      </c>
      <c r="I337" s="1950">
        <v>74.400000000000006</v>
      </c>
      <c r="J337" s="1948">
        <v>168.8</v>
      </c>
      <c r="K337" s="1948">
        <v>0.99390000000000001</v>
      </c>
      <c r="L337" s="1948">
        <v>29.69</v>
      </c>
      <c r="M337" s="1948">
        <v>15904</v>
      </c>
      <c r="N337" s="1948">
        <f t="shared" si="75"/>
        <v>32141</v>
      </c>
      <c r="O337" s="1948">
        <f t="shared" si="76"/>
        <v>0</v>
      </c>
      <c r="P337" s="1948">
        <v>211</v>
      </c>
      <c r="Q337" s="1948">
        <v>93.92</v>
      </c>
      <c r="R337" s="1948">
        <v>168.8</v>
      </c>
      <c r="S337" s="1948">
        <v>0.99229999999999996</v>
      </c>
      <c r="T337" s="1948">
        <v>29.8</v>
      </c>
      <c r="U337" s="1948">
        <v>20822</v>
      </c>
      <c r="V337" s="1948">
        <f t="shared" si="77"/>
        <v>41926</v>
      </c>
      <c r="W337" s="1948">
        <f t="shared" si="78"/>
        <v>0</v>
      </c>
      <c r="X337" s="1948">
        <v>211</v>
      </c>
      <c r="Y337" s="1948">
        <v>111.04</v>
      </c>
      <c r="Z337" s="1948">
        <v>168.8</v>
      </c>
      <c r="AA337" s="1948">
        <v>0.99080000000000001</v>
      </c>
      <c r="AB337" s="1948">
        <v>25.2</v>
      </c>
      <c r="AC337" s="1948">
        <v>20148</v>
      </c>
      <c r="AD337" s="1948">
        <f t="shared" si="79"/>
        <v>47969</v>
      </c>
      <c r="AE337" s="1948">
        <f t="shared" si="80"/>
        <v>0</v>
      </c>
      <c r="AF337" s="1948">
        <v>211</v>
      </c>
      <c r="AG337" s="1948">
        <v>76.160000000000011</v>
      </c>
      <c r="AH337" s="1948">
        <v>168.8</v>
      </c>
      <c r="AI337" s="1948">
        <v>0.98950000000000005</v>
      </c>
      <c r="AJ337" s="1948">
        <v>28.08</v>
      </c>
      <c r="AK337" s="1948">
        <v>15912</v>
      </c>
      <c r="AL337" s="1948">
        <f t="shared" si="81"/>
        <v>33998</v>
      </c>
      <c r="AM337" s="1948">
        <f t="shared" si="82"/>
        <v>0</v>
      </c>
      <c r="AN337" s="1948">
        <v>211</v>
      </c>
      <c r="AO337" s="1948">
        <v>67.2</v>
      </c>
      <c r="AP337" s="1948">
        <v>168.8</v>
      </c>
      <c r="AQ337" s="1948">
        <v>0.98950000000000005</v>
      </c>
      <c r="AR337" s="1948">
        <v>30.89</v>
      </c>
      <c r="AS337" s="1948">
        <v>15442</v>
      </c>
      <c r="AT337" s="1948">
        <f t="shared" si="83"/>
        <v>29998</v>
      </c>
      <c r="AU337" s="1948">
        <f t="shared" si="84"/>
        <v>0</v>
      </c>
      <c r="AV337" s="1948">
        <v>211</v>
      </c>
      <c r="AW337" s="1948">
        <v>62.88</v>
      </c>
      <c r="AX337" s="1948">
        <v>168.8</v>
      </c>
      <c r="AY337" s="1948">
        <v>0.99339999999999995</v>
      </c>
      <c r="AZ337" s="1948">
        <v>33.659999999999997</v>
      </c>
      <c r="BA337" s="1948">
        <v>15240</v>
      </c>
      <c r="BB337" s="1948">
        <f t="shared" si="85"/>
        <v>27164</v>
      </c>
      <c r="BC337" s="1948">
        <f t="shared" si="86"/>
        <v>0</v>
      </c>
      <c r="BD337" s="1949">
        <v>211</v>
      </c>
      <c r="BE337" s="1948">
        <v>50.080000000000005</v>
      </c>
      <c r="BF337" s="1949">
        <v>168.8</v>
      </c>
      <c r="BG337" s="1949">
        <v>0.99519999999999997</v>
      </c>
      <c r="BH337" s="1949">
        <v>35.28</v>
      </c>
      <c r="BI337" s="1948">
        <v>13146</v>
      </c>
      <c r="BJ337" s="1948">
        <f t="shared" si="87"/>
        <v>22356</v>
      </c>
      <c r="BK337" s="1948">
        <f t="shared" si="88"/>
        <v>0</v>
      </c>
    </row>
    <row r="338" spans="1:63" ht="15">
      <c r="A338" s="1946">
        <v>121000000062</v>
      </c>
      <c r="B338" s="1947">
        <f t="shared" si="89"/>
        <v>332</v>
      </c>
      <c r="C338" s="1906" t="s">
        <v>3208</v>
      </c>
      <c r="D338" s="1907" t="s">
        <v>524</v>
      </c>
      <c r="E338" s="1906" t="s">
        <v>2966</v>
      </c>
      <c r="F338" s="1948" t="s">
        <v>259</v>
      </c>
      <c r="G338" s="1949">
        <v>212</v>
      </c>
      <c r="H338" s="1948">
        <v>212</v>
      </c>
      <c r="I338" s="1950">
        <v>13.600000000000001</v>
      </c>
      <c r="J338" s="1948">
        <v>212</v>
      </c>
      <c r="K338" s="1948">
        <v>0.68400000000000005</v>
      </c>
      <c r="L338" s="1948">
        <v>0</v>
      </c>
      <c r="M338" s="1948">
        <v>804</v>
      </c>
      <c r="N338" s="1948">
        <f t="shared" si="75"/>
        <v>5875</v>
      </c>
      <c r="O338" s="1948">
        <f t="shared" si="76"/>
        <v>0</v>
      </c>
      <c r="P338" s="1948">
        <v>212</v>
      </c>
      <c r="Q338" s="1948">
        <v>11.52</v>
      </c>
      <c r="R338" s="1948">
        <v>212</v>
      </c>
      <c r="S338" s="1948">
        <v>0.70809999999999995</v>
      </c>
      <c r="T338" s="1948">
        <v>0</v>
      </c>
      <c r="U338" s="1948">
        <v>466</v>
      </c>
      <c r="V338" s="1948">
        <f t="shared" si="77"/>
        <v>5143</v>
      </c>
      <c r="W338" s="1948">
        <f t="shared" si="78"/>
        <v>0</v>
      </c>
      <c r="X338" s="1948">
        <v>212</v>
      </c>
      <c r="Y338" s="1948">
        <v>6.2399999999999993</v>
      </c>
      <c r="Z338" s="1948">
        <v>212</v>
      </c>
      <c r="AA338" s="1948">
        <v>0.34079999999999999</v>
      </c>
      <c r="AB338" s="1948">
        <v>0</v>
      </c>
      <c r="AC338" s="1948">
        <v>710</v>
      </c>
      <c r="AD338" s="1948">
        <f t="shared" si="79"/>
        <v>2696</v>
      </c>
      <c r="AE338" s="1948">
        <f t="shared" si="80"/>
        <v>0</v>
      </c>
      <c r="AF338" s="1948">
        <v>212</v>
      </c>
      <c r="AG338" s="1948">
        <v>22.88</v>
      </c>
      <c r="AH338" s="1948">
        <v>212</v>
      </c>
      <c r="AI338" s="1948">
        <v>0.6411</v>
      </c>
      <c r="AJ338" s="1948">
        <v>0</v>
      </c>
      <c r="AK338" s="1948">
        <v>3082</v>
      </c>
      <c r="AL338" s="1948">
        <f t="shared" si="81"/>
        <v>10214</v>
      </c>
      <c r="AM338" s="1948">
        <f t="shared" si="82"/>
        <v>0</v>
      </c>
      <c r="AN338" s="1948">
        <v>212</v>
      </c>
      <c r="AO338" s="1948">
        <v>24</v>
      </c>
      <c r="AP338" s="1948">
        <v>212</v>
      </c>
      <c r="AQ338" s="1948">
        <v>0</v>
      </c>
      <c r="AR338" s="1948">
        <v>0</v>
      </c>
      <c r="AS338" s="1948">
        <v>0</v>
      </c>
      <c r="AT338" s="1948">
        <f t="shared" si="83"/>
        <v>10714</v>
      </c>
      <c r="AU338" s="1948">
        <f t="shared" si="84"/>
        <v>0</v>
      </c>
      <c r="AV338" s="1948">
        <v>212</v>
      </c>
      <c r="AW338" s="1948">
        <v>0</v>
      </c>
      <c r="AX338" s="1948">
        <v>212</v>
      </c>
      <c r="AY338" s="1948">
        <v>0</v>
      </c>
      <c r="AZ338" s="1948">
        <v>0</v>
      </c>
      <c r="BA338" s="1948">
        <v>0</v>
      </c>
      <c r="BB338" s="1948">
        <f t="shared" si="85"/>
        <v>0</v>
      </c>
      <c r="BC338" s="1948">
        <f t="shared" si="86"/>
        <v>0</v>
      </c>
      <c r="BD338" s="1949">
        <v>212</v>
      </c>
      <c r="BE338" s="1948">
        <v>50.56</v>
      </c>
      <c r="BF338" s="1949">
        <v>212</v>
      </c>
      <c r="BG338" s="1949">
        <v>0.73960000000000004</v>
      </c>
      <c r="BH338" s="1949">
        <v>0</v>
      </c>
      <c r="BI338" s="1948">
        <v>9456</v>
      </c>
      <c r="BJ338" s="1948">
        <f t="shared" si="87"/>
        <v>22570</v>
      </c>
      <c r="BK338" s="1948">
        <f t="shared" si="88"/>
        <v>0</v>
      </c>
    </row>
    <row r="339" spans="1:63" ht="15">
      <c r="A339" s="1946">
        <v>621000000053</v>
      </c>
      <c r="B339" s="1947">
        <f t="shared" si="89"/>
        <v>333</v>
      </c>
      <c r="C339" s="1906" t="s">
        <v>2932</v>
      </c>
      <c r="D339" s="1907" t="s">
        <v>524</v>
      </c>
      <c r="E339" s="1906" t="s">
        <v>636</v>
      </c>
      <c r="F339" s="1948" t="s">
        <v>259</v>
      </c>
      <c r="G339" s="1949">
        <v>213</v>
      </c>
      <c r="H339" s="1948">
        <v>213</v>
      </c>
      <c r="I339" s="1950">
        <v>95.456900000000005</v>
      </c>
      <c r="J339" s="1948">
        <v>170.4</v>
      </c>
      <c r="K339" s="1948">
        <v>0.92589999999999995</v>
      </c>
      <c r="L339" s="1948">
        <v>50.79</v>
      </c>
      <c r="M339" s="1948">
        <v>34910</v>
      </c>
      <c r="N339" s="1948">
        <f t="shared" si="75"/>
        <v>41237</v>
      </c>
      <c r="O339" s="1948">
        <f t="shared" si="76"/>
        <v>0</v>
      </c>
      <c r="P339" s="1948">
        <v>213</v>
      </c>
      <c r="Q339" s="1948">
        <v>83.760599999999997</v>
      </c>
      <c r="R339" s="1948">
        <v>170.4</v>
      </c>
      <c r="S339" s="1948">
        <v>0.92259999999999998</v>
      </c>
      <c r="T339" s="1948">
        <v>59.37</v>
      </c>
      <c r="U339" s="1948">
        <v>36996</v>
      </c>
      <c r="V339" s="1948">
        <f t="shared" si="77"/>
        <v>37391</v>
      </c>
      <c r="W339" s="1948">
        <f t="shared" si="78"/>
        <v>0</v>
      </c>
      <c r="X339" s="1948">
        <v>213</v>
      </c>
      <c r="Y339" s="1948">
        <v>79.233000000000004</v>
      </c>
      <c r="Z339" s="1948">
        <v>170.4</v>
      </c>
      <c r="AA339" s="1948">
        <v>0.90759999999999996</v>
      </c>
      <c r="AB339" s="1948">
        <v>67.84</v>
      </c>
      <c r="AC339" s="1948">
        <v>38702</v>
      </c>
      <c r="AD339" s="1948">
        <f t="shared" si="79"/>
        <v>34229</v>
      </c>
      <c r="AE339" s="1948">
        <f t="shared" si="80"/>
        <v>4473</v>
      </c>
      <c r="AF339" s="1948">
        <v>213</v>
      </c>
      <c r="AG339" s="1948">
        <v>70.55510000000001</v>
      </c>
      <c r="AH339" s="1948">
        <v>170.4</v>
      </c>
      <c r="AI339" s="1948">
        <v>0.91210000000000002</v>
      </c>
      <c r="AJ339" s="1948">
        <v>68.09</v>
      </c>
      <c r="AK339" s="1948">
        <v>35747</v>
      </c>
      <c r="AL339" s="1948">
        <f t="shared" si="81"/>
        <v>31496</v>
      </c>
      <c r="AM339" s="1948">
        <f t="shared" si="82"/>
        <v>4251</v>
      </c>
      <c r="AN339" s="1948">
        <v>213</v>
      </c>
      <c r="AO339" s="1948">
        <v>64.895600000000002</v>
      </c>
      <c r="AP339" s="1948">
        <v>170.4</v>
      </c>
      <c r="AQ339" s="1948">
        <v>0.9113</v>
      </c>
      <c r="AR339" s="1948">
        <v>66.239999999999995</v>
      </c>
      <c r="AS339" s="1948">
        <v>31982</v>
      </c>
      <c r="AT339" s="1948">
        <f t="shared" si="83"/>
        <v>28969</v>
      </c>
      <c r="AU339" s="1948">
        <f t="shared" si="84"/>
        <v>3013</v>
      </c>
      <c r="AV339" s="1948">
        <v>213</v>
      </c>
      <c r="AW339" s="1948">
        <v>73.950800000000001</v>
      </c>
      <c r="AX339" s="1948">
        <v>170.4</v>
      </c>
      <c r="AY339" s="1948">
        <v>0.90559999999999996</v>
      </c>
      <c r="AZ339" s="1948">
        <v>58.61</v>
      </c>
      <c r="BA339" s="1948">
        <v>31208</v>
      </c>
      <c r="BB339" s="1948">
        <f t="shared" si="85"/>
        <v>31947</v>
      </c>
      <c r="BC339" s="1948">
        <f t="shared" si="86"/>
        <v>0</v>
      </c>
      <c r="BD339" s="1949">
        <v>213</v>
      </c>
      <c r="BE339" s="1948">
        <v>56.217700000000001</v>
      </c>
      <c r="BF339" s="1949">
        <v>170.4</v>
      </c>
      <c r="BG339" s="1949">
        <v>0.89829999999999999</v>
      </c>
      <c r="BH339" s="1949">
        <v>64.38</v>
      </c>
      <c r="BI339" s="1948">
        <v>26928</v>
      </c>
      <c r="BJ339" s="1948">
        <f t="shared" si="87"/>
        <v>25096</v>
      </c>
      <c r="BK339" s="1948">
        <f t="shared" si="88"/>
        <v>1832</v>
      </c>
    </row>
    <row r="340" spans="1:63" ht="15">
      <c r="A340" s="1946">
        <v>125000000033</v>
      </c>
      <c r="B340" s="1947">
        <f t="shared" si="89"/>
        <v>334</v>
      </c>
      <c r="C340" s="1906" t="s">
        <v>3210</v>
      </c>
      <c r="D340" s="1907" t="s">
        <v>524</v>
      </c>
      <c r="E340" s="1906" t="s">
        <v>737</v>
      </c>
      <c r="F340" s="1948" t="s">
        <v>259</v>
      </c>
      <c r="G340" s="1949">
        <v>217</v>
      </c>
      <c r="H340" s="1948">
        <v>217</v>
      </c>
      <c r="I340" s="1950">
        <v>46.56</v>
      </c>
      <c r="J340" s="1948">
        <v>173.6</v>
      </c>
      <c r="K340" s="1948">
        <v>0.89849999999999997</v>
      </c>
      <c r="L340" s="1948">
        <v>18.940000000000001</v>
      </c>
      <c r="M340" s="1948">
        <v>6350</v>
      </c>
      <c r="N340" s="1948">
        <f t="shared" si="75"/>
        <v>20114</v>
      </c>
      <c r="O340" s="1948">
        <f t="shared" si="76"/>
        <v>0</v>
      </c>
      <c r="P340" s="1948">
        <v>217</v>
      </c>
      <c r="Q340" s="1948">
        <v>40.799999999999997</v>
      </c>
      <c r="R340" s="1948">
        <v>173.6</v>
      </c>
      <c r="S340" s="1948">
        <v>0.89749999999999996</v>
      </c>
      <c r="T340" s="1948">
        <v>20.39</v>
      </c>
      <c r="U340" s="1948">
        <v>6190</v>
      </c>
      <c r="V340" s="1948">
        <f t="shared" si="77"/>
        <v>18213</v>
      </c>
      <c r="W340" s="1948">
        <f t="shared" si="78"/>
        <v>0</v>
      </c>
      <c r="X340" s="1948">
        <v>217</v>
      </c>
      <c r="Y340" s="1948">
        <v>53.280000000000008</v>
      </c>
      <c r="Z340" s="1948">
        <v>173.6</v>
      </c>
      <c r="AA340" s="1948">
        <v>0.92610000000000003</v>
      </c>
      <c r="AB340" s="1948">
        <v>20.46</v>
      </c>
      <c r="AC340" s="1948">
        <v>7850</v>
      </c>
      <c r="AD340" s="1948">
        <f t="shared" si="79"/>
        <v>23017</v>
      </c>
      <c r="AE340" s="1948">
        <f t="shared" si="80"/>
        <v>0</v>
      </c>
      <c r="AF340" s="1948">
        <v>217</v>
      </c>
      <c r="AG340" s="1948">
        <v>44.800000000000004</v>
      </c>
      <c r="AH340" s="1948">
        <v>173.6</v>
      </c>
      <c r="AI340" s="1948">
        <v>0.93359999999999999</v>
      </c>
      <c r="AJ340" s="1948">
        <v>25.16</v>
      </c>
      <c r="AK340" s="1948">
        <v>8386</v>
      </c>
      <c r="AL340" s="1948">
        <f t="shared" si="81"/>
        <v>19999</v>
      </c>
      <c r="AM340" s="1948">
        <f t="shared" si="82"/>
        <v>0</v>
      </c>
      <c r="AN340" s="1948">
        <v>217</v>
      </c>
      <c r="AO340" s="1948">
        <v>32.96</v>
      </c>
      <c r="AP340" s="1948">
        <v>173.6</v>
      </c>
      <c r="AQ340" s="1948">
        <v>0.92100000000000004</v>
      </c>
      <c r="AR340" s="1948">
        <v>32.92</v>
      </c>
      <c r="AS340" s="1948">
        <v>6510</v>
      </c>
      <c r="AT340" s="1948">
        <f t="shared" si="83"/>
        <v>14713</v>
      </c>
      <c r="AU340" s="1948">
        <f t="shared" si="84"/>
        <v>0</v>
      </c>
      <c r="AV340" s="1948">
        <v>217</v>
      </c>
      <c r="AW340" s="1948">
        <v>36.96</v>
      </c>
      <c r="AX340" s="1948">
        <v>173.6</v>
      </c>
      <c r="AY340" s="1948">
        <v>0.93589999999999995</v>
      </c>
      <c r="AZ340" s="1948">
        <v>37.96</v>
      </c>
      <c r="BA340" s="1948">
        <v>11112</v>
      </c>
      <c r="BB340" s="1948">
        <f t="shared" si="85"/>
        <v>15967</v>
      </c>
      <c r="BC340" s="1948">
        <f t="shared" si="86"/>
        <v>0</v>
      </c>
      <c r="BD340" s="1949">
        <v>217</v>
      </c>
      <c r="BE340" s="1948">
        <v>35.04</v>
      </c>
      <c r="BF340" s="1949">
        <v>173.6</v>
      </c>
      <c r="BG340" s="1949">
        <v>0.91710000000000003</v>
      </c>
      <c r="BH340" s="1949">
        <v>41.45</v>
      </c>
      <c r="BI340" s="1948">
        <v>10458</v>
      </c>
      <c r="BJ340" s="1948">
        <f t="shared" si="87"/>
        <v>15642</v>
      </c>
      <c r="BK340" s="1948">
        <f t="shared" si="88"/>
        <v>0</v>
      </c>
    </row>
    <row r="341" spans="1:63" ht="15">
      <c r="A341" s="1946">
        <v>121000000067</v>
      </c>
      <c r="B341" s="1947">
        <f t="shared" si="89"/>
        <v>335</v>
      </c>
      <c r="C341" s="1906" t="s">
        <v>3209</v>
      </c>
      <c r="D341" s="1907" t="s">
        <v>2930</v>
      </c>
      <c r="E341" s="1906" t="s">
        <v>2966</v>
      </c>
      <c r="F341" s="1948" t="s">
        <v>259</v>
      </c>
      <c r="G341" s="1949">
        <v>217</v>
      </c>
      <c r="H341" s="1948">
        <v>217</v>
      </c>
      <c r="I341" s="1950">
        <v>281.76</v>
      </c>
      <c r="J341" s="1948">
        <v>281.76</v>
      </c>
      <c r="K341" s="1948">
        <v>0.73770000000000002</v>
      </c>
      <c r="L341" s="1948">
        <v>0</v>
      </c>
      <c r="M341" s="1948">
        <v>56014</v>
      </c>
      <c r="N341" s="1948">
        <f t="shared" si="75"/>
        <v>121720</v>
      </c>
      <c r="O341" s="1948">
        <f t="shared" si="76"/>
        <v>0</v>
      </c>
      <c r="P341" s="1948">
        <v>217</v>
      </c>
      <c r="Q341" s="1948">
        <v>285.59999999999997</v>
      </c>
      <c r="R341" s="1948">
        <v>285.60000000000002</v>
      </c>
      <c r="S341" s="1948">
        <v>0.70789999999999997</v>
      </c>
      <c r="T341" s="1948">
        <v>0</v>
      </c>
      <c r="U341" s="1948">
        <v>65562</v>
      </c>
      <c r="V341" s="1948">
        <f t="shared" si="77"/>
        <v>127492</v>
      </c>
      <c r="W341" s="1948">
        <f t="shared" si="78"/>
        <v>0</v>
      </c>
      <c r="X341" s="1948">
        <v>217</v>
      </c>
      <c r="Y341" s="1948">
        <v>281.92</v>
      </c>
      <c r="Z341" s="1948">
        <v>281.92</v>
      </c>
      <c r="AA341" s="1948">
        <v>0.66810000000000003</v>
      </c>
      <c r="AB341" s="1948">
        <v>0</v>
      </c>
      <c r="AC341" s="1948">
        <v>71540</v>
      </c>
      <c r="AD341" s="1948">
        <f t="shared" si="79"/>
        <v>121789</v>
      </c>
      <c r="AE341" s="1948">
        <f t="shared" si="80"/>
        <v>0</v>
      </c>
      <c r="AF341" s="1948">
        <v>217</v>
      </c>
      <c r="AG341" s="1948">
        <v>217.92</v>
      </c>
      <c r="AH341" s="1948">
        <v>217.92</v>
      </c>
      <c r="AI341" s="1948">
        <v>0.63539999999999996</v>
      </c>
      <c r="AJ341" s="1948">
        <v>0</v>
      </c>
      <c r="AK341" s="1948">
        <v>32014</v>
      </c>
      <c r="AL341" s="1948">
        <f t="shared" si="81"/>
        <v>97279</v>
      </c>
      <c r="AM341" s="1948">
        <f t="shared" si="82"/>
        <v>0</v>
      </c>
      <c r="AN341" s="1948">
        <v>217</v>
      </c>
      <c r="AO341" s="1948">
        <v>0.32</v>
      </c>
      <c r="AP341" s="1948">
        <v>217</v>
      </c>
      <c r="AQ341" s="1948">
        <v>0.94730000000000003</v>
      </c>
      <c r="AR341" s="1948">
        <v>0</v>
      </c>
      <c r="AS341" s="1948">
        <v>38</v>
      </c>
      <c r="AT341" s="1948">
        <f t="shared" si="83"/>
        <v>143</v>
      </c>
      <c r="AU341" s="1948">
        <f t="shared" si="84"/>
        <v>0</v>
      </c>
      <c r="AV341" s="1948">
        <v>217</v>
      </c>
      <c r="AW341" s="1948">
        <v>0.4</v>
      </c>
      <c r="AX341" s="1948">
        <v>217</v>
      </c>
      <c r="AY341" s="1948">
        <v>0</v>
      </c>
      <c r="AZ341" s="1948">
        <v>0</v>
      </c>
      <c r="BA341" s="1948">
        <v>0</v>
      </c>
      <c r="BB341" s="1948">
        <f t="shared" si="85"/>
        <v>173</v>
      </c>
      <c r="BC341" s="1948">
        <f t="shared" si="86"/>
        <v>0</v>
      </c>
      <c r="BD341" s="1949">
        <v>217</v>
      </c>
      <c r="BE341" s="1948">
        <v>0</v>
      </c>
      <c r="BF341" s="1949">
        <v>217</v>
      </c>
      <c r="BG341" s="1949">
        <v>0</v>
      </c>
      <c r="BH341" s="1949">
        <v>0</v>
      </c>
      <c r="BI341" s="1948">
        <v>0</v>
      </c>
      <c r="BJ341" s="1948">
        <f t="shared" si="87"/>
        <v>0</v>
      </c>
      <c r="BK341" s="1948">
        <f t="shared" si="88"/>
        <v>0</v>
      </c>
    </row>
    <row r="342" spans="1:63" ht="15">
      <c r="A342" s="1946">
        <v>622000000105</v>
      </c>
      <c r="B342" s="1947">
        <f t="shared" si="89"/>
        <v>336</v>
      </c>
      <c r="C342" s="1906" t="s">
        <v>3211</v>
      </c>
      <c r="D342" s="1907" t="s">
        <v>524</v>
      </c>
      <c r="E342" s="1906" t="s">
        <v>541</v>
      </c>
      <c r="F342" s="1948" t="s">
        <v>259</v>
      </c>
      <c r="G342" s="1949">
        <v>218</v>
      </c>
      <c r="H342" s="1948">
        <v>218</v>
      </c>
      <c r="I342" s="1950">
        <v>112.67999999999999</v>
      </c>
      <c r="J342" s="1948">
        <v>174.4</v>
      </c>
      <c r="K342" s="1948">
        <v>0.9607</v>
      </c>
      <c r="L342" s="1948">
        <v>1</v>
      </c>
      <c r="M342" s="1948">
        <v>815</v>
      </c>
      <c r="N342" s="1948">
        <f t="shared" si="75"/>
        <v>48678</v>
      </c>
      <c r="O342" s="1948">
        <f t="shared" si="76"/>
        <v>0</v>
      </c>
      <c r="P342" s="1948">
        <v>218</v>
      </c>
      <c r="Q342" s="1948">
        <v>122.39999999999999</v>
      </c>
      <c r="R342" s="1948">
        <v>174.4</v>
      </c>
      <c r="S342" s="1948">
        <v>0.77490000000000003</v>
      </c>
      <c r="T342" s="1948">
        <v>12.12</v>
      </c>
      <c r="U342" s="1948">
        <v>11040</v>
      </c>
      <c r="V342" s="1948">
        <f t="shared" si="77"/>
        <v>54639</v>
      </c>
      <c r="W342" s="1948">
        <f t="shared" si="78"/>
        <v>0</v>
      </c>
      <c r="X342" s="1948">
        <v>218</v>
      </c>
      <c r="Y342" s="1948">
        <v>133.92000000000002</v>
      </c>
      <c r="Z342" s="1948">
        <v>174.4</v>
      </c>
      <c r="AA342" s="1948">
        <v>0.78820000000000001</v>
      </c>
      <c r="AB342" s="1948">
        <v>5.15</v>
      </c>
      <c r="AC342" s="1948">
        <v>4968</v>
      </c>
      <c r="AD342" s="1948">
        <f t="shared" si="79"/>
        <v>57853</v>
      </c>
      <c r="AE342" s="1948">
        <f t="shared" si="80"/>
        <v>0</v>
      </c>
      <c r="AF342" s="1948">
        <v>218</v>
      </c>
      <c r="AG342" s="1948">
        <v>128.16</v>
      </c>
      <c r="AH342" s="1948">
        <v>174.4</v>
      </c>
      <c r="AI342" s="1948">
        <v>0.85919999999999996</v>
      </c>
      <c r="AJ342" s="1948">
        <v>2.02</v>
      </c>
      <c r="AK342" s="1948">
        <v>1926</v>
      </c>
      <c r="AL342" s="1948">
        <f t="shared" si="81"/>
        <v>57211</v>
      </c>
      <c r="AM342" s="1948">
        <f t="shared" si="82"/>
        <v>0</v>
      </c>
      <c r="AN342" s="1948">
        <v>218</v>
      </c>
      <c r="AO342" s="1948">
        <v>4.2</v>
      </c>
      <c r="AP342" s="1948">
        <v>174.4</v>
      </c>
      <c r="AQ342" s="1948">
        <v>0.99719999999999998</v>
      </c>
      <c r="AR342" s="1948">
        <v>23.11</v>
      </c>
      <c r="AS342" s="1948">
        <v>722</v>
      </c>
      <c r="AT342" s="1948">
        <f t="shared" si="83"/>
        <v>1875</v>
      </c>
      <c r="AU342" s="1948">
        <f t="shared" si="84"/>
        <v>0</v>
      </c>
      <c r="AV342" s="1948">
        <v>218</v>
      </c>
      <c r="AW342" s="1948">
        <v>7.08</v>
      </c>
      <c r="AX342" s="1948">
        <v>174.4</v>
      </c>
      <c r="AY342" s="1948">
        <v>1.0012000000000001</v>
      </c>
      <c r="AZ342" s="1948">
        <v>15.97</v>
      </c>
      <c r="BA342" s="1948">
        <v>814</v>
      </c>
      <c r="BB342" s="1948">
        <f t="shared" si="85"/>
        <v>3059</v>
      </c>
      <c r="BC342" s="1948">
        <f t="shared" si="86"/>
        <v>0</v>
      </c>
      <c r="BD342" s="1949">
        <v>218</v>
      </c>
      <c r="BE342" s="1948">
        <v>130.80000000000001</v>
      </c>
      <c r="BF342" s="1949">
        <v>174.4</v>
      </c>
      <c r="BG342" s="1949">
        <v>0.874</v>
      </c>
      <c r="BH342" s="1949">
        <v>1.88</v>
      </c>
      <c r="BI342" s="1948">
        <v>1826</v>
      </c>
      <c r="BJ342" s="1948">
        <f t="shared" si="87"/>
        <v>58389</v>
      </c>
      <c r="BK342" s="1948">
        <f t="shared" si="88"/>
        <v>0</v>
      </c>
    </row>
    <row r="343" spans="1:63" ht="15">
      <c r="A343" s="1946">
        <v>123000000125</v>
      </c>
      <c r="B343" s="1947">
        <f t="shared" si="89"/>
        <v>337</v>
      </c>
      <c r="C343" s="1906" t="s">
        <v>3212</v>
      </c>
      <c r="D343" s="1907" t="s">
        <v>524</v>
      </c>
      <c r="E343" s="1906" t="s">
        <v>2966</v>
      </c>
      <c r="F343" s="1948" t="s">
        <v>259</v>
      </c>
      <c r="G343" s="1949">
        <v>220</v>
      </c>
      <c r="H343" s="1948">
        <v>220</v>
      </c>
      <c r="I343" s="1950">
        <v>55.679999999999993</v>
      </c>
      <c r="J343" s="1948">
        <v>220</v>
      </c>
      <c r="K343" s="1948">
        <v>0.84809999999999997</v>
      </c>
      <c r="L343" s="1948">
        <v>0</v>
      </c>
      <c r="M343" s="1948">
        <v>11522</v>
      </c>
      <c r="N343" s="1948">
        <f t="shared" si="75"/>
        <v>24054</v>
      </c>
      <c r="O343" s="1948">
        <f t="shared" si="76"/>
        <v>0</v>
      </c>
      <c r="P343" s="1948">
        <v>220</v>
      </c>
      <c r="Q343" s="1948">
        <v>75.52</v>
      </c>
      <c r="R343" s="1948">
        <v>220</v>
      </c>
      <c r="S343" s="1948">
        <v>0.87319999999999998</v>
      </c>
      <c r="T343" s="1948">
        <v>0</v>
      </c>
      <c r="U343" s="1948">
        <v>9296</v>
      </c>
      <c r="V343" s="1948">
        <f t="shared" si="77"/>
        <v>33712</v>
      </c>
      <c r="W343" s="1948">
        <f t="shared" si="78"/>
        <v>0</v>
      </c>
      <c r="X343" s="1948">
        <v>220</v>
      </c>
      <c r="Y343" s="1948">
        <v>62.08</v>
      </c>
      <c r="Z343" s="1948">
        <v>220</v>
      </c>
      <c r="AA343" s="1948">
        <v>0.80130000000000001</v>
      </c>
      <c r="AB343" s="1948">
        <v>0</v>
      </c>
      <c r="AC343" s="1948">
        <v>14490</v>
      </c>
      <c r="AD343" s="1948">
        <f t="shared" si="79"/>
        <v>26819</v>
      </c>
      <c r="AE343" s="1948">
        <f t="shared" si="80"/>
        <v>0</v>
      </c>
      <c r="AF343" s="1948">
        <v>220</v>
      </c>
      <c r="AG343" s="1948">
        <v>75.2</v>
      </c>
      <c r="AH343" s="1948">
        <v>220</v>
      </c>
      <c r="AI343" s="1948">
        <v>0.76539999999999997</v>
      </c>
      <c r="AJ343" s="1948">
        <v>0</v>
      </c>
      <c r="AK343" s="1948">
        <v>22276</v>
      </c>
      <c r="AL343" s="1948">
        <f t="shared" si="81"/>
        <v>33569</v>
      </c>
      <c r="AM343" s="1948">
        <f t="shared" si="82"/>
        <v>0</v>
      </c>
      <c r="AN343" s="1948">
        <v>220</v>
      </c>
      <c r="AO343" s="1948">
        <v>97.44</v>
      </c>
      <c r="AP343" s="1948">
        <v>220</v>
      </c>
      <c r="AQ343" s="1948">
        <v>0.78480000000000005</v>
      </c>
      <c r="AR343" s="1948">
        <v>0</v>
      </c>
      <c r="AS343" s="1948">
        <v>28244</v>
      </c>
      <c r="AT343" s="1948">
        <f t="shared" si="83"/>
        <v>43497</v>
      </c>
      <c r="AU343" s="1948">
        <f t="shared" si="84"/>
        <v>0</v>
      </c>
      <c r="AV343" s="1948">
        <v>220</v>
      </c>
      <c r="AW343" s="1948">
        <v>79.039999999999992</v>
      </c>
      <c r="AX343" s="1948">
        <v>220</v>
      </c>
      <c r="AY343" s="1948">
        <v>0.78739999999999999</v>
      </c>
      <c r="AZ343" s="1948">
        <v>0</v>
      </c>
      <c r="BA343" s="1948">
        <v>25740</v>
      </c>
      <c r="BB343" s="1948">
        <f t="shared" si="85"/>
        <v>34145</v>
      </c>
      <c r="BC343" s="1948">
        <f t="shared" si="86"/>
        <v>0</v>
      </c>
      <c r="BD343" s="1949">
        <v>220</v>
      </c>
      <c r="BE343" s="1948">
        <v>65.759999999999991</v>
      </c>
      <c r="BF343" s="1949">
        <v>220</v>
      </c>
      <c r="BG343" s="1949">
        <v>0.75780000000000003</v>
      </c>
      <c r="BH343" s="1949">
        <v>0</v>
      </c>
      <c r="BI343" s="1948">
        <v>19702</v>
      </c>
      <c r="BJ343" s="1948">
        <f t="shared" si="87"/>
        <v>29355</v>
      </c>
      <c r="BK343" s="1948">
        <f t="shared" si="88"/>
        <v>0</v>
      </c>
    </row>
    <row r="344" spans="1:63" ht="15">
      <c r="A344" s="1946">
        <v>126000000037</v>
      </c>
      <c r="B344" s="1947">
        <f t="shared" si="89"/>
        <v>338</v>
      </c>
      <c r="C344" s="1906" t="s">
        <v>3213</v>
      </c>
      <c r="D344" s="1907" t="s">
        <v>524</v>
      </c>
      <c r="E344" s="1906" t="s">
        <v>541</v>
      </c>
      <c r="F344" s="1948" t="s">
        <v>259</v>
      </c>
      <c r="G344" s="1949">
        <v>220</v>
      </c>
      <c r="H344" s="1948">
        <v>220</v>
      </c>
      <c r="I344" s="1950">
        <v>184.64000000000001</v>
      </c>
      <c r="J344" s="1948">
        <v>184.64</v>
      </c>
      <c r="K344" s="1948">
        <v>0.96179999999999999</v>
      </c>
      <c r="L344" s="1948">
        <v>39.11</v>
      </c>
      <c r="M344" s="1948">
        <v>57192</v>
      </c>
      <c r="N344" s="1948">
        <f t="shared" si="75"/>
        <v>79764</v>
      </c>
      <c r="O344" s="1948">
        <f t="shared" si="76"/>
        <v>0</v>
      </c>
      <c r="P344" s="1948">
        <v>220</v>
      </c>
      <c r="Q344" s="1948">
        <v>196.48000000000002</v>
      </c>
      <c r="R344" s="1948">
        <v>196.48</v>
      </c>
      <c r="S344" s="1948">
        <v>0.94299999999999995</v>
      </c>
      <c r="T344" s="1948">
        <v>34.700000000000003</v>
      </c>
      <c r="U344" s="1948">
        <v>50720</v>
      </c>
      <c r="V344" s="1948">
        <f t="shared" si="77"/>
        <v>87709</v>
      </c>
      <c r="W344" s="1948">
        <f t="shared" si="78"/>
        <v>0</v>
      </c>
      <c r="X344" s="1948">
        <v>220</v>
      </c>
      <c r="Y344" s="1948">
        <v>159.20000000000002</v>
      </c>
      <c r="Z344" s="1948">
        <v>176</v>
      </c>
      <c r="AA344" s="1948">
        <v>0.93140000000000001</v>
      </c>
      <c r="AB344" s="1948">
        <v>31.68</v>
      </c>
      <c r="AC344" s="1948">
        <v>36318</v>
      </c>
      <c r="AD344" s="1948">
        <f t="shared" si="79"/>
        <v>68774</v>
      </c>
      <c r="AE344" s="1948">
        <f t="shared" si="80"/>
        <v>0</v>
      </c>
      <c r="AF344" s="1948">
        <v>220</v>
      </c>
      <c r="AG344" s="1948">
        <v>117.92</v>
      </c>
      <c r="AH344" s="1948">
        <v>176</v>
      </c>
      <c r="AI344" s="1948">
        <v>0.93640000000000001</v>
      </c>
      <c r="AJ344" s="1948">
        <v>34.26</v>
      </c>
      <c r="AK344" s="1948">
        <v>30058</v>
      </c>
      <c r="AL344" s="1948">
        <f t="shared" si="81"/>
        <v>52639</v>
      </c>
      <c r="AM344" s="1948">
        <f t="shared" si="82"/>
        <v>0</v>
      </c>
      <c r="AN344" s="1948">
        <v>220</v>
      </c>
      <c r="AO344" s="1948">
        <v>118.56</v>
      </c>
      <c r="AP344" s="1948">
        <v>176</v>
      </c>
      <c r="AQ344" s="1948">
        <v>0.91149999999999998</v>
      </c>
      <c r="AR344" s="1948">
        <v>23.85</v>
      </c>
      <c r="AS344" s="1948">
        <v>21036</v>
      </c>
      <c r="AT344" s="1948">
        <f t="shared" si="83"/>
        <v>52925</v>
      </c>
      <c r="AU344" s="1948">
        <f t="shared" si="84"/>
        <v>0</v>
      </c>
      <c r="AV344" s="1948">
        <v>220</v>
      </c>
      <c r="AW344" s="1948">
        <v>121.44</v>
      </c>
      <c r="AX344" s="1948">
        <v>176</v>
      </c>
      <c r="AY344" s="1948">
        <v>0.92600000000000005</v>
      </c>
      <c r="AZ344" s="1948">
        <v>28.08</v>
      </c>
      <c r="BA344" s="1948">
        <v>22096</v>
      </c>
      <c r="BB344" s="1948">
        <f t="shared" si="85"/>
        <v>52462</v>
      </c>
      <c r="BC344" s="1948">
        <f t="shared" si="86"/>
        <v>0</v>
      </c>
      <c r="BD344" s="1949">
        <v>220</v>
      </c>
      <c r="BE344" s="1948">
        <v>160.32</v>
      </c>
      <c r="BF344" s="1949">
        <v>176</v>
      </c>
      <c r="BG344" s="1949">
        <v>0.88190000000000002</v>
      </c>
      <c r="BH344" s="1949">
        <v>14.69</v>
      </c>
      <c r="BI344" s="1948">
        <v>18654</v>
      </c>
      <c r="BJ344" s="1948">
        <f t="shared" si="87"/>
        <v>71567</v>
      </c>
      <c r="BK344" s="1948">
        <f t="shared" si="88"/>
        <v>0</v>
      </c>
    </row>
    <row r="345" spans="1:63" ht="15">
      <c r="A345" s="1946">
        <v>611000000130</v>
      </c>
      <c r="B345" s="1947">
        <f t="shared" si="89"/>
        <v>339</v>
      </c>
      <c r="C345" s="1906" t="s">
        <v>3565</v>
      </c>
      <c r="D345" s="1907" t="s">
        <v>524</v>
      </c>
      <c r="E345" s="1906" t="s">
        <v>636</v>
      </c>
      <c r="F345" s="1948" t="s">
        <v>259</v>
      </c>
      <c r="G345" s="1949">
        <v>220</v>
      </c>
      <c r="H345" s="1948">
        <v>0</v>
      </c>
      <c r="I345" s="1950">
        <v>0</v>
      </c>
      <c r="J345" s="1948">
        <v>0</v>
      </c>
      <c r="K345" s="1948">
        <v>0</v>
      </c>
      <c r="L345" s="1948">
        <v>0</v>
      </c>
      <c r="M345" s="1948">
        <v>0</v>
      </c>
      <c r="N345" s="1948">
        <f t="shared" si="75"/>
        <v>0</v>
      </c>
      <c r="O345" s="1948">
        <f t="shared" si="76"/>
        <v>0</v>
      </c>
      <c r="P345" s="1948">
        <v>0</v>
      </c>
      <c r="Q345" s="1948">
        <v>0</v>
      </c>
      <c r="R345" s="1948">
        <v>0</v>
      </c>
      <c r="S345" s="1948">
        <v>0</v>
      </c>
      <c r="T345" s="1948">
        <v>0</v>
      </c>
      <c r="U345" s="1948">
        <v>0</v>
      </c>
      <c r="V345" s="1948">
        <f t="shared" si="77"/>
        <v>0</v>
      </c>
      <c r="W345" s="1948">
        <f t="shared" si="78"/>
        <v>0</v>
      </c>
      <c r="X345" s="1948">
        <v>0</v>
      </c>
      <c r="Y345" s="1948">
        <v>0</v>
      </c>
      <c r="Z345" s="1948">
        <v>0</v>
      </c>
      <c r="AA345" s="1948">
        <v>0</v>
      </c>
      <c r="AB345" s="1948">
        <v>0</v>
      </c>
      <c r="AC345" s="1948">
        <v>0</v>
      </c>
      <c r="AD345" s="1948">
        <f t="shared" si="79"/>
        <v>0</v>
      </c>
      <c r="AE345" s="1948">
        <f t="shared" si="80"/>
        <v>0</v>
      </c>
      <c r="AF345" s="1948">
        <v>0</v>
      </c>
      <c r="AG345" s="1948">
        <v>0</v>
      </c>
      <c r="AH345" s="1948">
        <v>0</v>
      </c>
      <c r="AI345" s="1948">
        <v>0</v>
      </c>
      <c r="AJ345" s="1948">
        <v>0</v>
      </c>
      <c r="AK345" s="1948">
        <v>0</v>
      </c>
      <c r="AL345" s="1948">
        <f t="shared" si="81"/>
        <v>0</v>
      </c>
      <c r="AM345" s="1948">
        <f t="shared" si="82"/>
        <v>0</v>
      </c>
      <c r="AN345" s="1948">
        <v>0</v>
      </c>
      <c r="AO345" s="1948">
        <v>0</v>
      </c>
      <c r="AP345" s="1948">
        <v>0</v>
      </c>
      <c r="AQ345" s="1948">
        <v>0</v>
      </c>
      <c r="AR345" s="1948">
        <v>0</v>
      </c>
      <c r="AS345" s="1948">
        <v>0</v>
      </c>
      <c r="AT345" s="1948">
        <f t="shared" si="83"/>
        <v>0</v>
      </c>
      <c r="AU345" s="1948">
        <f t="shared" si="84"/>
        <v>0</v>
      </c>
      <c r="AV345" s="1948">
        <v>220</v>
      </c>
      <c r="AW345" s="1948">
        <v>10.272</v>
      </c>
      <c r="AX345" s="1948">
        <v>176</v>
      </c>
      <c r="AY345" s="1948">
        <v>0.65439999999999998</v>
      </c>
      <c r="AZ345" s="1948">
        <v>46.06</v>
      </c>
      <c r="BA345" s="1948">
        <v>1476</v>
      </c>
      <c r="BB345" s="1948">
        <f t="shared" si="85"/>
        <v>4438</v>
      </c>
      <c r="BC345" s="1948">
        <f t="shared" si="86"/>
        <v>0</v>
      </c>
      <c r="BD345" s="1949">
        <v>220</v>
      </c>
      <c r="BE345" s="1948">
        <v>11.848000000000001</v>
      </c>
      <c r="BF345" s="1949">
        <v>176</v>
      </c>
      <c r="BG345" s="1949">
        <v>0.74750000000000005</v>
      </c>
      <c r="BH345" s="1949">
        <v>34.28</v>
      </c>
      <c r="BI345" s="1948">
        <v>3022</v>
      </c>
      <c r="BJ345" s="1948">
        <f t="shared" si="87"/>
        <v>5289</v>
      </c>
      <c r="BK345" s="1948">
        <f t="shared" si="88"/>
        <v>0</v>
      </c>
    </row>
    <row r="346" spans="1:63" ht="15">
      <c r="A346" s="1946">
        <v>615000000029</v>
      </c>
      <c r="B346" s="1947">
        <f t="shared" si="89"/>
        <v>340</v>
      </c>
      <c r="C346" s="1906" t="s">
        <v>3214</v>
      </c>
      <c r="D346" s="1907" t="s">
        <v>524</v>
      </c>
      <c r="E346" s="1906" t="s">
        <v>541</v>
      </c>
      <c r="F346" s="1948" t="s">
        <v>259</v>
      </c>
      <c r="G346" s="1949">
        <v>220</v>
      </c>
      <c r="H346" s="1948">
        <v>220</v>
      </c>
      <c r="I346" s="1950">
        <v>207.68</v>
      </c>
      <c r="J346" s="1948">
        <v>207.68</v>
      </c>
      <c r="K346" s="1948">
        <v>0.90920000000000001</v>
      </c>
      <c r="L346" s="1948">
        <v>17.260000000000002</v>
      </c>
      <c r="M346" s="1948">
        <v>25810</v>
      </c>
      <c r="N346" s="1948">
        <f t="shared" si="75"/>
        <v>89718</v>
      </c>
      <c r="O346" s="1948">
        <f t="shared" si="76"/>
        <v>0</v>
      </c>
      <c r="P346" s="1948">
        <v>220</v>
      </c>
      <c r="Q346" s="1948">
        <v>225.76</v>
      </c>
      <c r="R346" s="1948">
        <v>225.76</v>
      </c>
      <c r="S346" s="1948">
        <v>0.8145</v>
      </c>
      <c r="T346" s="1948">
        <v>18.100000000000001</v>
      </c>
      <c r="U346" s="1948">
        <v>30406</v>
      </c>
      <c r="V346" s="1948">
        <f t="shared" si="77"/>
        <v>100779</v>
      </c>
      <c r="W346" s="1948">
        <f t="shared" si="78"/>
        <v>0</v>
      </c>
      <c r="X346" s="1948">
        <v>220</v>
      </c>
      <c r="Y346" s="1948">
        <v>196.32</v>
      </c>
      <c r="Z346" s="1948">
        <v>196.32</v>
      </c>
      <c r="AA346" s="1948">
        <v>0.78159999999999996</v>
      </c>
      <c r="AB346" s="1948">
        <v>19.79</v>
      </c>
      <c r="AC346" s="1948">
        <v>27976</v>
      </c>
      <c r="AD346" s="1948">
        <f t="shared" si="79"/>
        <v>84810</v>
      </c>
      <c r="AE346" s="1948">
        <f t="shared" si="80"/>
        <v>0</v>
      </c>
      <c r="AF346" s="1948">
        <v>220</v>
      </c>
      <c r="AG346" s="1948">
        <v>227.04</v>
      </c>
      <c r="AH346" s="1948">
        <v>227.04</v>
      </c>
      <c r="AI346" s="1948">
        <v>0.83730000000000004</v>
      </c>
      <c r="AJ346" s="1948">
        <v>19.96</v>
      </c>
      <c r="AK346" s="1948">
        <v>33722</v>
      </c>
      <c r="AL346" s="1948">
        <f t="shared" si="81"/>
        <v>101351</v>
      </c>
      <c r="AM346" s="1948">
        <f t="shared" si="82"/>
        <v>0</v>
      </c>
      <c r="AN346" s="1948">
        <v>220</v>
      </c>
      <c r="AO346" s="1948">
        <v>194.56</v>
      </c>
      <c r="AP346" s="1948">
        <v>194.56</v>
      </c>
      <c r="AQ346" s="1948">
        <v>0.96499999999999997</v>
      </c>
      <c r="AR346" s="1948">
        <v>19.34</v>
      </c>
      <c r="AS346" s="1948">
        <v>27994</v>
      </c>
      <c r="AT346" s="1948">
        <f t="shared" si="83"/>
        <v>86852</v>
      </c>
      <c r="AU346" s="1948">
        <f t="shared" si="84"/>
        <v>0</v>
      </c>
      <c r="AV346" s="1948">
        <v>220</v>
      </c>
      <c r="AW346" s="1948">
        <v>209.92</v>
      </c>
      <c r="AX346" s="1948">
        <v>209.92</v>
      </c>
      <c r="AY346" s="1948">
        <v>0.77059999999999995</v>
      </c>
      <c r="AZ346" s="1948">
        <v>18.96</v>
      </c>
      <c r="BA346" s="1948">
        <v>28664</v>
      </c>
      <c r="BB346" s="1948">
        <f t="shared" si="85"/>
        <v>90685</v>
      </c>
      <c r="BC346" s="1948">
        <f t="shared" si="86"/>
        <v>0</v>
      </c>
      <c r="BD346" s="1949">
        <v>220</v>
      </c>
      <c r="BE346" s="1949">
        <v>204.96</v>
      </c>
      <c r="BF346" s="1949">
        <v>204.96</v>
      </c>
      <c r="BG346" s="1949">
        <v>0.76990000000000003</v>
      </c>
      <c r="BH346" s="1949">
        <v>16.989999999999998</v>
      </c>
      <c r="BI346" s="1948">
        <v>25902</v>
      </c>
      <c r="BJ346" s="1948">
        <f t="shared" si="87"/>
        <v>91494</v>
      </c>
      <c r="BK346" s="1948">
        <f t="shared" si="88"/>
        <v>0</v>
      </c>
    </row>
    <row r="347" spans="1:63" ht="15">
      <c r="A347" s="1946">
        <v>122000000072</v>
      </c>
      <c r="B347" s="1947">
        <f t="shared" si="89"/>
        <v>341</v>
      </c>
      <c r="C347" s="1906" t="s">
        <v>3218</v>
      </c>
      <c r="D347" s="1907" t="s">
        <v>524</v>
      </c>
      <c r="E347" s="1906" t="s">
        <v>2966</v>
      </c>
      <c r="F347" s="1948" t="s">
        <v>259</v>
      </c>
      <c r="G347" s="1949">
        <v>222</v>
      </c>
      <c r="H347" s="1948">
        <v>222</v>
      </c>
      <c r="I347" s="1950">
        <v>104.96000000000001</v>
      </c>
      <c r="J347" s="1948">
        <v>222</v>
      </c>
      <c r="K347" s="1948">
        <v>0.72819999999999996</v>
      </c>
      <c r="L347" s="1948">
        <v>0</v>
      </c>
      <c r="M347" s="1948">
        <v>26550</v>
      </c>
      <c r="N347" s="1948">
        <f t="shared" si="75"/>
        <v>45343</v>
      </c>
      <c r="O347" s="1948">
        <f t="shared" si="76"/>
        <v>0</v>
      </c>
      <c r="P347" s="1948">
        <v>222</v>
      </c>
      <c r="Q347" s="1948">
        <v>74.56</v>
      </c>
      <c r="R347" s="1948">
        <v>222</v>
      </c>
      <c r="S347" s="1948">
        <v>0.67110000000000003</v>
      </c>
      <c r="T347" s="1948">
        <v>0</v>
      </c>
      <c r="U347" s="1948">
        <v>20748</v>
      </c>
      <c r="V347" s="1948">
        <f t="shared" si="77"/>
        <v>33284</v>
      </c>
      <c r="W347" s="1948">
        <f t="shared" si="78"/>
        <v>0</v>
      </c>
      <c r="X347" s="1948">
        <v>222</v>
      </c>
      <c r="Y347" s="1948">
        <v>87.68</v>
      </c>
      <c r="Z347" s="1948">
        <v>222</v>
      </c>
      <c r="AA347" s="1948">
        <v>0.68600000000000005</v>
      </c>
      <c r="AB347" s="1948">
        <v>0</v>
      </c>
      <c r="AC347" s="1948">
        <v>23600</v>
      </c>
      <c r="AD347" s="1948">
        <f t="shared" si="79"/>
        <v>37878</v>
      </c>
      <c r="AE347" s="1948">
        <f t="shared" si="80"/>
        <v>0</v>
      </c>
      <c r="AF347" s="1948">
        <v>222</v>
      </c>
      <c r="AG347" s="1948">
        <v>79.36</v>
      </c>
      <c r="AH347" s="1948">
        <v>222</v>
      </c>
      <c r="AI347" s="1948">
        <v>0.55079999999999996</v>
      </c>
      <c r="AJ347" s="1948">
        <v>0</v>
      </c>
      <c r="AK347" s="1948">
        <v>7374</v>
      </c>
      <c r="AL347" s="1948">
        <f t="shared" si="81"/>
        <v>35426</v>
      </c>
      <c r="AM347" s="1948">
        <f t="shared" si="82"/>
        <v>0</v>
      </c>
      <c r="AN347" s="1948">
        <v>222</v>
      </c>
      <c r="AO347" s="1948">
        <v>65.44</v>
      </c>
      <c r="AP347" s="1948">
        <v>222</v>
      </c>
      <c r="AQ347" s="1948">
        <v>0.57250000000000001</v>
      </c>
      <c r="AR347" s="1948">
        <v>0</v>
      </c>
      <c r="AS347" s="1948">
        <v>12662</v>
      </c>
      <c r="AT347" s="1948">
        <f t="shared" si="83"/>
        <v>29212</v>
      </c>
      <c r="AU347" s="1948">
        <f t="shared" si="84"/>
        <v>0</v>
      </c>
      <c r="AV347" s="1948">
        <v>222</v>
      </c>
      <c r="AW347" s="1948">
        <v>115.84</v>
      </c>
      <c r="AX347" s="1948">
        <v>222</v>
      </c>
      <c r="AY347" s="1948">
        <v>0.61509999999999998</v>
      </c>
      <c r="AZ347" s="1948">
        <v>0</v>
      </c>
      <c r="BA347" s="1948">
        <v>19846</v>
      </c>
      <c r="BB347" s="1948">
        <f t="shared" si="85"/>
        <v>50043</v>
      </c>
      <c r="BC347" s="1948">
        <f t="shared" si="86"/>
        <v>0</v>
      </c>
      <c r="BD347" s="1949">
        <v>222</v>
      </c>
      <c r="BE347" s="1948">
        <v>99.36</v>
      </c>
      <c r="BF347" s="1949">
        <v>222</v>
      </c>
      <c r="BG347" s="1949">
        <v>0.63139999999999996</v>
      </c>
      <c r="BH347" s="1949">
        <v>0</v>
      </c>
      <c r="BI347" s="1948">
        <v>22480</v>
      </c>
      <c r="BJ347" s="1948">
        <f t="shared" si="87"/>
        <v>44354</v>
      </c>
      <c r="BK347" s="1948">
        <f t="shared" si="88"/>
        <v>0</v>
      </c>
    </row>
    <row r="348" spans="1:63" ht="15">
      <c r="A348" s="1946">
        <v>121000000063</v>
      </c>
      <c r="B348" s="1947">
        <f t="shared" si="89"/>
        <v>342</v>
      </c>
      <c r="C348" s="1906" t="s">
        <v>3217</v>
      </c>
      <c r="D348" s="1907" t="s">
        <v>524</v>
      </c>
      <c r="E348" s="1906" t="s">
        <v>541</v>
      </c>
      <c r="F348" s="1948" t="s">
        <v>259</v>
      </c>
      <c r="G348" s="1949">
        <v>222</v>
      </c>
      <c r="H348" s="1948">
        <v>222</v>
      </c>
      <c r="I348" s="1950">
        <v>134.56</v>
      </c>
      <c r="J348" s="1948">
        <v>177.6</v>
      </c>
      <c r="K348" s="1948">
        <v>0.9829</v>
      </c>
      <c r="L348" s="1948">
        <v>0.28999999999999998</v>
      </c>
      <c r="M348" s="1948">
        <v>15106</v>
      </c>
      <c r="N348" s="1948">
        <f t="shared" si="75"/>
        <v>58130</v>
      </c>
      <c r="O348" s="1948">
        <f t="shared" si="76"/>
        <v>0</v>
      </c>
      <c r="P348" s="1948">
        <v>222</v>
      </c>
      <c r="Q348" s="1948">
        <v>130.07999999999998</v>
      </c>
      <c r="R348" s="1948">
        <v>177.6</v>
      </c>
      <c r="S348" s="1948">
        <v>0.98409999999999997</v>
      </c>
      <c r="T348" s="1948">
        <v>24.99</v>
      </c>
      <c r="U348" s="1948">
        <v>24188</v>
      </c>
      <c r="V348" s="1948">
        <f t="shared" si="77"/>
        <v>58068</v>
      </c>
      <c r="W348" s="1948">
        <f t="shared" si="78"/>
        <v>0</v>
      </c>
      <c r="X348" s="1948">
        <v>222</v>
      </c>
      <c r="Y348" s="1948">
        <v>128</v>
      </c>
      <c r="Z348" s="1948">
        <v>177.6</v>
      </c>
      <c r="AA348" s="1948">
        <v>0.97689999999999999</v>
      </c>
      <c r="AB348" s="1948">
        <v>19.43</v>
      </c>
      <c r="AC348" s="1948">
        <v>17906</v>
      </c>
      <c r="AD348" s="1948">
        <f t="shared" si="79"/>
        <v>55296</v>
      </c>
      <c r="AE348" s="1948">
        <f t="shared" si="80"/>
        <v>0</v>
      </c>
      <c r="AF348" s="1948">
        <v>222</v>
      </c>
      <c r="AG348" s="1948">
        <v>128.32</v>
      </c>
      <c r="AH348" s="1948">
        <v>177.6</v>
      </c>
      <c r="AI348" s="1948">
        <v>0.96930000000000005</v>
      </c>
      <c r="AJ348" s="1948">
        <v>13.52</v>
      </c>
      <c r="AK348" s="1948">
        <v>12910</v>
      </c>
      <c r="AL348" s="1948">
        <f t="shared" si="81"/>
        <v>57282</v>
      </c>
      <c r="AM348" s="1948">
        <f t="shared" si="82"/>
        <v>0</v>
      </c>
      <c r="AN348" s="1948">
        <v>222</v>
      </c>
      <c r="AO348" s="1948">
        <v>128.32</v>
      </c>
      <c r="AP348" s="1948">
        <v>177.6</v>
      </c>
      <c r="AQ348" s="1948">
        <v>0.95399999999999996</v>
      </c>
      <c r="AR348" s="1948">
        <v>14.1</v>
      </c>
      <c r="AS348" s="1948">
        <v>13458</v>
      </c>
      <c r="AT348" s="1948">
        <f t="shared" si="83"/>
        <v>57282</v>
      </c>
      <c r="AU348" s="1948">
        <f t="shared" si="84"/>
        <v>0</v>
      </c>
      <c r="AV348" s="1948">
        <v>222</v>
      </c>
      <c r="AW348" s="1948">
        <v>85.11999999999999</v>
      </c>
      <c r="AX348" s="1948">
        <v>177.6</v>
      </c>
      <c r="AY348" s="1948">
        <v>0.96899999999999997</v>
      </c>
      <c r="AZ348" s="1948">
        <v>29.34</v>
      </c>
      <c r="BA348" s="1948">
        <v>17980</v>
      </c>
      <c r="BB348" s="1948">
        <f t="shared" si="85"/>
        <v>36772</v>
      </c>
      <c r="BC348" s="1948">
        <f t="shared" si="86"/>
        <v>0</v>
      </c>
      <c r="BD348" s="1949">
        <v>222</v>
      </c>
      <c r="BE348" s="1948">
        <v>84.32</v>
      </c>
      <c r="BF348" s="1949">
        <v>177.6</v>
      </c>
      <c r="BG348" s="1949">
        <v>0.9325</v>
      </c>
      <c r="BH348" s="1949">
        <v>21.84</v>
      </c>
      <c r="BI348" s="1948">
        <v>13698</v>
      </c>
      <c r="BJ348" s="1948">
        <f t="shared" si="87"/>
        <v>37640</v>
      </c>
      <c r="BK348" s="1948">
        <f t="shared" si="88"/>
        <v>0</v>
      </c>
    </row>
    <row r="349" spans="1:63" ht="15">
      <c r="A349" s="1946">
        <v>121000000090</v>
      </c>
      <c r="B349" s="1947">
        <f t="shared" si="89"/>
        <v>343</v>
      </c>
      <c r="C349" s="1906" t="s">
        <v>3216</v>
      </c>
      <c r="D349" s="1907" t="s">
        <v>524</v>
      </c>
      <c r="E349" s="1906" t="s">
        <v>2966</v>
      </c>
      <c r="F349" s="1948" t="s">
        <v>259</v>
      </c>
      <c r="G349" s="1949">
        <v>222</v>
      </c>
      <c r="H349" s="1948">
        <v>222</v>
      </c>
      <c r="I349" s="1950">
        <v>141</v>
      </c>
      <c r="J349" s="1948">
        <v>222</v>
      </c>
      <c r="K349" s="1948">
        <v>0.79200000000000004</v>
      </c>
      <c r="L349" s="1948">
        <v>0</v>
      </c>
      <c r="M349" s="1948">
        <v>26312</v>
      </c>
      <c r="N349" s="1948">
        <f t="shared" si="75"/>
        <v>60912</v>
      </c>
      <c r="O349" s="1948">
        <f t="shared" si="76"/>
        <v>0</v>
      </c>
      <c r="P349" s="1948">
        <v>222</v>
      </c>
      <c r="Q349" s="1948">
        <v>140.88</v>
      </c>
      <c r="R349" s="1948">
        <v>222</v>
      </c>
      <c r="S349" s="1948">
        <v>0.80200000000000005</v>
      </c>
      <c r="T349" s="1948">
        <v>0</v>
      </c>
      <c r="U349" s="1948">
        <v>20650</v>
      </c>
      <c r="V349" s="1948">
        <f t="shared" si="77"/>
        <v>62889</v>
      </c>
      <c r="W349" s="1948">
        <f t="shared" si="78"/>
        <v>0</v>
      </c>
      <c r="X349" s="1948">
        <v>222</v>
      </c>
      <c r="Y349" s="1948">
        <v>51.36</v>
      </c>
      <c r="Z349" s="1948">
        <v>222</v>
      </c>
      <c r="AA349" s="1948">
        <v>0.58579999999999999</v>
      </c>
      <c r="AB349" s="1948">
        <v>0</v>
      </c>
      <c r="AC349" s="1948">
        <v>6461</v>
      </c>
      <c r="AD349" s="1948">
        <f t="shared" si="79"/>
        <v>22188</v>
      </c>
      <c r="AE349" s="1948">
        <f t="shared" si="80"/>
        <v>0</v>
      </c>
      <c r="AF349" s="1948">
        <v>222</v>
      </c>
      <c r="AG349" s="1948">
        <v>82.56</v>
      </c>
      <c r="AH349" s="1948">
        <v>222</v>
      </c>
      <c r="AI349" s="1948">
        <v>0.52290000000000003</v>
      </c>
      <c r="AJ349" s="1948">
        <v>0</v>
      </c>
      <c r="AK349" s="1948">
        <v>11442</v>
      </c>
      <c r="AL349" s="1948">
        <f t="shared" si="81"/>
        <v>36855</v>
      </c>
      <c r="AM349" s="1948">
        <f t="shared" si="82"/>
        <v>0</v>
      </c>
      <c r="AN349" s="1948">
        <v>222</v>
      </c>
      <c r="AO349" s="1948">
        <v>94.2</v>
      </c>
      <c r="AP349" s="1948">
        <v>222</v>
      </c>
      <c r="AQ349" s="1948">
        <v>0.63859999999999995</v>
      </c>
      <c r="AR349" s="1948">
        <v>0</v>
      </c>
      <c r="AS349" s="1948">
        <v>24979</v>
      </c>
      <c r="AT349" s="1948">
        <f t="shared" si="83"/>
        <v>42051</v>
      </c>
      <c r="AU349" s="1948">
        <f t="shared" si="84"/>
        <v>0</v>
      </c>
      <c r="AV349" s="1948">
        <v>222</v>
      </c>
      <c r="AW349" s="1948">
        <v>98.16</v>
      </c>
      <c r="AX349" s="1948">
        <v>222</v>
      </c>
      <c r="AY349" s="1948">
        <v>0.66110000000000002</v>
      </c>
      <c r="AZ349" s="1948">
        <v>0</v>
      </c>
      <c r="BA349" s="1948">
        <v>22706</v>
      </c>
      <c r="BB349" s="1948">
        <f t="shared" si="85"/>
        <v>42405</v>
      </c>
      <c r="BC349" s="1948">
        <f t="shared" si="86"/>
        <v>0</v>
      </c>
      <c r="BD349" s="1949">
        <v>222</v>
      </c>
      <c r="BE349" s="1948">
        <v>39.72</v>
      </c>
      <c r="BF349" s="1949">
        <v>222</v>
      </c>
      <c r="BG349" s="1949">
        <v>0.25030000000000002</v>
      </c>
      <c r="BH349" s="1949">
        <v>0</v>
      </c>
      <c r="BI349" s="1948">
        <v>3387</v>
      </c>
      <c r="BJ349" s="1948">
        <f t="shared" si="87"/>
        <v>17731</v>
      </c>
      <c r="BK349" s="1948">
        <f t="shared" si="88"/>
        <v>0</v>
      </c>
    </row>
    <row r="350" spans="1:63" ht="15">
      <c r="A350" s="1946">
        <v>611000000080</v>
      </c>
      <c r="B350" s="1947">
        <f t="shared" si="89"/>
        <v>344</v>
      </c>
      <c r="C350" s="1906" t="s">
        <v>3219</v>
      </c>
      <c r="D350" s="1907" t="s">
        <v>524</v>
      </c>
      <c r="E350" s="1906" t="s">
        <v>541</v>
      </c>
      <c r="F350" s="1948" t="s">
        <v>259</v>
      </c>
      <c r="G350" s="1949">
        <v>222</v>
      </c>
      <c r="H350" s="1948">
        <v>222</v>
      </c>
      <c r="I350" s="1950">
        <v>225.6</v>
      </c>
      <c r="J350" s="1948">
        <v>225.6</v>
      </c>
      <c r="K350" s="1948">
        <v>0.70579999999999998</v>
      </c>
      <c r="L350" s="1948">
        <v>10.42</v>
      </c>
      <c r="M350" s="1948">
        <v>16920</v>
      </c>
      <c r="N350" s="1948">
        <f t="shared" si="75"/>
        <v>97459</v>
      </c>
      <c r="O350" s="1948">
        <f t="shared" si="76"/>
        <v>0</v>
      </c>
      <c r="P350" s="1948">
        <v>222</v>
      </c>
      <c r="Q350" s="1948">
        <v>235.67999999999998</v>
      </c>
      <c r="R350" s="1948">
        <v>235.68</v>
      </c>
      <c r="S350" s="1948">
        <v>0.72560000000000002</v>
      </c>
      <c r="T350" s="1948">
        <v>9.36</v>
      </c>
      <c r="U350" s="1948">
        <v>16410</v>
      </c>
      <c r="V350" s="1948">
        <f t="shared" si="77"/>
        <v>105208</v>
      </c>
      <c r="W350" s="1948">
        <f t="shared" si="78"/>
        <v>0</v>
      </c>
      <c r="X350" s="1948">
        <v>222</v>
      </c>
      <c r="Y350" s="1948">
        <v>235.8</v>
      </c>
      <c r="Z350" s="1948">
        <v>235.8</v>
      </c>
      <c r="AA350" s="1948">
        <v>0.74180000000000001</v>
      </c>
      <c r="AB350" s="1948">
        <v>10.19</v>
      </c>
      <c r="AC350" s="1948">
        <v>17306</v>
      </c>
      <c r="AD350" s="1948">
        <f t="shared" si="79"/>
        <v>101866</v>
      </c>
      <c r="AE350" s="1948">
        <f t="shared" si="80"/>
        <v>0</v>
      </c>
      <c r="AF350" s="1948">
        <v>222</v>
      </c>
      <c r="AG350" s="1948">
        <v>235.67999999999998</v>
      </c>
      <c r="AH350" s="1948">
        <v>235.68</v>
      </c>
      <c r="AI350" s="1948">
        <v>0.72189999999999999</v>
      </c>
      <c r="AJ350" s="1948">
        <v>10.18</v>
      </c>
      <c r="AK350" s="1948">
        <v>14392</v>
      </c>
      <c r="AL350" s="1948">
        <f t="shared" si="81"/>
        <v>105208</v>
      </c>
      <c r="AM350" s="1948">
        <f t="shared" si="82"/>
        <v>0</v>
      </c>
      <c r="AN350" s="1948">
        <v>222</v>
      </c>
      <c r="AO350" s="1948">
        <v>241.8</v>
      </c>
      <c r="AP350" s="1948">
        <v>241.8</v>
      </c>
      <c r="AQ350" s="1948">
        <v>0.70250000000000001</v>
      </c>
      <c r="AR350" s="1948">
        <v>10.01</v>
      </c>
      <c r="AS350" s="1948">
        <v>21495</v>
      </c>
      <c r="AT350" s="1948">
        <f t="shared" si="83"/>
        <v>107940</v>
      </c>
      <c r="AU350" s="1948">
        <f t="shared" si="84"/>
        <v>0</v>
      </c>
      <c r="AV350" s="1948">
        <v>222</v>
      </c>
      <c r="AW350" s="1948">
        <v>230.04000000000002</v>
      </c>
      <c r="AX350" s="1948">
        <v>230.04</v>
      </c>
      <c r="AY350" s="1948">
        <v>0.69420000000000004</v>
      </c>
      <c r="AZ350" s="1948">
        <v>10.89</v>
      </c>
      <c r="BA350" s="1948">
        <v>18036</v>
      </c>
      <c r="BB350" s="1948">
        <f t="shared" si="85"/>
        <v>99377</v>
      </c>
      <c r="BC350" s="1948">
        <f t="shared" si="86"/>
        <v>0</v>
      </c>
      <c r="BD350" s="1949">
        <v>222</v>
      </c>
      <c r="BE350" s="1948">
        <v>231.12</v>
      </c>
      <c r="BF350" s="1949">
        <v>231.12</v>
      </c>
      <c r="BG350" s="1949">
        <v>0.67579999999999996</v>
      </c>
      <c r="BH350" s="1949">
        <v>11</v>
      </c>
      <c r="BI350" s="1948">
        <v>18910</v>
      </c>
      <c r="BJ350" s="1948">
        <f t="shared" si="87"/>
        <v>103172</v>
      </c>
      <c r="BK350" s="1948">
        <f t="shared" si="88"/>
        <v>0</v>
      </c>
    </row>
    <row r="351" spans="1:63" ht="15">
      <c r="A351" s="1946">
        <v>611000000132</v>
      </c>
      <c r="B351" s="1947">
        <f t="shared" si="89"/>
        <v>345</v>
      </c>
      <c r="C351" s="1906" t="s">
        <v>3666</v>
      </c>
      <c r="D351" s="1907" t="s">
        <v>613</v>
      </c>
      <c r="E351" s="1906" t="s">
        <v>541</v>
      </c>
      <c r="F351" s="1948" t="s">
        <v>259</v>
      </c>
      <c r="G351" s="1949">
        <v>222</v>
      </c>
      <c r="H351" s="1948">
        <v>0</v>
      </c>
      <c r="I351" s="1950">
        <v>0</v>
      </c>
      <c r="J351" s="1948">
        <v>0</v>
      </c>
      <c r="K351" s="1948">
        <v>0</v>
      </c>
      <c r="L351" s="1948">
        <v>0</v>
      </c>
      <c r="M351" s="1948">
        <v>0</v>
      </c>
      <c r="N351" s="1948">
        <f t="shared" si="75"/>
        <v>0</v>
      </c>
      <c r="O351" s="1948">
        <f t="shared" si="76"/>
        <v>0</v>
      </c>
      <c r="P351" s="1948">
        <v>0</v>
      </c>
      <c r="Q351" s="1948">
        <v>0</v>
      </c>
      <c r="R351" s="1948">
        <v>0</v>
      </c>
      <c r="S351" s="1948">
        <v>0</v>
      </c>
      <c r="T351" s="1948">
        <v>0</v>
      </c>
      <c r="U351" s="1948">
        <v>0</v>
      </c>
      <c r="V351" s="1948">
        <f t="shared" si="77"/>
        <v>0</v>
      </c>
      <c r="W351" s="1948">
        <f t="shared" si="78"/>
        <v>0</v>
      </c>
      <c r="X351" s="1948">
        <v>0</v>
      </c>
      <c r="Y351" s="1948">
        <v>0</v>
      </c>
      <c r="Z351" s="1948">
        <v>0</v>
      </c>
      <c r="AA351" s="1948">
        <v>0</v>
      </c>
      <c r="AB351" s="1948">
        <v>0</v>
      </c>
      <c r="AC351" s="1948">
        <v>0</v>
      </c>
      <c r="AD351" s="1948">
        <f t="shared" si="79"/>
        <v>0</v>
      </c>
      <c r="AE351" s="1948">
        <f t="shared" si="80"/>
        <v>0</v>
      </c>
      <c r="AF351" s="1948">
        <v>0</v>
      </c>
      <c r="AG351" s="1948">
        <v>0</v>
      </c>
      <c r="AH351" s="1948">
        <v>0</v>
      </c>
      <c r="AI351" s="1948">
        <v>0</v>
      </c>
      <c r="AJ351" s="1948">
        <v>0</v>
      </c>
      <c r="AK351" s="1948">
        <v>0</v>
      </c>
      <c r="AL351" s="1948">
        <f t="shared" si="81"/>
        <v>0</v>
      </c>
      <c r="AM351" s="1948">
        <f t="shared" si="82"/>
        <v>0</v>
      </c>
      <c r="AN351" s="1948">
        <v>0</v>
      </c>
      <c r="AO351" s="1948">
        <v>0</v>
      </c>
      <c r="AP351" s="1948">
        <v>0</v>
      </c>
      <c r="AQ351" s="1948">
        <v>0</v>
      </c>
      <c r="AR351" s="1948">
        <v>0</v>
      </c>
      <c r="AS351" s="1948">
        <v>0</v>
      </c>
      <c r="AT351" s="1948">
        <f t="shared" si="83"/>
        <v>0</v>
      </c>
      <c r="AU351" s="1948">
        <f t="shared" si="84"/>
        <v>0</v>
      </c>
      <c r="AV351" s="1948">
        <v>0</v>
      </c>
      <c r="AW351" s="1948">
        <v>0</v>
      </c>
      <c r="AX351" s="1948">
        <v>0</v>
      </c>
      <c r="AY351" s="1948">
        <v>0</v>
      </c>
      <c r="AZ351" s="1948">
        <v>0</v>
      </c>
      <c r="BA351" s="1948">
        <v>0</v>
      </c>
      <c r="BB351" s="1948">
        <f t="shared" si="85"/>
        <v>0</v>
      </c>
      <c r="BC351" s="1948">
        <f t="shared" si="86"/>
        <v>0</v>
      </c>
      <c r="BD351" s="1949">
        <v>222</v>
      </c>
      <c r="BE351" s="1948">
        <v>6.4240000000000004</v>
      </c>
      <c r="BF351" s="1949">
        <v>177.6</v>
      </c>
      <c r="BG351" s="1949">
        <v>0.22500000000000001</v>
      </c>
      <c r="BH351" s="1949">
        <v>61.01</v>
      </c>
      <c r="BI351" s="1948">
        <v>1222</v>
      </c>
      <c r="BJ351" s="1948">
        <f t="shared" si="87"/>
        <v>2868</v>
      </c>
      <c r="BK351" s="1948">
        <f t="shared" si="88"/>
        <v>0</v>
      </c>
    </row>
    <row r="352" spans="1:63" ht="15">
      <c r="A352" s="1946">
        <v>614000000002</v>
      </c>
      <c r="B352" s="1947">
        <f t="shared" si="89"/>
        <v>346</v>
      </c>
      <c r="C352" s="1906" t="s">
        <v>3215</v>
      </c>
      <c r="D352" s="1907" t="s">
        <v>524</v>
      </c>
      <c r="E352" s="1906" t="s">
        <v>641</v>
      </c>
      <c r="F352" s="1948" t="s">
        <v>259</v>
      </c>
      <c r="G352" s="1949">
        <v>222</v>
      </c>
      <c r="H352" s="1948">
        <v>222</v>
      </c>
      <c r="I352" s="1950">
        <v>211.68</v>
      </c>
      <c r="J352" s="1948">
        <v>211.68</v>
      </c>
      <c r="K352" s="1948">
        <v>0.93940000000000001</v>
      </c>
      <c r="L352" s="1948">
        <v>44.28</v>
      </c>
      <c r="M352" s="1948">
        <v>67486</v>
      </c>
      <c r="N352" s="1948">
        <f t="shared" si="75"/>
        <v>91446</v>
      </c>
      <c r="O352" s="1948">
        <f t="shared" si="76"/>
        <v>0</v>
      </c>
      <c r="P352" s="1948">
        <v>222</v>
      </c>
      <c r="Q352" s="1948">
        <v>225.11999999999998</v>
      </c>
      <c r="R352" s="1948">
        <v>225.12</v>
      </c>
      <c r="S352" s="1948">
        <v>0.94779999999999998</v>
      </c>
      <c r="T352" s="1948">
        <v>45.47</v>
      </c>
      <c r="U352" s="1948">
        <v>76154</v>
      </c>
      <c r="V352" s="1948">
        <f t="shared" si="77"/>
        <v>100494</v>
      </c>
      <c r="W352" s="1948">
        <f t="shared" si="78"/>
        <v>0</v>
      </c>
      <c r="X352" s="1948">
        <v>222</v>
      </c>
      <c r="Y352" s="1948">
        <v>237.44</v>
      </c>
      <c r="Z352" s="1948">
        <v>237.44</v>
      </c>
      <c r="AA352" s="1948">
        <v>0.95599999999999996</v>
      </c>
      <c r="AB352" s="1948">
        <v>39.020000000000003</v>
      </c>
      <c r="AC352" s="1948">
        <v>66714</v>
      </c>
      <c r="AD352" s="1948">
        <f t="shared" si="79"/>
        <v>102574</v>
      </c>
      <c r="AE352" s="1948">
        <f t="shared" si="80"/>
        <v>0</v>
      </c>
      <c r="AF352" s="1948">
        <v>222</v>
      </c>
      <c r="AG352" s="1948">
        <v>190.88</v>
      </c>
      <c r="AH352" s="1948">
        <v>190.88</v>
      </c>
      <c r="AI352" s="1948">
        <v>0.96579999999999999</v>
      </c>
      <c r="AJ352" s="1948">
        <v>41.52</v>
      </c>
      <c r="AK352" s="1948">
        <v>58962</v>
      </c>
      <c r="AL352" s="1948">
        <f t="shared" si="81"/>
        <v>85209</v>
      </c>
      <c r="AM352" s="1948">
        <f t="shared" si="82"/>
        <v>0</v>
      </c>
      <c r="AN352" s="1948">
        <v>222</v>
      </c>
      <c r="AO352" s="1948">
        <v>226.24</v>
      </c>
      <c r="AP352" s="1948">
        <v>226.24</v>
      </c>
      <c r="AQ352" s="1948">
        <v>0.95069999999999999</v>
      </c>
      <c r="AR352" s="1948">
        <v>41.87</v>
      </c>
      <c r="AS352" s="1948">
        <v>70484</v>
      </c>
      <c r="AT352" s="1948">
        <f t="shared" si="83"/>
        <v>100994</v>
      </c>
      <c r="AU352" s="1948">
        <f t="shared" si="84"/>
        <v>0</v>
      </c>
      <c r="AV352" s="1948">
        <v>222</v>
      </c>
      <c r="AW352" s="1948">
        <v>216.48000000000002</v>
      </c>
      <c r="AX352" s="1948">
        <v>216.48</v>
      </c>
      <c r="AY352" s="1948">
        <v>0.95940000000000003</v>
      </c>
      <c r="AZ352" s="1948">
        <v>44.18</v>
      </c>
      <c r="BA352" s="1948">
        <v>68868</v>
      </c>
      <c r="BB352" s="1948">
        <f t="shared" si="85"/>
        <v>93519</v>
      </c>
      <c r="BC352" s="1948">
        <f t="shared" si="86"/>
        <v>0</v>
      </c>
      <c r="BD352" s="1949">
        <v>222</v>
      </c>
      <c r="BE352" s="1948">
        <v>219.51999999999998</v>
      </c>
      <c r="BF352" s="1949">
        <v>219.52</v>
      </c>
      <c r="BG352" s="1949">
        <v>0.96130000000000004</v>
      </c>
      <c r="BH352" s="1949">
        <v>39.94</v>
      </c>
      <c r="BI352" s="1948">
        <v>65224</v>
      </c>
      <c r="BJ352" s="1948">
        <f t="shared" si="87"/>
        <v>97994</v>
      </c>
      <c r="BK352" s="1948">
        <f t="shared" si="88"/>
        <v>0</v>
      </c>
    </row>
    <row r="353" spans="1:63" ht="15">
      <c r="A353" s="1946">
        <v>613000000020</v>
      </c>
      <c r="B353" s="1947">
        <f t="shared" si="89"/>
        <v>347</v>
      </c>
      <c r="C353" s="1906" t="s">
        <v>3220</v>
      </c>
      <c r="D353" s="1907" t="s">
        <v>524</v>
      </c>
      <c r="E353" s="1906" t="s">
        <v>629</v>
      </c>
      <c r="F353" s="1948" t="s">
        <v>259</v>
      </c>
      <c r="G353" s="1949">
        <v>222</v>
      </c>
      <c r="H353" s="1948">
        <v>222</v>
      </c>
      <c r="I353" s="1950">
        <v>41.88</v>
      </c>
      <c r="J353" s="1948">
        <v>222</v>
      </c>
      <c r="K353" s="1948">
        <v>0.8579</v>
      </c>
      <c r="L353" s="1948">
        <v>0</v>
      </c>
      <c r="M353" s="1948">
        <v>13302</v>
      </c>
      <c r="N353" s="1948">
        <f t="shared" si="75"/>
        <v>18092</v>
      </c>
      <c r="O353" s="1948">
        <f t="shared" si="76"/>
        <v>0</v>
      </c>
      <c r="P353" s="1948">
        <v>222</v>
      </c>
      <c r="Q353" s="1948">
        <v>42.84</v>
      </c>
      <c r="R353" s="1948">
        <v>222</v>
      </c>
      <c r="S353" s="1948">
        <v>0.88519999999999999</v>
      </c>
      <c r="T353" s="1948">
        <v>0</v>
      </c>
      <c r="U353" s="1948">
        <v>15644</v>
      </c>
      <c r="V353" s="1948">
        <f t="shared" si="77"/>
        <v>19124</v>
      </c>
      <c r="W353" s="1948">
        <f t="shared" si="78"/>
        <v>0</v>
      </c>
      <c r="X353" s="1948">
        <v>222</v>
      </c>
      <c r="Y353" s="1948">
        <v>42.72</v>
      </c>
      <c r="Z353" s="1948">
        <v>222</v>
      </c>
      <c r="AA353" s="1948">
        <v>0.88319999999999999</v>
      </c>
      <c r="AB353" s="1948">
        <v>0</v>
      </c>
      <c r="AC353" s="1948">
        <v>15446</v>
      </c>
      <c r="AD353" s="1948">
        <f t="shared" si="79"/>
        <v>18455</v>
      </c>
      <c r="AE353" s="1948">
        <f t="shared" si="80"/>
        <v>0</v>
      </c>
      <c r="AF353" s="1948">
        <v>222</v>
      </c>
      <c r="AG353" s="1948">
        <v>41.16</v>
      </c>
      <c r="AH353" s="1948">
        <v>222</v>
      </c>
      <c r="AI353" s="1948">
        <v>0.87490000000000001</v>
      </c>
      <c r="AJ353" s="1948">
        <v>0</v>
      </c>
      <c r="AK353" s="1948">
        <v>16081</v>
      </c>
      <c r="AL353" s="1948">
        <f t="shared" si="81"/>
        <v>18374</v>
      </c>
      <c r="AM353" s="1948">
        <f t="shared" si="82"/>
        <v>0</v>
      </c>
      <c r="AN353" s="1948">
        <v>222</v>
      </c>
      <c r="AO353" s="1948">
        <v>40.44</v>
      </c>
      <c r="AP353" s="1948">
        <v>222</v>
      </c>
      <c r="AQ353" s="1948">
        <v>0.84309999999999996</v>
      </c>
      <c r="AR353" s="1948">
        <v>0</v>
      </c>
      <c r="AS353" s="1948">
        <v>15182</v>
      </c>
      <c r="AT353" s="1948">
        <f t="shared" si="83"/>
        <v>18052</v>
      </c>
      <c r="AU353" s="1948">
        <f t="shared" si="84"/>
        <v>0</v>
      </c>
      <c r="AV353" s="1948">
        <v>222</v>
      </c>
      <c r="AW353" s="1948">
        <v>41.519999999999996</v>
      </c>
      <c r="AX353" s="1948">
        <v>222</v>
      </c>
      <c r="AY353" s="1948">
        <v>0.84109999999999996</v>
      </c>
      <c r="AZ353" s="1948">
        <v>0</v>
      </c>
      <c r="BA353" s="1948">
        <v>15216</v>
      </c>
      <c r="BB353" s="1948">
        <f t="shared" si="85"/>
        <v>17937</v>
      </c>
      <c r="BC353" s="1948">
        <f t="shared" si="86"/>
        <v>0</v>
      </c>
      <c r="BD353" s="1949">
        <v>222</v>
      </c>
      <c r="BE353" s="1948">
        <v>36.479999999999997</v>
      </c>
      <c r="BF353" s="1949">
        <v>222</v>
      </c>
      <c r="BG353" s="1949">
        <v>0.77439999999999998</v>
      </c>
      <c r="BH353" s="1949">
        <v>0</v>
      </c>
      <c r="BI353" s="1948">
        <v>14022</v>
      </c>
      <c r="BJ353" s="1948">
        <f t="shared" si="87"/>
        <v>16285</v>
      </c>
      <c r="BK353" s="1948">
        <f t="shared" si="88"/>
        <v>0</v>
      </c>
    </row>
    <row r="354" spans="1:63" ht="15">
      <c r="A354" s="1946">
        <v>621000000038</v>
      </c>
      <c r="B354" s="1947">
        <f t="shared" si="89"/>
        <v>348</v>
      </c>
      <c r="C354" s="1906" t="s">
        <v>3221</v>
      </c>
      <c r="D354" s="1907" t="s">
        <v>524</v>
      </c>
      <c r="E354" s="1906" t="s">
        <v>636</v>
      </c>
      <c r="F354" s="1948" t="s">
        <v>259</v>
      </c>
      <c r="G354" s="1949">
        <v>222</v>
      </c>
      <c r="H354" s="1948">
        <v>222</v>
      </c>
      <c r="I354" s="1950">
        <v>189.92</v>
      </c>
      <c r="J354" s="1948">
        <v>189.92</v>
      </c>
      <c r="K354" s="1948">
        <v>0.97160000000000002</v>
      </c>
      <c r="L354" s="1948">
        <v>42.4</v>
      </c>
      <c r="M354" s="1948">
        <v>57982</v>
      </c>
      <c r="N354" s="1948">
        <f t="shared" si="75"/>
        <v>82045</v>
      </c>
      <c r="O354" s="1948">
        <f t="shared" si="76"/>
        <v>0</v>
      </c>
      <c r="P354" s="1948">
        <v>222</v>
      </c>
      <c r="Q354" s="1948">
        <v>213.12000000000003</v>
      </c>
      <c r="R354" s="1948">
        <v>213.12</v>
      </c>
      <c r="S354" s="1948">
        <v>0.97430000000000005</v>
      </c>
      <c r="T354" s="1948">
        <v>42.83</v>
      </c>
      <c r="U354" s="1948">
        <v>67914</v>
      </c>
      <c r="V354" s="1948">
        <f t="shared" si="77"/>
        <v>95137</v>
      </c>
      <c r="W354" s="1948">
        <f t="shared" si="78"/>
        <v>0</v>
      </c>
      <c r="X354" s="1948">
        <v>222</v>
      </c>
      <c r="Y354" s="1948">
        <v>204.16</v>
      </c>
      <c r="Z354" s="1948">
        <v>204.16</v>
      </c>
      <c r="AA354" s="1948">
        <v>0.97050000000000003</v>
      </c>
      <c r="AB354" s="1948">
        <v>44.2</v>
      </c>
      <c r="AC354" s="1948">
        <v>64978</v>
      </c>
      <c r="AD354" s="1948">
        <f t="shared" si="79"/>
        <v>88197</v>
      </c>
      <c r="AE354" s="1948">
        <f t="shared" si="80"/>
        <v>0</v>
      </c>
      <c r="AF354" s="1948">
        <v>222</v>
      </c>
      <c r="AG354" s="1948">
        <v>189.92</v>
      </c>
      <c r="AH354" s="1948">
        <v>189.92</v>
      </c>
      <c r="AI354" s="1948">
        <v>0.97430000000000005</v>
      </c>
      <c r="AJ354" s="1948">
        <v>47.43</v>
      </c>
      <c r="AK354" s="1948">
        <v>67020</v>
      </c>
      <c r="AL354" s="1948">
        <f t="shared" si="81"/>
        <v>84780</v>
      </c>
      <c r="AM354" s="1948">
        <f t="shared" si="82"/>
        <v>0</v>
      </c>
      <c r="AN354" s="1948">
        <v>222</v>
      </c>
      <c r="AO354" s="1948">
        <v>195.52</v>
      </c>
      <c r="AP354" s="1948">
        <v>195.52</v>
      </c>
      <c r="AQ354" s="1948">
        <v>0.97570000000000001</v>
      </c>
      <c r="AR354" s="1948">
        <v>45.64</v>
      </c>
      <c r="AS354" s="1948">
        <v>66394</v>
      </c>
      <c r="AT354" s="1948">
        <f t="shared" si="83"/>
        <v>87280</v>
      </c>
      <c r="AU354" s="1948">
        <f t="shared" si="84"/>
        <v>0</v>
      </c>
      <c r="AV354" s="1948">
        <v>222</v>
      </c>
      <c r="AW354" s="1948">
        <v>184.64000000000001</v>
      </c>
      <c r="AX354" s="1948">
        <v>184.64</v>
      </c>
      <c r="AY354" s="1948">
        <v>0.97540000000000004</v>
      </c>
      <c r="AZ354" s="1948">
        <v>48.69</v>
      </c>
      <c r="BA354" s="1948">
        <v>64734</v>
      </c>
      <c r="BB354" s="1948">
        <f t="shared" si="85"/>
        <v>79764</v>
      </c>
      <c r="BC354" s="1948">
        <f t="shared" si="86"/>
        <v>0</v>
      </c>
      <c r="BD354" s="1949">
        <v>222</v>
      </c>
      <c r="BE354" s="1948">
        <v>181.92</v>
      </c>
      <c r="BF354" s="1949">
        <v>181.92</v>
      </c>
      <c r="BG354" s="1949">
        <v>0.96640000000000004</v>
      </c>
      <c r="BH354" s="1949">
        <v>44.03</v>
      </c>
      <c r="BI354" s="1948">
        <v>59590</v>
      </c>
      <c r="BJ354" s="1948">
        <f t="shared" si="87"/>
        <v>81209</v>
      </c>
      <c r="BK354" s="1948">
        <f t="shared" si="88"/>
        <v>0</v>
      </c>
    </row>
    <row r="355" spans="1:63" ht="15">
      <c r="A355" s="1946">
        <v>122000000094</v>
      </c>
      <c r="B355" s="1947">
        <f t="shared" si="89"/>
        <v>349</v>
      </c>
      <c r="C355" s="1906" t="s">
        <v>3222</v>
      </c>
      <c r="D355" s="1907" t="s">
        <v>524</v>
      </c>
      <c r="E355" s="1906" t="s">
        <v>636</v>
      </c>
      <c r="F355" s="1948" t="s">
        <v>259</v>
      </c>
      <c r="G355" s="1949">
        <v>223</v>
      </c>
      <c r="H355" s="1948">
        <v>223</v>
      </c>
      <c r="I355" s="1950">
        <v>136.16</v>
      </c>
      <c r="J355" s="1948">
        <v>178.4</v>
      </c>
      <c r="K355" s="1948">
        <v>0.95430000000000004</v>
      </c>
      <c r="L355" s="1948">
        <v>25.41</v>
      </c>
      <c r="M355" s="1948">
        <v>24914</v>
      </c>
      <c r="N355" s="1948">
        <f t="shared" si="75"/>
        <v>58821</v>
      </c>
      <c r="O355" s="1948">
        <f t="shared" si="76"/>
        <v>0</v>
      </c>
      <c r="P355" s="1948">
        <v>223</v>
      </c>
      <c r="Q355" s="1948">
        <v>122.24</v>
      </c>
      <c r="R355" s="1948">
        <v>178.4</v>
      </c>
      <c r="S355" s="1948">
        <v>0.95860000000000001</v>
      </c>
      <c r="T355" s="1948">
        <v>32.39</v>
      </c>
      <c r="U355" s="1948">
        <v>29454</v>
      </c>
      <c r="V355" s="1948">
        <f t="shared" si="77"/>
        <v>54568</v>
      </c>
      <c r="W355" s="1948">
        <f t="shared" si="78"/>
        <v>0</v>
      </c>
      <c r="X355" s="1948">
        <v>223</v>
      </c>
      <c r="Y355" s="1948">
        <v>148.16</v>
      </c>
      <c r="Z355" s="1948">
        <v>178.4</v>
      </c>
      <c r="AA355" s="1948">
        <v>0.96619999999999995</v>
      </c>
      <c r="AB355" s="1948">
        <v>32.229999999999997</v>
      </c>
      <c r="AC355" s="1948">
        <v>34386</v>
      </c>
      <c r="AD355" s="1948">
        <f t="shared" si="79"/>
        <v>64005</v>
      </c>
      <c r="AE355" s="1948">
        <f t="shared" si="80"/>
        <v>0</v>
      </c>
      <c r="AF355" s="1948">
        <v>223</v>
      </c>
      <c r="AG355" s="1948">
        <v>121.44</v>
      </c>
      <c r="AH355" s="1948">
        <v>178.4</v>
      </c>
      <c r="AI355" s="1948">
        <v>0.95589999999999997</v>
      </c>
      <c r="AJ355" s="1948">
        <v>30.28</v>
      </c>
      <c r="AK355" s="1948">
        <v>27362</v>
      </c>
      <c r="AL355" s="1948">
        <f t="shared" si="81"/>
        <v>54211</v>
      </c>
      <c r="AM355" s="1948">
        <f t="shared" si="82"/>
        <v>0</v>
      </c>
      <c r="AN355" s="1948">
        <v>223</v>
      </c>
      <c r="AO355" s="1948">
        <v>126.56</v>
      </c>
      <c r="AP355" s="1948">
        <v>178.4</v>
      </c>
      <c r="AQ355" s="1948">
        <v>0.94430000000000003</v>
      </c>
      <c r="AR355" s="1948">
        <v>26.53</v>
      </c>
      <c r="AS355" s="1948">
        <v>24980</v>
      </c>
      <c r="AT355" s="1948">
        <f t="shared" si="83"/>
        <v>56496</v>
      </c>
      <c r="AU355" s="1948">
        <f t="shared" si="84"/>
        <v>0</v>
      </c>
      <c r="AV355" s="1948">
        <v>223</v>
      </c>
      <c r="AW355" s="1948">
        <v>125.44</v>
      </c>
      <c r="AX355" s="1948">
        <v>178.4</v>
      </c>
      <c r="AY355" s="1948">
        <v>0.94520000000000004</v>
      </c>
      <c r="AZ355" s="1948">
        <v>28.88</v>
      </c>
      <c r="BA355" s="1948">
        <v>26080</v>
      </c>
      <c r="BB355" s="1948">
        <f t="shared" si="85"/>
        <v>54190</v>
      </c>
      <c r="BC355" s="1948">
        <f t="shared" si="86"/>
        <v>0</v>
      </c>
      <c r="BD355" s="1949">
        <v>223</v>
      </c>
      <c r="BE355" s="1948">
        <v>126.56</v>
      </c>
      <c r="BF355" s="1949">
        <v>178.4</v>
      </c>
      <c r="BG355" s="1949">
        <v>0.95</v>
      </c>
      <c r="BH355" s="1949">
        <v>31.83</v>
      </c>
      <c r="BI355" s="1948">
        <v>29970</v>
      </c>
      <c r="BJ355" s="1948">
        <f t="shared" si="87"/>
        <v>56496</v>
      </c>
      <c r="BK355" s="1948">
        <f t="shared" si="88"/>
        <v>0</v>
      </c>
    </row>
    <row r="356" spans="1:63" ht="15">
      <c r="A356" s="1946">
        <v>126000000051</v>
      </c>
      <c r="B356" s="1947">
        <f t="shared" si="89"/>
        <v>350</v>
      </c>
      <c r="C356" s="1906" t="s">
        <v>3223</v>
      </c>
      <c r="D356" s="1907" t="s">
        <v>524</v>
      </c>
      <c r="E356" s="1906" t="s">
        <v>737</v>
      </c>
      <c r="F356" s="1948" t="s">
        <v>259</v>
      </c>
      <c r="G356" s="1949">
        <v>223</v>
      </c>
      <c r="H356" s="1948">
        <v>223</v>
      </c>
      <c r="I356" s="1950">
        <v>21.6</v>
      </c>
      <c r="J356" s="1948">
        <v>178.4</v>
      </c>
      <c r="K356" s="1948">
        <v>0.99560000000000004</v>
      </c>
      <c r="L356" s="1948">
        <v>3.63</v>
      </c>
      <c r="M356" s="1948">
        <v>5634</v>
      </c>
      <c r="N356" s="1948">
        <f t="shared" si="75"/>
        <v>9331</v>
      </c>
      <c r="O356" s="1948">
        <f t="shared" si="76"/>
        <v>0</v>
      </c>
      <c r="P356" s="1948">
        <v>223</v>
      </c>
      <c r="Q356" s="1948">
        <v>21.652799999999999</v>
      </c>
      <c r="R356" s="1948">
        <v>178.4</v>
      </c>
      <c r="S356" s="1948">
        <v>0.99739999999999995</v>
      </c>
      <c r="T356" s="1948">
        <v>44.57</v>
      </c>
      <c r="U356" s="1948">
        <v>7411</v>
      </c>
      <c r="V356" s="1948">
        <f t="shared" si="77"/>
        <v>9666</v>
      </c>
      <c r="W356" s="1948">
        <f t="shared" si="78"/>
        <v>0</v>
      </c>
      <c r="X356" s="1948">
        <v>223</v>
      </c>
      <c r="Y356" s="1948">
        <v>20.696000000000002</v>
      </c>
      <c r="Z356" s="1948">
        <v>178.4</v>
      </c>
      <c r="AA356" s="1948">
        <v>0.99729999999999996</v>
      </c>
      <c r="AB356" s="1948">
        <v>46.14</v>
      </c>
      <c r="AC356" s="1948">
        <v>6876</v>
      </c>
      <c r="AD356" s="1948">
        <f t="shared" si="79"/>
        <v>8941</v>
      </c>
      <c r="AE356" s="1948">
        <f t="shared" si="80"/>
        <v>0</v>
      </c>
      <c r="AF356" s="1948">
        <v>223</v>
      </c>
      <c r="AG356" s="1948">
        <v>21.620799999999999</v>
      </c>
      <c r="AH356" s="1948">
        <v>178.4</v>
      </c>
      <c r="AI356" s="1948">
        <v>0.99680000000000002</v>
      </c>
      <c r="AJ356" s="1948">
        <v>48.09</v>
      </c>
      <c r="AK356" s="1948">
        <v>7736</v>
      </c>
      <c r="AL356" s="1948">
        <f t="shared" si="81"/>
        <v>9652</v>
      </c>
      <c r="AM356" s="1948">
        <f t="shared" si="82"/>
        <v>0</v>
      </c>
      <c r="AN356" s="1948">
        <v>223</v>
      </c>
      <c r="AO356" s="1948">
        <v>20.235199999999999</v>
      </c>
      <c r="AP356" s="1948">
        <v>178.4</v>
      </c>
      <c r="AQ356" s="1948">
        <v>0.99539999999999995</v>
      </c>
      <c r="AR356" s="1948">
        <v>46.31</v>
      </c>
      <c r="AS356" s="1948">
        <v>6973</v>
      </c>
      <c r="AT356" s="1948">
        <f t="shared" si="83"/>
        <v>9033</v>
      </c>
      <c r="AU356" s="1948">
        <f t="shared" si="84"/>
        <v>0</v>
      </c>
      <c r="AV356" s="1948">
        <v>223</v>
      </c>
      <c r="AW356" s="1948">
        <v>21.052</v>
      </c>
      <c r="AX356" s="1948">
        <v>178.4</v>
      </c>
      <c r="AY356" s="1948">
        <v>0.99560000000000004</v>
      </c>
      <c r="AZ356" s="1948">
        <v>49.93</v>
      </c>
      <c r="BA356" s="1948">
        <v>7568</v>
      </c>
      <c r="BB356" s="1948">
        <f t="shared" si="85"/>
        <v>9094</v>
      </c>
      <c r="BC356" s="1948">
        <f t="shared" si="86"/>
        <v>0</v>
      </c>
      <c r="BD356" s="1949">
        <v>223</v>
      </c>
      <c r="BE356" s="1948">
        <v>22.768000000000001</v>
      </c>
      <c r="BF356" s="1949">
        <v>178.4</v>
      </c>
      <c r="BG356" s="1949">
        <v>0.99299999999999999</v>
      </c>
      <c r="BH356" s="1949">
        <v>42.28</v>
      </c>
      <c r="BI356" s="1948">
        <v>7163</v>
      </c>
      <c r="BJ356" s="1948">
        <f t="shared" si="87"/>
        <v>10164</v>
      </c>
      <c r="BK356" s="1948">
        <f t="shared" si="88"/>
        <v>0</v>
      </c>
    </row>
    <row r="357" spans="1:63" ht="15">
      <c r="A357" s="1946">
        <v>126000000058</v>
      </c>
      <c r="B357" s="1947">
        <f t="shared" si="89"/>
        <v>351</v>
      </c>
      <c r="C357" s="1906" t="s">
        <v>3566</v>
      </c>
      <c r="D357" s="1907" t="s">
        <v>524</v>
      </c>
      <c r="E357" s="1906" t="s">
        <v>541</v>
      </c>
      <c r="F357" s="1948" t="s">
        <v>259</v>
      </c>
      <c r="G357" s="1949">
        <v>223</v>
      </c>
      <c r="H357" s="1948">
        <v>0</v>
      </c>
      <c r="I357" s="1950">
        <v>0</v>
      </c>
      <c r="J357" s="1948">
        <v>0</v>
      </c>
      <c r="K357" s="1948">
        <v>0</v>
      </c>
      <c r="L357" s="1948">
        <v>0</v>
      </c>
      <c r="M357" s="1948">
        <v>0</v>
      </c>
      <c r="N357" s="1948">
        <f t="shared" si="75"/>
        <v>0</v>
      </c>
      <c r="O357" s="1948">
        <f t="shared" si="76"/>
        <v>0</v>
      </c>
      <c r="P357" s="1948">
        <v>0</v>
      </c>
      <c r="Q357" s="1948">
        <v>0</v>
      </c>
      <c r="R357" s="1948">
        <v>0</v>
      </c>
      <c r="S357" s="1948">
        <v>0</v>
      </c>
      <c r="T357" s="1948">
        <v>0</v>
      </c>
      <c r="U357" s="1948">
        <v>0</v>
      </c>
      <c r="V357" s="1948">
        <f t="shared" si="77"/>
        <v>0</v>
      </c>
      <c r="W357" s="1948">
        <f t="shared" si="78"/>
        <v>0</v>
      </c>
      <c r="X357" s="1948">
        <v>0</v>
      </c>
      <c r="Y357" s="1948">
        <v>0</v>
      </c>
      <c r="Z357" s="1948">
        <v>0</v>
      </c>
      <c r="AA357" s="1948">
        <v>0</v>
      </c>
      <c r="AB357" s="1948">
        <v>0</v>
      </c>
      <c r="AC357" s="1948">
        <v>0</v>
      </c>
      <c r="AD357" s="1948">
        <f t="shared" si="79"/>
        <v>0</v>
      </c>
      <c r="AE357" s="1948">
        <f t="shared" si="80"/>
        <v>0</v>
      </c>
      <c r="AF357" s="1948">
        <v>0</v>
      </c>
      <c r="AG357" s="1948">
        <v>0</v>
      </c>
      <c r="AH357" s="1948">
        <v>0</v>
      </c>
      <c r="AI357" s="1948">
        <v>0</v>
      </c>
      <c r="AJ357" s="1948">
        <v>0</v>
      </c>
      <c r="AK357" s="1948">
        <v>0</v>
      </c>
      <c r="AL357" s="1948">
        <f t="shared" si="81"/>
        <v>0</v>
      </c>
      <c r="AM357" s="1948">
        <f t="shared" si="82"/>
        <v>0</v>
      </c>
      <c r="AN357" s="1948">
        <v>0</v>
      </c>
      <c r="AO357" s="1948">
        <v>0</v>
      </c>
      <c r="AP357" s="1948">
        <v>0</v>
      </c>
      <c r="AQ357" s="1948">
        <v>0</v>
      </c>
      <c r="AR357" s="1948">
        <v>0</v>
      </c>
      <c r="AS357" s="1948">
        <v>0</v>
      </c>
      <c r="AT357" s="1948">
        <f t="shared" si="83"/>
        <v>0</v>
      </c>
      <c r="AU357" s="1948">
        <f t="shared" si="84"/>
        <v>0</v>
      </c>
      <c r="AV357" s="1948">
        <v>223</v>
      </c>
      <c r="AW357" s="1948">
        <v>131.768</v>
      </c>
      <c r="AX357" s="1948">
        <v>178.4</v>
      </c>
      <c r="AY357" s="1948">
        <v>0.91300000000000003</v>
      </c>
      <c r="AZ357" s="1948">
        <v>44.19</v>
      </c>
      <c r="BA357" s="1948">
        <v>22362</v>
      </c>
      <c r="BB357" s="1948">
        <f t="shared" si="85"/>
        <v>56924</v>
      </c>
      <c r="BC357" s="1948">
        <f t="shared" si="86"/>
        <v>0</v>
      </c>
      <c r="BD357" s="1949">
        <v>223</v>
      </c>
      <c r="BE357" s="1948">
        <v>132.74799999999999</v>
      </c>
      <c r="BF357" s="1949">
        <v>178.4</v>
      </c>
      <c r="BG357" s="1949">
        <v>0.97889999999999999</v>
      </c>
      <c r="BH357" s="1949">
        <v>42.79</v>
      </c>
      <c r="BI357" s="1948">
        <v>42258</v>
      </c>
      <c r="BJ357" s="1948">
        <f t="shared" si="87"/>
        <v>59259</v>
      </c>
      <c r="BK357" s="1948">
        <f t="shared" si="88"/>
        <v>0</v>
      </c>
    </row>
    <row r="358" spans="1:63" ht="15">
      <c r="A358" s="1946">
        <v>121000000071</v>
      </c>
      <c r="B358" s="1947">
        <f t="shared" si="89"/>
        <v>352</v>
      </c>
      <c r="C358" s="1906" t="s">
        <v>3224</v>
      </c>
      <c r="D358" s="1907" t="s">
        <v>524</v>
      </c>
      <c r="E358" s="1906" t="s">
        <v>2966</v>
      </c>
      <c r="F358" s="1948" t="s">
        <v>259</v>
      </c>
      <c r="G358" s="1949">
        <v>223</v>
      </c>
      <c r="H358" s="1948">
        <v>223</v>
      </c>
      <c r="I358" s="1950">
        <v>167.76000000000002</v>
      </c>
      <c r="J358" s="1948">
        <v>223</v>
      </c>
      <c r="K358" s="1948">
        <v>0.67390000000000005</v>
      </c>
      <c r="L358" s="1948">
        <v>0</v>
      </c>
      <c r="M358" s="1948">
        <v>30705</v>
      </c>
      <c r="N358" s="1948">
        <f t="shared" si="75"/>
        <v>72472</v>
      </c>
      <c r="O358" s="1948">
        <f t="shared" si="76"/>
        <v>0</v>
      </c>
      <c r="P358" s="1948">
        <v>223</v>
      </c>
      <c r="Q358" s="1948">
        <v>158.64000000000001</v>
      </c>
      <c r="R358" s="1948">
        <v>223</v>
      </c>
      <c r="S358" s="1948">
        <v>0.53600000000000003</v>
      </c>
      <c r="T358" s="1948">
        <v>0</v>
      </c>
      <c r="U358" s="1948">
        <v>38250</v>
      </c>
      <c r="V358" s="1948">
        <f t="shared" si="77"/>
        <v>70817</v>
      </c>
      <c r="W358" s="1948">
        <f t="shared" si="78"/>
        <v>0</v>
      </c>
      <c r="X358" s="1948">
        <v>223</v>
      </c>
      <c r="Y358" s="1948">
        <v>103.44</v>
      </c>
      <c r="Z358" s="1948">
        <v>223</v>
      </c>
      <c r="AA358" s="1948">
        <v>0.20849999999999999</v>
      </c>
      <c r="AB358" s="1948">
        <v>0</v>
      </c>
      <c r="AC358" s="1948">
        <v>10227</v>
      </c>
      <c r="AD358" s="1948">
        <f t="shared" si="79"/>
        <v>44686</v>
      </c>
      <c r="AE358" s="1948">
        <f t="shared" si="80"/>
        <v>0</v>
      </c>
      <c r="AF358" s="1948">
        <v>223</v>
      </c>
      <c r="AG358" s="1948">
        <v>57.6</v>
      </c>
      <c r="AH358" s="1948">
        <v>223</v>
      </c>
      <c r="AI358" s="1948">
        <v>0.1358</v>
      </c>
      <c r="AJ358" s="1948">
        <v>0</v>
      </c>
      <c r="AK358" s="1948">
        <v>6183</v>
      </c>
      <c r="AL358" s="1948">
        <f t="shared" si="81"/>
        <v>25713</v>
      </c>
      <c r="AM358" s="1948">
        <f t="shared" si="82"/>
        <v>0</v>
      </c>
      <c r="AN358" s="1948">
        <v>223</v>
      </c>
      <c r="AO358" s="1948">
        <v>96.72</v>
      </c>
      <c r="AP358" s="1948">
        <v>223</v>
      </c>
      <c r="AQ358" s="1948">
        <v>0.42430000000000001</v>
      </c>
      <c r="AR358" s="1948">
        <v>0</v>
      </c>
      <c r="AS358" s="1948">
        <v>11664</v>
      </c>
      <c r="AT358" s="1948">
        <f t="shared" si="83"/>
        <v>43176</v>
      </c>
      <c r="AU358" s="1948">
        <f t="shared" si="84"/>
        <v>0</v>
      </c>
      <c r="AV358" s="1948">
        <v>223</v>
      </c>
      <c r="AW358" s="1948">
        <v>102.24</v>
      </c>
      <c r="AX358" s="1948">
        <v>223</v>
      </c>
      <c r="AY358" s="1948">
        <v>0.62619999999999998</v>
      </c>
      <c r="AZ358" s="1948">
        <v>0</v>
      </c>
      <c r="BA358" s="1948">
        <v>26976</v>
      </c>
      <c r="BB358" s="1948">
        <f t="shared" si="85"/>
        <v>44168</v>
      </c>
      <c r="BC358" s="1948">
        <f t="shared" si="86"/>
        <v>0</v>
      </c>
      <c r="BD358" s="1949">
        <v>223</v>
      </c>
      <c r="BE358" s="1948">
        <v>99.12</v>
      </c>
      <c r="BF358" s="1949">
        <v>223</v>
      </c>
      <c r="BG358" s="1949">
        <v>0.70009999999999994</v>
      </c>
      <c r="BH358" s="1949">
        <v>0</v>
      </c>
      <c r="BI358" s="1948">
        <v>30999</v>
      </c>
      <c r="BJ358" s="1948">
        <f t="shared" si="87"/>
        <v>44247</v>
      </c>
      <c r="BK358" s="1948">
        <f t="shared" si="88"/>
        <v>0</v>
      </c>
    </row>
    <row r="359" spans="1:63" ht="15">
      <c r="A359" s="982">
        <v>421000000010</v>
      </c>
      <c r="B359" s="1947">
        <f t="shared" si="89"/>
        <v>353</v>
      </c>
      <c r="C359" s="1895" t="s">
        <v>3225</v>
      </c>
      <c r="D359" s="1907" t="s">
        <v>3661</v>
      </c>
      <c r="E359" s="1895" t="s">
        <v>541</v>
      </c>
      <c r="F359" s="1951" t="s">
        <v>259</v>
      </c>
      <c r="G359" s="1951">
        <v>223</v>
      </c>
      <c r="H359" s="1951">
        <v>223</v>
      </c>
      <c r="I359" s="1952">
        <v>6</v>
      </c>
      <c r="J359" s="1951">
        <v>178.4</v>
      </c>
      <c r="K359" s="1951">
        <v>0</v>
      </c>
      <c r="L359" s="1951">
        <v>0</v>
      </c>
      <c r="M359" s="1951">
        <v>0</v>
      </c>
      <c r="N359" s="1948">
        <f t="shared" si="75"/>
        <v>2592</v>
      </c>
      <c r="O359" s="1948">
        <f t="shared" si="76"/>
        <v>0</v>
      </c>
      <c r="P359" s="1948">
        <v>223</v>
      </c>
      <c r="Q359" s="1948">
        <v>0</v>
      </c>
      <c r="R359" s="1948">
        <v>178.4</v>
      </c>
      <c r="S359" s="1948">
        <v>0</v>
      </c>
      <c r="T359" s="1948">
        <v>0</v>
      </c>
      <c r="U359" s="1948">
        <v>0</v>
      </c>
      <c r="V359" s="1948">
        <f t="shared" si="77"/>
        <v>0</v>
      </c>
      <c r="W359" s="1948">
        <f t="shared" si="78"/>
        <v>0</v>
      </c>
      <c r="X359" s="1948">
        <v>223</v>
      </c>
      <c r="Y359" s="1948">
        <v>0</v>
      </c>
      <c r="Z359" s="1948">
        <v>178.4</v>
      </c>
      <c r="AA359" s="1948">
        <v>0</v>
      </c>
      <c r="AB359" s="1948">
        <v>0</v>
      </c>
      <c r="AC359" s="1948">
        <v>0</v>
      </c>
      <c r="AD359" s="1948">
        <f t="shared" si="79"/>
        <v>0</v>
      </c>
      <c r="AE359" s="1948">
        <f t="shared" si="80"/>
        <v>0</v>
      </c>
      <c r="AF359" s="1948">
        <v>223</v>
      </c>
      <c r="AG359" s="1948">
        <v>0</v>
      </c>
      <c r="AH359" s="1948">
        <v>178.4</v>
      </c>
      <c r="AI359" s="1948">
        <v>0</v>
      </c>
      <c r="AJ359" s="1948">
        <v>0</v>
      </c>
      <c r="AK359" s="1948">
        <v>0</v>
      </c>
      <c r="AL359" s="1948">
        <f t="shared" si="81"/>
        <v>0</v>
      </c>
      <c r="AM359" s="1948">
        <f t="shared" si="82"/>
        <v>0</v>
      </c>
      <c r="AN359" s="1948">
        <v>223</v>
      </c>
      <c r="AO359" s="1948">
        <v>0</v>
      </c>
      <c r="AP359" s="1948">
        <v>178.4</v>
      </c>
      <c r="AQ359" s="1948">
        <v>0</v>
      </c>
      <c r="AR359" s="1948">
        <v>0</v>
      </c>
      <c r="AS359" s="1948">
        <v>0</v>
      </c>
      <c r="AT359" s="1948">
        <f t="shared" si="83"/>
        <v>0</v>
      </c>
      <c r="AU359" s="1948">
        <f t="shared" si="84"/>
        <v>0</v>
      </c>
      <c r="AV359" s="1948">
        <v>223</v>
      </c>
      <c r="AW359" s="1948">
        <v>0</v>
      </c>
      <c r="AX359" s="1948">
        <v>178.4</v>
      </c>
      <c r="AY359" s="1948">
        <v>0</v>
      </c>
      <c r="AZ359" s="1948">
        <v>0</v>
      </c>
      <c r="BA359" s="1948">
        <v>0</v>
      </c>
      <c r="BB359" s="1948">
        <f t="shared" si="85"/>
        <v>0</v>
      </c>
      <c r="BC359" s="1948">
        <f t="shared" si="86"/>
        <v>0</v>
      </c>
      <c r="BD359" s="1948">
        <v>0</v>
      </c>
      <c r="BE359" s="1948">
        <v>0</v>
      </c>
      <c r="BF359" s="1948">
        <v>0</v>
      </c>
      <c r="BG359" s="1948">
        <v>0</v>
      </c>
      <c r="BH359" s="1948">
        <v>0</v>
      </c>
      <c r="BI359" s="1948">
        <v>0</v>
      </c>
      <c r="BJ359" s="1948">
        <f t="shared" si="87"/>
        <v>0</v>
      </c>
      <c r="BK359" s="1948">
        <f t="shared" si="88"/>
        <v>0</v>
      </c>
    </row>
    <row r="360" spans="1:63" ht="15">
      <c r="A360" s="1946">
        <v>615000000056</v>
      </c>
      <c r="B360" s="1947">
        <f t="shared" si="89"/>
        <v>354</v>
      </c>
      <c r="C360" s="1906" t="s">
        <v>3226</v>
      </c>
      <c r="D360" s="1907" t="s">
        <v>524</v>
      </c>
      <c r="E360" s="1906" t="s">
        <v>541</v>
      </c>
      <c r="F360" s="1948" t="s">
        <v>259</v>
      </c>
      <c r="G360" s="1949">
        <v>224</v>
      </c>
      <c r="H360" s="1948">
        <v>224</v>
      </c>
      <c r="I360" s="1950">
        <v>251.6</v>
      </c>
      <c r="J360" s="1948">
        <v>251.6</v>
      </c>
      <c r="K360" s="1948">
        <v>0.88039999999999996</v>
      </c>
      <c r="L360" s="1948">
        <v>12.36</v>
      </c>
      <c r="M360" s="1948">
        <v>22393</v>
      </c>
      <c r="N360" s="1948">
        <f t="shared" si="75"/>
        <v>108691</v>
      </c>
      <c r="O360" s="1948">
        <f t="shared" si="76"/>
        <v>0</v>
      </c>
      <c r="P360" s="1948">
        <v>224</v>
      </c>
      <c r="Q360" s="1948">
        <v>158.4</v>
      </c>
      <c r="R360" s="1948">
        <v>179.2</v>
      </c>
      <c r="S360" s="1948">
        <v>0.89900000000000002</v>
      </c>
      <c r="T360" s="1948">
        <v>18.510000000000002</v>
      </c>
      <c r="U360" s="1948">
        <v>21812</v>
      </c>
      <c r="V360" s="1948">
        <f t="shared" si="77"/>
        <v>70710</v>
      </c>
      <c r="W360" s="1948">
        <f t="shared" si="78"/>
        <v>0</v>
      </c>
      <c r="X360" s="1948">
        <v>224</v>
      </c>
      <c r="Y360" s="1948">
        <v>197.67999999999998</v>
      </c>
      <c r="Z360" s="1948">
        <v>197.68</v>
      </c>
      <c r="AA360" s="1948">
        <v>0.73609999999999998</v>
      </c>
      <c r="AB360" s="1948">
        <v>6</v>
      </c>
      <c r="AC360" s="1948">
        <v>8544</v>
      </c>
      <c r="AD360" s="1948">
        <f t="shared" si="79"/>
        <v>85398</v>
      </c>
      <c r="AE360" s="1948">
        <f t="shared" si="80"/>
        <v>0</v>
      </c>
      <c r="AF360" s="1948">
        <v>224</v>
      </c>
      <c r="AG360" s="1948">
        <v>212.16</v>
      </c>
      <c r="AH360" s="1948">
        <v>212.16</v>
      </c>
      <c r="AI360" s="1948">
        <v>0.6552</v>
      </c>
      <c r="AJ360" s="1948">
        <v>7.45</v>
      </c>
      <c r="AK360" s="1948">
        <v>11764</v>
      </c>
      <c r="AL360" s="1948">
        <f t="shared" si="81"/>
        <v>94708</v>
      </c>
      <c r="AM360" s="1948">
        <f t="shared" si="82"/>
        <v>0</v>
      </c>
      <c r="AN360" s="1948">
        <v>224</v>
      </c>
      <c r="AO360" s="1948">
        <v>239.2</v>
      </c>
      <c r="AP360" s="1948">
        <v>239.2</v>
      </c>
      <c r="AQ360" s="1948">
        <v>0.71050000000000002</v>
      </c>
      <c r="AR360" s="1948">
        <v>9.4600000000000009</v>
      </c>
      <c r="AS360" s="1948">
        <v>16843</v>
      </c>
      <c r="AT360" s="1948">
        <f t="shared" si="83"/>
        <v>106779</v>
      </c>
      <c r="AU360" s="1948">
        <f t="shared" si="84"/>
        <v>0</v>
      </c>
      <c r="AV360" s="1948">
        <v>224</v>
      </c>
      <c r="AW360" s="1948">
        <v>209.43999999999997</v>
      </c>
      <c r="AX360" s="1948">
        <v>209.44</v>
      </c>
      <c r="AY360" s="1948">
        <v>0.6925</v>
      </c>
      <c r="AZ360" s="1948">
        <v>9.08</v>
      </c>
      <c r="BA360" s="1948">
        <v>13685</v>
      </c>
      <c r="BB360" s="1948">
        <f t="shared" si="85"/>
        <v>90478</v>
      </c>
      <c r="BC360" s="1948">
        <f t="shared" si="86"/>
        <v>0</v>
      </c>
      <c r="BD360" s="1949">
        <v>224</v>
      </c>
      <c r="BE360" s="1948">
        <v>219.84</v>
      </c>
      <c r="BF360" s="1949">
        <v>219.84</v>
      </c>
      <c r="BG360" s="1949">
        <v>0.7107</v>
      </c>
      <c r="BH360" s="1949">
        <v>13.65</v>
      </c>
      <c r="BI360" s="1948">
        <v>22333</v>
      </c>
      <c r="BJ360" s="1948">
        <f t="shared" si="87"/>
        <v>98137</v>
      </c>
      <c r="BK360" s="1948">
        <f t="shared" si="88"/>
        <v>0</v>
      </c>
    </row>
    <row r="361" spans="1:63" ht="15">
      <c r="A361" s="1946">
        <v>123000000133</v>
      </c>
      <c r="B361" s="1947">
        <f t="shared" si="89"/>
        <v>355</v>
      </c>
      <c r="C361" s="1906" t="s">
        <v>3227</v>
      </c>
      <c r="D361" s="1907" t="s">
        <v>524</v>
      </c>
      <c r="E361" s="1906" t="s">
        <v>541</v>
      </c>
      <c r="F361" s="1948" t="s">
        <v>259</v>
      </c>
      <c r="G361" s="1949">
        <v>225</v>
      </c>
      <c r="H361" s="1948">
        <v>225</v>
      </c>
      <c r="I361" s="1950">
        <v>0</v>
      </c>
      <c r="J361" s="1948">
        <v>180</v>
      </c>
      <c r="K361" s="1948">
        <v>0</v>
      </c>
      <c r="L361" s="1948">
        <v>0</v>
      </c>
      <c r="M361" s="1948">
        <v>0</v>
      </c>
      <c r="N361" s="1948">
        <f t="shared" si="75"/>
        <v>0</v>
      </c>
      <c r="O361" s="1948">
        <f t="shared" si="76"/>
        <v>0</v>
      </c>
      <c r="P361" s="1948">
        <v>225</v>
      </c>
      <c r="Q361" s="1948">
        <v>0</v>
      </c>
      <c r="R361" s="1948">
        <v>180</v>
      </c>
      <c r="S361" s="1948">
        <v>0</v>
      </c>
      <c r="T361" s="1948">
        <v>0</v>
      </c>
      <c r="U361" s="1948">
        <v>0</v>
      </c>
      <c r="V361" s="1948">
        <f t="shared" si="77"/>
        <v>0</v>
      </c>
      <c r="W361" s="1948">
        <f t="shared" si="78"/>
        <v>0</v>
      </c>
      <c r="X361" s="1948">
        <v>225</v>
      </c>
      <c r="Y361" s="1948">
        <v>0</v>
      </c>
      <c r="Z361" s="1948">
        <v>180</v>
      </c>
      <c r="AA361" s="1948">
        <v>0</v>
      </c>
      <c r="AB361" s="1948">
        <v>0</v>
      </c>
      <c r="AC361" s="1948">
        <v>0</v>
      </c>
      <c r="AD361" s="1948">
        <f t="shared" si="79"/>
        <v>0</v>
      </c>
      <c r="AE361" s="1948">
        <f t="shared" si="80"/>
        <v>0</v>
      </c>
      <c r="AF361" s="1948">
        <v>225</v>
      </c>
      <c r="AG361" s="1948">
        <v>0</v>
      </c>
      <c r="AH361" s="1948">
        <v>180</v>
      </c>
      <c r="AI361" s="1948">
        <v>0</v>
      </c>
      <c r="AJ361" s="1948">
        <v>0</v>
      </c>
      <c r="AK361" s="1948">
        <v>0</v>
      </c>
      <c r="AL361" s="1948">
        <f t="shared" si="81"/>
        <v>0</v>
      </c>
      <c r="AM361" s="1948">
        <f t="shared" si="82"/>
        <v>0</v>
      </c>
      <c r="AN361" s="1948">
        <v>225</v>
      </c>
      <c r="AO361" s="1948">
        <v>0</v>
      </c>
      <c r="AP361" s="1948">
        <v>180</v>
      </c>
      <c r="AQ361" s="1948">
        <v>0</v>
      </c>
      <c r="AR361" s="1948">
        <v>0</v>
      </c>
      <c r="AS361" s="1948">
        <v>0</v>
      </c>
      <c r="AT361" s="1948">
        <f t="shared" si="83"/>
        <v>0</v>
      </c>
      <c r="AU361" s="1948">
        <f t="shared" si="84"/>
        <v>0</v>
      </c>
      <c r="AV361" s="1948">
        <v>225</v>
      </c>
      <c r="AW361" s="1948">
        <v>0</v>
      </c>
      <c r="AX361" s="1948">
        <v>180</v>
      </c>
      <c r="AY361" s="1948">
        <v>0</v>
      </c>
      <c r="AZ361" s="1948">
        <v>0</v>
      </c>
      <c r="BA361" s="1948">
        <v>0</v>
      </c>
      <c r="BB361" s="1948">
        <f t="shared" si="85"/>
        <v>0</v>
      </c>
      <c r="BC361" s="1948">
        <f t="shared" si="86"/>
        <v>0</v>
      </c>
      <c r="BD361" s="1949">
        <v>225</v>
      </c>
      <c r="BE361" s="1948">
        <v>0</v>
      </c>
      <c r="BF361" s="1949">
        <v>180</v>
      </c>
      <c r="BG361" s="1949">
        <v>0</v>
      </c>
      <c r="BH361" s="1949">
        <v>0</v>
      </c>
      <c r="BI361" s="1948">
        <v>0</v>
      </c>
      <c r="BJ361" s="1948">
        <f t="shared" si="87"/>
        <v>0</v>
      </c>
      <c r="BK361" s="1948">
        <f t="shared" si="88"/>
        <v>0</v>
      </c>
    </row>
    <row r="362" spans="1:63" ht="15">
      <c r="A362" s="1946">
        <v>126000000040</v>
      </c>
      <c r="B362" s="1947">
        <f t="shared" si="89"/>
        <v>356</v>
      </c>
      <c r="C362" s="1906" t="s">
        <v>3230</v>
      </c>
      <c r="D362" s="1907" t="s">
        <v>524</v>
      </c>
      <c r="E362" s="1906" t="s">
        <v>541</v>
      </c>
      <c r="F362" s="1948" t="s">
        <v>259</v>
      </c>
      <c r="G362" s="1949">
        <v>225</v>
      </c>
      <c r="H362" s="1948">
        <v>225</v>
      </c>
      <c r="I362" s="1950">
        <v>3.2</v>
      </c>
      <c r="J362" s="1948">
        <v>180</v>
      </c>
      <c r="K362" s="1948">
        <v>0.99050000000000005</v>
      </c>
      <c r="L362" s="1948">
        <v>27.52</v>
      </c>
      <c r="M362" s="1948">
        <v>634</v>
      </c>
      <c r="N362" s="1948">
        <f t="shared" si="75"/>
        <v>1382</v>
      </c>
      <c r="O362" s="1948">
        <f t="shared" si="76"/>
        <v>0</v>
      </c>
      <c r="P362" s="1948">
        <v>225</v>
      </c>
      <c r="Q362" s="1948">
        <v>162.88</v>
      </c>
      <c r="R362" s="1948">
        <v>180</v>
      </c>
      <c r="S362" s="1948">
        <v>0.75770000000000004</v>
      </c>
      <c r="T362" s="1948">
        <v>1.07</v>
      </c>
      <c r="U362" s="1948">
        <v>1296</v>
      </c>
      <c r="V362" s="1948">
        <f t="shared" si="77"/>
        <v>72710</v>
      </c>
      <c r="W362" s="1948">
        <f t="shared" si="78"/>
        <v>0</v>
      </c>
      <c r="X362" s="1948">
        <v>225</v>
      </c>
      <c r="Y362" s="1948">
        <v>119.19999999999999</v>
      </c>
      <c r="Z362" s="1948">
        <v>180</v>
      </c>
      <c r="AA362" s="1948">
        <v>0.9819</v>
      </c>
      <c r="AB362" s="1948">
        <v>2.4500000000000002</v>
      </c>
      <c r="AC362" s="1948">
        <v>2100</v>
      </c>
      <c r="AD362" s="1948">
        <f t="shared" si="79"/>
        <v>51494</v>
      </c>
      <c r="AE362" s="1948">
        <f t="shared" si="80"/>
        <v>0</v>
      </c>
      <c r="AF362" s="1948">
        <v>225</v>
      </c>
      <c r="AG362" s="1948">
        <v>124.16</v>
      </c>
      <c r="AH362" s="1948">
        <v>180</v>
      </c>
      <c r="AI362" s="1948">
        <v>0.98909999999999998</v>
      </c>
      <c r="AJ362" s="1948">
        <v>1.8</v>
      </c>
      <c r="AK362" s="1948">
        <v>1666</v>
      </c>
      <c r="AL362" s="1948">
        <f t="shared" si="81"/>
        <v>55425</v>
      </c>
      <c r="AM362" s="1948">
        <f t="shared" si="82"/>
        <v>0</v>
      </c>
      <c r="AN362" s="1948">
        <v>225</v>
      </c>
      <c r="AO362" s="1948">
        <v>110.08</v>
      </c>
      <c r="AP362" s="1948">
        <v>180</v>
      </c>
      <c r="AQ362" s="1948">
        <v>0.98240000000000005</v>
      </c>
      <c r="AR362" s="1948">
        <v>1.8</v>
      </c>
      <c r="AS362" s="1948">
        <v>1478</v>
      </c>
      <c r="AT362" s="1948">
        <f t="shared" si="83"/>
        <v>49140</v>
      </c>
      <c r="AU362" s="1948">
        <f t="shared" si="84"/>
        <v>0</v>
      </c>
      <c r="AV362" s="1948">
        <v>225</v>
      </c>
      <c r="AW362" s="1948">
        <v>136.47999999999999</v>
      </c>
      <c r="AX362" s="1948">
        <v>180</v>
      </c>
      <c r="AY362" s="1948">
        <v>0.98229999999999995</v>
      </c>
      <c r="AZ362" s="1948">
        <v>9.1999999999999993</v>
      </c>
      <c r="BA362" s="1948">
        <v>9042</v>
      </c>
      <c r="BB362" s="1948">
        <f t="shared" si="85"/>
        <v>58959</v>
      </c>
      <c r="BC362" s="1948">
        <f t="shared" si="86"/>
        <v>0</v>
      </c>
      <c r="BD362" s="1949">
        <v>225</v>
      </c>
      <c r="BE362" s="1948">
        <v>140.32</v>
      </c>
      <c r="BF362" s="1949">
        <v>180</v>
      </c>
      <c r="BG362" s="1949">
        <v>0.98140000000000005</v>
      </c>
      <c r="BH362" s="1949">
        <v>12.4</v>
      </c>
      <c r="BI362" s="1948">
        <v>12948</v>
      </c>
      <c r="BJ362" s="1948">
        <f t="shared" si="87"/>
        <v>62639</v>
      </c>
      <c r="BK362" s="1948">
        <f t="shared" si="88"/>
        <v>0</v>
      </c>
    </row>
    <row r="363" spans="1:63" ht="15">
      <c r="A363" s="1946">
        <v>613000000033</v>
      </c>
      <c r="B363" s="1947">
        <f t="shared" si="89"/>
        <v>357</v>
      </c>
      <c r="C363" s="1906" t="s">
        <v>3229</v>
      </c>
      <c r="D363" s="1907" t="s">
        <v>524</v>
      </c>
      <c r="E363" s="1906" t="s">
        <v>541</v>
      </c>
      <c r="F363" s="1948" t="s">
        <v>259</v>
      </c>
      <c r="G363" s="1949">
        <v>225</v>
      </c>
      <c r="H363" s="1948">
        <v>225</v>
      </c>
      <c r="I363" s="1950">
        <v>280.96000000000004</v>
      </c>
      <c r="J363" s="1948">
        <v>280.95999999999998</v>
      </c>
      <c r="K363" s="1948">
        <v>0.99470000000000003</v>
      </c>
      <c r="L363" s="1948">
        <v>28.93</v>
      </c>
      <c r="M363" s="1948">
        <v>58530</v>
      </c>
      <c r="N363" s="1948">
        <f t="shared" si="75"/>
        <v>121375</v>
      </c>
      <c r="O363" s="1948">
        <f t="shared" si="76"/>
        <v>0</v>
      </c>
      <c r="P363" s="1948">
        <v>225</v>
      </c>
      <c r="Q363" s="1948">
        <v>361.76</v>
      </c>
      <c r="R363" s="1948">
        <v>361.76</v>
      </c>
      <c r="S363" s="1948">
        <v>0.84809999999999997</v>
      </c>
      <c r="T363" s="1948">
        <v>26.42</v>
      </c>
      <c r="U363" s="1948">
        <v>71118</v>
      </c>
      <c r="V363" s="1948">
        <f t="shared" si="77"/>
        <v>161490</v>
      </c>
      <c r="W363" s="1948">
        <f t="shared" si="78"/>
        <v>0</v>
      </c>
      <c r="X363" s="1948">
        <v>225</v>
      </c>
      <c r="Y363" s="1948">
        <v>319.20000000000005</v>
      </c>
      <c r="Z363" s="1948">
        <v>319.2</v>
      </c>
      <c r="AA363" s="1948">
        <v>0.81</v>
      </c>
      <c r="AB363" s="1948">
        <v>23.29</v>
      </c>
      <c r="AC363" s="1948">
        <v>53536</v>
      </c>
      <c r="AD363" s="1948">
        <f t="shared" si="79"/>
        <v>137894</v>
      </c>
      <c r="AE363" s="1948">
        <f t="shared" si="80"/>
        <v>0</v>
      </c>
      <c r="AF363" s="1948">
        <v>225</v>
      </c>
      <c r="AG363" s="1948">
        <v>271.36</v>
      </c>
      <c r="AH363" s="1948">
        <v>271.36</v>
      </c>
      <c r="AI363" s="1948">
        <v>0.85340000000000005</v>
      </c>
      <c r="AJ363" s="1948">
        <v>20.9</v>
      </c>
      <c r="AK363" s="1948">
        <v>42204</v>
      </c>
      <c r="AL363" s="1948">
        <f t="shared" si="81"/>
        <v>121135</v>
      </c>
      <c r="AM363" s="1948">
        <f t="shared" si="82"/>
        <v>0</v>
      </c>
      <c r="AN363" s="1948">
        <v>225</v>
      </c>
      <c r="AO363" s="1948">
        <v>254.88</v>
      </c>
      <c r="AP363" s="1948">
        <v>254.88</v>
      </c>
      <c r="AQ363" s="1948">
        <v>0.73909999999999998</v>
      </c>
      <c r="AR363" s="1948">
        <v>13.65</v>
      </c>
      <c r="AS363" s="1948">
        <v>25888</v>
      </c>
      <c r="AT363" s="1948">
        <f t="shared" si="83"/>
        <v>113778</v>
      </c>
      <c r="AU363" s="1948">
        <f t="shared" si="84"/>
        <v>0</v>
      </c>
      <c r="AV363" s="1948">
        <v>225</v>
      </c>
      <c r="AW363" s="1948">
        <v>229.76000000000002</v>
      </c>
      <c r="AX363" s="1948">
        <v>229.76</v>
      </c>
      <c r="AY363" s="1948">
        <v>0.74890000000000001</v>
      </c>
      <c r="AZ363" s="1948">
        <v>12.98</v>
      </c>
      <c r="BA363" s="1948">
        <v>21470</v>
      </c>
      <c r="BB363" s="1948">
        <f t="shared" si="85"/>
        <v>99256</v>
      </c>
      <c r="BC363" s="1948">
        <f t="shared" si="86"/>
        <v>0</v>
      </c>
      <c r="BD363" s="1949">
        <v>225</v>
      </c>
      <c r="BE363" s="1948">
        <v>268.32</v>
      </c>
      <c r="BF363" s="1949">
        <v>268.32</v>
      </c>
      <c r="BG363" s="1949">
        <v>0.87690000000000001</v>
      </c>
      <c r="BH363" s="1949">
        <v>24.58</v>
      </c>
      <c r="BI363" s="1948">
        <v>49066</v>
      </c>
      <c r="BJ363" s="1948">
        <f t="shared" si="87"/>
        <v>119778</v>
      </c>
      <c r="BK363" s="1948">
        <f t="shared" si="88"/>
        <v>0</v>
      </c>
    </row>
    <row r="364" spans="1:63" ht="15">
      <c r="A364" s="1946">
        <v>613000000034</v>
      </c>
      <c r="B364" s="1947">
        <f t="shared" si="89"/>
        <v>358</v>
      </c>
      <c r="C364" s="1906" t="s">
        <v>3228</v>
      </c>
      <c r="D364" s="1907" t="s">
        <v>524</v>
      </c>
      <c r="E364" s="1906" t="s">
        <v>541</v>
      </c>
      <c r="F364" s="1948" t="s">
        <v>259</v>
      </c>
      <c r="G364" s="1949">
        <v>225</v>
      </c>
      <c r="H364" s="1948">
        <v>225</v>
      </c>
      <c r="I364" s="1950">
        <v>3.36</v>
      </c>
      <c r="J364" s="1948">
        <v>180</v>
      </c>
      <c r="K364" s="1948">
        <v>0.53749999999999998</v>
      </c>
      <c r="L364" s="1948">
        <v>29.76</v>
      </c>
      <c r="M364" s="1948">
        <v>720</v>
      </c>
      <c r="N364" s="1948">
        <f t="shared" si="75"/>
        <v>1452</v>
      </c>
      <c r="O364" s="1948">
        <f t="shared" si="76"/>
        <v>0</v>
      </c>
      <c r="P364" s="1948">
        <v>225</v>
      </c>
      <c r="Q364" s="1948">
        <v>3.6</v>
      </c>
      <c r="R364" s="1948">
        <v>180</v>
      </c>
      <c r="S364" s="1948">
        <v>0.55300000000000005</v>
      </c>
      <c r="T364" s="1948">
        <v>39.090000000000003</v>
      </c>
      <c r="U364" s="1948">
        <v>1047</v>
      </c>
      <c r="V364" s="1948">
        <f t="shared" si="77"/>
        <v>1607</v>
      </c>
      <c r="W364" s="1948">
        <f t="shared" si="78"/>
        <v>0</v>
      </c>
      <c r="X364" s="1948">
        <v>225</v>
      </c>
      <c r="Y364" s="1948">
        <v>3.1199999999999997</v>
      </c>
      <c r="Z364" s="1948">
        <v>180</v>
      </c>
      <c r="AA364" s="1948">
        <v>0.64939999999999998</v>
      </c>
      <c r="AB364" s="1948">
        <v>33.520000000000003</v>
      </c>
      <c r="AC364" s="1948">
        <v>753</v>
      </c>
      <c r="AD364" s="1948">
        <f t="shared" si="79"/>
        <v>1348</v>
      </c>
      <c r="AE364" s="1948">
        <f t="shared" si="80"/>
        <v>0</v>
      </c>
      <c r="AF364" s="1948">
        <v>225</v>
      </c>
      <c r="AG364" s="1948">
        <v>2.64</v>
      </c>
      <c r="AH364" s="1948">
        <v>180</v>
      </c>
      <c r="AI364" s="1948">
        <v>0.54390000000000005</v>
      </c>
      <c r="AJ364" s="1948">
        <v>55.6</v>
      </c>
      <c r="AK364" s="1948">
        <v>1092</v>
      </c>
      <c r="AL364" s="1948">
        <f t="shared" si="81"/>
        <v>1178</v>
      </c>
      <c r="AM364" s="1948">
        <f t="shared" si="82"/>
        <v>0</v>
      </c>
      <c r="AN364" s="1948">
        <v>225</v>
      </c>
      <c r="AO364" s="1948">
        <v>5.52</v>
      </c>
      <c r="AP364" s="1948">
        <v>180</v>
      </c>
      <c r="AQ364" s="1948">
        <v>0.48859999999999998</v>
      </c>
      <c r="AR364" s="1948">
        <v>28.85</v>
      </c>
      <c r="AS364" s="1948">
        <v>1185</v>
      </c>
      <c r="AT364" s="1948">
        <f t="shared" si="83"/>
        <v>2464</v>
      </c>
      <c r="AU364" s="1948">
        <f t="shared" si="84"/>
        <v>0</v>
      </c>
      <c r="AV364" s="1948">
        <v>225</v>
      </c>
      <c r="AW364" s="1948">
        <v>3.1199999999999997</v>
      </c>
      <c r="AX364" s="1948">
        <v>180</v>
      </c>
      <c r="AY364" s="1948">
        <v>0.47349999999999998</v>
      </c>
      <c r="AZ364" s="1948">
        <v>55.56</v>
      </c>
      <c r="BA364" s="1948">
        <v>1248</v>
      </c>
      <c r="BB364" s="1948">
        <f t="shared" si="85"/>
        <v>1348</v>
      </c>
      <c r="BC364" s="1948">
        <f t="shared" si="86"/>
        <v>0</v>
      </c>
      <c r="BD364" s="1949">
        <v>225</v>
      </c>
      <c r="BE364" s="1948">
        <v>3.8400000000000003</v>
      </c>
      <c r="BF364" s="1949">
        <v>180</v>
      </c>
      <c r="BG364" s="1949">
        <v>0.45900000000000002</v>
      </c>
      <c r="BH364" s="1949">
        <v>48.72</v>
      </c>
      <c r="BI364" s="1948">
        <v>1392</v>
      </c>
      <c r="BJ364" s="1948">
        <f t="shared" si="87"/>
        <v>1714</v>
      </c>
      <c r="BK364" s="1948">
        <f t="shared" si="88"/>
        <v>0</v>
      </c>
    </row>
    <row r="365" spans="1:63" ht="15">
      <c r="A365" s="1946">
        <v>123000000122</v>
      </c>
      <c r="B365" s="1947">
        <f t="shared" si="89"/>
        <v>359</v>
      </c>
      <c r="C365" s="1906" t="s">
        <v>3232</v>
      </c>
      <c r="D365" s="1907" t="s">
        <v>524</v>
      </c>
      <c r="E365" s="1906" t="s">
        <v>541</v>
      </c>
      <c r="F365" s="1948" t="s">
        <v>259</v>
      </c>
      <c r="G365" s="1949">
        <v>228</v>
      </c>
      <c r="H365" s="1948">
        <v>228</v>
      </c>
      <c r="I365" s="1950">
        <v>80.16</v>
      </c>
      <c r="J365" s="1948">
        <v>182.4</v>
      </c>
      <c r="K365" s="1948">
        <v>0.99690000000000001</v>
      </c>
      <c r="L365" s="1948">
        <v>14.31</v>
      </c>
      <c r="M365" s="1948">
        <v>8257</v>
      </c>
      <c r="N365" s="1948">
        <f t="shared" si="75"/>
        <v>34629</v>
      </c>
      <c r="O365" s="1948">
        <f t="shared" si="76"/>
        <v>0</v>
      </c>
      <c r="P365" s="1948">
        <v>228</v>
      </c>
      <c r="Q365" s="1948">
        <v>78.12</v>
      </c>
      <c r="R365" s="1948">
        <v>182.4</v>
      </c>
      <c r="S365" s="1948">
        <v>0.99590000000000001</v>
      </c>
      <c r="T365" s="1948">
        <v>13.61</v>
      </c>
      <c r="U365" s="1948">
        <v>7913</v>
      </c>
      <c r="V365" s="1948">
        <f t="shared" si="77"/>
        <v>34873</v>
      </c>
      <c r="W365" s="1948">
        <f t="shared" si="78"/>
        <v>0</v>
      </c>
      <c r="X365" s="1948">
        <v>228</v>
      </c>
      <c r="Y365" s="1948">
        <v>69.239999999999995</v>
      </c>
      <c r="Z365" s="1948">
        <v>182.4</v>
      </c>
      <c r="AA365" s="1948">
        <v>0.98599999999999999</v>
      </c>
      <c r="AB365" s="1948">
        <v>19.09</v>
      </c>
      <c r="AC365" s="1948">
        <v>9515</v>
      </c>
      <c r="AD365" s="1948">
        <f t="shared" si="79"/>
        <v>29912</v>
      </c>
      <c r="AE365" s="1948">
        <f t="shared" si="80"/>
        <v>0</v>
      </c>
      <c r="AF365" s="1948">
        <v>228</v>
      </c>
      <c r="AG365" s="1948">
        <v>66.84</v>
      </c>
      <c r="AH365" s="1948">
        <v>182.4</v>
      </c>
      <c r="AI365" s="1948">
        <v>0.99450000000000005</v>
      </c>
      <c r="AJ365" s="1948">
        <v>13.17</v>
      </c>
      <c r="AK365" s="1948">
        <v>6549</v>
      </c>
      <c r="AL365" s="1948">
        <f t="shared" si="81"/>
        <v>29837</v>
      </c>
      <c r="AM365" s="1948">
        <f t="shared" si="82"/>
        <v>0</v>
      </c>
      <c r="AN365" s="1948">
        <v>228</v>
      </c>
      <c r="AO365" s="1948">
        <v>33.96</v>
      </c>
      <c r="AP365" s="1948">
        <v>182.4</v>
      </c>
      <c r="AQ365" s="1948">
        <v>0.97740000000000005</v>
      </c>
      <c r="AR365" s="1948">
        <v>20.32</v>
      </c>
      <c r="AS365" s="1948">
        <v>5135</v>
      </c>
      <c r="AT365" s="1948">
        <f t="shared" si="83"/>
        <v>15160</v>
      </c>
      <c r="AU365" s="1948">
        <f t="shared" si="84"/>
        <v>0</v>
      </c>
      <c r="AV365" s="1948">
        <v>228</v>
      </c>
      <c r="AW365" s="1948">
        <v>30.240000000000002</v>
      </c>
      <c r="AX365" s="1948">
        <v>182.4</v>
      </c>
      <c r="AY365" s="1948">
        <v>0.99019999999999997</v>
      </c>
      <c r="AZ365" s="1948">
        <v>23.53</v>
      </c>
      <c r="BA365" s="1948">
        <v>5123</v>
      </c>
      <c r="BB365" s="1948">
        <f t="shared" si="85"/>
        <v>13064</v>
      </c>
      <c r="BC365" s="1948">
        <f t="shared" si="86"/>
        <v>0</v>
      </c>
      <c r="BD365" s="1949">
        <v>228</v>
      </c>
      <c r="BE365" s="1948">
        <v>30.12</v>
      </c>
      <c r="BF365" s="1949">
        <v>182.4</v>
      </c>
      <c r="BG365" s="1949">
        <v>0.98699999999999999</v>
      </c>
      <c r="BH365" s="1949">
        <v>24.82</v>
      </c>
      <c r="BI365" s="1948">
        <v>5561</v>
      </c>
      <c r="BJ365" s="1948">
        <f t="shared" si="87"/>
        <v>13446</v>
      </c>
      <c r="BK365" s="1948">
        <f t="shared" si="88"/>
        <v>0</v>
      </c>
    </row>
    <row r="366" spans="1:63" ht="15">
      <c r="A366" s="1946">
        <v>123000000128</v>
      </c>
      <c r="B366" s="1947">
        <f t="shared" si="89"/>
        <v>360</v>
      </c>
      <c r="C366" s="1906" t="s">
        <v>3231</v>
      </c>
      <c r="D366" s="1907" t="s">
        <v>524</v>
      </c>
      <c r="E366" s="1906" t="s">
        <v>541</v>
      </c>
      <c r="F366" s="1948" t="s">
        <v>259</v>
      </c>
      <c r="G366" s="1949">
        <v>228</v>
      </c>
      <c r="H366" s="1948">
        <v>228</v>
      </c>
      <c r="I366" s="1950">
        <v>45.6</v>
      </c>
      <c r="J366" s="1948">
        <v>182.4</v>
      </c>
      <c r="K366" s="1948">
        <v>0.68320000000000003</v>
      </c>
      <c r="L366" s="1948">
        <v>4.0999999999999996</v>
      </c>
      <c r="M366" s="1948">
        <v>1345</v>
      </c>
      <c r="N366" s="1948">
        <f t="shared" si="75"/>
        <v>19699</v>
      </c>
      <c r="O366" s="1948">
        <f t="shared" si="76"/>
        <v>0</v>
      </c>
      <c r="P366" s="1948">
        <v>228</v>
      </c>
      <c r="Q366" s="1948">
        <v>3.8400000000000003</v>
      </c>
      <c r="R366" s="1948">
        <v>182.4</v>
      </c>
      <c r="S366" s="1948">
        <v>0.65559999999999996</v>
      </c>
      <c r="T366" s="1948">
        <v>40.25</v>
      </c>
      <c r="U366" s="1948">
        <v>1150</v>
      </c>
      <c r="V366" s="1948">
        <f t="shared" si="77"/>
        <v>1714</v>
      </c>
      <c r="W366" s="1948">
        <f t="shared" si="78"/>
        <v>0</v>
      </c>
      <c r="X366" s="1948">
        <v>228</v>
      </c>
      <c r="Y366" s="1948">
        <v>3.4799999999999995</v>
      </c>
      <c r="Z366" s="1948">
        <v>182.4</v>
      </c>
      <c r="AA366" s="1948">
        <v>0.63380000000000003</v>
      </c>
      <c r="AB366" s="1948">
        <v>45.46</v>
      </c>
      <c r="AC366" s="1948">
        <v>1139</v>
      </c>
      <c r="AD366" s="1948">
        <f t="shared" si="79"/>
        <v>1503</v>
      </c>
      <c r="AE366" s="1948">
        <f t="shared" si="80"/>
        <v>0</v>
      </c>
      <c r="AF366" s="1948">
        <v>228</v>
      </c>
      <c r="AG366" s="1948">
        <v>55.56</v>
      </c>
      <c r="AH366" s="1948">
        <v>182.4</v>
      </c>
      <c r="AI366" s="1948">
        <v>0.64729999999999999</v>
      </c>
      <c r="AJ366" s="1948">
        <v>3.26</v>
      </c>
      <c r="AK366" s="1948">
        <v>1347</v>
      </c>
      <c r="AL366" s="1948">
        <f t="shared" si="81"/>
        <v>24802</v>
      </c>
      <c r="AM366" s="1948">
        <f t="shared" si="82"/>
        <v>0</v>
      </c>
      <c r="AN366" s="1948">
        <v>228</v>
      </c>
      <c r="AO366" s="1948">
        <v>78.48</v>
      </c>
      <c r="AP366" s="1948">
        <v>182.4</v>
      </c>
      <c r="AQ366" s="1948">
        <v>0.65339999999999998</v>
      </c>
      <c r="AR366" s="1948">
        <v>5.98</v>
      </c>
      <c r="AS366" s="1948">
        <v>3494</v>
      </c>
      <c r="AT366" s="1948">
        <f t="shared" si="83"/>
        <v>35033</v>
      </c>
      <c r="AU366" s="1948">
        <f t="shared" si="84"/>
        <v>0</v>
      </c>
      <c r="AV366" s="1948">
        <v>228</v>
      </c>
      <c r="AW366" s="1948">
        <v>78.839999999999989</v>
      </c>
      <c r="AX366" s="1948">
        <v>182.4</v>
      </c>
      <c r="AY366" s="1948">
        <v>0.67159999999999997</v>
      </c>
      <c r="AZ366" s="1948">
        <v>4.4400000000000004</v>
      </c>
      <c r="BA366" s="1948">
        <v>2519</v>
      </c>
      <c r="BB366" s="1948">
        <f t="shared" si="85"/>
        <v>34059</v>
      </c>
      <c r="BC366" s="1948">
        <f t="shared" si="86"/>
        <v>0</v>
      </c>
      <c r="BD366" s="1949">
        <v>228</v>
      </c>
      <c r="BE366" s="1948">
        <v>37.68</v>
      </c>
      <c r="BF366" s="1949">
        <v>182.4</v>
      </c>
      <c r="BG366" s="1949">
        <v>0.60729999999999995</v>
      </c>
      <c r="BH366" s="1949">
        <v>13.4</v>
      </c>
      <c r="BI366" s="1948">
        <v>3757</v>
      </c>
      <c r="BJ366" s="1948">
        <f t="shared" si="87"/>
        <v>16820</v>
      </c>
      <c r="BK366" s="1948">
        <f t="shared" si="88"/>
        <v>0</v>
      </c>
    </row>
    <row r="367" spans="1:63" ht="15">
      <c r="A367" s="1946">
        <v>122000000064</v>
      </c>
      <c r="B367" s="1947">
        <f t="shared" si="89"/>
        <v>361</v>
      </c>
      <c r="C367" s="1906" t="s">
        <v>3233</v>
      </c>
      <c r="D367" s="1907" t="s">
        <v>524</v>
      </c>
      <c r="E367" s="1906" t="s">
        <v>541</v>
      </c>
      <c r="F367" s="1948" t="s">
        <v>259</v>
      </c>
      <c r="G367" s="1949">
        <v>230</v>
      </c>
      <c r="H367" s="1948">
        <v>230</v>
      </c>
      <c r="I367" s="1950">
        <v>122.39999999999999</v>
      </c>
      <c r="J367" s="1948">
        <v>184</v>
      </c>
      <c r="K367" s="1948">
        <v>0.84089999999999998</v>
      </c>
      <c r="L367" s="1948">
        <v>13.2</v>
      </c>
      <c r="M367" s="1948">
        <v>11635</v>
      </c>
      <c r="N367" s="1948">
        <f t="shared" si="75"/>
        <v>52877</v>
      </c>
      <c r="O367" s="1948">
        <f t="shared" si="76"/>
        <v>0</v>
      </c>
      <c r="P367" s="1948">
        <v>230</v>
      </c>
      <c r="Q367" s="1948">
        <v>223.20000000000002</v>
      </c>
      <c r="R367" s="1948">
        <v>223.2</v>
      </c>
      <c r="S367" s="1948">
        <v>0.95330000000000004</v>
      </c>
      <c r="T367" s="1948">
        <v>42.94</v>
      </c>
      <c r="U367" s="1948">
        <v>71310</v>
      </c>
      <c r="V367" s="1948">
        <f t="shared" si="77"/>
        <v>99636</v>
      </c>
      <c r="W367" s="1948">
        <f t="shared" si="78"/>
        <v>0</v>
      </c>
      <c r="X367" s="1948">
        <v>230</v>
      </c>
      <c r="Y367" s="1948">
        <v>206.8</v>
      </c>
      <c r="Z367" s="1948">
        <v>206.8</v>
      </c>
      <c r="AA367" s="1948">
        <v>0.94969999999999999</v>
      </c>
      <c r="AB367" s="1948">
        <v>56.07</v>
      </c>
      <c r="AC367" s="1948">
        <v>75140</v>
      </c>
      <c r="AD367" s="1948">
        <f t="shared" si="79"/>
        <v>89338</v>
      </c>
      <c r="AE367" s="1948">
        <f t="shared" si="80"/>
        <v>0</v>
      </c>
      <c r="AF367" s="1948">
        <v>230</v>
      </c>
      <c r="AG367" s="1948">
        <v>218.79999999999998</v>
      </c>
      <c r="AH367" s="1948">
        <v>218.8</v>
      </c>
      <c r="AI367" s="1948">
        <v>0.94189999999999996</v>
      </c>
      <c r="AJ367" s="1948">
        <v>51.95</v>
      </c>
      <c r="AK367" s="1948">
        <v>92750</v>
      </c>
      <c r="AL367" s="1948">
        <f t="shared" si="81"/>
        <v>97672</v>
      </c>
      <c r="AM367" s="1948">
        <f t="shared" si="82"/>
        <v>0</v>
      </c>
      <c r="AN367" s="1948">
        <v>230</v>
      </c>
      <c r="AO367" s="1948">
        <v>194.39999999999998</v>
      </c>
      <c r="AP367" s="1948">
        <v>194.4</v>
      </c>
      <c r="AQ367" s="1948">
        <v>0.88400000000000001</v>
      </c>
      <c r="AR367" s="1948">
        <v>24.21</v>
      </c>
      <c r="AS367" s="1948">
        <v>35020</v>
      </c>
      <c r="AT367" s="1948">
        <f t="shared" si="83"/>
        <v>86780</v>
      </c>
      <c r="AU367" s="1948">
        <f t="shared" si="84"/>
        <v>0</v>
      </c>
      <c r="AV367" s="1948">
        <v>230</v>
      </c>
      <c r="AW367" s="1948">
        <v>175.2</v>
      </c>
      <c r="AX367" s="1948">
        <v>184</v>
      </c>
      <c r="AY367" s="1948">
        <v>0.82730000000000004</v>
      </c>
      <c r="AZ367" s="1948">
        <v>30.58</v>
      </c>
      <c r="BA367" s="1948">
        <v>38570</v>
      </c>
      <c r="BB367" s="1948">
        <f t="shared" si="85"/>
        <v>75686</v>
      </c>
      <c r="BC367" s="1948">
        <f t="shared" si="86"/>
        <v>0</v>
      </c>
      <c r="BD367" s="1949">
        <v>230</v>
      </c>
      <c r="BE367" s="1948">
        <v>97.199999999999989</v>
      </c>
      <c r="BF367" s="1949">
        <v>184</v>
      </c>
      <c r="BG367" s="1949">
        <v>0.79669999999999996</v>
      </c>
      <c r="BH367" s="1949">
        <v>48.99</v>
      </c>
      <c r="BI367" s="1948">
        <v>35430</v>
      </c>
      <c r="BJ367" s="1948">
        <f t="shared" si="87"/>
        <v>43390</v>
      </c>
      <c r="BK367" s="1948">
        <f t="shared" si="88"/>
        <v>0</v>
      </c>
    </row>
    <row r="368" spans="1:63" ht="15">
      <c r="A368" s="1946">
        <v>126000000003</v>
      </c>
      <c r="B368" s="1947">
        <f t="shared" si="89"/>
        <v>362</v>
      </c>
      <c r="C368" s="1906" t="s">
        <v>3234</v>
      </c>
      <c r="D368" s="1907" t="s">
        <v>524</v>
      </c>
      <c r="E368" s="1906" t="s">
        <v>541</v>
      </c>
      <c r="F368" s="1948" t="s">
        <v>259</v>
      </c>
      <c r="G368" s="1949">
        <v>230</v>
      </c>
      <c r="H368" s="1948">
        <v>230</v>
      </c>
      <c r="I368" s="1950">
        <v>197.04000000000002</v>
      </c>
      <c r="J368" s="1948">
        <v>197.04</v>
      </c>
      <c r="K368" s="1948">
        <v>0.99260000000000004</v>
      </c>
      <c r="L368" s="1948">
        <v>21.28</v>
      </c>
      <c r="M368" s="1948">
        <v>30186</v>
      </c>
      <c r="N368" s="1948">
        <f t="shared" si="75"/>
        <v>85121</v>
      </c>
      <c r="O368" s="1948">
        <f t="shared" si="76"/>
        <v>0</v>
      </c>
      <c r="P368" s="1948">
        <v>230</v>
      </c>
      <c r="Q368" s="1948">
        <v>208.32</v>
      </c>
      <c r="R368" s="1948">
        <v>208.32</v>
      </c>
      <c r="S368" s="1948">
        <v>0.99199999999999999</v>
      </c>
      <c r="T368" s="1948">
        <v>34.770000000000003</v>
      </c>
      <c r="U368" s="1948">
        <v>53892</v>
      </c>
      <c r="V368" s="1948">
        <f t="shared" si="77"/>
        <v>92994</v>
      </c>
      <c r="W368" s="1948">
        <f t="shared" si="78"/>
        <v>0</v>
      </c>
      <c r="X368" s="1948">
        <v>230</v>
      </c>
      <c r="Y368" s="1948">
        <v>195.6</v>
      </c>
      <c r="Z368" s="1948">
        <v>195.6</v>
      </c>
      <c r="AA368" s="1948">
        <v>0.99099999999999999</v>
      </c>
      <c r="AB368" s="1948">
        <v>16.57</v>
      </c>
      <c r="AC368" s="1948">
        <v>23337</v>
      </c>
      <c r="AD368" s="1948">
        <f t="shared" si="79"/>
        <v>84499</v>
      </c>
      <c r="AE368" s="1948">
        <f t="shared" si="80"/>
        <v>0</v>
      </c>
      <c r="AF368" s="1948">
        <v>230</v>
      </c>
      <c r="AG368" s="1948">
        <v>231.12</v>
      </c>
      <c r="AH368" s="1948">
        <v>231.12</v>
      </c>
      <c r="AI368" s="1948">
        <v>0.81820000000000004</v>
      </c>
      <c r="AJ368" s="1948">
        <v>22.49</v>
      </c>
      <c r="AK368" s="1948">
        <v>38673</v>
      </c>
      <c r="AL368" s="1948">
        <f t="shared" si="81"/>
        <v>103172</v>
      </c>
      <c r="AM368" s="1948">
        <f t="shared" si="82"/>
        <v>0</v>
      </c>
      <c r="AN368" s="1948">
        <v>230</v>
      </c>
      <c r="AO368" s="1948">
        <v>204.72</v>
      </c>
      <c r="AP368" s="1948">
        <v>204.72</v>
      </c>
      <c r="AQ368" s="1948">
        <v>0.93489999999999995</v>
      </c>
      <c r="AR368" s="1948">
        <v>29.61</v>
      </c>
      <c r="AS368" s="1948">
        <v>45105</v>
      </c>
      <c r="AT368" s="1948">
        <f t="shared" si="83"/>
        <v>91387</v>
      </c>
      <c r="AU368" s="1948">
        <f t="shared" si="84"/>
        <v>0</v>
      </c>
      <c r="AV368" s="1948">
        <v>230</v>
      </c>
      <c r="AW368" s="1948">
        <v>237.12</v>
      </c>
      <c r="AX368" s="1948">
        <v>237.12</v>
      </c>
      <c r="AY368" s="1948">
        <v>0.98089999999999999</v>
      </c>
      <c r="AZ368" s="1948">
        <v>22.88</v>
      </c>
      <c r="BA368" s="1948">
        <v>39066</v>
      </c>
      <c r="BB368" s="1948">
        <f t="shared" si="85"/>
        <v>102436</v>
      </c>
      <c r="BC368" s="1948">
        <f t="shared" si="86"/>
        <v>0</v>
      </c>
      <c r="BD368" s="1949">
        <v>230</v>
      </c>
      <c r="BE368" s="1948">
        <v>163.44</v>
      </c>
      <c r="BF368" s="1949">
        <v>184</v>
      </c>
      <c r="BG368" s="1949">
        <v>0.86499999999999999</v>
      </c>
      <c r="BH368" s="1949">
        <v>12.78</v>
      </c>
      <c r="BI368" s="1948">
        <v>15543</v>
      </c>
      <c r="BJ368" s="1948">
        <f t="shared" si="87"/>
        <v>72960</v>
      </c>
      <c r="BK368" s="1948">
        <f t="shared" si="88"/>
        <v>0</v>
      </c>
    </row>
    <row r="369" spans="1:63" ht="15">
      <c r="A369" s="1946">
        <v>123000000085</v>
      </c>
      <c r="B369" s="1947">
        <f t="shared" si="89"/>
        <v>363</v>
      </c>
      <c r="C369" s="1906" t="s">
        <v>3235</v>
      </c>
      <c r="D369" s="1907" t="s">
        <v>524</v>
      </c>
      <c r="E369" s="1906" t="s">
        <v>2966</v>
      </c>
      <c r="F369" s="1948" t="s">
        <v>259</v>
      </c>
      <c r="G369" s="1949">
        <v>232</v>
      </c>
      <c r="H369" s="1948">
        <v>232</v>
      </c>
      <c r="I369" s="1950">
        <v>109.56</v>
      </c>
      <c r="J369" s="1948">
        <v>232</v>
      </c>
      <c r="K369" s="1948">
        <v>0.80469999999999997</v>
      </c>
      <c r="L369" s="1948">
        <v>0</v>
      </c>
      <c r="M369" s="1948">
        <v>31628</v>
      </c>
      <c r="N369" s="1948">
        <f t="shared" si="75"/>
        <v>47330</v>
      </c>
      <c r="O369" s="1948">
        <f t="shared" si="76"/>
        <v>0</v>
      </c>
      <c r="P369" s="1948">
        <v>232</v>
      </c>
      <c r="Q369" s="1948">
        <v>101.28</v>
      </c>
      <c r="R369" s="1948">
        <v>232</v>
      </c>
      <c r="S369" s="1948">
        <v>0.86029999999999995</v>
      </c>
      <c r="T369" s="1948">
        <v>0</v>
      </c>
      <c r="U369" s="1948">
        <v>19623</v>
      </c>
      <c r="V369" s="1948">
        <f t="shared" si="77"/>
        <v>45211</v>
      </c>
      <c r="W369" s="1948">
        <f t="shared" si="78"/>
        <v>0</v>
      </c>
      <c r="X369" s="1948">
        <v>232</v>
      </c>
      <c r="Y369" s="1948">
        <v>75</v>
      </c>
      <c r="Z369" s="1948">
        <v>232</v>
      </c>
      <c r="AA369" s="1948">
        <v>0.83020000000000005</v>
      </c>
      <c r="AB369" s="1948">
        <v>0</v>
      </c>
      <c r="AC369" s="1948">
        <v>20181</v>
      </c>
      <c r="AD369" s="1948">
        <f t="shared" si="79"/>
        <v>32400</v>
      </c>
      <c r="AE369" s="1948">
        <f t="shared" si="80"/>
        <v>0</v>
      </c>
      <c r="AF369" s="1948">
        <v>232</v>
      </c>
      <c r="AG369" s="1948">
        <v>71.040000000000006</v>
      </c>
      <c r="AH369" s="1948">
        <v>232</v>
      </c>
      <c r="AI369" s="1948">
        <v>0.81689999999999996</v>
      </c>
      <c r="AJ369" s="1948">
        <v>0</v>
      </c>
      <c r="AK369" s="1948">
        <v>22319</v>
      </c>
      <c r="AL369" s="1948">
        <f t="shared" si="81"/>
        <v>31712</v>
      </c>
      <c r="AM369" s="1948">
        <f t="shared" si="82"/>
        <v>0</v>
      </c>
      <c r="AN369" s="1948">
        <v>232</v>
      </c>
      <c r="AO369" s="1948">
        <v>67.679999999999993</v>
      </c>
      <c r="AP369" s="1948">
        <v>232</v>
      </c>
      <c r="AQ369" s="1948">
        <v>0.80579999999999996</v>
      </c>
      <c r="AR369" s="1948">
        <v>0</v>
      </c>
      <c r="AS369" s="1948">
        <v>18298</v>
      </c>
      <c r="AT369" s="1948">
        <f t="shared" si="83"/>
        <v>30212</v>
      </c>
      <c r="AU369" s="1948">
        <f t="shared" si="84"/>
        <v>0</v>
      </c>
      <c r="AV369" s="1948">
        <v>232</v>
      </c>
      <c r="AW369" s="1948">
        <v>68.759999999999991</v>
      </c>
      <c r="AX369" s="1948">
        <v>232</v>
      </c>
      <c r="AY369" s="1948">
        <v>0.7873</v>
      </c>
      <c r="AZ369" s="1948">
        <v>0</v>
      </c>
      <c r="BA369" s="1948">
        <v>20347</v>
      </c>
      <c r="BB369" s="1948">
        <f t="shared" si="85"/>
        <v>29704</v>
      </c>
      <c r="BC369" s="1948">
        <f t="shared" si="86"/>
        <v>0</v>
      </c>
      <c r="BD369" s="1949">
        <v>232</v>
      </c>
      <c r="BE369" s="1948">
        <v>66.84</v>
      </c>
      <c r="BF369" s="1949">
        <v>232</v>
      </c>
      <c r="BG369" s="1949">
        <v>0.76170000000000004</v>
      </c>
      <c r="BH369" s="1949">
        <v>0</v>
      </c>
      <c r="BI369" s="1948">
        <v>13146</v>
      </c>
      <c r="BJ369" s="1948">
        <f t="shared" si="87"/>
        <v>29837</v>
      </c>
      <c r="BK369" s="1948">
        <f t="shared" si="88"/>
        <v>0</v>
      </c>
    </row>
    <row r="370" spans="1:63" ht="15">
      <c r="A370" s="1946">
        <v>622000000010</v>
      </c>
      <c r="B370" s="1947">
        <f t="shared" si="89"/>
        <v>364</v>
      </c>
      <c r="C370" s="1906" t="s">
        <v>3236</v>
      </c>
      <c r="D370" s="1907" t="s">
        <v>524</v>
      </c>
      <c r="E370" s="1906" t="s">
        <v>629</v>
      </c>
      <c r="F370" s="1948" t="s">
        <v>259</v>
      </c>
      <c r="G370" s="1949">
        <v>233.33</v>
      </c>
      <c r="H370" s="1948">
        <v>233.33</v>
      </c>
      <c r="I370" s="1950">
        <v>143.88</v>
      </c>
      <c r="J370" s="1948">
        <v>233.33</v>
      </c>
      <c r="K370" s="1948">
        <v>0.99180000000000001</v>
      </c>
      <c r="L370" s="1948">
        <v>0</v>
      </c>
      <c r="M370" s="1948">
        <v>47911</v>
      </c>
      <c r="N370" s="1948">
        <f t="shared" si="75"/>
        <v>62156</v>
      </c>
      <c r="O370" s="1948">
        <f t="shared" si="76"/>
        <v>0</v>
      </c>
      <c r="P370" s="1948">
        <v>233.33</v>
      </c>
      <c r="Q370" s="1948">
        <v>149.76</v>
      </c>
      <c r="R370" s="1948">
        <v>233.33</v>
      </c>
      <c r="S370" s="1948">
        <v>0.99019999999999997</v>
      </c>
      <c r="T370" s="1948">
        <v>0</v>
      </c>
      <c r="U370" s="1948">
        <v>55041</v>
      </c>
      <c r="V370" s="1948">
        <f t="shared" si="77"/>
        <v>66853</v>
      </c>
      <c r="W370" s="1948">
        <f t="shared" si="78"/>
        <v>0</v>
      </c>
      <c r="X370" s="1948">
        <v>233.33</v>
      </c>
      <c r="Y370" s="1948">
        <v>146.64000000000001</v>
      </c>
      <c r="Z370" s="1948">
        <v>233.33</v>
      </c>
      <c r="AA370" s="1948">
        <v>0.98980000000000001</v>
      </c>
      <c r="AB370" s="1948">
        <v>0</v>
      </c>
      <c r="AC370" s="1948">
        <v>38967</v>
      </c>
      <c r="AD370" s="1948">
        <f t="shared" si="79"/>
        <v>63348</v>
      </c>
      <c r="AE370" s="1948">
        <f t="shared" si="80"/>
        <v>0</v>
      </c>
      <c r="AF370" s="1948">
        <v>233.33</v>
      </c>
      <c r="AG370" s="1948">
        <v>148.44</v>
      </c>
      <c r="AH370" s="1948">
        <v>233.33</v>
      </c>
      <c r="AI370" s="1948">
        <v>0.9919</v>
      </c>
      <c r="AJ370" s="1948">
        <v>0</v>
      </c>
      <c r="AK370" s="1948">
        <v>42938</v>
      </c>
      <c r="AL370" s="1948">
        <f t="shared" si="81"/>
        <v>66264</v>
      </c>
      <c r="AM370" s="1948">
        <f t="shared" si="82"/>
        <v>0</v>
      </c>
      <c r="AN370" s="1948">
        <v>233.33</v>
      </c>
      <c r="AO370" s="1948">
        <v>144.72</v>
      </c>
      <c r="AP370" s="1948">
        <v>233.33</v>
      </c>
      <c r="AQ370" s="1948">
        <v>0.99239999999999995</v>
      </c>
      <c r="AR370" s="1948">
        <v>0</v>
      </c>
      <c r="AS370" s="1948">
        <v>50490</v>
      </c>
      <c r="AT370" s="1948">
        <f t="shared" si="83"/>
        <v>64603</v>
      </c>
      <c r="AU370" s="1948">
        <f t="shared" si="84"/>
        <v>0</v>
      </c>
      <c r="AV370" s="1948">
        <v>233.33</v>
      </c>
      <c r="AW370" s="1948">
        <v>144.24</v>
      </c>
      <c r="AX370" s="1948">
        <v>233.33</v>
      </c>
      <c r="AY370" s="1948">
        <v>0.99119999999999997</v>
      </c>
      <c r="AZ370" s="1948">
        <v>0</v>
      </c>
      <c r="BA370" s="1948">
        <v>55089</v>
      </c>
      <c r="BB370" s="1948">
        <f t="shared" si="85"/>
        <v>62312</v>
      </c>
      <c r="BC370" s="1948">
        <f t="shared" si="86"/>
        <v>0</v>
      </c>
      <c r="BD370" s="1949">
        <v>233.33</v>
      </c>
      <c r="BE370" s="1948">
        <v>140.88</v>
      </c>
      <c r="BF370" s="1949">
        <v>233.33</v>
      </c>
      <c r="BG370" s="1949">
        <v>0.99250000000000005</v>
      </c>
      <c r="BH370" s="1949">
        <v>0</v>
      </c>
      <c r="BI370" s="1948">
        <v>46284</v>
      </c>
      <c r="BJ370" s="1948">
        <f t="shared" si="87"/>
        <v>62889</v>
      </c>
      <c r="BK370" s="1948">
        <f t="shared" si="88"/>
        <v>0</v>
      </c>
    </row>
    <row r="371" spans="1:63" ht="15">
      <c r="A371" s="1946">
        <v>126000000019</v>
      </c>
      <c r="B371" s="1947">
        <f t="shared" si="89"/>
        <v>365</v>
      </c>
      <c r="C371" s="1906" t="s">
        <v>3567</v>
      </c>
      <c r="D371" s="1907" t="s">
        <v>524</v>
      </c>
      <c r="E371" s="1906" t="s">
        <v>541</v>
      </c>
      <c r="F371" s="1948" t="s">
        <v>259</v>
      </c>
      <c r="G371" s="1949">
        <v>234</v>
      </c>
      <c r="H371" s="1948">
        <v>234</v>
      </c>
      <c r="I371" s="1950">
        <v>194.08</v>
      </c>
      <c r="J371" s="1948">
        <v>194.08</v>
      </c>
      <c r="K371" s="1948">
        <v>0.92759999999999998</v>
      </c>
      <c r="L371" s="1948">
        <v>12.5</v>
      </c>
      <c r="M371" s="1948">
        <v>18054</v>
      </c>
      <c r="N371" s="1948">
        <f t="shared" si="75"/>
        <v>83843</v>
      </c>
      <c r="O371" s="1948">
        <f t="shared" si="76"/>
        <v>0</v>
      </c>
      <c r="P371" s="1948">
        <v>234</v>
      </c>
      <c r="Q371" s="1948">
        <v>224.64</v>
      </c>
      <c r="R371" s="1948">
        <v>224.64</v>
      </c>
      <c r="S371" s="1948">
        <v>0.86240000000000006</v>
      </c>
      <c r="T371" s="1948">
        <v>11.32</v>
      </c>
      <c r="U371" s="1948">
        <v>18916</v>
      </c>
      <c r="V371" s="1948">
        <f t="shared" si="77"/>
        <v>100279</v>
      </c>
      <c r="W371" s="1948">
        <f t="shared" si="78"/>
        <v>0</v>
      </c>
      <c r="X371" s="1948">
        <v>234</v>
      </c>
      <c r="Y371" s="1948">
        <v>145.28</v>
      </c>
      <c r="Z371" s="1948">
        <v>187.2</v>
      </c>
      <c r="AA371" s="1948">
        <v>0.90459999999999996</v>
      </c>
      <c r="AB371" s="1948">
        <v>2.79</v>
      </c>
      <c r="AC371" s="1948">
        <v>2916</v>
      </c>
      <c r="AD371" s="1948">
        <f t="shared" si="79"/>
        <v>62761</v>
      </c>
      <c r="AE371" s="1948">
        <f t="shared" si="80"/>
        <v>0</v>
      </c>
      <c r="AF371" s="1948">
        <v>234</v>
      </c>
      <c r="AG371" s="1948">
        <v>17.28</v>
      </c>
      <c r="AH371" s="1948">
        <v>187.2</v>
      </c>
      <c r="AI371" s="1948">
        <v>0.95879999999999999</v>
      </c>
      <c r="AJ371" s="1948">
        <v>8.32</v>
      </c>
      <c r="AK371" s="1948">
        <v>1070</v>
      </c>
      <c r="AL371" s="1948">
        <f t="shared" si="81"/>
        <v>7714</v>
      </c>
      <c r="AM371" s="1948">
        <f t="shared" si="82"/>
        <v>0</v>
      </c>
      <c r="AN371" s="1948">
        <v>234</v>
      </c>
      <c r="AO371" s="1948">
        <v>238.39999999999998</v>
      </c>
      <c r="AP371" s="1948">
        <v>238.4</v>
      </c>
      <c r="AQ371" s="1948">
        <v>0.56640000000000001</v>
      </c>
      <c r="AR371" s="1948">
        <v>2.21</v>
      </c>
      <c r="AS371" s="1948">
        <v>3926</v>
      </c>
      <c r="AT371" s="1948">
        <f t="shared" si="83"/>
        <v>106422</v>
      </c>
      <c r="AU371" s="1948">
        <f t="shared" si="84"/>
        <v>0</v>
      </c>
      <c r="AV371" s="1948">
        <v>234</v>
      </c>
      <c r="AW371" s="1948">
        <v>226.24</v>
      </c>
      <c r="AX371" s="1948">
        <v>226.24</v>
      </c>
      <c r="AY371" s="1948">
        <v>0.68969999999999998</v>
      </c>
      <c r="AZ371" s="1948">
        <v>3.83</v>
      </c>
      <c r="BA371" s="1948">
        <v>6240</v>
      </c>
      <c r="BB371" s="1948">
        <f t="shared" si="85"/>
        <v>97736</v>
      </c>
      <c r="BC371" s="1948">
        <f t="shared" si="86"/>
        <v>0</v>
      </c>
      <c r="BD371" s="1949">
        <v>234</v>
      </c>
      <c r="BE371" s="1948">
        <v>229.76000000000002</v>
      </c>
      <c r="BF371" s="1949">
        <v>229.76</v>
      </c>
      <c r="BG371" s="1949">
        <v>0.73399999999999999</v>
      </c>
      <c r="BH371" s="1949">
        <v>4.97</v>
      </c>
      <c r="BI371" s="1948">
        <v>8490</v>
      </c>
      <c r="BJ371" s="1948">
        <f t="shared" si="87"/>
        <v>102565</v>
      </c>
      <c r="BK371" s="1948">
        <f t="shared" si="88"/>
        <v>0</v>
      </c>
    </row>
    <row r="372" spans="1:63" ht="15">
      <c r="A372" s="1946">
        <v>421000000018</v>
      </c>
      <c r="B372" s="1947">
        <f t="shared" si="89"/>
        <v>366</v>
      </c>
      <c r="C372" s="1906" t="s">
        <v>3237</v>
      </c>
      <c r="D372" s="1907" t="s">
        <v>524</v>
      </c>
      <c r="E372" s="1906" t="s">
        <v>541</v>
      </c>
      <c r="F372" s="1948" t="s">
        <v>259</v>
      </c>
      <c r="G372" s="1949">
        <v>234</v>
      </c>
      <c r="H372" s="1948">
        <v>234</v>
      </c>
      <c r="I372" s="1950">
        <v>59.68</v>
      </c>
      <c r="J372" s="1948">
        <v>187.2</v>
      </c>
      <c r="K372" s="1948">
        <v>0.623</v>
      </c>
      <c r="L372" s="1948">
        <v>11.25</v>
      </c>
      <c r="M372" s="1948">
        <v>4834</v>
      </c>
      <c r="N372" s="1948">
        <f t="shared" si="75"/>
        <v>25782</v>
      </c>
      <c r="O372" s="1948">
        <f t="shared" si="76"/>
        <v>0</v>
      </c>
      <c r="P372" s="1948">
        <v>234</v>
      </c>
      <c r="Q372" s="1948">
        <v>66.400000000000006</v>
      </c>
      <c r="R372" s="1948">
        <v>187.2</v>
      </c>
      <c r="S372" s="1948">
        <v>0.78380000000000005</v>
      </c>
      <c r="T372" s="1948">
        <v>11.25</v>
      </c>
      <c r="U372" s="1948">
        <v>5560</v>
      </c>
      <c r="V372" s="1948">
        <f t="shared" si="77"/>
        <v>29641</v>
      </c>
      <c r="W372" s="1948">
        <f t="shared" si="78"/>
        <v>0</v>
      </c>
      <c r="X372" s="1948">
        <v>234</v>
      </c>
      <c r="Y372" s="1948">
        <v>73.11999999999999</v>
      </c>
      <c r="Z372" s="1948">
        <v>187.2</v>
      </c>
      <c r="AA372" s="1948">
        <v>0.79710000000000003</v>
      </c>
      <c r="AB372" s="1948">
        <v>10.73</v>
      </c>
      <c r="AC372" s="1948">
        <v>5650</v>
      </c>
      <c r="AD372" s="1948">
        <f t="shared" si="79"/>
        <v>31588</v>
      </c>
      <c r="AE372" s="1948">
        <f t="shared" si="80"/>
        <v>0</v>
      </c>
      <c r="AF372" s="1948">
        <v>234</v>
      </c>
      <c r="AG372" s="1948">
        <v>48</v>
      </c>
      <c r="AH372" s="1948">
        <v>187.2</v>
      </c>
      <c r="AI372" s="1948">
        <v>0.65810000000000002</v>
      </c>
      <c r="AJ372" s="1948">
        <v>11.88</v>
      </c>
      <c r="AK372" s="1948">
        <v>4242</v>
      </c>
      <c r="AL372" s="1948">
        <f t="shared" si="81"/>
        <v>21427</v>
      </c>
      <c r="AM372" s="1948">
        <f t="shared" si="82"/>
        <v>0</v>
      </c>
      <c r="AN372" s="1948">
        <v>234</v>
      </c>
      <c r="AO372" s="1948">
        <v>78.400000000000006</v>
      </c>
      <c r="AP372" s="1948">
        <v>187.2</v>
      </c>
      <c r="AQ372" s="1948">
        <v>0.7792</v>
      </c>
      <c r="AR372" s="1948">
        <v>13.87</v>
      </c>
      <c r="AS372" s="1948">
        <v>8092</v>
      </c>
      <c r="AT372" s="1948">
        <f t="shared" si="83"/>
        <v>34998</v>
      </c>
      <c r="AU372" s="1948">
        <f t="shared" si="84"/>
        <v>0</v>
      </c>
      <c r="AV372" s="1948">
        <v>234</v>
      </c>
      <c r="AW372" s="1948">
        <v>42.88</v>
      </c>
      <c r="AX372" s="1948">
        <v>187.2</v>
      </c>
      <c r="AY372" s="1948">
        <v>0.47339999999999999</v>
      </c>
      <c r="AZ372" s="1948">
        <v>11.96</v>
      </c>
      <c r="BA372" s="1948">
        <v>3692</v>
      </c>
      <c r="BB372" s="1948">
        <f t="shared" si="85"/>
        <v>18524</v>
      </c>
      <c r="BC372" s="1948">
        <f t="shared" si="86"/>
        <v>0</v>
      </c>
      <c r="BD372" s="1949">
        <v>234</v>
      </c>
      <c r="BE372" s="1948">
        <v>78.239999999999995</v>
      </c>
      <c r="BF372" s="1949">
        <v>187.2</v>
      </c>
      <c r="BG372" s="1949">
        <v>0.7016</v>
      </c>
      <c r="BH372" s="1949">
        <v>13.1</v>
      </c>
      <c r="BI372" s="1948">
        <v>7628</v>
      </c>
      <c r="BJ372" s="1948">
        <f t="shared" si="87"/>
        <v>34926</v>
      </c>
      <c r="BK372" s="1948">
        <f t="shared" si="88"/>
        <v>0</v>
      </c>
    </row>
    <row r="373" spans="1:63" ht="15">
      <c r="A373" s="1946">
        <v>615000000044</v>
      </c>
      <c r="B373" s="1947">
        <f t="shared" si="89"/>
        <v>367</v>
      </c>
      <c r="C373" s="1906" t="s">
        <v>3238</v>
      </c>
      <c r="D373" s="1907" t="s">
        <v>524</v>
      </c>
      <c r="E373" s="1906" t="s">
        <v>541</v>
      </c>
      <c r="F373" s="1948" t="s">
        <v>259</v>
      </c>
      <c r="G373" s="1949">
        <v>234</v>
      </c>
      <c r="H373" s="1948">
        <v>234</v>
      </c>
      <c r="I373" s="1950">
        <v>122.08000000000001</v>
      </c>
      <c r="J373" s="1948">
        <v>187.2</v>
      </c>
      <c r="K373" s="1948">
        <v>0.86009999999999998</v>
      </c>
      <c r="L373" s="1948">
        <v>18.53</v>
      </c>
      <c r="M373" s="1948">
        <v>16284</v>
      </c>
      <c r="N373" s="1948">
        <f t="shared" si="75"/>
        <v>52739</v>
      </c>
      <c r="O373" s="1948">
        <f t="shared" si="76"/>
        <v>0</v>
      </c>
      <c r="P373" s="1948">
        <v>234</v>
      </c>
      <c r="Q373" s="1948">
        <v>139.68</v>
      </c>
      <c r="R373" s="1948">
        <v>187.2</v>
      </c>
      <c r="S373" s="1948">
        <v>0.89759999999999995</v>
      </c>
      <c r="T373" s="1948">
        <v>20.79</v>
      </c>
      <c r="U373" s="1948">
        <v>21604</v>
      </c>
      <c r="V373" s="1948">
        <f t="shared" si="77"/>
        <v>62353</v>
      </c>
      <c r="W373" s="1948">
        <f t="shared" si="78"/>
        <v>0</v>
      </c>
      <c r="X373" s="1948">
        <v>234</v>
      </c>
      <c r="Y373" s="1948">
        <v>132.47999999999999</v>
      </c>
      <c r="Z373" s="1948">
        <v>187.2</v>
      </c>
      <c r="AA373" s="1948">
        <v>0.87939999999999996</v>
      </c>
      <c r="AB373" s="1948">
        <v>14.28</v>
      </c>
      <c r="AC373" s="1948">
        <v>13620</v>
      </c>
      <c r="AD373" s="1948">
        <f t="shared" si="79"/>
        <v>57231</v>
      </c>
      <c r="AE373" s="1948">
        <f t="shared" si="80"/>
        <v>0</v>
      </c>
      <c r="AF373" s="1948">
        <v>234</v>
      </c>
      <c r="AG373" s="1948">
        <v>116.48</v>
      </c>
      <c r="AH373" s="1948">
        <v>187.2</v>
      </c>
      <c r="AI373" s="1948">
        <v>0.8125</v>
      </c>
      <c r="AJ373" s="1948">
        <v>17.2</v>
      </c>
      <c r="AK373" s="1948">
        <v>14908</v>
      </c>
      <c r="AL373" s="1948">
        <f t="shared" si="81"/>
        <v>51997</v>
      </c>
      <c r="AM373" s="1948">
        <f t="shared" si="82"/>
        <v>0</v>
      </c>
      <c r="AN373" s="1948">
        <v>234</v>
      </c>
      <c r="AO373" s="1948">
        <v>146.4</v>
      </c>
      <c r="AP373" s="1948">
        <v>187.2</v>
      </c>
      <c r="AQ373" s="1948">
        <v>0.76229999999999998</v>
      </c>
      <c r="AR373" s="1948">
        <v>19.02</v>
      </c>
      <c r="AS373" s="1948">
        <v>20722</v>
      </c>
      <c r="AT373" s="1948">
        <f t="shared" si="83"/>
        <v>65353</v>
      </c>
      <c r="AU373" s="1948">
        <f t="shared" si="84"/>
        <v>0</v>
      </c>
      <c r="AV373" s="1948">
        <v>234</v>
      </c>
      <c r="AW373" s="1948">
        <v>119.52000000000001</v>
      </c>
      <c r="AX373" s="1948">
        <v>187.2</v>
      </c>
      <c r="AY373" s="1948">
        <v>0.72360000000000002</v>
      </c>
      <c r="AZ373" s="1948">
        <v>18.989999999999998</v>
      </c>
      <c r="BA373" s="1948">
        <v>16344</v>
      </c>
      <c r="BB373" s="1948">
        <f t="shared" si="85"/>
        <v>51633</v>
      </c>
      <c r="BC373" s="1948">
        <f t="shared" si="86"/>
        <v>0</v>
      </c>
      <c r="BD373" s="1949">
        <v>234</v>
      </c>
      <c r="BE373" s="1948">
        <v>132</v>
      </c>
      <c r="BF373" s="1949">
        <v>187.2</v>
      </c>
      <c r="BG373" s="1949">
        <v>0.71850000000000003</v>
      </c>
      <c r="BH373" s="1949">
        <v>18.809999999999999</v>
      </c>
      <c r="BI373" s="1948">
        <v>18476</v>
      </c>
      <c r="BJ373" s="1948">
        <f t="shared" si="87"/>
        <v>58925</v>
      </c>
      <c r="BK373" s="1948">
        <f t="shared" si="88"/>
        <v>0</v>
      </c>
    </row>
    <row r="374" spans="1:63" ht="15">
      <c r="A374" s="1946">
        <v>121000000073</v>
      </c>
      <c r="B374" s="1947">
        <f t="shared" si="89"/>
        <v>368</v>
      </c>
      <c r="C374" s="1906" t="s">
        <v>3240</v>
      </c>
      <c r="D374" s="1907" t="s">
        <v>524</v>
      </c>
      <c r="E374" s="1906" t="s">
        <v>2966</v>
      </c>
      <c r="F374" s="1948" t="s">
        <v>259</v>
      </c>
      <c r="G374" s="1949">
        <v>237</v>
      </c>
      <c r="H374" s="1948">
        <v>237</v>
      </c>
      <c r="I374" s="1950">
        <v>99.96</v>
      </c>
      <c r="J374" s="1948">
        <v>237</v>
      </c>
      <c r="K374" s="1948">
        <v>0.83309999999999995</v>
      </c>
      <c r="L374" s="1948">
        <v>0</v>
      </c>
      <c r="M374" s="1948">
        <v>28180</v>
      </c>
      <c r="N374" s="1948">
        <f t="shared" si="75"/>
        <v>43183</v>
      </c>
      <c r="O374" s="1948">
        <f t="shared" si="76"/>
        <v>0</v>
      </c>
      <c r="P374" s="1948">
        <v>237</v>
      </c>
      <c r="Q374" s="1948">
        <v>118.91999999999999</v>
      </c>
      <c r="R374" s="1948">
        <v>237</v>
      </c>
      <c r="S374" s="1948">
        <v>0.84309999999999996</v>
      </c>
      <c r="T374" s="1948">
        <v>0</v>
      </c>
      <c r="U374" s="1948">
        <v>32674</v>
      </c>
      <c r="V374" s="1948">
        <f t="shared" si="77"/>
        <v>53086</v>
      </c>
      <c r="W374" s="1948">
        <f t="shared" si="78"/>
        <v>0</v>
      </c>
      <c r="X374" s="1948">
        <v>237</v>
      </c>
      <c r="Y374" s="1948">
        <v>180.84</v>
      </c>
      <c r="Z374" s="1948">
        <v>237</v>
      </c>
      <c r="AA374" s="1948">
        <v>0.68169999999999997</v>
      </c>
      <c r="AB374" s="1948">
        <v>0</v>
      </c>
      <c r="AC374" s="1948">
        <v>44801</v>
      </c>
      <c r="AD374" s="1948">
        <f t="shared" si="79"/>
        <v>78123</v>
      </c>
      <c r="AE374" s="1948">
        <f t="shared" si="80"/>
        <v>0</v>
      </c>
      <c r="AF374" s="1948">
        <v>237</v>
      </c>
      <c r="AG374" s="1948">
        <v>135.72</v>
      </c>
      <c r="AH374" s="1948">
        <v>237</v>
      </c>
      <c r="AI374" s="1948">
        <v>0.71130000000000004</v>
      </c>
      <c r="AJ374" s="1948">
        <v>0</v>
      </c>
      <c r="AK374" s="1948">
        <v>34938</v>
      </c>
      <c r="AL374" s="1948">
        <f t="shared" si="81"/>
        <v>60585</v>
      </c>
      <c r="AM374" s="1948">
        <f t="shared" si="82"/>
        <v>0</v>
      </c>
      <c r="AN374" s="1948">
        <v>237</v>
      </c>
      <c r="AO374" s="1948">
        <v>88.44</v>
      </c>
      <c r="AP374" s="1948">
        <v>237</v>
      </c>
      <c r="AQ374" s="1948">
        <v>0.83050000000000002</v>
      </c>
      <c r="AR374" s="1948">
        <v>0</v>
      </c>
      <c r="AS374" s="1948">
        <v>22154</v>
      </c>
      <c r="AT374" s="1948">
        <f t="shared" si="83"/>
        <v>39480</v>
      </c>
      <c r="AU374" s="1948">
        <f t="shared" si="84"/>
        <v>0</v>
      </c>
      <c r="AV374" s="1948">
        <v>237</v>
      </c>
      <c r="AW374" s="1948">
        <v>68.400000000000006</v>
      </c>
      <c r="AX374" s="1948">
        <v>237</v>
      </c>
      <c r="AY374" s="1948">
        <v>0.93540000000000001</v>
      </c>
      <c r="AZ374" s="1948">
        <v>0</v>
      </c>
      <c r="BA374" s="1948">
        <v>8463</v>
      </c>
      <c r="BB374" s="1948">
        <f t="shared" si="85"/>
        <v>29549</v>
      </c>
      <c r="BC374" s="1948">
        <f t="shared" si="86"/>
        <v>0</v>
      </c>
      <c r="BD374" s="1949">
        <v>237</v>
      </c>
      <c r="BE374" s="1948">
        <v>41.16</v>
      </c>
      <c r="BF374" s="1949">
        <v>237</v>
      </c>
      <c r="BG374" s="1949">
        <v>0.94730000000000003</v>
      </c>
      <c r="BH374" s="1949">
        <v>0</v>
      </c>
      <c r="BI374" s="1948">
        <v>8628</v>
      </c>
      <c r="BJ374" s="1948">
        <f t="shared" si="87"/>
        <v>18374</v>
      </c>
      <c r="BK374" s="1948">
        <f t="shared" si="88"/>
        <v>0</v>
      </c>
    </row>
    <row r="375" spans="1:63" ht="15">
      <c r="A375" s="1946">
        <v>122000000101</v>
      </c>
      <c r="B375" s="1947">
        <f t="shared" si="89"/>
        <v>369</v>
      </c>
      <c r="C375" s="1906" t="s">
        <v>3241</v>
      </c>
      <c r="D375" s="1907" t="s">
        <v>524</v>
      </c>
      <c r="E375" s="1906" t="s">
        <v>541</v>
      </c>
      <c r="F375" s="1948" t="s">
        <v>259</v>
      </c>
      <c r="G375" s="1949">
        <v>239</v>
      </c>
      <c r="H375" s="1948">
        <v>239</v>
      </c>
      <c r="I375" s="1950">
        <v>86.64</v>
      </c>
      <c r="J375" s="1948">
        <v>191.2</v>
      </c>
      <c r="K375" s="1948">
        <v>0.99480000000000002</v>
      </c>
      <c r="L375" s="1948">
        <v>28.8</v>
      </c>
      <c r="M375" s="1948">
        <v>17967</v>
      </c>
      <c r="N375" s="1948">
        <f t="shared" si="75"/>
        <v>37428</v>
      </c>
      <c r="O375" s="1948">
        <f t="shared" si="76"/>
        <v>0</v>
      </c>
      <c r="P375" s="1948">
        <v>239</v>
      </c>
      <c r="Q375" s="1948">
        <v>181.44</v>
      </c>
      <c r="R375" s="1948">
        <v>191.2</v>
      </c>
      <c r="S375" s="1948">
        <v>0.99750000000000005</v>
      </c>
      <c r="T375" s="1948">
        <v>23.25</v>
      </c>
      <c r="U375" s="1948">
        <v>31383</v>
      </c>
      <c r="V375" s="1948">
        <f t="shared" si="77"/>
        <v>80995</v>
      </c>
      <c r="W375" s="1948">
        <f t="shared" si="78"/>
        <v>0</v>
      </c>
      <c r="X375" s="1948">
        <v>239</v>
      </c>
      <c r="Y375" s="1948">
        <v>194.4</v>
      </c>
      <c r="Z375" s="1948">
        <v>194.4</v>
      </c>
      <c r="AA375" s="1948">
        <v>0.99729999999999996</v>
      </c>
      <c r="AB375" s="1948">
        <v>41.14</v>
      </c>
      <c r="AC375" s="1948">
        <v>57582</v>
      </c>
      <c r="AD375" s="1948">
        <f t="shared" si="79"/>
        <v>83981</v>
      </c>
      <c r="AE375" s="1948">
        <f t="shared" si="80"/>
        <v>0</v>
      </c>
      <c r="AF375" s="1948">
        <v>239</v>
      </c>
      <c r="AG375" s="1948">
        <v>202.32</v>
      </c>
      <c r="AH375" s="1948">
        <v>202.32</v>
      </c>
      <c r="AI375" s="1948">
        <v>0.99270000000000003</v>
      </c>
      <c r="AJ375" s="1948">
        <v>42.95</v>
      </c>
      <c r="AK375" s="1948">
        <v>64656</v>
      </c>
      <c r="AL375" s="1948">
        <f t="shared" si="81"/>
        <v>90316</v>
      </c>
      <c r="AM375" s="1948">
        <f t="shared" si="82"/>
        <v>0</v>
      </c>
      <c r="AN375" s="1948">
        <v>239</v>
      </c>
      <c r="AO375" s="1948">
        <v>148.32</v>
      </c>
      <c r="AP375" s="1948">
        <v>191.2</v>
      </c>
      <c r="AQ375" s="1948">
        <v>0.98939999999999995</v>
      </c>
      <c r="AR375" s="1948">
        <v>34.65</v>
      </c>
      <c r="AS375" s="1948">
        <v>38238</v>
      </c>
      <c r="AT375" s="1948">
        <f t="shared" si="83"/>
        <v>66210</v>
      </c>
      <c r="AU375" s="1948">
        <f t="shared" si="84"/>
        <v>0</v>
      </c>
      <c r="AV375" s="1948">
        <v>239</v>
      </c>
      <c r="AW375" s="1948">
        <v>210</v>
      </c>
      <c r="AX375" s="1948">
        <v>210</v>
      </c>
      <c r="AY375" s="1948">
        <v>0.99219999999999997</v>
      </c>
      <c r="AZ375" s="1948">
        <v>30.61</v>
      </c>
      <c r="BA375" s="1948">
        <v>46284</v>
      </c>
      <c r="BB375" s="1948">
        <f t="shared" si="85"/>
        <v>90720</v>
      </c>
      <c r="BC375" s="1948">
        <f t="shared" si="86"/>
        <v>0</v>
      </c>
      <c r="BD375" s="1949">
        <v>239</v>
      </c>
      <c r="BE375" s="1948">
        <v>196.07999999999998</v>
      </c>
      <c r="BF375" s="1949">
        <v>196.08</v>
      </c>
      <c r="BG375" s="1949">
        <v>0.99490000000000001</v>
      </c>
      <c r="BH375" s="1949">
        <v>36.020000000000003</v>
      </c>
      <c r="BI375" s="1948">
        <v>52554</v>
      </c>
      <c r="BJ375" s="1948">
        <f t="shared" si="87"/>
        <v>87530</v>
      </c>
      <c r="BK375" s="1948">
        <f t="shared" si="88"/>
        <v>0</v>
      </c>
    </row>
    <row r="376" spans="1:63" ht="15">
      <c r="A376" s="1946">
        <v>125000000050</v>
      </c>
      <c r="B376" s="1947">
        <f t="shared" si="89"/>
        <v>370</v>
      </c>
      <c r="C376" s="1906" t="s">
        <v>3568</v>
      </c>
      <c r="D376" s="1907" t="s">
        <v>524</v>
      </c>
      <c r="E376" s="1906" t="s">
        <v>730</v>
      </c>
      <c r="F376" s="1948" t="s">
        <v>259</v>
      </c>
      <c r="G376" s="1949">
        <v>241</v>
      </c>
      <c r="H376" s="1948">
        <v>0</v>
      </c>
      <c r="I376" s="1950">
        <v>0</v>
      </c>
      <c r="J376" s="1948">
        <v>0</v>
      </c>
      <c r="K376" s="1948">
        <v>0</v>
      </c>
      <c r="L376" s="1948">
        <v>0</v>
      </c>
      <c r="M376" s="1948">
        <v>0</v>
      </c>
      <c r="N376" s="1948">
        <f t="shared" si="75"/>
        <v>0</v>
      </c>
      <c r="O376" s="1948">
        <f t="shared" si="76"/>
        <v>0</v>
      </c>
      <c r="P376" s="1948">
        <v>0</v>
      </c>
      <c r="Q376" s="1948">
        <v>0</v>
      </c>
      <c r="R376" s="1948">
        <v>0</v>
      </c>
      <c r="S376" s="1948">
        <v>0</v>
      </c>
      <c r="T376" s="1948">
        <v>0</v>
      </c>
      <c r="U376" s="1948">
        <v>0</v>
      </c>
      <c r="V376" s="1948">
        <f t="shared" si="77"/>
        <v>0</v>
      </c>
      <c r="W376" s="1948">
        <f t="shared" si="78"/>
        <v>0</v>
      </c>
      <c r="X376" s="1948">
        <v>0</v>
      </c>
      <c r="Y376" s="1948">
        <v>0</v>
      </c>
      <c r="Z376" s="1948">
        <v>0</v>
      </c>
      <c r="AA376" s="1948">
        <v>0</v>
      </c>
      <c r="AB376" s="1948">
        <v>0</v>
      </c>
      <c r="AC376" s="1948">
        <v>0</v>
      </c>
      <c r="AD376" s="1948">
        <f t="shared" si="79"/>
        <v>0</v>
      </c>
      <c r="AE376" s="1948">
        <f t="shared" si="80"/>
        <v>0</v>
      </c>
      <c r="AF376" s="1948">
        <v>241</v>
      </c>
      <c r="AG376" s="1948">
        <v>3.4980000000000002</v>
      </c>
      <c r="AH376" s="1948">
        <v>192.8</v>
      </c>
      <c r="AI376" s="1948">
        <v>0.62690000000000001</v>
      </c>
      <c r="AJ376" s="1948">
        <v>50</v>
      </c>
      <c r="AK376" s="1948">
        <v>126</v>
      </c>
      <c r="AL376" s="1948">
        <f t="shared" si="81"/>
        <v>1562</v>
      </c>
      <c r="AM376" s="1948">
        <f t="shared" si="82"/>
        <v>0</v>
      </c>
      <c r="AN376" s="1948">
        <v>241</v>
      </c>
      <c r="AO376" s="1948">
        <v>268.94200000000001</v>
      </c>
      <c r="AP376" s="1948">
        <v>268.94</v>
      </c>
      <c r="AQ376" s="1948">
        <v>0.91820000000000002</v>
      </c>
      <c r="AR376" s="1948">
        <v>5.1100000000000003</v>
      </c>
      <c r="AS376" s="1948">
        <v>10228</v>
      </c>
      <c r="AT376" s="1948">
        <f t="shared" si="83"/>
        <v>120056</v>
      </c>
      <c r="AU376" s="1948">
        <f t="shared" si="84"/>
        <v>0</v>
      </c>
      <c r="AV376" s="1948">
        <v>241</v>
      </c>
      <c r="AW376" s="1948">
        <v>291.375</v>
      </c>
      <c r="AX376" s="1948">
        <v>291.38</v>
      </c>
      <c r="AY376" s="1948">
        <v>0.93289999999999995</v>
      </c>
      <c r="AZ376" s="1948">
        <v>8.81</v>
      </c>
      <c r="BA376" s="1948">
        <v>18489</v>
      </c>
      <c r="BB376" s="1948">
        <f t="shared" si="85"/>
        <v>125874</v>
      </c>
      <c r="BC376" s="1948">
        <f t="shared" si="86"/>
        <v>0</v>
      </c>
      <c r="BD376" s="1949">
        <v>241</v>
      </c>
      <c r="BE376" s="1948">
        <v>267.56</v>
      </c>
      <c r="BF376" s="1949">
        <v>267.56</v>
      </c>
      <c r="BG376" s="1949">
        <v>0.9536</v>
      </c>
      <c r="BH376" s="1949">
        <v>3.71</v>
      </c>
      <c r="BI376" s="1948">
        <v>7377</v>
      </c>
      <c r="BJ376" s="1948">
        <f t="shared" si="87"/>
        <v>119439</v>
      </c>
      <c r="BK376" s="1948">
        <f t="shared" si="88"/>
        <v>0</v>
      </c>
    </row>
    <row r="377" spans="1:63" ht="15">
      <c r="A377" s="1946">
        <v>123000000113</v>
      </c>
      <c r="B377" s="1947">
        <f t="shared" si="89"/>
        <v>371</v>
      </c>
      <c r="C377" s="1906" t="s">
        <v>3242</v>
      </c>
      <c r="D377" s="1907" t="s">
        <v>524</v>
      </c>
      <c r="E377" s="1906" t="s">
        <v>541</v>
      </c>
      <c r="F377" s="1948" t="s">
        <v>259</v>
      </c>
      <c r="G377" s="1949">
        <v>242</v>
      </c>
      <c r="H377" s="1948">
        <v>242</v>
      </c>
      <c r="I377" s="1950">
        <v>203.52</v>
      </c>
      <c r="J377" s="1948">
        <v>203.52</v>
      </c>
      <c r="K377" s="1948">
        <v>0.98109999999999997</v>
      </c>
      <c r="L377" s="1948">
        <v>19.66</v>
      </c>
      <c r="M377" s="1948">
        <v>28812</v>
      </c>
      <c r="N377" s="1948">
        <f t="shared" si="75"/>
        <v>87921</v>
      </c>
      <c r="O377" s="1948">
        <f t="shared" si="76"/>
        <v>0</v>
      </c>
      <c r="P377" s="1948">
        <v>242</v>
      </c>
      <c r="Q377" s="1948">
        <v>207.20000000000002</v>
      </c>
      <c r="R377" s="1948">
        <v>207.2</v>
      </c>
      <c r="S377" s="1948">
        <v>0.97789999999999999</v>
      </c>
      <c r="T377" s="1948">
        <v>61.27</v>
      </c>
      <c r="U377" s="1948">
        <v>94452</v>
      </c>
      <c r="V377" s="1948">
        <f t="shared" si="77"/>
        <v>92494</v>
      </c>
      <c r="W377" s="1948">
        <f t="shared" si="78"/>
        <v>1958</v>
      </c>
      <c r="X377" s="1948">
        <v>242</v>
      </c>
      <c r="Y377" s="1948">
        <v>216.96</v>
      </c>
      <c r="Z377" s="1948">
        <v>216.96</v>
      </c>
      <c r="AA377" s="1948">
        <v>0.97170000000000001</v>
      </c>
      <c r="AB377" s="1948">
        <v>60.5</v>
      </c>
      <c r="AC377" s="1948">
        <v>94506</v>
      </c>
      <c r="AD377" s="1948">
        <f t="shared" si="79"/>
        <v>93727</v>
      </c>
      <c r="AE377" s="1948">
        <f t="shared" si="80"/>
        <v>779</v>
      </c>
      <c r="AF377" s="1948">
        <v>242</v>
      </c>
      <c r="AG377" s="1948">
        <v>211.20000000000002</v>
      </c>
      <c r="AH377" s="1948">
        <v>211.2</v>
      </c>
      <c r="AI377" s="1948">
        <v>0.96479999999999999</v>
      </c>
      <c r="AJ377" s="1948">
        <v>55.9</v>
      </c>
      <c r="AK377" s="1948">
        <v>87840</v>
      </c>
      <c r="AL377" s="1948">
        <f t="shared" si="81"/>
        <v>94280</v>
      </c>
      <c r="AM377" s="1948">
        <f t="shared" si="82"/>
        <v>0</v>
      </c>
      <c r="AN377" s="1948">
        <v>242</v>
      </c>
      <c r="AO377" s="1948">
        <v>214.56</v>
      </c>
      <c r="AP377" s="1948">
        <v>214.56</v>
      </c>
      <c r="AQ377" s="1948">
        <v>0.9738</v>
      </c>
      <c r="AR377" s="1948">
        <v>44.97</v>
      </c>
      <c r="AS377" s="1948">
        <v>71788</v>
      </c>
      <c r="AT377" s="1948">
        <f t="shared" si="83"/>
        <v>95780</v>
      </c>
      <c r="AU377" s="1948">
        <f t="shared" si="84"/>
        <v>0</v>
      </c>
      <c r="AV377" s="1948">
        <v>242</v>
      </c>
      <c r="AW377" s="1948">
        <v>210.72000000000003</v>
      </c>
      <c r="AX377" s="1948">
        <v>210.72</v>
      </c>
      <c r="AY377" s="1948">
        <v>0.98119999999999996</v>
      </c>
      <c r="AZ377" s="1948">
        <v>48.97</v>
      </c>
      <c r="BA377" s="1948">
        <v>74304</v>
      </c>
      <c r="BB377" s="1948">
        <f t="shared" si="85"/>
        <v>91031</v>
      </c>
      <c r="BC377" s="1948">
        <f t="shared" si="86"/>
        <v>0</v>
      </c>
      <c r="BD377" s="1949">
        <v>242</v>
      </c>
      <c r="BE377" s="1948">
        <v>213.76</v>
      </c>
      <c r="BF377" s="1949">
        <v>213.76</v>
      </c>
      <c r="BG377" s="1949">
        <v>0.98470000000000002</v>
      </c>
      <c r="BH377" s="1949">
        <v>49.29</v>
      </c>
      <c r="BI377" s="1948">
        <v>78390</v>
      </c>
      <c r="BJ377" s="1948">
        <f t="shared" si="87"/>
        <v>95422</v>
      </c>
      <c r="BK377" s="1948">
        <f t="shared" si="88"/>
        <v>0</v>
      </c>
    </row>
    <row r="378" spans="1:63" ht="15">
      <c r="A378" s="1946">
        <v>125000000032</v>
      </c>
      <c r="B378" s="1947">
        <f t="shared" si="89"/>
        <v>372</v>
      </c>
      <c r="C378" s="1906" t="s">
        <v>3243</v>
      </c>
      <c r="D378" s="1907" t="s">
        <v>524</v>
      </c>
      <c r="E378" s="1906" t="s">
        <v>541</v>
      </c>
      <c r="F378" s="1948" t="s">
        <v>259</v>
      </c>
      <c r="G378" s="1949">
        <v>242</v>
      </c>
      <c r="H378" s="1948">
        <v>242</v>
      </c>
      <c r="I378" s="1950">
        <v>69.760000000000005</v>
      </c>
      <c r="J378" s="1948">
        <v>193.6</v>
      </c>
      <c r="K378" s="1948">
        <v>0.48449999999999999</v>
      </c>
      <c r="L378" s="1948">
        <v>4.17</v>
      </c>
      <c r="M378" s="1948">
        <v>1746</v>
      </c>
      <c r="N378" s="1948">
        <f t="shared" si="75"/>
        <v>30136</v>
      </c>
      <c r="O378" s="1948">
        <f t="shared" si="76"/>
        <v>0</v>
      </c>
      <c r="P378" s="1948">
        <v>242</v>
      </c>
      <c r="Q378" s="1948">
        <v>3.84</v>
      </c>
      <c r="R378" s="1948">
        <v>193.6</v>
      </c>
      <c r="S378" s="1948">
        <v>0.42149999999999999</v>
      </c>
      <c r="T378" s="1948">
        <v>30.74</v>
      </c>
      <c r="U378" s="1948">
        <v>1020</v>
      </c>
      <c r="V378" s="1948">
        <f t="shared" si="77"/>
        <v>1714</v>
      </c>
      <c r="W378" s="1948">
        <f t="shared" si="78"/>
        <v>0</v>
      </c>
      <c r="X378" s="1948">
        <v>242</v>
      </c>
      <c r="Y378" s="1948">
        <v>3.2</v>
      </c>
      <c r="Z378" s="1948">
        <v>193.6</v>
      </c>
      <c r="AA378" s="1948">
        <v>0.39550000000000002</v>
      </c>
      <c r="AB378" s="1948">
        <v>50.26</v>
      </c>
      <c r="AC378" s="1948">
        <v>1158</v>
      </c>
      <c r="AD378" s="1948">
        <f t="shared" si="79"/>
        <v>1382</v>
      </c>
      <c r="AE378" s="1948">
        <f t="shared" si="80"/>
        <v>0</v>
      </c>
      <c r="AF378" s="1948">
        <v>242</v>
      </c>
      <c r="AG378" s="1948">
        <v>14.879999999999999</v>
      </c>
      <c r="AH378" s="1948">
        <v>193.6</v>
      </c>
      <c r="AI378" s="1948">
        <v>0.4153</v>
      </c>
      <c r="AJ378" s="1948">
        <v>17.170000000000002</v>
      </c>
      <c r="AK378" s="1948">
        <v>1594</v>
      </c>
      <c r="AL378" s="1948">
        <f t="shared" si="81"/>
        <v>6642</v>
      </c>
      <c r="AM378" s="1948">
        <f t="shared" si="82"/>
        <v>0</v>
      </c>
      <c r="AN378" s="1948">
        <v>242</v>
      </c>
      <c r="AO378" s="1948">
        <v>16.8</v>
      </c>
      <c r="AP378" s="1948">
        <v>193.6</v>
      </c>
      <c r="AQ378" s="1948">
        <v>0.43369999999999997</v>
      </c>
      <c r="AR378" s="1948">
        <v>24.82</v>
      </c>
      <c r="AS378" s="1948">
        <v>3002</v>
      </c>
      <c r="AT378" s="1948">
        <f t="shared" si="83"/>
        <v>7500</v>
      </c>
      <c r="AU378" s="1948">
        <f t="shared" si="84"/>
        <v>0</v>
      </c>
      <c r="AV378" s="1948">
        <v>242</v>
      </c>
      <c r="AW378" s="1948">
        <v>0.38400000000000001</v>
      </c>
      <c r="AX378" s="1948">
        <v>193.6</v>
      </c>
      <c r="AY378" s="1948">
        <v>0.55320000000000003</v>
      </c>
      <c r="AZ378" s="1948">
        <v>17.440000000000001</v>
      </c>
      <c r="BA378" s="1948">
        <v>2001</v>
      </c>
      <c r="BB378" s="1948">
        <f t="shared" si="85"/>
        <v>166</v>
      </c>
      <c r="BC378" s="1948">
        <f t="shared" si="86"/>
        <v>1835</v>
      </c>
      <c r="BD378" s="1949">
        <v>242</v>
      </c>
      <c r="BE378" s="1948">
        <v>10.284000000000001</v>
      </c>
      <c r="BF378" s="1949">
        <v>193.6</v>
      </c>
      <c r="BG378" s="1949">
        <v>0.55159999999999998</v>
      </c>
      <c r="BH378" s="1949">
        <v>23.3</v>
      </c>
      <c r="BI378" s="1948">
        <v>1782</v>
      </c>
      <c r="BJ378" s="1948">
        <f t="shared" si="87"/>
        <v>4591</v>
      </c>
      <c r="BK378" s="1948">
        <f t="shared" si="88"/>
        <v>0</v>
      </c>
    </row>
    <row r="379" spans="1:63" ht="15">
      <c r="A379" s="1946">
        <v>125000000024</v>
      </c>
      <c r="B379" s="1947">
        <f t="shared" si="89"/>
        <v>373</v>
      </c>
      <c r="C379" s="1906" t="s">
        <v>3244</v>
      </c>
      <c r="D379" s="1907" t="s">
        <v>524</v>
      </c>
      <c r="E379" s="1906" t="s">
        <v>541</v>
      </c>
      <c r="F379" s="1948" t="s">
        <v>259</v>
      </c>
      <c r="G379" s="1949">
        <v>244</v>
      </c>
      <c r="H379" s="1948">
        <v>244</v>
      </c>
      <c r="I379" s="1950">
        <v>266.08</v>
      </c>
      <c r="J379" s="1948">
        <v>266.08</v>
      </c>
      <c r="K379" s="1948">
        <v>0.98</v>
      </c>
      <c r="L379" s="1948">
        <v>47.72</v>
      </c>
      <c r="M379" s="1948">
        <v>91418</v>
      </c>
      <c r="N379" s="1948">
        <f t="shared" si="75"/>
        <v>114947</v>
      </c>
      <c r="O379" s="1948">
        <f t="shared" si="76"/>
        <v>0</v>
      </c>
      <c r="P379" s="1948">
        <v>244</v>
      </c>
      <c r="Q379" s="1948">
        <v>312.95999999999998</v>
      </c>
      <c r="R379" s="1948">
        <v>312.95999999999998</v>
      </c>
      <c r="S379" s="1948">
        <v>0.97030000000000005</v>
      </c>
      <c r="T379" s="1948">
        <v>35.729999999999997</v>
      </c>
      <c r="U379" s="1948">
        <v>83184</v>
      </c>
      <c r="V379" s="1948">
        <f t="shared" si="77"/>
        <v>139705</v>
      </c>
      <c r="W379" s="1948">
        <f t="shared" si="78"/>
        <v>0</v>
      </c>
      <c r="X379" s="1948">
        <v>244</v>
      </c>
      <c r="Y379" s="1948">
        <v>305.76</v>
      </c>
      <c r="Z379" s="1948">
        <v>305.76</v>
      </c>
      <c r="AA379" s="1948">
        <v>0.94720000000000004</v>
      </c>
      <c r="AB379" s="1948">
        <v>45.11</v>
      </c>
      <c r="AC379" s="1948">
        <v>99298</v>
      </c>
      <c r="AD379" s="1948">
        <f t="shared" si="79"/>
        <v>132088</v>
      </c>
      <c r="AE379" s="1948">
        <f t="shared" si="80"/>
        <v>0</v>
      </c>
      <c r="AF379" s="1948">
        <v>244</v>
      </c>
      <c r="AG379" s="1948">
        <v>296.47999999999996</v>
      </c>
      <c r="AH379" s="1948">
        <v>296.48</v>
      </c>
      <c r="AI379" s="1948">
        <v>0.96479999999999999</v>
      </c>
      <c r="AJ379" s="1948">
        <v>46.25</v>
      </c>
      <c r="AK379" s="1948">
        <v>102022</v>
      </c>
      <c r="AL379" s="1948">
        <f t="shared" si="81"/>
        <v>132349</v>
      </c>
      <c r="AM379" s="1948">
        <f t="shared" si="82"/>
        <v>0</v>
      </c>
      <c r="AN379" s="1948">
        <v>244</v>
      </c>
      <c r="AO379" s="1948">
        <v>265.91999999999996</v>
      </c>
      <c r="AP379" s="1948">
        <v>265.92</v>
      </c>
      <c r="AQ379" s="1948">
        <v>0.96830000000000005</v>
      </c>
      <c r="AR379" s="1948">
        <v>33.520000000000003</v>
      </c>
      <c r="AS379" s="1948">
        <v>66310</v>
      </c>
      <c r="AT379" s="1948">
        <f t="shared" si="83"/>
        <v>118707</v>
      </c>
      <c r="AU379" s="1948">
        <f t="shared" si="84"/>
        <v>0</v>
      </c>
      <c r="AV379" s="1948">
        <v>244</v>
      </c>
      <c r="AW379" s="1948">
        <v>230.72</v>
      </c>
      <c r="AX379" s="1948">
        <v>230.72</v>
      </c>
      <c r="AY379" s="1948">
        <v>0.98240000000000005</v>
      </c>
      <c r="AZ379" s="1948">
        <v>38.630000000000003</v>
      </c>
      <c r="BA379" s="1948">
        <v>64178</v>
      </c>
      <c r="BB379" s="1948">
        <f t="shared" si="85"/>
        <v>99671</v>
      </c>
      <c r="BC379" s="1948">
        <f t="shared" si="86"/>
        <v>0</v>
      </c>
      <c r="BD379" s="1949">
        <v>244</v>
      </c>
      <c r="BE379" s="1948">
        <v>240</v>
      </c>
      <c r="BF379" s="1949">
        <v>240</v>
      </c>
      <c r="BG379" s="1949">
        <v>0.98099999999999998</v>
      </c>
      <c r="BH379" s="1949">
        <v>40.36</v>
      </c>
      <c r="BI379" s="1948">
        <v>72074</v>
      </c>
      <c r="BJ379" s="1948">
        <f t="shared" si="87"/>
        <v>107136</v>
      </c>
      <c r="BK379" s="1948">
        <f t="shared" si="88"/>
        <v>0</v>
      </c>
    </row>
    <row r="380" spans="1:63" ht="15">
      <c r="A380" s="1946">
        <v>615000000069</v>
      </c>
      <c r="B380" s="1947">
        <f t="shared" si="89"/>
        <v>374</v>
      </c>
      <c r="C380" s="1906" t="s">
        <v>3569</v>
      </c>
      <c r="D380" s="1907" t="s">
        <v>524</v>
      </c>
      <c r="E380" s="1906" t="s">
        <v>541</v>
      </c>
      <c r="F380" s="1948" t="s">
        <v>259</v>
      </c>
      <c r="G380" s="1949">
        <v>244</v>
      </c>
      <c r="H380" s="1948">
        <v>0</v>
      </c>
      <c r="I380" s="1950">
        <v>0</v>
      </c>
      <c r="J380" s="1948">
        <v>0</v>
      </c>
      <c r="K380" s="1948">
        <v>0</v>
      </c>
      <c r="L380" s="1948">
        <v>0</v>
      </c>
      <c r="M380" s="1948">
        <v>0</v>
      </c>
      <c r="N380" s="1948">
        <f t="shared" si="75"/>
        <v>0</v>
      </c>
      <c r="O380" s="1948">
        <f t="shared" si="76"/>
        <v>0</v>
      </c>
      <c r="P380" s="1948">
        <v>0</v>
      </c>
      <c r="Q380" s="1948">
        <v>0</v>
      </c>
      <c r="R380" s="1948">
        <v>0</v>
      </c>
      <c r="S380" s="1948">
        <v>0</v>
      </c>
      <c r="T380" s="1948">
        <v>0</v>
      </c>
      <c r="U380" s="1948">
        <v>0</v>
      </c>
      <c r="V380" s="1948">
        <f t="shared" si="77"/>
        <v>0</v>
      </c>
      <c r="W380" s="1948">
        <f t="shared" si="78"/>
        <v>0</v>
      </c>
      <c r="X380" s="1948">
        <v>244</v>
      </c>
      <c r="Y380" s="1948">
        <v>0</v>
      </c>
      <c r="Z380" s="1948">
        <v>195.2</v>
      </c>
      <c r="AA380" s="1948">
        <v>0</v>
      </c>
      <c r="AB380" s="1948">
        <v>0</v>
      </c>
      <c r="AC380" s="1948">
        <v>0</v>
      </c>
      <c r="AD380" s="1948">
        <f t="shared" si="79"/>
        <v>0</v>
      </c>
      <c r="AE380" s="1948">
        <f t="shared" si="80"/>
        <v>0</v>
      </c>
      <c r="AF380" s="1948">
        <v>244</v>
      </c>
      <c r="AG380" s="1948">
        <v>204.90479999999997</v>
      </c>
      <c r="AH380" s="1948">
        <v>204.9</v>
      </c>
      <c r="AI380" s="1948">
        <v>0.54239999999999999</v>
      </c>
      <c r="AJ380" s="1948">
        <v>5.32</v>
      </c>
      <c r="AK380" s="1948">
        <v>8117</v>
      </c>
      <c r="AL380" s="1948">
        <f t="shared" si="81"/>
        <v>91470</v>
      </c>
      <c r="AM380" s="1948">
        <f t="shared" si="82"/>
        <v>0</v>
      </c>
      <c r="AN380" s="1948">
        <v>244</v>
      </c>
      <c r="AO380" s="1948">
        <v>231.10590000000002</v>
      </c>
      <c r="AP380" s="1948">
        <v>231.11</v>
      </c>
      <c r="AQ380" s="1948">
        <v>0.49809999999999999</v>
      </c>
      <c r="AR380" s="1948">
        <v>7.35</v>
      </c>
      <c r="AS380" s="1948">
        <v>12642</v>
      </c>
      <c r="AT380" s="1948">
        <f t="shared" si="83"/>
        <v>103166</v>
      </c>
      <c r="AU380" s="1948">
        <f t="shared" si="84"/>
        <v>0</v>
      </c>
      <c r="AV380" s="1948">
        <v>244</v>
      </c>
      <c r="AW380" s="1948">
        <v>221.274</v>
      </c>
      <c r="AX380" s="1948">
        <v>221.27</v>
      </c>
      <c r="AY380" s="1948">
        <v>0.71930000000000005</v>
      </c>
      <c r="AZ380" s="1948">
        <v>6.34</v>
      </c>
      <c r="BA380" s="1948">
        <v>10096</v>
      </c>
      <c r="BB380" s="1948">
        <f t="shared" si="85"/>
        <v>95590</v>
      </c>
      <c r="BC380" s="1948">
        <f t="shared" si="86"/>
        <v>0</v>
      </c>
      <c r="BD380" s="1949">
        <v>244</v>
      </c>
      <c r="BE380" s="1948">
        <v>193.21800000000002</v>
      </c>
      <c r="BF380" s="1949">
        <v>195.2</v>
      </c>
      <c r="BG380" s="1949">
        <v>0.70330000000000004</v>
      </c>
      <c r="BH380" s="1949">
        <v>7.44</v>
      </c>
      <c r="BI380" s="1948">
        <v>10702</v>
      </c>
      <c r="BJ380" s="1948">
        <f t="shared" si="87"/>
        <v>86253</v>
      </c>
      <c r="BK380" s="1948">
        <f t="shared" si="88"/>
        <v>0</v>
      </c>
    </row>
    <row r="381" spans="1:63" ht="15">
      <c r="A381" s="1946">
        <v>621000000036</v>
      </c>
      <c r="B381" s="1947">
        <f t="shared" si="89"/>
        <v>375</v>
      </c>
      <c r="C381" s="1906" t="s">
        <v>3245</v>
      </c>
      <c r="D381" s="1907" t="s">
        <v>524</v>
      </c>
      <c r="E381" s="1906" t="s">
        <v>737</v>
      </c>
      <c r="F381" s="1948" t="s">
        <v>259</v>
      </c>
      <c r="G381" s="1949">
        <v>244.5</v>
      </c>
      <c r="H381" s="1948">
        <v>244.5</v>
      </c>
      <c r="I381" s="1950">
        <v>140.4</v>
      </c>
      <c r="J381" s="1948">
        <v>195.6</v>
      </c>
      <c r="K381" s="1948">
        <v>0.99029999999999996</v>
      </c>
      <c r="L381" s="1948">
        <v>62.56</v>
      </c>
      <c r="M381" s="1948">
        <v>63237</v>
      </c>
      <c r="N381" s="1948">
        <f t="shared" si="75"/>
        <v>60653</v>
      </c>
      <c r="O381" s="1948">
        <f t="shared" si="76"/>
        <v>2584</v>
      </c>
      <c r="P381" s="1948">
        <v>244.5</v>
      </c>
      <c r="Q381" s="1948">
        <v>167.52</v>
      </c>
      <c r="R381" s="1948">
        <v>195.6</v>
      </c>
      <c r="S381" s="1948">
        <v>0.98429999999999995</v>
      </c>
      <c r="T381" s="1948">
        <v>54.88</v>
      </c>
      <c r="U381" s="1948">
        <v>68400</v>
      </c>
      <c r="V381" s="1948">
        <f t="shared" si="77"/>
        <v>74781</v>
      </c>
      <c r="W381" s="1948">
        <f t="shared" si="78"/>
        <v>0</v>
      </c>
      <c r="X381" s="1948">
        <v>244.5</v>
      </c>
      <c r="Y381" s="1948">
        <v>170.39999999999998</v>
      </c>
      <c r="Z381" s="1948">
        <v>195.6</v>
      </c>
      <c r="AA381" s="1948">
        <v>0.97350000000000003</v>
      </c>
      <c r="AB381" s="1948">
        <v>32.049999999999997</v>
      </c>
      <c r="AC381" s="1948">
        <v>35388</v>
      </c>
      <c r="AD381" s="1948">
        <f t="shared" si="79"/>
        <v>73613</v>
      </c>
      <c r="AE381" s="1948">
        <f t="shared" si="80"/>
        <v>0</v>
      </c>
      <c r="AF381" s="1948">
        <v>244.5</v>
      </c>
      <c r="AG381" s="1948">
        <v>142.79999999999998</v>
      </c>
      <c r="AH381" s="1948">
        <v>195.6</v>
      </c>
      <c r="AI381" s="1948">
        <v>0.98719999999999997</v>
      </c>
      <c r="AJ381" s="1948">
        <v>57.7</v>
      </c>
      <c r="AK381" s="1948">
        <v>67239</v>
      </c>
      <c r="AL381" s="1948">
        <f t="shared" si="81"/>
        <v>63746</v>
      </c>
      <c r="AM381" s="1948">
        <f t="shared" si="82"/>
        <v>3493</v>
      </c>
      <c r="AN381" s="1948">
        <v>244.5</v>
      </c>
      <c r="AO381" s="1948">
        <v>152.4</v>
      </c>
      <c r="AP381" s="1948">
        <v>195.6</v>
      </c>
      <c r="AQ381" s="1948">
        <v>0.99219999999999997</v>
      </c>
      <c r="AR381" s="1948">
        <v>52.58</v>
      </c>
      <c r="AS381" s="1948">
        <v>59618</v>
      </c>
      <c r="AT381" s="1948">
        <f t="shared" si="83"/>
        <v>68031</v>
      </c>
      <c r="AU381" s="1948">
        <f t="shared" si="84"/>
        <v>0</v>
      </c>
      <c r="AV381" s="1948">
        <v>244.5</v>
      </c>
      <c r="AW381" s="1948">
        <v>141.12</v>
      </c>
      <c r="AX381" s="1948">
        <v>195.6</v>
      </c>
      <c r="AY381" s="1948">
        <v>0.98650000000000004</v>
      </c>
      <c r="AZ381" s="1948">
        <v>56.82</v>
      </c>
      <c r="BA381" s="1948">
        <v>57736</v>
      </c>
      <c r="BB381" s="1948">
        <f t="shared" si="85"/>
        <v>60964</v>
      </c>
      <c r="BC381" s="1948">
        <f t="shared" si="86"/>
        <v>0</v>
      </c>
      <c r="BD381" s="1949">
        <v>244.5</v>
      </c>
      <c r="BE381" s="1948">
        <v>151.19999999999999</v>
      </c>
      <c r="BF381" s="1949">
        <v>195.6</v>
      </c>
      <c r="BG381" s="1949">
        <v>0.98899999999999999</v>
      </c>
      <c r="BH381" s="1949">
        <v>44.74</v>
      </c>
      <c r="BI381" s="1948">
        <v>50328</v>
      </c>
      <c r="BJ381" s="1948">
        <f t="shared" si="87"/>
        <v>67496</v>
      </c>
      <c r="BK381" s="1948">
        <f t="shared" si="88"/>
        <v>0</v>
      </c>
    </row>
    <row r="382" spans="1:63" ht="15">
      <c r="A382" s="1946">
        <v>122000000088</v>
      </c>
      <c r="B382" s="1947">
        <f t="shared" si="89"/>
        <v>376</v>
      </c>
      <c r="C382" s="1906" t="s">
        <v>3247</v>
      </c>
      <c r="D382" s="1907" t="s">
        <v>524</v>
      </c>
      <c r="E382" s="1906" t="s">
        <v>636</v>
      </c>
      <c r="F382" s="1948" t="s">
        <v>259</v>
      </c>
      <c r="G382" s="1949">
        <v>245</v>
      </c>
      <c r="H382" s="1948">
        <v>245</v>
      </c>
      <c r="I382" s="1950">
        <v>132.47999999999999</v>
      </c>
      <c r="J382" s="1948">
        <v>196</v>
      </c>
      <c r="K382" s="1948">
        <v>0.98780000000000001</v>
      </c>
      <c r="L382" s="1948">
        <v>6.98</v>
      </c>
      <c r="M382" s="1948">
        <v>6660</v>
      </c>
      <c r="N382" s="1948">
        <f t="shared" si="75"/>
        <v>57231</v>
      </c>
      <c r="O382" s="1948">
        <f t="shared" si="76"/>
        <v>0</v>
      </c>
      <c r="P382" s="1948">
        <v>245</v>
      </c>
      <c r="Q382" s="1948">
        <v>201.36</v>
      </c>
      <c r="R382" s="1948">
        <v>201.36</v>
      </c>
      <c r="S382" s="1948">
        <v>0.96579999999999999</v>
      </c>
      <c r="T382" s="1948">
        <v>41.57</v>
      </c>
      <c r="U382" s="1948">
        <v>62277</v>
      </c>
      <c r="V382" s="1948">
        <f t="shared" si="77"/>
        <v>89887</v>
      </c>
      <c r="W382" s="1948">
        <f t="shared" si="78"/>
        <v>0</v>
      </c>
      <c r="X382" s="1948">
        <v>245</v>
      </c>
      <c r="Y382" s="1948">
        <v>210</v>
      </c>
      <c r="Z382" s="1948">
        <v>210</v>
      </c>
      <c r="AA382" s="1948">
        <v>0.82479999999999998</v>
      </c>
      <c r="AB382" s="1948">
        <v>50.48</v>
      </c>
      <c r="AC382" s="1948">
        <v>76329</v>
      </c>
      <c r="AD382" s="1948">
        <f t="shared" si="79"/>
        <v>90720</v>
      </c>
      <c r="AE382" s="1948">
        <f t="shared" si="80"/>
        <v>0</v>
      </c>
      <c r="AF382" s="1948">
        <v>245</v>
      </c>
      <c r="AG382" s="1948">
        <v>197.28</v>
      </c>
      <c r="AH382" s="1948">
        <v>197.28</v>
      </c>
      <c r="AI382" s="1948">
        <v>0.85960000000000003</v>
      </c>
      <c r="AJ382" s="1948">
        <v>42.65</v>
      </c>
      <c r="AK382" s="1948">
        <v>62607</v>
      </c>
      <c r="AL382" s="1948">
        <f t="shared" si="81"/>
        <v>88066</v>
      </c>
      <c r="AM382" s="1948">
        <f t="shared" si="82"/>
        <v>0</v>
      </c>
      <c r="AN382" s="1948">
        <v>245</v>
      </c>
      <c r="AO382" s="1948">
        <v>158.88</v>
      </c>
      <c r="AP382" s="1948">
        <v>196</v>
      </c>
      <c r="AQ382" s="1948">
        <v>0.89839999999999998</v>
      </c>
      <c r="AR382" s="1948">
        <v>19.27</v>
      </c>
      <c r="AS382" s="1948">
        <v>22776</v>
      </c>
      <c r="AT382" s="1948">
        <f t="shared" si="83"/>
        <v>70924</v>
      </c>
      <c r="AU382" s="1948">
        <f t="shared" si="84"/>
        <v>0</v>
      </c>
      <c r="AV382" s="1948">
        <v>245</v>
      </c>
      <c r="AW382" s="1948">
        <v>168.00000000000003</v>
      </c>
      <c r="AX382" s="1948">
        <v>196</v>
      </c>
      <c r="AY382" s="1948">
        <v>0.88529999999999998</v>
      </c>
      <c r="AZ382" s="1948">
        <v>24.77</v>
      </c>
      <c r="BA382" s="1948">
        <v>29958</v>
      </c>
      <c r="BB382" s="1948">
        <f t="shared" si="85"/>
        <v>72576</v>
      </c>
      <c r="BC382" s="1948">
        <f t="shared" si="86"/>
        <v>0</v>
      </c>
      <c r="BD382" s="1949">
        <v>245</v>
      </c>
      <c r="BE382" s="1948">
        <v>169.44</v>
      </c>
      <c r="BF382" s="1949">
        <v>196</v>
      </c>
      <c r="BG382" s="1949">
        <v>0.86339999999999995</v>
      </c>
      <c r="BH382" s="1949">
        <v>44.47</v>
      </c>
      <c r="BI382" s="1948">
        <v>56058</v>
      </c>
      <c r="BJ382" s="1948">
        <f t="shared" si="87"/>
        <v>75638</v>
      </c>
      <c r="BK382" s="1948">
        <f t="shared" si="88"/>
        <v>0</v>
      </c>
    </row>
    <row r="383" spans="1:63" ht="15">
      <c r="A383" s="1946">
        <v>123000000068</v>
      </c>
      <c r="B383" s="1947">
        <f t="shared" si="89"/>
        <v>377</v>
      </c>
      <c r="C383" s="1906" t="s">
        <v>3248</v>
      </c>
      <c r="D383" s="1907" t="s">
        <v>524</v>
      </c>
      <c r="E383" s="1906" t="s">
        <v>541</v>
      </c>
      <c r="F383" s="1948" t="s">
        <v>259</v>
      </c>
      <c r="G383" s="1949">
        <v>245</v>
      </c>
      <c r="H383" s="1948">
        <v>245</v>
      </c>
      <c r="I383" s="1950">
        <v>94.679999999999993</v>
      </c>
      <c r="J383" s="1948">
        <v>196</v>
      </c>
      <c r="K383" s="1948">
        <v>0.99199999999999999</v>
      </c>
      <c r="L383" s="1948">
        <v>8.98</v>
      </c>
      <c r="M383" s="1948">
        <v>6125</v>
      </c>
      <c r="N383" s="1948">
        <f t="shared" si="75"/>
        <v>40902</v>
      </c>
      <c r="O383" s="1948">
        <f t="shared" si="76"/>
        <v>0</v>
      </c>
      <c r="P383" s="1948">
        <v>245</v>
      </c>
      <c r="Q383" s="1948">
        <v>16.32</v>
      </c>
      <c r="R383" s="1948">
        <v>196</v>
      </c>
      <c r="S383" s="1948">
        <v>0.98550000000000004</v>
      </c>
      <c r="T383" s="1948">
        <v>14.82</v>
      </c>
      <c r="U383" s="1948">
        <v>1799</v>
      </c>
      <c r="V383" s="1948">
        <f t="shared" si="77"/>
        <v>7285</v>
      </c>
      <c r="W383" s="1948">
        <f t="shared" si="78"/>
        <v>0</v>
      </c>
      <c r="X383" s="1948">
        <v>245</v>
      </c>
      <c r="Y383" s="1948">
        <v>94.92</v>
      </c>
      <c r="Z383" s="1948">
        <v>196</v>
      </c>
      <c r="AA383" s="1948">
        <v>0.98799999999999999</v>
      </c>
      <c r="AB383" s="1948">
        <v>47.88</v>
      </c>
      <c r="AC383" s="1948">
        <v>32721</v>
      </c>
      <c r="AD383" s="1948">
        <f t="shared" si="79"/>
        <v>41005</v>
      </c>
      <c r="AE383" s="1948">
        <f t="shared" si="80"/>
        <v>0</v>
      </c>
      <c r="AF383" s="1948">
        <v>245</v>
      </c>
      <c r="AG383" s="1948">
        <v>98.88</v>
      </c>
      <c r="AH383" s="1948">
        <v>196</v>
      </c>
      <c r="AI383" s="1948">
        <v>0.98240000000000005</v>
      </c>
      <c r="AJ383" s="1948">
        <v>45.56</v>
      </c>
      <c r="AK383" s="1948">
        <v>33519</v>
      </c>
      <c r="AL383" s="1948">
        <f t="shared" si="81"/>
        <v>44140</v>
      </c>
      <c r="AM383" s="1948">
        <f t="shared" si="82"/>
        <v>0</v>
      </c>
      <c r="AN383" s="1948">
        <v>245</v>
      </c>
      <c r="AO383" s="1948">
        <v>98.16</v>
      </c>
      <c r="AP383" s="1948">
        <v>196</v>
      </c>
      <c r="AQ383" s="1948">
        <v>0.95950000000000002</v>
      </c>
      <c r="AR383" s="1948">
        <v>37.9</v>
      </c>
      <c r="AS383" s="1948">
        <v>27678</v>
      </c>
      <c r="AT383" s="1948">
        <f t="shared" si="83"/>
        <v>43819</v>
      </c>
      <c r="AU383" s="1948">
        <f t="shared" si="84"/>
        <v>0</v>
      </c>
      <c r="AV383" s="1948">
        <v>245</v>
      </c>
      <c r="AW383" s="1948">
        <v>99.96</v>
      </c>
      <c r="AX383" s="1948">
        <v>196</v>
      </c>
      <c r="AY383" s="1948">
        <v>0.95940000000000003</v>
      </c>
      <c r="AZ383" s="1948">
        <v>43.5</v>
      </c>
      <c r="BA383" s="1948">
        <v>31304</v>
      </c>
      <c r="BB383" s="1948">
        <f t="shared" si="85"/>
        <v>43183</v>
      </c>
      <c r="BC383" s="1948">
        <f t="shared" si="86"/>
        <v>0</v>
      </c>
      <c r="BD383" s="1949">
        <v>245</v>
      </c>
      <c r="BE383" s="1948">
        <v>98.16</v>
      </c>
      <c r="BF383" s="1949">
        <v>196</v>
      </c>
      <c r="BG383" s="1949">
        <v>0.9597</v>
      </c>
      <c r="BH383" s="1949">
        <v>37.72</v>
      </c>
      <c r="BI383" s="1948">
        <v>27549</v>
      </c>
      <c r="BJ383" s="1948">
        <f t="shared" si="87"/>
        <v>43819</v>
      </c>
      <c r="BK383" s="1948">
        <f t="shared" si="88"/>
        <v>0</v>
      </c>
    </row>
    <row r="384" spans="1:63" ht="15">
      <c r="A384" s="1946">
        <v>123000000070</v>
      </c>
      <c r="B384" s="1947">
        <f t="shared" si="89"/>
        <v>378</v>
      </c>
      <c r="C384" s="1906" t="s">
        <v>3249</v>
      </c>
      <c r="D384" s="1907" t="s">
        <v>524</v>
      </c>
      <c r="E384" s="1906" t="s">
        <v>541</v>
      </c>
      <c r="F384" s="1948" t="s">
        <v>259</v>
      </c>
      <c r="G384" s="1949">
        <v>245</v>
      </c>
      <c r="H384" s="1948">
        <v>245</v>
      </c>
      <c r="I384" s="1950">
        <v>126.8</v>
      </c>
      <c r="J384" s="1948">
        <v>196</v>
      </c>
      <c r="K384" s="1948">
        <v>0.93489999999999995</v>
      </c>
      <c r="L384" s="1948">
        <v>29.66</v>
      </c>
      <c r="M384" s="1948">
        <v>19857</v>
      </c>
      <c r="N384" s="1948">
        <f t="shared" si="75"/>
        <v>54778</v>
      </c>
      <c r="O384" s="1948">
        <f t="shared" si="76"/>
        <v>0</v>
      </c>
      <c r="P384" s="1948">
        <v>245</v>
      </c>
      <c r="Q384" s="1948">
        <v>131.80000000000001</v>
      </c>
      <c r="R384" s="1948">
        <v>196</v>
      </c>
      <c r="S384" s="1948">
        <v>0.93020000000000003</v>
      </c>
      <c r="T384" s="1948">
        <v>13.51</v>
      </c>
      <c r="U384" s="1948">
        <v>16670</v>
      </c>
      <c r="V384" s="1948">
        <f t="shared" si="77"/>
        <v>58836</v>
      </c>
      <c r="W384" s="1948">
        <f t="shared" si="78"/>
        <v>0</v>
      </c>
      <c r="X384" s="1948">
        <v>245</v>
      </c>
      <c r="Y384" s="1948">
        <v>139</v>
      </c>
      <c r="Z384" s="1948">
        <v>196</v>
      </c>
      <c r="AA384" s="1948">
        <v>0.93</v>
      </c>
      <c r="AB384" s="1948">
        <v>16.920000000000002</v>
      </c>
      <c r="AC384" s="1948">
        <v>16930</v>
      </c>
      <c r="AD384" s="1948">
        <f t="shared" si="79"/>
        <v>60048</v>
      </c>
      <c r="AE384" s="1948">
        <f t="shared" si="80"/>
        <v>0</v>
      </c>
      <c r="AF384" s="1948">
        <v>245</v>
      </c>
      <c r="AG384" s="1948">
        <v>141.19999999999999</v>
      </c>
      <c r="AH384" s="1948">
        <v>196</v>
      </c>
      <c r="AI384" s="1948">
        <v>0.92359999999999998</v>
      </c>
      <c r="AJ384" s="1948">
        <v>29.73</v>
      </c>
      <c r="AK384" s="1948">
        <v>31233</v>
      </c>
      <c r="AL384" s="1948">
        <f t="shared" si="81"/>
        <v>63032</v>
      </c>
      <c r="AM384" s="1948">
        <f t="shared" si="82"/>
        <v>0</v>
      </c>
      <c r="AN384" s="1948">
        <v>245</v>
      </c>
      <c r="AO384" s="1948">
        <v>120.80000000000001</v>
      </c>
      <c r="AP384" s="1948">
        <v>196</v>
      </c>
      <c r="AQ384" s="1948">
        <v>0.91310000000000002</v>
      </c>
      <c r="AR384" s="1948">
        <v>19.21</v>
      </c>
      <c r="AS384" s="1948">
        <v>17267</v>
      </c>
      <c r="AT384" s="1948">
        <f t="shared" si="83"/>
        <v>53925</v>
      </c>
      <c r="AU384" s="1948">
        <f t="shared" si="84"/>
        <v>0</v>
      </c>
      <c r="AV384" s="1948">
        <v>245</v>
      </c>
      <c r="AW384" s="1948">
        <v>127.6</v>
      </c>
      <c r="AX384" s="1948">
        <v>196</v>
      </c>
      <c r="AY384" s="1948">
        <v>0.94979999999999998</v>
      </c>
      <c r="AZ384" s="1948">
        <v>10.26</v>
      </c>
      <c r="BA384" s="1948">
        <v>9425</v>
      </c>
      <c r="BB384" s="1948">
        <f t="shared" si="85"/>
        <v>55123</v>
      </c>
      <c r="BC384" s="1948">
        <f t="shared" si="86"/>
        <v>0</v>
      </c>
      <c r="BD384" s="1949">
        <v>245</v>
      </c>
      <c r="BE384" s="1948">
        <v>135.80000000000001</v>
      </c>
      <c r="BF384" s="1949">
        <v>196</v>
      </c>
      <c r="BG384" s="1949">
        <v>0.94820000000000004</v>
      </c>
      <c r="BH384" s="1949">
        <v>11.46</v>
      </c>
      <c r="BI384" s="1948">
        <v>11577</v>
      </c>
      <c r="BJ384" s="1948">
        <f t="shared" si="87"/>
        <v>60621</v>
      </c>
      <c r="BK384" s="1948">
        <f t="shared" si="88"/>
        <v>0</v>
      </c>
    </row>
    <row r="385" spans="1:63" ht="15">
      <c r="A385" s="1946">
        <v>121000000042</v>
      </c>
      <c r="B385" s="1947">
        <f t="shared" si="89"/>
        <v>379</v>
      </c>
      <c r="C385" s="1906" t="s">
        <v>3246</v>
      </c>
      <c r="D385" s="1907" t="s">
        <v>524</v>
      </c>
      <c r="E385" s="1906" t="s">
        <v>541</v>
      </c>
      <c r="F385" s="1948" t="s">
        <v>259</v>
      </c>
      <c r="G385" s="1949">
        <v>245</v>
      </c>
      <c r="H385" s="1948">
        <v>245</v>
      </c>
      <c r="I385" s="1950">
        <v>166.8</v>
      </c>
      <c r="J385" s="1948">
        <v>196</v>
      </c>
      <c r="K385" s="1948">
        <v>0.87490000000000001</v>
      </c>
      <c r="L385" s="1948">
        <v>41.55</v>
      </c>
      <c r="M385" s="1948">
        <v>49902</v>
      </c>
      <c r="N385" s="1948">
        <f t="shared" si="75"/>
        <v>72058</v>
      </c>
      <c r="O385" s="1948">
        <f t="shared" si="76"/>
        <v>0</v>
      </c>
      <c r="P385" s="1948">
        <v>245</v>
      </c>
      <c r="Q385" s="1948">
        <v>166.8</v>
      </c>
      <c r="R385" s="1948">
        <v>196</v>
      </c>
      <c r="S385" s="1948">
        <v>0.89880000000000004</v>
      </c>
      <c r="T385" s="1948">
        <v>40.75</v>
      </c>
      <c r="U385" s="1948">
        <v>50565</v>
      </c>
      <c r="V385" s="1948">
        <f t="shared" si="77"/>
        <v>74460</v>
      </c>
      <c r="W385" s="1948">
        <f t="shared" si="78"/>
        <v>0</v>
      </c>
      <c r="X385" s="1948">
        <v>245</v>
      </c>
      <c r="Y385" s="1948">
        <v>177.8</v>
      </c>
      <c r="Z385" s="1948">
        <v>196</v>
      </c>
      <c r="AA385" s="1948">
        <v>0.87890000000000001</v>
      </c>
      <c r="AB385" s="1948">
        <v>33.47</v>
      </c>
      <c r="AC385" s="1948">
        <v>39993</v>
      </c>
      <c r="AD385" s="1948">
        <f t="shared" si="79"/>
        <v>76810</v>
      </c>
      <c r="AE385" s="1948">
        <f t="shared" si="80"/>
        <v>0</v>
      </c>
      <c r="AF385" s="1948">
        <v>245</v>
      </c>
      <c r="AG385" s="1948">
        <v>169.6</v>
      </c>
      <c r="AH385" s="1948">
        <v>196</v>
      </c>
      <c r="AI385" s="1948">
        <v>0.86080000000000001</v>
      </c>
      <c r="AJ385" s="1948">
        <v>31.43</v>
      </c>
      <c r="AK385" s="1948">
        <v>35820</v>
      </c>
      <c r="AL385" s="1948">
        <f t="shared" si="81"/>
        <v>75709</v>
      </c>
      <c r="AM385" s="1948">
        <f t="shared" si="82"/>
        <v>0</v>
      </c>
      <c r="AN385" s="1948">
        <v>245</v>
      </c>
      <c r="AO385" s="1948">
        <v>172.02080000000001</v>
      </c>
      <c r="AP385" s="1948">
        <v>196</v>
      </c>
      <c r="AQ385" s="1948">
        <v>0.82689999999999997</v>
      </c>
      <c r="AR385" s="1948">
        <v>30.91</v>
      </c>
      <c r="AS385" s="1948">
        <v>45941</v>
      </c>
      <c r="AT385" s="1948">
        <f t="shared" si="83"/>
        <v>76790</v>
      </c>
      <c r="AU385" s="1948">
        <f t="shared" si="84"/>
        <v>0</v>
      </c>
      <c r="AV385" s="1948">
        <v>245</v>
      </c>
      <c r="AW385" s="1948">
        <v>206.00800000000001</v>
      </c>
      <c r="AX385" s="1948">
        <v>206.01</v>
      </c>
      <c r="AY385" s="1948">
        <v>0.82589999999999997</v>
      </c>
      <c r="AZ385" s="1948">
        <v>22.74</v>
      </c>
      <c r="BA385" s="1948">
        <v>33733</v>
      </c>
      <c r="BB385" s="1948">
        <f t="shared" si="85"/>
        <v>88995</v>
      </c>
      <c r="BC385" s="1948">
        <f t="shared" si="86"/>
        <v>0</v>
      </c>
      <c r="BD385" s="1949">
        <v>245</v>
      </c>
      <c r="BE385" s="1948">
        <v>130.91200000000001</v>
      </c>
      <c r="BF385" s="1949">
        <v>196</v>
      </c>
      <c r="BG385" s="1949">
        <v>0.76990000000000003</v>
      </c>
      <c r="BH385" s="1949">
        <v>19.82</v>
      </c>
      <c r="BI385" s="1948">
        <v>19307</v>
      </c>
      <c r="BJ385" s="1948">
        <f t="shared" si="87"/>
        <v>58439</v>
      </c>
      <c r="BK385" s="1948">
        <f t="shared" si="88"/>
        <v>0</v>
      </c>
    </row>
    <row r="386" spans="1:63" ht="15">
      <c r="A386" s="1946">
        <v>622000000168</v>
      </c>
      <c r="B386" s="1947">
        <f t="shared" si="89"/>
        <v>380</v>
      </c>
      <c r="C386" s="1906" t="s">
        <v>3251</v>
      </c>
      <c r="D386" s="1907" t="s">
        <v>524</v>
      </c>
      <c r="E386" s="1906" t="s">
        <v>636</v>
      </c>
      <c r="F386" s="1948" t="s">
        <v>259</v>
      </c>
      <c r="G386" s="1949">
        <v>245</v>
      </c>
      <c r="H386" s="1948">
        <v>245</v>
      </c>
      <c r="I386" s="1950">
        <v>112.32</v>
      </c>
      <c r="J386" s="1948">
        <v>196</v>
      </c>
      <c r="K386" s="1948">
        <v>0.90349999999999997</v>
      </c>
      <c r="L386" s="1948">
        <v>22.92</v>
      </c>
      <c r="M386" s="1948">
        <v>22246</v>
      </c>
      <c r="N386" s="1948">
        <f t="shared" si="75"/>
        <v>48522</v>
      </c>
      <c r="O386" s="1948">
        <f t="shared" si="76"/>
        <v>0</v>
      </c>
      <c r="P386" s="1948">
        <v>245</v>
      </c>
      <c r="Q386" s="1948">
        <v>101.92</v>
      </c>
      <c r="R386" s="1948">
        <v>196</v>
      </c>
      <c r="S386" s="1948">
        <v>0.9123</v>
      </c>
      <c r="T386" s="1948">
        <v>24.54</v>
      </c>
      <c r="U386" s="1948">
        <v>18612</v>
      </c>
      <c r="V386" s="1948">
        <f t="shared" si="77"/>
        <v>45497</v>
      </c>
      <c r="W386" s="1948">
        <f t="shared" si="78"/>
        <v>0</v>
      </c>
      <c r="X386" s="1948">
        <v>245</v>
      </c>
      <c r="Y386" s="1948">
        <v>115.68</v>
      </c>
      <c r="Z386" s="1948">
        <v>196</v>
      </c>
      <c r="AA386" s="1948">
        <v>0.92420000000000002</v>
      </c>
      <c r="AB386" s="1948">
        <v>23.35</v>
      </c>
      <c r="AC386" s="1948">
        <v>19448</v>
      </c>
      <c r="AD386" s="1948">
        <f t="shared" si="79"/>
        <v>49974</v>
      </c>
      <c r="AE386" s="1948">
        <f t="shared" si="80"/>
        <v>0</v>
      </c>
      <c r="AF386" s="1948">
        <v>245</v>
      </c>
      <c r="AG386" s="1948">
        <v>95.4</v>
      </c>
      <c r="AH386" s="1948">
        <v>196</v>
      </c>
      <c r="AI386" s="1948">
        <v>0.90310000000000001</v>
      </c>
      <c r="AJ386" s="1948">
        <v>24.92</v>
      </c>
      <c r="AK386" s="1948">
        <v>17620</v>
      </c>
      <c r="AL386" s="1948">
        <f t="shared" si="81"/>
        <v>42587</v>
      </c>
      <c r="AM386" s="1948">
        <f t="shared" si="82"/>
        <v>0</v>
      </c>
      <c r="AN386" s="1948">
        <v>245</v>
      </c>
      <c r="AO386" s="1948">
        <v>65.12</v>
      </c>
      <c r="AP386" s="1948">
        <v>196</v>
      </c>
      <c r="AQ386" s="1948">
        <v>0.87819999999999998</v>
      </c>
      <c r="AR386" s="1948">
        <v>39.07</v>
      </c>
      <c r="AS386" s="1948">
        <v>18928</v>
      </c>
      <c r="AT386" s="1948">
        <f t="shared" si="83"/>
        <v>29070</v>
      </c>
      <c r="AU386" s="1948">
        <f t="shared" si="84"/>
        <v>0</v>
      </c>
      <c r="AV386" s="1948">
        <v>245</v>
      </c>
      <c r="AW386" s="1948">
        <v>83.2</v>
      </c>
      <c r="AX386" s="1948">
        <v>196</v>
      </c>
      <c r="AY386" s="1948">
        <v>0.90500000000000003</v>
      </c>
      <c r="AZ386" s="1948">
        <v>29.99</v>
      </c>
      <c r="BA386" s="1948">
        <v>17966</v>
      </c>
      <c r="BB386" s="1948">
        <f t="shared" si="85"/>
        <v>35942</v>
      </c>
      <c r="BC386" s="1948">
        <f t="shared" si="86"/>
        <v>0</v>
      </c>
      <c r="BD386" s="1949">
        <v>245</v>
      </c>
      <c r="BE386" s="1948">
        <v>109.28</v>
      </c>
      <c r="BF386" s="1949">
        <v>196</v>
      </c>
      <c r="BG386" s="1949">
        <v>0.88370000000000004</v>
      </c>
      <c r="BH386" s="1949">
        <v>26.67</v>
      </c>
      <c r="BI386" s="1948">
        <v>21684</v>
      </c>
      <c r="BJ386" s="1948">
        <f t="shared" si="87"/>
        <v>48783</v>
      </c>
      <c r="BK386" s="1948">
        <f t="shared" si="88"/>
        <v>0</v>
      </c>
    </row>
    <row r="387" spans="1:63" ht="15">
      <c r="A387" s="1946">
        <v>621000000046</v>
      </c>
      <c r="B387" s="1947">
        <f t="shared" si="89"/>
        <v>381</v>
      </c>
      <c r="C387" s="1906" t="s">
        <v>3250</v>
      </c>
      <c r="D387" s="1907" t="s">
        <v>524</v>
      </c>
      <c r="E387" s="1906" t="s">
        <v>541</v>
      </c>
      <c r="F387" s="1948" t="s">
        <v>259</v>
      </c>
      <c r="G387" s="1949">
        <v>245</v>
      </c>
      <c r="H387" s="1948">
        <v>245</v>
      </c>
      <c r="I387" s="1950">
        <v>246.48</v>
      </c>
      <c r="J387" s="1948">
        <v>246.48</v>
      </c>
      <c r="K387" s="1948">
        <v>0.98729999999999996</v>
      </c>
      <c r="L387" s="1948">
        <v>49.98</v>
      </c>
      <c r="M387" s="1948">
        <v>88696</v>
      </c>
      <c r="N387" s="1948">
        <f t="shared" si="75"/>
        <v>106479</v>
      </c>
      <c r="O387" s="1948">
        <f t="shared" si="76"/>
        <v>0</v>
      </c>
      <c r="P387" s="1948">
        <v>245</v>
      </c>
      <c r="Q387" s="1948">
        <v>229.20000000000002</v>
      </c>
      <c r="R387" s="1948">
        <v>229.2</v>
      </c>
      <c r="S387" s="1948">
        <v>0.98650000000000004</v>
      </c>
      <c r="T387" s="1948">
        <v>48.42</v>
      </c>
      <c r="U387" s="1948">
        <v>82565</v>
      </c>
      <c r="V387" s="1948">
        <f t="shared" si="77"/>
        <v>102315</v>
      </c>
      <c r="W387" s="1948">
        <f t="shared" si="78"/>
        <v>0</v>
      </c>
      <c r="X387" s="1948">
        <v>245</v>
      </c>
      <c r="Y387" s="1948">
        <v>227.64000000000001</v>
      </c>
      <c r="Z387" s="1948">
        <v>227.64</v>
      </c>
      <c r="AA387" s="1948">
        <v>0.99299999999999999</v>
      </c>
      <c r="AB387" s="1948">
        <v>22.22</v>
      </c>
      <c r="AC387" s="1948">
        <v>36413</v>
      </c>
      <c r="AD387" s="1948">
        <f t="shared" si="79"/>
        <v>98340</v>
      </c>
      <c r="AE387" s="1948">
        <f t="shared" si="80"/>
        <v>0</v>
      </c>
      <c r="AF387" s="1948">
        <v>245</v>
      </c>
      <c r="AG387" s="1948">
        <v>250.44</v>
      </c>
      <c r="AH387" s="1948">
        <v>250.44</v>
      </c>
      <c r="AI387" s="1948">
        <v>0.99729999999999996</v>
      </c>
      <c r="AJ387" s="1948">
        <v>39.89</v>
      </c>
      <c r="AK387" s="1948">
        <v>74322</v>
      </c>
      <c r="AL387" s="1948">
        <f t="shared" si="81"/>
        <v>111796</v>
      </c>
      <c r="AM387" s="1948">
        <f t="shared" si="82"/>
        <v>0</v>
      </c>
      <c r="AN387" s="1948">
        <v>245</v>
      </c>
      <c r="AO387" s="1948">
        <v>287.76</v>
      </c>
      <c r="AP387" s="1948">
        <v>287.76</v>
      </c>
      <c r="AQ387" s="1948">
        <v>0.99450000000000005</v>
      </c>
      <c r="AR387" s="1948">
        <v>44.72</v>
      </c>
      <c r="AS387" s="1948">
        <v>95738</v>
      </c>
      <c r="AT387" s="1948">
        <f t="shared" si="83"/>
        <v>128456</v>
      </c>
      <c r="AU387" s="1948">
        <f t="shared" si="84"/>
        <v>0</v>
      </c>
      <c r="AV387" s="1948">
        <v>245</v>
      </c>
      <c r="AW387" s="1948">
        <v>282.48</v>
      </c>
      <c r="AX387" s="1948">
        <v>282.48</v>
      </c>
      <c r="AY387" s="1948">
        <v>0.99170000000000003</v>
      </c>
      <c r="AZ387" s="1948">
        <v>44.16</v>
      </c>
      <c r="BA387" s="1948">
        <v>89807</v>
      </c>
      <c r="BB387" s="1948">
        <f t="shared" si="85"/>
        <v>122031</v>
      </c>
      <c r="BC387" s="1948">
        <f t="shared" si="86"/>
        <v>0</v>
      </c>
      <c r="BD387" s="1949">
        <v>245</v>
      </c>
      <c r="BE387" s="1948">
        <v>291.48</v>
      </c>
      <c r="BF387" s="1949">
        <v>291.48</v>
      </c>
      <c r="BG387" s="1949">
        <v>0.94450000000000001</v>
      </c>
      <c r="BH387" s="1949">
        <v>8.48</v>
      </c>
      <c r="BI387" s="1948">
        <v>18380</v>
      </c>
      <c r="BJ387" s="1948">
        <f t="shared" si="87"/>
        <v>130117</v>
      </c>
      <c r="BK387" s="1948">
        <f t="shared" si="88"/>
        <v>0</v>
      </c>
    </row>
    <row r="388" spans="1:63" ht="15">
      <c r="A388" s="1946">
        <v>121000000081</v>
      </c>
      <c r="B388" s="1947">
        <f t="shared" si="89"/>
        <v>382</v>
      </c>
      <c r="C388" s="1906" t="s">
        <v>3252</v>
      </c>
      <c r="D388" s="1907" t="s">
        <v>524</v>
      </c>
      <c r="E388" s="1906" t="s">
        <v>737</v>
      </c>
      <c r="F388" s="1948" t="s">
        <v>259</v>
      </c>
      <c r="G388" s="1949">
        <v>247</v>
      </c>
      <c r="H388" s="1948">
        <v>247</v>
      </c>
      <c r="I388" s="1950">
        <v>49.120000000000005</v>
      </c>
      <c r="J388" s="1948">
        <v>197.6</v>
      </c>
      <c r="K388" s="1948">
        <v>0.9748</v>
      </c>
      <c r="L388" s="1948">
        <v>29.31</v>
      </c>
      <c r="M388" s="1948">
        <v>11750</v>
      </c>
      <c r="N388" s="1948">
        <f t="shared" si="75"/>
        <v>21220</v>
      </c>
      <c r="O388" s="1948">
        <f t="shared" si="76"/>
        <v>0</v>
      </c>
      <c r="P388" s="1948">
        <v>247</v>
      </c>
      <c r="Q388" s="1948">
        <v>47.68</v>
      </c>
      <c r="R388" s="1948">
        <v>197.6</v>
      </c>
      <c r="S388" s="1948">
        <v>0.98409999999999997</v>
      </c>
      <c r="T388" s="1948">
        <v>34.56</v>
      </c>
      <c r="U388" s="1948">
        <v>11072</v>
      </c>
      <c r="V388" s="1948">
        <f t="shared" si="77"/>
        <v>21284</v>
      </c>
      <c r="W388" s="1948">
        <f t="shared" si="78"/>
        <v>0</v>
      </c>
      <c r="X388" s="1948">
        <v>247</v>
      </c>
      <c r="Y388" s="1948">
        <v>50.56</v>
      </c>
      <c r="Z388" s="1948">
        <v>197.6</v>
      </c>
      <c r="AA388" s="1948">
        <v>0.98060000000000003</v>
      </c>
      <c r="AB388" s="1948">
        <v>37.46</v>
      </c>
      <c r="AC388" s="1948">
        <v>13638</v>
      </c>
      <c r="AD388" s="1948">
        <f t="shared" si="79"/>
        <v>21842</v>
      </c>
      <c r="AE388" s="1948">
        <f t="shared" si="80"/>
        <v>0</v>
      </c>
      <c r="AF388" s="1948">
        <v>247</v>
      </c>
      <c r="AG388" s="1948">
        <v>48.16</v>
      </c>
      <c r="AH388" s="1948">
        <v>197.6</v>
      </c>
      <c r="AI388" s="1948">
        <v>0.96540000000000004</v>
      </c>
      <c r="AJ388" s="1948">
        <v>39.22</v>
      </c>
      <c r="AK388" s="1948">
        <v>13600</v>
      </c>
      <c r="AL388" s="1948">
        <f t="shared" si="81"/>
        <v>21499</v>
      </c>
      <c r="AM388" s="1948">
        <f t="shared" si="82"/>
        <v>0</v>
      </c>
      <c r="AN388" s="1948">
        <v>247</v>
      </c>
      <c r="AO388" s="1948">
        <v>42.24</v>
      </c>
      <c r="AP388" s="1948">
        <v>197.6</v>
      </c>
      <c r="AQ388" s="1948">
        <v>0.95720000000000005</v>
      </c>
      <c r="AR388" s="1948">
        <v>42.87</v>
      </c>
      <c r="AS388" s="1948">
        <v>15212</v>
      </c>
      <c r="AT388" s="1948">
        <f t="shared" si="83"/>
        <v>18856</v>
      </c>
      <c r="AU388" s="1948">
        <f t="shared" si="84"/>
        <v>0</v>
      </c>
      <c r="AV388" s="1948">
        <v>247</v>
      </c>
      <c r="AW388" s="1948">
        <v>44.800000000000004</v>
      </c>
      <c r="AX388" s="1948">
        <v>197.6</v>
      </c>
      <c r="AY388" s="1948">
        <v>0.9617</v>
      </c>
      <c r="AZ388" s="1948">
        <v>39.520000000000003</v>
      </c>
      <c r="BA388" s="1948">
        <v>12748</v>
      </c>
      <c r="BB388" s="1948">
        <f t="shared" si="85"/>
        <v>19354</v>
      </c>
      <c r="BC388" s="1948">
        <f t="shared" si="86"/>
        <v>0</v>
      </c>
      <c r="BD388" s="1949">
        <v>247</v>
      </c>
      <c r="BE388" s="1948">
        <v>46.08</v>
      </c>
      <c r="BF388" s="1949">
        <v>197.6</v>
      </c>
      <c r="BG388" s="1949">
        <v>0.93330000000000002</v>
      </c>
      <c r="BH388" s="1949">
        <v>34.729999999999997</v>
      </c>
      <c r="BI388" s="1948">
        <v>9602</v>
      </c>
      <c r="BJ388" s="1948">
        <f t="shared" si="87"/>
        <v>20570</v>
      </c>
      <c r="BK388" s="1948">
        <f t="shared" si="88"/>
        <v>0</v>
      </c>
    </row>
    <row r="389" spans="1:63" ht="15">
      <c r="A389" s="1946">
        <v>122000000020</v>
      </c>
      <c r="B389" s="1947">
        <f t="shared" si="89"/>
        <v>383</v>
      </c>
      <c r="C389" s="1906" t="s">
        <v>3260</v>
      </c>
      <c r="D389" s="1907" t="s">
        <v>524</v>
      </c>
      <c r="E389" s="1906" t="s">
        <v>636</v>
      </c>
      <c r="F389" s="1948" t="s">
        <v>259</v>
      </c>
      <c r="G389" s="1949">
        <v>250</v>
      </c>
      <c r="H389" s="1948">
        <v>250</v>
      </c>
      <c r="I389" s="1950">
        <v>169.28</v>
      </c>
      <c r="J389" s="1948">
        <v>200</v>
      </c>
      <c r="K389" s="1948">
        <v>0.9728</v>
      </c>
      <c r="L389" s="1948">
        <v>60.28</v>
      </c>
      <c r="M389" s="1948">
        <v>73474</v>
      </c>
      <c r="N389" s="1948">
        <f t="shared" si="75"/>
        <v>73129</v>
      </c>
      <c r="O389" s="1948">
        <f t="shared" si="76"/>
        <v>345</v>
      </c>
      <c r="P389" s="1948">
        <v>250</v>
      </c>
      <c r="Q389" s="1948">
        <v>196.48000000000002</v>
      </c>
      <c r="R389" s="1948">
        <v>200</v>
      </c>
      <c r="S389" s="1948">
        <v>0.97299999999999998</v>
      </c>
      <c r="T389" s="1948">
        <v>58.39</v>
      </c>
      <c r="U389" s="1948">
        <v>85354</v>
      </c>
      <c r="V389" s="1948">
        <f t="shared" si="77"/>
        <v>87709</v>
      </c>
      <c r="W389" s="1948">
        <f t="shared" si="78"/>
        <v>0</v>
      </c>
      <c r="X389" s="1948">
        <v>250</v>
      </c>
      <c r="Y389" s="1948">
        <v>220.64</v>
      </c>
      <c r="Z389" s="1948">
        <v>220.64</v>
      </c>
      <c r="AA389" s="1948">
        <v>0.97660000000000002</v>
      </c>
      <c r="AB389" s="1948">
        <v>59.6</v>
      </c>
      <c r="AC389" s="1948">
        <v>94688</v>
      </c>
      <c r="AD389" s="1948">
        <f t="shared" si="79"/>
        <v>95316</v>
      </c>
      <c r="AE389" s="1948">
        <f t="shared" si="80"/>
        <v>0</v>
      </c>
      <c r="AF389" s="1948">
        <v>250</v>
      </c>
      <c r="AG389" s="1948">
        <v>188</v>
      </c>
      <c r="AH389" s="1948">
        <v>200</v>
      </c>
      <c r="AI389" s="1948">
        <v>0.97509999999999997</v>
      </c>
      <c r="AJ389" s="1948">
        <v>63.45</v>
      </c>
      <c r="AK389" s="1948">
        <v>88746</v>
      </c>
      <c r="AL389" s="1948">
        <f t="shared" si="81"/>
        <v>83923</v>
      </c>
      <c r="AM389" s="1948">
        <f t="shared" si="82"/>
        <v>4823</v>
      </c>
      <c r="AN389" s="1948">
        <v>250</v>
      </c>
      <c r="AO389" s="1948">
        <v>174.07999999999998</v>
      </c>
      <c r="AP389" s="1948">
        <v>200</v>
      </c>
      <c r="AQ389" s="1948">
        <v>0.97119999999999995</v>
      </c>
      <c r="AR389" s="1948">
        <v>64.599999999999994</v>
      </c>
      <c r="AS389" s="1948">
        <v>83670</v>
      </c>
      <c r="AT389" s="1948">
        <f t="shared" si="83"/>
        <v>77709</v>
      </c>
      <c r="AU389" s="1948">
        <f t="shared" si="84"/>
        <v>5961</v>
      </c>
      <c r="AV389" s="1948">
        <v>250</v>
      </c>
      <c r="AW389" s="1948">
        <v>163.52000000000001</v>
      </c>
      <c r="AX389" s="1948">
        <v>200</v>
      </c>
      <c r="AY389" s="1948">
        <v>0.9718</v>
      </c>
      <c r="AZ389" s="1948">
        <v>67.88</v>
      </c>
      <c r="BA389" s="1948">
        <v>79914</v>
      </c>
      <c r="BB389" s="1948">
        <f t="shared" si="85"/>
        <v>70641</v>
      </c>
      <c r="BC389" s="1948">
        <f t="shared" si="86"/>
        <v>9273</v>
      </c>
      <c r="BD389" s="1949">
        <v>250</v>
      </c>
      <c r="BE389" s="1948">
        <v>187.84</v>
      </c>
      <c r="BF389" s="1949">
        <v>200</v>
      </c>
      <c r="BG389" s="1949">
        <v>0.96419999999999995</v>
      </c>
      <c r="BH389" s="1949">
        <v>54.61</v>
      </c>
      <c r="BI389" s="1948">
        <v>76318</v>
      </c>
      <c r="BJ389" s="1948">
        <f t="shared" si="87"/>
        <v>83852</v>
      </c>
      <c r="BK389" s="1948">
        <f t="shared" si="88"/>
        <v>0</v>
      </c>
    </row>
    <row r="390" spans="1:63" ht="15">
      <c r="A390" s="1946">
        <v>122000000093</v>
      </c>
      <c r="B390" s="1947">
        <f t="shared" si="89"/>
        <v>384</v>
      </c>
      <c r="C390" s="1906" t="s">
        <v>3254</v>
      </c>
      <c r="D390" s="1907" t="s">
        <v>524</v>
      </c>
      <c r="E390" s="1906" t="s">
        <v>541</v>
      </c>
      <c r="F390" s="1948" t="s">
        <v>259</v>
      </c>
      <c r="G390" s="1949">
        <v>250</v>
      </c>
      <c r="H390" s="1948">
        <v>250</v>
      </c>
      <c r="I390" s="1950">
        <v>275.04000000000002</v>
      </c>
      <c r="J390" s="1948">
        <v>275.04000000000002</v>
      </c>
      <c r="K390" s="1948">
        <v>0.94269999999999998</v>
      </c>
      <c r="L390" s="1948">
        <v>56.1</v>
      </c>
      <c r="M390" s="1948">
        <v>111092</v>
      </c>
      <c r="N390" s="1948">
        <f t="shared" si="75"/>
        <v>118817</v>
      </c>
      <c r="O390" s="1948">
        <f t="shared" si="76"/>
        <v>0</v>
      </c>
      <c r="P390" s="1948">
        <v>250</v>
      </c>
      <c r="Q390" s="1948">
        <v>279.2</v>
      </c>
      <c r="R390" s="1948">
        <v>279.2</v>
      </c>
      <c r="S390" s="1948">
        <v>0.93779999999999997</v>
      </c>
      <c r="T390" s="1948">
        <v>55.96</v>
      </c>
      <c r="U390" s="1948">
        <v>116238</v>
      </c>
      <c r="V390" s="1948">
        <f t="shared" si="77"/>
        <v>124635</v>
      </c>
      <c r="W390" s="1948">
        <f t="shared" si="78"/>
        <v>0</v>
      </c>
      <c r="X390" s="1948">
        <v>250</v>
      </c>
      <c r="Y390" s="1948">
        <v>285.12</v>
      </c>
      <c r="Z390" s="1948">
        <v>285.12</v>
      </c>
      <c r="AA390" s="1948">
        <v>0.93269999999999997</v>
      </c>
      <c r="AB390" s="1948">
        <v>55.95</v>
      </c>
      <c r="AC390" s="1948">
        <v>114860</v>
      </c>
      <c r="AD390" s="1948">
        <f t="shared" si="79"/>
        <v>123172</v>
      </c>
      <c r="AE390" s="1948">
        <f t="shared" si="80"/>
        <v>0</v>
      </c>
      <c r="AF390" s="1948">
        <v>250</v>
      </c>
      <c r="AG390" s="1948">
        <v>280.48</v>
      </c>
      <c r="AH390" s="1948">
        <v>280.48</v>
      </c>
      <c r="AI390" s="1948">
        <v>0.94310000000000005</v>
      </c>
      <c r="AJ390" s="1948">
        <v>55.11</v>
      </c>
      <c r="AK390" s="1948">
        <v>114998</v>
      </c>
      <c r="AL390" s="1948">
        <f t="shared" si="81"/>
        <v>125206</v>
      </c>
      <c r="AM390" s="1948">
        <f t="shared" si="82"/>
        <v>0</v>
      </c>
      <c r="AN390" s="1948">
        <v>250</v>
      </c>
      <c r="AO390" s="1948">
        <v>278.39999999999998</v>
      </c>
      <c r="AP390" s="1948">
        <v>278.39999999999998</v>
      </c>
      <c r="AQ390" s="1948">
        <v>0.92669999999999997</v>
      </c>
      <c r="AR390" s="1948">
        <v>48.66</v>
      </c>
      <c r="AS390" s="1948">
        <v>100790</v>
      </c>
      <c r="AT390" s="1948">
        <f t="shared" si="83"/>
        <v>124278</v>
      </c>
      <c r="AU390" s="1948">
        <f t="shared" si="84"/>
        <v>0</v>
      </c>
      <c r="AV390" s="1948">
        <v>250</v>
      </c>
      <c r="AW390" s="1948">
        <v>227.68</v>
      </c>
      <c r="AX390" s="1948">
        <v>227.68</v>
      </c>
      <c r="AY390" s="1948">
        <v>0.92120000000000002</v>
      </c>
      <c r="AZ390" s="1948">
        <v>55.85</v>
      </c>
      <c r="BA390" s="1948">
        <v>91550</v>
      </c>
      <c r="BB390" s="1948">
        <f t="shared" si="85"/>
        <v>98358</v>
      </c>
      <c r="BC390" s="1948">
        <f t="shared" si="86"/>
        <v>0</v>
      </c>
      <c r="BD390" s="1949">
        <v>250</v>
      </c>
      <c r="BE390" s="1948">
        <v>204.64000000000001</v>
      </c>
      <c r="BF390" s="1949">
        <v>204.64</v>
      </c>
      <c r="BG390" s="1949">
        <v>0.91459999999999997</v>
      </c>
      <c r="BH390" s="1949">
        <v>65.489999999999995</v>
      </c>
      <c r="BI390" s="1948">
        <v>99716</v>
      </c>
      <c r="BJ390" s="1948">
        <f t="shared" si="87"/>
        <v>91351</v>
      </c>
      <c r="BK390" s="1948">
        <f t="shared" si="88"/>
        <v>8365</v>
      </c>
    </row>
    <row r="391" spans="1:63" ht="15">
      <c r="A391" s="1946">
        <v>123000000140</v>
      </c>
      <c r="B391" s="1947">
        <f t="shared" si="89"/>
        <v>385</v>
      </c>
      <c r="C391" s="1906" t="s">
        <v>2908</v>
      </c>
      <c r="D391" s="1907" t="s">
        <v>524</v>
      </c>
      <c r="E391" s="1906" t="s">
        <v>541</v>
      </c>
      <c r="F391" s="1948" t="s">
        <v>259</v>
      </c>
      <c r="G391" s="1949">
        <v>250</v>
      </c>
      <c r="H391" s="1948">
        <v>110</v>
      </c>
      <c r="I391" s="1950">
        <v>145.08000000000001</v>
      </c>
      <c r="J391" s="1948">
        <v>145.08000000000001</v>
      </c>
      <c r="K391" s="1948">
        <v>0.89070000000000005</v>
      </c>
      <c r="L391" s="1948">
        <v>30.71</v>
      </c>
      <c r="M391" s="1948">
        <v>31014</v>
      </c>
      <c r="N391" s="1948">
        <f t="shared" ref="N391:N454" si="90">+ROUND(24*30*0.6*I391,0)</f>
        <v>62675</v>
      </c>
      <c r="O391" s="1948">
        <f t="shared" ref="O391:O454" si="91">+MAX((M391-N391),0)</f>
        <v>0</v>
      </c>
      <c r="P391" s="1948">
        <v>110</v>
      </c>
      <c r="Q391" s="1948">
        <v>148.68</v>
      </c>
      <c r="R391" s="1948">
        <v>148.68</v>
      </c>
      <c r="S391" s="1948">
        <v>0.86439999999999995</v>
      </c>
      <c r="T391" s="1948">
        <v>31.54</v>
      </c>
      <c r="U391" s="1948">
        <v>36014</v>
      </c>
      <c r="V391" s="1948">
        <f t="shared" ref="V391:V454" si="92">+ROUND(24*31*0.6*Q391,0)</f>
        <v>66371</v>
      </c>
      <c r="W391" s="1948">
        <f t="shared" ref="W391:W454" si="93">+MAX((U391-V391),0)</f>
        <v>0</v>
      </c>
      <c r="X391" s="1948">
        <v>110</v>
      </c>
      <c r="Y391" s="1948">
        <v>142.19999999999999</v>
      </c>
      <c r="Z391" s="1948">
        <v>142.19999999999999</v>
      </c>
      <c r="AA391" s="1948">
        <v>0.96650000000000003</v>
      </c>
      <c r="AB391" s="1948">
        <v>31.83</v>
      </c>
      <c r="AC391" s="1948">
        <v>32589</v>
      </c>
      <c r="AD391" s="1948">
        <f t="shared" ref="AD391:AD454" si="94">+ROUND(24*30*0.6*Y391,0)</f>
        <v>61430</v>
      </c>
      <c r="AE391" s="1948">
        <f t="shared" ref="AE391:AE454" si="95">+MAX((AC391-AD391),0)</f>
        <v>0</v>
      </c>
      <c r="AF391" s="1948">
        <v>110</v>
      </c>
      <c r="AG391" s="1948">
        <v>122.4</v>
      </c>
      <c r="AH391" s="1948">
        <v>122.4</v>
      </c>
      <c r="AI391" s="1948">
        <v>0.9849</v>
      </c>
      <c r="AJ391" s="1948">
        <v>30.91</v>
      </c>
      <c r="AK391" s="1948">
        <v>28152</v>
      </c>
      <c r="AL391" s="1948">
        <f t="shared" ref="AL391:AL454" si="96">+ROUND(24*31*0.6*AG391,0)</f>
        <v>54639</v>
      </c>
      <c r="AM391" s="1948">
        <f t="shared" ref="AM391:AM454" si="97">+MAX((AK391-AL391),0)</f>
        <v>0</v>
      </c>
      <c r="AN391" s="1948">
        <v>110</v>
      </c>
      <c r="AO391" s="1948">
        <v>132.47999999999999</v>
      </c>
      <c r="AP391" s="1948">
        <v>132.47999999999999</v>
      </c>
      <c r="AQ391" s="1948">
        <v>0.98819999999999997</v>
      </c>
      <c r="AR391" s="1948">
        <v>20.92</v>
      </c>
      <c r="AS391" s="1948">
        <v>20624</v>
      </c>
      <c r="AT391" s="1948">
        <f t="shared" ref="AT391:AT454" si="98">+ROUND(24*31*0.6*AO391,0)</f>
        <v>59139</v>
      </c>
      <c r="AU391" s="1948">
        <f t="shared" ref="AU391:AU454" si="99">+MAX((AS391-AT391),0)</f>
        <v>0</v>
      </c>
      <c r="AV391" s="1948">
        <v>250</v>
      </c>
      <c r="AW391" s="1948">
        <v>111.96</v>
      </c>
      <c r="AX391" s="1948">
        <v>111.96</v>
      </c>
      <c r="AY391" s="1948">
        <v>0.99719999999999998</v>
      </c>
      <c r="AZ391" s="1948">
        <v>20.13</v>
      </c>
      <c r="BA391" s="1948">
        <v>16231</v>
      </c>
      <c r="BB391" s="1948">
        <f t="shared" ref="BB391:BB454" si="100">+ROUND(24*30*0.6*AW391,0)</f>
        <v>48367</v>
      </c>
      <c r="BC391" s="1948">
        <f t="shared" ref="BC391:BC454" si="101">+MAX((BA391-BB391),0)</f>
        <v>0</v>
      </c>
      <c r="BD391" s="1949">
        <v>250</v>
      </c>
      <c r="BE391" s="1948">
        <v>108.36</v>
      </c>
      <c r="BF391" s="1949">
        <v>200</v>
      </c>
      <c r="BG391" s="1949">
        <v>0.99239999999999995</v>
      </c>
      <c r="BH391" s="1949">
        <v>21.45</v>
      </c>
      <c r="BI391" s="1948">
        <v>17289</v>
      </c>
      <c r="BJ391" s="1948">
        <f t="shared" ref="BJ391:BJ454" si="102">+ROUND(24*31*0.6*BE391,0)</f>
        <v>48372</v>
      </c>
      <c r="BK391" s="1948">
        <f t="shared" ref="BK391:BK454" si="103">+MAX((BI391-BJ391),0)</f>
        <v>0</v>
      </c>
    </row>
    <row r="392" spans="1:63" ht="15">
      <c r="A392" s="1946">
        <v>124000000011</v>
      </c>
      <c r="B392" s="1947">
        <f t="shared" si="89"/>
        <v>386</v>
      </c>
      <c r="C392" s="1906" t="s">
        <v>3261</v>
      </c>
      <c r="D392" s="1907" t="s">
        <v>524</v>
      </c>
      <c r="E392" s="1906" t="s">
        <v>636</v>
      </c>
      <c r="F392" s="1948" t="s">
        <v>259</v>
      </c>
      <c r="G392" s="1949">
        <v>250</v>
      </c>
      <c r="H392" s="1948">
        <v>250</v>
      </c>
      <c r="I392" s="1950">
        <v>21.36</v>
      </c>
      <c r="J392" s="1948">
        <v>200</v>
      </c>
      <c r="K392" s="1948">
        <v>1</v>
      </c>
      <c r="L392" s="1948">
        <v>5.15</v>
      </c>
      <c r="M392" s="1948">
        <v>792</v>
      </c>
      <c r="N392" s="1948">
        <f t="shared" si="90"/>
        <v>9228</v>
      </c>
      <c r="O392" s="1948">
        <f t="shared" si="91"/>
        <v>0</v>
      </c>
      <c r="P392" s="1948">
        <v>250</v>
      </c>
      <c r="Q392" s="1948">
        <v>29.04</v>
      </c>
      <c r="R392" s="1948">
        <v>200</v>
      </c>
      <c r="S392" s="1948">
        <v>1</v>
      </c>
      <c r="T392" s="1948">
        <v>21.98</v>
      </c>
      <c r="U392" s="1948">
        <v>4749</v>
      </c>
      <c r="V392" s="1948">
        <f t="shared" si="92"/>
        <v>12963</v>
      </c>
      <c r="W392" s="1948">
        <f t="shared" si="93"/>
        <v>0</v>
      </c>
      <c r="X392" s="1948">
        <v>250</v>
      </c>
      <c r="Y392" s="1948">
        <v>32.160000000000004</v>
      </c>
      <c r="Z392" s="1948">
        <v>200</v>
      </c>
      <c r="AA392" s="1948">
        <v>1</v>
      </c>
      <c r="AB392" s="1948">
        <v>12.37</v>
      </c>
      <c r="AC392" s="1948">
        <v>2865</v>
      </c>
      <c r="AD392" s="1948">
        <f t="shared" si="94"/>
        <v>13893</v>
      </c>
      <c r="AE392" s="1948">
        <f t="shared" si="95"/>
        <v>0</v>
      </c>
      <c r="AF392" s="1948">
        <v>250</v>
      </c>
      <c r="AG392" s="1948">
        <v>29.52</v>
      </c>
      <c r="AH392" s="1948">
        <v>200</v>
      </c>
      <c r="AI392" s="1948">
        <v>1</v>
      </c>
      <c r="AJ392" s="1948">
        <v>29.19</v>
      </c>
      <c r="AK392" s="1948">
        <v>6411</v>
      </c>
      <c r="AL392" s="1948">
        <f t="shared" si="96"/>
        <v>13178</v>
      </c>
      <c r="AM392" s="1948">
        <f t="shared" si="97"/>
        <v>0</v>
      </c>
      <c r="AN392" s="1948">
        <v>250</v>
      </c>
      <c r="AO392" s="1948">
        <v>32.4</v>
      </c>
      <c r="AP392" s="1948">
        <v>200</v>
      </c>
      <c r="AQ392" s="1948">
        <v>0.99919999999999998</v>
      </c>
      <c r="AR392" s="1948">
        <v>16.84</v>
      </c>
      <c r="AS392" s="1948">
        <v>4059</v>
      </c>
      <c r="AT392" s="1948">
        <f t="shared" si="98"/>
        <v>14463</v>
      </c>
      <c r="AU392" s="1948">
        <f t="shared" si="99"/>
        <v>0</v>
      </c>
      <c r="AV392" s="1948">
        <v>250</v>
      </c>
      <c r="AW392" s="1948">
        <v>35.28</v>
      </c>
      <c r="AX392" s="1948">
        <v>200</v>
      </c>
      <c r="AY392" s="1948">
        <v>1</v>
      </c>
      <c r="AZ392" s="1948">
        <v>15.09</v>
      </c>
      <c r="BA392" s="1948">
        <v>3834</v>
      </c>
      <c r="BB392" s="1948">
        <f t="shared" si="100"/>
        <v>15241</v>
      </c>
      <c r="BC392" s="1948">
        <f t="shared" si="101"/>
        <v>0</v>
      </c>
      <c r="BD392" s="1949">
        <v>250</v>
      </c>
      <c r="BE392" s="1948">
        <v>91.2</v>
      </c>
      <c r="BF392" s="1949">
        <v>200</v>
      </c>
      <c r="BG392" s="1949">
        <v>0.99409999999999998</v>
      </c>
      <c r="BH392" s="1949">
        <v>9</v>
      </c>
      <c r="BI392" s="1948">
        <v>6108</v>
      </c>
      <c r="BJ392" s="1948">
        <f t="shared" si="102"/>
        <v>40712</v>
      </c>
      <c r="BK392" s="1948">
        <f t="shared" si="103"/>
        <v>0</v>
      </c>
    </row>
    <row r="393" spans="1:63" ht="15">
      <c r="A393" s="1946">
        <v>124000000018</v>
      </c>
      <c r="B393" s="1947">
        <f t="shared" ref="B393:B456" si="104">+B392+1</f>
        <v>387</v>
      </c>
      <c r="C393" s="1906" t="s">
        <v>3262</v>
      </c>
      <c r="D393" s="1907" t="s">
        <v>524</v>
      </c>
      <c r="E393" s="1906" t="s">
        <v>541</v>
      </c>
      <c r="F393" s="1948" t="s">
        <v>259</v>
      </c>
      <c r="G393" s="1949">
        <v>250</v>
      </c>
      <c r="H393" s="1948">
        <v>250</v>
      </c>
      <c r="I393" s="1950">
        <v>208</v>
      </c>
      <c r="J393" s="1948">
        <v>208</v>
      </c>
      <c r="K393" s="1948">
        <v>0.91049999999999998</v>
      </c>
      <c r="L393" s="1948">
        <v>37.26</v>
      </c>
      <c r="M393" s="1948">
        <v>55802</v>
      </c>
      <c r="N393" s="1948">
        <f t="shared" si="90"/>
        <v>89856</v>
      </c>
      <c r="O393" s="1948">
        <f t="shared" si="91"/>
        <v>0</v>
      </c>
      <c r="P393" s="1948">
        <v>250</v>
      </c>
      <c r="Q393" s="1948">
        <v>215</v>
      </c>
      <c r="R393" s="1948">
        <v>215</v>
      </c>
      <c r="S393" s="1948">
        <v>0.90059999999999996</v>
      </c>
      <c r="T393" s="1948">
        <v>35.72</v>
      </c>
      <c r="U393" s="1948">
        <v>57140</v>
      </c>
      <c r="V393" s="1948">
        <f t="shared" si="92"/>
        <v>95976</v>
      </c>
      <c r="W393" s="1948">
        <f t="shared" si="93"/>
        <v>0</v>
      </c>
      <c r="X393" s="1948">
        <v>250</v>
      </c>
      <c r="Y393" s="1948">
        <v>219.44</v>
      </c>
      <c r="Z393" s="1948">
        <v>219.44</v>
      </c>
      <c r="AA393" s="1948">
        <v>0.91800000000000004</v>
      </c>
      <c r="AB393" s="1948">
        <v>35.15</v>
      </c>
      <c r="AC393" s="1948">
        <v>55531</v>
      </c>
      <c r="AD393" s="1948">
        <f t="shared" si="94"/>
        <v>94798</v>
      </c>
      <c r="AE393" s="1948">
        <f t="shared" si="95"/>
        <v>0</v>
      </c>
      <c r="AF393" s="1948">
        <v>250</v>
      </c>
      <c r="AG393" s="1948">
        <v>229.08199999999999</v>
      </c>
      <c r="AH393" s="1948">
        <v>229.08</v>
      </c>
      <c r="AI393" s="1948">
        <v>0.91639999999999999</v>
      </c>
      <c r="AJ393" s="1948">
        <v>32.840000000000003</v>
      </c>
      <c r="AK393" s="1948">
        <v>55967</v>
      </c>
      <c r="AL393" s="1948">
        <f t="shared" si="96"/>
        <v>102262</v>
      </c>
      <c r="AM393" s="1948">
        <f t="shared" si="97"/>
        <v>0</v>
      </c>
      <c r="AN393" s="1948">
        <v>250</v>
      </c>
      <c r="AO393" s="1948">
        <v>196.93200000000002</v>
      </c>
      <c r="AP393" s="1948">
        <v>200</v>
      </c>
      <c r="AQ393" s="1948">
        <v>0.96850000000000003</v>
      </c>
      <c r="AR393" s="1948">
        <v>38.479999999999997</v>
      </c>
      <c r="AS393" s="1948">
        <v>56382</v>
      </c>
      <c r="AT393" s="1948">
        <f t="shared" si="98"/>
        <v>87910</v>
      </c>
      <c r="AU393" s="1948">
        <f t="shared" si="99"/>
        <v>0</v>
      </c>
      <c r="AV393" s="1948">
        <v>250</v>
      </c>
      <c r="AW393" s="1948">
        <v>192.12</v>
      </c>
      <c r="AX393" s="1948">
        <v>200</v>
      </c>
      <c r="AY393" s="1948">
        <v>0.97260000000000002</v>
      </c>
      <c r="AZ393" s="1948">
        <v>40.06</v>
      </c>
      <c r="BA393" s="1948">
        <v>55416</v>
      </c>
      <c r="BB393" s="1948">
        <f t="shared" si="100"/>
        <v>82996</v>
      </c>
      <c r="BC393" s="1948">
        <f t="shared" si="101"/>
        <v>0</v>
      </c>
      <c r="BD393" s="1949">
        <v>250</v>
      </c>
      <c r="BE393" s="1948">
        <v>185.935</v>
      </c>
      <c r="BF393" s="1949">
        <v>200</v>
      </c>
      <c r="BG393" s="1949">
        <v>0.96589999999999998</v>
      </c>
      <c r="BH393" s="1949">
        <v>38.18</v>
      </c>
      <c r="BI393" s="1948">
        <v>52817</v>
      </c>
      <c r="BJ393" s="1948">
        <f t="shared" si="102"/>
        <v>83001</v>
      </c>
      <c r="BK393" s="1948">
        <f t="shared" si="103"/>
        <v>0</v>
      </c>
    </row>
    <row r="394" spans="1:63" ht="15">
      <c r="A394" s="1946">
        <v>124000000048</v>
      </c>
      <c r="B394" s="1947">
        <f t="shared" si="104"/>
        <v>388</v>
      </c>
      <c r="C394" s="1906" t="s">
        <v>3263</v>
      </c>
      <c r="D394" s="1907" t="s">
        <v>524</v>
      </c>
      <c r="E394" s="1906" t="s">
        <v>541</v>
      </c>
      <c r="F394" s="1948" t="s">
        <v>259</v>
      </c>
      <c r="G394" s="1949">
        <v>250</v>
      </c>
      <c r="H394" s="1948">
        <v>250</v>
      </c>
      <c r="I394" s="1950">
        <v>245.99999999999997</v>
      </c>
      <c r="J394" s="1948">
        <v>246</v>
      </c>
      <c r="K394" s="1948">
        <v>0.97219999999999995</v>
      </c>
      <c r="L394" s="1948">
        <v>30.17</v>
      </c>
      <c r="M394" s="1948">
        <v>53441</v>
      </c>
      <c r="N394" s="1948">
        <f t="shared" si="90"/>
        <v>106272</v>
      </c>
      <c r="O394" s="1948">
        <f t="shared" si="91"/>
        <v>0</v>
      </c>
      <c r="P394" s="1948">
        <v>250</v>
      </c>
      <c r="Q394" s="1948">
        <v>186</v>
      </c>
      <c r="R394" s="1948">
        <v>200</v>
      </c>
      <c r="S394" s="1948">
        <v>0.998</v>
      </c>
      <c r="T394" s="1948">
        <v>33.78</v>
      </c>
      <c r="U394" s="1948">
        <v>46747</v>
      </c>
      <c r="V394" s="1948">
        <f t="shared" si="92"/>
        <v>83030</v>
      </c>
      <c r="W394" s="1948">
        <f t="shared" si="93"/>
        <v>0</v>
      </c>
      <c r="X394" s="1948">
        <v>250</v>
      </c>
      <c r="Y394" s="1948">
        <v>188.74799999999999</v>
      </c>
      <c r="Z394" s="1948">
        <v>200</v>
      </c>
      <c r="AA394" s="1948">
        <v>0.998</v>
      </c>
      <c r="AB394" s="1948">
        <v>44.44</v>
      </c>
      <c r="AC394" s="1948">
        <v>60400</v>
      </c>
      <c r="AD394" s="1948">
        <f t="shared" si="94"/>
        <v>81539</v>
      </c>
      <c r="AE394" s="1948">
        <f t="shared" si="95"/>
        <v>0</v>
      </c>
      <c r="AF394" s="1948">
        <v>250</v>
      </c>
      <c r="AG394" s="1948">
        <v>181.78319999999999</v>
      </c>
      <c r="AH394" s="1948">
        <v>200</v>
      </c>
      <c r="AI394" s="1948">
        <v>0.99750000000000005</v>
      </c>
      <c r="AJ394" s="1948">
        <v>38.020000000000003</v>
      </c>
      <c r="AK394" s="1948">
        <v>51419</v>
      </c>
      <c r="AL394" s="1948">
        <f t="shared" si="96"/>
        <v>81148</v>
      </c>
      <c r="AM394" s="1948">
        <f t="shared" si="97"/>
        <v>0</v>
      </c>
      <c r="AN394" s="1948">
        <v>250</v>
      </c>
      <c r="AO394" s="1948">
        <v>186.3252</v>
      </c>
      <c r="AP394" s="1948">
        <v>200</v>
      </c>
      <c r="AQ394" s="1948">
        <v>0.99690000000000001</v>
      </c>
      <c r="AR394" s="1948">
        <v>36.96</v>
      </c>
      <c r="AS394" s="1948">
        <v>51240</v>
      </c>
      <c r="AT394" s="1948">
        <f t="shared" si="98"/>
        <v>83176</v>
      </c>
      <c r="AU394" s="1948">
        <f t="shared" si="99"/>
        <v>0</v>
      </c>
      <c r="AV394" s="1948">
        <v>250</v>
      </c>
      <c r="AW394" s="1948">
        <v>20.006999999999998</v>
      </c>
      <c r="AX394" s="1948">
        <v>200</v>
      </c>
      <c r="AY394" s="1948">
        <v>0.99839999999999995</v>
      </c>
      <c r="AZ394" s="1948">
        <v>13.06</v>
      </c>
      <c r="BA394" s="1948">
        <v>1882</v>
      </c>
      <c r="BB394" s="1948">
        <f t="shared" si="100"/>
        <v>8643</v>
      </c>
      <c r="BC394" s="1948">
        <f t="shared" si="101"/>
        <v>0</v>
      </c>
      <c r="BD394" s="1949">
        <v>250</v>
      </c>
      <c r="BE394" s="1948">
        <v>6.5009999999999994</v>
      </c>
      <c r="BF394" s="1949">
        <v>200</v>
      </c>
      <c r="BG394" s="1949">
        <v>0.99850000000000005</v>
      </c>
      <c r="BH394" s="1949">
        <v>28.43</v>
      </c>
      <c r="BI394" s="1948">
        <v>1375</v>
      </c>
      <c r="BJ394" s="1948">
        <f t="shared" si="102"/>
        <v>2902</v>
      </c>
      <c r="BK394" s="1948">
        <f t="shared" si="103"/>
        <v>0</v>
      </c>
    </row>
    <row r="395" spans="1:63" ht="15">
      <c r="A395" s="1946">
        <v>121000000057</v>
      </c>
      <c r="B395" s="1947">
        <f t="shared" si="104"/>
        <v>389</v>
      </c>
      <c r="C395" s="1906" t="s">
        <v>3257</v>
      </c>
      <c r="D395" s="1907" t="s">
        <v>524</v>
      </c>
      <c r="E395" s="1906" t="s">
        <v>2966</v>
      </c>
      <c r="F395" s="1948" t="s">
        <v>259</v>
      </c>
      <c r="G395" s="1949">
        <v>250</v>
      </c>
      <c r="H395" s="1948">
        <v>250</v>
      </c>
      <c r="I395" s="1950">
        <v>5.2</v>
      </c>
      <c r="J395" s="1948">
        <v>250</v>
      </c>
      <c r="K395" s="1948">
        <v>0.62239999999999995</v>
      </c>
      <c r="L395" s="1948">
        <v>0</v>
      </c>
      <c r="M395" s="1948">
        <v>490</v>
      </c>
      <c r="N395" s="1948">
        <f t="shared" si="90"/>
        <v>2246</v>
      </c>
      <c r="O395" s="1948">
        <f t="shared" si="91"/>
        <v>0</v>
      </c>
      <c r="P395" s="1948">
        <v>250</v>
      </c>
      <c r="Q395" s="1948">
        <v>8.2000000000000011</v>
      </c>
      <c r="R395" s="1948">
        <v>250</v>
      </c>
      <c r="S395" s="1948">
        <v>0.75939999999999996</v>
      </c>
      <c r="T395" s="1948">
        <v>0</v>
      </c>
      <c r="U395" s="1948">
        <v>237</v>
      </c>
      <c r="V395" s="1948">
        <f t="shared" si="92"/>
        <v>3660</v>
      </c>
      <c r="W395" s="1948">
        <f t="shared" si="93"/>
        <v>0</v>
      </c>
      <c r="X395" s="1948">
        <v>250</v>
      </c>
      <c r="Y395" s="1948">
        <v>4.5999999999999996</v>
      </c>
      <c r="Z395" s="1948">
        <v>250</v>
      </c>
      <c r="AA395" s="1948">
        <v>0.49120000000000003</v>
      </c>
      <c r="AB395" s="1948">
        <v>0</v>
      </c>
      <c r="AC395" s="1948">
        <v>513</v>
      </c>
      <c r="AD395" s="1948">
        <f t="shared" si="94"/>
        <v>1987</v>
      </c>
      <c r="AE395" s="1948">
        <f t="shared" si="95"/>
        <v>0</v>
      </c>
      <c r="AF395" s="1948">
        <v>250</v>
      </c>
      <c r="AG395" s="1948">
        <v>5.6</v>
      </c>
      <c r="AH395" s="1948">
        <v>250</v>
      </c>
      <c r="AI395" s="1948">
        <v>0.39710000000000001</v>
      </c>
      <c r="AJ395" s="1948">
        <v>0</v>
      </c>
      <c r="AK395" s="1948">
        <v>1045</v>
      </c>
      <c r="AL395" s="1948">
        <f t="shared" si="96"/>
        <v>2500</v>
      </c>
      <c r="AM395" s="1948">
        <f t="shared" si="97"/>
        <v>0</v>
      </c>
      <c r="AN395" s="1948">
        <v>250</v>
      </c>
      <c r="AO395" s="1948">
        <v>5</v>
      </c>
      <c r="AP395" s="1948">
        <v>250</v>
      </c>
      <c r="AQ395" s="1948">
        <v>0.3735</v>
      </c>
      <c r="AR395" s="1948">
        <v>0</v>
      </c>
      <c r="AS395" s="1948">
        <v>1218</v>
      </c>
      <c r="AT395" s="1948">
        <f t="shared" si="98"/>
        <v>2232</v>
      </c>
      <c r="AU395" s="1948">
        <f t="shared" si="99"/>
        <v>0</v>
      </c>
      <c r="AV395" s="1948">
        <v>250</v>
      </c>
      <c r="AW395" s="1948">
        <v>3.4</v>
      </c>
      <c r="AX395" s="1948">
        <v>250</v>
      </c>
      <c r="AY395" s="1948">
        <v>0.3846</v>
      </c>
      <c r="AZ395" s="1948">
        <v>0</v>
      </c>
      <c r="BA395" s="1948">
        <v>1032</v>
      </c>
      <c r="BB395" s="1948">
        <f t="shared" si="100"/>
        <v>1469</v>
      </c>
      <c r="BC395" s="1948">
        <f t="shared" si="101"/>
        <v>0</v>
      </c>
      <c r="BD395" s="1949">
        <v>250</v>
      </c>
      <c r="BE395" s="1948">
        <v>11.799999999999999</v>
      </c>
      <c r="BF395" s="1949">
        <v>250</v>
      </c>
      <c r="BG395" s="1949">
        <v>0.33829999999999999</v>
      </c>
      <c r="BH395" s="1949">
        <v>0</v>
      </c>
      <c r="BI395" s="1948">
        <v>1138</v>
      </c>
      <c r="BJ395" s="1948">
        <f t="shared" si="102"/>
        <v>5268</v>
      </c>
      <c r="BK395" s="1948">
        <f t="shared" si="103"/>
        <v>0</v>
      </c>
    </row>
    <row r="396" spans="1:63" ht="15">
      <c r="A396" s="1946">
        <v>121000000064</v>
      </c>
      <c r="B396" s="1947">
        <f t="shared" si="104"/>
        <v>390</v>
      </c>
      <c r="C396" s="1906" t="s">
        <v>3258</v>
      </c>
      <c r="D396" s="1907" t="s">
        <v>524</v>
      </c>
      <c r="E396" s="1906" t="s">
        <v>541</v>
      </c>
      <c r="F396" s="1948" t="s">
        <v>259</v>
      </c>
      <c r="G396" s="1949">
        <v>250</v>
      </c>
      <c r="H396" s="1948">
        <v>250</v>
      </c>
      <c r="I396" s="1950">
        <v>187.44</v>
      </c>
      <c r="J396" s="1948">
        <v>200</v>
      </c>
      <c r="K396" s="1948">
        <v>0.97060000000000002</v>
      </c>
      <c r="L396" s="1948">
        <v>21.42</v>
      </c>
      <c r="M396" s="1948">
        <v>28902</v>
      </c>
      <c r="N396" s="1948">
        <f t="shared" si="90"/>
        <v>80974</v>
      </c>
      <c r="O396" s="1948">
        <f t="shared" si="91"/>
        <v>0</v>
      </c>
      <c r="P396" s="1948">
        <v>250</v>
      </c>
      <c r="Q396" s="1948">
        <v>214.79999999999998</v>
      </c>
      <c r="R396" s="1948">
        <v>214.8</v>
      </c>
      <c r="S396" s="1948">
        <v>0.95550000000000002</v>
      </c>
      <c r="T396" s="1948">
        <v>54.8</v>
      </c>
      <c r="U396" s="1948">
        <v>87579</v>
      </c>
      <c r="V396" s="1948">
        <f t="shared" si="92"/>
        <v>95887</v>
      </c>
      <c r="W396" s="1948">
        <f t="shared" si="93"/>
        <v>0</v>
      </c>
      <c r="X396" s="1948">
        <v>250</v>
      </c>
      <c r="Y396" s="1948">
        <v>218.88</v>
      </c>
      <c r="Z396" s="1948">
        <v>218.88</v>
      </c>
      <c r="AA396" s="1948">
        <v>0.96660000000000001</v>
      </c>
      <c r="AB396" s="1948">
        <v>59</v>
      </c>
      <c r="AC396" s="1948">
        <v>92982</v>
      </c>
      <c r="AD396" s="1948">
        <f t="shared" si="94"/>
        <v>94556</v>
      </c>
      <c r="AE396" s="1948">
        <f t="shared" si="95"/>
        <v>0</v>
      </c>
      <c r="AF396" s="1948">
        <v>250</v>
      </c>
      <c r="AG396" s="1948">
        <v>206.88</v>
      </c>
      <c r="AH396" s="1948">
        <v>206.88</v>
      </c>
      <c r="AI396" s="1948">
        <v>0.97489999999999999</v>
      </c>
      <c r="AJ396" s="1948">
        <v>56.42</v>
      </c>
      <c r="AK396" s="1948">
        <v>86838</v>
      </c>
      <c r="AL396" s="1948">
        <f t="shared" si="96"/>
        <v>92351</v>
      </c>
      <c r="AM396" s="1948">
        <f t="shared" si="97"/>
        <v>0</v>
      </c>
      <c r="AN396" s="1948">
        <v>250</v>
      </c>
      <c r="AO396" s="1948">
        <v>201.36</v>
      </c>
      <c r="AP396" s="1948">
        <v>201.36</v>
      </c>
      <c r="AQ396" s="1948">
        <v>0.97640000000000005</v>
      </c>
      <c r="AR396" s="1948">
        <v>55.17</v>
      </c>
      <c r="AS396" s="1948">
        <v>82656</v>
      </c>
      <c r="AT396" s="1948">
        <f t="shared" si="98"/>
        <v>89887</v>
      </c>
      <c r="AU396" s="1948">
        <f t="shared" si="99"/>
        <v>0</v>
      </c>
      <c r="AV396" s="1948">
        <v>250</v>
      </c>
      <c r="AW396" s="1948">
        <v>216.24</v>
      </c>
      <c r="AX396" s="1948">
        <v>216.24</v>
      </c>
      <c r="AY396" s="1948">
        <v>0.9738</v>
      </c>
      <c r="AZ396" s="1948">
        <v>60.35</v>
      </c>
      <c r="BA396" s="1948">
        <v>93963</v>
      </c>
      <c r="BB396" s="1948">
        <f t="shared" si="100"/>
        <v>93416</v>
      </c>
      <c r="BC396" s="1948">
        <f t="shared" si="101"/>
        <v>547</v>
      </c>
      <c r="BD396" s="1949">
        <v>250</v>
      </c>
      <c r="BE396" s="1948">
        <v>201.60000000000002</v>
      </c>
      <c r="BF396" s="1949">
        <v>201.6</v>
      </c>
      <c r="BG396" s="1949">
        <v>0.97670000000000001</v>
      </c>
      <c r="BH396" s="1949">
        <v>63.13</v>
      </c>
      <c r="BI396" s="1948">
        <v>94692</v>
      </c>
      <c r="BJ396" s="1948">
        <f t="shared" si="102"/>
        <v>89994</v>
      </c>
      <c r="BK396" s="1948">
        <f t="shared" si="103"/>
        <v>4698</v>
      </c>
    </row>
    <row r="397" spans="1:63" ht="15">
      <c r="A397" s="1946">
        <v>121000000077</v>
      </c>
      <c r="B397" s="1947">
        <f t="shared" si="104"/>
        <v>391</v>
      </c>
      <c r="C397" s="1906" t="s">
        <v>3259</v>
      </c>
      <c r="D397" s="1907" t="s">
        <v>524</v>
      </c>
      <c r="E397" s="1906" t="s">
        <v>2966</v>
      </c>
      <c r="F397" s="1948" t="s">
        <v>259</v>
      </c>
      <c r="G397" s="1949">
        <v>250</v>
      </c>
      <c r="H397" s="1948">
        <v>250</v>
      </c>
      <c r="I397" s="1950">
        <v>127.2</v>
      </c>
      <c r="J397" s="1948">
        <v>250</v>
      </c>
      <c r="K397" s="1948">
        <v>0.81989999999999996</v>
      </c>
      <c r="L397" s="1948">
        <v>0</v>
      </c>
      <c r="M397" s="1948">
        <v>25484</v>
      </c>
      <c r="N397" s="1948">
        <f t="shared" si="90"/>
        <v>54950</v>
      </c>
      <c r="O397" s="1948">
        <f t="shared" si="91"/>
        <v>0</v>
      </c>
      <c r="P397" s="1948">
        <v>250</v>
      </c>
      <c r="Q397" s="1948">
        <v>87.76</v>
      </c>
      <c r="R397" s="1948">
        <v>250</v>
      </c>
      <c r="S397" s="1948">
        <v>0.84140000000000004</v>
      </c>
      <c r="T397" s="1948">
        <v>0</v>
      </c>
      <c r="U397" s="1948">
        <v>11217</v>
      </c>
      <c r="V397" s="1948">
        <f t="shared" si="92"/>
        <v>39176</v>
      </c>
      <c r="W397" s="1948">
        <f t="shared" si="93"/>
        <v>0</v>
      </c>
      <c r="X397" s="1948">
        <v>250</v>
      </c>
      <c r="Y397" s="1948">
        <v>25.52</v>
      </c>
      <c r="Z397" s="1948">
        <v>250</v>
      </c>
      <c r="AA397" s="1948">
        <v>0.80459999999999998</v>
      </c>
      <c r="AB397" s="1948">
        <v>0</v>
      </c>
      <c r="AC397" s="1948">
        <v>2738</v>
      </c>
      <c r="AD397" s="1948">
        <f t="shared" si="94"/>
        <v>11025</v>
      </c>
      <c r="AE397" s="1948">
        <f t="shared" si="95"/>
        <v>0</v>
      </c>
      <c r="AF397" s="1948">
        <v>250</v>
      </c>
      <c r="AG397" s="1948">
        <v>40.880000000000003</v>
      </c>
      <c r="AH397" s="1948">
        <v>250</v>
      </c>
      <c r="AI397" s="1948">
        <v>0.82179999999999997</v>
      </c>
      <c r="AJ397" s="1948">
        <v>0</v>
      </c>
      <c r="AK397" s="1948">
        <v>5276</v>
      </c>
      <c r="AL397" s="1948">
        <f t="shared" si="96"/>
        <v>18249</v>
      </c>
      <c r="AM397" s="1948">
        <f t="shared" si="97"/>
        <v>0</v>
      </c>
      <c r="AN397" s="1948">
        <v>250</v>
      </c>
      <c r="AO397" s="1948">
        <v>171.84</v>
      </c>
      <c r="AP397" s="1948">
        <v>250</v>
      </c>
      <c r="AQ397" s="1948">
        <v>0.80520000000000003</v>
      </c>
      <c r="AR397" s="1948">
        <v>0</v>
      </c>
      <c r="AS397" s="1948">
        <v>24565</v>
      </c>
      <c r="AT397" s="1948">
        <f t="shared" si="98"/>
        <v>76709</v>
      </c>
      <c r="AU397" s="1948">
        <f t="shared" si="99"/>
        <v>0</v>
      </c>
      <c r="AV397" s="1948">
        <v>250</v>
      </c>
      <c r="AW397" s="1948">
        <v>256.32</v>
      </c>
      <c r="AX397" s="1948">
        <v>256.32</v>
      </c>
      <c r="AY397" s="1948">
        <v>0.79879999999999995</v>
      </c>
      <c r="AZ397" s="1948">
        <v>0</v>
      </c>
      <c r="BA397" s="1948">
        <v>62412</v>
      </c>
      <c r="BB397" s="1948">
        <f t="shared" si="100"/>
        <v>110730</v>
      </c>
      <c r="BC397" s="1948">
        <f t="shared" si="101"/>
        <v>0</v>
      </c>
      <c r="BD397" s="1949">
        <v>250</v>
      </c>
      <c r="BE397" s="1948">
        <v>194.48000000000002</v>
      </c>
      <c r="BF397" s="1949">
        <v>250</v>
      </c>
      <c r="BG397" s="1949">
        <v>0.82210000000000005</v>
      </c>
      <c r="BH397" s="1949">
        <v>0</v>
      </c>
      <c r="BI397" s="1948">
        <v>64974</v>
      </c>
      <c r="BJ397" s="1948">
        <f t="shared" si="102"/>
        <v>86816</v>
      </c>
      <c r="BK397" s="1948">
        <f t="shared" si="103"/>
        <v>0</v>
      </c>
    </row>
    <row r="398" spans="1:63" ht="15">
      <c r="A398" s="1946">
        <v>611000000114</v>
      </c>
      <c r="B398" s="1947">
        <f t="shared" si="104"/>
        <v>392</v>
      </c>
      <c r="C398" s="1906" t="s">
        <v>3570</v>
      </c>
      <c r="D398" s="1907" t="s">
        <v>524</v>
      </c>
      <c r="E398" s="1906" t="s">
        <v>636</v>
      </c>
      <c r="F398" s="1948" t="s">
        <v>259</v>
      </c>
      <c r="G398" s="1949">
        <v>250</v>
      </c>
      <c r="H398" s="1948">
        <v>250</v>
      </c>
      <c r="I398" s="1950">
        <v>240</v>
      </c>
      <c r="J398" s="1948">
        <v>240</v>
      </c>
      <c r="K398" s="1948">
        <v>0.58489999999999998</v>
      </c>
      <c r="L398" s="1948">
        <v>5.82</v>
      </c>
      <c r="M398" s="1948">
        <v>10065</v>
      </c>
      <c r="N398" s="1948">
        <f t="shared" si="90"/>
        <v>103680</v>
      </c>
      <c r="O398" s="1948">
        <f t="shared" si="91"/>
        <v>0</v>
      </c>
      <c r="P398" s="1948">
        <v>250</v>
      </c>
      <c r="Q398" s="1948">
        <v>228</v>
      </c>
      <c r="R398" s="1948">
        <v>228</v>
      </c>
      <c r="S398" s="1948">
        <v>0.58220000000000005</v>
      </c>
      <c r="T398" s="1948">
        <v>5.19</v>
      </c>
      <c r="U398" s="1948">
        <v>8797</v>
      </c>
      <c r="V398" s="1948">
        <f t="shared" si="92"/>
        <v>101779</v>
      </c>
      <c r="W398" s="1948">
        <f t="shared" si="93"/>
        <v>0</v>
      </c>
      <c r="X398" s="1948">
        <v>250</v>
      </c>
      <c r="Y398" s="1948">
        <v>230</v>
      </c>
      <c r="Z398" s="1948">
        <v>230</v>
      </c>
      <c r="AA398" s="1948">
        <v>0.59150000000000003</v>
      </c>
      <c r="AB398" s="1948">
        <v>5.52</v>
      </c>
      <c r="AC398" s="1948">
        <v>9147</v>
      </c>
      <c r="AD398" s="1948">
        <f t="shared" si="94"/>
        <v>99360</v>
      </c>
      <c r="AE398" s="1948">
        <f t="shared" si="95"/>
        <v>0</v>
      </c>
      <c r="AF398" s="1948">
        <v>250</v>
      </c>
      <c r="AG398" s="1948">
        <v>235</v>
      </c>
      <c r="AH398" s="1948">
        <v>235</v>
      </c>
      <c r="AI398" s="1948">
        <v>0.58260000000000001</v>
      </c>
      <c r="AJ398" s="1948">
        <v>5.69</v>
      </c>
      <c r="AK398" s="1948">
        <v>8668</v>
      </c>
      <c r="AL398" s="1948">
        <f t="shared" si="96"/>
        <v>104904</v>
      </c>
      <c r="AM398" s="1948">
        <f t="shared" si="97"/>
        <v>0</v>
      </c>
      <c r="AN398" s="1948">
        <v>250</v>
      </c>
      <c r="AO398" s="1948">
        <v>232</v>
      </c>
      <c r="AP398" s="1948">
        <v>232</v>
      </c>
      <c r="AQ398" s="1948">
        <v>0.57199999999999995</v>
      </c>
      <c r="AR398" s="1948">
        <v>5.71</v>
      </c>
      <c r="AS398" s="1948">
        <v>11137</v>
      </c>
      <c r="AT398" s="1948">
        <f t="shared" si="98"/>
        <v>103565</v>
      </c>
      <c r="AU398" s="1948">
        <f t="shared" si="99"/>
        <v>0</v>
      </c>
      <c r="AV398" s="1948">
        <v>250</v>
      </c>
      <c r="AW398" s="1948">
        <v>234</v>
      </c>
      <c r="AX398" s="1948">
        <v>234</v>
      </c>
      <c r="AY398" s="1948">
        <v>0.5524</v>
      </c>
      <c r="AZ398" s="1948">
        <v>6.73</v>
      </c>
      <c r="BA398" s="1948">
        <v>11332</v>
      </c>
      <c r="BB398" s="1948">
        <f t="shared" si="100"/>
        <v>101088</v>
      </c>
      <c r="BC398" s="1948">
        <f t="shared" si="101"/>
        <v>0</v>
      </c>
      <c r="BD398" s="1949">
        <v>250</v>
      </c>
      <c r="BE398" s="1948">
        <v>281.31</v>
      </c>
      <c r="BF398" s="1949">
        <v>281.31</v>
      </c>
      <c r="BG398" s="1949">
        <v>0.52049999999999996</v>
      </c>
      <c r="BH398" s="1949">
        <v>5.48</v>
      </c>
      <c r="BI398" s="1948">
        <v>11090</v>
      </c>
      <c r="BJ398" s="1948">
        <f t="shared" si="102"/>
        <v>125577</v>
      </c>
      <c r="BK398" s="1948">
        <f t="shared" si="103"/>
        <v>0</v>
      </c>
    </row>
    <row r="399" spans="1:63" ht="15">
      <c r="A399" s="1946">
        <v>615000000054</v>
      </c>
      <c r="B399" s="1947">
        <f t="shared" si="104"/>
        <v>393</v>
      </c>
      <c r="C399" s="1906" t="s">
        <v>3256</v>
      </c>
      <c r="D399" s="1907" t="s">
        <v>524</v>
      </c>
      <c r="E399" s="1906" t="s">
        <v>541</v>
      </c>
      <c r="F399" s="1948" t="s">
        <v>259</v>
      </c>
      <c r="G399" s="1949">
        <v>250</v>
      </c>
      <c r="H399" s="1948">
        <v>250</v>
      </c>
      <c r="I399" s="1950">
        <v>3.52</v>
      </c>
      <c r="J399" s="1948">
        <v>200</v>
      </c>
      <c r="K399" s="1948">
        <v>0.45850000000000002</v>
      </c>
      <c r="L399" s="1948">
        <v>48.53</v>
      </c>
      <c r="M399" s="1948">
        <v>1230</v>
      </c>
      <c r="N399" s="1948">
        <f t="shared" si="90"/>
        <v>1521</v>
      </c>
      <c r="O399" s="1948">
        <f t="shared" si="91"/>
        <v>0</v>
      </c>
      <c r="P399" s="1948">
        <v>250</v>
      </c>
      <c r="Q399" s="1948">
        <v>3.04</v>
      </c>
      <c r="R399" s="1948">
        <v>200</v>
      </c>
      <c r="S399" s="1948">
        <v>0.45490000000000003</v>
      </c>
      <c r="T399" s="1948">
        <v>55</v>
      </c>
      <c r="U399" s="1948">
        <v>1244</v>
      </c>
      <c r="V399" s="1948">
        <f t="shared" si="92"/>
        <v>1357</v>
      </c>
      <c r="W399" s="1948">
        <f t="shared" si="93"/>
        <v>0</v>
      </c>
      <c r="X399" s="1948">
        <v>250</v>
      </c>
      <c r="Y399" s="1948">
        <v>3.6799999999999997</v>
      </c>
      <c r="Z399" s="1948">
        <v>200</v>
      </c>
      <c r="AA399" s="1948">
        <v>0.45450000000000002</v>
      </c>
      <c r="AB399" s="1948">
        <v>44.84</v>
      </c>
      <c r="AC399" s="1948">
        <v>1188</v>
      </c>
      <c r="AD399" s="1948">
        <f t="shared" si="94"/>
        <v>1590</v>
      </c>
      <c r="AE399" s="1948">
        <f t="shared" si="95"/>
        <v>0</v>
      </c>
      <c r="AF399" s="1948">
        <v>250</v>
      </c>
      <c r="AG399" s="1948">
        <v>4.32</v>
      </c>
      <c r="AH399" s="1948">
        <v>200</v>
      </c>
      <c r="AI399" s="1948">
        <v>0.43580000000000002</v>
      </c>
      <c r="AJ399" s="1948">
        <v>41.69</v>
      </c>
      <c r="AK399" s="1948">
        <v>1340</v>
      </c>
      <c r="AL399" s="1948">
        <f t="shared" si="96"/>
        <v>1928</v>
      </c>
      <c r="AM399" s="1948">
        <f t="shared" si="97"/>
        <v>0</v>
      </c>
      <c r="AN399" s="1948">
        <v>250</v>
      </c>
      <c r="AO399" s="1948">
        <v>3.52</v>
      </c>
      <c r="AP399" s="1948">
        <v>200</v>
      </c>
      <c r="AQ399" s="1948">
        <v>0.42270000000000002</v>
      </c>
      <c r="AR399" s="1948">
        <v>54.37</v>
      </c>
      <c r="AS399" s="1948">
        <v>1424</v>
      </c>
      <c r="AT399" s="1948">
        <f t="shared" si="98"/>
        <v>1571</v>
      </c>
      <c r="AU399" s="1948">
        <f t="shared" si="99"/>
        <v>0</v>
      </c>
      <c r="AV399" s="1948">
        <v>250</v>
      </c>
      <c r="AW399" s="1948">
        <v>3.04</v>
      </c>
      <c r="AX399" s="1948">
        <v>200</v>
      </c>
      <c r="AY399" s="1948">
        <v>0.42509999999999998</v>
      </c>
      <c r="AZ399" s="1948">
        <v>64.05</v>
      </c>
      <c r="BA399" s="1948">
        <v>1402</v>
      </c>
      <c r="BB399" s="1948">
        <f t="shared" si="100"/>
        <v>1313</v>
      </c>
      <c r="BC399" s="1948">
        <f t="shared" si="101"/>
        <v>89</v>
      </c>
      <c r="BD399" s="1949">
        <v>250</v>
      </c>
      <c r="BE399" s="1948">
        <v>3.04</v>
      </c>
      <c r="BF399" s="1949">
        <v>200</v>
      </c>
      <c r="BG399" s="1949">
        <v>0.41860000000000003</v>
      </c>
      <c r="BH399" s="1949">
        <v>66.319999999999993</v>
      </c>
      <c r="BI399" s="1948">
        <v>1500</v>
      </c>
      <c r="BJ399" s="1948">
        <f t="shared" si="102"/>
        <v>1357</v>
      </c>
      <c r="BK399" s="1948">
        <f t="shared" si="103"/>
        <v>143</v>
      </c>
    </row>
    <row r="400" spans="1:63" ht="15">
      <c r="A400" s="1946">
        <v>615000000055</v>
      </c>
      <c r="B400" s="1947">
        <f t="shared" si="104"/>
        <v>394</v>
      </c>
      <c r="C400" s="1906" t="s">
        <v>3255</v>
      </c>
      <c r="D400" s="1907" t="s">
        <v>524</v>
      </c>
      <c r="E400" s="1906" t="s">
        <v>541</v>
      </c>
      <c r="F400" s="1948" t="s">
        <v>259</v>
      </c>
      <c r="G400" s="1949">
        <v>250</v>
      </c>
      <c r="H400" s="1948">
        <v>250</v>
      </c>
      <c r="I400" s="1950">
        <v>161.52000000000001</v>
      </c>
      <c r="J400" s="1948">
        <v>200</v>
      </c>
      <c r="K400" s="1948">
        <v>0.79559999999999997</v>
      </c>
      <c r="L400" s="1948">
        <v>25.51</v>
      </c>
      <c r="M400" s="1948">
        <v>29661</v>
      </c>
      <c r="N400" s="1948">
        <f t="shared" si="90"/>
        <v>69777</v>
      </c>
      <c r="O400" s="1948">
        <f t="shared" si="91"/>
        <v>0</v>
      </c>
      <c r="P400" s="1948">
        <v>250</v>
      </c>
      <c r="Q400" s="1948">
        <v>136.08000000000001</v>
      </c>
      <c r="R400" s="1948">
        <v>200</v>
      </c>
      <c r="S400" s="1948">
        <v>0.79239999999999999</v>
      </c>
      <c r="T400" s="1948">
        <v>27.74</v>
      </c>
      <c r="U400" s="1948">
        <v>28083</v>
      </c>
      <c r="V400" s="1948">
        <f t="shared" si="92"/>
        <v>60746</v>
      </c>
      <c r="W400" s="1948">
        <f t="shared" si="93"/>
        <v>0</v>
      </c>
      <c r="X400" s="1948">
        <v>250</v>
      </c>
      <c r="Y400" s="1948">
        <v>144</v>
      </c>
      <c r="Z400" s="1948">
        <v>200</v>
      </c>
      <c r="AA400" s="1948">
        <v>0.79049999999999998</v>
      </c>
      <c r="AB400" s="1948">
        <v>21.94</v>
      </c>
      <c r="AC400" s="1948">
        <v>22746</v>
      </c>
      <c r="AD400" s="1948">
        <f t="shared" si="94"/>
        <v>62208</v>
      </c>
      <c r="AE400" s="1948">
        <f t="shared" si="95"/>
        <v>0</v>
      </c>
      <c r="AF400" s="1948">
        <v>250</v>
      </c>
      <c r="AG400" s="1948">
        <v>134.16</v>
      </c>
      <c r="AH400" s="1948">
        <v>200</v>
      </c>
      <c r="AI400" s="1948">
        <v>0.81330000000000002</v>
      </c>
      <c r="AJ400" s="1948">
        <v>33.549999999999997</v>
      </c>
      <c r="AK400" s="1948">
        <v>33489</v>
      </c>
      <c r="AL400" s="1948">
        <f t="shared" si="96"/>
        <v>59889</v>
      </c>
      <c r="AM400" s="1948">
        <f t="shared" si="97"/>
        <v>0</v>
      </c>
      <c r="AN400" s="1948">
        <v>250</v>
      </c>
      <c r="AO400" s="1948">
        <v>159.60000000000002</v>
      </c>
      <c r="AP400" s="1948">
        <v>200</v>
      </c>
      <c r="AQ400" s="1948">
        <v>0.81330000000000002</v>
      </c>
      <c r="AR400" s="1948">
        <v>22.44</v>
      </c>
      <c r="AS400" s="1948">
        <v>26646</v>
      </c>
      <c r="AT400" s="1948">
        <f t="shared" si="98"/>
        <v>71245</v>
      </c>
      <c r="AU400" s="1948">
        <f t="shared" si="99"/>
        <v>0</v>
      </c>
      <c r="AV400" s="1948">
        <v>250</v>
      </c>
      <c r="AW400" s="1948">
        <v>145.91999999999999</v>
      </c>
      <c r="AX400" s="1948">
        <v>200</v>
      </c>
      <c r="AY400" s="1948">
        <v>0.8014</v>
      </c>
      <c r="AZ400" s="1948">
        <v>19.57</v>
      </c>
      <c r="BA400" s="1948">
        <v>20565</v>
      </c>
      <c r="BB400" s="1948">
        <f t="shared" si="100"/>
        <v>63037</v>
      </c>
      <c r="BC400" s="1948">
        <f t="shared" si="101"/>
        <v>0</v>
      </c>
      <c r="BD400" s="1949">
        <v>250</v>
      </c>
      <c r="BE400" s="1948">
        <v>126.24000000000001</v>
      </c>
      <c r="BF400" s="1949">
        <v>200</v>
      </c>
      <c r="BG400" s="1949">
        <v>0.80069999999999997</v>
      </c>
      <c r="BH400" s="1949">
        <v>21.74</v>
      </c>
      <c r="BI400" s="1948">
        <v>20421</v>
      </c>
      <c r="BJ400" s="1948">
        <f t="shared" si="102"/>
        <v>56354</v>
      </c>
      <c r="BK400" s="1948">
        <f t="shared" si="103"/>
        <v>0</v>
      </c>
    </row>
    <row r="401" spans="1:63" ht="15">
      <c r="A401" s="1946">
        <v>615000000071</v>
      </c>
      <c r="B401" s="1947">
        <f t="shared" si="104"/>
        <v>395</v>
      </c>
      <c r="C401" s="1906" t="s">
        <v>3571</v>
      </c>
      <c r="D401" s="1907" t="s">
        <v>524</v>
      </c>
      <c r="E401" s="1906" t="s">
        <v>636</v>
      </c>
      <c r="F401" s="1948" t="s">
        <v>259</v>
      </c>
      <c r="G401" s="1949">
        <v>250</v>
      </c>
      <c r="H401" s="1948">
        <v>0</v>
      </c>
      <c r="I401" s="1950">
        <v>0</v>
      </c>
      <c r="J401" s="1948">
        <v>0</v>
      </c>
      <c r="K401" s="1948">
        <v>0</v>
      </c>
      <c r="L401" s="1948">
        <v>0</v>
      </c>
      <c r="M401" s="1948">
        <v>0</v>
      </c>
      <c r="N401" s="1948">
        <f t="shared" si="90"/>
        <v>0</v>
      </c>
      <c r="O401" s="1948">
        <f t="shared" si="91"/>
        <v>0</v>
      </c>
      <c r="P401" s="1948">
        <v>0</v>
      </c>
      <c r="Q401" s="1948">
        <v>0</v>
      </c>
      <c r="R401" s="1948">
        <v>0</v>
      </c>
      <c r="S401" s="1948">
        <v>0</v>
      </c>
      <c r="T401" s="1948">
        <v>0</v>
      </c>
      <c r="U401" s="1948">
        <v>0</v>
      </c>
      <c r="V401" s="1948">
        <f t="shared" si="92"/>
        <v>0</v>
      </c>
      <c r="W401" s="1948">
        <f t="shared" si="93"/>
        <v>0</v>
      </c>
      <c r="X401" s="1948">
        <v>0</v>
      </c>
      <c r="Y401" s="1948">
        <v>0</v>
      </c>
      <c r="Z401" s="1948">
        <v>0</v>
      </c>
      <c r="AA401" s="1948">
        <v>0</v>
      </c>
      <c r="AB401" s="1948">
        <v>0</v>
      </c>
      <c r="AC401" s="1948">
        <v>0</v>
      </c>
      <c r="AD401" s="1948">
        <f t="shared" si="94"/>
        <v>0</v>
      </c>
      <c r="AE401" s="1948">
        <f t="shared" si="95"/>
        <v>0</v>
      </c>
      <c r="AF401" s="1948">
        <v>0</v>
      </c>
      <c r="AG401" s="1948">
        <v>0</v>
      </c>
      <c r="AH401" s="1948">
        <v>0</v>
      </c>
      <c r="AI401" s="1948">
        <v>0</v>
      </c>
      <c r="AJ401" s="1948">
        <v>0</v>
      </c>
      <c r="AK401" s="1948">
        <v>0</v>
      </c>
      <c r="AL401" s="1948">
        <f t="shared" si="96"/>
        <v>0</v>
      </c>
      <c r="AM401" s="1948">
        <f t="shared" si="97"/>
        <v>0</v>
      </c>
      <c r="AN401" s="1948">
        <v>0</v>
      </c>
      <c r="AO401" s="1948">
        <v>0</v>
      </c>
      <c r="AP401" s="1948">
        <v>0</v>
      </c>
      <c r="AQ401" s="1948">
        <v>0</v>
      </c>
      <c r="AR401" s="1948">
        <v>0</v>
      </c>
      <c r="AS401" s="1948">
        <v>0</v>
      </c>
      <c r="AT401" s="1948">
        <f t="shared" si="98"/>
        <v>0</v>
      </c>
      <c r="AU401" s="1948">
        <f t="shared" si="99"/>
        <v>0</v>
      </c>
      <c r="AV401" s="1948">
        <v>250</v>
      </c>
      <c r="AW401" s="1948">
        <v>77.84</v>
      </c>
      <c r="AX401" s="1948">
        <v>200</v>
      </c>
      <c r="AY401" s="1948">
        <v>0.92520000000000002</v>
      </c>
      <c r="AZ401" s="1948">
        <v>20.84</v>
      </c>
      <c r="BA401" s="1948">
        <v>6618</v>
      </c>
      <c r="BB401" s="1948">
        <f t="shared" si="100"/>
        <v>33627</v>
      </c>
      <c r="BC401" s="1948">
        <f t="shared" si="101"/>
        <v>0</v>
      </c>
      <c r="BD401" s="1949">
        <v>250</v>
      </c>
      <c r="BE401" s="1948">
        <v>83.935000000000002</v>
      </c>
      <c r="BF401" s="1949">
        <v>200</v>
      </c>
      <c r="BG401" s="1949">
        <v>0.98409999999999997</v>
      </c>
      <c r="BH401" s="1949">
        <v>20.21</v>
      </c>
      <c r="BI401" s="1948">
        <v>12624</v>
      </c>
      <c r="BJ401" s="1948">
        <f t="shared" si="102"/>
        <v>37469</v>
      </c>
      <c r="BK401" s="1948">
        <f t="shared" si="103"/>
        <v>0</v>
      </c>
    </row>
    <row r="402" spans="1:63" ht="15">
      <c r="A402" s="1946">
        <v>622000000024</v>
      </c>
      <c r="B402" s="1947">
        <f t="shared" si="104"/>
        <v>396</v>
      </c>
      <c r="C402" s="1906" t="s">
        <v>3266</v>
      </c>
      <c r="D402" s="1907" t="s">
        <v>524</v>
      </c>
      <c r="E402" s="1906" t="s">
        <v>636</v>
      </c>
      <c r="F402" s="1948" t="s">
        <v>259</v>
      </c>
      <c r="G402" s="1949">
        <v>250</v>
      </c>
      <c r="H402" s="1948">
        <v>250</v>
      </c>
      <c r="I402" s="1950">
        <v>64.56</v>
      </c>
      <c r="J402" s="1948">
        <v>200</v>
      </c>
      <c r="K402" s="1948">
        <v>0.98350000000000004</v>
      </c>
      <c r="L402" s="1948">
        <v>35.24</v>
      </c>
      <c r="M402" s="1948">
        <v>16383</v>
      </c>
      <c r="N402" s="1948">
        <f t="shared" si="90"/>
        <v>27890</v>
      </c>
      <c r="O402" s="1948">
        <f t="shared" si="91"/>
        <v>0</v>
      </c>
      <c r="P402" s="1948">
        <v>250</v>
      </c>
      <c r="Q402" s="1948">
        <v>77.759999999999991</v>
      </c>
      <c r="R402" s="1948">
        <v>200</v>
      </c>
      <c r="S402" s="1948">
        <v>0.98180000000000001</v>
      </c>
      <c r="T402" s="1948">
        <v>32.89</v>
      </c>
      <c r="U402" s="1948">
        <v>19029</v>
      </c>
      <c r="V402" s="1948">
        <f t="shared" si="92"/>
        <v>34712</v>
      </c>
      <c r="W402" s="1948">
        <f t="shared" si="93"/>
        <v>0</v>
      </c>
      <c r="X402" s="1948">
        <v>250</v>
      </c>
      <c r="Y402" s="1948">
        <v>86.88000000000001</v>
      </c>
      <c r="Z402" s="1948">
        <v>200</v>
      </c>
      <c r="AA402" s="1948">
        <v>0.98009999999999997</v>
      </c>
      <c r="AB402" s="1948">
        <v>30.92</v>
      </c>
      <c r="AC402" s="1948">
        <v>19341</v>
      </c>
      <c r="AD402" s="1948">
        <f t="shared" si="94"/>
        <v>37532</v>
      </c>
      <c r="AE402" s="1948">
        <f t="shared" si="95"/>
        <v>0</v>
      </c>
      <c r="AF402" s="1948">
        <v>250</v>
      </c>
      <c r="AG402" s="1948">
        <v>62.88</v>
      </c>
      <c r="AH402" s="1948">
        <v>200</v>
      </c>
      <c r="AI402" s="1948">
        <v>0.98270000000000002</v>
      </c>
      <c r="AJ402" s="1948">
        <v>34.54</v>
      </c>
      <c r="AK402" s="1948">
        <v>16158</v>
      </c>
      <c r="AL402" s="1948">
        <f t="shared" si="96"/>
        <v>28070</v>
      </c>
      <c r="AM402" s="1948">
        <f t="shared" si="97"/>
        <v>0</v>
      </c>
      <c r="AN402" s="1948">
        <v>250</v>
      </c>
      <c r="AO402" s="1948">
        <v>71.760000000000005</v>
      </c>
      <c r="AP402" s="1948">
        <v>200</v>
      </c>
      <c r="AQ402" s="1948">
        <v>0.98309999999999997</v>
      </c>
      <c r="AR402" s="1948">
        <v>31.66</v>
      </c>
      <c r="AS402" s="1948">
        <v>16905</v>
      </c>
      <c r="AT402" s="1948">
        <f t="shared" si="98"/>
        <v>32034</v>
      </c>
      <c r="AU402" s="1948">
        <f t="shared" si="99"/>
        <v>0</v>
      </c>
      <c r="AV402" s="1948">
        <v>250</v>
      </c>
      <c r="AW402" s="1948">
        <v>76.08</v>
      </c>
      <c r="AX402" s="1948">
        <v>200</v>
      </c>
      <c r="AY402" s="1948">
        <v>0.97370000000000001</v>
      </c>
      <c r="AZ402" s="1948">
        <v>32.54</v>
      </c>
      <c r="BA402" s="1948">
        <v>17823</v>
      </c>
      <c r="BB402" s="1948">
        <f t="shared" si="100"/>
        <v>32867</v>
      </c>
      <c r="BC402" s="1948">
        <f t="shared" si="101"/>
        <v>0</v>
      </c>
      <c r="BD402" s="1949">
        <v>250</v>
      </c>
      <c r="BE402" s="1948">
        <v>56.160000000000004</v>
      </c>
      <c r="BF402" s="1949">
        <v>200</v>
      </c>
      <c r="BG402" s="1949">
        <v>0.98499999999999999</v>
      </c>
      <c r="BH402" s="1949">
        <v>33.56</v>
      </c>
      <c r="BI402" s="1948">
        <v>14022</v>
      </c>
      <c r="BJ402" s="1948">
        <f t="shared" si="102"/>
        <v>25070</v>
      </c>
      <c r="BK402" s="1948">
        <f t="shared" si="103"/>
        <v>0</v>
      </c>
    </row>
    <row r="403" spans="1:63" ht="15">
      <c r="A403" s="1946">
        <v>622000000030</v>
      </c>
      <c r="B403" s="1947">
        <f t="shared" si="104"/>
        <v>397</v>
      </c>
      <c r="C403" s="1906" t="s">
        <v>3265</v>
      </c>
      <c r="D403" s="1907" t="s">
        <v>524</v>
      </c>
      <c r="E403" s="1906" t="s">
        <v>541</v>
      </c>
      <c r="F403" s="1948" t="s">
        <v>259</v>
      </c>
      <c r="G403" s="1949">
        <v>250</v>
      </c>
      <c r="H403" s="1948">
        <v>250</v>
      </c>
      <c r="I403" s="1950">
        <v>150</v>
      </c>
      <c r="J403" s="1948">
        <v>200</v>
      </c>
      <c r="K403" s="1948">
        <v>0.99980000000000002</v>
      </c>
      <c r="L403" s="1948">
        <v>34.159999999999997</v>
      </c>
      <c r="M403" s="1948">
        <v>33205</v>
      </c>
      <c r="N403" s="1948">
        <f t="shared" si="90"/>
        <v>64800</v>
      </c>
      <c r="O403" s="1948">
        <f t="shared" si="91"/>
        <v>0</v>
      </c>
      <c r="P403" s="1948">
        <v>250</v>
      </c>
      <c r="Q403" s="1948">
        <v>152.4</v>
      </c>
      <c r="R403" s="1948">
        <v>200</v>
      </c>
      <c r="S403" s="1948">
        <v>1</v>
      </c>
      <c r="T403" s="1948">
        <v>38.49</v>
      </c>
      <c r="U403" s="1948">
        <v>47870</v>
      </c>
      <c r="V403" s="1948">
        <f t="shared" si="92"/>
        <v>68031</v>
      </c>
      <c r="W403" s="1948">
        <f t="shared" si="93"/>
        <v>0</v>
      </c>
      <c r="X403" s="1948">
        <v>250</v>
      </c>
      <c r="Y403" s="1948">
        <v>150.4</v>
      </c>
      <c r="Z403" s="1948">
        <v>200</v>
      </c>
      <c r="AA403" s="1948">
        <v>0.99980000000000002</v>
      </c>
      <c r="AB403" s="1948">
        <v>35.44</v>
      </c>
      <c r="AC403" s="1948">
        <v>37095</v>
      </c>
      <c r="AD403" s="1948">
        <f t="shared" si="94"/>
        <v>64973</v>
      </c>
      <c r="AE403" s="1948">
        <f t="shared" si="95"/>
        <v>0</v>
      </c>
      <c r="AF403" s="1948">
        <v>250</v>
      </c>
      <c r="AG403" s="1948">
        <v>151.19999999999999</v>
      </c>
      <c r="AH403" s="1948">
        <v>200</v>
      </c>
      <c r="AI403" s="1948">
        <v>1</v>
      </c>
      <c r="AJ403" s="1948">
        <v>34.68</v>
      </c>
      <c r="AK403" s="1948">
        <v>40270</v>
      </c>
      <c r="AL403" s="1948">
        <f t="shared" si="96"/>
        <v>67496</v>
      </c>
      <c r="AM403" s="1948">
        <f t="shared" si="97"/>
        <v>0</v>
      </c>
      <c r="AN403" s="1948">
        <v>250</v>
      </c>
      <c r="AO403" s="1948">
        <v>151.60000000000002</v>
      </c>
      <c r="AP403" s="1948">
        <v>200</v>
      </c>
      <c r="AQ403" s="1948">
        <v>0.99980000000000002</v>
      </c>
      <c r="AR403" s="1948">
        <v>34.21</v>
      </c>
      <c r="AS403" s="1948">
        <v>38580</v>
      </c>
      <c r="AT403" s="1948">
        <f t="shared" si="98"/>
        <v>67674</v>
      </c>
      <c r="AU403" s="1948">
        <f t="shared" si="99"/>
        <v>0</v>
      </c>
      <c r="AV403" s="1948">
        <v>250</v>
      </c>
      <c r="AW403" s="1948">
        <v>152.79999999999998</v>
      </c>
      <c r="AX403" s="1948">
        <v>200</v>
      </c>
      <c r="AY403" s="1948">
        <v>1</v>
      </c>
      <c r="AZ403" s="1948">
        <v>32.1</v>
      </c>
      <c r="BA403" s="1948">
        <v>31785</v>
      </c>
      <c r="BB403" s="1948">
        <f t="shared" si="100"/>
        <v>66010</v>
      </c>
      <c r="BC403" s="1948">
        <f t="shared" si="101"/>
        <v>0</v>
      </c>
      <c r="BD403" s="1949">
        <v>250</v>
      </c>
      <c r="BE403" s="1948">
        <v>149.19999999999999</v>
      </c>
      <c r="BF403" s="1949">
        <v>200</v>
      </c>
      <c r="BG403" s="1949">
        <v>0.99960000000000004</v>
      </c>
      <c r="BH403" s="1949">
        <v>33.47</v>
      </c>
      <c r="BI403" s="1948">
        <v>40750</v>
      </c>
      <c r="BJ403" s="1948">
        <f t="shared" si="102"/>
        <v>66603</v>
      </c>
      <c r="BK403" s="1948">
        <f t="shared" si="103"/>
        <v>0</v>
      </c>
    </row>
    <row r="404" spans="1:63" ht="15">
      <c r="A404" s="982">
        <v>621000000047</v>
      </c>
      <c r="B404" s="1947">
        <f t="shared" si="104"/>
        <v>398</v>
      </c>
      <c r="C404" s="1895" t="s">
        <v>3267</v>
      </c>
      <c r="D404" s="1907" t="s">
        <v>3661</v>
      </c>
      <c r="E404" s="1895" t="s">
        <v>641</v>
      </c>
      <c r="F404" s="1951" t="s">
        <v>259</v>
      </c>
      <c r="G404" s="1951">
        <v>250</v>
      </c>
      <c r="H404" s="1951">
        <v>250</v>
      </c>
      <c r="I404" s="1952">
        <v>118.56</v>
      </c>
      <c r="J404" s="1951">
        <v>200</v>
      </c>
      <c r="K404" s="1951">
        <v>0.99919999999999998</v>
      </c>
      <c r="L404" s="1951">
        <v>49.78</v>
      </c>
      <c r="M404" s="1951">
        <v>39657</v>
      </c>
      <c r="N404" s="1948">
        <f t="shared" si="90"/>
        <v>51218</v>
      </c>
      <c r="O404" s="1948">
        <f t="shared" si="91"/>
        <v>0</v>
      </c>
      <c r="P404" s="1948">
        <v>250</v>
      </c>
      <c r="Q404" s="1948">
        <v>35.520000000000003</v>
      </c>
      <c r="R404" s="1948">
        <v>200</v>
      </c>
      <c r="S404" s="1948">
        <v>0.98170000000000002</v>
      </c>
      <c r="T404" s="1948">
        <v>35.119999999999997</v>
      </c>
      <c r="U404" s="1948">
        <v>8382</v>
      </c>
      <c r="V404" s="1948">
        <f t="shared" si="92"/>
        <v>15856</v>
      </c>
      <c r="W404" s="1948">
        <f t="shared" si="93"/>
        <v>0</v>
      </c>
      <c r="X404" s="1948">
        <v>250</v>
      </c>
      <c r="Y404" s="1948">
        <v>0</v>
      </c>
      <c r="Z404" s="1948">
        <v>0</v>
      </c>
      <c r="AA404" s="1948">
        <v>0</v>
      </c>
      <c r="AB404" s="1948">
        <v>0</v>
      </c>
      <c r="AC404" s="1948">
        <v>0</v>
      </c>
      <c r="AD404" s="1948">
        <f t="shared" si="94"/>
        <v>0</v>
      </c>
      <c r="AE404" s="1948">
        <f t="shared" si="95"/>
        <v>0</v>
      </c>
      <c r="AF404" s="1948">
        <v>0</v>
      </c>
      <c r="AG404" s="1948">
        <v>0</v>
      </c>
      <c r="AH404" s="1948">
        <v>0</v>
      </c>
      <c r="AI404" s="1948">
        <v>0</v>
      </c>
      <c r="AJ404" s="1948">
        <v>0</v>
      </c>
      <c r="AK404" s="1948">
        <v>0</v>
      </c>
      <c r="AL404" s="1948">
        <f t="shared" si="96"/>
        <v>0</v>
      </c>
      <c r="AM404" s="1948">
        <f t="shared" si="97"/>
        <v>0</v>
      </c>
      <c r="AN404" s="1948">
        <v>0</v>
      </c>
      <c r="AO404" s="1948">
        <v>0</v>
      </c>
      <c r="AP404" s="1948">
        <v>0</v>
      </c>
      <c r="AQ404" s="1948">
        <v>0</v>
      </c>
      <c r="AR404" s="1948">
        <v>0</v>
      </c>
      <c r="AS404" s="1948">
        <v>0</v>
      </c>
      <c r="AT404" s="1948">
        <f t="shared" si="98"/>
        <v>0</v>
      </c>
      <c r="AU404" s="1948">
        <f t="shared" si="99"/>
        <v>0</v>
      </c>
      <c r="AV404" s="1948">
        <v>0</v>
      </c>
      <c r="AW404" s="1948">
        <v>0</v>
      </c>
      <c r="AX404" s="1948">
        <v>0</v>
      </c>
      <c r="AY404" s="1948">
        <v>0</v>
      </c>
      <c r="AZ404" s="1948">
        <v>0</v>
      </c>
      <c r="BA404" s="1948">
        <v>0</v>
      </c>
      <c r="BB404" s="1948">
        <f t="shared" si="100"/>
        <v>0</v>
      </c>
      <c r="BC404" s="1948">
        <f t="shared" si="101"/>
        <v>0</v>
      </c>
      <c r="BD404" s="1948">
        <v>0</v>
      </c>
      <c r="BE404" s="1948">
        <v>0</v>
      </c>
      <c r="BF404" s="1948">
        <v>0</v>
      </c>
      <c r="BG404" s="1948">
        <v>0</v>
      </c>
      <c r="BH404" s="1948">
        <v>0</v>
      </c>
      <c r="BI404" s="1948">
        <v>0</v>
      </c>
      <c r="BJ404" s="1948">
        <f t="shared" si="102"/>
        <v>0</v>
      </c>
      <c r="BK404" s="1948">
        <f t="shared" si="103"/>
        <v>0</v>
      </c>
    </row>
    <row r="405" spans="1:63" ht="15">
      <c r="A405" s="1946">
        <v>124000000005</v>
      </c>
      <c r="B405" s="1947">
        <f t="shared" si="104"/>
        <v>399</v>
      </c>
      <c r="C405" s="1906" t="s">
        <v>3268</v>
      </c>
      <c r="D405" s="1907" t="s">
        <v>524</v>
      </c>
      <c r="E405" s="1906" t="s">
        <v>730</v>
      </c>
      <c r="F405" s="1948" t="s">
        <v>259</v>
      </c>
      <c r="G405" s="1949">
        <v>250.44</v>
      </c>
      <c r="H405" s="1948">
        <v>250.44</v>
      </c>
      <c r="I405" s="1950">
        <v>61.68</v>
      </c>
      <c r="J405" s="1948">
        <v>200.352</v>
      </c>
      <c r="K405" s="1948">
        <v>0.72550000000000003</v>
      </c>
      <c r="L405" s="1948">
        <v>62.84</v>
      </c>
      <c r="M405" s="1948">
        <v>32560</v>
      </c>
      <c r="N405" s="1948">
        <f t="shared" si="90"/>
        <v>26646</v>
      </c>
      <c r="O405" s="1948">
        <f t="shared" si="91"/>
        <v>5914</v>
      </c>
      <c r="P405" s="1948">
        <v>250.44</v>
      </c>
      <c r="Q405" s="1948">
        <v>62.72</v>
      </c>
      <c r="R405" s="1948">
        <v>200.352</v>
      </c>
      <c r="S405" s="1948">
        <v>0.71430000000000005</v>
      </c>
      <c r="T405" s="1948">
        <v>59.54</v>
      </c>
      <c r="U405" s="1948">
        <v>27783</v>
      </c>
      <c r="V405" s="1948">
        <f t="shared" si="92"/>
        <v>27998</v>
      </c>
      <c r="W405" s="1948">
        <f t="shared" si="93"/>
        <v>0</v>
      </c>
      <c r="X405" s="1948">
        <v>250.44</v>
      </c>
      <c r="Y405" s="1948">
        <v>58.720000000000006</v>
      </c>
      <c r="Z405" s="1948">
        <v>200.352</v>
      </c>
      <c r="AA405" s="1948">
        <v>0.72309999999999997</v>
      </c>
      <c r="AB405" s="1948">
        <v>63.59</v>
      </c>
      <c r="AC405" s="1948">
        <v>24198</v>
      </c>
      <c r="AD405" s="1948">
        <f t="shared" si="94"/>
        <v>25367</v>
      </c>
      <c r="AE405" s="1948">
        <f t="shared" si="95"/>
        <v>0</v>
      </c>
      <c r="AF405" s="1948">
        <v>250.44</v>
      </c>
      <c r="AG405" s="1948">
        <v>61.44</v>
      </c>
      <c r="AH405" s="1948">
        <v>200.352</v>
      </c>
      <c r="AI405" s="1948">
        <v>0.74590000000000001</v>
      </c>
      <c r="AJ405" s="1948">
        <v>61.13</v>
      </c>
      <c r="AK405" s="1948">
        <v>26139</v>
      </c>
      <c r="AL405" s="1948">
        <f t="shared" si="96"/>
        <v>27427</v>
      </c>
      <c r="AM405" s="1948">
        <f t="shared" si="97"/>
        <v>0</v>
      </c>
      <c r="AN405" s="1948">
        <v>250.44</v>
      </c>
      <c r="AO405" s="1948">
        <v>57.92</v>
      </c>
      <c r="AP405" s="1948">
        <v>200.352</v>
      </c>
      <c r="AQ405" s="1948">
        <v>0.72509999999999997</v>
      </c>
      <c r="AR405" s="1948">
        <v>62.59</v>
      </c>
      <c r="AS405" s="1948">
        <v>31324</v>
      </c>
      <c r="AT405" s="1948">
        <f t="shared" si="98"/>
        <v>25855</v>
      </c>
      <c r="AU405" s="1948">
        <f t="shared" si="99"/>
        <v>5469</v>
      </c>
      <c r="AV405" s="1948">
        <v>250.44</v>
      </c>
      <c r="AW405" s="1948">
        <v>61.12</v>
      </c>
      <c r="AX405" s="1948">
        <v>200.352</v>
      </c>
      <c r="AY405" s="1948">
        <v>0.70850000000000002</v>
      </c>
      <c r="AZ405" s="1948">
        <v>57.04</v>
      </c>
      <c r="BA405" s="1948">
        <v>25102</v>
      </c>
      <c r="BB405" s="1948">
        <f t="shared" si="100"/>
        <v>26404</v>
      </c>
      <c r="BC405" s="1948">
        <f t="shared" si="101"/>
        <v>0</v>
      </c>
      <c r="BD405" s="1949">
        <v>250.44</v>
      </c>
      <c r="BE405" s="1948">
        <v>59.599999999999994</v>
      </c>
      <c r="BF405" s="1949">
        <v>200.352</v>
      </c>
      <c r="BG405" s="1949">
        <v>0.69620000000000004</v>
      </c>
      <c r="BH405" s="1949">
        <v>62.06</v>
      </c>
      <c r="BI405" s="1948">
        <v>27520</v>
      </c>
      <c r="BJ405" s="1948">
        <f t="shared" si="102"/>
        <v>26605</v>
      </c>
      <c r="BK405" s="1948">
        <f t="shared" si="103"/>
        <v>915</v>
      </c>
    </row>
    <row r="406" spans="1:63" ht="15">
      <c r="A406" s="1946">
        <v>611000000058</v>
      </c>
      <c r="B406" s="1947">
        <f t="shared" si="104"/>
        <v>400</v>
      </c>
      <c r="C406" s="1906" t="s">
        <v>3269</v>
      </c>
      <c r="D406" s="1907" t="s">
        <v>524</v>
      </c>
      <c r="E406" s="1906" t="s">
        <v>541</v>
      </c>
      <c r="F406" s="1948" t="s">
        <v>259</v>
      </c>
      <c r="G406" s="1949">
        <v>255</v>
      </c>
      <c r="H406" s="1948">
        <v>255</v>
      </c>
      <c r="I406" s="1950">
        <v>252.8</v>
      </c>
      <c r="J406" s="1948">
        <v>252.8</v>
      </c>
      <c r="K406" s="1948">
        <v>0.96899999999999997</v>
      </c>
      <c r="L406" s="1948">
        <v>48.79</v>
      </c>
      <c r="M406" s="1948">
        <v>88806</v>
      </c>
      <c r="N406" s="1948">
        <f t="shared" si="90"/>
        <v>109210</v>
      </c>
      <c r="O406" s="1948">
        <f t="shared" si="91"/>
        <v>0</v>
      </c>
      <c r="P406" s="1948">
        <v>255</v>
      </c>
      <c r="Q406" s="1948">
        <v>260.95999999999998</v>
      </c>
      <c r="R406" s="1948">
        <v>260.95999999999998</v>
      </c>
      <c r="S406" s="1948">
        <v>0.98140000000000005</v>
      </c>
      <c r="T406" s="1948">
        <v>39.49</v>
      </c>
      <c r="U406" s="1948">
        <v>76680</v>
      </c>
      <c r="V406" s="1948">
        <f t="shared" si="92"/>
        <v>116493</v>
      </c>
      <c r="W406" s="1948">
        <f t="shared" si="93"/>
        <v>0</v>
      </c>
      <c r="X406" s="1948">
        <v>255</v>
      </c>
      <c r="Y406" s="1948">
        <v>239.36</v>
      </c>
      <c r="Z406" s="1948">
        <v>239.36</v>
      </c>
      <c r="AA406" s="1948">
        <v>0.98129999999999995</v>
      </c>
      <c r="AB406" s="1948">
        <v>34.25</v>
      </c>
      <c r="AC406" s="1948">
        <v>59026</v>
      </c>
      <c r="AD406" s="1948">
        <f t="shared" si="94"/>
        <v>103404</v>
      </c>
      <c r="AE406" s="1948">
        <f t="shared" si="95"/>
        <v>0</v>
      </c>
      <c r="AF406" s="1948">
        <v>255</v>
      </c>
      <c r="AG406" s="1948">
        <v>211.20000000000002</v>
      </c>
      <c r="AH406" s="1948">
        <v>211.2</v>
      </c>
      <c r="AI406" s="1948">
        <v>0.99119999999999997</v>
      </c>
      <c r="AJ406" s="1948">
        <v>45.5</v>
      </c>
      <c r="AK406" s="1948">
        <v>71492</v>
      </c>
      <c r="AL406" s="1948">
        <f t="shared" si="96"/>
        <v>94280</v>
      </c>
      <c r="AM406" s="1948">
        <f t="shared" si="97"/>
        <v>0</v>
      </c>
      <c r="AN406" s="1948">
        <v>255</v>
      </c>
      <c r="AO406" s="1948">
        <v>242.72</v>
      </c>
      <c r="AP406" s="1948">
        <v>242.72</v>
      </c>
      <c r="AQ406" s="1948">
        <v>0.98550000000000004</v>
      </c>
      <c r="AR406" s="1948">
        <v>41.97</v>
      </c>
      <c r="AS406" s="1948">
        <v>75792</v>
      </c>
      <c r="AT406" s="1948">
        <f t="shared" si="98"/>
        <v>108350</v>
      </c>
      <c r="AU406" s="1948">
        <f t="shared" si="99"/>
        <v>0</v>
      </c>
      <c r="AV406" s="1948">
        <v>255</v>
      </c>
      <c r="AW406" s="1948">
        <v>208.48</v>
      </c>
      <c r="AX406" s="1948">
        <v>208.48</v>
      </c>
      <c r="AY406" s="1948">
        <v>0.96819999999999995</v>
      </c>
      <c r="AZ406" s="1948">
        <v>33.21</v>
      </c>
      <c r="BA406" s="1948">
        <v>49848</v>
      </c>
      <c r="BB406" s="1948">
        <f t="shared" si="100"/>
        <v>90063</v>
      </c>
      <c r="BC406" s="1948">
        <f t="shared" si="101"/>
        <v>0</v>
      </c>
      <c r="BD406" s="1949">
        <v>255</v>
      </c>
      <c r="BE406" s="1948">
        <v>166.72</v>
      </c>
      <c r="BF406" s="1949">
        <v>204</v>
      </c>
      <c r="BG406" s="1949">
        <v>0.80689999999999995</v>
      </c>
      <c r="BH406" s="1949">
        <v>5.44</v>
      </c>
      <c r="BI406" s="1948">
        <v>6746</v>
      </c>
      <c r="BJ406" s="1948">
        <f t="shared" si="102"/>
        <v>74424</v>
      </c>
      <c r="BK406" s="1948">
        <f t="shared" si="103"/>
        <v>0</v>
      </c>
    </row>
    <row r="407" spans="1:63" ht="15">
      <c r="A407" s="1946">
        <v>613000000029</v>
      </c>
      <c r="B407" s="1947">
        <f t="shared" si="104"/>
        <v>401</v>
      </c>
      <c r="C407" s="1906" t="s">
        <v>3270</v>
      </c>
      <c r="D407" s="1907" t="s">
        <v>524</v>
      </c>
      <c r="E407" s="1906" t="s">
        <v>737</v>
      </c>
      <c r="F407" s="1948" t="s">
        <v>259</v>
      </c>
      <c r="G407" s="1949">
        <v>255</v>
      </c>
      <c r="H407" s="1948">
        <v>255</v>
      </c>
      <c r="I407" s="1950">
        <v>34.68</v>
      </c>
      <c r="J407" s="1948">
        <v>204</v>
      </c>
      <c r="K407" s="1948">
        <v>0.93069999999999997</v>
      </c>
      <c r="L407" s="1948">
        <v>51.09</v>
      </c>
      <c r="M407" s="1948">
        <v>12757</v>
      </c>
      <c r="N407" s="1948">
        <f t="shared" si="90"/>
        <v>14982</v>
      </c>
      <c r="O407" s="1948">
        <f t="shared" si="91"/>
        <v>0</v>
      </c>
      <c r="P407" s="1948">
        <v>255</v>
      </c>
      <c r="Q407" s="1948">
        <v>126.6</v>
      </c>
      <c r="R407" s="1948">
        <v>204</v>
      </c>
      <c r="S407" s="1948">
        <v>0.95709999999999995</v>
      </c>
      <c r="T407" s="1948">
        <v>18.440000000000001</v>
      </c>
      <c r="U407" s="1948">
        <v>17371</v>
      </c>
      <c r="V407" s="1948">
        <f t="shared" si="92"/>
        <v>56514</v>
      </c>
      <c r="W407" s="1948">
        <f t="shared" si="93"/>
        <v>0</v>
      </c>
      <c r="X407" s="1948">
        <v>255</v>
      </c>
      <c r="Y407" s="1948">
        <v>125.39999999999999</v>
      </c>
      <c r="Z407" s="1948">
        <v>204</v>
      </c>
      <c r="AA407" s="1948">
        <v>0.96089999999999998</v>
      </c>
      <c r="AB407" s="1948">
        <v>20.02</v>
      </c>
      <c r="AC407" s="1948">
        <v>18072</v>
      </c>
      <c r="AD407" s="1948">
        <f t="shared" si="94"/>
        <v>54173</v>
      </c>
      <c r="AE407" s="1948">
        <f t="shared" si="95"/>
        <v>0</v>
      </c>
      <c r="AF407" s="1948">
        <v>255</v>
      </c>
      <c r="AG407" s="1948">
        <v>120.60000000000001</v>
      </c>
      <c r="AH407" s="1948">
        <v>204</v>
      </c>
      <c r="AI407" s="1948">
        <v>0.9526</v>
      </c>
      <c r="AJ407" s="1948">
        <v>20.11</v>
      </c>
      <c r="AK407" s="1948">
        <v>18043</v>
      </c>
      <c r="AL407" s="1948">
        <f t="shared" si="96"/>
        <v>53836</v>
      </c>
      <c r="AM407" s="1948">
        <f t="shared" si="97"/>
        <v>0</v>
      </c>
      <c r="AN407" s="1948">
        <v>255</v>
      </c>
      <c r="AO407" s="1948">
        <v>41.76</v>
      </c>
      <c r="AP407" s="1948">
        <v>204</v>
      </c>
      <c r="AQ407" s="1948">
        <v>0.9355</v>
      </c>
      <c r="AR407" s="1948">
        <v>53.12</v>
      </c>
      <c r="AS407" s="1948">
        <v>16503</v>
      </c>
      <c r="AT407" s="1948">
        <f t="shared" si="98"/>
        <v>18642</v>
      </c>
      <c r="AU407" s="1948">
        <f t="shared" si="99"/>
        <v>0</v>
      </c>
      <c r="AV407" s="1948">
        <v>255</v>
      </c>
      <c r="AW407" s="1948">
        <v>38.04</v>
      </c>
      <c r="AX407" s="1948">
        <v>204</v>
      </c>
      <c r="AY407" s="1948">
        <v>0.91979999999999995</v>
      </c>
      <c r="AZ407" s="1948">
        <v>52.77</v>
      </c>
      <c r="BA407" s="1948">
        <v>14452</v>
      </c>
      <c r="BB407" s="1948">
        <f t="shared" si="100"/>
        <v>16433</v>
      </c>
      <c r="BC407" s="1948">
        <f t="shared" si="101"/>
        <v>0</v>
      </c>
      <c r="BD407" s="1949">
        <v>255</v>
      </c>
      <c r="BE407" s="1948">
        <v>35.76</v>
      </c>
      <c r="BF407" s="1949">
        <v>204</v>
      </c>
      <c r="BG407" s="1949">
        <v>0.89419999999999999</v>
      </c>
      <c r="BH407" s="1949">
        <v>49.03</v>
      </c>
      <c r="BI407" s="1948">
        <v>13045</v>
      </c>
      <c r="BJ407" s="1948">
        <f t="shared" si="102"/>
        <v>15963</v>
      </c>
      <c r="BK407" s="1948">
        <f t="shared" si="103"/>
        <v>0</v>
      </c>
    </row>
    <row r="408" spans="1:63" ht="15">
      <c r="A408" s="1946">
        <v>121000000059</v>
      </c>
      <c r="B408" s="1947">
        <f t="shared" si="104"/>
        <v>402</v>
      </c>
      <c r="C408" s="1906" t="s">
        <v>3271</v>
      </c>
      <c r="D408" s="1907" t="s">
        <v>524</v>
      </c>
      <c r="E408" s="1906" t="s">
        <v>636</v>
      </c>
      <c r="F408" s="1948" t="s">
        <v>259</v>
      </c>
      <c r="G408" s="1949">
        <v>256</v>
      </c>
      <c r="H408" s="1948">
        <v>256</v>
      </c>
      <c r="I408" s="1950">
        <v>118.56</v>
      </c>
      <c r="J408" s="1948">
        <v>204.8</v>
      </c>
      <c r="K408" s="1948">
        <v>0.99129999999999996</v>
      </c>
      <c r="L408" s="1948">
        <v>52.62</v>
      </c>
      <c r="M408" s="1948">
        <v>44916</v>
      </c>
      <c r="N408" s="1948">
        <f t="shared" si="90"/>
        <v>51218</v>
      </c>
      <c r="O408" s="1948">
        <f t="shared" si="91"/>
        <v>0</v>
      </c>
      <c r="P408" s="1948">
        <v>256</v>
      </c>
      <c r="Q408" s="1948">
        <v>104.64</v>
      </c>
      <c r="R408" s="1948">
        <v>204.8</v>
      </c>
      <c r="S408" s="1948">
        <v>0.98640000000000005</v>
      </c>
      <c r="T408" s="1948">
        <v>52.99</v>
      </c>
      <c r="U408" s="1948">
        <v>41253</v>
      </c>
      <c r="V408" s="1948">
        <f t="shared" si="92"/>
        <v>46711</v>
      </c>
      <c r="W408" s="1948">
        <f t="shared" si="93"/>
        <v>0</v>
      </c>
      <c r="X408" s="1948">
        <v>256</v>
      </c>
      <c r="Y408" s="1948">
        <v>108</v>
      </c>
      <c r="Z408" s="1948">
        <v>204.8</v>
      </c>
      <c r="AA408" s="1948">
        <v>0.9788</v>
      </c>
      <c r="AB408" s="1948">
        <v>51.42</v>
      </c>
      <c r="AC408" s="1948">
        <v>39981</v>
      </c>
      <c r="AD408" s="1948">
        <f t="shared" si="94"/>
        <v>46656</v>
      </c>
      <c r="AE408" s="1948">
        <f t="shared" si="95"/>
        <v>0</v>
      </c>
      <c r="AF408" s="1948">
        <v>256</v>
      </c>
      <c r="AG408" s="1948">
        <v>80.88</v>
      </c>
      <c r="AH408" s="1948">
        <v>204.8</v>
      </c>
      <c r="AI408" s="1948">
        <v>0.96140000000000003</v>
      </c>
      <c r="AJ408" s="1948">
        <v>57.73</v>
      </c>
      <c r="AK408" s="1948">
        <v>34740</v>
      </c>
      <c r="AL408" s="1948">
        <f t="shared" si="96"/>
        <v>36105</v>
      </c>
      <c r="AM408" s="1948">
        <f t="shared" si="97"/>
        <v>0</v>
      </c>
      <c r="AN408" s="1948">
        <v>256</v>
      </c>
      <c r="AO408" s="1948">
        <v>75.599999999999994</v>
      </c>
      <c r="AP408" s="1948">
        <v>204.8</v>
      </c>
      <c r="AQ408" s="1948">
        <v>0.96130000000000004</v>
      </c>
      <c r="AR408" s="1948">
        <v>63.83</v>
      </c>
      <c r="AS408" s="1948">
        <v>35901</v>
      </c>
      <c r="AT408" s="1948">
        <f t="shared" si="98"/>
        <v>33748</v>
      </c>
      <c r="AU408" s="1948">
        <f t="shared" si="99"/>
        <v>2153</v>
      </c>
      <c r="AV408" s="1948">
        <v>256</v>
      </c>
      <c r="AW408" s="1948">
        <v>73.92</v>
      </c>
      <c r="AX408" s="1948">
        <v>204.8</v>
      </c>
      <c r="AY408" s="1948">
        <v>0.95679999999999998</v>
      </c>
      <c r="AZ408" s="1948">
        <v>59.83</v>
      </c>
      <c r="BA408" s="1948">
        <v>31845</v>
      </c>
      <c r="BB408" s="1948">
        <f t="shared" si="100"/>
        <v>31933</v>
      </c>
      <c r="BC408" s="1948">
        <f t="shared" si="101"/>
        <v>0</v>
      </c>
      <c r="BD408" s="1949">
        <v>256</v>
      </c>
      <c r="BE408" s="1948">
        <v>69.600000000000009</v>
      </c>
      <c r="BF408" s="1949">
        <v>204.8</v>
      </c>
      <c r="BG408" s="1949">
        <v>0.94740000000000002</v>
      </c>
      <c r="BH408" s="1949">
        <v>59.46</v>
      </c>
      <c r="BI408" s="1948">
        <v>30789</v>
      </c>
      <c r="BJ408" s="1948">
        <f t="shared" si="102"/>
        <v>31069</v>
      </c>
      <c r="BK408" s="1948">
        <f t="shared" si="103"/>
        <v>0</v>
      </c>
    </row>
    <row r="409" spans="1:63" ht="15">
      <c r="A409" s="1946">
        <v>121000000060</v>
      </c>
      <c r="B409" s="1947">
        <f t="shared" si="104"/>
        <v>403</v>
      </c>
      <c r="C409" s="1906" t="s">
        <v>3272</v>
      </c>
      <c r="D409" s="1907" t="s">
        <v>524</v>
      </c>
      <c r="E409" s="1906" t="s">
        <v>541</v>
      </c>
      <c r="F409" s="1948" t="s">
        <v>259</v>
      </c>
      <c r="G409" s="1949">
        <v>256</v>
      </c>
      <c r="H409" s="1948">
        <v>256</v>
      </c>
      <c r="I409" s="1950">
        <v>101.27999999999999</v>
      </c>
      <c r="J409" s="1948">
        <v>204.8</v>
      </c>
      <c r="K409" s="1948">
        <v>0.96689999999999998</v>
      </c>
      <c r="L409" s="1948">
        <v>32.01</v>
      </c>
      <c r="M409" s="1948">
        <v>25680</v>
      </c>
      <c r="N409" s="1948">
        <f t="shared" si="90"/>
        <v>43753</v>
      </c>
      <c r="O409" s="1948">
        <f t="shared" si="91"/>
        <v>0</v>
      </c>
      <c r="P409" s="1948">
        <v>256</v>
      </c>
      <c r="Q409" s="1948">
        <v>120.16</v>
      </c>
      <c r="R409" s="1948">
        <v>204.8</v>
      </c>
      <c r="S409" s="1948">
        <v>0.94950000000000001</v>
      </c>
      <c r="T409" s="1948">
        <v>46.91</v>
      </c>
      <c r="U409" s="1948">
        <v>39234</v>
      </c>
      <c r="V409" s="1948">
        <f t="shared" si="92"/>
        <v>53639</v>
      </c>
      <c r="W409" s="1948">
        <f t="shared" si="93"/>
        <v>0</v>
      </c>
      <c r="X409" s="1948">
        <v>256</v>
      </c>
      <c r="Y409" s="1948">
        <v>103.52</v>
      </c>
      <c r="Z409" s="1948">
        <v>204.8</v>
      </c>
      <c r="AA409" s="1948">
        <v>0.96660000000000001</v>
      </c>
      <c r="AB409" s="1948">
        <v>30.42</v>
      </c>
      <c r="AC409" s="1948">
        <v>22670</v>
      </c>
      <c r="AD409" s="1948">
        <f t="shared" si="94"/>
        <v>44721</v>
      </c>
      <c r="AE409" s="1948">
        <f t="shared" si="95"/>
        <v>0</v>
      </c>
      <c r="AF409" s="1948">
        <v>256</v>
      </c>
      <c r="AG409" s="1948">
        <v>102.88</v>
      </c>
      <c r="AH409" s="1948">
        <v>204.8</v>
      </c>
      <c r="AI409" s="1948">
        <v>0.96560000000000001</v>
      </c>
      <c r="AJ409" s="1948">
        <v>17.12</v>
      </c>
      <c r="AK409" s="1948">
        <v>12682</v>
      </c>
      <c r="AL409" s="1948">
        <f t="shared" si="96"/>
        <v>45926</v>
      </c>
      <c r="AM409" s="1948">
        <f t="shared" si="97"/>
        <v>0</v>
      </c>
      <c r="AN409" s="1948">
        <v>256</v>
      </c>
      <c r="AO409" s="1948">
        <v>7.1999999999999993</v>
      </c>
      <c r="AP409" s="1948">
        <v>204.8</v>
      </c>
      <c r="AQ409" s="1948">
        <v>0.99809999999999999</v>
      </c>
      <c r="AR409" s="1948">
        <v>20.99</v>
      </c>
      <c r="AS409" s="1948">
        <v>1088</v>
      </c>
      <c r="AT409" s="1948">
        <f t="shared" si="98"/>
        <v>3214</v>
      </c>
      <c r="AU409" s="1948">
        <f t="shared" si="99"/>
        <v>0</v>
      </c>
      <c r="AV409" s="1948">
        <v>256</v>
      </c>
      <c r="AW409" s="1948">
        <v>4.4799999999999995</v>
      </c>
      <c r="AX409" s="1948">
        <v>204.8</v>
      </c>
      <c r="AY409" s="1948">
        <v>1</v>
      </c>
      <c r="AZ409" s="1948">
        <v>32.049999999999997</v>
      </c>
      <c r="BA409" s="1948">
        <v>1206</v>
      </c>
      <c r="BB409" s="1948">
        <f t="shared" si="100"/>
        <v>1935</v>
      </c>
      <c r="BC409" s="1948">
        <f t="shared" si="101"/>
        <v>0</v>
      </c>
      <c r="BD409" s="1949">
        <v>256</v>
      </c>
      <c r="BE409" s="1948">
        <v>107.67999999999999</v>
      </c>
      <c r="BF409" s="1949">
        <v>204.8</v>
      </c>
      <c r="BG409" s="1949">
        <v>0.96419999999999995</v>
      </c>
      <c r="BH409" s="1949">
        <v>15.37</v>
      </c>
      <c r="BI409" s="1948">
        <v>12312</v>
      </c>
      <c r="BJ409" s="1948">
        <f t="shared" si="102"/>
        <v>48068</v>
      </c>
      <c r="BK409" s="1948">
        <f t="shared" si="103"/>
        <v>0</v>
      </c>
    </row>
    <row r="410" spans="1:63" ht="15">
      <c r="A410" s="1946">
        <v>611000000065</v>
      </c>
      <c r="B410" s="1947">
        <f t="shared" si="104"/>
        <v>404</v>
      </c>
      <c r="C410" s="1906" t="s">
        <v>3273</v>
      </c>
      <c r="D410" s="1907" t="s">
        <v>524</v>
      </c>
      <c r="E410" s="1906" t="s">
        <v>737</v>
      </c>
      <c r="F410" s="1948" t="s">
        <v>259</v>
      </c>
      <c r="G410" s="1949">
        <v>256</v>
      </c>
      <c r="H410" s="1948">
        <v>256</v>
      </c>
      <c r="I410" s="1950">
        <v>70.8</v>
      </c>
      <c r="J410" s="1948">
        <v>204.8</v>
      </c>
      <c r="K410" s="1948">
        <v>0.96650000000000003</v>
      </c>
      <c r="L410" s="1948">
        <v>45.8</v>
      </c>
      <c r="M410" s="1948">
        <v>23345</v>
      </c>
      <c r="N410" s="1948">
        <f t="shared" si="90"/>
        <v>30586</v>
      </c>
      <c r="O410" s="1948">
        <f t="shared" si="91"/>
        <v>0</v>
      </c>
      <c r="P410" s="1948">
        <v>256</v>
      </c>
      <c r="Q410" s="1948">
        <v>31.4</v>
      </c>
      <c r="R410" s="1948">
        <v>204.8</v>
      </c>
      <c r="S410" s="1948">
        <v>0.92290000000000005</v>
      </c>
      <c r="T410" s="1948">
        <v>37.33</v>
      </c>
      <c r="U410" s="1948">
        <v>8720</v>
      </c>
      <c r="V410" s="1948">
        <f t="shared" si="92"/>
        <v>14017</v>
      </c>
      <c r="W410" s="1948">
        <f t="shared" si="93"/>
        <v>0</v>
      </c>
      <c r="X410" s="1948">
        <v>256</v>
      </c>
      <c r="Y410" s="1948">
        <v>49</v>
      </c>
      <c r="Z410" s="1948">
        <v>204.8</v>
      </c>
      <c r="AA410" s="1948">
        <v>0.94069999999999998</v>
      </c>
      <c r="AB410" s="1948">
        <v>29.03</v>
      </c>
      <c r="AC410" s="1948">
        <v>10242</v>
      </c>
      <c r="AD410" s="1948">
        <f t="shared" si="94"/>
        <v>21168</v>
      </c>
      <c r="AE410" s="1948">
        <f t="shared" si="95"/>
        <v>0</v>
      </c>
      <c r="AF410" s="1948">
        <v>256</v>
      </c>
      <c r="AG410" s="1948">
        <v>86.2</v>
      </c>
      <c r="AH410" s="1948">
        <v>204.8</v>
      </c>
      <c r="AI410" s="1948">
        <v>0.97260000000000002</v>
      </c>
      <c r="AJ410" s="1948">
        <v>44</v>
      </c>
      <c r="AK410" s="1948">
        <v>28218</v>
      </c>
      <c r="AL410" s="1948">
        <f t="shared" si="96"/>
        <v>38480</v>
      </c>
      <c r="AM410" s="1948">
        <f t="shared" si="97"/>
        <v>0</v>
      </c>
      <c r="AN410" s="1948">
        <v>256</v>
      </c>
      <c r="AO410" s="1948">
        <v>58.2</v>
      </c>
      <c r="AP410" s="1948">
        <v>204.8</v>
      </c>
      <c r="AQ410" s="1948">
        <v>0.9637</v>
      </c>
      <c r="AR410" s="1948">
        <v>58.81</v>
      </c>
      <c r="AS410" s="1948">
        <v>25465</v>
      </c>
      <c r="AT410" s="1948">
        <f t="shared" si="98"/>
        <v>25980</v>
      </c>
      <c r="AU410" s="1948">
        <f t="shared" si="99"/>
        <v>0</v>
      </c>
      <c r="AV410" s="1948">
        <v>256</v>
      </c>
      <c r="AW410" s="1948">
        <v>1.0344</v>
      </c>
      <c r="AX410" s="1948">
        <v>204.8</v>
      </c>
      <c r="AY410" s="1948">
        <v>0.96640000000000004</v>
      </c>
      <c r="AZ410" s="1948">
        <v>44.96</v>
      </c>
      <c r="BA410" s="1948">
        <v>27903</v>
      </c>
      <c r="BB410" s="1948">
        <f t="shared" si="100"/>
        <v>447</v>
      </c>
      <c r="BC410" s="1948">
        <f t="shared" si="101"/>
        <v>27456</v>
      </c>
      <c r="BD410" s="1949">
        <v>256</v>
      </c>
      <c r="BE410" s="1948">
        <v>77.22</v>
      </c>
      <c r="BF410" s="1949">
        <v>204.8</v>
      </c>
      <c r="BG410" s="1949">
        <v>0.94630000000000003</v>
      </c>
      <c r="BH410" s="1949">
        <v>35.06</v>
      </c>
      <c r="BI410" s="1948">
        <v>20140</v>
      </c>
      <c r="BJ410" s="1948">
        <f t="shared" si="102"/>
        <v>34471</v>
      </c>
      <c r="BK410" s="1948">
        <f t="shared" si="103"/>
        <v>0</v>
      </c>
    </row>
    <row r="411" spans="1:63" ht="15">
      <c r="A411" s="1946">
        <v>622000000023</v>
      </c>
      <c r="B411" s="1947">
        <f t="shared" si="104"/>
        <v>405</v>
      </c>
      <c r="C411" s="1906" t="s">
        <v>3274</v>
      </c>
      <c r="D411" s="1907" t="s">
        <v>524</v>
      </c>
      <c r="E411" s="1906" t="s">
        <v>636</v>
      </c>
      <c r="F411" s="1948" t="s">
        <v>259</v>
      </c>
      <c r="G411" s="1949">
        <v>256</v>
      </c>
      <c r="H411" s="1948">
        <v>256</v>
      </c>
      <c r="I411" s="1950">
        <v>112.55999999999999</v>
      </c>
      <c r="J411" s="1948">
        <v>204.8</v>
      </c>
      <c r="K411" s="1948">
        <v>0.77</v>
      </c>
      <c r="L411" s="1948">
        <v>33.53</v>
      </c>
      <c r="M411" s="1948">
        <v>27171</v>
      </c>
      <c r="N411" s="1948">
        <f t="shared" si="90"/>
        <v>48626</v>
      </c>
      <c r="O411" s="1948">
        <f t="shared" si="91"/>
        <v>0</v>
      </c>
      <c r="P411" s="1948">
        <v>256</v>
      </c>
      <c r="Q411" s="1948">
        <v>124.08000000000001</v>
      </c>
      <c r="R411" s="1948">
        <v>204.8</v>
      </c>
      <c r="S411" s="1948">
        <v>0.80169999999999997</v>
      </c>
      <c r="T411" s="1948">
        <v>35.159999999999997</v>
      </c>
      <c r="U411" s="1948">
        <v>32460</v>
      </c>
      <c r="V411" s="1948">
        <f t="shared" si="92"/>
        <v>55389</v>
      </c>
      <c r="W411" s="1948">
        <f t="shared" si="93"/>
        <v>0</v>
      </c>
      <c r="X411" s="1948">
        <v>256</v>
      </c>
      <c r="Y411" s="1948">
        <v>136.56</v>
      </c>
      <c r="Z411" s="1948">
        <v>204.8</v>
      </c>
      <c r="AA411" s="1948">
        <v>0.80310000000000004</v>
      </c>
      <c r="AB411" s="1948">
        <v>33.840000000000003</v>
      </c>
      <c r="AC411" s="1948">
        <v>33276</v>
      </c>
      <c r="AD411" s="1948">
        <f t="shared" si="94"/>
        <v>58994</v>
      </c>
      <c r="AE411" s="1948">
        <f t="shared" si="95"/>
        <v>0</v>
      </c>
      <c r="AF411" s="1948">
        <v>256</v>
      </c>
      <c r="AG411" s="1948">
        <v>110.88</v>
      </c>
      <c r="AH411" s="1948">
        <v>204.8</v>
      </c>
      <c r="AI411" s="1948">
        <v>0.76859999999999995</v>
      </c>
      <c r="AJ411" s="1948">
        <v>38.630000000000003</v>
      </c>
      <c r="AK411" s="1948">
        <v>31866</v>
      </c>
      <c r="AL411" s="1948">
        <f t="shared" si="96"/>
        <v>49497</v>
      </c>
      <c r="AM411" s="1948">
        <f t="shared" si="97"/>
        <v>0</v>
      </c>
      <c r="AN411" s="1948">
        <v>256</v>
      </c>
      <c r="AO411" s="1948">
        <v>112.8</v>
      </c>
      <c r="AP411" s="1948">
        <v>204.8</v>
      </c>
      <c r="AQ411" s="1948">
        <v>0.75480000000000003</v>
      </c>
      <c r="AR411" s="1948">
        <v>34.69</v>
      </c>
      <c r="AS411" s="1948">
        <v>29112</v>
      </c>
      <c r="AT411" s="1948">
        <f t="shared" si="98"/>
        <v>50354</v>
      </c>
      <c r="AU411" s="1948">
        <f t="shared" si="99"/>
        <v>0</v>
      </c>
      <c r="AV411" s="1948">
        <v>256</v>
      </c>
      <c r="AW411" s="1948">
        <v>99.600000000000009</v>
      </c>
      <c r="AX411" s="1948">
        <v>204.8</v>
      </c>
      <c r="AY411" s="1948">
        <v>0.81879999999999997</v>
      </c>
      <c r="AZ411" s="1948">
        <v>38.119999999999997</v>
      </c>
      <c r="BA411" s="1948">
        <v>27336</v>
      </c>
      <c r="BB411" s="1948">
        <f t="shared" si="100"/>
        <v>43027</v>
      </c>
      <c r="BC411" s="1948">
        <f t="shared" si="101"/>
        <v>0</v>
      </c>
      <c r="BD411" s="1949">
        <v>256</v>
      </c>
      <c r="BE411" s="1948">
        <v>90.72</v>
      </c>
      <c r="BF411" s="1949">
        <v>204.8</v>
      </c>
      <c r="BG411" s="1949">
        <v>0.79410000000000003</v>
      </c>
      <c r="BH411" s="1949">
        <v>34.229999999999997</v>
      </c>
      <c r="BI411" s="1948">
        <v>23103</v>
      </c>
      <c r="BJ411" s="1948">
        <f t="shared" si="102"/>
        <v>40497</v>
      </c>
      <c r="BK411" s="1948">
        <f t="shared" si="103"/>
        <v>0</v>
      </c>
    </row>
    <row r="412" spans="1:63" ht="15">
      <c r="A412" s="1946">
        <v>124000000032</v>
      </c>
      <c r="B412" s="1947">
        <f t="shared" si="104"/>
        <v>406</v>
      </c>
      <c r="C412" s="1906" t="s">
        <v>3276</v>
      </c>
      <c r="D412" s="1907" t="s">
        <v>524</v>
      </c>
      <c r="E412" s="1906" t="s">
        <v>541</v>
      </c>
      <c r="F412" s="1948" t="s">
        <v>259</v>
      </c>
      <c r="G412" s="1949">
        <v>260</v>
      </c>
      <c r="H412" s="1948">
        <v>260</v>
      </c>
      <c r="I412" s="1950">
        <v>169.2</v>
      </c>
      <c r="J412" s="1948">
        <v>208</v>
      </c>
      <c r="K412" s="1948">
        <v>0.9909</v>
      </c>
      <c r="L412" s="1948">
        <v>34.479999999999997</v>
      </c>
      <c r="M412" s="1948">
        <v>40605</v>
      </c>
      <c r="N412" s="1948">
        <f t="shared" si="90"/>
        <v>73094</v>
      </c>
      <c r="O412" s="1948">
        <f t="shared" si="91"/>
        <v>0</v>
      </c>
      <c r="P412" s="1948">
        <v>260</v>
      </c>
      <c r="Q412" s="1948">
        <v>130.80000000000001</v>
      </c>
      <c r="R412" s="1948">
        <v>208</v>
      </c>
      <c r="S412" s="1948">
        <v>0.97499999999999998</v>
      </c>
      <c r="T412" s="1948">
        <v>37.04</v>
      </c>
      <c r="U412" s="1948">
        <v>37212</v>
      </c>
      <c r="V412" s="1948">
        <f t="shared" si="92"/>
        <v>58389</v>
      </c>
      <c r="W412" s="1948">
        <f t="shared" si="93"/>
        <v>0</v>
      </c>
      <c r="X412" s="1948">
        <v>260</v>
      </c>
      <c r="Y412" s="1948">
        <v>161.04000000000002</v>
      </c>
      <c r="Z412" s="1948">
        <v>208</v>
      </c>
      <c r="AA412" s="1948">
        <v>0.98499999999999999</v>
      </c>
      <c r="AB412" s="1948">
        <v>37.04</v>
      </c>
      <c r="AC412" s="1948">
        <v>37218</v>
      </c>
      <c r="AD412" s="1948">
        <f t="shared" si="94"/>
        <v>69569</v>
      </c>
      <c r="AE412" s="1948">
        <f t="shared" si="95"/>
        <v>0</v>
      </c>
      <c r="AF412" s="1948">
        <v>260</v>
      </c>
      <c r="AG412" s="1948">
        <v>184.32</v>
      </c>
      <c r="AH412" s="1948">
        <v>208</v>
      </c>
      <c r="AI412" s="1948">
        <v>0.98970000000000002</v>
      </c>
      <c r="AJ412" s="1948">
        <v>36.64</v>
      </c>
      <c r="AK412" s="1948">
        <v>56736</v>
      </c>
      <c r="AL412" s="1948">
        <f t="shared" si="96"/>
        <v>82280</v>
      </c>
      <c r="AM412" s="1948">
        <f t="shared" si="97"/>
        <v>0</v>
      </c>
      <c r="AN412" s="1948">
        <v>260</v>
      </c>
      <c r="AO412" s="1948">
        <v>194.4</v>
      </c>
      <c r="AP412" s="1948">
        <v>208</v>
      </c>
      <c r="AQ412" s="1948">
        <v>0.99450000000000005</v>
      </c>
      <c r="AR412" s="1948">
        <v>29.07</v>
      </c>
      <c r="AS412" s="1948">
        <v>42042</v>
      </c>
      <c r="AT412" s="1948">
        <f t="shared" si="98"/>
        <v>86780</v>
      </c>
      <c r="AU412" s="1948">
        <f t="shared" si="99"/>
        <v>0</v>
      </c>
      <c r="AV412" s="1948">
        <v>260</v>
      </c>
      <c r="AW412" s="1948">
        <v>247.2</v>
      </c>
      <c r="AX412" s="1948">
        <v>247.2</v>
      </c>
      <c r="AY412" s="1948">
        <v>0.93030000000000002</v>
      </c>
      <c r="AZ412" s="1948">
        <v>32.799999999999997</v>
      </c>
      <c r="BA412" s="1948">
        <v>58371</v>
      </c>
      <c r="BB412" s="1948">
        <f t="shared" si="100"/>
        <v>106790</v>
      </c>
      <c r="BC412" s="1948">
        <f t="shared" si="101"/>
        <v>0</v>
      </c>
      <c r="BD412" s="1949">
        <v>260</v>
      </c>
      <c r="BE412" s="1948">
        <v>334.56</v>
      </c>
      <c r="BF412" s="1949">
        <v>334.56</v>
      </c>
      <c r="BG412" s="1949">
        <v>0.61370000000000002</v>
      </c>
      <c r="BH412" s="1949">
        <v>39.33</v>
      </c>
      <c r="BI412" s="1948">
        <v>97896</v>
      </c>
      <c r="BJ412" s="1948">
        <f t="shared" si="102"/>
        <v>149348</v>
      </c>
      <c r="BK412" s="1948">
        <f t="shared" si="103"/>
        <v>0</v>
      </c>
    </row>
    <row r="413" spans="1:63" ht="15">
      <c r="A413" s="1946">
        <v>121000000017</v>
      </c>
      <c r="B413" s="1947">
        <f t="shared" si="104"/>
        <v>407</v>
      </c>
      <c r="C413" s="1906" t="s">
        <v>3275</v>
      </c>
      <c r="D413" s="1907" t="s">
        <v>524</v>
      </c>
      <c r="E413" s="1906" t="s">
        <v>541</v>
      </c>
      <c r="F413" s="1948" t="s">
        <v>259</v>
      </c>
      <c r="G413" s="1949">
        <v>260</v>
      </c>
      <c r="H413" s="1948">
        <v>260</v>
      </c>
      <c r="I413" s="1950">
        <v>261.76</v>
      </c>
      <c r="J413" s="1948">
        <v>261.76</v>
      </c>
      <c r="K413" s="1948">
        <v>0.97440000000000004</v>
      </c>
      <c r="L413" s="1948">
        <v>35.950000000000003</v>
      </c>
      <c r="M413" s="1948">
        <v>67754</v>
      </c>
      <c r="N413" s="1948">
        <f t="shared" si="90"/>
        <v>113080</v>
      </c>
      <c r="O413" s="1948">
        <f t="shared" si="91"/>
        <v>0</v>
      </c>
      <c r="P413" s="1948">
        <v>260</v>
      </c>
      <c r="Q413" s="1948">
        <v>319.20000000000005</v>
      </c>
      <c r="R413" s="1948">
        <v>319.2</v>
      </c>
      <c r="S413" s="1948">
        <v>0.95389999999999997</v>
      </c>
      <c r="T413" s="1948">
        <v>43.73</v>
      </c>
      <c r="U413" s="1948">
        <v>103858</v>
      </c>
      <c r="V413" s="1948">
        <f t="shared" si="92"/>
        <v>142491</v>
      </c>
      <c r="W413" s="1948">
        <f t="shared" si="93"/>
        <v>0</v>
      </c>
      <c r="X413" s="1948">
        <v>260</v>
      </c>
      <c r="Y413" s="1948">
        <v>300</v>
      </c>
      <c r="Z413" s="1948">
        <v>300</v>
      </c>
      <c r="AA413" s="1948">
        <v>0.9415</v>
      </c>
      <c r="AB413" s="1948">
        <v>45.35</v>
      </c>
      <c r="AC413" s="1948">
        <v>97946</v>
      </c>
      <c r="AD413" s="1948">
        <f t="shared" si="94"/>
        <v>129600</v>
      </c>
      <c r="AE413" s="1948">
        <f t="shared" si="95"/>
        <v>0</v>
      </c>
      <c r="AF413" s="1948">
        <v>260</v>
      </c>
      <c r="AG413" s="1948">
        <v>305.12</v>
      </c>
      <c r="AH413" s="1948">
        <v>305.12</v>
      </c>
      <c r="AI413" s="1948">
        <v>0.95150000000000001</v>
      </c>
      <c r="AJ413" s="1948">
        <v>36.14</v>
      </c>
      <c r="AK413" s="1948">
        <v>82034</v>
      </c>
      <c r="AL413" s="1948">
        <f t="shared" si="96"/>
        <v>136206</v>
      </c>
      <c r="AM413" s="1948">
        <f t="shared" si="97"/>
        <v>0</v>
      </c>
      <c r="AN413" s="1948">
        <v>260</v>
      </c>
      <c r="AO413" s="1948">
        <v>272</v>
      </c>
      <c r="AP413" s="1948">
        <v>272</v>
      </c>
      <c r="AQ413" s="1948">
        <v>0.96319999999999995</v>
      </c>
      <c r="AR413" s="1948">
        <v>46.04</v>
      </c>
      <c r="AS413" s="1948">
        <v>93180</v>
      </c>
      <c r="AT413" s="1948">
        <f t="shared" si="98"/>
        <v>121421</v>
      </c>
      <c r="AU413" s="1948">
        <f t="shared" si="99"/>
        <v>0</v>
      </c>
      <c r="AV413" s="1948">
        <v>260</v>
      </c>
      <c r="AW413" s="1948">
        <v>289.76</v>
      </c>
      <c r="AX413" s="1948">
        <v>289.76</v>
      </c>
      <c r="AY413" s="1948">
        <v>0.98570000000000002</v>
      </c>
      <c r="AZ413" s="1948">
        <v>51.77</v>
      </c>
      <c r="BA413" s="1948">
        <v>108016</v>
      </c>
      <c r="BB413" s="1948">
        <f t="shared" si="100"/>
        <v>125176</v>
      </c>
      <c r="BC413" s="1948">
        <f t="shared" si="101"/>
        <v>0</v>
      </c>
      <c r="BD413" s="1949">
        <v>260</v>
      </c>
      <c r="BE413" s="1948">
        <v>275.04000000000002</v>
      </c>
      <c r="BF413" s="1949">
        <v>275.04000000000002</v>
      </c>
      <c r="BG413" s="1949">
        <v>0.996</v>
      </c>
      <c r="BH413" s="1949">
        <v>21.7</v>
      </c>
      <c r="BI413" s="1948">
        <v>44406</v>
      </c>
      <c r="BJ413" s="1948">
        <f t="shared" si="102"/>
        <v>122778</v>
      </c>
      <c r="BK413" s="1948">
        <f t="shared" si="103"/>
        <v>0</v>
      </c>
    </row>
    <row r="414" spans="1:63" ht="15">
      <c r="A414" s="1946">
        <v>121000000100</v>
      </c>
      <c r="B414" s="1947">
        <f t="shared" si="104"/>
        <v>408</v>
      </c>
      <c r="C414" s="1906" t="s">
        <v>3277</v>
      </c>
      <c r="D414" s="1907" t="s">
        <v>524</v>
      </c>
      <c r="E414" s="1906" t="s">
        <v>2966</v>
      </c>
      <c r="F414" s="1948" t="s">
        <v>259</v>
      </c>
      <c r="G414" s="1949">
        <v>267</v>
      </c>
      <c r="H414" s="1948">
        <v>267</v>
      </c>
      <c r="I414" s="1950">
        <v>9.6</v>
      </c>
      <c r="J414" s="1948">
        <v>267</v>
      </c>
      <c r="K414" s="1948">
        <v>0.3977</v>
      </c>
      <c r="L414" s="1948">
        <v>0</v>
      </c>
      <c r="M414" s="1948">
        <v>880</v>
      </c>
      <c r="N414" s="1948">
        <f t="shared" si="90"/>
        <v>4147</v>
      </c>
      <c r="O414" s="1948">
        <f t="shared" si="91"/>
        <v>0</v>
      </c>
      <c r="P414" s="1948">
        <v>267</v>
      </c>
      <c r="Q414" s="1948">
        <v>7.1999999999999993</v>
      </c>
      <c r="R414" s="1948">
        <v>267</v>
      </c>
      <c r="S414" s="1948">
        <v>0.67210000000000003</v>
      </c>
      <c r="T414" s="1948">
        <v>0</v>
      </c>
      <c r="U414" s="1948">
        <v>732</v>
      </c>
      <c r="V414" s="1948">
        <f t="shared" si="92"/>
        <v>3214</v>
      </c>
      <c r="W414" s="1948">
        <f t="shared" si="93"/>
        <v>0</v>
      </c>
      <c r="X414" s="1948">
        <v>267</v>
      </c>
      <c r="Y414" s="1948">
        <v>96.48</v>
      </c>
      <c r="Z414" s="1948">
        <v>267</v>
      </c>
      <c r="AA414" s="1948">
        <v>0.69230000000000003</v>
      </c>
      <c r="AB414" s="1948">
        <v>0</v>
      </c>
      <c r="AC414" s="1948">
        <v>3790</v>
      </c>
      <c r="AD414" s="1948">
        <f t="shared" si="94"/>
        <v>41679</v>
      </c>
      <c r="AE414" s="1948">
        <f t="shared" si="95"/>
        <v>0</v>
      </c>
      <c r="AF414" s="1948">
        <v>267</v>
      </c>
      <c r="AG414" s="1948">
        <v>107.84</v>
      </c>
      <c r="AH414" s="1948">
        <v>267</v>
      </c>
      <c r="AI414" s="1948">
        <v>0.72289999999999999</v>
      </c>
      <c r="AJ414" s="1948">
        <v>0</v>
      </c>
      <c r="AK414" s="1948">
        <v>21278</v>
      </c>
      <c r="AL414" s="1948">
        <f t="shared" si="96"/>
        <v>48140</v>
      </c>
      <c r="AM414" s="1948">
        <f t="shared" si="97"/>
        <v>0</v>
      </c>
      <c r="AN414" s="1948">
        <v>267</v>
      </c>
      <c r="AO414" s="1948">
        <v>115.04</v>
      </c>
      <c r="AP414" s="1948">
        <v>267</v>
      </c>
      <c r="AQ414" s="1948">
        <v>0.74119999999999997</v>
      </c>
      <c r="AR414" s="1948">
        <v>0</v>
      </c>
      <c r="AS414" s="1948">
        <v>33278</v>
      </c>
      <c r="AT414" s="1948">
        <f t="shared" si="98"/>
        <v>51354</v>
      </c>
      <c r="AU414" s="1948">
        <f t="shared" si="99"/>
        <v>0</v>
      </c>
      <c r="AV414" s="1948">
        <v>267</v>
      </c>
      <c r="AW414" s="1948">
        <v>109.11999999999999</v>
      </c>
      <c r="AX414" s="1948">
        <v>267</v>
      </c>
      <c r="AY414" s="1948">
        <v>0.76490000000000002</v>
      </c>
      <c r="AZ414" s="1948">
        <v>0</v>
      </c>
      <c r="BA414" s="1948">
        <v>32444</v>
      </c>
      <c r="BB414" s="1948">
        <f t="shared" si="100"/>
        <v>47140</v>
      </c>
      <c r="BC414" s="1948">
        <f t="shared" si="101"/>
        <v>0</v>
      </c>
      <c r="BD414" s="1949">
        <v>267</v>
      </c>
      <c r="BE414" s="1948">
        <v>111.20000000000002</v>
      </c>
      <c r="BF414" s="1949">
        <v>267</v>
      </c>
      <c r="BG414" s="1949">
        <v>0.7319</v>
      </c>
      <c r="BH414" s="1949">
        <v>0</v>
      </c>
      <c r="BI414" s="1948">
        <v>31994</v>
      </c>
      <c r="BJ414" s="1948">
        <f t="shared" si="102"/>
        <v>49640</v>
      </c>
      <c r="BK414" s="1948">
        <f t="shared" si="103"/>
        <v>0</v>
      </c>
    </row>
    <row r="415" spans="1:63" ht="15">
      <c r="A415" s="1946">
        <v>122000000007</v>
      </c>
      <c r="B415" s="1947">
        <f t="shared" si="104"/>
        <v>409</v>
      </c>
      <c r="C415" s="1906" t="s">
        <v>3278</v>
      </c>
      <c r="D415" s="1907" t="s">
        <v>524</v>
      </c>
      <c r="E415" s="1906" t="s">
        <v>541</v>
      </c>
      <c r="F415" s="1948" t="s">
        <v>259</v>
      </c>
      <c r="G415" s="1949">
        <v>268</v>
      </c>
      <c r="H415" s="1948">
        <v>268</v>
      </c>
      <c r="I415" s="1950">
        <v>139.68</v>
      </c>
      <c r="J415" s="1948">
        <v>214.4</v>
      </c>
      <c r="K415" s="1948">
        <v>0.99839999999999995</v>
      </c>
      <c r="L415" s="1948">
        <v>28.37</v>
      </c>
      <c r="M415" s="1948">
        <v>28536</v>
      </c>
      <c r="N415" s="1948">
        <f t="shared" si="90"/>
        <v>60342</v>
      </c>
      <c r="O415" s="1948">
        <f t="shared" si="91"/>
        <v>0</v>
      </c>
      <c r="P415" s="1948">
        <v>268</v>
      </c>
      <c r="Q415" s="1948">
        <v>286.2</v>
      </c>
      <c r="R415" s="1948">
        <v>286.2</v>
      </c>
      <c r="S415" s="1948">
        <v>0.99680000000000002</v>
      </c>
      <c r="T415" s="1948">
        <v>53.46</v>
      </c>
      <c r="U415" s="1948">
        <v>113833</v>
      </c>
      <c r="V415" s="1948">
        <f t="shared" si="92"/>
        <v>127760</v>
      </c>
      <c r="W415" s="1948">
        <f t="shared" si="93"/>
        <v>0</v>
      </c>
      <c r="X415" s="1948">
        <v>268</v>
      </c>
      <c r="Y415" s="1948">
        <v>309.95999999999998</v>
      </c>
      <c r="Z415" s="1948">
        <v>309.95999999999998</v>
      </c>
      <c r="AA415" s="1948">
        <v>0.99550000000000005</v>
      </c>
      <c r="AB415" s="1948">
        <v>57.43</v>
      </c>
      <c r="AC415" s="1948">
        <v>128173</v>
      </c>
      <c r="AD415" s="1948">
        <f t="shared" si="94"/>
        <v>133903</v>
      </c>
      <c r="AE415" s="1948">
        <f t="shared" si="95"/>
        <v>0</v>
      </c>
      <c r="AF415" s="1948">
        <v>268</v>
      </c>
      <c r="AG415" s="1948">
        <v>287.28000000000003</v>
      </c>
      <c r="AH415" s="1948">
        <v>287.27999999999997</v>
      </c>
      <c r="AI415" s="1948">
        <v>0.99660000000000004</v>
      </c>
      <c r="AJ415" s="1948">
        <v>36.119999999999997</v>
      </c>
      <c r="AK415" s="1948">
        <v>77201</v>
      </c>
      <c r="AL415" s="1948">
        <f t="shared" si="96"/>
        <v>128242</v>
      </c>
      <c r="AM415" s="1948">
        <f t="shared" si="97"/>
        <v>0</v>
      </c>
      <c r="AN415" s="1948">
        <v>268</v>
      </c>
      <c r="AO415" s="1948">
        <v>228.35999999999999</v>
      </c>
      <c r="AP415" s="1948">
        <v>228.36</v>
      </c>
      <c r="AQ415" s="1948">
        <v>0.99629999999999996</v>
      </c>
      <c r="AR415" s="1948">
        <v>36.549999999999997</v>
      </c>
      <c r="AS415" s="1948">
        <v>62102</v>
      </c>
      <c r="AT415" s="1948">
        <f t="shared" si="98"/>
        <v>101940</v>
      </c>
      <c r="AU415" s="1948">
        <f t="shared" si="99"/>
        <v>0</v>
      </c>
      <c r="AV415" s="1948">
        <v>268</v>
      </c>
      <c r="AW415" s="1948">
        <v>230.88</v>
      </c>
      <c r="AX415" s="1948">
        <v>230.88</v>
      </c>
      <c r="AY415" s="1948">
        <v>0.995</v>
      </c>
      <c r="AZ415" s="1948">
        <v>38</v>
      </c>
      <c r="BA415" s="1948">
        <v>63172</v>
      </c>
      <c r="BB415" s="1948">
        <f t="shared" si="100"/>
        <v>99740</v>
      </c>
      <c r="BC415" s="1948">
        <f t="shared" si="101"/>
        <v>0</v>
      </c>
      <c r="BD415" s="1949">
        <v>268</v>
      </c>
      <c r="BE415" s="1948">
        <v>228.72</v>
      </c>
      <c r="BF415" s="1949">
        <v>228.72</v>
      </c>
      <c r="BG415" s="1949">
        <v>0.997</v>
      </c>
      <c r="BH415" s="1949">
        <v>32.25</v>
      </c>
      <c r="BI415" s="1948">
        <v>54874</v>
      </c>
      <c r="BJ415" s="1948">
        <f t="shared" si="102"/>
        <v>102101</v>
      </c>
      <c r="BK415" s="1948">
        <f t="shared" si="103"/>
        <v>0</v>
      </c>
    </row>
    <row r="416" spans="1:63" ht="15">
      <c r="A416" s="1946">
        <v>622000000149</v>
      </c>
      <c r="B416" s="1947">
        <f t="shared" si="104"/>
        <v>410</v>
      </c>
      <c r="C416" s="1906" t="s">
        <v>3279</v>
      </c>
      <c r="D416" s="1907" t="s">
        <v>524</v>
      </c>
      <c r="E416" s="1906" t="s">
        <v>636</v>
      </c>
      <c r="F416" s="1948" t="s">
        <v>259</v>
      </c>
      <c r="G416" s="1949">
        <v>268</v>
      </c>
      <c r="H416" s="1948">
        <v>268</v>
      </c>
      <c r="I416" s="1950">
        <v>124.47999999999999</v>
      </c>
      <c r="J416" s="1948">
        <v>214.4</v>
      </c>
      <c r="K416" s="1948">
        <v>0.83450000000000002</v>
      </c>
      <c r="L416" s="1948">
        <v>44.21</v>
      </c>
      <c r="M416" s="1948">
        <v>39620</v>
      </c>
      <c r="N416" s="1948">
        <f t="shared" si="90"/>
        <v>53775</v>
      </c>
      <c r="O416" s="1948">
        <f t="shared" si="91"/>
        <v>0</v>
      </c>
      <c r="P416" s="1948">
        <v>268</v>
      </c>
      <c r="Q416" s="1948">
        <v>144.79999999999998</v>
      </c>
      <c r="R416" s="1948">
        <v>214.4</v>
      </c>
      <c r="S416" s="1948">
        <v>0.81630000000000003</v>
      </c>
      <c r="T416" s="1948">
        <v>44.8</v>
      </c>
      <c r="U416" s="1948">
        <v>48264</v>
      </c>
      <c r="V416" s="1948">
        <f t="shared" si="92"/>
        <v>64639</v>
      </c>
      <c r="W416" s="1948">
        <f t="shared" si="93"/>
        <v>0</v>
      </c>
      <c r="X416" s="1948">
        <v>268</v>
      </c>
      <c r="Y416" s="1948">
        <v>172.64</v>
      </c>
      <c r="Z416" s="1948">
        <v>214.4</v>
      </c>
      <c r="AA416" s="1948">
        <v>0.80330000000000001</v>
      </c>
      <c r="AB416" s="1948">
        <v>38.18</v>
      </c>
      <c r="AC416" s="1948">
        <v>47456</v>
      </c>
      <c r="AD416" s="1948">
        <f t="shared" si="94"/>
        <v>74580</v>
      </c>
      <c r="AE416" s="1948">
        <f t="shared" si="95"/>
        <v>0</v>
      </c>
      <c r="AF416" s="1948">
        <v>268</v>
      </c>
      <c r="AG416" s="1948">
        <v>117.28</v>
      </c>
      <c r="AH416" s="1948">
        <v>214.4</v>
      </c>
      <c r="AI416" s="1948">
        <v>0.78720000000000001</v>
      </c>
      <c r="AJ416" s="1948">
        <v>48.19</v>
      </c>
      <c r="AK416" s="1948">
        <v>42050</v>
      </c>
      <c r="AL416" s="1948">
        <f t="shared" si="96"/>
        <v>52354</v>
      </c>
      <c r="AM416" s="1948">
        <f t="shared" si="97"/>
        <v>0</v>
      </c>
      <c r="AN416" s="1948">
        <v>268</v>
      </c>
      <c r="AO416" s="1948">
        <v>101.92000000000002</v>
      </c>
      <c r="AP416" s="1948">
        <v>214.4</v>
      </c>
      <c r="AQ416" s="1948">
        <v>0.91579999999999995</v>
      </c>
      <c r="AR416" s="1948">
        <v>41.93</v>
      </c>
      <c r="AS416" s="1948">
        <v>31794</v>
      </c>
      <c r="AT416" s="1948">
        <f t="shared" si="98"/>
        <v>45497</v>
      </c>
      <c r="AU416" s="1948">
        <f t="shared" si="99"/>
        <v>0</v>
      </c>
      <c r="AV416" s="1948">
        <v>268</v>
      </c>
      <c r="AW416" s="1948">
        <v>111.68</v>
      </c>
      <c r="AX416" s="1948">
        <v>214.4</v>
      </c>
      <c r="AY416" s="1948">
        <v>0.93310000000000004</v>
      </c>
      <c r="AZ416" s="1948">
        <v>41.57</v>
      </c>
      <c r="BA416" s="1948">
        <v>33430</v>
      </c>
      <c r="BB416" s="1948">
        <f t="shared" si="100"/>
        <v>48246</v>
      </c>
      <c r="BC416" s="1948">
        <f t="shared" si="101"/>
        <v>0</v>
      </c>
      <c r="BD416" s="1949">
        <v>268</v>
      </c>
      <c r="BE416" s="1948">
        <v>90.08</v>
      </c>
      <c r="BF416" s="1949">
        <v>214.4</v>
      </c>
      <c r="BG416" s="1949">
        <v>0.95140000000000002</v>
      </c>
      <c r="BH416" s="1949">
        <v>45.89</v>
      </c>
      <c r="BI416" s="1948">
        <v>30754</v>
      </c>
      <c r="BJ416" s="1948">
        <f t="shared" si="102"/>
        <v>40212</v>
      </c>
      <c r="BK416" s="1948">
        <f t="shared" si="103"/>
        <v>0</v>
      </c>
    </row>
    <row r="417" spans="1:63" ht="15">
      <c r="A417" s="1946">
        <v>122000000065</v>
      </c>
      <c r="B417" s="1947">
        <f t="shared" si="104"/>
        <v>411</v>
      </c>
      <c r="C417" s="1906" t="s">
        <v>3280</v>
      </c>
      <c r="D417" s="1907" t="s">
        <v>524</v>
      </c>
      <c r="E417" s="1906" t="s">
        <v>2966</v>
      </c>
      <c r="F417" s="1948" t="s">
        <v>259</v>
      </c>
      <c r="G417" s="1949">
        <v>270</v>
      </c>
      <c r="H417" s="1948">
        <v>270</v>
      </c>
      <c r="I417" s="1950">
        <v>61.559999999999995</v>
      </c>
      <c r="J417" s="1948">
        <v>270</v>
      </c>
      <c r="K417" s="1948">
        <v>0.88429999999999997</v>
      </c>
      <c r="L417" s="1948">
        <v>0</v>
      </c>
      <c r="M417" s="1948">
        <v>4298</v>
      </c>
      <c r="N417" s="1948">
        <f t="shared" si="90"/>
        <v>26594</v>
      </c>
      <c r="O417" s="1948">
        <f t="shared" si="91"/>
        <v>0</v>
      </c>
      <c r="P417" s="1948">
        <v>270</v>
      </c>
      <c r="Q417" s="1948">
        <v>11.4</v>
      </c>
      <c r="R417" s="1948">
        <v>270</v>
      </c>
      <c r="S417" s="1948">
        <v>0.92049999999999998</v>
      </c>
      <c r="T417" s="1948">
        <v>0</v>
      </c>
      <c r="U417" s="1948">
        <v>5272</v>
      </c>
      <c r="V417" s="1948">
        <f t="shared" si="92"/>
        <v>5089</v>
      </c>
      <c r="W417" s="1948">
        <f t="shared" si="93"/>
        <v>183</v>
      </c>
      <c r="X417" s="1948">
        <v>270</v>
      </c>
      <c r="Y417" s="1948">
        <v>12.36</v>
      </c>
      <c r="Z417" s="1948">
        <v>270</v>
      </c>
      <c r="AA417" s="1948">
        <v>0.89939999999999998</v>
      </c>
      <c r="AB417" s="1948">
        <v>0</v>
      </c>
      <c r="AC417" s="1948">
        <v>5720</v>
      </c>
      <c r="AD417" s="1948">
        <f t="shared" si="94"/>
        <v>5340</v>
      </c>
      <c r="AE417" s="1948">
        <f t="shared" si="95"/>
        <v>380</v>
      </c>
      <c r="AF417" s="1948">
        <v>270</v>
      </c>
      <c r="AG417" s="1948">
        <v>11.4</v>
      </c>
      <c r="AH417" s="1948">
        <v>270</v>
      </c>
      <c r="AI417" s="1948">
        <v>0.92759999999999998</v>
      </c>
      <c r="AJ417" s="1948">
        <v>0</v>
      </c>
      <c r="AK417" s="1948">
        <v>1547</v>
      </c>
      <c r="AL417" s="1948">
        <f t="shared" si="96"/>
        <v>5089</v>
      </c>
      <c r="AM417" s="1948">
        <f t="shared" si="97"/>
        <v>0</v>
      </c>
      <c r="AN417" s="1948">
        <v>270</v>
      </c>
      <c r="AO417" s="1948">
        <v>16.32</v>
      </c>
      <c r="AP417" s="1948">
        <v>270</v>
      </c>
      <c r="AQ417" s="1948">
        <v>0.85119999999999996</v>
      </c>
      <c r="AR417" s="1948">
        <v>0</v>
      </c>
      <c r="AS417" s="1948">
        <v>1822</v>
      </c>
      <c r="AT417" s="1948">
        <f t="shared" si="98"/>
        <v>7285</v>
      </c>
      <c r="AU417" s="1948">
        <f t="shared" si="99"/>
        <v>0</v>
      </c>
      <c r="AV417" s="1948">
        <v>270</v>
      </c>
      <c r="AW417" s="1948">
        <v>13.799999999999999</v>
      </c>
      <c r="AX417" s="1948">
        <v>270</v>
      </c>
      <c r="AY417" s="1948">
        <v>0.87570000000000003</v>
      </c>
      <c r="AZ417" s="1948">
        <v>0</v>
      </c>
      <c r="BA417" s="1948">
        <v>1360</v>
      </c>
      <c r="BB417" s="1948">
        <f t="shared" si="100"/>
        <v>5962</v>
      </c>
      <c r="BC417" s="1948">
        <f t="shared" si="101"/>
        <v>0</v>
      </c>
      <c r="BD417" s="1949">
        <v>270</v>
      </c>
      <c r="BE417" s="1948">
        <v>13.799999999999999</v>
      </c>
      <c r="BF417" s="1949">
        <v>270</v>
      </c>
      <c r="BG417" s="1949">
        <v>0.93230000000000002</v>
      </c>
      <c r="BH417" s="1949">
        <v>0</v>
      </c>
      <c r="BI417" s="1948">
        <v>1242</v>
      </c>
      <c r="BJ417" s="1948">
        <f t="shared" si="102"/>
        <v>6160</v>
      </c>
      <c r="BK417" s="1948">
        <f t="shared" si="103"/>
        <v>0</v>
      </c>
    </row>
    <row r="418" spans="1:63" ht="15">
      <c r="A418" s="1946">
        <v>124000000021</v>
      </c>
      <c r="B418" s="1947">
        <f t="shared" si="104"/>
        <v>412</v>
      </c>
      <c r="C418" s="1906" t="s">
        <v>3281</v>
      </c>
      <c r="D418" s="1907" t="s">
        <v>524</v>
      </c>
      <c r="E418" s="1906" t="s">
        <v>541</v>
      </c>
      <c r="F418" s="1948" t="s">
        <v>259</v>
      </c>
      <c r="G418" s="1949">
        <v>270</v>
      </c>
      <c r="H418" s="1948">
        <v>270</v>
      </c>
      <c r="I418" s="1950">
        <v>227.04</v>
      </c>
      <c r="J418" s="1948">
        <v>227.04</v>
      </c>
      <c r="K418" s="1948">
        <v>0.90549999999999997</v>
      </c>
      <c r="L418" s="1948">
        <v>52.7</v>
      </c>
      <c r="M418" s="1948">
        <v>86146</v>
      </c>
      <c r="N418" s="1948">
        <f t="shared" si="90"/>
        <v>98081</v>
      </c>
      <c r="O418" s="1948">
        <f t="shared" si="91"/>
        <v>0</v>
      </c>
      <c r="P418" s="1948">
        <v>270</v>
      </c>
      <c r="Q418" s="1948">
        <v>239.52</v>
      </c>
      <c r="R418" s="1948">
        <v>239.52</v>
      </c>
      <c r="S418" s="1948">
        <v>0.87480000000000002</v>
      </c>
      <c r="T418" s="1948">
        <v>45</v>
      </c>
      <c r="U418" s="1948">
        <v>80186</v>
      </c>
      <c r="V418" s="1948">
        <f t="shared" si="92"/>
        <v>106922</v>
      </c>
      <c r="W418" s="1948">
        <f t="shared" si="93"/>
        <v>0</v>
      </c>
      <c r="X418" s="1948">
        <v>270</v>
      </c>
      <c r="Y418" s="1948">
        <v>239.04000000000002</v>
      </c>
      <c r="Z418" s="1948">
        <v>239.04</v>
      </c>
      <c r="AA418" s="1948">
        <v>0.87729999999999997</v>
      </c>
      <c r="AB418" s="1948">
        <v>44.59</v>
      </c>
      <c r="AC418" s="1948">
        <v>76746</v>
      </c>
      <c r="AD418" s="1948">
        <f t="shared" si="94"/>
        <v>103265</v>
      </c>
      <c r="AE418" s="1948">
        <f t="shared" si="95"/>
        <v>0</v>
      </c>
      <c r="AF418" s="1948">
        <v>270</v>
      </c>
      <c r="AG418" s="1948">
        <v>233.6</v>
      </c>
      <c r="AH418" s="1948">
        <v>233.6</v>
      </c>
      <c r="AI418" s="1948">
        <v>0.89439999999999997</v>
      </c>
      <c r="AJ418" s="1948">
        <v>41.69</v>
      </c>
      <c r="AK418" s="1948">
        <v>72448</v>
      </c>
      <c r="AL418" s="1948">
        <f t="shared" si="96"/>
        <v>104279</v>
      </c>
      <c r="AM418" s="1948">
        <f t="shared" si="97"/>
        <v>0</v>
      </c>
      <c r="AN418" s="1948">
        <v>270</v>
      </c>
      <c r="AO418" s="1948">
        <v>198.72</v>
      </c>
      <c r="AP418" s="1948">
        <v>216</v>
      </c>
      <c r="AQ418" s="1948">
        <v>0.8044</v>
      </c>
      <c r="AR418" s="1948">
        <v>43.52</v>
      </c>
      <c r="AS418" s="1948">
        <v>64350</v>
      </c>
      <c r="AT418" s="1948">
        <f t="shared" si="98"/>
        <v>88709</v>
      </c>
      <c r="AU418" s="1948">
        <f t="shared" si="99"/>
        <v>0</v>
      </c>
      <c r="AV418" s="1948">
        <v>270</v>
      </c>
      <c r="AW418" s="1948">
        <v>192.96</v>
      </c>
      <c r="AX418" s="1948">
        <v>216</v>
      </c>
      <c r="AY418" s="1948">
        <v>0.42930000000000001</v>
      </c>
      <c r="AZ418" s="1948">
        <v>30.37</v>
      </c>
      <c r="BA418" s="1948">
        <v>42188</v>
      </c>
      <c r="BB418" s="1948">
        <f t="shared" si="100"/>
        <v>83359</v>
      </c>
      <c r="BC418" s="1948">
        <f t="shared" si="101"/>
        <v>0</v>
      </c>
      <c r="BD418" s="1949">
        <v>270</v>
      </c>
      <c r="BE418" s="1948">
        <v>144.48000000000002</v>
      </c>
      <c r="BF418" s="1949">
        <v>216</v>
      </c>
      <c r="BG418" s="1949">
        <v>0.12280000000000001</v>
      </c>
      <c r="BH418" s="1949">
        <v>40.409999999999997</v>
      </c>
      <c r="BI418" s="1948">
        <v>43436</v>
      </c>
      <c r="BJ418" s="1948">
        <f t="shared" si="102"/>
        <v>64496</v>
      </c>
      <c r="BK418" s="1948">
        <f t="shared" si="103"/>
        <v>0</v>
      </c>
    </row>
    <row r="419" spans="1:63" ht="15">
      <c r="A419" s="1946">
        <v>613000000014</v>
      </c>
      <c r="B419" s="1947">
        <f t="shared" si="104"/>
        <v>413</v>
      </c>
      <c r="C419" s="1906" t="s">
        <v>3572</v>
      </c>
      <c r="D419" s="1907" t="s">
        <v>524</v>
      </c>
      <c r="E419" s="1906" t="s">
        <v>541</v>
      </c>
      <c r="F419" s="1948" t="s">
        <v>259</v>
      </c>
      <c r="G419" s="1949">
        <v>270</v>
      </c>
      <c r="H419" s="1948">
        <v>270</v>
      </c>
      <c r="I419" s="1950">
        <v>0.152</v>
      </c>
      <c r="J419" s="1948">
        <v>216</v>
      </c>
      <c r="K419" s="1948">
        <v>0.74299999999999999</v>
      </c>
      <c r="L419" s="1948">
        <v>25.17</v>
      </c>
      <c r="M419" s="1948">
        <v>42407</v>
      </c>
      <c r="N419" s="1948">
        <f t="shared" si="90"/>
        <v>66</v>
      </c>
      <c r="O419" s="1948">
        <f t="shared" si="91"/>
        <v>42341</v>
      </c>
      <c r="P419" s="1948">
        <v>270</v>
      </c>
      <c r="Q419" s="1948">
        <v>292.76319999999998</v>
      </c>
      <c r="R419" s="1948">
        <v>292.76</v>
      </c>
      <c r="S419" s="1948">
        <v>0.73380000000000001</v>
      </c>
      <c r="T419" s="1948">
        <v>44.55</v>
      </c>
      <c r="U419" s="1948">
        <v>109554</v>
      </c>
      <c r="V419" s="1948">
        <f t="shared" si="92"/>
        <v>130689</v>
      </c>
      <c r="W419" s="1948">
        <f t="shared" si="93"/>
        <v>0</v>
      </c>
      <c r="X419" s="1948">
        <v>270</v>
      </c>
      <c r="Y419" s="1948">
        <v>294.17599999999999</v>
      </c>
      <c r="Z419" s="1948">
        <v>294.18</v>
      </c>
      <c r="AA419" s="1948">
        <v>0.76200000000000001</v>
      </c>
      <c r="AB419" s="1948">
        <v>16.8</v>
      </c>
      <c r="AC419" s="1948">
        <v>35586</v>
      </c>
      <c r="AD419" s="1948">
        <f t="shared" si="94"/>
        <v>127084</v>
      </c>
      <c r="AE419" s="1948">
        <f t="shared" si="95"/>
        <v>0</v>
      </c>
      <c r="AF419" s="1948">
        <v>270</v>
      </c>
      <c r="AG419" s="1948">
        <v>306.96159999999998</v>
      </c>
      <c r="AH419" s="1948">
        <v>306.95999999999998</v>
      </c>
      <c r="AI419" s="1948">
        <v>0.71819999999999995</v>
      </c>
      <c r="AJ419" s="1948">
        <v>36.54</v>
      </c>
      <c r="AK419" s="1948">
        <v>83446</v>
      </c>
      <c r="AL419" s="1948">
        <f t="shared" si="96"/>
        <v>137028</v>
      </c>
      <c r="AM419" s="1948">
        <f t="shared" si="97"/>
        <v>0</v>
      </c>
      <c r="AN419" s="1948">
        <v>270</v>
      </c>
      <c r="AO419" s="1948">
        <v>324.36959999999999</v>
      </c>
      <c r="AP419" s="1948">
        <v>324.37</v>
      </c>
      <c r="AQ419" s="1948">
        <v>0.70960000000000001</v>
      </c>
      <c r="AR419" s="1948">
        <v>35.17</v>
      </c>
      <c r="AS419" s="1948">
        <v>84888</v>
      </c>
      <c r="AT419" s="1948">
        <f t="shared" si="98"/>
        <v>144799</v>
      </c>
      <c r="AU419" s="1948">
        <f t="shared" si="99"/>
        <v>0</v>
      </c>
      <c r="AV419" s="1948">
        <v>270</v>
      </c>
      <c r="AW419" s="1948">
        <v>243.21600000000001</v>
      </c>
      <c r="AX419" s="1948">
        <v>243.22</v>
      </c>
      <c r="AY419" s="1948">
        <v>0.99639999999999995</v>
      </c>
      <c r="AZ419" s="1948">
        <v>42.1</v>
      </c>
      <c r="BA419" s="1948">
        <v>73730</v>
      </c>
      <c r="BB419" s="1948">
        <f t="shared" si="100"/>
        <v>105069</v>
      </c>
      <c r="BC419" s="1948">
        <f t="shared" si="101"/>
        <v>0</v>
      </c>
      <c r="BD419" s="1949">
        <v>270</v>
      </c>
      <c r="BE419" s="1948">
        <v>247.268</v>
      </c>
      <c r="BF419" s="1949">
        <v>247.27</v>
      </c>
      <c r="BG419" s="1949">
        <v>0.98939999999999995</v>
      </c>
      <c r="BH419" s="1949">
        <v>28.29</v>
      </c>
      <c r="BI419" s="1948">
        <v>52050</v>
      </c>
      <c r="BJ419" s="1948">
        <f t="shared" si="102"/>
        <v>110380</v>
      </c>
      <c r="BK419" s="1948">
        <f t="shared" si="103"/>
        <v>0</v>
      </c>
    </row>
    <row r="420" spans="1:63" ht="15">
      <c r="A420" s="982">
        <v>622000000188</v>
      </c>
      <c r="B420" s="1947">
        <f t="shared" si="104"/>
        <v>414</v>
      </c>
      <c r="C420" s="1895" t="s">
        <v>3282</v>
      </c>
      <c r="D420" s="1907" t="s">
        <v>3661</v>
      </c>
      <c r="E420" s="1895" t="s">
        <v>541</v>
      </c>
      <c r="F420" s="1951" t="s">
        <v>259</v>
      </c>
      <c r="G420" s="1951">
        <v>270</v>
      </c>
      <c r="H420" s="1951">
        <v>270</v>
      </c>
      <c r="I420" s="1952">
        <v>0</v>
      </c>
      <c r="J420" s="1951">
        <v>216</v>
      </c>
      <c r="K420" s="1951">
        <v>0</v>
      </c>
      <c r="L420" s="1951">
        <v>0</v>
      </c>
      <c r="M420" s="1951">
        <v>0</v>
      </c>
      <c r="N420" s="1948">
        <f t="shared" si="90"/>
        <v>0</v>
      </c>
      <c r="O420" s="1948">
        <f t="shared" si="91"/>
        <v>0</v>
      </c>
      <c r="P420" s="1948">
        <v>270</v>
      </c>
      <c r="Q420" s="1948">
        <v>0</v>
      </c>
      <c r="R420" s="1948">
        <v>0</v>
      </c>
      <c r="S420" s="1948">
        <v>0</v>
      </c>
      <c r="T420" s="1948">
        <v>0</v>
      </c>
      <c r="U420" s="1948">
        <v>0</v>
      </c>
      <c r="V420" s="1948">
        <f t="shared" si="92"/>
        <v>0</v>
      </c>
      <c r="W420" s="1948">
        <f t="shared" si="93"/>
        <v>0</v>
      </c>
      <c r="X420" s="1948">
        <v>270</v>
      </c>
      <c r="Y420" s="1948">
        <v>0</v>
      </c>
      <c r="Z420" s="1948">
        <v>0</v>
      </c>
      <c r="AA420" s="1948">
        <v>0</v>
      </c>
      <c r="AB420" s="1948">
        <v>0</v>
      </c>
      <c r="AC420" s="1948">
        <v>0</v>
      </c>
      <c r="AD420" s="1948">
        <f t="shared" si="94"/>
        <v>0</v>
      </c>
      <c r="AE420" s="1948">
        <f t="shared" si="95"/>
        <v>0</v>
      </c>
      <c r="AF420" s="1948">
        <v>0</v>
      </c>
      <c r="AG420" s="1948">
        <v>0</v>
      </c>
      <c r="AH420" s="1948">
        <v>0</v>
      </c>
      <c r="AI420" s="1948">
        <v>0</v>
      </c>
      <c r="AJ420" s="1948">
        <v>0</v>
      </c>
      <c r="AK420" s="1948">
        <v>0</v>
      </c>
      <c r="AL420" s="1948">
        <f t="shared" si="96"/>
        <v>0</v>
      </c>
      <c r="AM420" s="1948">
        <f t="shared" si="97"/>
        <v>0</v>
      </c>
      <c r="AN420" s="1948">
        <v>0</v>
      </c>
      <c r="AO420" s="1948">
        <v>0</v>
      </c>
      <c r="AP420" s="1948">
        <v>0</v>
      </c>
      <c r="AQ420" s="1948">
        <v>0</v>
      </c>
      <c r="AR420" s="1948">
        <v>0</v>
      </c>
      <c r="AS420" s="1948">
        <v>0</v>
      </c>
      <c r="AT420" s="1948">
        <f t="shared" si="98"/>
        <v>0</v>
      </c>
      <c r="AU420" s="1948">
        <f t="shared" si="99"/>
        <v>0</v>
      </c>
      <c r="AV420" s="1948">
        <v>0</v>
      </c>
      <c r="AW420" s="1948">
        <v>0</v>
      </c>
      <c r="AX420" s="1948">
        <v>0</v>
      </c>
      <c r="AY420" s="1948">
        <v>0</v>
      </c>
      <c r="AZ420" s="1948">
        <v>0</v>
      </c>
      <c r="BA420" s="1948">
        <v>0</v>
      </c>
      <c r="BB420" s="1948">
        <f t="shared" si="100"/>
        <v>0</v>
      </c>
      <c r="BC420" s="1948">
        <f t="shared" si="101"/>
        <v>0</v>
      </c>
      <c r="BD420" s="1948">
        <v>0</v>
      </c>
      <c r="BE420" s="1948">
        <v>0</v>
      </c>
      <c r="BF420" s="1948">
        <v>0</v>
      </c>
      <c r="BG420" s="1948">
        <v>0</v>
      </c>
      <c r="BH420" s="1948">
        <v>0</v>
      </c>
      <c r="BI420" s="1948">
        <v>0</v>
      </c>
      <c r="BJ420" s="1948">
        <f t="shared" si="102"/>
        <v>0</v>
      </c>
      <c r="BK420" s="1948">
        <f t="shared" si="103"/>
        <v>0</v>
      </c>
    </row>
    <row r="421" spans="1:63" ht="15">
      <c r="A421" s="1946">
        <v>622000000195</v>
      </c>
      <c r="B421" s="1947">
        <f t="shared" si="104"/>
        <v>415</v>
      </c>
      <c r="C421" s="1906" t="s">
        <v>3283</v>
      </c>
      <c r="D421" s="1907" t="s">
        <v>524</v>
      </c>
      <c r="E421" s="1906" t="s">
        <v>730</v>
      </c>
      <c r="F421" s="1948" t="s">
        <v>259</v>
      </c>
      <c r="G421" s="1949">
        <v>271</v>
      </c>
      <c r="H421" s="1948">
        <v>271</v>
      </c>
      <c r="I421" s="1950">
        <v>101.27999999999999</v>
      </c>
      <c r="J421" s="1948">
        <v>216.8</v>
      </c>
      <c r="K421" s="1948">
        <v>0.85319999999999996</v>
      </c>
      <c r="L421" s="1948">
        <v>35.01</v>
      </c>
      <c r="M421" s="1948">
        <v>26380</v>
      </c>
      <c r="N421" s="1948">
        <f t="shared" si="90"/>
        <v>43753</v>
      </c>
      <c r="O421" s="1948">
        <f t="shared" si="91"/>
        <v>0</v>
      </c>
      <c r="P421" s="1948">
        <v>271</v>
      </c>
      <c r="Q421" s="1948">
        <v>92</v>
      </c>
      <c r="R421" s="1948">
        <v>216.8</v>
      </c>
      <c r="S421" s="1948">
        <v>0.85660000000000003</v>
      </c>
      <c r="T421" s="1948">
        <v>34.92</v>
      </c>
      <c r="U421" s="1948">
        <v>27756</v>
      </c>
      <c r="V421" s="1948">
        <f t="shared" si="92"/>
        <v>41069</v>
      </c>
      <c r="W421" s="1948">
        <f t="shared" si="93"/>
        <v>0</v>
      </c>
      <c r="X421" s="1948">
        <v>271</v>
      </c>
      <c r="Y421" s="1948">
        <v>92.800000000000011</v>
      </c>
      <c r="Z421" s="1948">
        <v>216.8</v>
      </c>
      <c r="AA421" s="1948">
        <v>0.9</v>
      </c>
      <c r="AB421" s="1948">
        <v>22.4</v>
      </c>
      <c r="AC421" s="1948">
        <v>14968</v>
      </c>
      <c r="AD421" s="1948">
        <f t="shared" si="94"/>
        <v>40090</v>
      </c>
      <c r="AE421" s="1948">
        <f t="shared" si="95"/>
        <v>0</v>
      </c>
      <c r="AF421" s="1948">
        <v>271</v>
      </c>
      <c r="AG421" s="1948">
        <v>100</v>
      </c>
      <c r="AH421" s="1948">
        <v>216.8</v>
      </c>
      <c r="AI421" s="1948">
        <v>0.89929999999999999</v>
      </c>
      <c r="AJ421" s="1948">
        <v>17.739999999999998</v>
      </c>
      <c r="AK421" s="1948">
        <v>13196</v>
      </c>
      <c r="AL421" s="1948">
        <f t="shared" si="96"/>
        <v>44640</v>
      </c>
      <c r="AM421" s="1948">
        <f t="shared" si="97"/>
        <v>0</v>
      </c>
      <c r="AN421" s="1948">
        <v>271</v>
      </c>
      <c r="AO421" s="1948">
        <v>49.919999999999995</v>
      </c>
      <c r="AP421" s="1948">
        <v>216.8</v>
      </c>
      <c r="AQ421" s="1948">
        <v>0.93810000000000004</v>
      </c>
      <c r="AR421" s="1948">
        <v>36.659999999999997</v>
      </c>
      <c r="AS421" s="1948">
        <v>13614</v>
      </c>
      <c r="AT421" s="1948">
        <f t="shared" si="98"/>
        <v>22284</v>
      </c>
      <c r="AU421" s="1948">
        <f t="shared" si="99"/>
        <v>0</v>
      </c>
      <c r="AV421" s="1948">
        <v>271</v>
      </c>
      <c r="AW421" s="1948">
        <v>77.28</v>
      </c>
      <c r="AX421" s="1948">
        <v>216.8</v>
      </c>
      <c r="AY421" s="1948">
        <v>0.90659999999999996</v>
      </c>
      <c r="AZ421" s="1948">
        <v>17.010000000000002</v>
      </c>
      <c r="BA421" s="1948">
        <v>9466</v>
      </c>
      <c r="BB421" s="1948">
        <f t="shared" si="100"/>
        <v>33385</v>
      </c>
      <c r="BC421" s="1948">
        <f t="shared" si="101"/>
        <v>0</v>
      </c>
      <c r="BD421" s="1949">
        <v>271</v>
      </c>
      <c r="BE421" s="1948">
        <v>49.28</v>
      </c>
      <c r="BF421" s="1949">
        <v>216.8</v>
      </c>
      <c r="BG421" s="1949">
        <v>0.91369999999999996</v>
      </c>
      <c r="BH421" s="1949">
        <v>40.200000000000003</v>
      </c>
      <c r="BI421" s="1948">
        <v>14740</v>
      </c>
      <c r="BJ421" s="1948">
        <f t="shared" si="102"/>
        <v>21999</v>
      </c>
      <c r="BK421" s="1948">
        <f t="shared" si="103"/>
        <v>0</v>
      </c>
    </row>
    <row r="422" spans="1:63" ht="15">
      <c r="A422" s="1946">
        <v>122000000055</v>
      </c>
      <c r="B422" s="1947">
        <f t="shared" si="104"/>
        <v>416</v>
      </c>
      <c r="C422" s="1906" t="s">
        <v>3284</v>
      </c>
      <c r="D422" s="1907" t="s">
        <v>524</v>
      </c>
      <c r="E422" s="1906" t="s">
        <v>541</v>
      </c>
      <c r="F422" s="1948" t="s">
        <v>259</v>
      </c>
      <c r="G422" s="1949">
        <v>274</v>
      </c>
      <c r="H422" s="1948">
        <v>274</v>
      </c>
      <c r="I422" s="1950">
        <v>283.56</v>
      </c>
      <c r="J422" s="1948">
        <v>283.56</v>
      </c>
      <c r="K422" s="1948">
        <v>0.99009999999999998</v>
      </c>
      <c r="L422" s="1948">
        <v>54.04</v>
      </c>
      <c r="M422" s="1948">
        <v>110331</v>
      </c>
      <c r="N422" s="1948">
        <f t="shared" si="90"/>
        <v>122498</v>
      </c>
      <c r="O422" s="1948">
        <f t="shared" si="91"/>
        <v>0</v>
      </c>
      <c r="P422" s="1948">
        <v>274</v>
      </c>
      <c r="Q422" s="1948">
        <v>318.48</v>
      </c>
      <c r="R422" s="1948">
        <v>318.48</v>
      </c>
      <c r="S422" s="1948">
        <v>0.98350000000000004</v>
      </c>
      <c r="T422" s="1948">
        <v>57.26</v>
      </c>
      <c r="U422" s="1948">
        <v>135679</v>
      </c>
      <c r="V422" s="1948">
        <f t="shared" si="92"/>
        <v>142169</v>
      </c>
      <c r="W422" s="1948">
        <f t="shared" si="93"/>
        <v>0</v>
      </c>
      <c r="X422" s="1948">
        <v>274</v>
      </c>
      <c r="Y422" s="1948">
        <v>296.15999999999997</v>
      </c>
      <c r="Z422" s="1948">
        <v>296.16000000000003</v>
      </c>
      <c r="AA422" s="1948">
        <v>0.98199999999999998</v>
      </c>
      <c r="AB422" s="1948">
        <v>50.07</v>
      </c>
      <c r="AC422" s="1948">
        <v>106771</v>
      </c>
      <c r="AD422" s="1948">
        <f t="shared" si="94"/>
        <v>127941</v>
      </c>
      <c r="AE422" s="1948">
        <f t="shared" si="95"/>
        <v>0</v>
      </c>
      <c r="AF422" s="1948">
        <v>274</v>
      </c>
      <c r="AG422" s="1948">
        <v>267.71999999999997</v>
      </c>
      <c r="AH422" s="1948">
        <v>267.72000000000003</v>
      </c>
      <c r="AI422" s="1948">
        <v>0.96830000000000005</v>
      </c>
      <c r="AJ422" s="1948">
        <v>50.69</v>
      </c>
      <c r="AK422" s="1948">
        <v>100958</v>
      </c>
      <c r="AL422" s="1948">
        <f t="shared" si="96"/>
        <v>119510</v>
      </c>
      <c r="AM422" s="1948">
        <f t="shared" si="97"/>
        <v>0</v>
      </c>
      <c r="AN422" s="1948">
        <v>274</v>
      </c>
      <c r="AO422" s="1948">
        <v>259.68</v>
      </c>
      <c r="AP422" s="1948">
        <v>259.68</v>
      </c>
      <c r="AQ422" s="1948">
        <v>0.98440000000000005</v>
      </c>
      <c r="AR422" s="1948">
        <v>49.97</v>
      </c>
      <c r="AS422" s="1948">
        <v>96541</v>
      </c>
      <c r="AT422" s="1948">
        <f t="shared" si="98"/>
        <v>115921</v>
      </c>
      <c r="AU422" s="1948">
        <f t="shared" si="99"/>
        <v>0</v>
      </c>
      <c r="AV422" s="1948">
        <v>274</v>
      </c>
      <c r="AW422" s="1948">
        <v>259.91999999999996</v>
      </c>
      <c r="AX422" s="1948">
        <v>259.92</v>
      </c>
      <c r="AY422" s="1948">
        <v>0.97819999999999996</v>
      </c>
      <c r="AZ422" s="1948">
        <v>38.64</v>
      </c>
      <c r="BA422" s="1948">
        <v>72321</v>
      </c>
      <c r="BB422" s="1948">
        <f t="shared" si="100"/>
        <v>112285</v>
      </c>
      <c r="BC422" s="1948">
        <f t="shared" si="101"/>
        <v>0</v>
      </c>
      <c r="BD422" s="1949">
        <v>274</v>
      </c>
      <c r="BE422" s="1948">
        <v>239.16</v>
      </c>
      <c r="BF422" s="1949">
        <v>239.16</v>
      </c>
      <c r="BG422" s="1949">
        <v>0.97170000000000001</v>
      </c>
      <c r="BH422" s="1949">
        <v>38.299999999999997</v>
      </c>
      <c r="BI422" s="1948">
        <v>68154</v>
      </c>
      <c r="BJ422" s="1948">
        <f t="shared" si="102"/>
        <v>106761</v>
      </c>
      <c r="BK422" s="1948">
        <f t="shared" si="103"/>
        <v>0</v>
      </c>
    </row>
    <row r="423" spans="1:63" ht="15">
      <c r="A423" s="1946">
        <v>127000000014</v>
      </c>
      <c r="B423" s="1947">
        <f t="shared" si="104"/>
        <v>417</v>
      </c>
      <c r="C423" s="1906" t="s">
        <v>3285</v>
      </c>
      <c r="D423" s="1907" t="s">
        <v>524</v>
      </c>
      <c r="E423" s="1906" t="s">
        <v>730</v>
      </c>
      <c r="F423" s="1948" t="s">
        <v>259</v>
      </c>
      <c r="G423" s="1949">
        <v>275</v>
      </c>
      <c r="H423" s="1948">
        <v>275</v>
      </c>
      <c r="I423" s="1950">
        <v>98.4</v>
      </c>
      <c r="J423" s="1948">
        <v>220</v>
      </c>
      <c r="K423" s="1948">
        <v>0.91639999999999999</v>
      </c>
      <c r="L423" s="1948">
        <v>54.03</v>
      </c>
      <c r="M423" s="1948">
        <v>38282</v>
      </c>
      <c r="N423" s="1948">
        <f t="shared" si="90"/>
        <v>42509</v>
      </c>
      <c r="O423" s="1948">
        <f t="shared" si="91"/>
        <v>0</v>
      </c>
      <c r="P423" s="1948">
        <v>275</v>
      </c>
      <c r="Q423" s="1948">
        <v>98.08</v>
      </c>
      <c r="R423" s="1948">
        <v>220</v>
      </c>
      <c r="S423" s="1948">
        <v>0.9032</v>
      </c>
      <c r="T423" s="1948">
        <v>74.25</v>
      </c>
      <c r="U423" s="1948">
        <v>54178</v>
      </c>
      <c r="V423" s="1948">
        <f t="shared" si="92"/>
        <v>43783</v>
      </c>
      <c r="W423" s="1948">
        <f t="shared" si="93"/>
        <v>10395</v>
      </c>
      <c r="X423" s="1948">
        <v>275</v>
      </c>
      <c r="Y423" s="1948">
        <v>97.76</v>
      </c>
      <c r="Z423" s="1948">
        <v>220</v>
      </c>
      <c r="AA423" s="1948">
        <v>0.88590000000000002</v>
      </c>
      <c r="AB423" s="1948">
        <v>71.33</v>
      </c>
      <c r="AC423" s="1948">
        <v>50210</v>
      </c>
      <c r="AD423" s="1948">
        <f t="shared" si="94"/>
        <v>42232</v>
      </c>
      <c r="AE423" s="1948">
        <f t="shared" si="95"/>
        <v>7978</v>
      </c>
      <c r="AF423" s="1948">
        <v>275</v>
      </c>
      <c r="AG423" s="1948">
        <v>100.96000000000001</v>
      </c>
      <c r="AH423" s="1948">
        <v>220</v>
      </c>
      <c r="AI423" s="1948">
        <v>0.87939999999999996</v>
      </c>
      <c r="AJ423" s="1948">
        <v>74.260000000000005</v>
      </c>
      <c r="AK423" s="1948">
        <v>55782</v>
      </c>
      <c r="AL423" s="1948">
        <f t="shared" si="96"/>
        <v>45069</v>
      </c>
      <c r="AM423" s="1948">
        <f t="shared" si="97"/>
        <v>10713</v>
      </c>
      <c r="AN423" s="1948">
        <v>275</v>
      </c>
      <c r="AO423" s="1948">
        <v>127.67999999999999</v>
      </c>
      <c r="AP423" s="1948">
        <v>220</v>
      </c>
      <c r="AQ423" s="1948">
        <v>0.89249999999999996</v>
      </c>
      <c r="AR423" s="1948">
        <v>54.8</v>
      </c>
      <c r="AS423" s="1948">
        <v>52056</v>
      </c>
      <c r="AT423" s="1948">
        <f t="shared" si="98"/>
        <v>56996</v>
      </c>
      <c r="AU423" s="1948">
        <f t="shared" si="99"/>
        <v>0</v>
      </c>
      <c r="AV423" s="1948">
        <v>275</v>
      </c>
      <c r="AW423" s="1948">
        <v>100.64</v>
      </c>
      <c r="AX423" s="1948">
        <v>220</v>
      </c>
      <c r="AY423" s="1948">
        <v>0.90100000000000002</v>
      </c>
      <c r="AZ423" s="1948">
        <v>75.260000000000005</v>
      </c>
      <c r="BA423" s="1948">
        <v>54536</v>
      </c>
      <c r="BB423" s="1948">
        <f t="shared" si="100"/>
        <v>43476</v>
      </c>
      <c r="BC423" s="1948">
        <f t="shared" si="101"/>
        <v>11060</v>
      </c>
      <c r="BD423" s="1949">
        <v>275</v>
      </c>
      <c r="BE423" s="1948">
        <v>100.96000000000001</v>
      </c>
      <c r="BF423" s="1949">
        <v>220</v>
      </c>
      <c r="BG423" s="1949">
        <v>0.88049999999999995</v>
      </c>
      <c r="BH423" s="1949">
        <v>77</v>
      </c>
      <c r="BI423" s="1948">
        <v>57836</v>
      </c>
      <c r="BJ423" s="1948">
        <f t="shared" si="102"/>
        <v>45069</v>
      </c>
      <c r="BK423" s="1948">
        <f t="shared" si="103"/>
        <v>12767</v>
      </c>
    </row>
    <row r="424" spans="1:63" ht="15">
      <c r="A424" s="1946">
        <v>622000000156</v>
      </c>
      <c r="B424" s="1947">
        <f t="shared" si="104"/>
        <v>418</v>
      </c>
      <c r="C424" s="1906" t="s">
        <v>3286</v>
      </c>
      <c r="D424" s="1907" t="s">
        <v>524</v>
      </c>
      <c r="E424" s="1906" t="s">
        <v>541</v>
      </c>
      <c r="F424" s="1948" t="s">
        <v>259</v>
      </c>
      <c r="G424" s="1949">
        <v>275</v>
      </c>
      <c r="H424" s="1948">
        <v>275</v>
      </c>
      <c r="I424" s="1950">
        <v>222.20000000000002</v>
      </c>
      <c r="J424" s="1948">
        <v>222.2</v>
      </c>
      <c r="K424" s="1948">
        <v>0.86380000000000001</v>
      </c>
      <c r="L424" s="1948">
        <v>22.07</v>
      </c>
      <c r="M424" s="1948">
        <v>40017</v>
      </c>
      <c r="N424" s="1948">
        <f t="shared" si="90"/>
        <v>95990</v>
      </c>
      <c r="O424" s="1948">
        <f t="shared" si="91"/>
        <v>0</v>
      </c>
      <c r="P424" s="1948">
        <v>275</v>
      </c>
      <c r="Q424" s="1948">
        <v>207.2</v>
      </c>
      <c r="R424" s="1948">
        <v>220</v>
      </c>
      <c r="S424" s="1948">
        <v>0.77</v>
      </c>
      <c r="T424" s="1948">
        <v>20.66</v>
      </c>
      <c r="U424" s="1948">
        <v>26713</v>
      </c>
      <c r="V424" s="1948">
        <f t="shared" si="92"/>
        <v>92494</v>
      </c>
      <c r="W424" s="1948">
        <f t="shared" si="93"/>
        <v>0</v>
      </c>
      <c r="X424" s="1948">
        <v>275</v>
      </c>
      <c r="Y424" s="1948">
        <v>230.8</v>
      </c>
      <c r="Z424" s="1948">
        <v>230.8</v>
      </c>
      <c r="AA424" s="1948">
        <v>0.62880000000000003</v>
      </c>
      <c r="AB424" s="1948">
        <v>18.760000000000002</v>
      </c>
      <c r="AC424" s="1948">
        <v>34283</v>
      </c>
      <c r="AD424" s="1948">
        <f t="shared" si="94"/>
        <v>99706</v>
      </c>
      <c r="AE424" s="1948">
        <f t="shared" si="95"/>
        <v>0</v>
      </c>
      <c r="AF424" s="1948">
        <v>275</v>
      </c>
      <c r="AG424" s="1948">
        <v>241.60000000000002</v>
      </c>
      <c r="AH424" s="1948">
        <v>241.6</v>
      </c>
      <c r="AI424" s="1948">
        <v>0.59530000000000005</v>
      </c>
      <c r="AJ424" s="1948">
        <v>28.69</v>
      </c>
      <c r="AK424" s="1948">
        <v>51565</v>
      </c>
      <c r="AL424" s="1948">
        <f t="shared" si="96"/>
        <v>107850</v>
      </c>
      <c r="AM424" s="1948">
        <f t="shared" si="97"/>
        <v>0</v>
      </c>
      <c r="AN424" s="1948">
        <v>275</v>
      </c>
      <c r="AO424" s="1948">
        <v>221.6</v>
      </c>
      <c r="AP424" s="1948">
        <v>221.6</v>
      </c>
      <c r="AQ424" s="1948">
        <v>0.52149999999999996</v>
      </c>
      <c r="AR424" s="1948">
        <v>28.95</v>
      </c>
      <c r="AS424" s="1948">
        <v>47727</v>
      </c>
      <c r="AT424" s="1948">
        <f t="shared" si="98"/>
        <v>98922</v>
      </c>
      <c r="AU424" s="1948">
        <f t="shared" si="99"/>
        <v>0</v>
      </c>
      <c r="AV424" s="1948">
        <v>275</v>
      </c>
      <c r="AW424" s="1948">
        <v>199.6</v>
      </c>
      <c r="AX424" s="1948">
        <v>220</v>
      </c>
      <c r="AY424" s="1948">
        <v>0.66949999999999998</v>
      </c>
      <c r="AZ424" s="1948">
        <v>28.48</v>
      </c>
      <c r="BA424" s="1948">
        <v>40930</v>
      </c>
      <c r="BB424" s="1948">
        <f t="shared" si="100"/>
        <v>86227</v>
      </c>
      <c r="BC424" s="1948">
        <f t="shared" si="101"/>
        <v>0</v>
      </c>
      <c r="BD424" s="1949">
        <v>275</v>
      </c>
      <c r="BE424" s="1948">
        <v>231.4</v>
      </c>
      <c r="BF424" s="1949">
        <v>231.4</v>
      </c>
      <c r="BG424" s="1949">
        <v>0.80010000000000003</v>
      </c>
      <c r="BH424" s="1949">
        <v>26.52</v>
      </c>
      <c r="BI424" s="1948">
        <v>42708</v>
      </c>
      <c r="BJ424" s="1948">
        <f t="shared" si="102"/>
        <v>103297</v>
      </c>
      <c r="BK424" s="1948">
        <f t="shared" si="103"/>
        <v>0</v>
      </c>
    </row>
    <row r="425" spans="1:63" ht="15">
      <c r="A425" s="1946">
        <v>122000000050</v>
      </c>
      <c r="B425" s="1947">
        <f t="shared" si="104"/>
        <v>419</v>
      </c>
      <c r="C425" s="1906" t="s">
        <v>3290</v>
      </c>
      <c r="D425" s="1907" t="s">
        <v>524</v>
      </c>
      <c r="E425" s="1906" t="s">
        <v>623</v>
      </c>
      <c r="F425" s="1948" t="s">
        <v>259</v>
      </c>
      <c r="G425" s="1949">
        <v>278</v>
      </c>
      <c r="H425" s="1948">
        <v>278</v>
      </c>
      <c r="I425" s="1950">
        <v>215.16</v>
      </c>
      <c r="J425" s="1948">
        <v>278</v>
      </c>
      <c r="K425" s="1948">
        <v>0.9677</v>
      </c>
      <c r="L425" s="1948">
        <v>0</v>
      </c>
      <c r="M425" s="1948">
        <v>41095</v>
      </c>
      <c r="N425" s="1948">
        <f t="shared" si="90"/>
        <v>92949</v>
      </c>
      <c r="O425" s="1948">
        <f t="shared" si="91"/>
        <v>0</v>
      </c>
      <c r="P425" s="1948">
        <v>278</v>
      </c>
      <c r="Q425" s="1948">
        <v>420</v>
      </c>
      <c r="R425" s="1948">
        <v>420</v>
      </c>
      <c r="S425" s="1948">
        <v>0.99160000000000004</v>
      </c>
      <c r="T425" s="1948">
        <v>0</v>
      </c>
      <c r="U425" s="1948">
        <v>144777</v>
      </c>
      <c r="V425" s="1948">
        <f t="shared" si="92"/>
        <v>187488</v>
      </c>
      <c r="W425" s="1948">
        <f t="shared" si="93"/>
        <v>0</v>
      </c>
      <c r="X425" s="1948">
        <v>278</v>
      </c>
      <c r="Y425" s="1948">
        <v>418.32000000000005</v>
      </c>
      <c r="Z425" s="1948">
        <v>418.32</v>
      </c>
      <c r="AA425" s="1948">
        <v>0.9909</v>
      </c>
      <c r="AB425" s="1948">
        <v>0</v>
      </c>
      <c r="AC425" s="1948">
        <v>179746</v>
      </c>
      <c r="AD425" s="1948">
        <f t="shared" si="94"/>
        <v>180714</v>
      </c>
      <c r="AE425" s="1948">
        <f t="shared" si="95"/>
        <v>0</v>
      </c>
      <c r="AF425" s="1948">
        <v>278</v>
      </c>
      <c r="AG425" s="1948">
        <v>378.36</v>
      </c>
      <c r="AH425" s="1948">
        <v>378.36</v>
      </c>
      <c r="AI425" s="1948">
        <v>0.99050000000000005</v>
      </c>
      <c r="AJ425" s="1948">
        <v>0</v>
      </c>
      <c r="AK425" s="1948">
        <v>109760</v>
      </c>
      <c r="AL425" s="1948">
        <f t="shared" si="96"/>
        <v>168900</v>
      </c>
      <c r="AM425" s="1948">
        <f t="shared" si="97"/>
        <v>0</v>
      </c>
      <c r="AN425" s="1948">
        <v>278</v>
      </c>
      <c r="AO425" s="1948">
        <v>349.08</v>
      </c>
      <c r="AP425" s="1948">
        <v>349.08</v>
      </c>
      <c r="AQ425" s="1948">
        <v>0.98280000000000001</v>
      </c>
      <c r="AR425" s="1948">
        <v>0</v>
      </c>
      <c r="AS425" s="1948">
        <v>109873</v>
      </c>
      <c r="AT425" s="1948">
        <f t="shared" si="98"/>
        <v>155829</v>
      </c>
      <c r="AU425" s="1948">
        <f t="shared" si="99"/>
        <v>0</v>
      </c>
      <c r="AV425" s="1948">
        <v>278</v>
      </c>
      <c r="AW425" s="1948">
        <v>350.64000000000004</v>
      </c>
      <c r="AX425" s="1948">
        <v>350.64</v>
      </c>
      <c r="AY425" s="1948">
        <v>0.9819</v>
      </c>
      <c r="AZ425" s="1948">
        <v>0</v>
      </c>
      <c r="BA425" s="1948">
        <v>105286</v>
      </c>
      <c r="BB425" s="1948">
        <f t="shared" si="100"/>
        <v>151476</v>
      </c>
      <c r="BC425" s="1948">
        <f t="shared" si="101"/>
        <v>0</v>
      </c>
      <c r="BD425" s="1949">
        <v>278</v>
      </c>
      <c r="BE425" s="1948">
        <v>368.64</v>
      </c>
      <c r="BF425" s="1949">
        <v>368.64</v>
      </c>
      <c r="BG425" s="1949">
        <v>0.97699999999999998</v>
      </c>
      <c r="BH425" s="1949">
        <v>0</v>
      </c>
      <c r="BI425" s="1948">
        <v>100830</v>
      </c>
      <c r="BJ425" s="1948">
        <f t="shared" si="102"/>
        <v>164561</v>
      </c>
      <c r="BK425" s="1948">
        <f t="shared" si="103"/>
        <v>0</v>
      </c>
    </row>
    <row r="426" spans="1:63" ht="15">
      <c r="A426" s="1946">
        <v>122000000074</v>
      </c>
      <c r="B426" s="1947">
        <f t="shared" si="104"/>
        <v>420</v>
      </c>
      <c r="C426" s="1906" t="s">
        <v>3291</v>
      </c>
      <c r="D426" s="1907" t="s">
        <v>524</v>
      </c>
      <c r="E426" s="1906" t="s">
        <v>2966</v>
      </c>
      <c r="F426" s="1948" t="s">
        <v>259</v>
      </c>
      <c r="G426" s="1949">
        <v>278</v>
      </c>
      <c r="H426" s="1948">
        <v>278</v>
      </c>
      <c r="I426" s="1950">
        <v>95.52000000000001</v>
      </c>
      <c r="J426" s="1948">
        <v>278</v>
      </c>
      <c r="K426" s="1948">
        <v>0.93589999999999995</v>
      </c>
      <c r="L426" s="1948">
        <v>0</v>
      </c>
      <c r="M426" s="1948">
        <v>27375</v>
      </c>
      <c r="N426" s="1948">
        <f t="shared" si="90"/>
        <v>41265</v>
      </c>
      <c r="O426" s="1948">
        <f t="shared" si="91"/>
        <v>0</v>
      </c>
      <c r="P426" s="1948">
        <v>278</v>
      </c>
      <c r="Q426" s="1948">
        <v>121.92</v>
      </c>
      <c r="R426" s="1948">
        <v>278</v>
      </c>
      <c r="S426" s="1948">
        <v>0.78910000000000002</v>
      </c>
      <c r="T426" s="1948">
        <v>0</v>
      </c>
      <c r="U426" s="1948">
        <v>34482</v>
      </c>
      <c r="V426" s="1948">
        <f t="shared" si="92"/>
        <v>54425</v>
      </c>
      <c r="W426" s="1948">
        <f t="shared" si="93"/>
        <v>0</v>
      </c>
      <c r="X426" s="1948">
        <v>278</v>
      </c>
      <c r="Y426" s="1948">
        <v>116.16</v>
      </c>
      <c r="Z426" s="1948">
        <v>278</v>
      </c>
      <c r="AA426" s="1948">
        <v>0.72589999999999999</v>
      </c>
      <c r="AB426" s="1948">
        <v>0</v>
      </c>
      <c r="AC426" s="1948">
        <v>29173</v>
      </c>
      <c r="AD426" s="1948">
        <f t="shared" si="94"/>
        <v>50181</v>
      </c>
      <c r="AE426" s="1948">
        <f t="shared" si="95"/>
        <v>0</v>
      </c>
      <c r="AF426" s="1948">
        <v>278</v>
      </c>
      <c r="AG426" s="1948">
        <v>62.28</v>
      </c>
      <c r="AH426" s="1948">
        <v>278</v>
      </c>
      <c r="AI426" s="1948">
        <v>0.3</v>
      </c>
      <c r="AJ426" s="1948">
        <v>0</v>
      </c>
      <c r="AK426" s="1948">
        <v>3509</v>
      </c>
      <c r="AL426" s="1948">
        <f t="shared" si="96"/>
        <v>27802</v>
      </c>
      <c r="AM426" s="1948">
        <f t="shared" si="97"/>
        <v>0</v>
      </c>
      <c r="AN426" s="1948">
        <v>278</v>
      </c>
      <c r="AO426" s="1948">
        <v>88.199999999999989</v>
      </c>
      <c r="AP426" s="1948">
        <v>278</v>
      </c>
      <c r="AQ426" s="1948">
        <v>0.40329999999999999</v>
      </c>
      <c r="AR426" s="1948">
        <v>0</v>
      </c>
      <c r="AS426" s="1948">
        <v>4596</v>
      </c>
      <c r="AT426" s="1948">
        <f t="shared" si="98"/>
        <v>39372</v>
      </c>
      <c r="AU426" s="1948">
        <f t="shared" si="99"/>
        <v>0</v>
      </c>
      <c r="AV426" s="1948">
        <v>278</v>
      </c>
      <c r="AW426" s="1948">
        <v>14.76</v>
      </c>
      <c r="AX426" s="1948">
        <v>278</v>
      </c>
      <c r="AY426" s="1948">
        <v>0.1875</v>
      </c>
      <c r="AZ426" s="1948">
        <v>0</v>
      </c>
      <c r="BA426" s="1948">
        <v>928</v>
      </c>
      <c r="BB426" s="1948">
        <f t="shared" si="100"/>
        <v>6376</v>
      </c>
      <c r="BC426" s="1948">
        <f t="shared" si="101"/>
        <v>0</v>
      </c>
      <c r="BD426" s="1949">
        <v>278</v>
      </c>
      <c r="BE426" s="1948">
        <v>0.12000000000000001</v>
      </c>
      <c r="BF426" s="1949">
        <v>278</v>
      </c>
      <c r="BG426" s="1949">
        <v>0.1232</v>
      </c>
      <c r="BH426" s="1949">
        <v>0</v>
      </c>
      <c r="BI426" s="1948">
        <v>146</v>
      </c>
      <c r="BJ426" s="1948">
        <f t="shared" si="102"/>
        <v>54</v>
      </c>
      <c r="BK426" s="1948">
        <f t="shared" si="103"/>
        <v>92</v>
      </c>
    </row>
    <row r="427" spans="1:63" ht="15">
      <c r="A427" s="1946">
        <v>122000000079</v>
      </c>
      <c r="B427" s="1947">
        <f t="shared" si="104"/>
        <v>421</v>
      </c>
      <c r="C427" s="1906" t="s">
        <v>3292</v>
      </c>
      <c r="D427" s="1907" t="s">
        <v>524</v>
      </c>
      <c r="E427" s="1906" t="s">
        <v>2966</v>
      </c>
      <c r="F427" s="1948" t="s">
        <v>259</v>
      </c>
      <c r="G427" s="1949">
        <v>278</v>
      </c>
      <c r="H427" s="1948">
        <v>278</v>
      </c>
      <c r="I427" s="1950">
        <v>29.599999999999998</v>
      </c>
      <c r="J427" s="1948">
        <v>278</v>
      </c>
      <c r="K427" s="1948">
        <v>0.72840000000000005</v>
      </c>
      <c r="L427" s="1948">
        <v>0</v>
      </c>
      <c r="M427" s="1948">
        <v>6172</v>
      </c>
      <c r="N427" s="1948">
        <f t="shared" si="90"/>
        <v>12787</v>
      </c>
      <c r="O427" s="1948">
        <f t="shared" si="91"/>
        <v>0</v>
      </c>
      <c r="P427" s="1948">
        <v>278</v>
      </c>
      <c r="Q427" s="1948">
        <v>29.12</v>
      </c>
      <c r="R427" s="1948">
        <v>278</v>
      </c>
      <c r="S427" s="1948">
        <v>0.69279999999999997</v>
      </c>
      <c r="T427" s="1948">
        <v>0</v>
      </c>
      <c r="U427" s="1948">
        <v>6004</v>
      </c>
      <c r="V427" s="1948">
        <f t="shared" si="92"/>
        <v>12999</v>
      </c>
      <c r="W427" s="1948">
        <f t="shared" si="93"/>
        <v>0</v>
      </c>
      <c r="X427" s="1948">
        <v>278</v>
      </c>
      <c r="Y427" s="1948">
        <v>39.200000000000003</v>
      </c>
      <c r="Z427" s="1948">
        <v>278</v>
      </c>
      <c r="AA427" s="1948">
        <v>0.64990000000000003</v>
      </c>
      <c r="AB427" s="1948">
        <v>0</v>
      </c>
      <c r="AC427" s="1948">
        <v>6668</v>
      </c>
      <c r="AD427" s="1948">
        <f t="shared" si="94"/>
        <v>16934</v>
      </c>
      <c r="AE427" s="1948">
        <f t="shared" si="95"/>
        <v>0</v>
      </c>
      <c r="AF427" s="1948">
        <v>278</v>
      </c>
      <c r="AG427" s="1948">
        <v>23.200000000000003</v>
      </c>
      <c r="AH427" s="1948">
        <v>278</v>
      </c>
      <c r="AI427" s="1948">
        <v>0.44750000000000001</v>
      </c>
      <c r="AJ427" s="1948">
        <v>0</v>
      </c>
      <c r="AK427" s="1948">
        <v>3624</v>
      </c>
      <c r="AL427" s="1948">
        <f t="shared" si="96"/>
        <v>10356</v>
      </c>
      <c r="AM427" s="1948">
        <f t="shared" si="97"/>
        <v>0</v>
      </c>
      <c r="AN427" s="1948">
        <v>278</v>
      </c>
      <c r="AO427" s="1948">
        <v>22.88</v>
      </c>
      <c r="AP427" s="1948">
        <v>278</v>
      </c>
      <c r="AQ427" s="1948">
        <v>0.3841</v>
      </c>
      <c r="AR427" s="1948">
        <v>0</v>
      </c>
      <c r="AS427" s="1948">
        <v>3108</v>
      </c>
      <c r="AT427" s="1948">
        <f t="shared" si="98"/>
        <v>10214</v>
      </c>
      <c r="AU427" s="1948">
        <f t="shared" si="99"/>
        <v>0</v>
      </c>
      <c r="AV427" s="1948">
        <v>278</v>
      </c>
      <c r="AW427" s="1948">
        <v>11.200000000000001</v>
      </c>
      <c r="AX427" s="1948">
        <v>278</v>
      </c>
      <c r="AY427" s="1948">
        <v>0.35560000000000003</v>
      </c>
      <c r="AZ427" s="1948">
        <v>0</v>
      </c>
      <c r="BA427" s="1948">
        <v>2654</v>
      </c>
      <c r="BB427" s="1948">
        <f t="shared" si="100"/>
        <v>4838</v>
      </c>
      <c r="BC427" s="1948">
        <f t="shared" si="101"/>
        <v>0</v>
      </c>
      <c r="BD427" s="1949">
        <v>278</v>
      </c>
      <c r="BE427" s="1948">
        <v>17.119999999999997</v>
      </c>
      <c r="BF427" s="1949">
        <v>278</v>
      </c>
      <c r="BG427" s="1949">
        <v>0.46439999999999998</v>
      </c>
      <c r="BH427" s="1949">
        <v>0</v>
      </c>
      <c r="BI427" s="1948">
        <v>2558</v>
      </c>
      <c r="BJ427" s="1948">
        <f t="shared" si="102"/>
        <v>7642</v>
      </c>
      <c r="BK427" s="1948">
        <f t="shared" si="103"/>
        <v>0</v>
      </c>
    </row>
    <row r="428" spans="1:63" ht="15">
      <c r="A428" s="1946">
        <v>123000000074</v>
      </c>
      <c r="B428" s="1947">
        <f t="shared" si="104"/>
        <v>422</v>
      </c>
      <c r="C428" s="1906" t="s">
        <v>3233</v>
      </c>
      <c r="D428" s="1907" t="s">
        <v>524</v>
      </c>
      <c r="E428" s="1906" t="s">
        <v>2966</v>
      </c>
      <c r="F428" s="1948" t="s">
        <v>259</v>
      </c>
      <c r="G428" s="1949">
        <v>278</v>
      </c>
      <c r="H428" s="1948">
        <v>278</v>
      </c>
      <c r="I428" s="1950">
        <v>147.84</v>
      </c>
      <c r="J428" s="1948">
        <v>278</v>
      </c>
      <c r="K428" s="1948">
        <v>0.96740000000000004</v>
      </c>
      <c r="L428" s="1948">
        <v>0</v>
      </c>
      <c r="M428" s="1948">
        <v>39130</v>
      </c>
      <c r="N428" s="1948">
        <f t="shared" si="90"/>
        <v>63867</v>
      </c>
      <c r="O428" s="1948">
        <f t="shared" si="91"/>
        <v>0</v>
      </c>
      <c r="P428" s="1948">
        <v>278</v>
      </c>
      <c r="Q428" s="1948">
        <v>141.6</v>
      </c>
      <c r="R428" s="1948">
        <v>278</v>
      </c>
      <c r="S428" s="1948">
        <v>0.97899999999999998</v>
      </c>
      <c r="T428" s="1948">
        <v>0</v>
      </c>
      <c r="U428" s="1948">
        <v>39546</v>
      </c>
      <c r="V428" s="1948">
        <f t="shared" si="92"/>
        <v>63210</v>
      </c>
      <c r="W428" s="1948">
        <f t="shared" si="93"/>
        <v>0</v>
      </c>
      <c r="X428" s="1948">
        <v>278</v>
      </c>
      <c r="Y428" s="1948">
        <v>89.92</v>
      </c>
      <c r="Z428" s="1948">
        <v>278</v>
      </c>
      <c r="AA428" s="1948">
        <v>0.98319999999999996</v>
      </c>
      <c r="AB428" s="1948">
        <v>0</v>
      </c>
      <c r="AC428" s="1948">
        <v>34280</v>
      </c>
      <c r="AD428" s="1948">
        <f t="shared" si="94"/>
        <v>38845</v>
      </c>
      <c r="AE428" s="1948">
        <f t="shared" si="95"/>
        <v>0</v>
      </c>
      <c r="AF428" s="1948">
        <v>278</v>
      </c>
      <c r="AG428" s="1948">
        <v>113.44000000000001</v>
      </c>
      <c r="AH428" s="1948">
        <v>278</v>
      </c>
      <c r="AI428" s="1948">
        <v>0.98629999999999995</v>
      </c>
      <c r="AJ428" s="1948">
        <v>0</v>
      </c>
      <c r="AK428" s="1948">
        <v>24094</v>
      </c>
      <c r="AL428" s="1948">
        <f t="shared" si="96"/>
        <v>50640</v>
      </c>
      <c r="AM428" s="1948">
        <f t="shared" si="97"/>
        <v>0</v>
      </c>
      <c r="AN428" s="1948">
        <v>278</v>
      </c>
      <c r="AO428" s="1948">
        <v>114.72</v>
      </c>
      <c r="AP428" s="1948">
        <v>278</v>
      </c>
      <c r="AQ428" s="1948">
        <v>0.97219999999999995</v>
      </c>
      <c r="AR428" s="1948">
        <v>0</v>
      </c>
      <c r="AS428" s="1948">
        <v>29480</v>
      </c>
      <c r="AT428" s="1948">
        <f t="shared" si="98"/>
        <v>51211</v>
      </c>
      <c r="AU428" s="1948">
        <f t="shared" si="99"/>
        <v>0</v>
      </c>
      <c r="AV428" s="1948">
        <v>278</v>
      </c>
      <c r="AW428" s="1948">
        <v>119.68</v>
      </c>
      <c r="AX428" s="1948">
        <v>278</v>
      </c>
      <c r="AY428" s="1948">
        <v>0.97519999999999996</v>
      </c>
      <c r="AZ428" s="1948">
        <v>0</v>
      </c>
      <c r="BA428" s="1948">
        <v>30646</v>
      </c>
      <c r="BB428" s="1948">
        <f t="shared" si="100"/>
        <v>51702</v>
      </c>
      <c r="BC428" s="1948">
        <f t="shared" si="101"/>
        <v>0</v>
      </c>
      <c r="BD428" s="1949">
        <v>278</v>
      </c>
      <c r="BE428" s="1948">
        <v>136.64000000000001</v>
      </c>
      <c r="BF428" s="1949">
        <v>278</v>
      </c>
      <c r="BG428" s="1949">
        <v>0.97560000000000002</v>
      </c>
      <c r="BH428" s="1949">
        <v>0</v>
      </c>
      <c r="BI428" s="1948">
        <v>43166</v>
      </c>
      <c r="BJ428" s="1948">
        <f t="shared" si="102"/>
        <v>60996</v>
      </c>
      <c r="BK428" s="1948">
        <f t="shared" si="103"/>
        <v>0</v>
      </c>
    </row>
    <row r="429" spans="1:63" ht="15">
      <c r="A429" s="1946">
        <v>123000000087</v>
      </c>
      <c r="B429" s="1947">
        <f t="shared" si="104"/>
        <v>423</v>
      </c>
      <c r="C429" s="1906" t="s">
        <v>3293</v>
      </c>
      <c r="D429" s="1907" t="s">
        <v>524</v>
      </c>
      <c r="E429" s="1906" t="s">
        <v>636</v>
      </c>
      <c r="F429" s="1948" t="s">
        <v>259</v>
      </c>
      <c r="G429" s="1949">
        <v>278</v>
      </c>
      <c r="H429" s="1948">
        <v>278</v>
      </c>
      <c r="I429" s="1950">
        <v>275.52</v>
      </c>
      <c r="J429" s="1948">
        <v>275.52</v>
      </c>
      <c r="K429" s="1948">
        <v>0.997</v>
      </c>
      <c r="L429" s="1948">
        <v>27.11</v>
      </c>
      <c r="M429" s="1948">
        <v>53780</v>
      </c>
      <c r="N429" s="1948">
        <f t="shared" si="90"/>
        <v>119025</v>
      </c>
      <c r="O429" s="1948">
        <f t="shared" si="91"/>
        <v>0</v>
      </c>
      <c r="P429" s="1948">
        <v>278</v>
      </c>
      <c r="Q429" s="1948">
        <v>271.68</v>
      </c>
      <c r="R429" s="1948">
        <v>271.68</v>
      </c>
      <c r="S429" s="1948">
        <v>0.99690000000000001</v>
      </c>
      <c r="T429" s="1948">
        <v>30.01</v>
      </c>
      <c r="U429" s="1948">
        <v>60658</v>
      </c>
      <c r="V429" s="1948">
        <f t="shared" si="92"/>
        <v>121278</v>
      </c>
      <c r="W429" s="1948">
        <f t="shared" si="93"/>
        <v>0</v>
      </c>
      <c r="X429" s="1948">
        <v>278</v>
      </c>
      <c r="Y429" s="1948">
        <v>291.68</v>
      </c>
      <c r="Z429" s="1948">
        <v>291.68</v>
      </c>
      <c r="AA429" s="1948">
        <v>0.99760000000000004</v>
      </c>
      <c r="AB429" s="1948">
        <v>29.75</v>
      </c>
      <c r="AC429" s="1948">
        <v>62486</v>
      </c>
      <c r="AD429" s="1948">
        <f t="shared" si="94"/>
        <v>126006</v>
      </c>
      <c r="AE429" s="1948">
        <f t="shared" si="95"/>
        <v>0</v>
      </c>
      <c r="AF429" s="1948">
        <v>278</v>
      </c>
      <c r="AG429" s="1948">
        <v>253.28</v>
      </c>
      <c r="AH429" s="1948">
        <v>253.28</v>
      </c>
      <c r="AI429" s="1948">
        <v>0.997</v>
      </c>
      <c r="AJ429" s="1948">
        <v>31.22</v>
      </c>
      <c r="AK429" s="1948">
        <v>58828</v>
      </c>
      <c r="AL429" s="1948">
        <f t="shared" si="96"/>
        <v>113064</v>
      </c>
      <c r="AM429" s="1948">
        <f t="shared" si="97"/>
        <v>0</v>
      </c>
      <c r="AN429" s="1948">
        <v>278</v>
      </c>
      <c r="AO429" s="1948">
        <v>260.64</v>
      </c>
      <c r="AP429" s="1948">
        <v>260.64</v>
      </c>
      <c r="AQ429" s="1948">
        <v>0.995</v>
      </c>
      <c r="AR429" s="1948">
        <v>28.32</v>
      </c>
      <c r="AS429" s="1948">
        <v>54910</v>
      </c>
      <c r="AT429" s="1948">
        <f t="shared" si="98"/>
        <v>116350</v>
      </c>
      <c r="AU429" s="1948">
        <f t="shared" si="99"/>
        <v>0</v>
      </c>
      <c r="AV429" s="1948">
        <v>278</v>
      </c>
      <c r="AW429" s="1948">
        <v>245.92000000000002</v>
      </c>
      <c r="AX429" s="1948">
        <v>245.92</v>
      </c>
      <c r="AY429" s="1948">
        <v>0.99360000000000004</v>
      </c>
      <c r="AZ429" s="1948">
        <v>29.83</v>
      </c>
      <c r="BA429" s="1948">
        <v>52818</v>
      </c>
      <c r="BB429" s="1948">
        <f t="shared" si="100"/>
        <v>106237</v>
      </c>
      <c r="BC429" s="1948">
        <f t="shared" si="101"/>
        <v>0</v>
      </c>
      <c r="BD429" s="1949">
        <v>278</v>
      </c>
      <c r="BE429" s="1948">
        <v>244.64000000000001</v>
      </c>
      <c r="BF429" s="1949">
        <v>244.64</v>
      </c>
      <c r="BG429" s="1949">
        <v>0.9919</v>
      </c>
      <c r="BH429" s="1949">
        <v>29.01</v>
      </c>
      <c r="BI429" s="1948">
        <v>52802</v>
      </c>
      <c r="BJ429" s="1948">
        <f t="shared" si="102"/>
        <v>109207</v>
      </c>
      <c r="BK429" s="1948">
        <f t="shared" si="103"/>
        <v>0</v>
      </c>
    </row>
    <row r="430" spans="1:63" ht="15">
      <c r="A430" s="1946">
        <v>123000000094</v>
      </c>
      <c r="B430" s="1947">
        <f t="shared" si="104"/>
        <v>424</v>
      </c>
      <c r="C430" s="1906" t="s">
        <v>3294</v>
      </c>
      <c r="D430" s="1907" t="s">
        <v>524</v>
      </c>
      <c r="E430" s="1906" t="s">
        <v>541</v>
      </c>
      <c r="F430" s="1948" t="s">
        <v>259</v>
      </c>
      <c r="G430" s="1949">
        <v>278</v>
      </c>
      <c r="H430" s="1948">
        <v>278</v>
      </c>
      <c r="I430" s="1950">
        <v>144.63999999999999</v>
      </c>
      <c r="J430" s="1948">
        <v>222.4</v>
      </c>
      <c r="K430" s="1948">
        <v>0.93189999999999995</v>
      </c>
      <c r="L430" s="1948">
        <v>17.62</v>
      </c>
      <c r="M430" s="1948">
        <v>18348</v>
      </c>
      <c r="N430" s="1948">
        <f t="shared" si="90"/>
        <v>62484</v>
      </c>
      <c r="O430" s="1948">
        <f t="shared" si="91"/>
        <v>0</v>
      </c>
      <c r="P430" s="1948">
        <v>278</v>
      </c>
      <c r="Q430" s="1948">
        <v>140.64000000000001</v>
      </c>
      <c r="R430" s="1948">
        <v>222.4</v>
      </c>
      <c r="S430" s="1948">
        <v>0.9345</v>
      </c>
      <c r="T430" s="1948">
        <v>13.05</v>
      </c>
      <c r="U430" s="1948">
        <v>13652</v>
      </c>
      <c r="V430" s="1948">
        <f t="shared" si="92"/>
        <v>62782</v>
      </c>
      <c r="W430" s="1948">
        <f t="shared" si="93"/>
        <v>0</v>
      </c>
      <c r="X430" s="1948">
        <v>278</v>
      </c>
      <c r="Y430" s="1948">
        <v>170.23999999999998</v>
      </c>
      <c r="Z430" s="1948">
        <v>222.4</v>
      </c>
      <c r="AA430" s="1948">
        <v>0.84950000000000003</v>
      </c>
      <c r="AB430" s="1948">
        <v>14.23</v>
      </c>
      <c r="AC430" s="1948">
        <v>17446</v>
      </c>
      <c r="AD430" s="1948">
        <f t="shared" si="94"/>
        <v>73544</v>
      </c>
      <c r="AE430" s="1948">
        <f t="shared" si="95"/>
        <v>0</v>
      </c>
      <c r="AF430" s="1948">
        <v>278</v>
      </c>
      <c r="AG430" s="1948">
        <v>90.56</v>
      </c>
      <c r="AH430" s="1948">
        <v>222.4</v>
      </c>
      <c r="AI430" s="1948">
        <v>0.88019999999999998</v>
      </c>
      <c r="AJ430" s="1948">
        <v>5.16</v>
      </c>
      <c r="AK430" s="1948">
        <v>3474</v>
      </c>
      <c r="AL430" s="1948">
        <f t="shared" si="96"/>
        <v>40426</v>
      </c>
      <c r="AM430" s="1948">
        <f t="shared" si="97"/>
        <v>0</v>
      </c>
      <c r="AN430" s="1948">
        <v>278</v>
      </c>
      <c r="AO430" s="1948">
        <v>154.24</v>
      </c>
      <c r="AP430" s="1948">
        <v>222.4</v>
      </c>
      <c r="AQ430" s="1948">
        <v>0.84079999999999999</v>
      </c>
      <c r="AR430" s="1948">
        <v>10.199999999999999</v>
      </c>
      <c r="AS430" s="1948">
        <v>11710</v>
      </c>
      <c r="AT430" s="1948">
        <f t="shared" si="98"/>
        <v>68853</v>
      </c>
      <c r="AU430" s="1948">
        <f t="shared" si="99"/>
        <v>0</v>
      </c>
      <c r="AV430" s="1948">
        <v>278</v>
      </c>
      <c r="AW430" s="1948">
        <v>115.19999999999999</v>
      </c>
      <c r="AX430" s="1948">
        <v>222.4</v>
      </c>
      <c r="AY430" s="1948">
        <v>0.83899999999999997</v>
      </c>
      <c r="AZ430" s="1948">
        <v>11.44</v>
      </c>
      <c r="BA430" s="1948">
        <v>9492</v>
      </c>
      <c r="BB430" s="1948">
        <f t="shared" si="100"/>
        <v>49766</v>
      </c>
      <c r="BC430" s="1948">
        <f t="shared" si="101"/>
        <v>0</v>
      </c>
      <c r="BD430" s="1949">
        <v>278</v>
      </c>
      <c r="BE430" s="1948">
        <v>121.6</v>
      </c>
      <c r="BF430" s="1949">
        <v>222.4</v>
      </c>
      <c r="BG430" s="1949">
        <v>0.8387</v>
      </c>
      <c r="BH430" s="1949">
        <v>10.63</v>
      </c>
      <c r="BI430" s="1948">
        <v>9614</v>
      </c>
      <c r="BJ430" s="1948">
        <f t="shared" si="102"/>
        <v>54282</v>
      </c>
      <c r="BK430" s="1948">
        <f t="shared" si="103"/>
        <v>0</v>
      </c>
    </row>
    <row r="431" spans="1:63" ht="15">
      <c r="A431" s="1946">
        <v>123000000098</v>
      </c>
      <c r="B431" s="1947">
        <f t="shared" si="104"/>
        <v>425</v>
      </c>
      <c r="C431" s="1906" t="s">
        <v>3295</v>
      </c>
      <c r="D431" s="1907" t="s">
        <v>524</v>
      </c>
      <c r="E431" s="1906" t="s">
        <v>2966</v>
      </c>
      <c r="F431" s="1948" t="s">
        <v>259</v>
      </c>
      <c r="G431" s="1949">
        <v>278</v>
      </c>
      <c r="H431" s="1948">
        <v>278</v>
      </c>
      <c r="I431" s="1950">
        <v>96</v>
      </c>
      <c r="J431" s="1948">
        <v>278</v>
      </c>
      <c r="K431" s="1948">
        <v>0.56879999999999997</v>
      </c>
      <c r="L431" s="1948">
        <v>0</v>
      </c>
      <c r="M431" s="1948">
        <v>11011</v>
      </c>
      <c r="N431" s="1948">
        <f t="shared" si="90"/>
        <v>41472</v>
      </c>
      <c r="O431" s="1948">
        <f t="shared" si="91"/>
        <v>0</v>
      </c>
      <c r="P431" s="1948">
        <v>278</v>
      </c>
      <c r="Q431" s="1948">
        <v>73.92</v>
      </c>
      <c r="R431" s="1948">
        <v>278</v>
      </c>
      <c r="S431" s="1948">
        <v>0.73529999999999995</v>
      </c>
      <c r="T431" s="1948">
        <v>0</v>
      </c>
      <c r="U431" s="1948">
        <v>15015</v>
      </c>
      <c r="V431" s="1948">
        <f t="shared" si="92"/>
        <v>32998</v>
      </c>
      <c r="W431" s="1948">
        <f t="shared" si="93"/>
        <v>0</v>
      </c>
      <c r="X431" s="1948">
        <v>278</v>
      </c>
      <c r="Y431" s="1948">
        <v>64.08</v>
      </c>
      <c r="Z431" s="1948">
        <v>278</v>
      </c>
      <c r="AA431" s="1948">
        <v>0.82050000000000001</v>
      </c>
      <c r="AB431" s="1948">
        <v>0</v>
      </c>
      <c r="AC431" s="1948">
        <v>15819</v>
      </c>
      <c r="AD431" s="1948">
        <f t="shared" si="94"/>
        <v>27683</v>
      </c>
      <c r="AE431" s="1948">
        <f t="shared" si="95"/>
        <v>0</v>
      </c>
      <c r="AF431" s="1948">
        <v>278</v>
      </c>
      <c r="AG431" s="1948">
        <v>78.239999999999995</v>
      </c>
      <c r="AH431" s="1948">
        <v>278</v>
      </c>
      <c r="AI431" s="1948">
        <v>0.6663</v>
      </c>
      <c r="AJ431" s="1948">
        <v>0</v>
      </c>
      <c r="AK431" s="1948">
        <v>8311</v>
      </c>
      <c r="AL431" s="1948">
        <f t="shared" si="96"/>
        <v>34926</v>
      </c>
      <c r="AM431" s="1948">
        <f t="shared" si="97"/>
        <v>0</v>
      </c>
      <c r="AN431" s="1948">
        <v>278</v>
      </c>
      <c r="AO431" s="1948">
        <v>30.599999999999998</v>
      </c>
      <c r="AP431" s="1948">
        <v>278</v>
      </c>
      <c r="AQ431" s="1948">
        <v>0.45</v>
      </c>
      <c r="AR431" s="1948">
        <v>0</v>
      </c>
      <c r="AS431" s="1948">
        <v>5671</v>
      </c>
      <c r="AT431" s="1948">
        <f t="shared" si="98"/>
        <v>13660</v>
      </c>
      <c r="AU431" s="1948">
        <f t="shared" si="99"/>
        <v>0</v>
      </c>
      <c r="AV431" s="1948">
        <v>278</v>
      </c>
      <c r="AW431" s="1948">
        <v>47.160000000000004</v>
      </c>
      <c r="AX431" s="1948">
        <v>278</v>
      </c>
      <c r="AY431" s="1948">
        <v>0.37559999999999999</v>
      </c>
      <c r="AZ431" s="1948">
        <v>0</v>
      </c>
      <c r="BA431" s="1948">
        <v>6011</v>
      </c>
      <c r="BB431" s="1948">
        <f t="shared" si="100"/>
        <v>20373</v>
      </c>
      <c r="BC431" s="1948">
        <f t="shared" si="101"/>
        <v>0</v>
      </c>
      <c r="BD431" s="1949">
        <v>278</v>
      </c>
      <c r="BE431" s="1948">
        <v>34.68</v>
      </c>
      <c r="BF431" s="1949">
        <v>278</v>
      </c>
      <c r="BG431" s="1949">
        <v>0.2306</v>
      </c>
      <c r="BH431" s="1949">
        <v>0</v>
      </c>
      <c r="BI431" s="1948">
        <v>7218</v>
      </c>
      <c r="BJ431" s="1948">
        <f t="shared" si="102"/>
        <v>15481</v>
      </c>
      <c r="BK431" s="1948">
        <f t="shared" si="103"/>
        <v>0</v>
      </c>
    </row>
    <row r="432" spans="1:63" ht="15">
      <c r="A432" s="1946">
        <v>123000000106</v>
      </c>
      <c r="B432" s="1947">
        <f t="shared" si="104"/>
        <v>426</v>
      </c>
      <c r="C432" s="1906" t="s">
        <v>3296</v>
      </c>
      <c r="D432" s="1907" t="s">
        <v>524</v>
      </c>
      <c r="E432" s="1906" t="s">
        <v>2966</v>
      </c>
      <c r="F432" s="1948" t="s">
        <v>259</v>
      </c>
      <c r="G432" s="1949">
        <v>278</v>
      </c>
      <c r="H432" s="1948">
        <v>278</v>
      </c>
      <c r="I432" s="1950">
        <v>164.64</v>
      </c>
      <c r="J432" s="1948">
        <v>278</v>
      </c>
      <c r="K432" s="1948">
        <v>0.82420000000000004</v>
      </c>
      <c r="L432" s="1948">
        <v>0</v>
      </c>
      <c r="M432" s="1948">
        <v>56464</v>
      </c>
      <c r="N432" s="1948">
        <f t="shared" si="90"/>
        <v>71124</v>
      </c>
      <c r="O432" s="1948">
        <f t="shared" si="91"/>
        <v>0</v>
      </c>
      <c r="P432" s="1948">
        <v>278</v>
      </c>
      <c r="Q432" s="1948">
        <v>191.27999999999997</v>
      </c>
      <c r="R432" s="1948">
        <v>278</v>
      </c>
      <c r="S432" s="1948">
        <v>0.83650000000000002</v>
      </c>
      <c r="T432" s="1948">
        <v>0</v>
      </c>
      <c r="U432" s="1948">
        <v>71043</v>
      </c>
      <c r="V432" s="1948">
        <f t="shared" si="92"/>
        <v>85387</v>
      </c>
      <c r="W432" s="1948">
        <f t="shared" si="93"/>
        <v>0</v>
      </c>
      <c r="X432" s="1948">
        <v>278</v>
      </c>
      <c r="Y432" s="1948">
        <v>207.23999999999998</v>
      </c>
      <c r="Z432" s="1948">
        <v>278</v>
      </c>
      <c r="AA432" s="1948">
        <v>0.82850000000000001</v>
      </c>
      <c r="AB432" s="1948">
        <v>0</v>
      </c>
      <c r="AC432" s="1948">
        <v>77886</v>
      </c>
      <c r="AD432" s="1948">
        <f t="shared" si="94"/>
        <v>89528</v>
      </c>
      <c r="AE432" s="1948">
        <f t="shared" si="95"/>
        <v>0</v>
      </c>
      <c r="AF432" s="1948">
        <v>278</v>
      </c>
      <c r="AG432" s="1948">
        <v>209.64</v>
      </c>
      <c r="AH432" s="1948">
        <v>278</v>
      </c>
      <c r="AI432" s="1948">
        <v>0.83169999999999999</v>
      </c>
      <c r="AJ432" s="1948">
        <v>0</v>
      </c>
      <c r="AK432" s="1948">
        <v>89310</v>
      </c>
      <c r="AL432" s="1948">
        <f t="shared" si="96"/>
        <v>93583</v>
      </c>
      <c r="AM432" s="1948">
        <f t="shared" si="97"/>
        <v>0</v>
      </c>
      <c r="AN432" s="1948">
        <v>278</v>
      </c>
      <c r="AO432" s="1948">
        <v>206.88</v>
      </c>
      <c r="AP432" s="1948">
        <v>278</v>
      </c>
      <c r="AQ432" s="1948">
        <v>0.80420000000000003</v>
      </c>
      <c r="AR432" s="1948">
        <v>0</v>
      </c>
      <c r="AS432" s="1948">
        <v>49788</v>
      </c>
      <c r="AT432" s="1948">
        <f t="shared" si="98"/>
        <v>92351</v>
      </c>
      <c r="AU432" s="1948">
        <f t="shared" si="99"/>
        <v>0</v>
      </c>
      <c r="AV432" s="1948">
        <v>278</v>
      </c>
      <c r="AW432" s="1948">
        <v>109.08</v>
      </c>
      <c r="AX432" s="1948">
        <v>278</v>
      </c>
      <c r="AY432" s="1948">
        <v>0.73880000000000001</v>
      </c>
      <c r="AZ432" s="1948">
        <v>0</v>
      </c>
      <c r="BA432" s="1948">
        <v>26495</v>
      </c>
      <c r="BB432" s="1948">
        <f t="shared" si="100"/>
        <v>47123</v>
      </c>
      <c r="BC432" s="1948">
        <f t="shared" si="101"/>
        <v>0</v>
      </c>
      <c r="BD432" s="1949">
        <v>278</v>
      </c>
      <c r="BE432" s="1948">
        <v>148.32</v>
      </c>
      <c r="BF432" s="1949">
        <v>278</v>
      </c>
      <c r="BG432" s="1949">
        <v>0.77329999999999999</v>
      </c>
      <c r="BH432" s="1949">
        <v>0</v>
      </c>
      <c r="BI432" s="1948">
        <v>55417</v>
      </c>
      <c r="BJ432" s="1948">
        <f t="shared" si="102"/>
        <v>66210</v>
      </c>
      <c r="BK432" s="1948">
        <f t="shared" si="103"/>
        <v>0</v>
      </c>
    </row>
    <row r="433" spans="1:63" ht="15">
      <c r="A433" s="1946">
        <v>123000000116</v>
      </c>
      <c r="B433" s="1947">
        <f t="shared" si="104"/>
        <v>427</v>
      </c>
      <c r="C433" s="1906" t="s">
        <v>3296</v>
      </c>
      <c r="D433" s="1907" t="s">
        <v>524</v>
      </c>
      <c r="E433" s="1906" t="s">
        <v>2966</v>
      </c>
      <c r="F433" s="1948" t="s">
        <v>259</v>
      </c>
      <c r="G433" s="1949">
        <v>278</v>
      </c>
      <c r="H433" s="1948">
        <v>278</v>
      </c>
      <c r="I433" s="1950">
        <v>141.36000000000001</v>
      </c>
      <c r="J433" s="1948">
        <v>278</v>
      </c>
      <c r="K433" s="1948">
        <v>0.74199999999999999</v>
      </c>
      <c r="L433" s="1948">
        <v>0</v>
      </c>
      <c r="M433" s="1948">
        <v>33642</v>
      </c>
      <c r="N433" s="1948">
        <f t="shared" si="90"/>
        <v>61068</v>
      </c>
      <c r="O433" s="1948">
        <f t="shared" si="91"/>
        <v>0</v>
      </c>
      <c r="P433" s="1948">
        <v>278</v>
      </c>
      <c r="Q433" s="1948">
        <v>170.64</v>
      </c>
      <c r="R433" s="1948">
        <v>278</v>
      </c>
      <c r="S433" s="1948">
        <v>0.79359999999999997</v>
      </c>
      <c r="T433" s="1948">
        <v>0</v>
      </c>
      <c r="U433" s="1948">
        <v>47802</v>
      </c>
      <c r="V433" s="1948">
        <f t="shared" si="92"/>
        <v>76174</v>
      </c>
      <c r="W433" s="1948">
        <f t="shared" si="93"/>
        <v>0</v>
      </c>
      <c r="X433" s="1948">
        <v>278</v>
      </c>
      <c r="Y433" s="1948">
        <v>167.04</v>
      </c>
      <c r="Z433" s="1948">
        <v>278</v>
      </c>
      <c r="AA433" s="1948">
        <v>0.8236</v>
      </c>
      <c r="AB433" s="1948">
        <v>0</v>
      </c>
      <c r="AC433" s="1948">
        <v>56868</v>
      </c>
      <c r="AD433" s="1948">
        <f t="shared" si="94"/>
        <v>72161</v>
      </c>
      <c r="AE433" s="1948">
        <f t="shared" si="95"/>
        <v>0</v>
      </c>
      <c r="AF433" s="1948">
        <v>278</v>
      </c>
      <c r="AG433" s="1948">
        <v>170.16000000000003</v>
      </c>
      <c r="AH433" s="1948">
        <v>278</v>
      </c>
      <c r="AI433" s="1948">
        <v>0.81510000000000005</v>
      </c>
      <c r="AJ433" s="1948">
        <v>0</v>
      </c>
      <c r="AK433" s="1948">
        <v>61104</v>
      </c>
      <c r="AL433" s="1948">
        <f t="shared" si="96"/>
        <v>75959</v>
      </c>
      <c r="AM433" s="1948">
        <f t="shared" si="97"/>
        <v>0</v>
      </c>
      <c r="AN433" s="1948">
        <v>278</v>
      </c>
      <c r="AO433" s="1948">
        <v>192.24</v>
      </c>
      <c r="AP433" s="1948">
        <v>278</v>
      </c>
      <c r="AQ433" s="1948">
        <v>0.80530000000000002</v>
      </c>
      <c r="AR433" s="1948">
        <v>0</v>
      </c>
      <c r="AS433" s="1948">
        <v>62238</v>
      </c>
      <c r="AT433" s="1948">
        <f t="shared" si="98"/>
        <v>85816</v>
      </c>
      <c r="AU433" s="1948">
        <f t="shared" si="99"/>
        <v>0</v>
      </c>
      <c r="AV433" s="1948">
        <v>278</v>
      </c>
      <c r="AW433" s="1948">
        <v>133.19999999999999</v>
      </c>
      <c r="AX433" s="1948">
        <v>278</v>
      </c>
      <c r="AY433" s="1948">
        <v>0.70820000000000005</v>
      </c>
      <c r="AZ433" s="1948">
        <v>0</v>
      </c>
      <c r="BA433" s="1948">
        <v>27984</v>
      </c>
      <c r="BB433" s="1948">
        <f t="shared" si="100"/>
        <v>57542</v>
      </c>
      <c r="BC433" s="1948">
        <f t="shared" si="101"/>
        <v>0</v>
      </c>
      <c r="BD433" s="1949">
        <v>278</v>
      </c>
      <c r="BE433" s="1948">
        <v>131.52000000000001</v>
      </c>
      <c r="BF433" s="1949">
        <v>278</v>
      </c>
      <c r="BG433" s="1949">
        <v>0.72070000000000001</v>
      </c>
      <c r="BH433" s="1949">
        <v>0</v>
      </c>
      <c r="BI433" s="1948">
        <v>50094</v>
      </c>
      <c r="BJ433" s="1948">
        <f t="shared" si="102"/>
        <v>58711</v>
      </c>
      <c r="BK433" s="1948">
        <f t="shared" si="103"/>
        <v>0</v>
      </c>
    </row>
    <row r="434" spans="1:63" ht="15">
      <c r="A434" s="1946">
        <v>126000000032</v>
      </c>
      <c r="B434" s="1947">
        <f t="shared" si="104"/>
        <v>428</v>
      </c>
      <c r="C434" s="1906" t="s">
        <v>3298</v>
      </c>
      <c r="D434" s="1907" t="s">
        <v>524</v>
      </c>
      <c r="E434" s="1906" t="s">
        <v>541</v>
      </c>
      <c r="F434" s="1948" t="s">
        <v>259</v>
      </c>
      <c r="G434" s="1949">
        <v>278</v>
      </c>
      <c r="H434" s="1948">
        <v>278</v>
      </c>
      <c r="I434" s="1950">
        <v>169.12</v>
      </c>
      <c r="J434" s="1948">
        <v>222.4</v>
      </c>
      <c r="K434" s="1948">
        <v>0.99629999999999996</v>
      </c>
      <c r="L434" s="1948">
        <v>17.77</v>
      </c>
      <c r="M434" s="1948">
        <v>21634</v>
      </c>
      <c r="N434" s="1948">
        <f t="shared" si="90"/>
        <v>73060</v>
      </c>
      <c r="O434" s="1948">
        <f t="shared" si="91"/>
        <v>0</v>
      </c>
      <c r="P434" s="1948">
        <v>278</v>
      </c>
      <c r="Q434" s="1948">
        <v>178.4</v>
      </c>
      <c r="R434" s="1948">
        <v>222.4</v>
      </c>
      <c r="S434" s="1948">
        <v>0.99560000000000004</v>
      </c>
      <c r="T434" s="1948">
        <v>18.100000000000001</v>
      </c>
      <c r="U434" s="1948">
        <v>24028</v>
      </c>
      <c r="V434" s="1948">
        <f t="shared" si="92"/>
        <v>79638</v>
      </c>
      <c r="W434" s="1948">
        <f t="shared" si="93"/>
        <v>0</v>
      </c>
      <c r="X434" s="1948">
        <v>278</v>
      </c>
      <c r="Y434" s="1948">
        <v>142.72</v>
      </c>
      <c r="Z434" s="1948">
        <v>222.4</v>
      </c>
      <c r="AA434" s="1948">
        <v>0.98799999999999999</v>
      </c>
      <c r="AB434" s="1948">
        <v>18.8</v>
      </c>
      <c r="AC434" s="1948">
        <v>19318</v>
      </c>
      <c r="AD434" s="1948">
        <f t="shared" si="94"/>
        <v>61655</v>
      </c>
      <c r="AE434" s="1948">
        <f t="shared" si="95"/>
        <v>0</v>
      </c>
      <c r="AF434" s="1948">
        <v>278</v>
      </c>
      <c r="AG434" s="1948">
        <v>177.92</v>
      </c>
      <c r="AH434" s="1948">
        <v>222.4</v>
      </c>
      <c r="AI434" s="1948">
        <v>0.97529999999999994</v>
      </c>
      <c r="AJ434" s="1948">
        <v>20.8</v>
      </c>
      <c r="AK434" s="1948">
        <v>23098</v>
      </c>
      <c r="AL434" s="1948">
        <f t="shared" si="96"/>
        <v>79423</v>
      </c>
      <c r="AM434" s="1948">
        <f t="shared" si="97"/>
        <v>0</v>
      </c>
      <c r="AN434" s="1948">
        <v>278</v>
      </c>
      <c r="AO434" s="1948">
        <v>171.2</v>
      </c>
      <c r="AP434" s="1948">
        <v>222.4</v>
      </c>
      <c r="AQ434" s="1948">
        <v>0.98619999999999997</v>
      </c>
      <c r="AR434" s="1948">
        <v>22.25</v>
      </c>
      <c r="AS434" s="1948">
        <v>32906</v>
      </c>
      <c r="AT434" s="1948">
        <f t="shared" si="98"/>
        <v>76424</v>
      </c>
      <c r="AU434" s="1948">
        <f t="shared" si="99"/>
        <v>0</v>
      </c>
      <c r="AV434" s="1948">
        <v>278</v>
      </c>
      <c r="AW434" s="1948">
        <v>234.39999999999998</v>
      </c>
      <c r="AX434" s="1948">
        <v>234.4</v>
      </c>
      <c r="AY434" s="1948">
        <v>0.98460000000000003</v>
      </c>
      <c r="AZ434" s="1948">
        <v>17.75</v>
      </c>
      <c r="BA434" s="1948">
        <v>29956</v>
      </c>
      <c r="BB434" s="1948">
        <f t="shared" si="100"/>
        <v>101261</v>
      </c>
      <c r="BC434" s="1948">
        <f t="shared" si="101"/>
        <v>0</v>
      </c>
      <c r="BD434" s="1949">
        <v>278</v>
      </c>
      <c r="BE434" s="1948">
        <v>207.20000000000002</v>
      </c>
      <c r="BF434" s="1949">
        <v>222.4</v>
      </c>
      <c r="BG434" s="1949">
        <v>0.96379999999999999</v>
      </c>
      <c r="BH434" s="1949">
        <v>29.15</v>
      </c>
      <c r="BI434" s="1948">
        <v>44940</v>
      </c>
      <c r="BJ434" s="1948">
        <f t="shared" si="102"/>
        <v>92494</v>
      </c>
      <c r="BK434" s="1948">
        <f t="shared" si="103"/>
        <v>0</v>
      </c>
    </row>
    <row r="435" spans="1:63" ht="15">
      <c r="A435" s="1946">
        <v>126000000046</v>
      </c>
      <c r="B435" s="1947">
        <f t="shared" si="104"/>
        <v>429</v>
      </c>
      <c r="C435" s="1906" t="s">
        <v>3299</v>
      </c>
      <c r="D435" s="1907" t="s">
        <v>524</v>
      </c>
      <c r="E435" s="1906" t="s">
        <v>636</v>
      </c>
      <c r="F435" s="1948" t="s">
        <v>259</v>
      </c>
      <c r="G435" s="1949">
        <v>278</v>
      </c>
      <c r="H435" s="1948">
        <v>278</v>
      </c>
      <c r="I435" s="1950">
        <v>155.51999999999998</v>
      </c>
      <c r="J435" s="1948">
        <v>222.4</v>
      </c>
      <c r="K435" s="1948">
        <v>0.99480000000000002</v>
      </c>
      <c r="L435" s="1948">
        <v>33.020000000000003</v>
      </c>
      <c r="M435" s="1948">
        <v>36975</v>
      </c>
      <c r="N435" s="1948">
        <f t="shared" si="90"/>
        <v>67185</v>
      </c>
      <c r="O435" s="1948">
        <f t="shared" si="91"/>
        <v>0</v>
      </c>
      <c r="P435" s="1948">
        <v>278</v>
      </c>
      <c r="Q435" s="1948">
        <v>56.160000000000004</v>
      </c>
      <c r="R435" s="1948">
        <v>222.4</v>
      </c>
      <c r="S435" s="1948">
        <v>0.99680000000000002</v>
      </c>
      <c r="T435" s="1948">
        <v>9.1300000000000008</v>
      </c>
      <c r="U435" s="1948">
        <v>3816</v>
      </c>
      <c r="V435" s="1948">
        <f t="shared" si="92"/>
        <v>25070</v>
      </c>
      <c r="W435" s="1948">
        <f t="shared" si="93"/>
        <v>0</v>
      </c>
      <c r="X435" s="1948">
        <v>278</v>
      </c>
      <c r="Y435" s="1948">
        <v>4.8</v>
      </c>
      <c r="Z435" s="1948">
        <v>222.4</v>
      </c>
      <c r="AA435" s="1948">
        <v>1</v>
      </c>
      <c r="AB435" s="1948">
        <v>35.85</v>
      </c>
      <c r="AC435" s="1948">
        <v>1239</v>
      </c>
      <c r="AD435" s="1948">
        <f t="shared" si="94"/>
        <v>2074</v>
      </c>
      <c r="AE435" s="1948">
        <f t="shared" si="95"/>
        <v>0</v>
      </c>
      <c r="AF435" s="1948">
        <v>278</v>
      </c>
      <c r="AG435" s="1948">
        <v>19.2</v>
      </c>
      <c r="AH435" s="1948">
        <v>222.4</v>
      </c>
      <c r="AI435" s="1948">
        <v>1.0015000000000001</v>
      </c>
      <c r="AJ435" s="1948">
        <v>13.86</v>
      </c>
      <c r="AK435" s="1948">
        <v>1980</v>
      </c>
      <c r="AL435" s="1948">
        <f t="shared" si="96"/>
        <v>8571</v>
      </c>
      <c r="AM435" s="1948">
        <f t="shared" si="97"/>
        <v>0</v>
      </c>
      <c r="AN435" s="1948">
        <v>278</v>
      </c>
      <c r="AO435" s="1948">
        <v>6.48</v>
      </c>
      <c r="AP435" s="1948">
        <v>222.4</v>
      </c>
      <c r="AQ435" s="1948">
        <v>1</v>
      </c>
      <c r="AR435" s="1948">
        <v>30.99</v>
      </c>
      <c r="AS435" s="1948">
        <v>1494</v>
      </c>
      <c r="AT435" s="1948">
        <f t="shared" si="98"/>
        <v>2893</v>
      </c>
      <c r="AU435" s="1948">
        <f t="shared" si="99"/>
        <v>0</v>
      </c>
      <c r="AV435" s="1948">
        <v>278</v>
      </c>
      <c r="AW435" s="1948">
        <v>0</v>
      </c>
      <c r="AX435" s="1948">
        <v>222.4</v>
      </c>
      <c r="AY435" s="1948">
        <v>0</v>
      </c>
      <c r="AZ435" s="1948">
        <v>0</v>
      </c>
      <c r="BA435" s="1948">
        <v>0</v>
      </c>
      <c r="BB435" s="1948">
        <f t="shared" si="100"/>
        <v>0</v>
      </c>
      <c r="BC435" s="1948">
        <f t="shared" si="101"/>
        <v>0</v>
      </c>
      <c r="BD435" s="1949">
        <v>278</v>
      </c>
      <c r="BE435" s="1948">
        <v>0</v>
      </c>
      <c r="BF435" s="1949">
        <v>222.4</v>
      </c>
      <c r="BG435" s="1949">
        <v>0</v>
      </c>
      <c r="BH435" s="1949">
        <v>0</v>
      </c>
      <c r="BI435" s="1948">
        <v>0</v>
      </c>
      <c r="BJ435" s="1948">
        <f t="shared" si="102"/>
        <v>0</v>
      </c>
      <c r="BK435" s="1948">
        <f t="shared" si="103"/>
        <v>0</v>
      </c>
    </row>
    <row r="436" spans="1:63" ht="15">
      <c r="A436" s="1946">
        <v>126000000048</v>
      </c>
      <c r="B436" s="1947">
        <f t="shared" si="104"/>
        <v>430</v>
      </c>
      <c r="C436" s="1906" t="s">
        <v>3288</v>
      </c>
      <c r="D436" s="1907" t="s">
        <v>524</v>
      </c>
      <c r="E436" s="1906" t="s">
        <v>541</v>
      </c>
      <c r="F436" s="1948" t="s">
        <v>259</v>
      </c>
      <c r="G436" s="1949">
        <v>278</v>
      </c>
      <c r="H436" s="1948">
        <v>278</v>
      </c>
      <c r="I436" s="1950">
        <v>3.84</v>
      </c>
      <c r="J436" s="1948">
        <v>222.4</v>
      </c>
      <c r="K436" s="1948">
        <v>0.99619999999999997</v>
      </c>
      <c r="L436" s="1948">
        <v>31.83</v>
      </c>
      <c r="M436" s="1948">
        <v>1056</v>
      </c>
      <c r="N436" s="1948">
        <f t="shared" si="90"/>
        <v>1659</v>
      </c>
      <c r="O436" s="1948">
        <f t="shared" si="91"/>
        <v>0</v>
      </c>
      <c r="P436" s="1948">
        <v>278</v>
      </c>
      <c r="Q436" s="1948">
        <v>138.56</v>
      </c>
      <c r="R436" s="1948">
        <v>222.4</v>
      </c>
      <c r="S436" s="1948">
        <v>0.77029999999999998</v>
      </c>
      <c r="T436" s="1948">
        <v>2.91</v>
      </c>
      <c r="U436" s="1948">
        <v>2996</v>
      </c>
      <c r="V436" s="1948">
        <f t="shared" si="92"/>
        <v>61853</v>
      </c>
      <c r="W436" s="1948">
        <f t="shared" si="93"/>
        <v>0</v>
      </c>
      <c r="X436" s="1948">
        <v>278</v>
      </c>
      <c r="Y436" s="1948">
        <v>116.64000000000001</v>
      </c>
      <c r="Z436" s="1948">
        <v>222.4</v>
      </c>
      <c r="AA436" s="1948">
        <v>0.96689999999999998</v>
      </c>
      <c r="AB436" s="1948">
        <v>1.58</v>
      </c>
      <c r="AC436" s="1948">
        <v>1330</v>
      </c>
      <c r="AD436" s="1948">
        <f t="shared" si="94"/>
        <v>50388</v>
      </c>
      <c r="AE436" s="1948">
        <f t="shared" si="95"/>
        <v>0</v>
      </c>
      <c r="AF436" s="1948">
        <v>278</v>
      </c>
      <c r="AG436" s="1948">
        <v>113.75999999999999</v>
      </c>
      <c r="AH436" s="1948">
        <v>222.4</v>
      </c>
      <c r="AI436" s="1948">
        <v>0.95069999999999999</v>
      </c>
      <c r="AJ436" s="1948">
        <v>1.49</v>
      </c>
      <c r="AK436" s="1948">
        <v>1260</v>
      </c>
      <c r="AL436" s="1948">
        <f t="shared" si="96"/>
        <v>50782</v>
      </c>
      <c r="AM436" s="1948">
        <f t="shared" si="97"/>
        <v>0</v>
      </c>
      <c r="AN436" s="1948">
        <v>278</v>
      </c>
      <c r="AO436" s="1948">
        <v>146.72</v>
      </c>
      <c r="AP436" s="1948">
        <v>222.4</v>
      </c>
      <c r="AQ436" s="1948">
        <v>0.88649999999999995</v>
      </c>
      <c r="AR436" s="1948">
        <v>3.05</v>
      </c>
      <c r="AS436" s="1948">
        <v>3332</v>
      </c>
      <c r="AT436" s="1948">
        <f t="shared" si="98"/>
        <v>65496</v>
      </c>
      <c r="AU436" s="1948">
        <f t="shared" si="99"/>
        <v>0</v>
      </c>
      <c r="AV436" s="1948">
        <v>278</v>
      </c>
      <c r="AW436" s="1948">
        <v>150.72</v>
      </c>
      <c r="AX436" s="1948">
        <v>222.4</v>
      </c>
      <c r="AY436" s="1948">
        <v>0.95620000000000005</v>
      </c>
      <c r="AZ436" s="1948">
        <v>5.18</v>
      </c>
      <c r="BA436" s="1948">
        <v>5624</v>
      </c>
      <c r="BB436" s="1948">
        <f t="shared" si="100"/>
        <v>65111</v>
      </c>
      <c r="BC436" s="1948">
        <f t="shared" si="101"/>
        <v>0</v>
      </c>
      <c r="BD436" s="1949">
        <v>278</v>
      </c>
      <c r="BE436" s="1948">
        <v>146.23999999999998</v>
      </c>
      <c r="BF436" s="1949">
        <v>222.4</v>
      </c>
      <c r="BG436" s="1949">
        <v>0.95099999999999996</v>
      </c>
      <c r="BH436" s="1949">
        <v>10.4</v>
      </c>
      <c r="BI436" s="1948">
        <v>11316</v>
      </c>
      <c r="BJ436" s="1948">
        <f t="shared" si="102"/>
        <v>65282</v>
      </c>
      <c r="BK436" s="1948">
        <f t="shared" si="103"/>
        <v>0</v>
      </c>
    </row>
    <row r="437" spans="1:63" ht="15">
      <c r="A437" s="1946">
        <v>124000000047</v>
      </c>
      <c r="B437" s="1947">
        <f t="shared" si="104"/>
        <v>431</v>
      </c>
      <c r="C437" s="1906" t="s">
        <v>3297</v>
      </c>
      <c r="D437" s="1907" t="s">
        <v>524</v>
      </c>
      <c r="E437" s="1906" t="s">
        <v>2966</v>
      </c>
      <c r="F437" s="1948" t="s">
        <v>259</v>
      </c>
      <c r="G437" s="1949">
        <v>278</v>
      </c>
      <c r="H437" s="1948">
        <v>278</v>
      </c>
      <c r="I437" s="1950">
        <v>426.88</v>
      </c>
      <c r="J437" s="1948">
        <v>426.88</v>
      </c>
      <c r="K437" s="1948">
        <v>0.83689999999999998</v>
      </c>
      <c r="L437" s="1948">
        <v>0</v>
      </c>
      <c r="M437" s="1948">
        <v>166150</v>
      </c>
      <c r="N437" s="1948">
        <f t="shared" si="90"/>
        <v>184412</v>
      </c>
      <c r="O437" s="1948">
        <f t="shared" si="91"/>
        <v>0</v>
      </c>
      <c r="P437" s="1948">
        <v>278</v>
      </c>
      <c r="Q437" s="1948">
        <v>377.92</v>
      </c>
      <c r="R437" s="1948">
        <v>377.92</v>
      </c>
      <c r="S437" s="1948">
        <v>0.85870000000000002</v>
      </c>
      <c r="T437" s="1948">
        <v>0</v>
      </c>
      <c r="U437" s="1948">
        <v>185266</v>
      </c>
      <c r="V437" s="1948">
        <f t="shared" si="92"/>
        <v>168703</v>
      </c>
      <c r="W437" s="1948">
        <f t="shared" si="93"/>
        <v>16563</v>
      </c>
      <c r="X437" s="1948">
        <v>278</v>
      </c>
      <c r="Y437" s="1948">
        <v>3.5615999999999999</v>
      </c>
      <c r="Z437" s="1948">
        <v>356.16</v>
      </c>
      <c r="AA437" s="1948">
        <v>0.87749999999999995</v>
      </c>
      <c r="AB437" s="1948">
        <v>0</v>
      </c>
      <c r="AC437" s="1948">
        <v>157668</v>
      </c>
      <c r="AD437" s="1948">
        <f t="shared" si="94"/>
        <v>1539</v>
      </c>
      <c r="AE437" s="1948">
        <f t="shared" si="95"/>
        <v>156129</v>
      </c>
      <c r="AF437" s="1948">
        <v>278</v>
      </c>
      <c r="AG437" s="1948">
        <v>376</v>
      </c>
      <c r="AH437" s="1948">
        <v>376</v>
      </c>
      <c r="AI437" s="1948">
        <v>0.81089999999999995</v>
      </c>
      <c r="AJ437" s="1948">
        <v>0</v>
      </c>
      <c r="AK437" s="1948">
        <v>196553</v>
      </c>
      <c r="AL437" s="1948">
        <f t="shared" si="96"/>
        <v>167846</v>
      </c>
      <c r="AM437" s="1948">
        <f t="shared" si="97"/>
        <v>28707</v>
      </c>
      <c r="AN437" s="1948">
        <v>278</v>
      </c>
      <c r="AO437" s="1948">
        <v>414.9828</v>
      </c>
      <c r="AP437" s="1948">
        <v>414.98</v>
      </c>
      <c r="AQ437" s="1948">
        <v>0.90180000000000005</v>
      </c>
      <c r="AR437" s="1948">
        <v>0</v>
      </c>
      <c r="AS437" s="1948">
        <v>172452</v>
      </c>
      <c r="AT437" s="1948">
        <f t="shared" si="98"/>
        <v>185248</v>
      </c>
      <c r="AU437" s="1948">
        <f t="shared" si="99"/>
        <v>0</v>
      </c>
      <c r="AV437" s="1948">
        <v>278</v>
      </c>
      <c r="AW437" s="1948">
        <v>409.26400000000001</v>
      </c>
      <c r="AX437" s="1948">
        <v>409.26</v>
      </c>
      <c r="AY437" s="1948">
        <v>0.93330000000000002</v>
      </c>
      <c r="AZ437" s="1948">
        <v>0</v>
      </c>
      <c r="BA437" s="1948">
        <v>188185</v>
      </c>
      <c r="BB437" s="1948">
        <f t="shared" si="100"/>
        <v>176802</v>
      </c>
      <c r="BC437" s="1948">
        <f t="shared" si="101"/>
        <v>11383</v>
      </c>
      <c r="BD437" s="1949">
        <v>278</v>
      </c>
      <c r="BE437" s="1948">
        <v>402.904</v>
      </c>
      <c r="BF437" s="1949">
        <v>402.9</v>
      </c>
      <c r="BG437" s="1949">
        <v>0.97960000000000003</v>
      </c>
      <c r="BH437" s="1949">
        <v>0</v>
      </c>
      <c r="BI437" s="1948">
        <v>171211</v>
      </c>
      <c r="BJ437" s="1948">
        <f t="shared" si="102"/>
        <v>179856</v>
      </c>
      <c r="BK437" s="1948">
        <f t="shared" si="103"/>
        <v>0</v>
      </c>
    </row>
    <row r="438" spans="1:63" ht="15">
      <c r="A438" s="1946">
        <v>129000000007</v>
      </c>
      <c r="B438" s="1947">
        <f t="shared" si="104"/>
        <v>432</v>
      </c>
      <c r="C438" s="1906" t="s">
        <v>3287</v>
      </c>
      <c r="D438" s="1907" t="s">
        <v>524</v>
      </c>
      <c r="E438" s="1906" t="s">
        <v>541</v>
      </c>
      <c r="F438" s="1948" t="s">
        <v>259</v>
      </c>
      <c r="G438" s="1949">
        <v>278</v>
      </c>
      <c r="H438" s="1948">
        <v>278</v>
      </c>
      <c r="I438" s="1950">
        <v>183.12</v>
      </c>
      <c r="J438" s="1948">
        <v>222.4</v>
      </c>
      <c r="K438" s="1948">
        <v>0.998</v>
      </c>
      <c r="L438" s="1948">
        <v>46.24</v>
      </c>
      <c r="M438" s="1948">
        <v>60960</v>
      </c>
      <c r="N438" s="1948">
        <f t="shared" si="90"/>
        <v>79108</v>
      </c>
      <c r="O438" s="1948">
        <f t="shared" si="91"/>
        <v>0</v>
      </c>
      <c r="P438" s="1948">
        <v>278</v>
      </c>
      <c r="Q438" s="1948">
        <v>161.76</v>
      </c>
      <c r="R438" s="1948">
        <v>222.4</v>
      </c>
      <c r="S438" s="1948">
        <v>0.99770000000000003</v>
      </c>
      <c r="T438" s="1948">
        <v>51.04</v>
      </c>
      <c r="U438" s="1948">
        <v>61422</v>
      </c>
      <c r="V438" s="1948">
        <f t="shared" si="92"/>
        <v>72210</v>
      </c>
      <c r="W438" s="1948">
        <f t="shared" si="93"/>
        <v>0</v>
      </c>
      <c r="X438" s="1948">
        <v>278</v>
      </c>
      <c r="Y438" s="1948">
        <v>163.92</v>
      </c>
      <c r="Z438" s="1948">
        <v>222.4</v>
      </c>
      <c r="AA438" s="1948">
        <v>0.99750000000000005</v>
      </c>
      <c r="AB438" s="1948">
        <v>50.55</v>
      </c>
      <c r="AC438" s="1948">
        <v>59664</v>
      </c>
      <c r="AD438" s="1948">
        <f t="shared" si="94"/>
        <v>70813</v>
      </c>
      <c r="AE438" s="1948">
        <f t="shared" si="95"/>
        <v>0</v>
      </c>
      <c r="AF438" s="1948">
        <v>278</v>
      </c>
      <c r="AG438" s="1948">
        <v>155.27999999999997</v>
      </c>
      <c r="AH438" s="1948">
        <v>222.4</v>
      </c>
      <c r="AI438" s="1948">
        <v>0.99770000000000003</v>
      </c>
      <c r="AJ438" s="1948">
        <v>32.36</v>
      </c>
      <c r="AK438" s="1948">
        <v>37389</v>
      </c>
      <c r="AL438" s="1948">
        <f t="shared" si="96"/>
        <v>69317</v>
      </c>
      <c r="AM438" s="1948">
        <f t="shared" si="97"/>
        <v>0</v>
      </c>
      <c r="AN438" s="1948">
        <v>278</v>
      </c>
      <c r="AO438" s="1948">
        <v>122.16</v>
      </c>
      <c r="AP438" s="1948">
        <v>222.4</v>
      </c>
      <c r="AQ438" s="1948">
        <v>0.98750000000000004</v>
      </c>
      <c r="AR438" s="1948">
        <v>6.61</v>
      </c>
      <c r="AS438" s="1948">
        <v>6009</v>
      </c>
      <c r="AT438" s="1948">
        <f t="shared" si="98"/>
        <v>54532</v>
      </c>
      <c r="AU438" s="1948">
        <f t="shared" si="99"/>
        <v>0</v>
      </c>
      <c r="AV438" s="1948">
        <v>278</v>
      </c>
      <c r="AW438" s="1948">
        <v>14.16</v>
      </c>
      <c r="AX438" s="1948">
        <v>222.4</v>
      </c>
      <c r="AY438" s="1948">
        <v>0.99880000000000002</v>
      </c>
      <c r="AZ438" s="1948">
        <v>24.57</v>
      </c>
      <c r="BA438" s="1948">
        <v>2505</v>
      </c>
      <c r="BB438" s="1948">
        <f t="shared" si="100"/>
        <v>6117</v>
      </c>
      <c r="BC438" s="1948">
        <f t="shared" si="101"/>
        <v>0</v>
      </c>
      <c r="BD438" s="1949">
        <v>278</v>
      </c>
      <c r="BE438" s="1948">
        <v>10.08</v>
      </c>
      <c r="BF438" s="1949">
        <v>222.4</v>
      </c>
      <c r="BG438" s="1949">
        <v>1</v>
      </c>
      <c r="BH438" s="1949">
        <v>31.28</v>
      </c>
      <c r="BI438" s="1948">
        <v>2346</v>
      </c>
      <c r="BJ438" s="1948">
        <f t="shared" si="102"/>
        <v>4500</v>
      </c>
      <c r="BK438" s="1948">
        <f t="shared" si="103"/>
        <v>0</v>
      </c>
    </row>
    <row r="439" spans="1:63" ht="15">
      <c r="A439" s="1946">
        <v>121000000065</v>
      </c>
      <c r="B439" s="1947">
        <f t="shared" si="104"/>
        <v>433</v>
      </c>
      <c r="C439" s="1906" t="s">
        <v>3573</v>
      </c>
      <c r="D439" s="1907" t="s">
        <v>524</v>
      </c>
      <c r="E439" s="1906" t="s">
        <v>541</v>
      </c>
      <c r="F439" s="1948" t="s">
        <v>259</v>
      </c>
      <c r="G439" s="1949">
        <v>278</v>
      </c>
      <c r="H439" s="1948">
        <v>278</v>
      </c>
      <c r="I439" s="1950">
        <v>15.52</v>
      </c>
      <c r="J439" s="1948">
        <v>222.4</v>
      </c>
      <c r="K439" s="1948">
        <v>0.79190000000000005</v>
      </c>
      <c r="L439" s="1948">
        <v>13.37</v>
      </c>
      <c r="M439" s="1948">
        <v>1394</v>
      </c>
      <c r="N439" s="1948">
        <f t="shared" si="90"/>
        <v>6705</v>
      </c>
      <c r="O439" s="1948">
        <f t="shared" si="91"/>
        <v>0</v>
      </c>
      <c r="P439" s="1948">
        <v>278</v>
      </c>
      <c r="Q439" s="1948">
        <v>36.32</v>
      </c>
      <c r="R439" s="1948">
        <v>222.4</v>
      </c>
      <c r="S439" s="1948">
        <v>0.86899999999999999</v>
      </c>
      <c r="T439" s="1948">
        <v>5.43</v>
      </c>
      <c r="U439" s="1948">
        <v>1466</v>
      </c>
      <c r="V439" s="1948">
        <f t="shared" si="92"/>
        <v>16213</v>
      </c>
      <c r="W439" s="1948">
        <f t="shared" si="93"/>
        <v>0</v>
      </c>
      <c r="X439" s="1948">
        <v>278</v>
      </c>
      <c r="Y439" s="1948">
        <v>27.52</v>
      </c>
      <c r="Z439" s="1948">
        <v>222.4</v>
      </c>
      <c r="AA439" s="1948">
        <v>0.88580000000000003</v>
      </c>
      <c r="AB439" s="1948">
        <v>4.9400000000000004</v>
      </c>
      <c r="AC439" s="1948">
        <v>946</v>
      </c>
      <c r="AD439" s="1948">
        <f t="shared" si="94"/>
        <v>11889</v>
      </c>
      <c r="AE439" s="1948">
        <f t="shared" si="95"/>
        <v>0</v>
      </c>
      <c r="AF439" s="1948">
        <v>278</v>
      </c>
      <c r="AG439" s="1948">
        <v>32.96</v>
      </c>
      <c r="AH439" s="1948">
        <v>222.4</v>
      </c>
      <c r="AI439" s="1948">
        <v>0.72460000000000002</v>
      </c>
      <c r="AJ439" s="1948">
        <v>6.49</v>
      </c>
      <c r="AK439" s="1948">
        <v>1540</v>
      </c>
      <c r="AL439" s="1948">
        <f t="shared" si="96"/>
        <v>14713</v>
      </c>
      <c r="AM439" s="1948">
        <f t="shared" si="97"/>
        <v>0</v>
      </c>
      <c r="AN439" s="1948">
        <v>278</v>
      </c>
      <c r="AO439" s="1948">
        <v>31.680000000000003</v>
      </c>
      <c r="AP439" s="1948">
        <v>222.4</v>
      </c>
      <c r="AQ439" s="1948">
        <v>0.70679999999999998</v>
      </c>
      <c r="AR439" s="1948">
        <v>6.28</v>
      </c>
      <c r="AS439" s="1948">
        <v>1528</v>
      </c>
      <c r="AT439" s="1948">
        <f t="shared" si="98"/>
        <v>14142</v>
      </c>
      <c r="AU439" s="1948">
        <f t="shared" si="99"/>
        <v>0</v>
      </c>
      <c r="AV439" s="1948">
        <v>278</v>
      </c>
      <c r="AW439" s="1948">
        <v>2.88</v>
      </c>
      <c r="AX439" s="1948">
        <v>222.4</v>
      </c>
      <c r="AY439" s="1948">
        <v>0.88380000000000003</v>
      </c>
      <c r="AZ439" s="1948">
        <v>46.03</v>
      </c>
      <c r="BA439" s="1948">
        <v>1050</v>
      </c>
      <c r="BB439" s="1948">
        <f t="shared" si="100"/>
        <v>1244</v>
      </c>
      <c r="BC439" s="1948">
        <f t="shared" si="101"/>
        <v>0</v>
      </c>
      <c r="BD439" s="1949">
        <v>278</v>
      </c>
      <c r="BE439" s="1948">
        <v>9.44</v>
      </c>
      <c r="BF439" s="1949">
        <v>222.4</v>
      </c>
      <c r="BG439" s="1949">
        <v>0.78290000000000004</v>
      </c>
      <c r="BH439" s="1949">
        <v>26.37</v>
      </c>
      <c r="BI439" s="1948">
        <v>1852</v>
      </c>
      <c r="BJ439" s="1948">
        <f t="shared" si="102"/>
        <v>4214</v>
      </c>
      <c r="BK439" s="1948">
        <f t="shared" si="103"/>
        <v>0</v>
      </c>
    </row>
    <row r="440" spans="1:63" ht="15">
      <c r="A440" s="1946">
        <v>622000000179</v>
      </c>
      <c r="B440" s="1947">
        <f t="shared" si="104"/>
        <v>434</v>
      </c>
      <c r="C440" s="1906" t="s">
        <v>3300</v>
      </c>
      <c r="D440" s="1907" t="s">
        <v>524</v>
      </c>
      <c r="E440" s="1906" t="s">
        <v>541</v>
      </c>
      <c r="F440" s="1948" t="s">
        <v>259</v>
      </c>
      <c r="G440" s="1949">
        <v>278</v>
      </c>
      <c r="H440" s="1948">
        <v>278</v>
      </c>
      <c r="I440" s="1950">
        <v>267.68</v>
      </c>
      <c r="J440" s="1948">
        <v>267.68</v>
      </c>
      <c r="K440" s="1948">
        <v>0.98560000000000003</v>
      </c>
      <c r="L440" s="1948">
        <v>21.2</v>
      </c>
      <c r="M440" s="1948">
        <v>39492</v>
      </c>
      <c r="N440" s="1948">
        <f t="shared" si="90"/>
        <v>115638</v>
      </c>
      <c r="O440" s="1948">
        <f t="shared" si="91"/>
        <v>0</v>
      </c>
      <c r="P440" s="1948">
        <v>278</v>
      </c>
      <c r="Q440" s="1948">
        <v>248.95999999999998</v>
      </c>
      <c r="R440" s="1948">
        <v>248.96</v>
      </c>
      <c r="S440" s="1948">
        <v>0.98719999999999997</v>
      </c>
      <c r="T440" s="1948">
        <v>30.74</v>
      </c>
      <c r="U440" s="1948">
        <v>58782</v>
      </c>
      <c r="V440" s="1948">
        <f t="shared" si="92"/>
        <v>111136</v>
      </c>
      <c r="W440" s="1948">
        <f t="shared" si="93"/>
        <v>0</v>
      </c>
      <c r="X440" s="1948">
        <v>278</v>
      </c>
      <c r="Y440" s="1948">
        <v>251.68</v>
      </c>
      <c r="Z440" s="1948">
        <v>251.68</v>
      </c>
      <c r="AA440" s="1948">
        <v>0.98870000000000002</v>
      </c>
      <c r="AB440" s="1948">
        <v>23.15</v>
      </c>
      <c r="AC440" s="1948">
        <v>41944</v>
      </c>
      <c r="AD440" s="1948">
        <f t="shared" si="94"/>
        <v>108726</v>
      </c>
      <c r="AE440" s="1948">
        <f t="shared" si="95"/>
        <v>0</v>
      </c>
      <c r="AF440" s="1948">
        <v>278</v>
      </c>
      <c r="AG440" s="1948">
        <v>233.76000000000002</v>
      </c>
      <c r="AH440" s="1948">
        <v>233.76</v>
      </c>
      <c r="AI440" s="1948">
        <v>0.98919999999999997</v>
      </c>
      <c r="AJ440" s="1948">
        <v>27.9</v>
      </c>
      <c r="AK440" s="1948">
        <v>48520</v>
      </c>
      <c r="AL440" s="1948">
        <f t="shared" si="96"/>
        <v>104350</v>
      </c>
      <c r="AM440" s="1948">
        <f t="shared" si="97"/>
        <v>0</v>
      </c>
      <c r="AN440" s="1948">
        <v>278</v>
      </c>
      <c r="AO440" s="1948">
        <v>168.32</v>
      </c>
      <c r="AP440" s="1948">
        <v>222.4</v>
      </c>
      <c r="AQ440" s="1948">
        <v>0.99039999999999995</v>
      </c>
      <c r="AR440" s="1948">
        <v>36.869999999999997</v>
      </c>
      <c r="AS440" s="1948">
        <v>46178</v>
      </c>
      <c r="AT440" s="1948">
        <f t="shared" si="98"/>
        <v>75138</v>
      </c>
      <c r="AU440" s="1948">
        <f t="shared" si="99"/>
        <v>0</v>
      </c>
      <c r="AV440" s="1948">
        <v>278</v>
      </c>
      <c r="AW440" s="1948">
        <v>150.72</v>
      </c>
      <c r="AX440" s="1948">
        <v>222.4</v>
      </c>
      <c r="AY440" s="1948">
        <v>0.98309999999999997</v>
      </c>
      <c r="AZ440" s="1948">
        <v>12.81</v>
      </c>
      <c r="BA440" s="1948">
        <v>13900</v>
      </c>
      <c r="BB440" s="1948">
        <f t="shared" si="100"/>
        <v>65111</v>
      </c>
      <c r="BC440" s="1948">
        <f t="shared" si="101"/>
        <v>0</v>
      </c>
      <c r="BD440" s="1949">
        <v>278</v>
      </c>
      <c r="BE440" s="1948">
        <v>194.88</v>
      </c>
      <c r="BF440" s="1949">
        <v>222.4</v>
      </c>
      <c r="BG440" s="1949">
        <v>0.98350000000000004</v>
      </c>
      <c r="BH440" s="1949">
        <v>10.82</v>
      </c>
      <c r="BI440" s="1948">
        <v>12656</v>
      </c>
      <c r="BJ440" s="1948">
        <f t="shared" si="102"/>
        <v>86994</v>
      </c>
      <c r="BK440" s="1948">
        <f t="shared" si="103"/>
        <v>0</v>
      </c>
    </row>
    <row r="441" spans="1:63" ht="15">
      <c r="A441" s="1946">
        <v>622000000180</v>
      </c>
      <c r="B441" s="1947">
        <f t="shared" si="104"/>
        <v>435</v>
      </c>
      <c r="C441" s="1906" t="s">
        <v>3301</v>
      </c>
      <c r="D441" s="1907" t="s">
        <v>524</v>
      </c>
      <c r="E441" s="1906" t="s">
        <v>623</v>
      </c>
      <c r="F441" s="1948" t="s">
        <v>259</v>
      </c>
      <c r="G441" s="1949">
        <v>278</v>
      </c>
      <c r="H441" s="1948">
        <v>278</v>
      </c>
      <c r="I441" s="1950">
        <v>89.04</v>
      </c>
      <c r="J441" s="1948">
        <v>278</v>
      </c>
      <c r="K441" s="1948">
        <v>0.90739999999999998</v>
      </c>
      <c r="L441" s="1948">
        <v>0</v>
      </c>
      <c r="M441" s="1948">
        <v>17757</v>
      </c>
      <c r="N441" s="1948">
        <f t="shared" si="90"/>
        <v>38465</v>
      </c>
      <c r="O441" s="1948">
        <f t="shared" si="91"/>
        <v>0</v>
      </c>
      <c r="P441" s="1948">
        <v>278</v>
      </c>
      <c r="Q441" s="1948">
        <v>71.52</v>
      </c>
      <c r="R441" s="1948">
        <v>278</v>
      </c>
      <c r="S441" s="1948">
        <v>0.91920000000000002</v>
      </c>
      <c r="T441" s="1948">
        <v>0</v>
      </c>
      <c r="U441" s="1948">
        <v>10248</v>
      </c>
      <c r="V441" s="1948">
        <f t="shared" si="92"/>
        <v>31927</v>
      </c>
      <c r="W441" s="1948">
        <f t="shared" si="93"/>
        <v>0</v>
      </c>
      <c r="X441" s="1948">
        <v>278</v>
      </c>
      <c r="Y441" s="1948">
        <v>71.52</v>
      </c>
      <c r="Z441" s="1948">
        <v>278</v>
      </c>
      <c r="AA441" s="1948">
        <v>0.85740000000000005</v>
      </c>
      <c r="AB441" s="1948">
        <v>0</v>
      </c>
      <c r="AC441" s="1948">
        <v>4860</v>
      </c>
      <c r="AD441" s="1948">
        <f t="shared" si="94"/>
        <v>30897</v>
      </c>
      <c r="AE441" s="1948">
        <f t="shared" si="95"/>
        <v>0</v>
      </c>
      <c r="AF441" s="1948">
        <v>278</v>
      </c>
      <c r="AG441" s="1948">
        <v>5.52</v>
      </c>
      <c r="AH441" s="1948">
        <v>278</v>
      </c>
      <c r="AI441" s="1948">
        <v>0.71060000000000001</v>
      </c>
      <c r="AJ441" s="1948">
        <v>0</v>
      </c>
      <c r="AK441" s="1948">
        <v>1887</v>
      </c>
      <c r="AL441" s="1948">
        <f t="shared" si="96"/>
        <v>2464</v>
      </c>
      <c r="AM441" s="1948">
        <f t="shared" si="97"/>
        <v>0</v>
      </c>
      <c r="AN441" s="1948">
        <v>278</v>
      </c>
      <c r="AO441" s="1948">
        <v>5.28</v>
      </c>
      <c r="AP441" s="1948">
        <v>278</v>
      </c>
      <c r="AQ441" s="1948">
        <v>0.6784</v>
      </c>
      <c r="AR441" s="1948">
        <v>0</v>
      </c>
      <c r="AS441" s="1948">
        <v>1782</v>
      </c>
      <c r="AT441" s="1948">
        <f t="shared" si="98"/>
        <v>2357</v>
      </c>
      <c r="AU441" s="1948">
        <f t="shared" si="99"/>
        <v>0</v>
      </c>
      <c r="AV441" s="1948">
        <v>278</v>
      </c>
      <c r="AW441" s="1948">
        <v>4.5599999999999996</v>
      </c>
      <c r="AX441" s="1948">
        <v>278</v>
      </c>
      <c r="AY441" s="1948">
        <v>0.54110000000000003</v>
      </c>
      <c r="AZ441" s="1948">
        <v>0</v>
      </c>
      <c r="BA441" s="1948">
        <v>1785</v>
      </c>
      <c r="BB441" s="1948">
        <f t="shared" si="100"/>
        <v>1970</v>
      </c>
      <c r="BC441" s="1948">
        <f t="shared" si="101"/>
        <v>0</v>
      </c>
      <c r="BD441" s="1949">
        <v>278</v>
      </c>
      <c r="BE441" s="1948">
        <v>4.08</v>
      </c>
      <c r="BF441" s="1949">
        <v>278</v>
      </c>
      <c r="BG441" s="1949">
        <v>0.48259999999999997</v>
      </c>
      <c r="BH441" s="1949">
        <v>0</v>
      </c>
      <c r="BI441" s="1948">
        <v>1641</v>
      </c>
      <c r="BJ441" s="1948">
        <f t="shared" si="102"/>
        <v>1821</v>
      </c>
      <c r="BK441" s="1948">
        <f t="shared" si="103"/>
        <v>0</v>
      </c>
    </row>
    <row r="442" spans="1:63" ht="15">
      <c r="A442" s="1946">
        <v>128000000006</v>
      </c>
      <c r="B442" s="1947">
        <f t="shared" si="104"/>
        <v>436</v>
      </c>
      <c r="C442" s="1906" t="s">
        <v>3574</v>
      </c>
      <c r="D442" s="1907" t="s">
        <v>524</v>
      </c>
      <c r="E442" s="1906" t="s">
        <v>636</v>
      </c>
      <c r="F442" s="1948" t="s">
        <v>259</v>
      </c>
      <c r="G442" s="1949">
        <v>280</v>
      </c>
      <c r="H442" s="1948">
        <v>0</v>
      </c>
      <c r="I442" s="1950">
        <v>0</v>
      </c>
      <c r="J442" s="1948">
        <v>0</v>
      </c>
      <c r="K442" s="1948">
        <v>0</v>
      </c>
      <c r="L442" s="1948">
        <v>0</v>
      </c>
      <c r="M442" s="1948">
        <v>0</v>
      </c>
      <c r="N442" s="1948">
        <f t="shared" si="90"/>
        <v>0</v>
      </c>
      <c r="O442" s="1948">
        <f t="shared" si="91"/>
        <v>0</v>
      </c>
      <c r="P442" s="1948">
        <v>280</v>
      </c>
      <c r="Q442" s="1948">
        <v>177.75</v>
      </c>
      <c r="R442" s="1948">
        <v>224</v>
      </c>
      <c r="S442" s="1948">
        <v>0.79790000000000005</v>
      </c>
      <c r="T442" s="1948">
        <v>19.170000000000002</v>
      </c>
      <c r="U442" s="1948">
        <v>37623</v>
      </c>
      <c r="V442" s="1948">
        <f t="shared" si="92"/>
        <v>79348</v>
      </c>
      <c r="W442" s="1948">
        <f t="shared" si="93"/>
        <v>0</v>
      </c>
      <c r="X442" s="1948">
        <v>280</v>
      </c>
      <c r="Y442" s="1948">
        <v>199.56</v>
      </c>
      <c r="Z442" s="1948">
        <v>224</v>
      </c>
      <c r="AA442" s="1948">
        <v>0.75749999999999995</v>
      </c>
      <c r="AB442" s="1948">
        <v>24.59</v>
      </c>
      <c r="AC442" s="1948">
        <v>35327</v>
      </c>
      <c r="AD442" s="1948">
        <f t="shared" si="94"/>
        <v>86210</v>
      </c>
      <c r="AE442" s="1948">
        <f t="shared" si="95"/>
        <v>0</v>
      </c>
      <c r="AF442" s="1948">
        <v>280</v>
      </c>
      <c r="AG442" s="1948">
        <v>111.61799999999999</v>
      </c>
      <c r="AH442" s="1948">
        <v>224</v>
      </c>
      <c r="AI442" s="1948">
        <v>0.52229999999999999</v>
      </c>
      <c r="AJ442" s="1948">
        <v>7.85</v>
      </c>
      <c r="AK442" s="1948">
        <v>6519</v>
      </c>
      <c r="AL442" s="1948">
        <f t="shared" si="96"/>
        <v>49826</v>
      </c>
      <c r="AM442" s="1948">
        <f t="shared" si="97"/>
        <v>0</v>
      </c>
      <c r="AN442" s="1948">
        <v>280</v>
      </c>
      <c r="AO442" s="1948">
        <v>177.67399999999998</v>
      </c>
      <c r="AP442" s="1948">
        <v>224</v>
      </c>
      <c r="AQ442" s="1948">
        <v>0.63549999999999995</v>
      </c>
      <c r="AR442" s="1948">
        <v>11.88</v>
      </c>
      <c r="AS442" s="1948">
        <v>15704</v>
      </c>
      <c r="AT442" s="1948">
        <f t="shared" si="98"/>
        <v>79314</v>
      </c>
      <c r="AU442" s="1948">
        <f t="shared" si="99"/>
        <v>0</v>
      </c>
      <c r="AV442" s="1948">
        <v>280</v>
      </c>
      <c r="AW442" s="1948">
        <v>195.33</v>
      </c>
      <c r="AX442" s="1948">
        <v>224</v>
      </c>
      <c r="AY442" s="1948">
        <v>0.72919999999999996</v>
      </c>
      <c r="AZ442" s="1948">
        <v>43.16</v>
      </c>
      <c r="BA442" s="1948">
        <v>60699</v>
      </c>
      <c r="BB442" s="1948">
        <f t="shared" si="100"/>
        <v>84383</v>
      </c>
      <c r="BC442" s="1948">
        <f t="shared" si="101"/>
        <v>0</v>
      </c>
      <c r="BD442" s="1949">
        <v>280</v>
      </c>
      <c r="BE442" s="1948">
        <v>185.27999999999997</v>
      </c>
      <c r="BF442" s="1949">
        <v>224</v>
      </c>
      <c r="BG442" s="1949">
        <v>0.70209999999999995</v>
      </c>
      <c r="BH442" s="1949">
        <v>52.07</v>
      </c>
      <c r="BI442" s="1948">
        <v>71771</v>
      </c>
      <c r="BJ442" s="1948">
        <f t="shared" si="102"/>
        <v>82709</v>
      </c>
      <c r="BK442" s="1948">
        <f t="shared" si="103"/>
        <v>0</v>
      </c>
    </row>
    <row r="443" spans="1:63" ht="15">
      <c r="A443" s="1946">
        <v>123000000060</v>
      </c>
      <c r="B443" s="1947">
        <f t="shared" si="104"/>
        <v>437</v>
      </c>
      <c r="C443" s="1906" t="s">
        <v>3302</v>
      </c>
      <c r="D443" s="1907" t="s">
        <v>524</v>
      </c>
      <c r="E443" s="1906" t="s">
        <v>541</v>
      </c>
      <c r="F443" s="1948" t="s">
        <v>259</v>
      </c>
      <c r="G443" s="1949">
        <v>280</v>
      </c>
      <c r="H443" s="1948">
        <v>280</v>
      </c>
      <c r="I443" s="1950">
        <v>131.52000000000001</v>
      </c>
      <c r="J443" s="1948">
        <v>224</v>
      </c>
      <c r="K443" s="1948">
        <v>0.94689999999999996</v>
      </c>
      <c r="L443" s="1948">
        <v>49.58</v>
      </c>
      <c r="M443" s="1948">
        <v>48515</v>
      </c>
      <c r="N443" s="1948">
        <f t="shared" si="90"/>
        <v>56817</v>
      </c>
      <c r="O443" s="1948">
        <f t="shared" si="91"/>
        <v>0</v>
      </c>
      <c r="P443" s="1948">
        <v>280</v>
      </c>
      <c r="Q443" s="1948">
        <v>138.6</v>
      </c>
      <c r="R443" s="1948">
        <v>224</v>
      </c>
      <c r="S443" s="1948">
        <v>0.93540000000000001</v>
      </c>
      <c r="T443" s="1948">
        <v>43.15</v>
      </c>
      <c r="U443" s="1948">
        <v>41627</v>
      </c>
      <c r="V443" s="1948">
        <f t="shared" si="92"/>
        <v>61871</v>
      </c>
      <c r="W443" s="1948">
        <f t="shared" si="93"/>
        <v>0</v>
      </c>
      <c r="X443" s="1948">
        <v>280</v>
      </c>
      <c r="Y443" s="1948">
        <v>306.60000000000002</v>
      </c>
      <c r="Z443" s="1948">
        <v>224</v>
      </c>
      <c r="AA443" s="1948">
        <v>0.94099999999999995</v>
      </c>
      <c r="AB443" s="1948">
        <v>17.329999999999998</v>
      </c>
      <c r="AC443" s="1948">
        <v>22321</v>
      </c>
      <c r="AD443" s="1948">
        <f t="shared" si="94"/>
        <v>132451</v>
      </c>
      <c r="AE443" s="1948">
        <f t="shared" si="95"/>
        <v>0</v>
      </c>
      <c r="AF443" s="1948">
        <v>280</v>
      </c>
      <c r="AG443" s="1948">
        <v>164.16</v>
      </c>
      <c r="AH443" s="1948">
        <v>224</v>
      </c>
      <c r="AI443" s="1948">
        <v>0.96609999999999996</v>
      </c>
      <c r="AJ443" s="1948">
        <v>25.84</v>
      </c>
      <c r="AK443" s="1948">
        <v>31554</v>
      </c>
      <c r="AL443" s="1948">
        <f t="shared" si="96"/>
        <v>73281</v>
      </c>
      <c r="AM443" s="1948">
        <f t="shared" si="97"/>
        <v>0</v>
      </c>
      <c r="AN443" s="1948">
        <v>280</v>
      </c>
      <c r="AO443" s="1948">
        <v>157.44000000000003</v>
      </c>
      <c r="AP443" s="1948">
        <v>224</v>
      </c>
      <c r="AQ443" s="1948">
        <v>0.96689999999999998</v>
      </c>
      <c r="AR443" s="1948">
        <v>16.22</v>
      </c>
      <c r="AS443" s="1948">
        <v>18999</v>
      </c>
      <c r="AT443" s="1948">
        <f t="shared" si="98"/>
        <v>70281</v>
      </c>
      <c r="AU443" s="1948">
        <f t="shared" si="99"/>
        <v>0</v>
      </c>
      <c r="AV443" s="1948">
        <v>280</v>
      </c>
      <c r="AW443" s="1948">
        <v>20.64</v>
      </c>
      <c r="AX443" s="1948">
        <v>224</v>
      </c>
      <c r="AY443" s="1948">
        <v>0.98619999999999997</v>
      </c>
      <c r="AZ443" s="1948">
        <v>25.01</v>
      </c>
      <c r="BA443" s="1948">
        <v>3717</v>
      </c>
      <c r="BB443" s="1948">
        <f t="shared" si="100"/>
        <v>8916</v>
      </c>
      <c r="BC443" s="1948">
        <f t="shared" si="101"/>
        <v>0</v>
      </c>
      <c r="BD443" s="1949">
        <v>280</v>
      </c>
      <c r="BE443" s="1948">
        <v>21.36</v>
      </c>
      <c r="BF443" s="1949">
        <v>224</v>
      </c>
      <c r="BG443" s="1949">
        <v>0.95369999999999999</v>
      </c>
      <c r="BH443" s="1949">
        <v>23.28</v>
      </c>
      <c r="BI443" s="1948">
        <v>3699</v>
      </c>
      <c r="BJ443" s="1948">
        <f t="shared" si="102"/>
        <v>9535</v>
      </c>
      <c r="BK443" s="1948">
        <f t="shared" si="103"/>
        <v>0</v>
      </c>
    </row>
    <row r="444" spans="1:63" ht="15">
      <c r="A444" s="1946">
        <v>613000000030</v>
      </c>
      <c r="B444" s="1947">
        <f t="shared" si="104"/>
        <v>438</v>
      </c>
      <c r="C444" s="1906" t="s">
        <v>3303</v>
      </c>
      <c r="D444" s="1907" t="s">
        <v>524</v>
      </c>
      <c r="E444" s="1906" t="s">
        <v>541</v>
      </c>
      <c r="F444" s="1948" t="s">
        <v>259</v>
      </c>
      <c r="G444" s="1949">
        <v>280</v>
      </c>
      <c r="H444" s="1948">
        <v>280</v>
      </c>
      <c r="I444" s="1950">
        <v>198.4</v>
      </c>
      <c r="J444" s="1948">
        <v>224</v>
      </c>
      <c r="K444" s="1948">
        <v>0.97619999999999996</v>
      </c>
      <c r="L444" s="1948">
        <v>49.14</v>
      </c>
      <c r="M444" s="1948">
        <v>70192</v>
      </c>
      <c r="N444" s="1948">
        <f t="shared" si="90"/>
        <v>85709</v>
      </c>
      <c r="O444" s="1948">
        <f t="shared" si="91"/>
        <v>0</v>
      </c>
      <c r="P444" s="1948">
        <v>280</v>
      </c>
      <c r="Q444" s="1948">
        <v>176.64</v>
      </c>
      <c r="R444" s="1948">
        <v>224</v>
      </c>
      <c r="S444" s="1948">
        <v>0.97250000000000003</v>
      </c>
      <c r="T444" s="1948">
        <v>37.79</v>
      </c>
      <c r="U444" s="1948">
        <v>49662</v>
      </c>
      <c r="V444" s="1948">
        <f t="shared" si="92"/>
        <v>78852</v>
      </c>
      <c r="W444" s="1948">
        <f t="shared" si="93"/>
        <v>0</v>
      </c>
      <c r="X444" s="1948">
        <v>280</v>
      </c>
      <c r="Y444" s="1948">
        <v>172.64</v>
      </c>
      <c r="Z444" s="1948">
        <v>224</v>
      </c>
      <c r="AA444" s="1948">
        <v>0.95799999999999996</v>
      </c>
      <c r="AB444" s="1948">
        <v>12.8</v>
      </c>
      <c r="AC444" s="1948">
        <v>15912</v>
      </c>
      <c r="AD444" s="1948">
        <f t="shared" si="94"/>
        <v>74580</v>
      </c>
      <c r="AE444" s="1948">
        <f t="shared" si="95"/>
        <v>0</v>
      </c>
      <c r="AF444" s="1948">
        <v>280</v>
      </c>
      <c r="AG444" s="1948">
        <v>221.92</v>
      </c>
      <c r="AH444" s="1948">
        <v>224</v>
      </c>
      <c r="AI444" s="1948">
        <v>0.95009999999999994</v>
      </c>
      <c r="AJ444" s="1948">
        <v>29.73</v>
      </c>
      <c r="AK444" s="1948">
        <v>49084</v>
      </c>
      <c r="AL444" s="1948">
        <f t="shared" si="96"/>
        <v>99065</v>
      </c>
      <c r="AM444" s="1948">
        <f t="shared" si="97"/>
        <v>0</v>
      </c>
      <c r="AN444" s="1948">
        <v>280</v>
      </c>
      <c r="AO444" s="1948">
        <v>214.23999999999998</v>
      </c>
      <c r="AP444" s="1948">
        <v>224</v>
      </c>
      <c r="AQ444" s="1948">
        <v>0.97360000000000002</v>
      </c>
      <c r="AR444" s="1948">
        <v>41.74</v>
      </c>
      <c r="AS444" s="1948">
        <v>66530</v>
      </c>
      <c r="AT444" s="1948">
        <f t="shared" si="98"/>
        <v>95637</v>
      </c>
      <c r="AU444" s="1948">
        <f t="shared" si="99"/>
        <v>0</v>
      </c>
      <c r="AV444" s="1948">
        <v>280</v>
      </c>
      <c r="AW444" s="1948">
        <v>200.95999999999998</v>
      </c>
      <c r="AX444" s="1948">
        <v>224</v>
      </c>
      <c r="AY444" s="1948">
        <v>0.97360000000000002</v>
      </c>
      <c r="AZ444" s="1948">
        <v>50.34</v>
      </c>
      <c r="BA444" s="1948">
        <v>72832</v>
      </c>
      <c r="BB444" s="1948">
        <f t="shared" si="100"/>
        <v>86815</v>
      </c>
      <c r="BC444" s="1948">
        <f t="shared" si="101"/>
        <v>0</v>
      </c>
      <c r="BD444" s="1949">
        <v>280</v>
      </c>
      <c r="BE444" s="1948">
        <v>186.24</v>
      </c>
      <c r="BF444" s="1949">
        <v>224</v>
      </c>
      <c r="BG444" s="1949">
        <v>0.97019999999999995</v>
      </c>
      <c r="BH444" s="1949">
        <v>43.04</v>
      </c>
      <c r="BI444" s="1948">
        <v>59638</v>
      </c>
      <c r="BJ444" s="1948">
        <f t="shared" si="102"/>
        <v>83138</v>
      </c>
      <c r="BK444" s="1948">
        <f t="shared" si="103"/>
        <v>0</v>
      </c>
    </row>
    <row r="445" spans="1:63" ht="15">
      <c r="A445" s="1946">
        <v>122000000004</v>
      </c>
      <c r="B445" s="1947">
        <f t="shared" si="104"/>
        <v>439</v>
      </c>
      <c r="C445" s="1906" t="s">
        <v>3304</v>
      </c>
      <c r="D445" s="1907" t="s">
        <v>524</v>
      </c>
      <c r="E445" s="1906" t="s">
        <v>629</v>
      </c>
      <c r="F445" s="1948" t="s">
        <v>259</v>
      </c>
      <c r="G445" s="1949">
        <v>284.44</v>
      </c>
      <c r="H445" s="1948">
        <v>284.44</v>
      </c>
      <c r="I445" s="1950">
        <v>112.48</v>
      </c>
      <c r="J445" s="1948">
        <v>284.44</v>
      </c>
      <c r="K445" s="1948">
        <v>0.98040000000000005</v>
      </c>
      <c r="L445" s="1948">
        <v>0</v>
      </c>
      <c r="M445" s="1948">
        <v>38166</v>
      </c>
      <c r="N445" s="1948">
        <f t="shared" si="90"/>
        <v>48591</v>
      </c>
      <c r="O445" s="1948">
        <f t="shared" si="91"/>
        <v>0</v>
      </c>
      <c r="P445" s="1948">
        <v>284.44</v>
      </c>
      <c r="Q445" s="1948">
        <v>112.00000000000001</v>
      </c>
      <c r="R445" s="1948">
        <v>284.44</v>
      </c>
      <c r="S445" s="1948">
        <v>0.98570000000000002</v>
      </c>
      <c r="T445" s="1948">
        <v>0</v>
      </c>
      <c r="U445" s="1948">
        <v>47282</v>
      </c>
      <c r="V445" s="1948">
        <f t="shared" si="92"/>
        <v>49997</v>
      </c>
      <c r="W445" s="1948">
        <f t="shared" si="93"/>
        <v>0</v>
      </c>
      <c r="X445" s="1948">
        <v>284.44</v>
      </c>
      <c r="Y445" s="1948">
        <v>120.96000000000001</v>
      </c>
      <c r="Z445" s="1948">
        <v>284.44</v>
      </c>
      <c r="AA445" s="1948">
        <v>0.98619999999999997</v>
      </c>
      <c r="AB445" s="1948">
        <v>0</v>
      </c>
      <c r="AC445" s="1948">
        <v>48622</v>
      </c>
      <c r="AD445" s="1948">
        <f t="shared" si="94"/>
        <v>52255</v>
      </c>
      <c r="AE445" s="1948">
        <f t="shared" si="95"/>
        <v>0</v>
      </c>
      <c r="AF445" s="1948">
        <v>284.44</v>
      </c>
      <c r="AG445" s="1948">
        <v>107.04</v>
      </c>
      <c r="AH445" s="1948">
        <v>284.44</v>
      </c>
      <c r="AI445" s="1948">
        <v>0.98519999999999996</v>
      </c>
      <c r="AJ445" s="1948">
        <v>0</v>
      </c>
      <c r="AK445" s="1948">
        <v>46566</v>
      </c>
      <c r="AL445" s="1948">
        <f t="shared" si="96"/>
        <v>47783</v>
      </c>
      <c r="AM445" s="1948">
        <f t="shared" si="97"/>
        <v>0</v>
      </c>
      <c r="AN445" s="1948">
        <v>284.44</v>
      </c>
      <c r="AO445" s="1948">
        <v>108.16</v>
      </c>
      <c r="AP445" s="1948">
        <v>284.44</v>
      </c>
      <c r="AQ445" s="1948">
        <v>0.9829</v>
      </c>
      <c r="AR445" s="1948">
        <v>0</v>
      </c>
      <c r="AS445" s="1948">
        <v>42678</v>
      </c>
      <c r="AT445" s="1948">
        <f t="shared" si="98"/>
        <v>48283</v>
      </c>
      <c r="AU445" s="1948">
        <f t="shared" si="99"/>
        <v>0</v>
      </c>
      <c r="AV445" s="1948">
        <v>284.44</v>
      </c>
      <c r="AW445" s="1948">
        <v>102.08</v>
      </c>
      <c r="AX445" s="1948">
        <v>284.44</v>
      </c>
      <c r="AY445" s="1948">
        <v>0.98080000000000001</v>
      </c>
      <c r="AZ445" s="1948">
        <v>0</v>
      </c>
      <c r="BA445" s="1948">
        <v>39820</v>
      </c>
      <c r="BB445" s="1948">
        <f t="shared" si="100"/>
        <v>44099</v>
      </c>
      <c r="BC445" s="1948">
        <f t="shared" si="101"/>
        <v>0</v>
      </c>
      <c r="BD445" s="1949">
        <v>284.44</v>
      </c>
      <c r="BE445" s="1948">
        <v>101.44</v>
      </c>
      <c r="BF445" s="1949">
        <v>284.44</v>
      </c>
      <c r="BG445" s="1949">
        <v>0.97540000000000004</v>
      </c>
      <c r="BH445" s="1949">
        <v>0</v>
      </c>
      <c r="BI445" s="1948">
        <v>35568</v>
      </c>
      <c r="BJ445" s="1948">
        <f t="shared" si="102"/>
        <v>45283</v>
      </c>
      <c r="BK445" s="1948">
        <f t="shared" si="103"/>
        <v>0</v>
      </c>
    </row>
    <row r="446" spans="1:63" ht="15">
      <c r="A446" s="1946">
        <v>121000000069</v>
      </c>
      <c r="B446" s="1947">
        <f t="shared" si="104"/>
        <v>440</v>
      </c>
      <c r="C446" s="1906" t="s">
        <v>3575</v>
      </c>
      <c r="D446" s="1907" t="s">
        <v>524</v>
      </c>
      <c r="E446" s="1906" t="s">
        <v>2966</v>
      </c>
      <c r="F446" s="1948" t="s">
        <v>259</v>
      </c>
      <c r="G446" s="1949">
        <v>289</v>
      </c>
      <c r="H446" s="1948">
        <v>178</v>
      </c>
      <c r="I446" s="1950">
        <v>206.88</v>
      </c>
      <c r="J446" s="1948">
        <v>206.88</v>
      </c>
      <c r="K446" s="1948">
        <v>0.78249999999999997</v>
      </c>
      <c r="L446" s="1948">
        <v>0</v>
      </c>
      <c r="M446" s="1948">
        <v>15896</v>
      </c>
      <c r="N446" s="1948">
        <f t="shared" si="90"/>
        <v>89372</v>
      </c>
      <c r="O446" s="1948">
        <f t="shared" si="91"/>
        <v>0</v>
      </c>
      <c r="P446" s="1948">
        <v>289</v>
      </c>
      <c r="Q446" s="1948">
        <v>225.92</v>
      </c>
      <c r="R446" s="1948">
        <v>289</v>
      </c>
      <c r="S446" s="1948">
        <v>0.82650000000000001</v>
      </c>
      <c r="T446" s="1948">
        <v>0</v>
      </c>
      <c r="U446" s="1948">
        <v>7370</v>
      </c>
      <c r="V446" s="1948">
        <f t="shared" si="92"/>
        <v>100851</v>
      </c>
      <c r="W446" s="1948">
        <f t="shared" si="93"/>
        <v>0</v>
      </c>
      <c r="X446" s="1948">
        <v>289</v>
      </c>
      <c r="Y446" s="1948">
        <v>211.52</v>
      </c>
      <c r="Z446" s="1948">
        <v>289</v>
      </c>
      <c r="AA446" s="1948">
        <v>0.78120000000000001</v>
      </c>
      <c r="AB446" s="1948">
        <v>0</v>
      </c>
      <c r="AC446" s="1948">
        <v>17286</v>
      </c>
      <c r="AD446" s="1948">
        <f t="shared" si="94"/>
        <v>91377</v>
      </c>
      <c r="AE446" s="1948">
        <f t="shared" si="95"/>
        <v>0</v>
      </c>
      <c r="AF446" s="1948">
        <v>289</v>
      </c>
      <c r="AG446" s="1948">
        <v>245.92000000000002</v>
      </c>
      <c r="AH446" s="1948">
        <v>289</v>
      </c>
      <c r="AI446" s="1948">
        <v>0.78059999999999996</v>
      </c>
      <c r="AJ446" s="1948">
        <v>0</v>
      </c>
      <c r="AK446" s="1948">
        <v>51290</v>
      </c>
      <c r="AL446" s="1948">
        <f t="shared" si="96"/>
        <v>109779</v>
      </c>
      <c r="AM446" s="1948">
        <f t="shared" si="97"/>
        <v>0</v>
      </c>
      <c r="AN446" s="1948">
        <v>289</v>
      </c>
      <c r="AO446" s="1948">
        <v>227.04</v>
      </c>
      <c r="AP446" s="1948">
        <v>289</v>
      </c>
      <c r="AQ446" s="1948">
        <v>0.77910000000000001</v>
      </c>
      <c r="AR446" s="1948">
        <v>0</v>
      </c>
      <c r="AS446" s="1948">
        <v>57364</v>
      </c>
      <c r="AT446" s="1948">
        <f t="shared" si="98"/>
        <v>101351</v>
      </c>
      <c r="AU446" s="1948">
        <f t="shared" si="99"/>
        <v>0</v>
      </c>
      <c r="AV446" s="1948">
        <v>289</v>
      </c>
      <c r="AW446" s="1948">
        <v>56.48</v>
      </c>
      <c r="AX446" s="1948">
        <v>289</v>
      </c>
      <c r="AY446" s="1948">
        <v>0.8095</v>
      </c>
      <c r="AZ446" s="1948">
        <v>0</v>
      </c>
      <c r="BA446" s="1948">
        <v>8168</v>
      </c>
      <c r="BB446" s="1948">
        <f t="shared" si="100"/>
        <v>24399</v>
      </c>
      <c r="BC446" s="1948">
        <f t="shared" si="101"/>
        <v>0</v>
      </c>
      <c r="BD446" s="1949">
        <v>289</v>
      </c>
      <c r="BE446" s="1948">
        <v>37.92</v>
      </c>
      <c r="BF446" s="1949">
        <v>289</v>
      </c>
      <c r="BG446" s="1949">
        <v>0.86670000000000003</v>
      </c>
      <c r="BH446" s="1949">
        <v>0</v>
      </c>
      <c r="BI446" s="1948">
        <v>8706</v>
      </c>
      <c r="BJ446" s="1948">
        <f t="shared" si="102"/>
        <v>16927</v>
      </c>
      <c r="BK446" s="1948">
        <f t="shared" si="103"/>
        <v>0</v>
      </c>
    </row>
    <row r="447" spans="1:63" ht="15">
      <c r="A447" s="1946">
        <v>421000000020</v>
      </c>
      <c r="B447" s="1947">
        <f t="shared" si="104"/>
        <v>441</v>
      </c>
      <c r="C447" s="1906" t="s">
        <v>3305</v>
      </c>
      <c r="D447" s="1907" t="s">
        <v>524</v>
      </c>
      <c r="E447" s="1906" t="s">
        <v>636</v>
      </c>
      <c r="F447" s="1948" t="s">
        <v>259</v>
      </c>
      <c r="G447" s="1949">
        <v>290</v>
      </c>
      <c r="H447" s="1948">
        <v>290</v>
      </c>
      <c r="I447" s="1950">
        <v>154.32</v>
      </c>
      <c r="J447" s="1948">
        <v>232</v>
      </c>
      <c r="K447" s="1948">
        <v>0.96389999999999998</v>
      </c>
      <c r="L447" s="1948">
        <v>19.010000000000002</v>
      </c>
      <c r="M447" s="1948">
        <v>21120</v>
      </c>
      <c r="N447" s="1948">
        <f t="shared" si="90"/>
        <v>66666</v>
      </c>
      <c r="O447" s="1948">
        <f t="shared" si="91"/>
        <v>0</v>
      </c>
      <c r="P447" s="1948">
        <v>290</v>
      </c>
      <c r="Q447" s="1948">
        <v>198</v>
      </c>
      <c r="R447" s="1948">
        <v>232</v>
      </c>
      <c r="S447" s="1948">
        <v>0.97870000000000001</v>
      </c>
      <c r="T447" s="1948">
        <v>22.22</v>
      </c>
      <c r="U447" s="1948">
        <v>32739</v>
      </c>
      <c r="V447" s="1948">
        <f t="shared" si="92"/>
        <v>88387</v>
      </c>
      <c r="W447" s="1948">
        <f t="shared" si="93"/>
        <v>0</v>
      </c>
      <c r="X447" s="1948">
        <v>290</v>
      </c>
      <c r="Y447" s="1948">
        <v>233.76</v>
      </c>
      <c r="Z447" s="1948">
        <v>233.76</v>
      </c>
      <c r="AA447" s="1948">
        <v>0.96709999999999996</v>
      </c>
      <c r="AB447" s="1948">
        <v>16.510000000000002</v>
      </c>
      <c r="AC447" s="1948">
        <v>27786</v>
      </c>
      <c r="AD447" s="1948">
        <f t="shared" si="94"/>
        <v>100984</v>
      </c>
      <c r="AE447" s="1948">
        <f t="shared" si="95"/>
        <v>0</v>
      </c>
      <c r="AF447" s="1948">
        <v>290</v>
      </c>
      <c r="AG447" s="1948">
        <v>204.72</v>
      </c>
      <c r="AH447" s="1948">
        <v>232</v>
      </c>
      <c r="AI447" s="1948">
        <v>0.97430000000000005</v>
      </c>
      <c r="AJ447" s="1948">
        <v>21.77</v>
      </c>
      <c r="AK447" s="1948">
        <v>33159</v>
      </c>
      <c r="AL447" s="1948">
        <f t="shared" si="96"/>
        <v>91387</v>
      </c>
      <c r="AM447" s="1948">
        <f t="shared" si="97"/>
        <v>0</v>
      </c>
      <c r="AN447" s="1948">
        <v>290</v>
      </c>
      <c r="AO447" s="1948">
        <v>203.76000000000002</v>
      </c>
      <c r="AP447" s="1948">
        <v>232</v>
      </c>
      <c r="AQ447" s="1948">
        <v>0.96819999999999995</v>
      </c>
      <c r="AR447" s="1948">
        <v>21.99</v>
      </c>
      <c r="AS447" s="1948">
        <v>33342</v>
      </c>
      <c r="AT447" s="1948">
        <f t="shared" si="98"/>
        <v>90958</v>
      </c>
      <c r="AU447" s="1948">
        <f t="shared" si="99"/>
        <v>0</v>
      </c>
      <c r="AV447" s="1948">
        <v>290</v>
      </c>
      <c r="AW447" s="1948">
        <v>199.20000000000002</v>
      </c>
      <c r="AX447" s="1948">
        <v>232</v>
      </c>
      <c r="AY447" s="1948">
        <v>0.96460000000000001</v>
      </c>
      <c r="AZ447" s="1948">
        <v>22.68</v>
      </c>
      <c r="BA447" s="1948">
        <v>32523</v>
      </c>
      <c r="BB447" s="1948">
        <f t="shared" si="100"/>
        <v>86054</v>
      </c>
      <c r="BC447" s="1948">
        <f t="shared" si="101"/>
        <v>0</v>
      </c>
      <c r="BD447" s="1949">
        <v>290</v>
      </c>
      <c r="BE447" s="1948">
        <v>174.72</v>
      </c>
      <c r="BF447" s="1949">
        <v>232</v>
      </c>
      <c r="BG447" s="1949">
        <v>0.92749999999999999</v>
      </c>
      <c r="BH447" s="1949">
        <v>19.37</v>
      </c>
      <c r="BI447" s="1948">
        <v>25179</v>
      </c>
      <c r="BJ447" s="1948">
        <f t="shared" si="102"/>
        <v>77995</v>
      </c>
      <c r="BK447" s="1948">
        <f t="shared" si="103"/>
        <v>0</v>
      </c>
    </row>
    <row r="448" spans="1:63" ht="15">
      <c r="A448" s="1946">
        <v>621000000045</v>
      </c>
      <c r="B448" s="1947">
        <f t="shared" si="104"/>
        <v>442</v>
      </c>
      <c r="C448" s="1906" t="s">
        <v>2947</v>
      </c>
      <c r="D448" s="1907" t="s">
        <v>524</v>
      </c>
      <c r="E448" s="1906" t="s">
        <v>730</v>
      </c>
      <c r="F448" s="1948" t="s">
        <v>259</v>
      </c>
      <c r="G448" s="1949">
        <v>290</v>
      </c>
      <c r="H448" s="1948">
        <v>290</v>
      </c>
      <c r="I448" s="1950">
        <v>152.4</v>
      </c>
      <c r="J448" s="1948">
        <v>232</v>
      </c>
      <c r="K448" s="1948">
        <v>0.99870000000000003</v>
      </c>
      <c r="L448" s="1948">
        <v>72.650000000000006</v>
      </c>
      <c r="M448" s="1948">
        <v>79722</v>
      </c>
      <c r="N448" s="1948">
        <f t="shared" si="90"/>
        <v>65837</v>
      </c>
      <c r="O448" s="1948">
        <f t="shared" si="91"/>
        <v>13885</v>
      </c>
      <c r="P448" s="1948">
        <v>290</v>
      </c>
      <c r="Q448" s="1948">
        <v>151.91999999999999</v>
      </c>
      <c r="R448" s="1948">
        <v>232</v>
      </c>
      <c r="S448" s="1948">
        <v>0.99770000000000003</v>
      </c>
      <c r="T448" s="1948">
        <v>67.27</v>
      </c>
      <c r="U448" s="1948">
        <v>76029</v>
      </c>
      <c r="V448" s="1948">
        <f t="shared" si="92"/>
        <v>67817</v>
      </c>
      <c r="W448" s="1948">
        <f t="shared" si="93"/>
        <v>8212</v>
      </c>
      <c r="X448" s="1948">
        <v>290</v>
      </c>
      <c r="Y448" s="1948">
        <v>151.19999999999999</v>
      </c>
      <c r="Z448" s="1948">
        <v>232</v>
      </c>
      <c r="AA448" s="1948">
        <v>0.998</v>
      </c>
      <c r="AB448" s="1948">
        <v>74.77</v>
      </c>
      <c r="AC448" s="1948">
        <v>81396</v>
      </c>
      <c r="AD448" s="1948">
        <f t="shared" si="94"/>
        <v>65318</v>
      </c>
      <c r="AE448" s="1948">
        <f t="shared" si="95"/>
        <v>16078</v>
      </c>
      <c r="AF448" s="1948">
        <v>290</v>
      </c>
      <c r="AG448" s="1948">
        <v>147.12</v>
      </c>
      <c r="AH448" s="1948">
        <v>232</v>
      </c>
      <c r="AI448" s="1948">
        <v>0.99939999999999996</v>
      </c>
      <c r="AJ448" s="1948">
        <v>73.89</v>
      </c>
      <c r="AK448" s="1948">
        <v>80880</v>
      </c>
      <c r="AL448" s="1948">
        <f t="shared" si="96"/>
        <v>65674</v>
      </c>
      <c r="AM448" s="1948">
        <f t="shared" si="97"/>
        <v>15206</v>
      </c>
      <c r="AN448" s="1948">
        <v>290</v>
      </c>
      <c r="AO448" s="1948">
        <v>155.51999999999998</v>
      </c>
      <c r="AP448" s="1948">
        <v>232</v>
      </c>
      <c r="AQ448" s="1948">
        <v>0.99939999999999996</v>
      </c>
      <c r="AR448" s="1948">
        <v>69.59</v>
      </c>
      <c r="AS448" s="1948">
        <v>80526</v>
      </c>
      <c r="AT448" s="1948">
        <f t="shared" si="98"/>
        <v>69424</v>
      </c>
      <c r="AU448" s="1948">
        <f t="shared" si="99"/>
        <v>11102</v>
      </c>
      <c r="AV448" s="1948">
        <v>290</v>
      </c>
      <c r="AW448" s="1948">
        <v>167.04</v>
      </c>
      <c r="AX448" s="1948">
        <v>232</v>
      </c>
      <c r="AY448" s="1948">
        <v>0.99339999999999995</v>
      </c>
      <c r="AZ448" s="1948">
        <v>57.42</v>
      </c>
      <c r="BA448" s="1948">
        <v>69057</v>
      </c>
      <c r="BB448" s="1948">
        <f t="shared" si="100"/>
        <v>72161</v>
      </c>
      <c r="BC448" s="1948">
        <f t="shared" si="101"/>
        <v>0</v>
      </c>
      <c r="BD448" s="1949">
        <v>290</v>
      </c>
      <c r="BE448" s="1948">
        <v>160.32</v>
      </c>
      <c r="BF448" s="1949">
        <v>232</v>
      </c>
      <c r="BG448" s="1949">
        <v>0.98870000000000002</v>
      </c>
      <c r="BH448" s="1949">
        <v>69.94</v>
      </c>
      <c r="BI448" s="1948">
        <v>83418</v>
      </c>
      <c r="BJ448" s="1948">
        <f t="shared" si="102"/>
        <v>71567</v>
      </c>
      <c r="BK448" s="1948">
        <f t="shared" si="103"/>
        <v>11851</v>
      </c>
    </row>
    <row r="449" spans="1:63" ht="15">
      <c r="A449" s="1946">
        <v>121000000046</v>
      </c>
      <c r="B449" s="1947">
        <f t="shared" si="104"/>
        <v>443</v>
      </c>
      <c r="C449" s="1906" t="s">
        <v>3306</v>
      </c>
      <c r="D449" s="1907" t="s">
        <v>524</v>
      </c>
      <c r="E449" s="1906" t="s">
        <v>636</v>
      </c>
      <c r="F449" s="1948" t="s">
        <v>259</v>
      </c>
      <c r="G449" s="1949">
        <v>295</v>
      </c>
      <c r="H449" s="1948">
        <v>295</v>
      </c>
      <c r="I449" s="1950">
        <v>73.44</v>
      </c>
      <c r="J449" s="1948">
        <v>236</v>
      </c>
      <c r="K449" s="1948">
        <v>0.98699999999999999</v>
      </c>
      <c r="L449" s="1948">
        <v>40.42</v>
      </c>
      <c r="M449" s="1948">
        <v>21372</v>
      </c>
      <c r="N449" s="1948">
        <f t="shared" si="90"/>
        <v>31726</v>
      </c>
      <c r="O449" s="1948">
        <f t="shared" si="91"/>
        <v>0</v>
      </c>
      <c r="P449" s="1948">
        <v>295</v>
      </c>
      <c r="Q449" s="1948">
        <v>77.28</v>
      </c>
      <c r="R449" s="1948">
        <v>236</v>
      </c>
      <c r="S449" s="1948">
        <v>0.98299999999999998</v>
      </c>
      <c r="T449" s="1948">
        <v>28.87</v>
      </c>
      <c r="U449" s="1948">
        <v>16602</v>
      </c>
      <c r="V449" s="1948">
        <f t="shared" si="92"/>
        <v>34498</v>
      </c>
      <c r="W449" s="1948">
        <f t="shared" si="93"/>
        <v>0</v>
      </c>
      <c r="X449" s="1948">
        <v>295</v>
      </c>
      <c r="Y449" s="1948">
        <v>79.680000000000007</v>
      </c>
      <c r="Z449" s="1948">
        <v>236</v>
      </c>
      <c r="AA449" s="1948">
        <v>0.98350000000000004</v>
      </c>
      <c r="AB449" s="1948">
        <v>28.94</v>
      </c>
      <c r="AC449" s="1948">
        <v>16602</v>
      </c>
      <c r="AD449" s="1948">
        <f t="shared" si="94"/>
        <v>34422</v>
      </c>
      <c r="AE449" s="1948">
        <f t="shared" si="95"/>
        <v>0</v>
      </c>
      <c r="AF449" s="1948">
        <v>295</v>
      </c>
      <c r="AG449" s="1948">
        <v>68.88</v>
      </c>
      <c r="AH449" s="1948">
        <v>236</v>
      </c>
      <c r="AI449" s="1948">
        <v>0.98670000000000002</v>
      </c>
      <c r="AJ449" s="1948">
        <v>48.42</v>
      </c>
      <c r="AK449" s="1948">
        <v>24816</v>
      </c>
      <c r="AL449" s="1948">
        <f t="shared" si="96"/>
        <v>30748</v>
      </c>
      <c r="AM449" s="1948">
        <f t="shared" si="97"/>
        <v>0</v>
      </c>
      <c r="AN449" s="1948">
        <v>295</v>
      </c>
      <c r="AO449" s="1948">
        <v>65.039999999999992</v>
      </c>
      <c r="AP449" s="1948">
        <v>236</v>
      </c>
      <c r="AQ449" s="1948">
        <v>0.98050000000000004</v>
      </c>
      <c r="AR449" s="1948">
        <v>44.67</v>
      </c>
      <c r="AS449" s="1948">
        <v>21615</v>
      </c>
      <c r="AT449" s="1948">
        <f t="shared" si="98"/>
        <v>29034</v>
      </c>
      <c r="AU449" s="1948">
        <f t="shared" si="99"/>
        <v>0</v>
      </c>
      <c r="AV449" s="1948">
        <v>295</v>
      </c>
      <c r="AW449" s="1948">
        <v>54.72</v>
      </c>
      <c r="AX449" s="1948">
        <v>236</v>
      </c>
      <c r="AY449" s="1948">
        <v>0.97560000000000002</v>
      </c>
      <c r="AZ449" s="1948">
        <v>44.78</v>
      </c>
      <c r="BA449" s="1948">
        <v>17643</v>
      </c>
      <c r="BB449" s="1948">
        <f t="shared" si="100"/>
        <v>23639</v>
      </c>
      <c r="BC449" s="1948">
        <f t="shared" si="101"/>
        <v>0</v>
      </c>
      <c r="BD449" s="1949">
        <v>295</v>
      </c>
      <c r="BE449" s="1948">
        <v>58.56</v>
      </c>
      <c r="BF449" s="1949">
        <v>236</v>
      </c>
      <c r="BG449" s="1949">
        <v>0.95520000000000005</v>
      </c>
      <c r="BH449" s="1949">
        <v>37.549999999999997</v>
      </c>
      <c r="BI449" s="1948">
        <v>16362</v>
      </c>
      <c r="BJ449" s="1948">
        <f t="shared" si="102"/>
        <v>26141</v>
      </c>
      <c r="BK449" s="1948">
        <f t="shared" si="103"/>
        <v>0</v>
      </c>
    </row>
    <row r="450" spans="1:63" ht="15">
      <c r="A450" s="1946">
        <v>122000000019</v>
      </c>
      <c r="B450" s="1947">
        <f t="shared" si="104"/>
        <v>444</v>
      </c>
      <c r="C450" s="1906" t="s">
        <v>3312</v>
      </c>
      <c r="D450" s="1907" t="s">
        <v>524</v>
      </c>
      <c r="E450" s="1906" t="s">
        <v>541</v>
      </c>
      <c r="F450" s="1948" t="s">
        <v>259</v>
      </c>
      <c r="G450" s="1949">
        <v>300</v>
      </c>
      <c r="H450" s="1948">
        <v>300</v>
      </c>
      <c r="I450" s="1950">
        <v>292.8</v>
      </c>
      <c r="J450" s="1948">
        <v>292.8</v>
      </c>
      <c r="K450" s="1948">
        <v>0.99980000000000002</v>
      </c>
      <c r="L450" s="1948">
        <v>70.760000000000005</v>
      </c>
      <c r="M450" s="1948">
        <v>124303</v>
      </c>
      <c r="N450" s="1948">
        <f t="shared" si="90"/>
        <v>126490</v>
      </c>
      <c r="O450" s="1948">
        <f t="shared" si="91"/>
        <v>0</v>
      </c>
      <c r="P450" s="1948">
        <v>300</v>
      </c>
      <c r="Q450" s="1948">
        <v>286.8</v>
      </c>
      <c r="R450" s="1948">
        <v>286.8</v>
      </c>
      <c r="S450" s="1948">
        <v>0.99580000000000002</v>
      </c>
      <c r="T450" s="1948">
        <v>61.7</v>
      </c>
      <c r="U450" s="1948">
        <v>152888</v>
      </c>
      <c r="V450" s="1948">
        <f t="shared" si="92"/>
        <v>128028</v>
      </c>
      <c r="W450" s="1948">
        <f t="shared" si="93"/>
        <v>24860</v>
      </c>
      <c r="X450" s="1948">
        <v>300</v>
      </c>
      <c r="Y450" s="1948">
        <v>287.60000000000002</v>
      </c>
      <c r="Z450" s="1948">
        <v>287.60000000000002</v>
      </c>
      <c r="AA450" s="1948">
        <v>0.99509999999999998</v>
      </c>
      <c r="AB450" s="1948">
        <v>60.74</v>
      </c>
      <c r="AC450" s="1948">
        <v>125785</v>
      </c>
      <c r="AD450" s="1948">
        <f t="shared" si="94"/>
        <v>124243</v>
      </c>
      <c r="AE450" s="1948">
        <f t="shared" si="95"/>
        <v>1542</v>
      </c>
      <c r="AF450" s="1948">
        <v>300</v>
      </c>
      <c r="AG450" s="1948">
        <v>279.60000000000002</v>
      </c>
      <c r="AH450" s="1948">
        <v>279.60000000000002</v>
      </c>
      <c r="AI450" s="1948">
        <v>0.98780000000000001</v>
      </c>
      <c r="AJ450" s="1948">
        <v>51.24</v>
      </c>
      <c r="AK450" s="1948">
        <v>106588</v>
      </c>
      <c r="AL450" s="1948">
        <f t="shared" si="96"/>
        <v>124813</v>
      </c>
      <c r="AM450" s="1948">
        <f t="shared" si="97"/>
        <v>0</v>
      </c>
      <c r="AN450" s="1948">
        <v>300</v>
      </c>
      <c r="AO450" s="1948">
        <v>288.39999999999998</v>
      </c>
      <c r="AP450" s="1948">
        <v>288.39999999999998</v>
      </c>
      <c r="AQ450" s="1948">
        <v>0.98839999999999995</v>
      </c>
      <c r="AR450" s="1948">
        <v>46.57</v>
      </c>
      <c r="AS450" s="1948">
        <v>99915</v>
      </c>
      <c r="AT450" s="1948">
        <f t="shared" si="98"/>
        <v>128742</v>
      </c>
      <c r="AU450" s="1948">
        <f t="shared" si="99"/>
        <v>0</v>
      </c>
      <c r="AV450" s="1948">
        <v>300</v>
      </c>
      <c r="AW450" s="1948">
        <v>285.8</v>
      </c>
      <c r="AX450" s="1948">
        <v>285.8</v>
      </c>
      <c r="AY450" s="1948">
        <v>0.99529999999999996</v>
      </c>
      <c r="AZ450" s="1948">
        <v>70.02</v>
      </c>
      <c r="BA450" s="1948">
        <v>144087</v>
      </c>
      <c r="BB450" s="1948">
        <f t="shared" si="100"/>
        <v>123466</v>
      </c>
      <c r="BC450" s="1948">
        <f t="shared" si="101"/>
        <v>20621</v>
      </c>
      <c r="BD450" s="1949">
        <v>300</v>
      </c>
      <c r="BE450" s="1948">
        <v>290</v>
      </c>
      <c r="BF450" s="1949">
        <v>290</v>
      </c>
      <c r="BG450" s="1949">
        <v>0.99070000000000003</v>
      </c>
      <c r="BH450" s="1949">
        <v>54.35</v>
      </c>
      <c r="BI450" s="1948">
        <v>117258</v>
      </c>
      <c r="BJ450" s="1948">
        <f t="shared" si="102"/>
        <v>129456</v>
      </c>
      <c r="BK450" s="1948">
        <f t="shared" si="103"/>
        <v>0</v>
      </c>
    </row>
    <row r="451" spans="1:63" ht="15">
      <c r="A451" s="1946">
        <v>122000000043</v>
      </c>
      <c r="B451" s="1947">
        <f t="shared" si="104"/>
        <v>445</v>
      </c>
      <c r="C451" s="1906" t="s">
        <v>3313</v>
      </c>
      <c r="D451" s="1907" t="s">
        <v>524</v>
      </c>
      <c r="E451" s="1906" t="s">
        <v>541</v>
      </c>
      <c r="F451" s="1948" t="s">
        <v>259</v>
      </c>
      <c r="G451" s="1949">
        <v>300</v>
      </c>
      <c r="H451" s="1948">
        <v>300</v>
      </c>
      <c r="I451" s="1950">
        <v>166.56</v>
      </c>
      <c r="J451" s="1948">
        <v>240</v>
      </c>
      <c r="K451" s="1948">
        <v>0.99960000000000004</v>
      </c>
      <c r="L451" s="1948">
        <v>49.31</v>
      </c>
      <c r="M451" s="1948">
        <v>59130</v>
      </c>
      <c r="N451" s="1948">
        <f t="shared" si="90"/>
        <v>71954</v>
      </c>
      <c r="O451" s="1948">
        <f t="shared" si="91"/>
        <v>0</v>
      </c>
      <c r="P451" s="1948">
        <v>300</v>
      </c>
      <c r="Q451" s="1948">
        <v>161.76</v>
      </c>
      <c r="R451" s="1948">
        <v>240</v>
      </c>
      <c r="S451" s="1948">
        <v>0.99490000000000001</v>
      </c>
      <c r="T451" s="1948">
        <v>56.71</v>
      </c>
      <c r="U451" s="1948">
        <v>68248</v>
      </c>
      <c r="V451" s="1948">
        <f t="shared" si="92"/>
        <v>72210</v>
      </c>
      <c r="W451" s="1948">
        <f t="shared" si="93"/>
        <v>0</v>
      </c>
      <c r="X451" s="1948">
        <v>300</v>
      </c>
      <c r="Y451" s="1948">
        <v>174.88</v>
      </c>
      <c r="Z451" s="1948">
        <v>240</v>
      </c>
      <c r="AA451" s="1948">
        <v>0.99960000000000004</v>
      </c>
      <c r="AB451" s="1948">
        <v>58.15</v>
      </c>
      <c r="AC451" s="1948">
        <v>73216</v>
      </c>
      <c r="AD451" s="1948">
        <f t="shared" si="94"/>
        <v>75548</v>
      </c>
      <c r="AE451" s="1948">
        <f t="shared" si="95"/>
        <v>0</v>
      </c>
      <c r="AF451" s="1948">
        <v>300</v>
      </c>
      <c r="AG451" s="1948">
        <v>232.32</v>
      </c>
      <c r="AH451" s="1948">
        <v>240</v>
      </c>
      <c r="AI451" s="1948">
        <v>0.99909999999999999</v>
      </c>
      <c r="AJ451" s="1948">
        <v>63.12</v>
      </c>
      <c r="AK451" s="1948">
        <v>109092</v>
      </c>
      <c r="AL451" s="1948">
        <f t="shared" si="96"/>
        <v>103708</v>
      </c>
      <c r="AM451" s="1948">
        <f t="shared" si="97"/>
        <v>5384</v>
      </c>
      <c r="AN451" s="1948">
        <v>300</v>
      </c>
      <c r="AO451" s="1948">
        <v>243.2</v>
      </c>
      <c r="AP451" s="1948">
        <v>243.2</v>
      </c>
      <c r="AQ451" s="1948">
        <v>0.99219999999999997</v>
      </c>
      <c r="AR451" s="1948">
        <v>52.77</v>
      </c>
      <c r="AS451" s="1948">
        <v>95474</v>
      </c>
      <c r="AT451" s="1948">
        <f t="shared" si="98"/>
        <v>108564</v>
      </c>
      <c r="AU451" s="1948">
        <f t="shared" si="99"/>
        <v>0</v>
      </c>
      <c r="AV451" s="1948">
        <v>300</v>
      </c>
      <c r="AW451" s="1948">
        <v>181.92</v>
      </c>
      <c r="AX451" s="1948">
        <v>240</v>
      </c>
      <c r="AY451" s="1948">
        <v>0.99239999999999995</v>
      </c>
      <c r="AZ451" s="1948">
        <v>58.27</v>
      </c>
      <c r="BA451" s="1948">
        <v>76318</v>
      </c>
      <c r="BB451" s="1948">
        <f t="shared" si="100"/>
        <v>78589</v>
      </c>
      <c r="BC451" s="1948">
        <f t="shared" si="101"/>
        <v>0</v>
      </c>
      <c r="BD451" s="1949">
        <v>300</v>
      </c>
      <c r="BE451" s="1948">
        <v>152</v>
      </c>
      <c r="BF451" s="1949">
        <v>240</v>
      </c>
      <c r="BG451" s="1949">
        <v>0.99309999999999998</v>
      </c>
      <c r="BH451" s="1949">
        <v>51.61</v>
      </c>
      <c r="BI451" s="1948">
        <v>58360</v>
      </c>
      <c r="BJ451" s="1948">
        <f t="shared" si="102"/>
        <v>67853</v>
      </c>
      <c r="BK451" s="1948">
        <f t="shared" si="103"/>
        <v>0</v>
      </c>
    </row>
    <row r="452" spans="1:63" ht="15">
      <c r="A452" s="1946">
        <v>122000000067</v>
      </c>
      <c r="B452" s="1947">
        <f t="shared" si="104"/>
        <v>446</v>
      </c>
      <c r="C452" s="1906" t="s">
        <v>3314</v>
      </c>
      <c r="D452" s="1907" t="s">
        <v>524</v>
      </c>
      <c r="E452" s="1906" t="s">
        <v>623</v>
      </c>
      <c r="F452" s="1948" t="s">
        <v>259</v>
      </c>
      <c r="G452" s="1949">
        <v>300</v>
      </c>
      <c r="H452" s="1948">
        <v>300</v>
      </c>
      <c r="I452" s="1950">
        <v>111.68</v>
      </c>
      <c r="J452" s="1948">
        <v>300</v>
      </c>
      <c r="K452" s="1948">
        <v>0.61050000000000004</v>
      </c>
      <c r="L452" s="1948">
        <v>0</v>
      </c>
      <c r="M452" s="1948">
        <v>7986</v>
      </c>
      <c r="N452" s="1948">
        <f t="shared" si="90"/>
        <v>48246</v>
      </c>
      <c r="O452" s="1948">
        <f t="shared" si="91"/>
        <v>0</v>
      </c>
      <c r="P452" s="1948">
        <v>300</v>
      </c>
      <c r="Q452" s="1948">
        <v>180.8</v>
      </c>
      <c r="R452" s="1948">
        <v>300</v>
      </c>
      <c r="S452" s="1948">
        <v>0.99050000000000005</v>
      </c>
      <c r="T452" s="1948">
        <v>0</v>
      </c>
      <c r="U452" s="1948">
        <v>45954</v>
      </c>
      <c r="V452" s="1948">
        <f t="shared" si="92"/>
        <v>80709</v>
      </c>
      <c r="W452" s="1948">
        <f t="shared" si="93"/>
        <v>0</v>
      </c>
      <c r="X452" s="1948">
        <v>300</v>
      </c>
      <c r="Y452" s="1948">
        <v>186.4</v>
      </c>
      <c r="Z452" s="1948">
        <v>300</v>
      </c>
      <c r="AA452" s="1948">
        <v>0.99580000000000002</v>
      </c>
      <c r="AB452" s="1948">
        <v>0</v>
      </c>
      <c r="AC452" s="1948">
        <v>51552</v>
      </c>
      <c r="AD452" s="1948">
        <f t="shared" si="94"/>
        <v>80525</v>
      </c>
      <c r="AE452" s="1948">
        <f t="shared" si="95"/>
        <v>0</v>
      </c>
      <c r="AF452" s="1948">
        <v>300</v>
      </c>
      <c r="AG452" s="1948">
        <v>178.56</v>
      </c>
      <c r="AH452" s="1948">
        <v>300</v>
      </c>
      <c r="AI452" s="1948">
        <v>0.97650000000000003</v>
      </c>
      <c r="AJ452" s="1948">
        <v>0</v>
      </c>
      <c r="AK452" s="1948">
        <v>20052</v>
      </c>
      <c r="AL452" s="1948">
        <f t="shared" si="96"/>
        <v>79709</v>
      </c>
      <c r="AM452" s="1948">
        <f t="shared" si="97"/>
        <v>0</v>
      </c>
      <c r="AN452" s="1948">
        <v>300</v>
      </c>
      <c r="AO452" s="1948">
        <v>124.47999999999999</v>
      </c>
      <c r="AP452" s="1948">
        <v>300</v>
      </c>
      <c r="AQ452" s="1948">
        <v>0.81089999999999995</v>
      </c>
      <c r="AR452" s="1948">
        <v>0</v>
      </c>
      <c r="AS452" s="1948">
        <v>3608</v>
      </c>
      <c r="AT452" s="1948">
        <f t="shared" si="98"/>
        <v>55568</v>
      </c>
      <c r="AU452" s="1948">
        <f t="shared" si="99"/>
        <v>0</v>
      </c>
      <c r="AV452" s="1948">
        <v>300</v>
      </c>
      <c r="AW452" s="1948">
        <v>75.680000000000007</v>
      </c>
      <c r="AX452" s="1948">
        <v>300</v>
      </c>
      <c r="AY452" s="1948">
        <v>0.82540000000000002</v>
      </c>
      <c r="AZ452" s="1948">
        <v>0</v>
      </c>
      <c r="BA452" s="1948">
        <v>3312</v>
      </c>
      <c r="BB452" s="1948">
        <f t="shared" si="100"/>
        <v>32694</v>
      </c>
      <c r="BC452" s="1948">
        <f t="shared" si="101"/>
        <v>0</v>
      </c>
      <c r="BD452" s="1949">
        <v>300</v>
      </c>
      <c r="BE452" s="1948">
        <v>70.56</v>
      </c>
      <c r="BF452" s="1949">
        <v>300</v>
      </c>
      <c r="BG452" s="1949">
        <v>0.83750000000000002</v>
      </c>
      <c r="BH452" s="1949">
        <v>0</v>
      </c>
      <c r="BI452" s="1948">
        <v>3522</v>
      </c>
      <c r="BJ452" s="1948">
        <f t="shared" si="102"/>
        <v>31498</v>
      </c>
      <c r="BK452" s="1948">
        <f t="shared" si="103"/>
        <v>0</v>
      </c>
    </row>
    <row r="453" spans="1:63" ht="15">
      <c r="A453" s="1946">
        <v>122000000071</v>
      </c>
      <c r="B453" s="1947">
        <f t="shared" si="104"/>
        <v>447</v>
      </c>
      <c r="C453" s="1906" t="s">
        <v>3315</v>
      </c>
      <c r="D453" s="1907" t="s">
        <v>524</v>
      </c>
      <c r="E453" s="1906" t="s">
        <v>2966</v>
      </c>
      <c r="F453" s="1948" t="s">
        <v>259</v>
      </c>
      <c r="G453" s="1949">
        <v>300</v>
      </c>
      <c r="H453" s="1948">
        <v>300</v>
      </c>
      <c r="I453" s="1950">
        <v>133.68</v>
      </c>
      <c r="J453" s="1948">
        <v>300</v>
      </c>
      <c r="K453" s="1948">
        <v>0.70279999999999998</v>
      </c>
      <c r="L453" s="1948">
        <v>0</v>
      </c>
      <c r="M453" s="1948">
        <v>36456</v>
      </c>
      <c r="N453" s="1948">
        <f t="shared" si="90"/>
        <v>57750</v>
      </c>
      <c r="O453" s="1948">
        <f t="shared" si="91"/>
        <v>0</v>
      </c>
      <c r="P453" s="1948">
        <v>300</v>
      </c>
      <c r="Q453" s="1948">
        <v>138.72</v>
      </c>
      <c r="R453" s="1948">
        <v>300</v>
      </c>
      <c r="S453" s="1948">
        <v>0.81269999999999998</v>
      </c>
      <c r="T453" s="1948">
        <v>0</v>
      </c>
      <c r="U453" s="1948">
        <v>41859</v>
      </c>
      <c r="V453" s="1948">
        <f t="shared" si="92"/>
        <v>61925</v>
      </c>
      <c r="W453" s="1948">
        <f t="shared" si="93"/>
        <v>0</v>
      </c>
      <c r="X453" s="1948">
        <v>300</v>
      </c>
      <c r="Y453" s="1948">
        <v>94.08</v>
      </c>
      <c r="Z453" s="1948">
        <v>300</v>
      </c>
      <c r="AA453" s="1948">
        <v>0.88219999999999998</v>
      </c>
      <c r="AB453" s="1948">
        <v>0</v>
      </c>
      <c r="AC453" s="1948">
        <v>19488</v>
      </c>
      <c r="AD453" s="1948">
        <f t="shared" si="94"/>
        <v>40643</v>
      </c>
      <c r="AE453" s="1948">
        <f t="shared" si="95"/>
        <v>0</v>
      </c>
      <c r="AF453" s="1948">
        <v>300</v>
      </c>
      <c r="AG453" s="1948">
        <v>125.28</v>
      </c>
      <c r="AH453" s="1948">
        <v>300</v>
      </c>
      <c r="AI453" s="1948">
        <v>0.90990000000000004</v>
      </c>
      <c r="AJ453" s="1948">
        <v>0</v>
      </c>
      <c r="AK453" s="1948">
        <v>16323</v>
      </c>
      <c r="AL453" s="1948">
        <f t="shared" si="96"/>
        <v>55925</v>
      </c>
      <c r="AM453" s="1948">
        <f t="shared" si="97"/>
        <v>0</v>
      </c>
      <c r="AN453" s="1948">
        <v>300</v>
      </c>
      <c r="AO453" s="1948">
        <v>102.48</v>
      </c>
      <c r="AP453" s="1948">
        <v>300</v>
      </c>
      <c r="AQ453" s="1948">
        <v>0.79690000000000005</v>
      </c>
      <c r="AR453" s="1948">
        <v>0</v>
      </c>
      <c r="AS453" s="1948">
        <v>19650</v>
      </c>
      <c r="AT453" s="1948">
        <f t="shared" si="98"/>
        <v>45747</v>
      </c>
      <c r="AU453" s="1948">
        <f t="shared" si="99"/>
        <v>0</v>
      </c>
      <c r="AV453" s="1948">
        <v>300</v>
      </c>
      <c r="AW453" s="1948">
        <v>27.599999999999998</v>
      </c>
      <c r="AX453" s="1948">
        <v>300</v>
      </c>
      <c r="AY453" s="1948">
        <v>0.8992</v>
      </c>
      <c r="AZ453" s="1948">
        <v>0</v>
      </c>
      <c r="BA453" s="1948">
        <v>4167</v>
      </c>
      <c r="BB453" s="1948">
        <f t="shared" si="100"/>
        <v>11923</v>
      </c>
      <c r="BC453" s="1948">
        <f t="shared" si="101"/>
        <v>0</v>
      </c>
      <c r="BD453" s="1949">
        <v>300</v>
      </c>
      <c r="BE453" s="1948">
        <v>12</v>
      </c>
      <c r="BF453" s="1949">
        <v>300</v>
      </c>
      <c r="BG453" s="1949">
        <v>0.92020000000000002</v>
      </c>
      <c r="BH453" s="1949">
        <v>0</v>
      </c>
      <c r="BI453" s="1948">
        <v>2132</v>
      </c>
      <c r="BJ453" s="1948">
        <f t="shared" si="102"/>
        <v>5357</v>
      </c>
      <c r="BK453" s="1948">
        <f t="shared" si="103"/>
        <v>0</v>
      </c>
    </row>
    <row r="454" spans="1:63" ht="15">
      <c r="A454" s="1946">
        <v>123000000062</v>
      </c>
      <c r="B454" s="1947">
        <f t="shared" si="104"/>
        <v>448</v>
      </c>
      <c r="C454" s="1906" t="s">
        <v>3316</v>
      </c>
      <c r="D454" s="1907" t="s">
        <v>524</v>
      </c>
      <c r="E454" s="1906" t="s">
        <v>2966</v>
      </c>
      <c r="F454" s="1948" t="s">
        <v>259</v>
      </c>
      <c r="G454" s="1949">
        <v>300</v>
      </c>
      <c r="H454" s="1948">
        <v>300</v>
      </c>
      <c r="I454" s="1950">
        <v>132.64000000000001</v>
      </c>
      <c r="J454" s="1948">
        <v>300</v>
      </c>
      <c r="K454" s="1948">
        <v>0.99160000000000004</v>
      </c>
      <c r="L454" s="1948">
        <v>0</v>
      </c>
      <c r="M454" s="1948">
        <v>26558</v>
      </c>
      <c r="N454" s="1948">
        <f t="shared" si="90"/>
        <v>57300</v>
      </c>
      <c r="O454" s="1948">
        <f t="shared" si="91"/>
        <v>0</v>
      </c>
      <c r="P454" s="1948">
        <v>300</v>
      </c>
      <c r="Q454" s="1948">
        <v>136.80000000000001</v>
      </c>
      <c r="R454" s="1948">
        <v>300</v>
      </c>
      <c r="S454" s="1948">
        <v>0.99229999999999996</v>
      </c>
      <c r="T454" s="1948">
        <v>0</v>
      </c>
      <c r="U454" s="1948">
        <v>30572</v>
      </c>
      <c r="V454" s="1948">
        <f t="shared" si="92"/>
        <v>61068</v>
      </c>
      <c r="W454" s="1948">
        <f t="shared" si="93"/>
        <v>0</v>
      </c>
      <c r="X454" s="1948">
        <v>300</v>
      </c>
      <c r="Y454" s="1948">
        <v>163.84</v>
      </c>
      <c r="Z454" s="1948">
        <v>300</v>
      </c>
      <c r="AA454" s="1948">
        <v>0.98660000000000003</v>
      </c>
      <c r="AB454" s="1948">
        <v>0</v>
      </c>
      <c r="AC454" s="1948">
        <v>36204</v>
      </c>
      <c r="AD454" s="1948">
        <f t="shared" si="94"/>
        <v>70779</v>
      </c>
      <c r="AE454" s="1948">
        <f t="shared" si="95"/>
        <v>0</v>
      </c>
      <c r="AF454" s="1948">
        <v>300</v>
      </c>
      <c r="AG454" s="1948">
        <v>149.6</v>
      </c>
      <c r="AH454" s="1948">
        <v>300</v>
      </c>
      <c r="AI454" s="1948">
        <v>0.99180000000000001</v>
      </c>
      <c r="AJ454" s="1948">
        <v>0</v>
      </c>
      <c r="AK454" s="1948">
        <v>31844</v>
      </c>
      <c r="AL454" s="1948">
        <f t="shared" si="96"/>
        <v>66781</v>
      </c>
      <c r="AM454" s="1948">
        <f t="shared" si="97"/>
        <v>0</v>
      </c>
      <c r="AN454" s="1948">
        <v>300</v>
      </c>
      <c r="AO454" s="1948">
        <v>219.36</v>
      </c>
      <c r="AP454" s="1948">
        <v>300</v>
      </c>
      <c r="AQ454" s="1948">
        <v>0.99460000000000004</v>
      </c>
      <c r="AR454" s="1948">
        <v>0</v>
      </c>
      <c r="AS454" s="1948">
        <v>37616</v>
      </c>
      <c r="AT454" s="1948">
        <f t="shared" si="98"/>
        <v>97922</v>
      </c>
      <c r="AU454" s="1948">
        <f t="shared" si="99"/>
        <v>0</v>
      </c>
      <c r="AV454" s="1948">
        <v>300</v>
      </c>
      <c r="AW454" s="1948">
        <v>237.44</v>
      </c>
      <c r="AX454" s="1948">
        <v>300</v>
      </c>
      <c r="AY454" s="1948">
        <v>0.99360000000000004</v>
      </c>
      <c r="AZ454" s="1948">
        <v>0</v>
      </c>
      <c r="BA454" s="1948">
        <v>37838</v>
      </c>
      <c r="BB454" s="1948">
        <f t="shared" si="100"/>
        <v>102574</v>
      </c>
      <c r="BC454" s="1948">
        <f t="shared" si="101"/>
        <v>0</v>
      </c>
      <c r="BD454" s="1949">
        <v>300</v>
      </c>
      <c r="BE454" s="1948">
        <v>176.48</v>
      </c>
      <c r="BF454" s="1949">
        <v>300</v>
      </c>
      <c r="BG454" s="1949">
        <v>0.99260000000000004</v>
      </c>
      <c r="BH454" s="1949">
        <v>0</v>
      </c>
      <c r="BI454" s="1948">
        <v>40690</v>
      </c>
      <c r="BJ454" s="1948">
        <f t="shared" si="102"/>
        <v>78781</v>
      </c>
      <c r="BK454" s="1948">
        <f t="shared" si="103"/>
        <v>0</v>
      </c>
    </row>
    <row r="455" spans="1:63" ht="15">
      <c r="A455" s="1946">
        <v>123000000095</v>
      </c>
      <c r="B455" s="1947">
        <f t="shared" si="104"/>
        <v>449</v>
      </c>
      <c r="C455" s="1906" t="s">
        <v>3317</v>
      </c>
      <c r="D455" s="1907" t="s">
        <v>524</v>
      </c>
      <c r="E455" s="1906" t="s">
        <v>541</v>
      </c>
      <c r="F455" s="1948" t="s">
        <v>259</v>
      </c>
      <c r="G455" s="1949">
        <v>300</v>
      </c>
      <c r="H455" s="1948">
        <v>300</v>
      </c>
      <c r="I455" s="1950">
        <v>242.4</v>
      </c>
      <c r="J455" s="1948">
        <v>242.4</v>
      </c>
      <c r="K455" s="1948">
        <v>0.99050000000000005</v>
      </c>
      <c r="L455" s="1948">
        <v>41.5</v>
      </c>
      <c r="M455" s="1948">
        <v>72430</v>
      </c>
      <c r="N455" s="1948">
        <f t="shared" ref="N455:N518" si="105">+ROUND(24*30*0.6*I455,0)</f>
        <v>104717</v>
      </c>
      <c r="O455" s="1948">
        <f t="shared" ref="O455:O518" si="106">+MAX((M455-N455),0)</f>
        <v>0</v>
      </c>
      <c r="P455" s="1948">
        <v>300</v>
      </c>
      <c r="Q455" s="1948">
        <v>266.79999999999995</v>
      </c>
      <c r="R455" s="1948">
        <v>266.8</v>
      </c>
      <c r="S455" s="1948">
        <v>0.9708</v>
      </c>
      <c r="T455" s="1948">
        <v>36.270000000000003</v>
      </c>
      <c r="U455" s="1948">
        <v>71995</v>
      </c>
      <c r="V455" s="1948">
        <f t="shared" ref="V455:V518" si="107">+ROUND(24*31*0.6*Q455,0)</f>
        <v>119100</v>
      </c>
      <c r="W455" s="1948">
        <f t="shared" ref="W455:W518" si="108">+MAX((U455-V455),0)</f>
        <v>0</v>
      </c>
      <c r="X455" s="1948">
        <v>300</v>
      </c>
      <c r="Y455" s="1948">
        <v>264.40000000000003</v>
      </c>
      <c r="Z455" s="1948">
        <v>264.39999999999998</v>
      </c>
      <c r="AA455" s="1948">
        <v>0.96489999999999998</v>
      </c>
      <c r="AB455" s="1948">
        <v>34.299999999999997</v>
      </c>
      <c r="AC455" s="1948">
        <v>65295</v>
      </c>
      <c r="AD455" s="1948">
        <f t="shared" ref="AD455:AD518" si="109">+ROUND(24*30*0.6*Y455,0)</f>
        <v>114221</v>
      </c>
      <c r="AE455" s="1948">
        <f t="shared" ref="AE455:AE518" si="110">+MAX((AC455-AD455),0)</f>
        <v>0</v>
      </c>
      <c r="AF455" s="1948">
        <v>300</v>
      </c>
      <c r="AG455" s="1948">
        <v>240.4</v>
      </c>
      <c r="AH455" s="1948">
        <v>240.4</v>
      </c>
      <c r="AI455" s="1948">
        <v>0.98170000000000002</v>
      </c>
      <c r="AJ455" s="1948">
        <v>44.23</v>
      </c>
      <c r="AK455" s="1948">
        <v>79110</v>
      </c>
      <c r="AL455" s="1948">
        <f t="shared" ref="AL455:AL518" si="111">+ROUND(24*31*0.6*AG455,0)</f>
        <v>107315</v>
      </c>
      <c r="AM455" s="1948">
        <f t="shared" ref="AM455:AM518" si="112">+MAX((AK455-AL455),0)</f>
        <v>0</v>
      </c>
      <c r="AN455" s="1948">
        <v>300</v>
      </c>
      <c r="AO455" s="1948">
        <v>223.6</v>
      </c>
      <c r="AP455" s="1948">
        <v>240</v>
      </c>
      <c r="AQ455" s="1948">
        <v>0.99099999999999999</v>
      </c>
      <c r="AR455" s="1948">
        <v>18.13</v>
      </c>
      <c r="AS455" s="1948">
        <v>30165</v>
      </c>
      <c r="AT455" s="1948">
        <f t="shared" ref="AT455:AT518" si="113">+ROUND(24*31*0.6*AO455,0)</f>
        <v>99815</v>
      </c>
      <c r="AU455" s="1948">
        <f t="shared" ref="AU455:AU518" si="114">+MAX((AS455-AT455),0)</f>
        <v>0</v>
      </c>
      <c r="AV455" s="1948">
        <v>300</v>
      </c>
      <c r="AW455" s="1948">
        <v>228.4</v>
      </c>
      <c r="AX455" s="1948">
        <v>240</v>
      </c>
      <c r="AY455" s="1948">
        <v>0.98009999999999997</v>
      </c>
      <c r="AZ455" s="1948">
        <v>28.95</v>
      </c>
      <c r="BA455" s="1948">
        <v>47610</v>
      </c>
      <c r="BB455" s="1948">
        <f t="shared" ref="BB455:BB518" si="115">+ROUND(24*30*0.6*AW455,0)</f>
        <v>98669</v>
      </c>
      <c r="BC455" s="1948">
        <f t="shared" ref="BC455:BC518" si="116">+MAX((BA455-BB455),0)</f>
        <v>0</v>
      </c>
      <c r="BD455" s="1949">
        <v>300</v>
      </c>
      <c r="BE455" s="1948">
        <v>243.2</v>
      </c>
      <c r="BF455" s="1949">
        <v>243.2</v>
      </c>
      <c r="BG455" s="1949">
        <v>0.96250000000000002</v>
      </c>
      <c r="BH455" s="1949">
        <v>31.61</v>
      </c>
      <c r="BI455" s="1948">
        <v>57190</v>
      </c>
      <c r="BJ455" s="1948">
        <f t="shared" ref="BJ455:BJ518" si="117">+ROUND(24*31*0.6*BE455,0)</f>
        <v>108564</v>
      </c>
      <c r="BK455" s="1948">
        <f t="shared" ref="BK455:BK518" si="118">+MAX((BI455-BJ455),0)</f>
        <v>0</v>
      </c>
    </row>
    <row r="456" spans="1:63" ht="15">
      <c r="A456" s="1946">
        <v>126000000043</v>
      </c>
      <c r="B456" s="1947">
        <f t="shared" si="104"/>
        <v>450</v>
      </c>
      <c r="C456" s="1906" t="s">
        <v>3320</v>
      </c>
      <c r="D456" s="1907" t="s">
        <v>524</v>
      </c>
      <c r="E456" s="1906" t="s">
        <v>541</v>
      </c>
      <c r="F456" s="1948" t="s">
        <v>259</v>
      </c>
      <c r="G456" s="1949">
        <v>300</v>
      </c>
      <c r="H456" s="1948">
        <v>300</v>
      </c>
      <c r="I456" s="1950">
        <v>194.64000000000001</v>
      </c>
      <c r="J456" s="1948">
        <v>240</v>
      </c>
      <c r="K456" s="1948">
        <v>0.96870000000000001</v>
      </c>
      <c r="L456" s="1948">
        <v>12.21</v>
      </c>
      <c r="M456" s="1948">
        <v>17115</v>
      </c>
      <c r="N456" s="1948">
        <f t="shared" si="105"/>
        <v>84084</v>
      </c>
      <c r="O456" s="1948">
        <f t="shared" si="106"/>
        <v>0</v>
      </c>
      <c r="P456" s="1948">
        <v>300</v>
      </c>
      <c r="Q456" s="1948">
        <v>178.79999999999998</v>
      </c>
      <c r="R456" s="1948">
        <v>240</v>
      </c>
      <c r="S456" s="1948">
        <v>0.97150000000000003</v>
      </c>
      <c r="T456" s="1948">
        <v>13.38</v>
      </c>
      <c r="U456" s="1948">
        <v>17796</v>
      </c>
      <c r="V456" s="1948">
        <f t="shared" si="107"/>
        <v>79816</v>
      </c>
      <c r="W456" s="1948">
        <f t="shared" si="108"/>
        <v>0</v>
      </c>
      <c r="X456" s="1948">
        <v>300</v>
      </c>
      <c r="Y456" s="1948">
        <v>181.68</v>
      </c>
      <c r="Z456" s="1948">
        <v>240</v>
      </c>
      <c r="AA456" s="1948">
        <v>0.96960000000000002</v>
      </c>
      <c r="AB456" s="1948">
        <v>12.77</v>
      </c>
      <c r="AC456" s="1948">
        <v>16704</v>
      </c>
      <c r="AD456" s="1948">
        <f t="shared" si="109"/>
        <v>78486</v>
      </c>
      <c r="AE456" s="1948">
        <f t="shared" si="110"/>
        <v>0</v>
      </c>
      <c r="AF456" s="1948">
        <v>300</v>
      </c>
      <c r="AG456" s="1948">
        <v>188.88000000000002</v>
      </c>
      <c r="AH456" s="1948">
        <v>240</v>
      </c>
      <c r="AI456" s="1948">
        <v>0.97299999999999998</v>
      </c>
      <c r="AJ456" s="1948">
        <v>9.5</v>
      </c>
      <c r="AK456" s="1948">
        <v>13350</v>
      </c>
      <c r="AL456" s="1948">
        <f t="shared" si="111"/>
        <v>84316</v>
      </c>
      <c r="AM456" s="1948">
        <f t="shared" si="112"/>
        <v>0</v>
      </c>
      <c r="AN456" s="1948">
        <v>300</v>
      </c>
      <c r="AO456" s="1948">
        <v>214.55999999999997</v>
      </c>
      <c r="AP456" s="1948">
        <v>240</v>
      </c>
      <c r="AQ456" s="1948">
        <v>0.94020000000000004</v>
      </c>
      <c r="AR456" s="1948">
        <v>13.27</v>
      </c>
      <c r="AS456" s="1948">
        <v>21189</v>
      </c>
      <c r="AT456" s="1948">
        <f t="shared" si="113"/>
        <v>95780</v>
      </c>
      <c r="AU456" s="1948">
        <f t="shared" si="114"/>
        <v>0</v>
      </c>
      <c r="AV456" s="1948">
        <v>300</v>
      </c>
      <c r="AW456" s="1948">
        <v>223.92</v>
      </c>
      <c r="AX456" s="1948">
        <v>240</v>
      </c>
      <c r="AY456" s="1948">
        <v>0.94750000000000001</v>
      </c>
      <c r="AZ456" s="1948">
        <v>17.77</v>
      </c>
      <c r="BA456" s="1948">
        <v>28644</v>
      </c>
      <c r="BB456" s="1948">
        <f t="shared" si="115"/>
        <v>96733</v>
      </c>
      <c r="BC456" s="1948">
        <f t="shared" si="116"/>
        <v>0</v>
      </c>
      <c r="BD456" s="1949">
        <v>300</v>
      </c>
      <c r="BE456" s="1948">
        <v>271.92</v>
      </c>
      <c r="BF456" s="1949">
        <v>271.92</v>
      </c>
      <c r="BG456" s="1949">
        <v>0.88349999999999995</v>
      </c>
      <c r="BH456" s="1949">
        <v>17.93</v>
      </c>
      <c r="BI456" s="1948">
        <v>36267</v>
      </c>
      <c r="BJ456" s="1948">
        <f t="shared" si="117"/>
        <v>121385</v>
      </c>
      <c r="BK456" s="1948">
        <f t="shared" si="118"/>
        <v>0</v>
      </c>
    </row>
    <row r="457" spans="1:63" ht="15">
      <c r="A457" s="1946">
        <v>126000000059</v>
      </c>
      <c r="B457" s="1947">
        <f t="shared" ref="B457:B520" si="119">+B456+1</f>
        <v>451</v>
      </c>
      <c r="C457" s="1906" t="s">
        <v>3667</v>
      </c>
      <c r="D457" s="1907" t="s">
        <v>613</v>
      </c>
      <c r="E457" s="1906" t="s">
        <v>541</v>
      </c>
      <c r="F457" s="1948" t="s">
        <v>259</v>
      </c>
      <c r="G457" s="1949">
        <v>300</v>
      </c>
      <c r="H457" s="1948">
        <v>0</v>
      </c>
      <c r="I457" s="1950">
        <v>0</v>
      </c>
      <c r="J457" s="1948">
        <v>0</v>
      </c>
      <c r="K457" s="1948">
        <v>0</v>
      </c>
      <c r="L457" s="1948">
        <v>0</v>
      </c>
      <c r="M457" s="1948">
        <v>0</v>
      </c>
      <c r="N457" s="1948">
        <f t="shared" si="105"/>
        <v>0</v>
      </c>
      <c r="O457" s="1948">
        <f t="shared" si="106"/>
        <v>0</v>
      </c>
      <c r="P457" s="1948">
        <v>0</v>
      </c>
      <c r="Q457" s="1948">
        <v>0</v>
      </c>
      <c r="R457" s="1948">
        <v>0</v>
      </c>
      <c r="S457" s="1948">
        <v>0</v>
      </c>
      <c r="T457" s="1948">
        <v>0</v>
      </c>
      <c r="U457" s="1948">
        <v>0</v>
      </c>
      <c r="V457" s="1948">
        <f t="shared" si="107"/>
        <v>0</v>
      </c>
      <c r="W457" s="1948">
        <f t="shared" si="108"/>
        <v>0</v>
      </c>
      <c r="X457" s="1948">
        <v>0</v>
      </c>
      <c r="Y457" s="1948">
        <v>0</v>
      </c>
      <c r="Z457" s="1948">
        <v>0</v>
      </c>
      <c r="AA457" s="1948">
        <v>0</v>
      </c>
      <c r="AB457" s="1948">
        <v>0</v>
      </c>
      <c r="AC457" s="1948">
        <v>0</v>
      </c>
      <c r="AD457" s="1948">
        <f t="shared" si="109"/>
        <v>0</v>
      </c>
      <c r="AE457" s="1948">
        <f t="shared" si="110"/>
        <v>0</v>
      </c>
      <c r="AF457" s="1948">
        <v>0</v>
      </c>
      <c r="AG457" s="1948">
        <v>0</v>
      </c>
      <c r="AH457" s="1948">
        <v>0</v>
      </c>
      <c r="AI457" s="1948">
        <v>0</v>
      </c>
      <c r="AJ457" s="1948">
        <v>0</v>
      </c>
      <c r="AK457" s="1948">
        <v>0</v>
      </c>
      <c r="AL457" s="1948">
        <f t="shared" si="111"/>
        <v>0</v>
      </c>
      <c r="AM457" s="1948">
        <f t="shared" si="112"/>
        <v>0</v>
      </c>
      <c r="AN457" s="1948">
        <v>0</v>
      </c>
      <c r="AO457" s="1948">
        <v>0</v>
      </c>
      <c r="AP457" s="1948">
        <v>0</v>
      </c>
      <c r="AQ457" s="1948">
        <v>0</v>
      </c>
      <c r="AR457" s="1948">
        <v>0</v>
      </c>
      <c r="AS457" s="1948">
        <v>0</v>
      </c>
      <c r="AT457" s="1948">
        <f t="shared" si="113"/>
        <v>0</v>
      </c>
      <c r="AU457" s="1948">
        <f t="shared" si="114"/>
        <v>0</v>
      </c>
      <c r="AV457" s="1948">
        <v>0</v>
      </c>
      <c r="AW457" s="1948">
        <v>0</v>
      </c>
      <c r="AX457" s="1948">
        <v>0</v>
      </c>
      <c r="AY457" s="1948">
        <v>0</v>
      </c>
      <c r="AZ457" s="1948">
        <v>0</v>
      </c>
      <c r="BA457" s="1948">
        <v>0</v>
      </c>
      <c r="BB457" s="1948">
        <f t="shared" si="115"/>
        <v>0</v>
      </c>
      <c r="BC457" s="1948">
        <f t="shared" si="116"/>
        <v>0</v>
      </c>
      <c r="BD457" s="1949">
        <v>300</v>
      </c>
      <c r="BE457" s="1948">
        <v>5.4119999999999999</v>
      </c>
      <c r="BF457" s="1949">
        <v>240</v>
      </c>
      <c r="BG457" s="1949">
        <v>0.68500000000000005</v>
      </c>
      <c r="BH457" s="1949">
        <v>39.770000000000003</v>
      </c>
      <c r="BI457" s="1948">
        <v>981</v>
      </c>
      <c r="BJ457" s="1948">
        <f t="shared" si="117"/>
        <v>2416</v>
      </c>
      <c r="BK457" s="1948">
        <f t="shared" si="118"/>
        <v>0</v>
      </c>
    </row>
    <row r="458" spans="1:63" ht="15">
      <c r="A458" s="1946">
        <v>124000000046</v>
      </c>
      <c r="B458" s="1947">
        <f t="shared" si="119"/>
        <v>452</v>
      </c>
      <c r="C458" s="1906" t="s">
        <v>3318</v>
      </c>
      <c r="D458" s="1907" t="s">
        <v>524</v>
      </c>
      <c r="E458" s="1906" t="s">
        <v>2966</v>
      </c>
      <c r="F458" s="1948" t="s">
        <v>259</v>
      </c>
      <c r="G458" s="1949">
        <v>300</v>
      </c>
      <c r="H458" s="1948">
        <v>300</v>
      </c>
      <c r="I458" s="1950">
        <v>192.64</v>
      </c>
      <c r="J458" s="1948">
        <v>300</v>
      </c>
      <c r="K458" s="1948">
        <v>0.96609999999999996</v>
      </c>
      <c r="L458" s="1948">
        <v>0</v>
      </c>
      <c r="M458" s="1948">
        <v>59988</v>
      </c>
      <c r="N458" s="1948">
        <f t="shared" si="105"/>
        <v>83220</v>
      </c>
      <c r="O458" s="1948">
        <f t="shared" si="106"/>
        <v>0</v>
      </c>
      <c r="P458" s="1948">
        <v>300</v>
      </c>
      <c r="Q458" s="1948">
        <v>189.44</v>
      </c>
      <c r="R458" s="1948">
        <v>300</v>
      </c>
      <c r="S458" s="1948">
        <v>0.96509999999999996</v>
      </c>
      <c r="T458" s="1948">
        <v>0</v>
      </c>
      <c r="U458" s="1948">
        <v>65966</v>
      </c>
      <c r="V458" s="1948">
        <f t="shared" si="107"/>
        <v>84566</v>
      </c>
      <c r="W458" s="1948">
        <f t="shared" si="108"/>
        <v>0</v>
      </c>
      <c r="X458" s="1948">
        <v>300</v>
      </c>
      <c r="Y458" s="1948">
        <v>218.23999999999998</v>
      </c>
      <c r="Z458" s="1948">
        <v>300</v>
      </c>
      <c r="AA458" s="1948">
        <v>0.95950000000000002</v>
      </c>
      <c r="AB458" s="1948">
        <v>0</v>
      </c>
      <c r="AC458" s="1948">
        <v>77836</v>
      </c>
      <c r="AD458" s="1948">
        <f t="shared" si="109"/>
        <v>94280</v>
      </c>
      <c r="AE458" s="1948">
        <f t="shared" si="110"/>
        <v>0</v>
      </c>
      <c r="AF458" s="1948">
        <v>300</v>
      </c>
      <c r="AG458" s="1948">
        <v>201.28</v>
      </c>
      <c r="AH458" s="1948">
        <v>300</v>
      </c>
      <c r="AI458" s="1948">
        <v>0.9627</v>
      </c>
      <c r="AJ458" s="1948">
        <v>0</v>
      </c>
      <c r="AK458" s="1948">
        <v>95590</v>
      </c>
      <c r="AL458" s="1948">
        <f t="shared" si="111"/>
        <v>89851</v>
      </c>
      <c r="AM458" s="1948">
        <f t="shared" si="112"/>
        <v>5739</v>
      </c>
      <c r="AN458" s="1948">
        <v>300</v>
      </c>
      <c r="AO458" s="1948">
        <v>210.23999999999998</v>
      </c>
      <c r="AP458" s="1948">
        <v>300</v>
      </c>
      <c r="AQ458" s="1948">
        <v>0.95099999999999996</v>
      </c>
      <c r="AR458" s="1948">
        <v>0</v>
      </c>
      <c r="AS458" s="1948">
        <v>96522</v>
      </c>
      <c r="AT458" s="1948">
        <f t="shared" si="113"/>
        <v>93851</v>
      </c>
      <c r="AU458" s="1948">
        <f t="shared" si="114"/>
        <v>2671</v>
      </c>
      <c r="AV458" s="1948">
        <v>300</v>
      </c>
      <c r="AW458" s="1948">
        <v>198.72</v>
      </c>
      <c r="AX458" s="1948">
        <v>300</v>
      </c>
      <c r="AY458" s="1948">
        <v>0.94989999999999997</v>
      </c>
      <c r="AZ458" s="1948">
        <v>0</v>
      </c>
      <c r="BA458" s="1948">
        <v>93940</v>
      </c>
      <c r="BB458" s="1948">
        <f t="shared" si="115"/>
        <v>85847</v>
      </c>
      <c r="BC458" s="1948">
        <f t="shared" si="116"/>
        <v>8093</v>
      </c>
      <c r="BD458" s="1949">
        <v>300</v>
      </c>
      <c r="BE458" s="1948">
        <v>199.67999999999998</v>
      </c>
      <c r="BF458" s="1949">
        <v>300</v>
      </c>
      <c r="BG458" s="1949">
        <v>0.95789999999999997</v>
      </c>
      <c r="BH458" s="1949">
        <v>0</v>
      </c>
      <c r="BI458" s="1948">
        <v>86410</v>
      </c>
      <c r="BJ458" s="1948">
        <f t="shared" si="117"/>
        <v>89137</v>
      </c>
      <c r="BK458" s="1948">
        <f t="shared" si="118"/>
        <v>0</v>
      </c>
    </row>
    <row r="459" spans="1:63" ht="15">
      <c r="A459" s="1946">
        <v>124000000074</v>
      </c>
      <c r="B459" s="1947">
        <f t="shared" si="119"/>
        <v>453</v>
      </c>
      <c r="C459" s="1906" t="s">
        <v>3307</v>
      </c>
      <c r="D459" s="1907" t="s">
        <v>524</v>
      </c>
      <c r="E459" s="1906" t="s">
        <v>541</v>
      </c>
      <c r="F459" s="1948" t="s">
        <v>259</v>
      </c>
      <c r="G459" s="1949">
        <v>300</v>
      </c>
      <c r="H459" s="1948">
        <v>300</v>
      </c>
      <c r="I459" s="1950">
        <v>256.32</v>
      </c>
      <c r="J459" s="1948">
        <v>256.32</v>
      </c>
      <c r="K459" s="1948">
        <v>0.99229999999999996</v>
      </c>
      <c r="L459" s="1948">
        <v>38.4</v>
      </c>
      <c r="M459" s="1948">
        <v>70863</v>
      </c>
      <c r="N459" s="1948">
        <f t="shared" si="105"/>
        <v>110730</v>
      </c>
      <c r="O459" s="1948">
        <f t="shared" si="106"/>
        <v>0</v>
      </c>
      <c r="P459" s="1948">
        <v>300</v>
      </c>
      <c r="Q459" s="1948">
        <v>254.88</v>
      </c>
      <c r="R459" s="1948">
        <v>254.88</v>
      </c>
      <c r="S459" s="1948">
        <v>0.99519999999999997</v>
      </c>
      <c r="T459" s="1948">
        <v>41.63</v>
      </c>
      <c r="U459" s="1948">
        <v>78942</v>
      </c>
      <c r="V459" s="1948">
        <f t="shared" si="107"/>
        <v>113778</v>
      </c>
      <c r="W459" s="1948">
        <f t="shared" si="108"/>
        <v>0</v>
      </c>
      <c r="X459" s="1948">
        <v>300</v>
      </c>
      <c r="Y459" s="1948">
        <v>255.12</v>
      </c>
      <c r="Z459" s="1948">
        <v>255.12</v>
      </c>
      <c r="AA459" s="1948">
        <v>0.99480000000000002</v>
      </c>
      <c r="AB459" s="1948">
        <v>39.65</v>
      </c>
      <c r="AC459" s="1948">
        <v>72837</v>
      </c>
      <c r="AD459" s="1948">
        <f t="shared" si="109"/>
        <v>110212</v>
      </c>
      <c r="AE459" s="1948">
        <f t="shared" si="110"/>
        <v>0</v>
      </c>
      <c r="AF459" s="1948">
        <v>300</v>
      </c>
      <c r="AG459" s="1948">
        <v>262.08000000000004</v>
      </c>
      <c r="AH459" s="1948">
        <v>262.08</v>
      </c>
      <c r="AI459" s="1948">
        <v>0.99490000000000001</v>
      </c>
      <c r="AJ459" s="1948">
        <v>39.97</v>
      </c>
      <c r="AK459" s="1948">
        <v>77943</v>
      </c>
      <c r="AL459" s="1948">
        <f t="shared" si="111"/>
        <v>116993</v>
      </c>
      <c r="AM459" s="1948">
        <f t="shared" si="112"/>
        <v>0</v>
      </c>
      <c r="AN459" s="1948">
        <v>300</v>
      </c>
      <c r="AO459" s="1948">
        <v>208.07999999999998</v>
      </c>
      <c r="AP459" s="1948">
        <v>240</v>
      </c>
      <c r="AQ459" s="1948">
        <v>0.99119999999999997</v>
      </c>
      <c r="AR459" s="1948">
        <v>29.98</v>
      </c>
      <c r="AS459" s="1948">
        <v>46407</v>
      </c>
      <c r="AT459" s="1948">
        <f t="shared" si="113"/>
        <v>92887</v>
      </c>
      <c r="AU459" s="1948">
        <f t="shared" si="114"/>
        <v>0</v>
      </c>
      <c r="AV459" s="1948">
        <v>300</v>
      </c>
      <c r="AW459" s="1948">
        <v>228.48000000000002</v>
      </c>
      <c r="AX459" s="1948">
        <v>240</v>
      </c>
      <c r="AY459" s="1948">
        <v>0.99380000000000002</v>
      </c>
      <c r="AZ459" s="1948">
        <v>39.28</v>
      </c>
      <c r="BA459" s="1948">
        <v>64617</v>
      </c>
      <c r="BB459" s="1948">
        <f t="shared" si="115"/>
        <v>98703</v>
      </c>
      <c r="BC459" s="1948">
        <f t="shared" si="116"/>
        <v>0</v>
      </c>
      <c r="BD459" s="1949">
        <v>300</v>
      </c>
      <c r="BE459" s="1948">
        <v>218.16</v>
      </c>
      <c r="BF459" s="1949">
        <v>240</v>
      </c>
      <c r="BG459" s="1949">
        <v>0.99260000000000004</v>
      </c>
      <c r="BH459" s="1949">
        <v>40.68</v>
      </c>
      <c r="BI459" s="1948">
        <v>66033</v>
      </c>
      <c r="BJ459" s="1948">
        <f t="shared" si="117"/>
        <v>97387</v>
      </c>
      <c r="BK459" s="1948">
        <f t="shared" si="118"/>
        <v>0</v>
      </c>
    </row>
    <row r="460" spans="1:63" ht="15">
      <c r="A460" s="1946">
        <v>124000000076</v>
      </c>
      <c r="B460" s="1947">
        <f t="shared" si="119"/>
        <v>454</v>
      </c>
      <c r="C460" s="1906" t="s">
        <v>3308</v>
      </c>
      <c r="D460" s="1907" t="s">
        <v>524</v>
      </c>
      <c r="E460" s="1906" t="s">
        <v>636</v>
      </c>
      <c r="F460" s="1948" t="s">
        <v>259</v>
      </c>
      <c r="G460" s="1949">
        <v>300</v>
      </c>
      <c r="H460" s="1948">
        <v>300</v>
      </c>
      <c r="I460" s="1950">
        <v>10.639999999999999</v>
      </c>
      <c r="J460" s="1948">
        <v>240</v>
      </c>
      <c r="K460" s="1948">
        <v>0.51400000000000001</v>
      </c>
      <c r="L460" s="1948">
        <v>30.11</v>
      </c>
      <c r="M460" s="1948">
        <v>2307</v>
      </c>
      <c r="N460" s="1948">
        <f t="shared" si="105"/>
        <v>4596</v>
      </c>
      <c r="O460" s="1948">
        <f t="shared" si="106"/>
        <v>0</v>
      </c>
      <c r="P460" s="1948">
        <v>300</v>
      </c>
      <c r="Q460" s="1948">
        <v>37.840000000000003</v>
      </c>
      <c r="R460" s="1948">
        <v>240</v>
      </c>
      <c r="S460" s="1948">
        <v>0.53120000000000001</v>
      </c>
      <c r="T460" s="1948">
        <v>13.43</v>
      </c>
      <c r="U460" s="1948">
        <v>3780</v>
      </c>
      <c r="V460" s="1948">
        <f t="shared" si="107"/>
        <v>16892</v>
      </c>
      <c r="W460" s="1948">
        <f t="shared" si="108"/>
        <v>0</v>
      </c>
      <c r="X460" s="1948">
        <v>300</v>
      </c>
      <c r="Y460" s="1948">
        <v>40.08</v>
      </c>
      <c r="Z460" s="1948">
        <v>240</v>
      </c>
      <c r="AA460" s="1948">
        <v>0.50760000000000005</v>
      </c>
      <c r="AB460" s="1948">
        <v>15.94</v>
      </c>
      <c r="AC460" s="1948">
        <v>4600</v>
      </c>
      <c r="AD460" s="1948">
        <f t="shared" si="109"/>
        <v>17315</v>
      </c>
      <c r="AE460" s="1948">
        <f t="shared" si="110"/>
        <v>0</v>
      </c>
      <c r="AF460" s="1948">
        <v>300</v>
      </c>
      <c r="AG460" s="1948">
        <v>26.08</v>
      </c>
      <c r="AH460" s="1948">
        <v>240</v>
      </c>
      <c r="AI460" s="1948">
        <v>0.38979999999999998</v>
      </c>
      <c r="AJ460" s="1948">
        <v>19.79</v>
      </c>
      <c r="AK460" s="1948">
        <v>3840</v>
      </c>
      <c r="AL460" s="1948">
        <f t="shared" si="111"/>
        <v>11642</v>
      </c>
      <c r="AM460" s="1948">
        <f t="shared" si="112"/>
        <v>0</v>
      </c>
      <c r="AN460" s="1948">
        <v>300</v>
      </c>
      <c r="AO460" s="1948">
        <v>30.64</v>
      </c>
      <c r="AP460" s="1948">
        <v>240</v>
      </c>
      <c r="AQ460" s="1948">
        <v>0.32350000000000001</v>
      </c>
      <c r="AR460" s="1948">
        <v>16.54</v>
      </c>
      <c r="AS460" s="1948">
        <v>3771</v>
      </c>
      <c r="AT460" s="1948">
        <f t="shared" si="113"/>
        <v>13678</v>
      </c>
      <c r="AU460" s="1948">
        <f t="shared" si="114"/>
        <v>0</v>
      </c>
      <c r="AV460" s="1948">
        <v>300</v>
      </c>
      <c r="AW460" s="1948">
        <v>8.16</v>
      </c>
      <c r="AX460" s="1948">
        <v>240</v>
      </c>
      <c r="AY460" s="1948">
        <v>0.3992</v>
      </c>
      <c r="AZ460" s="1948">
        <v>34.19</v>
      </c>
      <c r="BA460" s="1948">
        <v>2009</v>
      </c>
      <c r="BB460" s="1948">
        <f t="shared" si="115"/>
        <v>3525</v>
      </c>
      <c r="BC460" s="1948">
        <f t="shared" si="116"/>
        <v>0</v>
      </c>
      <c r="BD460" s="1949">
        <v>300</v>
      </c>
      <c r="BE460" s="1948">
        <v>29.520000000000003</v>
      </c>
      <c r="BF460" s="1949">
        <v>240</v>
      </c>
      <c r="BG460" s="1949">
        <v>0.30280000000000001</v>
      </c>
      <c r="BH460" s="1949">
        <v>14.28</v>
      </c>
      <c r="BI460" s="1948">
        <v>3137</v>
      </c>
      <c r="BJ460" s="1948">
        <f t="shared" si="117"/>
        <v>13178</v>
      </c>
      <c r="BK460" s="1948">
        <f t="shared" si="118"/>
        <v>0</v>
      </c>
    </row>
    <row r="461" spans="1:63" ht="15">
      <c r="A461" s="1946">
        <v>125000000025</v>
      </c>
      <c r="B461" s="1947">
        <f t="shared" si="119"/>
        <v>455</v>
      </c>
      <c r="C461" s="1906" t="s">
        <v>3319</v>
      </c>
      <c r="D461" s="1907" t="s">
        <v>524</v>
      </c>
      <c r="E461" s="1906" t="s">
        <v>541</v>
      </c>
      <c r="F461" s="1948" t="s">
        <v>259</v>
      </c>
      <c r="G461" s="1949">
        <v>300</v>
      </c>
      <c r="H461" s="1948">
        <v>300</v>
      </c>
      <c r="I461" s="1950">
        <v>291.84000000000003</v>
      </c>
      <c r="J461" s="1948">
        <v>291.83999999999997</v>
      </c>
      <c r="K461" s="1948">
        <v>0.93569999999999998</v>
      </c>
      <c r="L461" s="1948">
        <v>43.58</v>
      </c>
      <c r="M461" s="1948">
        <v>82406</v>
      </c>
      <c r="N461" s="1948">
        <f t="shared" si="105"/>
        <v>126075</v>
      </c>
      <c r="O461" s="1948">
        <f t="shared" si="106"/>
        <v>0</v>
      </c>
      <c r="P461" s="1948">
        <v>300</v>
      </c>
      <c r="Q461" s="1948">
        <v>262.88</v>
      </c>
      <c r="R461" s="1948">
        <v>262.88</v>
      </c>
      <c r="S461" s="1948">
        <v>0.91610000000000003</v>
      </c>
      <c r="T461" s="1948">
        <v>42.39</v>
      </c>
      <c r="U461" s="1948">
        <v>77560</v>
      </c>
      <c r="V461" s="1948">
        <f t="shared" si="107"/>
        <v>117350</v>
      </c>
      <c r="W461" s="1948">
        <f t="shared" si="108"/>
        <v>0</v>
      </c>
      <c r="X461" s="1948">
        <v>300</v>
      </c>
      <c r="Y461" s="1948">
        <v>254.24</v>
      </c>
      <c r="Z461" s="1948">
        <v>254.24</v>
      </c>
      <c r="AA461" s="1948">
        <v>0.94040000000000001</v>
      </c>
      <c r="AB461" s="1948">
        <v>27.37</v>
      </c>
      <c r="AC461" s="1948">
        <v>50110</v>
      </c>
      <c r="AD461" s="1948">
        <f t="shared" si="109"/>
        <v>109832</v>
      </c>
      <c r="AE461" s="1948">
        <f t="shared" si="110"/>
        <v>0</v>
      </c>
      <c r="AF461" s="1948">
        <v>300</v>
      </c>
      <c r="AG461" s="1948">
        <v>252.8</v>
      </c>
      <c r="AH461" s="1948">
        <v>252.8</v>
      </c>
      <c r="AI461" s="1948">
        <v>0.93030000000000002</v>
      </c>
      <c r="AJ461" s="1948">
        <v>25.45</v>
      </c>
      <c r="AK461" s="1948">
        <v>55592</v>
      </c>
      <c r="AL461" s="1948">
        <f t="shared" si="111"/>
        <v>112850</v>
      </c>
      <c r="AM461" s="1948">
        <f t="shared" si="112"/>
        <v>0</v>
      </c>
      <c r="AN461" s="1948">
        <v>300</v>
      </c>
      <c r="AO461" s="1948">
        <v>264.32000000000005</v>
      </c>
      <c r="AP461" s="1948">
        <v>264.32</v>
      </c>
      <c r="AQ461" s="1948">
        <v>0.90210000000000001</v>
      </c>
      <c r="AR461" s="1948">
        <v>8.17</v>
      </c>
      <c r="AS461" s="1948">
        <v>16068</v>
      </c>
      <c r="AT461" s="1948">
        <f t="shared" si="113"/>
        <v>117992</v>
      </c>
      <c r="AU461" s="1948">
        <f t="shared" si="114"/>
        <v>0</v>
      </c>
      <c r="AV461" s="1948">
        <v>300</v>
      </c>
      <c r="AW461" s="1948">
        <v>279.52</v>
      </c>
      <c r="AX461" s="1948">
        <v>279.52</v>
      </c>
      <c r="AY461" s="1948">
        <v>0.85260000000000002</v>
      </c>
      <c r="AZ461" s="1948">
        <v>8.01</v>
      </c>
      <c r="BA461" s="1948">
        <v>16130</v>
      </c>
      <c r="BB461" s="1948">
        <f t="shared" si="115"/>
        <v>120753</v>
      </c>
      <c r="BC461" s="1948">
        <f t="shared" si="116"/>
        <v>0</v>
      </c>
      <c r="BD461" s="1949">
        <v>300</v>
      </c>
      <c r="BE461" s="1948">
        <v>167.83999999999997</v>
      </c>
      <c r="BF461" s="1949">
        <v>240</v>
      </c>
      <c r="BG461" s="1949">
        <v>0.65339999999999998</v>
      </c>
      <c r="BH461" s="1949">
        <v>8.02</v>
      </c>
      <c r="BI461" s="1948">
        <v>10018</v>
      </c>
      <c r="BJ461" s="1948">
        <f t="shared" si="117"/>
        <v>74924</v>
      </c>
      <c r="BK461" s="1948">
        <f t="shared" si="118"/>
        <v>0</v>
      </c>
    </row>
    <row r="462" spans="1:63" ht="15">
      <c r="A462" s="1946">
        <v>121000000003</v>
      </c>
      <c r="B462" s="1947">
        <f t="shared" si="119"/>
        <v>456</v>
      </c>
      <c r="C462" s="1906" t="s">
        <v>3310</v>
      </c>
      <c r="D462" s="1907" t="s">
        <v>524</v>
      </c>
      <c r="E462" s="1906" t="s">
        <v>636</v>
      </c>
      <c r="F462" s="1948" t="s">
        <v>259</v>
      </c>
      <c r="G462" s="1949">
        <v>300</v>
      </c>
      <c r="H462" s="1948">
        <v>300</v>
      </c>
      <c r="I462" s="1950">
        <v>267.12</v>
      </c>
      <c r="J462" s="1948">
        <v>267.12</v>
      </c>
      <c r="K462" s="1948">
        <v>0.95950000000000002</v>
      </c>
      <c r="L462" s="1948">
        <v>60.97</v>
      </c>
      <c r="M462" s="1948">
        <v>117267</v>
      </c>
      <c r="N462" s="1948">
        <f t="shared" si="105"/>
        <v>115396</v>
      </c>
      <c r="O462" s="1948">
        <f t="shared" si="106"/>
        <v>1871</v>
      </c>
      <c r="P462" s="1948">
        <v>300</v>
      </c>
      <c r="Q462" s="1948">
        <v>309.12</v>
      </c>
      <c r="R462" s="1948">
        <v>309.12</v>
      </c>
      <c r="S462" s="1948">
        <v>0.97550000000000003</v>
      </c>
      <c r="T462" s="1948">
        <v>58.86</v>
      </c>
      <c r="U462" s="1948">
        <v>135372</v>
      </c>
      <c r="V462" s="1948">
        <f t="shared" si="107"/>
        <v>137991</v>
      </c>
      <c r="W462" s="1948">
        <f t="shared" si="108"/>
        <v>0</v>
      </c>
      <c r="X462" s="1948">
        <v>300</v>
      </c>
      <c r="Y462" s="1948">
        <v>275.03999999999996</v>
      </c>
      <c r="Z462" s="1948">
        <v>275.04000000000002</v>
      </c>
      <c r="AA462" s="1948">
        <v>0.96479999999999999</v>
      </c>
      <c r="AB462" s="1948">
        <v>63.09</v>
      </c>
      <c r="AC462" s="1948">
        <v>124944</v>
      </c>
      <c r="AD462" s="1948">
        <f t="shared" si="109"/>
        <v>118817</v>
      </c>
      <c r="AE462" s="1948">
        <f t="shared" si="110"/>
        <v>6127</v>
      </c>
      <c r="AF462" s="1948">
        <v>300</v>
      </c>
      <c r="AG462" s="1948">
        <v>258</v>
      </c>
      <c r="AH462" s="1948">
        <v>258</v>
      </c>
      <c r="AI462" s="1948">
        <v>0.95650000000000002</v>
      </c>
      <c r="AJ462" s="1948">
        <v>67.92</v>
      </c>
      <c r="AK462" s="1948">
        <v>130368</v>
      </c>
      <c r="AL462" s="1948">
        <f t="shared" si="111"/>
        <v>115171</v>
      </c>
      <c r="AM462" s="1948">
        <f t="shared" si="112"/>
        <v>15197</v>
      </c>
      <c r="AN462" s="1948">
        <v>300</v>
      </c>
      <c r="AO462" s="1948">
        <v>244.79999999999998</v>
      </c>
      <c r="AP462" s="1948">
        <v>244.8</v>
      </c>
      <c r="AQ462" s="1948">
        <v>0.96089999999999998</v>
      </c>
      <c r="AR462" s="1948">
        <v>68.52</v>
      </c>
      <c r="AS462" s="1948">
        <v>124794</v>
      </c>
      <c r="AT462" s="1948">
        <f t="shared" si="113"/>
        <v>109279</v>
      </c>
      <c r="AU462" s="1948">
        <f t="shared" si="114"/>
        <v>15515</v>
      </c>
      <c r="AV462" s="1948">
        <v>300</v>
      </c>
      <c r="AW462" s="1948">
        <v>273.12</v>
      </c>
      <c r="AX462" s="1948">
        <v>273.12</v>
      </c>
      <c r="AY462" s="1948">
        <v>0.96870000000000001</v>
      </c>
      <c r="AZ462" s="1948">
        <v>63.9</v>
      </c>
      <c r="BA462" s="1948">
        <v>125664</v>
      </c>
      <c r="BB462" s="1948">
        <f t="shared" si="115"/>
        <v>117988</v>
      </c>
      <c r="BC462" s="1948">
        <f t="shared" si="116"/>
        <v>7676</v>
      </c>
      <c r="BD462" s="1949">
        <v>300</v>
      </c>
      <c r="BE462" s="1948">
        <v>290.88</v>
      </c>
      <c r="BF462" s="1949">
        <v>290.88</v>
      </c>
      <c r="BG462" s="1949">
        <v>0.94479999999999997</v>
      </c>
      <c r="BH462" s="1949">
        <v>58.98</v>
      </c>
      <c r="BI462" s="1948">
        <v>127644</v>
      </c>
      <c r="BJ462" s="1948">
        <f t="shared" si="117"/>
        <v>129849</v>
      </c>
      <c r="BK462" s="1948">
        <f t="shared" si="118"/>
        <v>0</v>
      </c>
    </row>
    <row r="463" spans="1:63" ht="15">
      <c r="A463" s="1946">
        <v>121000000051</v>
      </c>
      <c r="B463" s="1947">
        <f t="shared" si="119"/>
        <v>457</v>
      </c>
      <c r="C463" s="1906" t="s">
        <v>3311</v>
      </c>
      <c r="D463" s="1907" t="s">
        <v>524</v>
      </c>
      <c r="E463" s="1906" t="s">
        <v>541</v>
      </c>
      <c r="F463" s="1948" t="s">
        <v>259</v>
      </c>
      <c r="G463" s="1949">
        <v>300</v>
      </c>
      <c r="H463" s="1948">
        <v>300</v>
      </c>
      <c r="I463" s="1950">
        <v>243.12</v>
      </c>
      <c r="J463" s="1948">
        <v>243.12</v>
      </c>
      <c r="K463" s="1948">
        <v>0.99070000000000003</v>
      </c>
      <c r="L463" s="1948">
        <v>42.66</v>
      </c>
      <c r="M463" s="1948">
        <v>72189</v>
      </c>
      <c r="N463" s="1948">
        <f t="shared" si="105"/>
        <v>105028</v>
      </c>
      <c r="O463" s="1948">
        <f t="shared" si="106"/>
        <v>0</v>
      </c>
      <c r="P463" s="1948">
        <v>300</v>
      </c>
      <c r="Q463" s="1948">
        <v>245.04</v>
      </c>
      <c r="R463" s="1948">
        <v>245.04</v>
      </c>
      <c r="S463" s="1948">
        <v>0.98909999999999998</v>
      </c>
      <c r="T463" s="1948">
        <v>54.49</v>
      </c>
      <c r="U463" s="1948">
        <v>105750</v>
      </c>
      <c r="V463" s="1948">
        <f t="shared" si="107"/>
        <v>109386</v>
      </c>
      <c r="W463" s="1948">
        <f t="shared" si="108"/>
        <v>0</v>
      </c>
      <c r="X463" s="1948">
        <v>300</v>
      </c>
      <c r="Y463" s="1948">
        <v>244.07999999999998</v>
      </c>
      <c r="Z463" s="1948">
        <v>244.08</v>
      </c>
      <c r="AA463" s="1948">
        <v>0.97670000000000001</v>
      </c>
      <c r="AB463" s="1948">
        <v>41.13</v>
      </c>
      <c r="AC463" s="1948">
        <v>72279</v>
      </c>
      <c r="AD463" s="1948">
        <f t="shared" si="109"/>
        <v>105443</v>
      </c>
      <c r="AE463" s="1948">
        <f t="shared" si="110"/>
        <v>0</v>
      </c>
      <c r="AF463" s="1948">
        <v>300</v>
      </c>
      <c r="AG463" s="1948">
        <v>241.68</v>
      </c>
      <c r="AH463" s="1948">
        <v>241.68</v>
      </c>
      <c r="AI463" s="1948">
        <v>0.97509999999999997</v>
      </c>
      <c r="AJ463" s="1948">
        <v>46.67</v>
      </c>
      <c r="AK463" s="1948">
        <v>81207</v>
      </c>
      <c r="AL463" s="1948">
        <f t="shared" si="111"/>
        <v>107886</v>
      </c>
      <c r="AM463" s="1948">
        <f t="shared" si="112"/>
        <v>0</v>
      </c>
      <c r="AN463" s="1948">
        <v>300</v>
      </c>
      <c r="AO463" s="1948">
        <v>255.6</v>
      </c>
      <c r="AP463" s="1948">
        <v>255.6</v>
      </c>
      <c r="AQ463" s="1948">
        <v>0.97399999999999998</v>
      </c>
      <c r="AR463" s="1948">
        <v>43.85</v>
      </c>
      <c r="AS463" s="1948">
        <v>86079</v>
      </c>
      <c r="AT463" s="1948">
        <f t="shared" si="113"/>
        <v>114100</v>
      </c>
      <c r="AU463" s="1948">
        <f t="shared" si="114"/>
        <v>0</v>
      </c>
      <c r="AV463" s="1948">
        <v>300</v>
      </c>
      <c r="AW463" s="1948">
        <v>257.28000000000003</v>
      </c>
      <c r="AX463" s="1948">
        <v>257.27999999999997</v>
      </c>
      <c r="AY463" s="1948">
        <v>0.96399999999999997</v>
      </c>
      <c r="AZ463" s="1948">
        <v>45.76</v>
      </c>
      <c r="BA463" s="1948">
        <v>90417</v>
      </c>
      <c r="BB463" s="1948">
        <f t="shared" si="115"/>
        <v>111145</v>
      </c>
      <c r="BC463" s="1948">
        <f t="shared" si="116"/>
        <v>0</v>
      </c>
      <c r="BD463" s="1949">
        <v>300</v>
      </c>
      <c r="BE463" s="1948">
        <v>227.76</v>
      </c>
      <c r="BF463" s="1949">
        <v>240</v>
      </c>
      <c r="BG463" s="1949">
        <v>0.95540000000000003</v>
      </c>
      <c r="BH463" s="1949">
        <v>14.33</v>
      </c>
      <c r="BI463" s="1948">
        <v>24291</v>
      </c>
      <c r="BJ463" s="1948">
        <f t="shared" si="117"/>
        <v>101672</v>
      </c>
      <c r="BK463" s="1948">
        <f t="shared" si="118"/>
        <v>0</v>
      </c>
    </row>
    <row r="464" spans="1:63" ht="15">
      <c r="A464" s="1946">
        <v>611000000053</v>
      </c>
      <c r="B464" s="1947">
        <f t="shared" si="119"/>
        <v>458</v>
      </c>
      <c r="C464" s="1906" t="s">
        <v>3322</v>
      </c>
      <c r="D464" s="1907" t="s">
        <v>524</v>
      </c>
      <c r="E464" s="1906" t="s">
        <v>636</v>
      </c>
      <c r="F464" s="1948" t="s">
        <v>259</v>
      </c>
      <c r="G464" s="1949">
        <v>300</v>
      </c>
      <c r="H464" s="1948">
        <v>300</v>
      </c>
      <c r="I464" s="1950">
        <v>56.64</v>
      </c>
      <c r="J464" s="1948">
        <v>240</v>
      </c>
      <c r="K464" s="1948">
        <v>1</v>
      </c>
      <c r="L464" s="1948">
        <v>22.85</v>
      </c>
      <c r="M464" s="1948">
        <v>9318</v>
      </c>
      <c r="N464" s="1948">
        <f t="shared" si="105"/>
        <v>24468</v>
      </c>
      <c r="O464" s="1948">
        <f t="shared" si="106"/>
        <v>0</v>
      </c>
      <c r="P464" s="1948">
        <v>300</v>
      </c>
      <c r="Q464" s="1948">
        <v>42.24</v>
      </c>
      <c r="R464" s="1948">
        <v>240</v>
      </c>
      <c r="S464" s="1948">
        <v>0.99939999999999996</v>
      </c>
      <c r="T464" s="1948">
        <v>32.840000000000003</v>
      </c>
      <c r="U464" s="1948">
        <v>10320</v>
      </c>
      <c r="V464" s="1948">
        <f t="shared" si="107"/>
        <v>18856</v>
      </c>
      <c r="W464" s="1948">
        <f t="shared" si="108"/>
        <v>0</v>
      </c>
      <c r="X464" s="1948">
        <v>300</v>
      </c>
      <c r="Y464" s="1948">
        <v>189.6</v>
      </c>
      <c r="Z464" s="1948">
        <v>240</v>
      </c>
      <c r="AA464" s="1948">
        <v>0.99309999999999998</v>
      </c>
      <c r="AB464" s="1948">
        <v>16.059999999999999</v>
      </c>
      <c r="AC464" s="1948">
        <v>21924</v>
      </c>
      <c r="AD464" s="1948">
        <f t="shared" si="109"/>
        <v>81907</v>
      </c>
      <c r="AE464" s="1948">
        <f t="shared" si="110"/>
        <v>0</v>
      </c>
      <c r="AF464" s="1948">
        <v>300</v>
      </c>
      <c r="AG464" s="1948">
        <v>188.16</v>
      </c>
      <c r="AH464" s="1948">
        <v>240</v>
      </c>
      <c r="AI464" s="1948">
        <v>0.9879</v>
      </c>
      <c r="AJ464" s="1948">
        <v>19.59</v>
      </c>
      <c r="AK464" s="1948">
        <v>27426</v>
      </c>
      <c r="AL464" s="1948">
        <f t="shared" si="111"/>
        <v>83995</v>
      </c>
      <c r="AM464" s="1948">
        <f t="shared" si="112"/>
        <v>0</v>
      </c>
      <c r="AN464" s="1948">
        <v>300</v>
      </c>
      <c r="AO464" s="1948">
        <v>192.96</v>
      </c>
      <c r="AP464" s="1948">
        <v>240</v>
      </c>
      <c r="AQ464" s="1948">
        <v>0.9929</v>
      </c>
      <c r="AR464" s="1948">
        <v>12.97</v>
      </c>
      <c r="AS464" s="1948">
        <v>18624</v>
      </c>
      <c r="AT464" s="1948">
        <f t="shared" si="113"/>
        <v>86137</v>
      </c>
      <c r="AU464" s="1948">
        <f t="shared" si="114"/>
        <v>0</v>
      </c>
      <c r="AV464" s="1948">
        <v>300</v>
      </c>
      <c r="AW464" s="1948">
        <v>95.52000000000001</v>
      </c>
      <c r="AX464" s="1948">
        <v>240</v>
      </c>
      <c r="AY464" s="1948">
        <v>0.9899</v>
      </c>
      <c r="AZ464" s="1948">
        <v>17.36</v>
      </c>
      <c r="BA464" s="1948">
        <v>11940</v>
      </c>
      <c r="BB464" s="1948">
        <f t="shared" si="115"/>
        <v>41265</v>
      </c>
      <c r="BC464" s="1948">
        <f t="shared" si="116"/>
        <v>0</v>
      </c>
      <c r="BD464" s="1949">
        <v>300</v>
      </c>
      <c r="BE464" s="1948">
        <v>193.44</v>
      </c>
      <c r="BF464" s="1949">
        <v>240</v>
      </c>
      <c r="BG464" s="1949">
        <v>0.97819999999999996</v>
      </c>
      <c r="BH464" s="1949">
        <v>10.56</v>
      </c>
      <c r="BI464" s="1948">
        <v>15198</v>
      </c>
      <c r="BJ464" s="1948">
        <f t="shared" si="117"/>
        <v>86352</v>
      </c>
      <c r="BK464" s="1948">
        <f t="shared" si="118"/>
        <v>0</v>
      </c>
    </row>
    <row r="465" spans="1:63" ht="15">
      <c r="A465" s="1946">
        <v>611000000116</v>
      </c>
      <c r="B465" s="1947">
        <f t="shared" si="119"/>
        <v>459</v>
      </c>
      <c r="C465" s="1906" t="s">
        <v>3309</v>
      </c>
      <c r="D465" s="1907" t="s">
        <v>524</v>
      </c>
      <c r="E465" s="1906" t="s">
        <v>541</v>
      </c>
      <c r="F465" s="1948" t="s">
        <v>259</v>
      </c>
      <c r="G465" s="1949">
        <v>300</v>
      </c>
      <c r="H465" s="1948">
        <v>300</v>
      </c>
      <c r="I465" s="1950">
        <v>210.72</v>
      </c>
      <c r="J465" s="1948">
        <v>240</v>
      </c>
      <c r="K465" s="1948">
        <v>0.96330000000000005</v>
      </c>
      <c r="L465" s="1948">
        <v>18.010000000000002</v>
      </c>
      <c r="M465" s="1948">
        <v>27321</v>
      </c>
      <c r="N465" s="1948">
        <f t="shared" si="105"/>
        <v>91031</v>
      </c>
      <c r="O465" s="1948">
        <f t="shared" si="106"/>
        <v>0</v>
      </c>
      <c r="P465" s="1948">
        <v>300</v>
      </c>
      <c r="Q465" s="1948">
        <v>162.72</v>
      </c>
      <c r="R465" s="1948">
        <v>240</v>
      </c>
      <c r="S465" s="1948">
        <v>0.93420000000000003</v>
      </c>
      <c r="T465" s="1948">
        <v>10.18</v>
      </c>
      <c r="U465" s="1948">
        <v>12327</v>
      </c>
      <c r="V465" s="1948">
        <f t="shared" si="107"/>
        <v>72638</v>
      </c>
      <c r="W465" s="1948">
        <f t="shared" si="108"/>
        <v>0</v>
      </c>
      <c r="X465" s="1948">
        <v>300</v>
      </c>
      <c r="Y465" s="1948">
        <v>30.96</v>
      </c>
      <c r="Z465" s="1948">
        <v>240</v>
      </c>
      <c r="AA465" s="1948">
        <v>0.50760000000000005</v>
      </c>
      <c r="AB465" s="1948">
        <v>14.93</v>
      </c>
      <c r="AC465" s="1948">
        <v>3327</v>
      </c>
      <c r="AD465" s="1948">
        <f t="shared" si="109"/>
        <v>13375</v>
      </c>
      <c r="AE465" s="1948">
        <f t="shared" si="110"/>
        <v>0</v>
      </c>
      <c r="AF465" s="1948">
        <v>300</v>
      </c>
      <c r="AG465" s="1948">
        <v>129.12</v>
      </c>
      <c r="AH465" s="1948">
        <v>240</v>
      </c>
      <c r="AI465" s="1948">
        <v>0.87780000000000002</v>
      </c>
      <c r="AJ465" s="1948">
        <v>7.29</v>
      </c>
      <c r="AK465" s="1948">
        <v>6999</v>
      </c>
      <c r="AL465" s="1948">
        <f t="shared" si="111"/>
        <v>57639</v>
      </c>
      <c r="AM465" s="1948">
        <f t="shared" si="112"/>
        <v>0</v>
      </c>
      <c r="AN465" s="1948">
        <v>300</v>
      </c>
      <c r="AO465" s="1948">
        <v>197.28</v>
      </c>
      <c r="AP465" s="1948">
        <v>240</v>
      </c>
      <c r="AQ465" s="1948">
        <v>0.89629999999999999</v>
      </c>
      <c r="AR465" s="1948">
        <v>10.9</v>
      </c>
      <c r="AS465" s="1948">
        <v>15999</v>
      </c>
      <c r="AT465" s="1948">
        <f t="shared" si="113"/>
        <v>88066</v>
      </c>
      <c r="AU465" s="1948">
        <f t="shared" si="114"/>
        <v>0</v>
      </c>
      <c r="AV465" s="1948">
        <v>300</v>
      </c>
      <c r="AW465" s="1948">
        <v>229.20000000000002</v>
      </c>
      <c r="AX465" s="1948">
        <v>240</v>
      </c>
      <c r="AY465" s="1948">
        <v>0.93589999999999995</v>
      </c>
      <c r="AZ465" s="1948">
        <v>14.2</v>
      </c>
      <c r="BA465" s="1948">
        <v>23436</v>
      </c>
      <c r="BB465" s="1948">
        <f t="shared" si="115"/>
        <v>99014</v>
      </c>
      <c r="BC465" s="1948">
        <f t="shared" si="116"/>
        <v>0</v>
      </c>
      <c r="BD465" s="1949">
        <v>300</v>
      </c>
      <c r="BE465" s="1948">
        <v>15.6</v>
      </c>
      <c r="BF465" s="1949">
        <v>240</v>
      </c>
      <c r="BG465" s="1949">
        <v>0.2802</v>
      </c>
      <c r="BH465" s="1949">
        <v>27.58</v>
      </c>
      <c r="BI465" s="1948">
        <v>3201</v>
      </c>
      <c r="BJ465" s="1948">
        <f t="shared" si="117"/>
        <v>6964</v>
      </c>
      <c r="BK465" s="1948">
        <f t="shared" si="118"/>
        <v>0</v>
      </c>
    </row>
    <row r="466" spans="1:63" ht="15">
      <c r="A466" s="1946">
        <v>613000000018</v>
      </c>
      <c r="B466" s="1947">
        <f t="shared" si="119"/>
        <v>460</v>
      </c>
      <c r="C466" s="1906" t="s">
        <v>3324</v>
      </c>
      <c r="D466" s="1907" t="s">
        <v>524</v>
      </c>
      <c r="E466" s="1906" t="s">
        <v>541</v>
      </c>
      <c r="F466" s="1948" t="s">
        <v>259</v>
      </c>
      <c r="G466" s="1949">
        <v>300</v>
      </c>
      <c r="H466" s="1948">
        <v>300</v>
      </c>
      <c r="I466" s="1950">
        <v>196.64</v>
      </c>
      <c r="J466" s="1948">
        <v>240</v>
      </c>
      <c r="K466" s="1948">
        <v>0.94799999999999995</v>
      </c>
      <c r="L466" s="1948">
        <v>35.049999999999997</v>
      </c>
      <c r="M466" s="1948">
        <v>49618</v>
      </c>
      <c r="N466" s="1948">
        <f t="shared" si="105"/>
        <v>84948</v>
      </c>
      <c r="O466" s="1948">
        <f t="shared" si="106"/>
        <v>0</v>
      </c>
      <c r="P466" s="1948">
        <v>300</v>
      </c>
      <c r="Q466" s="1948">
        <v>193.76</v>
      </c>
      <c r="R466" s="1948">
        <v>240</v>
      </c>
      <c r="S466" s="1948">
        <v>0.96860000000000002</v>
      </c>
      <c r="T466" s="1948">
        <v>53.18</v>
      </c>
      <c r="U466" s="1948">
        <v>76666</v>
      </c>
      <c r="V466" s="1948">
        <f t="shared" si="107"/>
        <v>86494</v>
      </c>
      <c r="W466" s="1948">
        <f t="shared" si="108"/>
        <v>0</v>
      </c>
      <c r="X466" s="1948">
        <v>300</v>
      </c>
      <c r="Y466" s="1948">
        <v>186.72</v>
      </c>
      <c r="Z466" s="1948">
        <v>240</v>
      </c>
      <c r="AA466" s="1948">
        <v>0.96199999999999997</v>
      </c>
      <c r="AB466" s="1948">
        <v>43.89</v>
      </c>
      <c r="AC466" s="1948">
        <v>59008</v>
      </c>
      <c r="AD466" s="1948">
        <f t="shared" si="109"/>
        <v>80663</v>
      </c>
      <c r="AE466" s="1948">
        <f t="shared" si="110"/>
        <v>0</v>
      </c>
      <c r="AF466" s="1948">
        <v>300</v>
      </c>
      <c r="AG466" s="1948">
        <v>187.20000000000002</v>
      </c>
      <c r="AH466" s="1948">
        <v>240</v>
      </c>
      <c r="AI466" s="1948">
        <v>0.9556</v>
      </c>
      <c r="AJ466" s="1948">
        <v>55.52</v>
      </c>
      <c r="AK466" s="1948">
        <v>77322</v>
      </c>
      <c r="AL466" s="1948">
        <f t="shared" si="111"/>
        <v>83566</v>
      </c>
      <c r="AM466" s="1948">
        <f t="shared" si="112"/>
        <v>0</v>
      </c>
      <c r="AN466" s="1948">
        <v>300</v>
      </c>
      <c r="AO466" s="1948">
        <v>201.28</v>
      </c>
      <c r="AP466" s="1948">
        <v>240</v>
      </c>
      <c r="AQ466" s="1948">
        <v>0.94779999999999998</v>
      </c>
      <c r="AR466" s="1948">
        <v>50.52</v>
      </c>
      <c r="AS466" s="1948">
        <v>75658</v>
      </c>
      <c r="AT466" s="1948">
        <f t="shared" si="113"/>
        <v>89851</v>
      </c>
      <c r="AU466" s="1948">
        <f t="shared" si="114"/>
        <v>0</v>
      </c>
      <c r="AV466" s="1948">
        <v>300</v>
      </c>
      <c r="AW466" s="1948">
        <v>198.07999999999998</v>
      </c>
      <c r="AX466" s="1948">
        <v>240</v>
      </c>
      <c r="AY466" s="1948">
        <v>0.89739999999999998</v>
      </c>
      <c r="AZ466" s="1948">
        <v>25.04</v>
      </c>
      <c r="BA466" s="1948">
        <v>35716</v>
      </c>
      <c r="BB466" s="1948">
        <f t="shared" si="115"/>
        <v>85571</v>
      </c>
      <c r="BC466" s="1948">
        <f t="shared" si="116"/>
        <v>0</v>
      </c>
      <c r="BD466" s="1949">
        <v>300</v>
      </c>
      <c r="BE466" s="1948">
        <v>162.4</v>
      </c>
      <c r="BF466" s="1949">
        <v>240</v>
      </c>
      <c r="BG466" s="1949">
        <v>0.32679999999999998</v>
      </c>
      <c r="BH466" s="1949">
        <v>14.55</v>
      </c>
      <c r="BI466" s="1948">
        <v>17576</v>
      </c>
      <c r="BJ466" s="1948">
        <f t="shared" si="117"/>
        <v>72495</v>
      </c>
      <c r="BK466" s="1948">
        <f t="shared" si="118"/>
        <v>0</v>
      </c>
    </row>
    <row r="467" spans="1:63" ht="15">
      <c r="A467" s="1946">
        <v>622000000182</v>
      </c>
      <c r="B467" s="1947">
        <f t="shared" si="119"/>
        <v>461</v>
      </c>
      <c r="C467" s="1906" t="s">
        <v>3325</v>
      </c>
      <c r="D467" s="1907" t="s">
        <v>2930</v>
      </c>
      <c r="E467" s="1906" t="s">
        <v>541</v>
      </c>
      <c r="F467" s="1948" t="s">
        <v>259</v>
      </c>
      <c r="G467" s="1949">
        <v>300</v>
      </c>
      <c r="H467" s="1948">
        <v>300</v>
      </c>
      <c r="I467" s="1950">
        <v>0</v>
      </c>
      <c r="J467" s="1948">
        <v>240</v>
      </c>
      <c r="K467" s="1948">
        <v>0</v>
      </c>
      <c r="L467" s="1948">
        <v>0</v>
      </c>
      <c r="M467" s="1948">
        <v>0</v>
      </c>
      <c r="N467" s="1948">
        <f t="shared" si="105"/>
        <v>0</v>
      </c>
      <c r="O467" s="1948">
        <f t="shared" si="106"/>
        <v>0</v>
      </c>
      <c r="P467" s="1948">
        <v>300</v>
      </c>
      <c r="Q467" s="1948">
        <v>0</v>
      </c>
      <c r="R467" s="1948">
        <v>240</v>
      </c>
      <c r="S467" s="1948">
        <v>0</v>
      </c>
      <c r="T467" s="1948">
        <v>0</v>
      </c>
      <c r="U467" s="1948">
        <v>0</v>
      </c>
      <c r="V467" s="1948">
        <f t="shared" si="107"/>
        <v>0</v>
      </c>
      <c r="W467" s="1948">
        <f t="shared" si="108"/>
        <v>0</v>
      </c>
      <c r="X467" s="1948">
        <v>300</v>
      </c>
      <c r="Y467" s="1948">
        <v>0</v>
      </c>
      <c r="Z467" s="1948">
        <v>240</v>
      </c>
      <c r="AA467" s="1948">
        <v>0</v>
      </c>
      <c r="AB467" s="1948">
        <v>0</v>
      </c>
      <c r="AC467" s="1948">
        <v>0</v>
      </c>
      <c r="AD467" s="1948">
        <f t="shared" si="109"/>
        <v>0</v>
      </c>
      <c r="AE467" s="1948">
        <f t="shared" si="110"/>
        <v>0</v>
      </c>
      <c r="AF467" s="1948">
        <v>300</v>
      </c>
      <c r="AG467" s="1948">
        <v>0</v>
      </c>
      <c r="AH467" s="1948">
        <v>240</v>
      </c>
      <c r="AI467" s="1948">
        <v>0</v>
      </c>
      <c r="AJ467" s="1948">
        <v>0</v>
      </c>
      <c r="AK467" s="1948">
        <v>0</v>
      </c>
      <c r="AL467" s="1948">
        <f t="shared" si="111"/>
        <v>0</v>
      </c>
      <c r="AM467" s="1948">
        <f t="shared" si="112"/>
        <v>0</v>
      </c>
      <c r="AN467" s="1948">
        <v>300</v>
      </c>
      <c r="AO467" s="1948">
        <v>0</v>
      </c>
      <c r="AP467" s="1948">
        <v>240</v>
      </c>
      <c r="AQ467" s="1948">
        <v>0</v>
      </c>
      <c r="AR467" s="1948">
        <v>0</v>
      </c>
      <c r="AS467" s="1948">
        <v>0</v>
      </c>
      <c r="AT467" s="1948">
        <f t="shared" si="113"/>
        <v>0</v>
      </c>
      <c r="AU467" s="1948">
        <f t="shared" si="114"/>
        <v>0</v>
      </c>
      <c r="AV467" s="1948">
        <v>300</v>
      </c>
      <c r="AW467" s="1948">
        <v>0</v>
      </c>
      <c r="AX467" s="1948">
        <v>240</v>
      </c>
      <c r="AY467" s="1948">
        <v>0</v>
      </c>
      <c r="AZ467" s="1948">
        <v>0</v>
      </c>
      <c r="BA467" s="1948">
        <v>0</v>
      </c>
      <c r="BB467" s="1948">
        <f t="shared" si="115"/>
        <v>0</v>
      </c>
      <c r="BC467" s="1948">
        <f t="shared" si="116"/>
        <v>0</v>
      </c>
      <c r="BD467" s="1949">
        <v>300</v>
      </c>
      <c r="BE467" s="1948">
        <v>0</v>
      </c>
      <c r="BF467" s="1949">
        <v>240</v>
      </c>
      <c r="BG467" s="1949">
        <v>0</v>
      </c>
      <c r="BH467" s="1949">
        <v>0</v>
      </c>
      <c r="BI467" s="1948">
        <v>0</v>
      </c>
      <c r="BJ467" s="1948">
        <f t="shared" si="117"/>
        <v>0</v>
      </c>
      <c r="BK467" s="1948">
        <f t="shared" si="118"/>
        <v>0</v>
      </c>
    </row>
    <row r="468" spans="1:63" ht="15">
      <c r="A468" s="1946">
        <v>622000000183</v>
      </c>
      <c r="B468" s="1947">
        <f t="shared" si="119"/>
        <v>462</v>
      </c>
      <c r="C468" s="1906" t="s">
        <v>3326</v>
      </c>
      <c r="D468" s="1907" t="s">
        <v>2930</v>
      </c>
      <c r="E468" s="1906" t="s">
        <v>541</v>
      </c>
      <c r="F468" s="1948" t="s">
        <v>259</v>
      </c>
      <c r="G468" s="1949">
        <v>300</v>
      </c>
      <c r="H468" s="1948">
        <v>300</v>
      </c>
      <c r="I468" s="1950">
        <v>0</v>
      </c>
      <c r="J468" s="1948">
        <v>240</v>
      </c>
      <c r="K468" s="1948">
        <v>0</v>
      </c>
      <c r="L468" s="1948">
        <v>0</v>
      </c>
      <c r="M468" s="1948">
        <v>0</v>
      </c>
      <c r="N468" s="1948">
        <f t="shared" si="105"/>
        <v>0</v>
      </c>
      <c r="O468" s="1948">
        <f t="shared" si="106"/>
        <v>0</v>
      </c>
      <c r="P468" s="1948">
        <v>300</v>
      </c>
      <c r="Q468" s="1948">
        <v>0</v>
      </c>
      <c r="R468" s="1948">
        <v>240</v>
      </c>
      <c r="S468" s="1948">
        <v>0</v>
      </c>
      <c r="T468" s="1948">
        <v>0</v>
      </c>
      <c r="U468" s="1948">
        <v>0</v>
      </c>
      <c r="V468" s="1948">
        <f t="shared" si="107"/>
        <v>0</v>
      </c>
      <c r="W468" s="1948">
        <f t="shared" si="108"/>
        <v>0</v>
      </c>
      <c r="X468" s="1948">
        <v>300</v>
      </c>
      <c r="Y468" s="1948">
        <v>0</v>
      </c>
      <c r="Z468" s="1948">
        <v>240</v>
      </c>
      <c r="AA468" s="1948">
        <v>0</v>
      </c>
      <c r="AB468" s="1948">
        <v>0</v>
      </c>
      <c r="AC468" s="1948">
        <v>0</v>
      </c>
      <c r="AD468" s="1948">
        <f t="shared" si="109"/>
        <v>0</v>
      </c>
      <c r="AE468" s="1948">
        <f t="shared" si="110"/>
        <v>0</v>
      </c>
      <c r="AF468" s="1948">
        <v>300</v>
      </c>
      <c r="AG468" s="1948">
        <v>0</v>
      </c>
      <c r="AH468" s="1948">
        <v>240</v>
      </c>
      <c r="AI468" s="1948">
        <v>0</v>
      </c>
      <c r="AJ468" s="1948">
        <v>0</v>
      </c>
      <c r="AK468" s="1948">
        <v>0</v>
      </c>
      <c r="AL468" s="1948">
        <f t="shared" si="111"/>
        <v>0</v>
      </c>
      <c r="AM468" s="1948">
        <f t="shared" si="112"/>
        <v>0</v>
      </c>
      <c r="AN468" s="1948">
        <v>300</v>
      </c>
      <c r="AO468" s="1948">
        <v>0</v>
      </c>
      <c r="AP468" s="1948">
        <v>240</v>
      </c>
      <c r="AQ468" s="1948">
        <v>0</v>
      </c>
      <c r="AR468" s="1948">
        <v>0</v>
      </c>
      <c r="AS468" s="1948">
        <v>0</v>
      </c>
      <c r="AT468" s="1948">
        <f t="shared" si="113"/>
        <v>0</v>
      </c>
      <c r="AU468" s="1948">
        <f t="shared" si="114"/>
        <v>0</v>
      </c>
      <c r="AV468" s="1948">
        <v>300</v>
      </c>
      <c r="AW468" s="1948">
        <v>0</v>
      </c>
      <c r="AX468" s="1948">
        <v>240</v>
      </c>
      <c r="AY468" s="1948">
        <v>0</v>
      </c>
      <c r="AZ468" s="1948">
        <v>0</v>
      </c>
      <c r="BA468" s="1948">
        <v>0</v>
      </c>
      <c r="BB468" s="1948">
        <f t="shared" si="115"/>
        <v>0</v>
      </c>
      <c r="BC468" s="1948">
        <f t="shared" si="116"/>
        <v>0</v>
      </c>
      <c r="BD468" s="1949">
        <v>300</v>
      </c>
      <c r="BE468" s="1948">
        <v>0</v>
      </c>
      <c r="BF468" s="1949">
        <v>240</v>
      </c>
      <c r="BG468" s="1949">
        <v>0</v>
      </c>
      <c r="BH468" s="1949">
        <v>0</v>
      </c>
      <c r="BI468" s="1948">
        <v>0</v>
      </c>
      <c r="BJ468" s="1948">
        <f t="shared" si="117"/>
        <v>0</v>
      </c>
      <c r="BK468" s="1948">
        <f t="shared" si="118"/>
        <v>0</v>
      </c>
    </row>
    <row r="469" spans="1:63" ht="15">
      <c r="A469" s="1946">
        <v>621000000007</v>
      </c>
      <c r="B469" s="1947">
        <f t="shared" si="119"/>
        <v>463</v>
      </c>
      <c r="C469" s="1906" t="s">
        <v>3323</v>
      </c>
      <c r="D469" s="1907" t="s">
        <v>524</v>
      </c>
      <c r="E469" s="1906" t="s">
        <v>541</v>
      </c>
      <c r="F469" s="1948" t="s">
        <v>259</v>
      </c>
      <c r="G469" s="1949">
        <v>300</v>
      </c>
      <c r="H469" s="1948">
        <v>300</v>
      </c>
      <c r="I469" s="1950">
        <v>190.56</v>
      </c>
      <c r="J469" s="1948">
        <v>240</v>
      </c>
      <c r="K469" s="1948">
        <v>0.91979999999999995</v>
      </c>
      <c r="L469" s="1948">
        <v>19.010000000000002</v>
      </c>
      <c r="M469" s="1948">
        <v>26088</v>
      </c>
      <c r="N469" s="1948">
        <f t="shared" si="105"/>
        <v>82322</v>
      </c>
      <c r="O469" s="1948">
        <f t="shared" si="106"/>
        <v>0</v>
      </c>
      <c r="P469" s="1948">
        <v>300</v>
      </c>
      <c r="Q469" s="1948">
        <v>193.20000000000002</v>
      </c>
      <c r="R469" s="1948">
        <v>240</v>
      </c>
      <c r="S469" s="1948">
        <v>0.92620000000000002</v>
      </c>
      <c r="T469" s="1948">
        <v>18.71</v>
      </c>
      <c r="U469" s="1948">
        <v>26889</v>
      </c>
      <c r="V469" s="1948">
        <f t="shared" si="107"/>
        <v>86244</v>
      </c>
      <c r="W469" s="1948">
        <f t="shared" si="108"/>
        <v>0</v>
      </c>
      <c r="X469" s="1948">
        <v>300</v>
      </c>
      <c r="Y469" s="1948">
        <v>196.44000000000003</v>
      </c>
      <c r="Z469" s="1948">
        <v>240</v>
      </c>
      <c r="AA469" s="1948">
        <v>0.92569999999999997</v>
      </c>
      <c r="AB469" s="1948">
        <v>17.260000000000002</v>
      </c>
      <c r="AC469" s="1948">
        <v>24410</v>
      </c>
      <c r="AD469" s="1948">
        <f t="shared" si="109"/>
        <v>84862</v>
      </c>
      <c r="AE469" s="1948">
        <f t="shared" si="110"/>
        <v>0</v>
      </c>
      <c r="AF469" s="1948">
        <v>300</v>
      </c>
      <c r="AG469" s="1948">
        <v>205.44</v>
      </c>
      <c r="AH469" s="1948">
        <v>240</v>
      </c>
      <c r="AI469" s="1948">
        <v>0.90149999999999997</v>
      </c>
      <c r="AJ469" s="1948">
        <v>15.14</v>
      </c>
      <c r="AK469" s="1948">
        <v>23146</v>
      </c>
      <c r="AL469" s="1948">
        <f t="shared" si="111"/>
        <v>91708</v>
      </c>
      <c r="AM469" s="1948">
        <f t="shared" si="112"/>
        <v>0</v>
      </c>
      <c r="AN469" s="1948">
        <v>300</v>
      </c>
      <c r="AO469" s="1948">
        <v>182.16</v>
      </c>
      <c r="AP469" s="1948">
        <v>240</v>
      </c>
      <c r="AQ469" s="1948">
        <v>0.88790000000000002</v>
      </c>
      <c r="AR469" s="1948">
        <v>18.13</v>
      </c>
      <c r="AS469" s="1948">
        <v>24574</v>
      </c>
      <c r="AT469" s="1948">
        <f t="shared" si="113"/>
        <v>81316</v>
      </c>
      <c r="AU469" s="1948">
        <f t="shared" si="114"/>
        <v>0</v>
      </c>
      <c r="AV469" s="1948">
        <v>300</v>
      </c>
      <c r="AW469" s="1948">
        <v>196.92</v>
      </c>
      <c r="AX469" s="1948">
        <v>240</v>
      </c>
      <c r="AY469" s="1948">
        <v>0.90290000000000004</v>
      </c>
      <c r="AZ469" s="1948">
        <v>22.44</v>
      </c>
      <c r="BA469" s="1948">
        <v>31823</v>
      </c>
      <c r="BB469" s="1948">
        <f t="shared" si="115"/>
        <v>85069</v>
      </c>
      <c r="BC469" s="1948">
        <f t="shared" si="116"/>
        <v>0</v>
      </c>
      <c r="BD469" s="1949">
        <v>300</v>
      </c>
      <c r="BE469" s="1948">
        <v>207.48</v>
      </c>
      <c r="BF469" s="1949">
        <v>240</v>
      </c>
      <c r="BG469" s="1949">
        <v>0.9032</v>
      </c>
      <c r="BH469" s="1949">
        <v>20.64</v>
      </c>
      <c r="BI469" s="1948">
        <v>31855</v>
      </c>
      <c r="BJ469" s="1948">
        <f t="shared" si="117"/>
        <v>92619</v>
      </c>
      <c r="BK469" s="1948">
        <f t="shared" si="118"/>
        <v>0</v>
      </c>
    </row>
    <row r="470" spans="1:63" ht="15">
      <c r="A470" s="1946">
        <v>126000000006</v>
      </c>
      <c r="B470" s="1947">
        <f t="shared" si="119"/>
        <v>464</v>
      </c>
      <c r="C470" s="1906" t="s">
        <v>3327</v>
      </c>
      <c r="D470" s="1907" t="s">
        <v>524</v>
      </c>
      <c r="E470" s="1906" t="s">
        <v>541</v>
      </c>
      <c r="F470" s="1948" t="s">
        <v>259</v>
      </c>
      <c r="G470" s="1949">
        <v>301</v>
      </c>
      <c r="H470" s="1948">
        <v>301</v>
      </c>
      <c r="I470" s="1950">
        <v>294.48</v>
      </c>
      <c r="J470" s="1948">
        <v>294.48</v>
      </c>
      <c r="K470" s="1948">
        <v>0.96179999999999999</v>
      </c>
      <c r="L470" s="1948">
        <v>36.020000000000003</v>
      </c>
      <c r="M470" s="1948">
        <v>76377</v>
      </c>
      <c r="N470" s="1948">
        <f t="shared" si="105"/>
        <v>127215</v>
      </c>
      <c r="O470" s="1948">
        <f t="shared" si="106"/>
        <v>0</v>
      </c>
      <c r="P470" s="1948">
        <v>301</v>
      </c>
      <c r="Q470" s="1948">
        <v>253.2</v>
      </c>
      <c r="R470" s="1948">
        <v>253.2</v>
      </c>
      <c r="S470" s="1948">
        <v>0.97599999999999998</v>
      </c>
      <c r="T470" s="1948">
        <v>37.700000000000003</v>
      </c>
      <c r="U470" s="1948">
        <v>71025</v>
      </c>
      <c r="V470" s="1948">
        <f t="shared" si="107"/>
        <v>113028</v>
      </c>
      <c r="W470" s="1948">
        <f t="shared" si="108"/>
        <v>0</v>
      </c>
      <c r="X470" s="1948">
        <v>301</v>
      </c>
      <c r="Y470" s="1948">
        <v>230.64000000000001</v>
      </c>
      <c r="Z470" s="1948">
        <v>240.8</v>
      </c>
      <c r="AA470" s="1948">
        <v>0.88700000000000001</v>
      </c>
      <c r="AB470" s="1948">
        <v>26.41</v>
      </c>
      <c r="AC470" s="1948">
        <v>43860</v>
      </c>
      <c r="AD470" s="1948">
        <f t="shared" si="109"/>
        <v>99636</v>
      </c>
      <c r="AE470" s="1948">
        <f t="shared" si="110"/>
        <v>0</v>
      </c>
      <c r="AF470" s="1948">
        <v>301</v>
      </c>
      <c r="AG470" s="1948">
        <v>295.92</v>
      </c>
      <c r="AH470" s="1948">
        <v>295.92</v>
      </c>
      <c r="AI470" s="1948">
        <v>0.78300000000000003</v>
      </c>
      <c r="AJ470" s="1948">
        <v>30.46</v>
      </c>
      <c r="AK470" s="1948">
        <v>67056</v>
      </c>
      <c r="AL470" s="1948">
        <f t="shared" si="111"/>
        <v>132099</v>
      </c>
      <c r="AM470" s="1948">
        <f t="shared" si="112"/>
        <v>0</v>
      </c>
      <c r="AN470" s="1948">
        <v>301</v>
      </c>
      <c r="AO470" s="1948">
        <v>224.16</v>
      </c>
      <c r="AP470" s="1948">
        <v>240.8</v>
      </c>
      <c r="AQ470" s="1948">
        <v>0.91080000000000005</v>
      </c>
      <c r="AR470" s="1948">
        <v>39.35</v>
      </c>
      <c r="AS470" s="1948">
        <v>65634</v>
      </c>
      <c r="AT470" s="1948">
        <f t="shared" si="113"/>
        <v>100065</v>
      </c>
      <c r="AU470" s="1948">
        <f t="shared" si="114"/>
        <v>0</v>
      </c>
      <c r="AV470" s="1948">
        <v>301</v>
      </c>
      <c r="AW470" s="1948">
        <v>246.23999999999998</v>
      </c>
      <c r="AX470" s="1948">
        <v>246.24</v>
      </c>
      <c r="AY470" s="1948">
        <v>0.92830000000000001</v>
      </c>
      <c r="AZ470" s="1948">
        <v>36.950000000000003</v>
      </c>
      <c r="BA470" s="1948">
        <v>65505</v>
      </c>
      <c r="BB470" s="1948">
        <f t="shared" si="115"/>
        <v>106376</v>
      </c>
      <c r="BC470" s="1948">
        <f t="shared" si="116"/>
        <v>0</v>
      </c>
      <c r="BD470" s="1949">
        <v>301</v>
      </c>
      <c r="BE470" s="1948">
        <v>318.48</v>
      </c>
      <c r="BF470" s="1949">
        <v>318.48</v>
      </c>
      <c r="BG470" s="1949">
        <v>0.87460000000000004</v>
      </c>
      <c r="BH470" s="1949">
        <v>16.21</v>
      </c>
      <c r="BI470" s="1948">
        <v>38406</v>
      </c>
      <c r="BJ470" s="1948">
        <f t="shared" si="117"/>
        <v>142169</v>
      </c>
      <c r="BK470" s="1948">
        <f t="shared" si="118"/>
        <v>0</v>
      </c>
    </row>
    <row r="471" spans="1:63" ht="15">
      <c r="A471" s="1946">
        <v>127000000016</v>
      </c>
      <c r="B471" s="1947">
        <f t="shared" si="119"/>
        <v>465</v>
      </c>
      <c r="C471" s="1906" t="s">
        <v>3328</v>
      </c>
      <c r="D471" s="1907" t="s">
        <v>524</v>
      </c>
      <c r="E471" s="1906" t="s">
        <v>737</v>
      </c>
      <c r="F471" s="1948" t="s">
        <v>259</v>
      </c>
      <c r="G471" s="1949">
        <v>303</v>
      </c>
      <c r="H471" s="1948">
        <v>303</v>
      </c>
      <c r="I471" s="1950">
        <v>21.92</v>
      </c>
      <c r="J471" s="1948">
        <v>242.4</v>
      </c>
      <c r="K471" s="1948">
        <v>0.67330000000000001</v>
      </c>
      <c r="L471" s="1948">
        <v>46.6</v>
      </c>
      <c r="M471" s="1948">
        <v>7354</v>
      </c>
      <c r="N471" s="1948">
        <f t="shared" si="105"/>
        <v>9469</v>
      </c>
      <c r="O471" s="1948">
        <f t="shared" si="106"/>
        <v>0</v>
      </c>
      <c r="P471" s="1948">
        <v>303</v>
      </c>
      <c r="Q471" s="1948">
        <v>26.400000000000002</v>
      </c>
      <c r="R471" s="1948">
        <v>242.4</v>
      </c>
      <c r="S471" s="1948">
        <v>0.65920000000000001</v>
      </c>
      <c r="T471" s="1948">
        <v>45.55</v>
      </c>
      <c r="U471" s="1948">
        <v>8946</v>
      </c>
      <c r="V471" s="1948">
        <f t="shared" si="107"/>
        <v>11785</v>
      </c>
      <c r="W471" s="1948">
        <f t="shared" si="108"/>
        <v>0</v>
      </c>
      <c r="X471" s="1948">
        <v>303</v>
      </c>
      <c r="Y471" s="1948">
        <v>28.64</v>
      </c>
      <c r="Z471" s="1948">
        <v>242.4</v>
      </c>
      <c r="AA471" s="1948">
        <v>0.70509999999999995</v>
      </c>
      <c r="AB471" s="1948">
        <v>44.14</v>
      </c>
      <c r="AC471" s="1948">
        <v>9102</v>
      </c>
      <c r="AD471" s="1948">
        <f t="shared" si="109"/>
        <v>12372</v>
      </c>
      <c r="AE471" s="1948">
        <f t="shared" si="110"/>
        <v>0</v>
      </c>
      <c r="AF471" s="1948">
        <v>303</v>
      </c>
      <c r="AG471" s="1948">
        <v>24.48</v>
      </c>
      <c r="AH471" s="1948">
        <v>242.4</v>
      </c>
      <c r="AI471" s="1948">
        <v>0.69040000000000001</v>
      </c>
      <c r="AJ471" s="1948">
        <v>45.8</v>
      </c>
      <c r="AK471" s="1948">
        <v>8342</v>
      </c>
      <c r="AL471" s="1948">
        <f t="shared" si="111"/>
        <v>10928</v>
      </c>
      <c r="AM471" s="1948">
        <f t="shared" si="112"/>
        <v>0</v>
      </c>
      <c r="AN471" s="1948">
        <v>303</v>
      </c>
      <c r="AO471" s="1948">
        <v>24</v>
      </c>
      <c r="AP471" s="1948">
        <v>242.4</v>
      </c>
      <c r="AQ471" s="1948">
        <v>0.66339999999999999</v>
      </c>
      <c r="AR471" s="1948">
        <v>43.5</v>
      </c>
      <c r="AS471" s="1948">
        <v>7768</v>
      </c>
      <c r="AT471" s="1948">
        <f t="shared" si="113"/>
        <v>10714</v>
      </c>
      <c r="AU471" s="1948">
        <f t="shared" si="114"/>
        <v>0</v>
      </c>
      <c r="AV471" s="1948">
        <v>303</v>
      </c>
      <c r="AW471" s="1948">
        <v>27.36</v>
      </c>
      <c r="AX471" s="1948">
        <v>242.4</v>
      </c>
      <c r="AY471" s="1948">
        <v>0.69640000000000002</v>
      </c>
      <c r="AZ471" s="1948">
        <v>41.61</v>
      </c>
      <c r="BA471" s="1948">
        <v>8196</v>
      </c>
      <c r="BB471" s="1948">
        <f t="shared" si="115"/>
        <v>11820</v>
      </c>
      <c r="BC471" s="1948">
        <f t="shared" si="116"/>
        <v>0</v>
      </c>
      <c r="BD471" s="1949">
        <v>303</v>
      </c>
      <c r="BE471" s="1948">
        <v>23.04</v>
      </c>
      <c r="BF471" s="1949">
        <v>242.4</v>
      </c>
      <c r="BG471" s="1949">
        <v>0.58450000000000002</v>
      </c>
      <c r="BH471" s="1949">
        <v>46.34</v>
      </c>
      <c r="BI471" s="1948">
        <v>7944</v>
      </c>
      <c r="BJ471" s="1948">
        <f t="shared" si="117"/>
        <v>10285</v>
      </c>
      <c r="BK471" s="1948">
        <f t="shared" si="118"/>
        <v>0</v>
      </c>
    </row>
    <row r="472" spans="1:63" ht="15">
      <c r="A472" s="1946">
        <v>613000000023</v>
      </c>
      <c r="B472" s="1947">
        <f t="shared" si="119"/>
        <v>466</v>
      </c>
      <c r="C472" s="1906" t="s">
        <v>3329</v>
      </c>
      <c r="D472" s="1907" t="s">
        <v>524</v>
      </c>
      <c r="E472" s="1906" t="s">
        <v>623</v>
      </c>
      <c r="F472" s="1948" t="s">
        <v>259</v>
      </c>
      <c r="G472" s="1949">
        <v>304</v>
      </c>
      <c r="H472" s="1948">
        <v>304</v>
      </c>
      <c r="I472" s="1950">
        <v>120.48</v>
      </c>
      <c r="J472" s="1948">
        <v>304</v>
      </c>
      <c r="K472" s="1948">
        <v>0.99670000000000003</v>
      </c>
      <c r="L472" s="1948">
        <v>0</v>
      </c>
      <c r="M472" s="1948">
        <v>40791</v>
      </c>
      <c r="N472" s="1948">
        <f t="shared" si="105"/>
        <v>52047</v>
      </c>
      <c r="O472" s="1948">
        <f t="shared" si="106"/>
        <v>0</v>
      </c>
      <c r="P472" s="1948">
        <v>304</v>
      </c>
      <c r="Q472" s="1948">
        <v>135.6</v>
      </c>
      <c r="R472" s="1948">
        <v>304</v>
      </c>
      <c r="S472" s="1948">
        <v>0.99280000000000002</v>
      </c>
      <c r="T472" s="1948">
        <v>0</v>
      </c>
      <c r="U472" s="1948">
        <v>42768</v>
      </c>
      <c r="V472" s="1948">
        <f t="shared" si="107"/>
        <v>60532</v>
      </c>
      <c r="W472" s="1948">
        <f t="shared" si="108"/>
        <v>0</v>
      </c>
      <c r="X472" s="1948">
        <v>304</v>
      </c>
      <c r="Y472" s="1948">
        <v>124.8</v>
      </c>
      <c r="Z472" s="1948">
        <v>304</v>
      </c>
      <c r="AA472" s="1948">
        <v>0.997</v>
      </c>
      <c r="AB472" s="1948">
        <v>0</v>
      </c>
      <c r="AC472" s="1948">
        <v>30465</v>
      </c>
      <c r="AD472" s="1948">
        <f t="shared" si="109"/>
        <v>53914</v>
      </c>
      <c r="AE472" s="1948">
        <f t="shared" si="110"/>
        <v>0</v>
      </c>
      <c r="AF472" s="1948">
        <v>304</v>
      </c>
      <c r="AG472" s="1948">
        <v>1.04</v>
      </c>
      <c r="AH472" s="1948">
        <v>304</v>
      </c>
      <c r="AI472" s="1948">
        <v>0.96220000000000006</v>
      </c>
      <c r="AJ472" s="1948">
        <v>0</v>
      </c>
      <c r="AK472" s="1948">
        <v>15276</v>
      </c>
      <c r="AL472" s="1948">
        <f t="shared" si="111"/>
        <v>464</v>
      </c>
      <c r="AM472" s="1948">
        <f t="shared" si="112"/>
        <v>14812</v>
      </c>
      <c r="AN472" s="1948">
        <v>304</v>
      </c>
      <c r="AO472" s="1948">
        <v>120.28399999999999</v>
      </c>
      <c r="AP472" s="1948">
        <v>304</v>
      </c>
      <c r="AQ472" s="1948">
        <v>0.98899999999999999</v>
      </c>
      <c r="AR472" s="1948">
        <v>0</v>
      </c>
      <c r="AS472" s="1948">
        <v>33295</v>
      </c>
      <c r="AT472" s="1948">
        <f t="shared" si="113"/>
        <v>53695</v>
      </c>
      <c r="AU472" s="1948">
        <f t="shared" si="114"/>
        <v>0</v>
      </c>
      <c r="AV472" s="1948">
        <v>304</v>
      </c>
      <c r="AW472" s="1948">
        <v>100.32</v>
      </c>
      <c r="AX472" s="1948">
        <v>304</v>
      </c>
      <c r="AY472" s="1948">
        <v>0.99629999999999996</v>
      </c>
      <c r="AZ472" s="1948">
        <v>0</v>
      </c>
      <c r="BA472" s="1948">
        <v>14660</v>
      </c>
      <c r="BB472" s="1948">
        <f t="shared" si="115"/>
        <v>43338</v>
      </c>
      <c r="BC472" s="1948">
        <f t="shared" si="116"/>
        <v>0</v>
      </c>
      <c r="BD472" s="1949">
        <v>304</v>
      </c>
      <c r="BE472" s="1948">
        <v>117.91200000000001</v>
      </c>
      <c r="BF472" s="1949">
        <v>304</v>
      </c>
      <c r="BG472" s="1949">
        <v>0.99739999999999995</v>
      </c>
      <c r="BH472" s="1949">
        <v>0</v>
      </c>
      <c r="BI472" s="1948">
        <v>35960</v>
      </c>
      <c r="BJ472" s="1948">
        <f t="shared" si="117"/>
        <v>52636</v>
      </c>
      <c r="BK472" s="1948">
        <f t="shared" si="118"/>
        <v>0</v>
      </c>
    </row>
    <row r="473" spans="1:63" ht="15">
      <c r="A473" s="1946">
        <v>621000000028</v>
      </c>
      <c r="B473" s="1947">
        <f t="shared" si="119"/>
        <v>467</v>
      </c>
      <c r="C473" s="1906" t="s">
        <v>3187</v>
      </c>
      <c r="D473" s="1907" t="s">
        <v>524</v>
      </c>
      <c r="E473" s="1906" t="s">
        <v>737</v>
      </c>
      <c r="F473" s="1948" t="s">
        <v>259</v>
      </c>
      <c r="G473" s="1949">
        <v>305</v>
      </c>
      <c r="H473" s="1948">
        <v>200</v>
      </c>
      <c r="I473" s="1950">
        <v>23.810000000000002</v>
      </c>
      <c r="J473" s="1948">
        <v>160</v>
      </c>
      <c r="K473" s="1948">
        <v>0.59470000000000001</v>
      </c>
      <c r="L473" s="1948">
        <v>54.29</v>
      </c>
      <c r="M473" s="1948">
        <v>9307</v>
      </c>
      <c r="N473" s="1948">
        <f t="shared" si="105"/>
        <v>10286</v>
      </c>
      <c r="O473" s="1948">
        <f t="shared" si="106"/>
        <v>0</v>
      </c>
      <c r="P473" s="1948">
        <v>305</v>
      </c>
      <c r="Q473" s="1948">
        <v>27.36</v>
      </c>
      <c r="R473" s="1948">
        <v>244</v>
      </c>
      <c r="S473" s="1948">
        <v>0.56200000000000006</v>
      </c>
      <c r="T473" s="1948">
        <v>52.39</v>
      </c>
      <c r="U473" s="1948">
        <v>10665</v>
      </c>
      <c r="V473" s="1948">
        <f t="shared" si="107"/>
        <v>12214</v>
      </c>
      <c r="W473" s="1948">
        <f t="shared" si="108"/>
        <v>0</v>
      </c>
      <c r="X473" s="1948">
        <v>305</v>
      </c>
      <c r="Y473" s="1948">
        <v>53.040000000000006</v>
      </c>
      <c r="Z473" s="1948">
        <v>244</v>
      </c>
      <c r="AA473" s="1948">
        <v>0.56530000000000002</v>
      </c>
      <c r="AB473" s="1948">
        <v>29.97</v>
      </c>
      <c r="AC473" s="1948">
        <v>11445</v>
      </c>
      <c r="AD473" s="1948">
        <f t="shared" si="109"/>
        <v>22913</v>
      </c>
      <c r="AE473" s="1948">
        <f t="shared" si="110"/>
        <v>0</v>
      </c>
      <c r="AF473" s="1948">
        <v>305</v>
      </c>
      <c r="AG473" s="1948">
        <v>31.2</v>
      </c>
      <c r="AH473" s="1948">
        <v>244</v>
      </c>
      <c r="AI473" s="1948">
        <v>0.52470000000000006</v>
      </c>
      <c r="AJ473" s="1948">
        <v>54.99</v>
      </c>
      <c r="AK473" s="1948">
        <v>12765</v>
      </c>
      <c r="AL473" s="1948">
        <f t="shared" si="111"/>
        <v>13928</v>
      </c>
      <c r="AM473" s="1948">
        <f t="shared" si="112"/>
        <v>0</v>
      </c>
      <c r="AN473" s="1948">
        <v>305</v>
      </c>
      <c r="AO473" s="1948">
        <v>33.839999999999996</v>
      </c>
      <c r="AP473" s="1948">
        <v>244</v>
      </c>
      <c r="AQ473" s="1948">
        <v>0.70709999999999995</v>
      </c>
      <c r="AR473" s="1948">
        <v>41.47</v>
      </c>
      <c r="AS473" s="1948">
        <v>10440</v>
      </c>
      <c r="AT473" s="1948">
        <f t="shared" si="113"/>
        <v>15106</v>
      </c>
      <c r="AU473" s="1948">
        <f t="shared" si="114"/>
        <v>0</v>
      </c>
      <c r="AV473" s="1948">
        <v>305</v>
      </c>
      <c r="AW473" s="1948">
        <v>45.36</v>
      </c>
      <c r="AX473" s="1948">
        <v>244</v>
      </c>
      <c r="AY473" s="1948">
        <v>0.85319999999999996</v>
      </c>
      <c r="AZ473" s="1948">
        <v>39.44</v>
      </c>
      <c r="BA473" s="1948">
        <v>12882</v>
      </c>
      <c r="BB473" s="1948">
        <f t="shared" si="115"/>
        <v>19596</v>
      </c>
      <c r="BC473" s="1948">
        <f t="shared" si="116"/>
        <v>0</v>
      </c>
      <c r="BD473" s="1949">
        <v>305</v>
      </c>
      <c r="BE473" s="1948">
        <v>61.92</v>
      </c>
      <c r="BF473" s="1949">
        <v>244</v>
      </c>
      <c r="BG473" s="1949">
        <v>0.86819999999999997</v>
      </c>
      <c r="BH473" s="1949">
        <v>30.49</v>
      </c>
      <c r="BI473" s="1948">
        <v>14046</v>
      </c>
      <c r="BJ473" s="1948">
        <f t="shared" si="117"/>
        <v>27641</v>
      </c>
      <c r="BK473" s="1948">
        <f t="shared" si="118"/>
        <v>0</v>
      </c>
    </row>
    <row r="474" spans="1:63" ht="15">
      <c r="A474" s="1946">
        <v>421000000013</v>
      </c>
      <c r="B474" s="1947">
        <f t="shared" si="119"/>
        <v>468</v>
      </c>
      <c r="C474" s="1906" t="s">
        <v>3330</v>
      </c>
      <c r="D474" s="1907" t="s">
        <v>524</v>
      </c>
      <c r="E474" s="1906" t="s">
        <v>623</v>
      </c>
      <c r="F474" s="1948" t="s">
        <v>259</v>
      </c>
      <c r="G474" s="1949">
        <v>306</v>
      </c>
      <c r="H474" s="1948">
        <v>306</v>
      </c>
      <c r="I474" s="1950">
        <v>332.8</v>
      </c>
      <c r="J474" s="1948">
        <v>332.8</v>
      </c>
      <c r="K474" s="1948">
        <v>0.84760000000000002</v>
      </c>
      <c r="L474" s="1948">
        <v>0</v>
      </c>
      <c r="M474" s="1948">
        <v>129600</v>
      </c>
      <c r="N474" s="1948">
        <f t="shared" si="105"/>
        <v>143770</v>
      </c>
      <c r="O474" s="1948">
        <f t="shared" si="106"/>
        <v>0</v>
      </c>
      <c r="P474" s="1948">
        <v>306</v>
      </c>
      <c r="Q474" s="1948">
        <v>346.8</v>
      </c>
      <c r="R474" s="1948">
        <v>346.8</v>
      </c>
      <c r="S474" s="1948">
        <v>0.84709999999999996</v>
      </c>
      <c r="T474" s="1948">
        <v>0</v>
      </c>
      <c r="U474" s="1948">
        <v>121485</v>
      </c>
      <c r="V474" s="1948">
        <f t="shared" si="107"/>
        <v>154812</v>
      </c>
      <c r="W474" s="1948">
        <f t="shared" si="108"/>
        <v>0</v>
      </c>
      <c r="X474" s="1948">
        <v>306</v>
      </c>
      <c r="Y474" s="1948">
        <v>326.79999999999995</v>
      </c>
      <c r="Z474" s="1948">
        <v>326.8</v>
      </c>
      <c r="AA474" s="1948">
        <v>0.83069999999999999</v>
      </c>
      <c r="AB474" s="1948">
        <v>0</v>
      </c>
      <c r="AC474" s="1948">
        <v>120480</v>
      </c>
      <c r="AD474" s="1948">
        <f t="shared" si="109"/>
        <v>141178</v>
      </c>
      <c r="AE474" s="1948">
        <f t="shared" si="110"/>
        <v>0</v>
      </c>
      <c r="AF474" s="1948">
        <v>306</v>
      </c>
      <c r="AG474" s="1948">
        <v>346.4</v>
      </c>
      <c r="AH474" s="1948">
        <v>346.4</v>
      </c>
      <c r="AI474" s="1948">
        <v>0.83069999999999999</v>
      </c>
      <c r="AJ474" s="1948">
        <v>0</v>
      </c>
      <c r="AK474" s="1948">
        <v>123840</v>
      </c>
      <c r="AL474" s="1948">
        <f t="shared" si="111"/>
        <v>154633</v>
      </c>
      <c r="AM474" s="1948">
        <f t="shared" si="112"/>
        <v>0</v>
      </c>
      <c r="AN474" s="1948">
        <v>306</v>
      </c>
      <c r="AO474" s="1948">
        <v>340.4</v>
      </c>
      <c r="AP474" s="1948">
        <v>340.4</v>
      </c>
      <c r="AQ474" s="1948">
        <v>0.8256</v>
      </c>
      <c r="AR474" s="1948">
        <v>0</v>
      </c>
      <c r="AS474" s="1948">
        <v>133255</v>
      </c>
      <c r="AT474" s="1948">
        <f t="shared" si="113"/>
        <v>151955</v>
      </c>
      <c r="AU474" s="1948">
        <f t="shared" si="114"/>
        <v>0</v>
      </c>
      <c r="AV474" s="1948">
        <v>306</v>
      </c>
      <c r="AW474" s="1948">
        <v>351.6</v>
      </c>
      <c r="AX474" s="1948">
        <v>351.6</v>
      </c>
      <c r="AY474" s="1948">
        <v>0.82569999999999999</v>
      </c>
      <c r="AZ474" s="1948">
        <v>0</v>
      </c>
      <c r="BA474" s="1948">
        <v>138705</v>
      </c>
      <c r="BB474" s="1948">
        <f t="shared" si="115"/>
        <v>151891</v>
      </c>
      <c r="BC474" s="1948">
        <f t="shared" si="116"/>
        <v>0</v>
      </c>
      <c r="BD474" s="1949">
        <v>306</v>
      </c>
      <c r="BE474" s="1948">
        <v>386.79999999999995</v>
      </c>
      <c r="BF474" s="1949">
        <v>386.8</v>
      </c>
      <c r="BG474" s="1949">
        <v>0.81379999999999997</v>
      </c>
      <c r="BH474" s="1949">
        <v>0</v>
      </c>
      <c r="BI474" s="1948">
        <v>158120</v>
      </c>
      <c r="BJ474" s="1948">
        <f t="shared" si="117"/>
        <v>172668</v>
      </c>
      <c r="BK474" s="1948">
        <f t="shared" si="118"/>
        <v>0</v>
      </c>
    </row>
    <row r="475" spans="1:63" ht="15">
      <c r="A475" s="1946">
        <v>125000000041</v>
      </c>
      <c r="B475" s="1947">
        <f t="shared" si="119"/>
        <v>469</v>
      </c>
      <c r="C475" s="1906" t="s">
        <v>3331</v>
      </c>
      <c r="D475" s="1907" t="s">
        <v>524</v>
      </c>
      <c r="E475" s="1906" t="s">
        <v>541</v>
      </c>
      <c r="F475" s="1948" t="s">
        <v>259</v>
      </c>
      <c r="G475" s="1949">
        <v>314</v>
      </c>
      <c r="H475" s="1948">
        <v>314</v>
      </c>
      <c r="I475" s="1950">
        <v>348.48</v>
      </c>
      <c r="J475" s="1948">
        <v>348.48</v>
      </c>
      <c r="K475" s="1948">
        <v>0.98440000000000005</v>
      </c>
      <c r="L475" s="1948">
        <v>66.77</v>
      </c>
      <c r="M475" s="1948">
        <v>173109</v>
      </c>
      <c r="N475" s="1948">
        <f t="shared" si="105"/>
        <v>150543</v>
      </c>
      <c r="O475" s="1948">
        <f t="shared" si="106"/>
        <v>22566</v>
      </c>
      <c r="P475" s="1948">
        <v>314</v>
      </c>
      <c r="Q475" s="1948">
        <v>331.44</v>
      </c>
      <c r="R475" s="1948">
        <v>331.44</v>
      </c>
      <c r="S475" s="1948">
        <v>0.97689999999999999</v>
      </c>
      <c r="T475" s="1948">
        <v>68.260000000000005</v>
      </c>
      <c r="U475" s="1948">
        <v>168321</v>
      </c>
      <c r="V475" s="1948">
        <f t="shared" si="107"/>
        <v>147955</v>
      </c>
      <c r="W475" s="1948">
        <f t="shared" si="108"/>
        <v>20366</v>
      </c>
      <c r="X475" s="1948">
        <v>314</v>
      </c>
      <c r="Y475" s="1948">
        <v>324.24</v>
      </c>
      <c r="Z475" s="1948">
        <v>324.24</v>
      </c>
      <c r="AA475" s="1948">
        <v>0.9738</v>
      </c>
      <c r="AB475" s="1948">
        <v>65.37</v>
      </c>
      <c r="AC475" s="1948">
        <v>152604</v>
      </c>
      <c r="AD475" s="1948">
        <f t="shared" si="109"/>
        <v>140072</v>
      </c>
      <c r="AE475" s="1948">
        <f t="shared" si="110"/>
        <v>12532</v>
      </c>
      <c r="AF475" s="1948">
        <v>314</v>
      </c>
      <c r="AG475" s="1948">
        <v>292.56</v>
      </c>
      <c r="AH475" s="1948">
        <v>292.56</v>
      </c>
      <c r="AI475" s="1948">
        <v>0.96860000000000002</v>
      </c>
      <c r="AJ475" s="1948">
        <v>50.62</v>
      </c>
      <c r="AK475" s="1948">
        <v>110184</v>
      </c>
      <c r="AL475" s="1948">
        <f t="shared" si="111"/>
        <v>130599</v>
      </c>
      <c r="AM475" s="1948">
        <f t="shared" si="112"/>
        <v>0</v>
      </c>
      <c r="AN475" s="1948">
        <v>314</v>
      </c>
      <c r="AO475" s="1948">
        <v>277.2</v>
      </c>
      <c r="AP475" s="1948">
        <v>277.2</v>
      </c>
      <c r="AQ475" s="1948">
        <v>0.94879999999999998</v>
      </c>
      <c r="AR475" s="1948">
        <v>40.119999999999997</v>
      </c>
      <c r="AS475" s="1948">
        <v>82740</v>
      </c>
      <c r="AT475" s="1948">
        <f t="shared" si="113"/>
        <v>123742</v>
      </c>
      <c r="AU475" s="1948">
        <f t="shared" si="114"/>
        <v>0</v>
      </c>
      <c r="AV475" s="1948">
        <v>314</v>
      </c>
      <c r="AW475" s="1948">
        <v>37.44</v>
      </c>
      <c r="AX475" s="1948">
        <v>251.2</v>
      </c>
      <c r="AY475" s="1948">
        <v>0.38390000000000002</v>
      </c>
      <c r="AZ475" s="1948">
        <v>15.77</v>
      </c>
      <c r="BA475" s="1948">
        <v>4251</v>
      </c>
      <c r="BB475" s="1948">
        <f t="shared" si="115"/>
        <v>16174</v>
      </c>
      <c r="BC475" s="1948">
        <f t="shared" si="116"/>
        <v>0</v>
      </c>
      <c r="BD475" s="1949">
        <v>314</v>
      </c>
      <c r="BE475" s="1948">
        <v>60</v>
      </c>
      <c r="BF475" s="1949">
        <v>251.2</v>
      </c>
      <c r="BG475" s="1949">
        <v>0.59240000000000004</v>
      </c>
      <c r="BH475" s="1949">
        <v>11.6</v>
      </c>
      <c r="BI475" s="1948">
        <v>5178</v>
      </c>
      <c r="BJ475" s="1948">
        <f t="shared" si="117"/>
        <v>26784</v>
      </c>
      <c r="BK475" s="1948">
        <f t="shared" si="118"/>
        <v>0</v>
      </c>
    </row>
    <row r="476" spans="1:63" ht="15">
      <c r="A476" s="1946">
        <v>123000000069</v>
      </c>
      <c r="B476" s="1947">
        <f t="shared" si="119"/>
        <v>470</v>
      </c>
      <c r="C476" s="1906" t="s">
        <v>3576</v>
      </c>
      <c r="D476" s="1907" t="s">
        <v>524</v>
      </c>
      <c r="E476" s="1906" t="s">
        <v>541</v>
      </c>
      <c r="F476" s="1948" t="s">
        <v>259</v>
      </c>
      <c r="G476" s="1949">
        <v>315</v>
      </c>
      <c r="H476" s="1948">
        <v>150</v>
      </c>
      <c r="I476" s="1950">
        <v>100.16000000000001</v>
      </c>
      <c r="J476" s="1948">
        <v>120</v>
      </c>
      <c r="K476" s="1948">
        <v>0.99180000000000001</v>
      </c>
      <c r="L476" s="1948">
        <v>23.14</v>
      </c>
      <c r="M476" s="1948">
        <v>16685</v>
      </c>
      <c r="N476" s="1948">
        <f t="shared" si="105"/>
        <v>43269</v>
      </c>
      <c r="O476" s="1948">
        <f t="shared" si="106"/>
        <v>0</v>
      </c>
      <c r="P476" s="1948">
        <v>315</v>
      </c>
      <c r="Q476" s="1948">
        <v>286.2</v>
      </c>
      <c r="R476" s="1948">
        <v>252</v>
      </c>
      <c r="S476" s="1948">
        <v>0.91930000000000001</v>
      </c>
      <c r="T476" s="1948">
        <v>31.21</v>
      </c>
      <c r="U476" s="1948">
        <v>52950</v>
      </c>
      <c r="V476" s="1948">
        <f t="shared" si="107"/>
        <v>127760</v>
      </c>
      <c r="W476" s="1948">
        <f t="shared" si="108"/>
        <v>0</v>
      </c>
      <c r="X476" s="1948">
        <v>315</v>
      </c>
      <c r="Y476" s="1948">
        <v>212.64</v>
      </c>
      <c r="Z476" s="1948">
        <v>252</v>
      </c>
      <c r="AA476" s="1948">
        <v>0.90690000000000004</v>
      </c>
      <c r="AB476" s="1948">
        <v>49.77</v>
      </c>
      <c r="AC476" s="1948">
        <v>76197</v>
      </c>
      <c r="AD476" s="1948">
        <f t="shared" si="109"/>
        <v>91860</v>
      </c>
      <c r="AE476" s="1948">
        <f t="shared" si="110"/>
        <v>0</v>
      </c>
      <c r="AF476" s="1948">
        <v>315</v>
      </c>
      <c r="AG476" s="1948">
        <v>204.48</v>
      </c>
      <c r="AH476" s="1948">
        <v>252</v>
      </c>
      <c r="AI476" s="1948">
        <v>0.90239999999999998</v>
      </c>
      <c r="AJ476" s="1948">
        <v>50.95</v>
      </c>
      <c r="AK476" s="1948">
        <v>77505</v>
      </c>
      <c r="AL476" s="1948">
        <f t="shared" si="111"/>
        <v>91280</v>
      </c>
      <c r="AM476" s="1948">
        <f t="shared" si="112"/>
        <v>0</v>
      </c>
      <c r="AN476" s="1948">
        <v>315</v>
      </c>
      <c r="AO476" s="1948">
        <v>203.28</v>
      </c>
      <c r="AP476" s="1948">
        <v>252</v>
      </c>
      <c r="AQ476" s="1948">
        <v>0.90620000000000001</v>
      </c>
      <c r="AR476" s="1948">
        <v>41.1</v>
      </c>
      <c r="AS476" s="1948">
        <v>62157</v>
      </c>
      <c r="AT476" s="1948">
        <f t="shared" si="113"/>
        <v>90744</v>
      </c>
      <c r="AU476" s="1948">
        <f t="shared" si="114"/>
        <v>0</v>
      </c>
      <c r="AV476" s="1948">
        <v>315</v>
      </c>
      <c r="AW476" s="1948">
        <v>183.84</v>
      </c>
      <c r="AX476" s="1948">
        <v>252</v>
      </c>
      <c r="AY476" s="1948">
        <v>0.96930000000000005</v>
      </c>
      <c r="AZ476" s="1948">
        <v>41.69</v>
      </c>
      <c r="BA476" s="1948">
        <v>55185</v>
      </c>
      <c r="BB476" s="1948">
        <f t="shared" si="115"/>
        <v>79419</v>
      </c>
      <c r="BC476" s="1948">
        <f t="shared" si="116"/>
        <v>0</v>
      </c>
      <c r="BD476" s="1949">
        <v>315</v>
      </c>
      <c r="BE476" s="1948">
        <v>192.96</v>
      </c>
      <c r="BF476" s="1949">
        <v>252</v>
      </c>
      <c r="BG476" s="1949">
        <v>0.97419999999999995</v>
      </c>
      <c r="BH476" s="1949">
        <v>35.76</v>
      </c>
      <c r="BI476" s="1948">
        <v>51339</v>
      </c>
      <c r="BJ476" s="1948">
        <f t="shared" si="117"/>
        <v>86137</v>
      </c>
      <c r="BK476" s="1948">
        <f t="shared" si="118"/>
        <v>0</v>
      </c>
    </row>
    <row r="477" spans="1:63" ht="15">
      <c r="A477" s="1946">
        <v>122000000095</v>
      </c>
      <c r="B477" s="1947">
        <f t="shared" si="119"/>
        <v>471</v>
      </c>
      <c r="C477" s="1906" t="s">
        <v>3332</v>
      </c>
      <c r="D477" s="1907" t="s">
        <v>524</v>
      </c>
      <c r="E477" s="1906" t="s">
        <v>636</v>
      </c>
      <c r="F477" s="1948" t="s">
        <v>259</v>
      </c>
      <c r="G477" s="1949">
        <v>317</v>
      </c>
      <c r="H477" s="1948">
        <v>317</v>
      </c>
      <c r="I477" s="1950">
        <v>112.08</v>
      </c>
      <c r="J477" s="1948">
        <v>253.6</v>
      </c>
      <c r="K477" s="1948">
        <v>0.998</v>
      </c>
      <c r="L477" s="1948">
        <v>24.39</v>
      </c>
      <c r="M477" s="1948">
        <v>19680</v>
      </c>
      <c r="N477" s="1948">
        <f t="shared" si="105"/>
        <v>48419</v>
      </c>
      <c r="O477" s="1948">
        <f t="shared" si="106"/>
        <v>0</v>
      </c>
      <c r="P477" s="1948">
        <v>317</v>
      </c>
      <c r="Q477" s="1948">
        <v>132</v>
      </c>
      <c r="R477" s="1948">
        <v>253.6</v>
      </c>
      <c r="S477" s="1948">
        <v>0.99919999999999998</v>
      </c>
      <c r="T477" s="1948">
        <v>26.06</v>
      </c>
      <c r="U477" s="1948">
        <v>25596</v>
      </c>
      <c r="V477" s="1948">
        <f t="shared" si="107"/>
        <v>58925</v>
      </c>
      <c r="W477" s="1948">
        <f t="shared" si="108"/>
        <v>0</v>
      </c>
      <c r="X477" s="1948">
        <v>317</v>
      </c>
      <c r="Y477" s="1948">
        <v>150.48000000000002</v>
      </c>
      <c r="Z477" s="1948">
        <v>253.6</v>
      </c>
      <c r="AA477" s="1948">
        <v>0.99839999999999995</v>
      </c>
      <c r="AB477" s="1948">
        <v>21.34</v>
      </c>
      <c r="AC477" s="1948">
        <v>23121</v>
      </c>
      <c r="AD477" s="1948">
        <f t="shared" si="109"/>
        <v>65007</v>
      </c>
      <c r="AE477" s="1948">
        <f t="shared" si="110"/>
        <v>0</v>
      </c>
      <c r="AF477" s="1948">
        <v>317</v>
      </c>
      <c r="AG477" s="1948">
        <v>152.64000000000001</v>
      </c>
      <c r="AH477" s="1948">
        <v>253.6</v>
      </c>
      <c r="AI477" s="1948">
        <v>0.99890000000000001</v>
      </c>
      <c r="AJ477" s="1948">
        <v>24.4</v>
      </c>
      <c r="AK477" s="1948">
        <v>27714</v>
      </c>
      <c r="AL477" s="1948">
        <f t="shared" si="111"/>
        <v>68138</v>
      </c>
      <c r="AM477" s="1948">
        <f t="shared" si="112"/>
        <v>0</v>
      </c>
      <c r="AN477" s="1948">
        <v>317</v>
      </c>
      <c r="AO477" s="1948">
        <v>146.88</v>
      </c>
      <c r="AP477" s="1948">
        <v>253.6</v>
      </c>
      <c r="AQ477" s="1948">
        <v>0.99750000000000005</v>
      </c>
      <c r="AR477" s="1948">
        <v>22.21</v>
      </c>
      <c r="AS477" s="1948">
        <v>24276</v>
      </c>
      <c r="AT477" s="1948">
        <f t="shared" si="113"/>
        <v>65567</v>
      </c>
      <c r="AU477" s="1948">
        <f t="shared" si="114"/>
        <v>0</v>
      </c>
      <c r="AV477" s="1948">
        <v>317</v>
      </c>
      <c r="AW477" s="1948">
        <v>161.52000000000001</v>
      </c>
      <c r="AX477" s="1948">
        <v>253.6</v>
      </c>
      <c r="AY477" s="1948">
        <v>0.99750000000000005</v>
      </c>
      <c r="AZ477" s="1948">
        <v>21.68</v>
      </c>
      <c r="BA477" s="1948">
        <v>25212</v>
      </c>
      <c r="BB477" s="1948">
        <f t="shared" si="115"/>
        <v>69777</v>
      </c>
      <c r="BC477" s="1948">
        <f t="shared" si="116"/>
        <v>0</v>
      </c>
      <c r="BD477" s="1949">
        <v>317</v>
      </c>
      <c r="BE477" s="1948">
        <v>147.84</v>
      </c>
      <c r="BF477" s="1949">
        <v>253.6</v>
      </c>
      <c r="BG477" s="1949">
        <v>0.99490000000000001</v>
      </c>
      <c r="BH477" s="1949">
        <v>18.329999999999998</v>
      </c>
      <c r="BI477" s="1948">
        <v>20166</v>
      </c>
      <c r="BJ477" s="1948">
        <f t="shared" si="117"/>
        <v>65996</v>
      </c>
      <c r="BK477" s="1948">
        <f t="shared" si="118"/>
        <v>0</v>
      </c>
    </row>
    <row r="478" spans="1:63" ht="15">
      <c r="A478" s="1946">
        <v>126000000039</v>
      </c>
      <c r="B478" s="1947">
        <f t="shared" si="119"/>
        <v>472</v>
      </c>
      <c r="C478" s="1906" t="s">
        <v>3333</v>
      </c>
      <c r="D478" s="1907" t="s">
        <v>524</v>
      </c>
      <c r="E478" s="1906" t="s">
        <v>541</v>
      </c>
      <c r="F478" s="1948" t="s">
        <v>259</v>
      </c>
      <c r="G478" s="1949">
        <v>317</v>
      </c>
      <c r="H478" s="1948">
        <v>317</v>
      </c>
      <c r="I478" s="1950">
        <v>216.72</v>
      </c>
      <c r="J478" s="1948">
        <v>253.6</v>
      </c>
      <c r="K478" s="1948">
        <v>0.74109999999999998</v>
      </c>
      <c r="L478" s="1948">
        <v>11.23</v>
      </c>
      <c r="M478" s="1948">
        <v>17526</v>
      </c>
      <c r="N478" s="1948">
        <f t="shared" si="105"/>
        <v>93623</v>
      </c>
      <c r="O478" s="1948">
        <f t="shared" si="106"/>
        <v>0</v>
      </c>
      <c r="P478" s="1948">
        <v>317</v>
      </c>
      <c r="Q478" s="1948">
        <v>191.27999999999997</v>
      </c>
      <c r="R478" s="1948">
        <v>253.6</v>
      </c>
      <c r="S478" s="1948">
        <v>0.73799999999999999</v>
      </c>
      <c r="T478" s="1948">
        <v>13.28</v>
      </c>
      <c r="U478" s="1948">
        <v>18894</v>
      </c>
      <c r="V478" s="1948">
        <f t="shared" si="107"/>
        <v>85387</v>
      </c>
      <c r="W478" s="1948">
        <f t="shared" si="108"/>
        <v>0</v>
      </c>
      <c r="X478" s="1948">
        <v>317</v>
      </c>
      <c r="Y478" s="1948">
        <v>181.44</v>
      </c>
      <c r="Z478" s="1948">
        <v>253.6</v>
      </c>
      <c r="AA478" s="1948">
        <v>0.70250000000000001</v>
      </c>
      <c r="AB478" s="1948">
        <v>7.07</v>
      </c>
      <c r="AC478" s="1948">
        <v>9237</v>
      </c>
      <c r="AD478" s="1948">
        <f t="shared" si="109"/>
        <v>78382</v>
      </c>
      <c r="AE478" s="1948">
        <f t="shared" si="110"/>
        <v>0</v>
      </c>
      <c r="AF478" s="1948">
        <v>317</v>
      </c>
      <c r="AG478" s="1948">
        <v>174.48</v>
      </c>
      <c r="AH478" s="1948">
        <v>253.6</v>
      </c>
      <c r="AI478" s="1948">
        <v>0.66100000000000003</v>
      </c>
      <c r="AJ478" s="1948">
        <v>6.19</v>
      </c>
      <c r="AK478" s="1948">
        <v>7515</v>
      </c>
      <c r="AL478" s="1948">
        <f t="shared" si="111"/>
        <v>77888</v>
      </c>
      <c r="AM478" s="1948">
        <f t="shared" si="112"/>
        <v>0</v>
      </c>
      <c r="AN478" s="1948">
        <v>317</v>
      </c>
      <c r="AO478" s="1948">
        <v>227.04000000000002</v>
      </c>
      <c r="AP478" s="1948">
        <v>253.6</v>
      </c>
      <c r="AQ478" s="1948">
        <v>0.62949999999999995</v>
      </c>
      <c r="AR478" s="1948">
        <v>6.63</v>
      </c>
      <c r="AS478" s="1948">
        <v>11913</v>
      </c>
      <c r="AT478" s="1948">
        <f t="shared" si="113"/>
        <v>101351</v>
      </c>
      <c r="AU478" s="1948">
        <f t="shared" si="114"/>
        <v>0</v>
      </c>
      <c r="AV478" s="1948">
        <v>317</v>
      </c>
      <c r="AW478" s="1948">
        <v>215.28</v>
      </c>
      <c r="AX478" s="1948">
        <v>253.6</v>
      </c>
      <c r="AY478" s="1948">
        <v>0.66120000000000001</v>
      </c>
      <c r="AZ478" s="1948">
        <v>13.91</v>
      </c>
      <c r="BA478" s="1948">
        <v>17967</v>
      </c>
      <c r="BB478" s="1948">
        <f t="shared" si="115"/>
        <v>93001</v>
      </c>
      <c r="BC478" s="1948">
        <f t="shared" si="116"/>
        <v>0</v>
      </c>
      <c r="BD478" s="1949">
        <v>317</v>
      </c>
      <c r="BE478" s="1948">
        <v>291.36</v>
      </c>
      <c r="BF478" s="1949">
        <v>291.36</v>
      </c>
      <c r="BG478" s="1949">
        <v>0.67</v>
      </c>
      <c r="BH478" s="1949">
        <v>17.670000000000002</v>
      </c>
      <c r="BI478" s="1948">
        <v>44478</v>
      </c>
      <c r="BJ478" s="1948">
        <f t="shared" si="117"/>
        <v>130063</v>
      </c>
      <c r="BK478" s="1948">
        <f t="shared" si="118"/>
        <v>0</v>
      </c>
    </row>
    <row r="479" spans="1:63" ht="15">
      <c r="A479" s="1946">
        <v>125000000040</v>
      </c>
      <c r="B479" s="1947">
        <f t="shared" si="119"/>
        <v>473</v>
      </c>
      <c r="C479" s="1906" t="s">
        <v>3334</v>
      </c>
      <c r="D479" s="1907" t="s">
        <v>524</v>
      </c>
      <c r="E479" s="1906" t="s">
        <v>737</v>
      </c>
      <c r="F479" s="1948" t="s">
        <v>259</v>
      </c>
      <c r="G479" s="1949">
        <v>322</v>
      </c>
      <c r="H479" s="1948">
        <v>322</v>
      </c>
      <c r="I479" s="1950">
        <v>106.56</v>
      </c>
      <c r="J479" s="1948">
        <v>257.60000000000002</v>
      </c>
      <c r="K479" s="1948">
        <v>0.94989999999999997</v>
      </c>
      <c r="L479" s="1948">
        <v>14.29</v>
      </c>
      <c r="M479" s="1948">
        <v>10962</v>
      </c>
      <c r="N479" s="1948">
        <f t="shared" si="105"/>
        <v>46034</v>
      </c>
      <c r="O479" s="1948">
        <f t="shared" si="106"/>
        <v>0</v>
      </c>
      <c r="P479" s="1948">
        <v>322</v>
      </c>
      <c r="Q479" s="1948">
        <v>108</v>
      </c>
      <c r="R479" s="1948">
        <v>257.60000000000002</v>
      </c>
      <c r="S479" s="1948">
        <v>0.96609999999999996</v>
      </c>
      <c r="T479" s="1948">
        <v>14.87</v>
      </c>
      <c r="U479" s="1948">
        <v>11952</v>
      </c>
      <c r="V479" s="1948">
        <f t="shared" si="107"/>
        <v>48211</v>
      </c>
      <c r="W479" s="1948">
        <f t="shared" si="108"/>
        <v>0</v>
      </c>
      <c r="X479" s="1948">
        <v>322</v>
      </c>
      <c r="Y479" s="1948">
        <v>103.92</v>
      </c>
      <c r="Z479" s="1948">
        <v>257.60000000000002</v>
      </c>
      <c r="AA479" s="1948">
        <v>0.95930000000000004</v>
      </c>
      <c r="AB479" s="1948">
        <v>17.16</v>
      </c>
      <c r="AC479" s="1948">
        <v>12837</v>
      </c>
      <c r="AD479" s="1948">
        <f t="shared" si="109"/>
        <v>44893</v>
      </c>
      <c r="AE479" s="1948">
        <f t="shared" si="110"/>
        <v>0</v>
      </c>
      <c r="AF479" s="1948">
        <v>322</v>
      </c>
      <c r="AG479" s="1948">
        <v>112.32000000000001</v>
      </c>
      <c r="AH479" s="1948">
        <v>257.60000000000002</v>
      </c>
      <c r="AI479" s="1948">
        <v>0.95389999999999997</v>
      </c>
      <c r="AJ479" s="1948">
        <v>17.600000000000001</v>
      </c>
      <c r="AK479" s="1948">
        <v>14709</v>
      </c>
      <c r="AL479" s="1948">
        <f t="shared" si="111"/>
        <v>50140</v>
      </c>
      <c r="AM479" s="1948">
        <f t="shared" si="112"/>
        <v>0</v>
      </c>
      <c r="AN479" s="1948">
        <v>322</v>
      </c>
      <c r="AO479" s="1948">
        <v>108.24000000000001</v>
      </c>
      <c r="AP479" s="1948">
        <v>257.60000000000002</v>
      </c>
      <c r="AQ479" s="1948">
        <v>0.95689999999999997</v>
      </c>
      <c r="AR479" s="1948">
        <v>19.54</v>
      </c>
      <c r="AS479" s="1948">
        <v>15738</v>
      </c>
      <c r="AT479" s="1948">
        <f t="shared" si="113"/>
        <v>48318</v>
      </c>
      <c r="AU479" s="1948">
        <f t="shared" si="114"/>
        <v>0</v>
      </c>
      <c r="AV479" s="1948">
        <v>322</v>
      </c>
      <c r="AW479" s="1948">
        <v>111.6</v>
      </c>
      <c r="AX479" s="1948">
        <v>257.60000000000002</v>
      </c>
      <c r="AY479" s="1948">
        <v>0.97440000000000004</v>
      </c>
      <c r="AZ479" s="1948">
        <v>21.21</v>
      </c>
      <c r="BA479" s="1948">
        <v>17040</v>
      </c>
      <c r="BB479" s="1948">
        <f t="shared" si="115"/>
        <v>48211</v>
      </c>
      <c r="BC479" s="1948">
        <f t="shared" si="116"/>
        <v>0</v>
      </c>
      <c r="BD479" s="1949">
        <v>322</v>
      </c>
      <c r="BE479" s="1948">
        <v>108</v>
      </c>
      <c r="BF479" s="1949">
        <v>257.60000000000002</v>
      </c>
      <c r="BG479" s="1949">
        <v>0.97770000000000001</v>
      </c>
      <c r="BH479" s="1949">
        <v>18.440000000000001</v>
      </c>
      <c r="BI479" s="1948">
        <v>14817</v>
      </c>
      <c r="BJ479" s="1948">
        <f t="shared" si="117"/>
        <v>48211</v>
      </c>
      <c r="BK479" s="1948">
        <f t="shared" si="118"/>
        <v>0</v>
      </c>
    </row>
    <row r="480" spans="1:63" ht="15">
      <c r="A480" s="1946">
        <v>123000000141</v>
      </c>
      <c r="B480" s="1947">
        <f t="shared" si="119"/>
        <v>474</v>
      </c>
      <c r="C480" s="1906" t="s">
        <v>3577</v>
      </c>
      <c r="D480" s="1907" t="s">
        <v>524</v>
      </c>
      <c r="E480" s="1906" t="s">
        <v>541</v>
      </c>
      <c r="F480" s="1948" t="s">
        <v>259</v>
      </c>
      <c r="G480" s="1949">
        <v>328</v>
      </c>
      <c r="H480" s="1948">
        <v>328</v>
      </c>
      <c r="I480" s="1950">
        <v>199.04</v>
      </c>
      <c r="J480" s="1948">
        <v>262.39999999999998</v>
      </c>
      <c r="K480" s="1948">
        <v>0.6946</v>
      </c>
      <c r="L480" s="1948">
        <v>6.58</v>
      </c>
      <c r="M480" s="1948">
        <v>9432</v>
      </c>
      <c r="N480" s="1948">
        <f t="shared" si="105"/>
        <v>85985</v>
      </c>
      <c r="O480" s="1948">
        <f t="shared" si="106"/>
        <v>0</v>
      </c>
      <c r="P480" s="1948">
        <v>328</v>
      </c>
      <c r="Q480" s="1948">
        <v>227.2</v>
      </c>
      <c r="R480" s="1948">
        <v>262.39999999999998</v>
      </c>
      <c r="S480" s="1948">
        <v>0.71220000000000006</v>
      </c>
      <c r="T480" s="1948">
        <v>12.34</v>
      </c>
      <c r="U480" s="1948">
        <v>20862</v>
      </c>
      <c r="V480" s="1948">
        <f t="shared" si="107"/>
        <v>101422</v>
      </c>
      <c r="W480" s="1948">
        <f t="shared" si="108"/>
        <v>0</v>
      </c>
      <c r="X480" s="1948">
        <v>328</v>
      </c>
      <c r="Y480" s="1948">
        <v>198.07999999999998</v>
      </c>
      <c r="Z480" s="1948">
        <v>262.39999999999998</v>
      </c>
      <c r="AA480" s="1948">
        <v>0.69359999999999999</v>
      </c>
      <c r="AB480" s="1948">
        <v>7.8</v>
      </c>
      <c r="AC480" s="1948">
        <v>11130</v>
      </c>
      <c r="AD480" s="1948">
        <f t="shared" si="109"/>
        <v>85571</v>
      </c>
      <c r="AE480" s="1948">
        <f t="shared" si="110"/>
        <v>0</v>
      </c>
      <c r="AF480" s="1948">
        <v>328</v>
      </c>
      <c r="AG480" s="1948">
        <v>215.20000000000002</v>
      </c>
      <c r="AH480" s="1948">
        <v>262.39999999999998</v>
      </c>
      <c r="AI480" s="1948">
        <v>0.69540000000000002</v>
      </c>
      <c r="AJ480" s="1948">
        <v>4.93</v>
      </c>
      <c r="AK480" s="1948">
        <v>7888</v>
      </c>
      <c r="AL480" s="1948">
        <f t="shared" si="111"/>
        <v>96065</v>
      </c>
      <c r="AM480" s="1948">
        <f t="shared" si="112"/>
        <v>0</v>
      </c>
      <c r="AN480" s="1948">
        <v>328</v>
      </c>
      <c r="AO480" s="1948">
        <v>194.08</v>
      </c>
      <c r="AP480" s="1948">
        <v>262.39999999999998</v>
      </c>
      <c r="AQ480" s="1948">
        <v>0.68110000000000004</v>
      </c>
      <c r="AR480" s="1948">
        <v>5.63</v>
      </c>
      <c r="AS480" s="1948">
        <v>8128</v>
      </c>
      <c r="AT480" s="1948">
        <f t="shared" si="113"/>
        <v>86637</v>
      </c>
      <c r="AU480" s="1948">
        <f t="shared" si="114"/>
        <v>0</v>
      </c>
      <c r="AV480" s="1948">
        <v>328</v>
      </c>
      <c r="AW480" s="1948">
        <v>161.60000000000002</v>
      </c>
      <c r="AX480" s="1948">
        <v>262.39999999999998</v>
      </c>
      <c r="AY480" s="1948">
        <v>0.65990000000000004</v>
      </c>
      <c r="AZ480" s="1948">
        <v>4.93</v>
      </c>
      <c r="BA480" s="1948">
        <v>5740</v>
      </c>
      <c r="BB480" s="1948">
        <f t="shared" si="115"/>
        <v>69811</v>
      </c>
      <c r="BC480" s="1948">
        <f t="shared" si="116"/>
        <v>0</v>
      </c>
      <c r="BD480" s="1949">
        <v>328</v>
      </c>
      <c r="BE480" s="1948">
        <v>163.68</v>
      </c>
      <c r="BF480" s="1949">
        <v>262.39999999999998</v>
      </c>
      <c r="BG480" s="1949">
        <v>0.64910000000000001</v>
      </c>
      <c r="BH480" s="1949">
        <v>5.74</v>
      </c>
      <c r="BI480" s="1948">
        <v>6984</v>
      </c>
      <c r="BJ480" s="1948">
        <f t="shared" si="117"/>
        <v>73067</v>
      </c>
      <c r="BK480" s="1948">
        <f t="shared" si="118"/>
        <v>0</v>
      </c>
    </row>
    <row r="481" spans="1:63" ht="15">
      <c r="A481" s="1946">
        <v>121000000098</v>
      </c>
      <c r="B481" s="1947">
        <f t="shared" si="119"/>
        <v>475</v>
      </c>
      <c r="C481" s="1906" t="s">
        <v>3336</v>
      </c>
      <c r="D481" s="1907" t="s">
        <v>524</v>
      </c>
      <c r="E481" s="1906" t="s">
        <v>541</v>
      </c>
      <c r="F481" s="1948" t="s">
        <v>259</v>
      </c>
      <c r="G481" s="1949">
        <v>328</v>
      </c>
      <c r="H481" s="1948">
        <v>328</v>
      </c>
      <c r="I481" s="1950">
        <v>165.76</v>
      </c>
      <c r="J481" s="1948">
        <v>262.39999999999998</v>
      </c>
      <c r="K481" s="1948">
        <v>0.77149999999999996</v>
      </c>
      <c r="L481" s="1948">
        <v>19.82</v>
      </c>
      <c r="M481" s="1948">
        <v>23660</v>
      </c>
      <c r="N481" s="1948">
        <f t="shared" si="105"/>
        <v>71608</v>
      </c>
      <c r="O481" s="1948">
        <f t="shared" si="106"/>
        <v>0</v>
      </c>
      <c r="P481" s="1948">
        <v>328</v>
      </c>
      <c r="Q481" s="1948">
        <v>353.44</v>
      </c>
      <c r="R481" s="1948">
        <v>353.44</v>
      </c>
      <c r="S481" s="1948">
        <v>0.74780000000000002</v>
      </c>
      <c r="T481" s="1948">
        <v>54.36</v>
      </c>
      <c r="U481" s="1948">
        <v>142956</v>
      </c>
      <c r="V481" s="1948">
        <f t="shared" si="107"/>
        <v>157776</v>
      </c>
      <c r="W481" s="1948">
        <f t="shared" si="108"/>
        <v>0</v>
      </c>
      <c r="X481" s="1948">
        <v>328</v>
      </c>
      <c r="Y481" s="1948">
        <v>353.92</v>
      </c>
      <c r="Z481" s="1948">
        <v>353.92</v>
      </c>
      <c r="AA481" s="1948">
        <v>0.73</v>
      </c>
      <c r="AB481" s="1948">
        <v>45.52</v>
      </c>
      <c r="AC481" s="1948">
        <v>116002</v>
      </c>
      <c r="AD481" s="1948">
        <f t="shared" si="109"/>
        <v>152893</v>
      </c>
      <c r="AE481" s="1948">
        <f t="shared" si="110"/>
        <v>0</v>
      </c>
      <c r="AF481" s="1948">
        <v>328</v>
      </c>
      <c r="AG481" s="1948">
        <v>307.83999999999997</v>
      </c>
      <c r="AH481" s="1948">
        <v>307.83999999999997</v>
      </c>
      <c r="AI481" s="1948">
        <v>0.74590000000000001</v>
      </c>
      <c r="AJ481" s="1948">
        <v>16.91</v>
      </c>
      <c r="AK481" s="1948">
        <v>38720</v>
      </c>
      <c r="AL481" s="1948">
        <f t="shared" si="111"/>
        <v>137420</v>
      </c>
      <c r="AM481" s="1948">
        <f t="shared" si="112"/>
        <v>0</v>
      </c>
      <c r="AN481" s="1948">
        <v>328</v>
      </c>
      <c r="AO481" s="1948">
        <v>162.72</v>
      </c>
      <c r="AP481" s="1948">
        <v>262.39999999999998</v>
      </c>
      <c r="AQ481" s="1948">
        <v>0.90269999999999995</v>
      </c>
      <c r="AR481" s="1948">
        <v>19.579999999999998</v>
      </c>
      <c r="AS481" s="1948">
        <v>23702</v>
      </c>
      <c r="AT481" s="1948">
        <f t="shared" si="113"/>
        <v>72638</v>
      </c>
      <c r="AU481" s="1948">
        <f t="shared" si="114"/>
        <v>0</v>
      </c>
      <c r="AV481" s="1948">
        <v>328</v>
      </c>
      <c r="AW481" s="1948">
        <v>132.80000000000001</v>
      </c>
      <c r="AX481" s="1948">
        <v>262.39999999999998</v>
      </c>
      <c r="AY481" s="1948">
        <v>0.97160000000000002</v>
      </c>
      <c r="AZ481" s="1948">
        <v>28.1</v>
      </c>
      <c r="BA481" s="1948">
        <v>26864</v>
      </c>
      <c r="BB481" s="1948">
        <f t="shared" si="115"/>
        <v>57370</v>
      </c>
      <c r="BC481" s="1948">
        <f t="shared" si="116"/>
        <v>0</v>
      </c>
      <c r="BD481" s="1949">
        <v>328</v>
      </c>
      <c r="BE481" s="1948">
        <v>136</v>
      </c>
      <c r="BF481" s="1949">
        <v>262.39999999999998</v>
      </c>
      <c r="BG481" s="1949">
        <v>0.97050000000000003</v>
      </c>
      <c r="BH481" s="1949">
        <v>34.020000000000003</v>
      </c>
      <c r="BI481" s="1948">
        <v>34420</v>
      </c>
      <c r="BJ481" s="1948">
        <f t="shared" si="117"/>
        <v>60710</v>
      </c>
      <c r="BK481" s="1948">
        <f t="shared" si="118"/>
        <v>0</v>
      </c>
    </row>
    <row r="482" spans="1:63" ht="15">
      <c r="A482" s="1946">
        <v>421000000023</v>
      </c>
      <c r="B482" s="1947">
        <f t="shared" si="119"/>
        <v>476</v>
      </c>
      <c r="C482" s="1906" t="s">
        <v>3578</v>
      </c>
      <c r="D482" s="1907" t="s">
        <v>524</v>
      </c>
      <c r="E482" s="1906" t="s">
        <v>541</v>
      </c>
      <c r="F482" s="1948" t="s">
        <v>259</v>
      </c>
      <c r="G482" s="1949">
        <v>328</v>
      </c>
      <c r="H482" s="1948">
        <v>0</v>
      </c>
      <c r="I482" s="1950">
        <v>0</v>
      </c>
      <c r="J482" s="1948">
        <v>0</v>
      </c>
      <c r="K482" s="1948">
        <v>0</v>
      </c>
      <c r="L482" s="1948">
        <v>0</v>
      </c>
      <c r="M482" s="1948">
        <v>0</v>
      </c>
      <c r="N482" s="1948">
        <f t="shared" si="105"/>
        <v>0</v>
      </c>
      <c r="O482" s="1948">
        <f t="shared" si="106"/>
        <v>0</v>
      </c>
      <c r="P482" s="1948">
        <v>0</v>
      </c>
      <c r="Q482" s="1948">
        <v>0</v>
      </c>
      <c r="R482" s="1948">
        <v>0</v>
      </c>
      <c r="S482" s="1948">
        <v>0</v>
      </c>
      <c r="T482" s="1948">
        <v>0</v>
      </c>
      <c r="U482" s="1948">
        <v>0</v>
      </c>
      <c r="V482" s="1948">
        <f t="shared" si="107"/>
        <v>0</v>
      </c>
      <c r="W482" s="1948">
        <f t="shared" si="108"/>
        <v>0</v>
      </c>
      <c r="X482" s="1948">
        <v>328</v>
      </c>
      <c r="Y482" s="1948">
        <v>35.799999999999997</v>
      </c>
      <c r="Z482" s="1948">
        <v>262.39999999999998</v>
      </c>
      <c r="AA482" s="1948">
        <v>0.87939999999999996</v>
      </c>
      <c r="AB482" s="1948">
        <v>40.78</v>
      </c>
      <c r="AC482" s="1948">
        <v>2803</v>
      </c>
      <c r="AD482" s="1948">
        <f t="shared" si="109"/>
        <v>15466</v>
      </c>
      <c r="AE482" s="1948">
        <f t="shared" si="110"/>
        <v>0</v>
      </c>
      <c r="AF482" s="1948">
        <v>328</v>
      </c>
      <c r="AG482" s="1948">
        <v>218.72800000000001</v>
      </c>
      <c r="AH482" s="1948">
        <v>262.39999999999998</v>
      </c>
      <c r="AI482" s="1948">
        <v>0.94140000000000001</v>
      </c>
      <c r="AJ482" s="1948">
        <v>11.49</v>
      </c>
      <c r="AK482" s="1948">
        <v>18695</v>
      </c>
      <c r="AL482" s="1948">
        <f t="shared" si="111"/>
        <v>97640</v>
      </c>
      <c r="AM482" s="1948">
        <f t="shared" si="112"/>
        <v>0</v>
      </c>
      <c r="AN482" s="1948">
        <v>328</v>
      </c>
      <c r="AO482" s="1948">
        <v>182.392</v>
      </c>
      <c r="AP482" s="1948">
        <v>262.39999999999998</v>
      </c>
      <c r="AQ482" s="1948">
        <v>0.96120000000000005</v>
      </c>
      <c r="AR482" s="1948">
        <v>23.84</v>
      </c>
      <c r="AS482" s="1948">
        <v>32345</v>
      </c>
      <c r="AT482" s="1948">
        <f t="shared" si="113"/>
        <v>81420</v>
      </c>
      <c r="AU482" s="1948">
        <f t="shared" si="114"/>
        <v>0</v>
      </c>
      <c r="AV482" s="1948">
        <v>328</v>
      </c>
      <c r="AW482" s="1948">
        <v>186.23599999999999</v>
      </c>
      <c r="AX482" s="1948">
        <v>262.39999999999998</v>
      </c>
      <c r="AY482" s="1948">
        <v>0.97899999999999998</v>
      </c>
      <c r="AZ482" s="1948">
        <v>32.6</v>
      </c>
      <c r="BA482" s="1948">
        <v>43710</v>
      </c>
      <c r="BB482" s="1948">
        <f t="shared" si="115"/>
        <v>80454</v>
      </c>
      <c r="BC482" s="1948">
        <f t="shared" si="116"/>
        <v>0</v>
      </c>
      <c r="BD482" s="1949">
        <v>328</v>
      </c>
      <c r="BE482" s="1948">
        <v>121.2</v>
      </c>
      <c r="BF482" s="1949">
        <v>262.39999999999998</v>
      </c>
      <c r="BG482" s="1949">
        <v>0.81599999999999995</v>
      </c>
      <c r="BH482" s="1949">
        <v>8.18</v>
      </c>
      <c r="BI482" s="1948">
        <v>7378</v>
      </c>
      <c r="BJ482" s="1948">
        <f t="shared" si="117"/>
        <v>54104</v>
      </c>
      <c r="BK482" s="1948">
        <f t="shared" si="118"/>
        <v>0</v>
      </c>
    </row>
    <row r="483" spans="1:63" ht="15">
      <c r="A483" s="1946">
        <v>121000000038</v>
      </c>
      <c r="B483" s="1947">
        <f t="shared" si="119"/>
        <v>477</v>
      </c>
      <c r="C483" s="1906" t="s">
        <v>3337</v>
      </c>
      <c r="D483" s="1907" t="s">
        <v>524</v>
      </c>
      <c r="E483" s="1906" t="s">
        <v>2966</v>
      </c>
      <c r="F483" s="1948" t="s">
        <v>259</v>
      </c>
      <c r="G483" s="1949">
        <v>329</v>
      </c>
      <c r="H483" s="1948">
        <v>329</v>
      </c>
      <c r="I483" s="1950">
        <v>169.44</v>
      </c>
      <c r="J483" s="1948">
        <v>329</v>
      </c>
      <c r="K483" s="1948">
        <v>0.95789999999999997</v>
      </c>
      <c r="L483" s="1948">
        <v>0</v>
      </c>
      <c r="M483" s="1948">
        <v>16396</v>
      </c>
      <c r="N483" s="1948">
        <f t="shared" si="105"/>
        <v>73198</v>
      </c>
      <c r="O483" s="1948">
        <f t="shared" si="106"/>
        <v>0</v>
      </c>
      <c r="P483" s="1948">
        <v>329</v>
      </c>
      <c r="Q483" s="1948">
        <v>207.04</v>
      </c>
      <c r="R483" s="1948">
        <v>329</v>
      </c>
      <c r="S483" s="1948">
        <v>0.80640000000000001</v>
      </c>
      <c r="T483" s="1948">
        <v>0</v>
      </c>
      <c r="U483" s="1948">
        <v>29766</v>
      </c>
      <c r="V483" s="1948">
        <f t="shared" si="107"/>
        <v>92423</v>
      </c>
      <c r="W483" s="1948">
        <f t="shared" si="108"/>
        <v>0</v>
      </c>
      <c r="X483" s="1948">
        <v>329</v>
      </c>
      <c r="Y483" s="1948">
        <v>266.88</v>
      </c>
      <c r="Z483" s="1948">
        <v>329</v>
      </c>
      <c r="AA483" s="1948">
        <v>0.75780000000000003</v>
      </c>
      <c r="AB483" s="1948">
        <v>0</v>
      </c>
      <c r="AC483" s="1948">
        <v>60854</v>
      </c>
      <c r="AD483" s="1948">
        <f t="shared" si="109"/>
        <v>115292</v>
      </c>
      <c r="AE483" s="1948">
        <f t="shared" si="110"/>
        <v>0</v>
      </c>
      <c r="AF483" s="1948">
        <v>329</v>
      </c>
      <c r="AG483" s="1948">
        <v>295.04000000000002</v>
      </c>
      <c r="AH483" s="1948">
        <v>329</v>
      </c>
      <c r="AI483" s="1948">
        <v>0.78480000000000005</v>
      </c>
      <c r="AJ483" s="1948">
        <v>0</v>
      </c>
      <c r="AK483" s="1948">
        <v>91166</v>
      </c>
      <c r="AL483" s="1948">
        <f t="shared" si="111"/>
        <v>131706</v>
      </c>
      <c r="AM483" s="1948">
        <f t="shared" si="112"/>
        <v>0</v>
      </c>
      <c r="AN483" s="1948">
        <v>329</v>
      </c>
      <c r="AO483" s="1948">
        <v>280.16000000000003</v>
      </c>
      <c r="AP483" s="1948">
        <v>329</v>
      </c>
      <c r="AQ483" s="1948">
        <v>0.81769999999999998</v>
      </c>
      <c r="AR483" s="1948">
        <v>0</v>
      </c>
      <c r="AS483" s="1948">
        <v>85218</v>
      </c>
      <c r="AT483" s="1948">
        <f t="shared" si="113"/>
        <v>125063</v>
      </c>
      <c r="AU483" s="1948">
        <f t="shared" si="114"/>
        <v>0</v>
      </c>
      <c r="AV483" s="1948">
        <v>329</v>
      </c>
      <c r="AW483" s="1948">
        <v>281.28000000000003</v>
      </c>
      <c r="AX483" s="1948">
        <v>329</v>
      </c>
      <c r="AY483" s="1948">
        <v>0.83760000000000001</v>
      </c>
      <c r="AZ483" s="1948">
        <v>0</v>
      </c>
      <c r="BA483" s="1948">
        <v>63152</v>
      </c>
      <c r="BB483" s="1948">
        <f t="shared" si="115"/>
        <v>121513</v>
      </c>
      <c r="BC483" s="1948">
        <f t="shared" si="116"/>
        <v>0</v>
      </c>
      <c r="BD483" s="1949">
        <v>329</v>
      </c>
      <c r="BE483" s="1948">
        <v>185.92</v>
      </c>
      <c r="BF483" s="1949">
        <v>329</v>
      </c>
      <c r="BG483" s="1949">
        <v>0.84019999999999995</v>
      </c>
      <c r="BH483" s="1949">
        <v>0</v>
      </c>
      <c r="BI483" s="1948">
        <v>51688</v>
      </c>
      <c r="BJ483" s="1948">
        <f t="shared" si="117"/>
        <v>82995</v>
      </c>
      <c r="BK483" s="1948">
        <f t="shared" si="118"/>
        <v>0</v>
      </c>
    </row>
    <row r="484" spans="1:63" ht="15">
      <c r="A484" s="1946">
        <v>611000000097</v>
      </c>
      <c r="B484" s="1947">
        <f t="shared" si="119"/>
        <v>478</v>
      </c>
      <c r="C484" s="1906" t="s">
        <v>3579</v>
      </c>
      <c r="D484" s="1907" t="s">
        <v>524</v>
      </c>
      <c r="E484" s="1906" t="s">
        <v>636</v>
      </c>
      <c r="F484" s="1948" t="s">
        <v>259</v>
      </c>
      <c r="G484" s="1949">
        <v>330</v>
      </c>
      <c r="H484" s="1948">
        <v>250</v>
      </c>
      <c r="I484" s="1950">
        <v>197.76</v>
      </c>
      <c r="J484" s="1948">
        <v>200</v>
      </c>
      <c r="K484" s="1948">
        <v>0.99070000000000003</v>
      </c>
      <c r="L484" s="1948">
        <v>32.700000000000003</v>
      </c>
      <c r="M484" s="1948">
        <v>46557</v>
      </c>
      <c r="N484" s="1948">
        <f t="shared" si="105"/>
        <v>85432</v>
      </c>
      <c r="O484" s="1948">
        <f t="shared" si="106"/>
        <v>0</v>
      </c>
      <c r="P484" s="1948">
        <v>250</v>
      </c>
      <c r="Q484" s="1948">
        <v>268.8</v>
      </c>
      <c r="R484" s="1948">
        <v>268.8</v>
      </c>
      <c r="S484" s="1948">
        <v>0.98270000000000002</v>
      </c>
      <c r="T484" s="1948">
        <v>25.48</v>
      </c>
      <c r="U484" s="1948">
        <v>50952</v>
      </c>
      <c r="V484" s="1948">
        <f t="shared" si="107"/>
        <v>119992</v>
      </c>
      <c r="W484" s="1948">
        <f t="shared" si="108"/>
        <v>0</v>
      </c>
      <c r="X484" s="1948">
        <v>250</v>
      </c>
      <c r="Y484" s="1948">
        <v>300.71999999999997</v>
      </c>
      <c r="Z484" s="1948">
        <v>300.72000000000003</v>
      </c>
      <c r="AA484" s="1948">
        <v>0.97230000000000005</v>
      </c>
      <c r="AB484" s="1948">
        <v>29.8</v>
      </c>
      <c r="AC484" s="1948">
        <v>64512</v>
      </c>
      <c r="AD484" s="1948">
        <f t="shared" si="109"/>
        <v>129911</v>
      </c>
      <c r="AE484" s="1948">
        <f t="shared" si="110"/>
        <v>0</v>
      </c>
      <c r="AF484" s="1948">
        <v>250</v>
      </c>
      <c r="AG484" s="1948">
        <v>212.16000000000003</v>
      </c>
      <c r="AH484" s="1948">
        <v>212.16</v>
      </c>
      <c r="AI484" s="1948">
        <v>0.99539999999999995</v>
      </c>
      <c r="AJ484" s="1948">
        <v>28.39</v>
      </c>
      <c r="AK484" s="1948">
        <v>44811</v>
      </c>
      <c r="AL484" s="1948">
        <f t="shared" si="111"/>
        <v>94708</v>
      </c>
      <c r="AM484" s="1948">
        <f t="shared" si="112"/>
        <v>0</v>
      </c>
      <c r="AN484" s="1948">
        <v>330</v>
      </c>
      <c r="AO484" s="1948">
        <v>234.72</v>
      </c>
      <c r="AP484" s="1948">
        <v>264</v>
      </c>
      <c r="AQ484" s="1948">
        <v>0.99650000000000005</v>
      </c>
      <c r="AR484" s="1948">
        <v>26.69</v>
      </c>
      <c r="AS484" s="1948">
        <v>46617</v>
      </c>
      <c r="AT484" s="1948">
        <f t="shared" si="113"/>
        <v>104779</v>
      </c>
      <c r="AU484" s="1948">
        <f t="shared" si="114"/>
        <v>0</v>
      </c>
      <c r="AV484" s="1948">
        <v>330</v>
      </c>
      <c r="AW484" s="1948">
        <v>210</v>
      </c>
      <c r="AX484" s="1948">
        <v>264</v>
      </c>
      <c r="AY484" s="1948">
        <v>0.99199999999999999</v>
      </c>
      <c r="AZ484" s="1948">
        <v>31.38</v>
      </c>
      <c r="BA484" s="1948">
        <v>47445</v>
      </c>
      <c r="BB484" s="1948">
        <f t="shared" si="115"/>
        <v>90720</v>
      </c>
      <c r="BC484" s="1948">
        <f t="shared" si="116"/>
        <v>0</v>
      </c>
      <c r="BD484" s="1949">
        <v>330</v>
      </c>
      <c r="BE484" s="1948">
        <v>2.2464</v>
      </c>
      <c r="BF484" s="1949">
        <v>264</v>
      </c>
      <c r="BG484" s="1949">
        <v>0.99309999999999998</v>
      </c>
      <c r="BH484" s="1949">
        <v>30.93</v>
      </c>
      <c r="BI484" s="1948">
        <v>51699</v>
      </c>
      <c r="BJ484" s="1948">
        <f t="shared" si="117"/>
        <v>1003</v>
      </c>
      <c r="BK484" s="1948">
        <f t="shared" si="118"/>
        <v>50696</v>
      </c>
    </row>
    <row r="485" spans="1:63" ht="15">
      <c r="A485" s="1946">
        <v>621000000055</v>
      </c>
      <c r="B485" s="1947">
        <f t="shared" si="119"/>
        <v>479</v>
      </c>
      <c r="C485" s="1906" t="s">
        <v>3338</v>
      </c>
      <c r="D485" s="1907" t="s">
        <v>524</v>
      </c>
      <c r="E485" s="1906" t="s">
        <v>641</v>
      </c>
      <c r="F485" s="1948" t="s">
        <v>259</v>
      </c>
      <c r="G485" s="1949">
        <v>330</v>
      </c>
      <c r="H485" s="1948">
        <v>330</v>
      </c>
      <c r="I485" s="1950">
        <v>48.72</v>
      </c>
      <c r="J485" s="1948">
        <v>264</v>
      </c>
      <c r="K485" s="1948">
        <v>0.65369999999999995</v>
      </c>
      <c r="L485" s="1948">
        <v>40.450000000000003</v>
      </c>
      <c r="M485" s="1948">
        <v>14190</v>
      </c>
      <c r="N485" s="1948">
        <f t="shared" si="105"/>
        <v>21047</v>
      </c>
      <c r="O485" s="1948">
        <f t="shared" si="106"/>
        <v>0</v>
      </c>
      <c r="P485" s="1948">
        <v>330</v>
      </c>
      <c r="Q485" s="1948">
        <v>52</v>
      </c>
      <c r="R485" s="1948">
        <v>264</v>
      </c>
      <c r="S485" s="1948">
        <v>0.66210000000000002</v>
      </c>
      <c r="T485" s="1948">
        <v>36.229999999999997</v>
      </c>
      <c r="U485" s="1948">
        <v>14017</v>
      </c>
      <c r="V485" s="1948">
        <f t="shared" si="107"/>
        <v>23213</v>
      </c>
      <c r="W485" s="1948">
        <f t="shared" si="108"/>
        <v>0</v>
      </c>
      <c r="X485" s="1948">
        <v>330</v>
      </c>
      <c r="Y485" s="1948">
        <v>48.16</v>
      </c>
      <c r="Z485" s="1948">
        <v>264</v>
      </c>
      <c r="AA485" s="1948">
        <v>0.63849999999999996</v>
      </c>
      <c r="AB485" s="1948">
        <v>25.53</v>
      </c>
      <c r="AC485" s="1948">
        <v>8853</v>
      </c>
      <c r="AD485" s="1948">
        <f t="shared" si="109"/>
        <v>20805</v>
      </c>
      <c r="AE485" s="1948">
        <f t="shared" si="110"/>
        <v>0</v>
      </c>
      <c r="AF485" s="1948">
        <v>330</v>
      </c>
      <c r="AG485" s="1948">
        <v>384</v>
      </c>
      <c r="AH485" s="1948">
        <v>264</v>
      </c>
      <c r="AI485" s="1948">
        <v>0.59399999999999997</v>
      </c>
      <c r="AJ485" s="1948">
        <v>40.47</v>
      </c>
      <c r="AK485" s="1948">
        <v>15224</v>
      </c>
      <c r="AL485" s="1948">
        <f t="shared" si="111"/>
        <v>171418</v>
      </c>
      <c r="AM485" s="1948">
        <f t="shared" si="112"/>
        <v>0</v>
      </c>
      <c r="AN485" s="1948">
        <v>330</v>
      </c>
      <c r="AO485" s="1948">
        <v>52</v>
      </c>
      <c r="AP485" s="1948">
        <v>264</v>
      </c>
      <c r="AQ485" s="1948">
        <v>0.60360000000000003</v>
      </c>
      <c r="AR485" s="1948">
        <v>36.82</v>
      </c>
      <c r="AS485" s="1948">
        <v>14244</v>
      </c>
      <c r="AT485" s="1948">
        <f t="shared" si="113"/>
        <v>23213</v>
      </c>
      <c r="AU485" s="1948">
        <f t="shared" si="114"/>
        <v>0</v>
      </c>
      <c r="AV485" s="1948">
        <v>330</v>
      </c>
      <c r="AW485" s="1948">
        <v>47.35</v>
      </c>
      <c r="AX485" s="1948">
        <v>264</v>
      </c>
      <c r="AY485" s="1948">
        <v>0.51359999999999995</v>
      </c>
      <c r="AZ485" s="1948">
        <v>46.56</v>
      </c>
      <c r="BA485" s="1948">
        <v>15873</v>
      </c>
      <c r="BB485" s="1948">
        <f t="shared" si="115"/>
        <v>20455</v>
      </c>
      <c r="BC485" s="1948">
        <f t="shared" si="116"/>
        <v>0</v>
      </c>
      <c r="BD485" s="1949">
        <v>330</v>
      </c>
      <c r="BE485" s="1948">
        <v>47.097999999999999</v>
      </c>
      <c r="BF485" s="1949">
        <v>264</v>
      </c>
      <c r="BG485" s="1949">
        <v>0.51039999999999996</v>
      </c>
      <c r="BH485" s="1949">
        <v>49.21</v>
      </c>
      <c r="BI485" s="1948">
        <v>17243</v>
      </c>
      <c r="BJ485" s="1948">
        <f t="shared" si="117"/>
        <v>21025</v>
      </c>
      <c r="BK485" s="1948">
        <f t="shared" si="118"/>
        <v>0</v>
      </c>
    </row>
    <row r="486" spans="1:63" ht="15">
      <c r="A486" s="1946">
        <v>125000000053</v>
      </c>
      <c r="B486" s="1947">
        <f t="shared" si="119"/>
        <v>480</v>
      </c>
      <c r="C486" s="1906" t="s">
        <v>3580</v>
      </c>
      <c r="D486" s="1907" t="s">
        <v>524</v>
      </c>
      <c r="E486" s="1906" t="s">
        <v>541</v>
      </c>
      <c r="F486" s="1948" t="s">
        <v>259</v>
      </c>
      <c r="G486" s="1949">
        <v>332</v>
      </c>
      <c r="H486" s="1948">
        <v>0</v>
      </c>
      <c r="I486" s="1950">
        <v>0</v>
      </c>
      <c r="J486" s="1948">
        <v>0</v>
      </c>
      <c r="K486" s="1948">
        <v>0</v>
      </c>
      <c r="L486" s="1948">
        <v>0</v>
      </c>
      <c r="M486" s="1948">
        <v>0</v>
      </c>
      <c r="N486" s="1948">
        <f t="shared" si="105"/>
        <v>0</v>
      </c>
      <c r="O486" s="1948">
        <f t="shared" si="106"/>
        <v>0</v>
      </c>
      <c r="P486" s="1948">
        <v>0</v>
      </c>
      <c r="Q486" s="1948">
        <v>0</v>
      </c>
      <c r="R486" s="1948">
        <v>0</v>
      </c>
      <c r="S486" s="1948">
        <v>0</v>
      </c>
      <c r="T486" s="1948">
        <v>0</v>
      </c>
      <c r="U486" s="1948">
        <v>0</v>
      </c>
      <c r="V486" s="1948">
        <f t="shared" si="107"/>
        <v>0</v>
      </c>
      <c r="W486" s="1948">
        <f t="shared" si="108"/>
        <v>0</v>
      </c>
      <c r="X486" s="1948">
        <v>0</v>
      </c>
      <c r="Y486" s="1948">
        <v>0</v>
      </c>
      <c r="Z486" s="1948">
        <v>0</v>
      </c>
      <c r="AA486" s="1948">
        <v>0</v>
      </c>
      <c r="AB486" s="1948">
        <v>0</v>
      </c>
      <c r="AC486" s="1948">
        <v>0</v>
      </c>
      <c r="AD486" s="1948">
        <f t="shared" si="109"/>
        <v>0</v>
      </c>
      <c r="AE486" s="1948">
        <f t="shared" si="110"/>
        <v>0</v>
      </c>
      <c r="AF486" s="1948">
        <v>0</v>
      </c>
      <c r="AG486" s="1948">
        <v>0</v>
      </c>
      <c r="AH486" s="1948">
        <v>0</v>
      </c>
      <c r="AI486" s="1948">
        <v>0</v>
      </c>
      <c r="AJ486" s="1948">
        <v>0</v>
      </c>
      <c r="AK486" s="1948">
        <v>0</v>
      </c>
      <c r="AL486" s="1948">
        <f t="shared" si="111"/>
        <v>0</v>
      </c>
      <c r="AM486" s="1948">
        <f t="shared" si="112"/>
        <v>0</v>
      </c>
      <c r="AN486" s="1948">
        <v>0</v>
      </c>
      <c r="AO486" s="1948">
        <v>0</v>
      </c>
      <c r="AP486" s="1948">
        <v>0</v>
      </c>
      <c r="AQ486" s="1948">
        <v>0</v>
      </c>
      <c r="AR486" s="1948">
        <v>0</v>
      </c>
      <c r="AS486" s="1948">
        <v>0</v>
      </c>
      <c r="AT486" s="1948">
        <f t="shared" si="113"/>
        <v>0</v>
      </c>
      <c r="AU486" s="1948">
        <f t="shared" si="114"/>
        <v>0</v>
      </c>
      <c r="AV486" s="1948">
        <v>332</v>
      </c>
      <c r="AW486" s="1948">
        <v>0</v>
      </c>
      <c r="AX486" s="1948">
        <v>265.60000000000002</v>
      </c>
      <c r="AY486" s="1948">
        <v>0</v>
      </c>
      <c r="AZ486" s="1948">
        <v>0</v>
      </c>
      <c r="BA486" s="1948">
        <v>0</v>
      </c>
      <c r="BB486" s="1948">
        <f t="shared" si="115"/>
        <v>0</v>
      </c>
      <c r="BC486" s="1948">
        <f t="shared" si="116"/>
        <v>0</v>
      </c>
      <c r="BD486" s="1949">
        <v>332</v>
      </c>
      <c r="BE486" s="1948">
        <v>165.28</v>
      </c>
      <c r="BF486" s="1949">
        <v>265.60000000000002</v>
      </c>
      <c r="BG486" s="1949">
        <v>0.88980000000000004</v>
      </c>
      <c r="BH486" s="1949">
        <v>2.2200000000000002</v>
      </c>
      <c r="BI486" s="1948">
        <v>2732</v>
      </c>
      <c r="BJ486" s="1948">
        <f t="shared" si="117"/>
        <v>73781</v>
      </c>
      <c r="BK486" s="1948">
        <f t="shared" si="118"/>
        <v>0</v>
      </c>
    </row>
    <row r="487" spans="1:63" ht="15">
      <c r="A487" s="1946">
        <v>613000000040</v>
      </c>
      <c r="B487" s="1947">
        <f t="shared" si="119"/>
        <v>481</v>
      </c>
      <c r="C487" s="1906" t="s">
        <v>3339</v>
      </c>
      <c r="D487" s="1907" t="s">
        <v>524</v>
      </c>
      <c r="E487" s="1906" t="s">
        <v>541</v>
      </c>
      <c r="F487" s="1948" t="s">
        <v>259</v>
      </c>
      <c r="G487" s="1949">
        <v>332</v>
      </c>
      <c r="H487" s="1948">
        <v>332</v>
      </c>
      <c r="I487" s="1950">
        <v>264.48</v>
      </c>
      <c r="J487" s="1948">
        <v>265.60000000000002</v>
      </c>
      <c r="K487" s="1948">
        <v>0.75819999999999999</v>
      </c>
      <c r="L487" s="1948">
        <v>1.97</v>
      </c>
      <c r="M487" s="1948">
        <v>3748</v>
      </c>
      <c r="N487" s="1948">
        <f t="shared" si="105"/>
        <v>114255</v>
      </c>
      <c r="O487" s="1948">
        <f t="shared" si="106"/>
        <v>0</v>
      </c>
      <c r="P487" s="1948">
        <v>332</v>
      </c>
      <c r="Q487" s="1948">
        <v>41.6</v>
      </c>
      <c r="R487" s="1948">
        <v>265.60000000000002</v>
      </c>
      <c r="S487" s="1948">
        <v>0.77729999999999999</v>
      </c>
      <c r="T487" s="1948">
        <v>3.54</v>
      </c>
      <c r="U487" s="1948">
        <v>1096</v>
      </c>
      <c r="V487" s="1948">
        <f t="shared" si="107"/>
        <v>18570</v>
      </c>
      <c r="W487" s="1948">
        <f t="shared" si="108"/>
        <v>0</v>
      </c>
      <c r="X487" s="1948">
        <v>332</v>
      </c>
      <c r="Y487" s="1948">
        <v>8.16</v>
      </c>
      <c r="Z487" s="1948">
        <v>265.60000000000002</v>
      </c>
      <c r="AA487" s="1948">
        <v>0.75590000000000002</v>
      </c>
      <c r="AB487" s="1948">
        <v>12.83</v>
      </c>
      <c r="AC487" s="1948">
        <v>754</v>
      </c>
      <c r="AD487" s="1948">
        <f t="shared" si="109"/>
        <v>3525</v>
      </c>
      <c r="AE487" s="1948">
        <f t="shared" si="110"/>
        <v>0</v>
      </c>
      <c r="AF487" s="1948">
        <v>332</v>
      </c>
      <c r="AG487" s="1948">
        <v>6.08</v>
      </c>
      <c r="AH487" s="1948">
        <v>265.60000000000002</v>
      </c>
      <c r="AI487" s="1948">
        <v>0.65469999999999995</v>
      </c>
      <c r="AJ487" s="1948">
        <v>19.850000000000001</v>
      </c>
      <c r="AK487" s="1948">
        <v>898</v>
      </c>
      <c r="AL487" s="1948">
        <f t="shared" si="111"/>
        <v>2714</v>
      </c>
      <c r="AM487" s="1948">
        <f t="shared" si="112"/>
        <v>0</v>
      </c>
      <c r="AN487" s="1948">
        <v>332</v>
      </c>
      <c r="AO487" s="1948">
        <v>13.120000000000001</v>
      </c>
      <c r="AP487" s="1948">
        <v>265.60000000000002</v>
      </c>
      <c r="AQ487" s="1948">
        <v>0.62890000000000001</v>
      </c>
      <c r="AR487" s="1948">
        <v>9.06</v>
      </c>
      <c r="AS487" s="1948">
        <v>884</v>
      </c>
      <c r="AT487" s="1948">
        <f t="shared" si="113"/>
        <v>5857</v>
      </c>
      <c r="AU487" s="1948">
        <f t="shared" si="114"/>
        <v>0</v>
      </c>
      <c r="AV487" s="1948">
        <v>332</v>
      </c>
      <c r="AW487" s="1948">
        <v>8.64</v>
      </c>
      <c r="AX487" s="1948">
        <v>265.60000000000002</v>
      </c>
      <c r="AY487" s="1948">
        <v>0.63380000000000003</v>
      </c>
      <c r="AZ487" s="1948">
        <v>15.01</v>
      </c>
      <c r="BA487" s="1948">
        <v>934</v>
      </c>
      <c r="BB487" s="1948">
        <f t="shared" si="115"/>
        <v>3732</v>
      </c>
      <c r="BC487" s="1948">
        <f t="shared" si="116"/>
        <v>0</v>
      </c>
      <c r="BD487" s="1949">
        <v>332</v>
      </c>
      <c r="BE487" s="1948">
        <v>9.2799999999999994</v>
      </c>
      <c r="BF487" s="1949">
        <v>265.60000000000002</v>
      </c>
      <c r="BG487" s="1949">
        <v>0.57720000000000005</v>
      </c>
      <c r="BH487" s="1949">
        <v>14.8</v>
      </c>
      <c r="BI487" s="1948">
        <v>1022</v>
      </c>
      <c r="BJ487" s="1948">
        <f t="shared" si="117"/>
        <v>4143</v>
      </c>
      <c r="BK487" s="1948">
        <f t="shared" si="118"/>
        <v>0</v>
      </c>
    </row>
    <row r="488" spans="1:63" ht="15">
      <c r="A488" s="1946">
        <v>122000000045</v>
      </c>
      <c r="B488" s="1947">
        <f t="shared" si="119"/>
        <v>482</v>
      </c>
      <c r="C488" s="1906" t="s">
        <v>3346</v>
      </c>
      <c r="D488" s="1907" t="s">
        <v>524</v>
      </c>
      <c r="E488" s="1906" t="s">
        <v>541</v>
      </c>
      <c r="F488" s="1948" t="s">
        <v>259</v>
      </c>
      <c r="G488" s="1949">
        <v>333</v>
      </c>
      <c r="H488" s="1948">
        <v>333</v>
      </c>
      <c r="I488" s="1950">
        <v>264.60000000000002</v>
      </c>
      <c r="J488" s="1948">
        <v>266.39999999999998</v>
      </c>
      <c r="K488" s="1948">
        <v>0.9849</v>
      </c>
      <c r="L488" s="1948">
        <v>47.64</v>
      </c>
      <c r="M488" s="1948">
        <v>90762</v>
      </c>
      <c r="N488" s="1948">
        <f t="shared" si="105"/>
        <v>114307</v>
      </c>
      <c r="O488" s="1948">
        <f t="shared" si="106"/>
        <v>0</v>
      </c>
      <c r="P488" s="1948">
        <v>333</v>
      </c>
      <c r="Q488" s="1948">
        <v>271.2</v>
      </c>
      <c r="R488" s="1948">
        <v>271.2</v>
      </c>
      <c r="S488" s="1948">
        <v>0.97040000000000004</v>
      </c>
      <c r="T488" s="1948">
        <v>49.96</v>
      </c>
      <c r="U488" s="1948">
        <v>100815</v>
      </c>
      <c r="V488" s="1948">
        <f t="shared" si="107"/>
        <v>121064</v>
      </c>
      <c r="W488" s="1948">
        <f t="shared" si="108"/>
        <v>0</v>
      </c>
      <c r="X488" s="1948">
        <v>333</v>
      </c>
      <c r="Y488" s="1948">
        <v>265.60000000000002</v>
      </c>
      <c r="Z488" s="1948">
        <v>266.39999999999998</v>
      </c>
      <c r="AA488" s="1948">
        <v>0.96730000000000005</v>
      </c>
      <c r="AB488" s="1948">
        <v>46.2</v>
      </c>
      <c r="AC488" s="1948">
        <v>88342</v>
      </c>
      <c r="AD488" s="1948">
        <f t="shared" si="109"/>
        <v>114739</v>
      </c>
      <c r="AE488" s="1948">
        <f t="shared" si="110"/>
        <v>0</v>
      </c>
      <c r="AF488" s="1948">
        <v>333</v>
      </c>
      <c r="AG488" s="1948">
        <v>279</v>
      </c>
      <c r="AH488" s="1948">
        <v>279</v>
      </c>
      <c r="AI488" s="1948">
        <v>0.96970000000000001</v>
      </c>
      <c r="AJ488" s="1948">
        <v>47.7</v>
      </c>
      <c r="AK488" s="1948">
        <v>99012</v>
      </c>
      <c r="AL488" s="1948">
        <f t="shared" si="111"/>
        <v>124546</v>
      </c>
      <c r="AM488" s="1948">
        <f t="shared" si="112"/>
        <v>0</v>
      </c>
      <c r="AN488" s="1948">
        <v>333</v>
      </c>
      <c r="AO488" s="1948">
        <v>281.60000000000002</v>
      </c>
      <c r="AP488" s="1948">
        <v>281.60000000000002</v>
      </c>
      <c r="AQ488" s="1948">
        <v>0.97240000000000004</v>
      </c>
      <c r="AR488" s="1948">
        <v>53.61</v>
      </c>
      <c r="AS488" s="1948">
        <v>112315</v>
      </c>
      <c r="AT488" s="1948">
        <f t="shared" si="113"/>
        <v>125706</v>
      </c>
      <c r="AU488" s="1948">
        <f t="shared" si="114"/>
        <v>0</v>
      </c>
      <c r="AV488" s="1948">
        <v>333</v>
      </c>
      <c r="AW488" s="1948">
        <v>276.8</v>
      </c>
      <c r="AX488" s="1948">
        <v>276.8</v>
      </c>
      <c r="AY488" s="1948">
        <v>0.95599999999999996</v>
      </c>
      <c r="AZ488" s="1948">
        <v>49.46</v>
      </c>
      <c r="BA488" s="1948">
        <v>98565</v>
      </c>
      <c r="BB488" s="1948">
        <f t="shared" si="115"/>
        <v>119578</v>
      </c>
      <c r="BC488" s="1948">
        <f t="shared" si="116"/>
        <v>0</v>
      </c>
      <c r="BD488" s="1949">
        <v>333</v>
      </c>
      <c r="BE488" s="1948">
        <v>279</v>
      </c>
      <c r="BF488" s="1949">
        <v>279</v>
      </c>
      <c r="BG488" s="1949">
        <v>0.9496</v>
      </c>
      <c r="BH488" s="1949">
        <v>44.35</v>
      </c>
      <c r="BI488" s="1948">
        <v>92057</v>
      </c>
      <c r="BJ488" s="1948">
        <f t="shared" si="117"/>
        <v>124546</v>
      </c>
      <c r="BK488" s="1948">
        <f t="shared" si="118"/>
        <v>0</v>
      </c>
    </row>
    <row r="489" spans="1:63" ht="15">
      <c r="A489" s="1946">
        <v>122000000097</v>
      </c>
      <c r="B489" s="1947">
        <f t="shared" si="119"/>
        <v>483</v>
      </c>
      <c r="C489" s="1906" t="s">
        <v>3342</v>
      </c>
      <c r="D489" s="1907" t="s">
        <v>524</v>
      </c>
      <c r="E489" s="1906" t="s">
        <v>636</v>
      </c>
      <c r="F489" s="1948" t="s">
        <v>259</v>
      </c>
      <c r="G489" s="1949">
        <v>333</v>
      </c>
      <c r="H489" s="1948">
        <v>333</v>
      </c>
      <c r="I489" s="1950">
        <v>166.24</v>
      </c>
      <c r="J489" s="1948">
        <v>266.39999999999998</v>
      </c>
      <c r="K489" s="1948">
        <v>0.99790000000000001</v>
      </c>
      <c r="L489" s="1948">
        <v>37.14</v>
      </c>
      <c r="M489" s="1948">
        <v>44450</v>
      </c>
      <c r="N489" s="1948">
        <f t="shared" si="105"/>
        <v>71816</v>
      </c>
      <c r="O489" s="1948">
        <f t="shared" si="106"/>
        <v>0</v>
      </c>
      <c r="P489" s="1948">
        <v>333</v>
      </c>
      <c r="Q489" s="1948">
        <v>156.16</v>
      </c>
      <c r="R489" s="1948">
        <v>266.39999999999998</v>
      </c>
      <c r="S489" s="1948">
        <v>0.99850000000000005</v>
      </c>
      <c r="T489" s="1948">
        <v>38.229999999999997</v>
      </c>
      <c r="U489" s="1948">
        <v>44420</v>
      </c>
      <c r="V489" s="1948">
        <f t="shared" si="107"/>
        <v>69710</v>
      </c>
      <c r="W489" s="1948">
        <f t="shared" si="108"/>
        <v>0</v>
      </c>
      <c r="X489" s="1948">
        <v>333</v>
      </c>
      <c r="Y489" s="1948">
        <v>163.68</v>
      </c>
      <c r="Z489" s="1948">
        <v>266.39999999999998</v>
      </c>
      <c r="AA489" s="1948">
        <v>0.99870000000000003</v>
      </c>
      <c r="AB489" s="1948">
        <v>39.24</v>
      </c>
      <c r="AC489" s="1948">
        <v>46244</v>
      </c>
      <c r="AD489" s="1948">
        <f t="shared" si="109"/>
        <v>70710</v>
      </c>
      <c r="AE489" s="1948">
        <f t="shared" si="110"/>
        <v>0</v>
      </c>
      <c r="AF489" s="1948">
        <v>333</v>
      </c>
      <c r="AG489" s="1948">
        <v>138.56</v>
      </c>
      <c r="AH489" s="1948">
        <v>266.39999999999998</v>
      </c>
      <c r="AI489" s="1948">
        <v>0.99870000000000003</v>
      </c>
      <c r="AJ489" s="1948">
        <v>39.4</v>
      </c>
      <c r="AK489" s="1948">
        <v>40618</v>
      </c>
      <c r="AL489" s="1948">
        <f t="shared" si="111"/>
        <v>61853</v>
      </c>
      <c r="AM489" s="1948">
        <f t="shared" si="112"/>
        <v>0</v>
      </c>
      <c r="AN489" s="1948">
        <v>333</v>
      </c>
      <c r="AO489" s="1948">
        <v>142.4</v>
      </c>
      <c r="AP489" s="1948">
        <v>266.39999999999998</v>
      </c>
      <c r="AQ489" s="1948">
        <v>0.99839999999999995</v>
      </c>
      <c r="AR489" s="1948">
        <v>33.81</v>
      </c>
      <c r="AS489" s="1948">
        <v>35820</v>
      </c>
      <c r="AT489" s="1948">
        <f t="shared" si="113"/>
        <v>63567</v>
      </c>
      <c r="AU489" s="1948">
        <f t="shared" si="114"/>
        <v>0</v>
      </c>
      <c r="AV489" s="1948">
        <v>333</v>
      </c>
      <c r="AW489" s="1948">
        <v>138.39999999999998</v>
      </c>
      <c r="AX489" s="1948">
        <v>266.39999999999998</v>
      </c>
      <c r="AY489" s="1948">
        <v>0.99760000000000004</v>
      </c>
      <c r="AZ489" s="1948">
        <v>35.700000000000003</v>
      </c>
      <c r="BA489" s="1948">
        <v>35572</v>
      </c>
      <c r="BB489" s="1948">
        <f t="shared" si="115"/>
        <v>59789</v>
      </c>
      <c r="BC489" s="1948">
        <f t="shared" si="116"/>
        <v>0</v>
      </c>
      <c r="BD489" s="1949">
        <v>333</v>
      </c>
      <c r="BE489" s="1948">
        <v>124</v>
      </c>
      <c r="BF489" s="1949">
        <v>266.39999999999998</v>
      </c>
      <c r="BG489" s="1949">
        <v>0.99790000000000001</v>
      </c>
      <c r="BH489" s="1949">
        <v>36.479999999999997</v>
      </c>
      <c r="BI489" s="1948">
        <v>33652</v>
      </c>
      <c r="BJ489" s="1948">
        <f t="shared" si="117"/>
        <v>55354</v>
      </c>
      <c r="BK489" s="1948">
        <f t="shared" si="118"/>
        <v>0</v>
      </c>
    </row>
    <row r="490" spans="1:63" ht="15">
      <c r="A490" s="1946">
        <v>126000000008</v>
      </c>
      <c r="B490" s="1947">
        <f t="shared" si="119"/>
        <v>484</v>
      </c>
      <c r="C490" s="1906" t="s">
        <v>3348</v>
      </c>
      <c r="D490" s="1907" t="s">
        <v>524</v>
      </c>
      <c r="E490" s="1906" t="s">
        <v>541</v>
      </c>
      <c r="F490" s="1948" t="s">
        <v>259</v>
      </c>
      <c r="G490" s="1949">
        <v>333</v>
      </c>
      <c r="H490" s="1948">
        <v>333</v>
      </c>
      <c r="I490" s="1950">
        <v>329.4</v>
      </c>
      <c r="J490" s="1948">
        <v>329.4</v>
      </c>
      <c r="K490" s="1948">
        <v>0.99180000000000001</v>
      </c>
      <c r="L490" s="1948">
        <v>49.8</v>
      </c>
      <c r="M490" s="1948">
        <v>118103</v>
      </c>
      <c r="N490" s="1948">
        <f t="shared" si="105"/>
        <v>142301</v>
      </c>
      <c r="O490" s="1948">
        <f t="shared" si="106"/>
        <v>0</v>
      </c>
      <c r="P490" s="1948">
        <v>333</v>
      </c>
      <c r="Q490" s="1948">
        <v>328.8</v>
      </c>
      <c r="R490" s="1948">
        <v>328.8</v>
      </c>
      <c r="S490" s="1948">
        <v>0.99250000000000005</v>
      </c>
      <c r="T490" s="1948">
        <v>56.03</v>
      </c>
      <c r="U490" s="1948">
        <v>137055</v>
      </c>
      <c r="V490" s="1948">
        <f t="shared" si="107"/>
        <v>146776</v>
      </c>
      <c r="W490" s="1948">
        <f t="shared" si="108"/>
        <v>0</v>
      </c>
      <c r="X490" s="1948">
        <v>333</v>
      </c>
      <c r="Y490" s="1948">
        <v>327</v>
      </c>
      <c r="Z490" s="1948">
        <v>327</v>
      </c>
      <c r="AA490" s="1948">
        <v>0.99319999999999997</v>
      </c>
      <c r="AB490" s="1948">
        <v>27.76</v>
      </c>
      <c r="AC490" s="1948">
        <v>65355</v>
      </c>
      <c r="AD490" s="1948">
        <f t="shared" si="109"/>
        <v>141264</v>
      </c>
      <c r="AE490" s="1948">
        <f t="shared" si="110"/>
        <v>0</v>
      </c>
      <c r="AF490" s="1948">
        <v>333</v>
      </c>
      <c r="AG490" s="1948">
        <v>348.59999999999997</v>
      </c>
      <c r="AH490" s="1948">
        <v>348.6</v>
      </c>
      <c r="AI490" s="1948">
        <v>0.99109999999999998</v>
      </c>
      <c r="AJ490" s="1948">
        <v>25.28</v>
      </c>
      <c r="AK490" s="1948">
        <v>65557</v>
      </c>
      <c r="AL490" s="1948">
        <f t="shared" si="111"/>
        <v>155615</v>
      </c>
      <c r="AM490" s="1948">
        <f t="shared" si="112"/>
        <v>0</v>
      </c>
      <c r="AN490" s="1948">
        <v>333</v>
      </c>
      <c r="AO490" s="1948">
        <v>304.2</v>
      </c>
      <c r="AP490" s="1948">
        <v>304.2</v>
      </c>
      <c r="AQ490" s="1948">
        <v>0.98640000000000005</v>
      </c>
      <c r="AR490" s="1948">
        <v>17.72</v>
      </c>
      <c r="AS490" s="1948">
        <v>37522</v>
      </c>
      <c r="AT490" s="1948">
        <f t="shared" si="113"/>
        <v>135795</v>
      </c>
      <c r="AU490" s="1948">
        <f t="shared" si="114"/>
        <v>0</v>
      </c>
      <c r="AV490" s="1948">
        <v>333</v>
      </c>
      <c r="AW490" s="1948">
        <v>309</v>
      </c>
      <c r="AX490" s="1948">
        <v>309</v>
      </c>
      <c r="AY490" s="1948">
        <v>0.99180000000000001</v>
      </c>
      <c r="AZ490" s="1948">
        <v>30.48</v>
      </c>
      <c r="BA490" s="1948">
        <v>61035</v>
      </c>
      <c r="BB490" s="1948">
        <f t="shared" si="115"/>
        <v>133488</v>
      </c>
      <c r="BC490" s="1948">
        <f t="shared" si="116"/>
        <v>0</v>
      </c>
      <c r="BD490" s="1949">
        <v>333</v>
      </c>
      <c r="BE490" s="1948">
        <v>304.2</v>
      </c>
      <c r="BF490" s="1949">
        <v>304.2</v>
      </c>
      <c r="BG490" s="1949">
        <v>0.99019999999999997</v>
      </c>
      <c r="BH490" s="1949">
        <v>19.3</v>
      </c>
      <c r="BI490" s="1948">
        <v>49313</v>
      </c>
      <c r="BJ490" s="1948">
        <f t="shared" si="117"/>
        <v>135795</v>
      </c>
      <c r="BK490" s="1948">
        <f t="shared" si="118"/>
        <v>0</v>
      </c>
    </row>
    <row r="491" spans="1:63" ht="15">
      <c r="A491" s="1946">
        <v>124000000034</v>
      </c>
      <c r="B491" s="1947">
        <f t="shared" si="119"/>
        <v>485</v>
      </c>
      <c r="C491" s="1906" t="s">
        <v>3347</v>
      </c>
      <c r="D491" s="1907" t="s">
        <v>524</v>
      </c>
      <c r="E491" s="1906" t="s">
        <v>541</v>
      </c>
      <c r="F491" s="1948" t="s">
        <v>259</v>
      </c>
      <c r="G491" s="1949">
        <v>333</v>
      </c>
      <c r="H491" s="1948">
        <v>333</v>
      </c>
      <c r="I491" s="1950">
        <v>264.40000000000003</v>
      </c>
      <c r="J491" s="1948">
        <v>266.39999999999998</v>
      </c>
      <c r="K491" s="1948">
        <v>0.86219999999999997</v>
      </c>
      <c r="L491" s="1948">
        <v>11.47</v>
      </c>
      <c r="M491" s="1948">
        <v>21837</v>
      </c>
      <c r="N491" s="1948">
        <f t="shared" si="105"/>
        <v>114221</v>
      </c>
      <c r="O491" s="1948">
        <f t="shared" si="106"/>
        <v>0</v>
      </c>
      <c r="P491" s="1948">
        <v>333</v>
      </c>
      <c r="Q491" s="1948">
        <v>277.2</v>
      </c>
      <c r="R491" s="1948">
        <v>277.2</v>
      </c>
      <c r="S491" s="1948">
        <v>0.97130000000000005</v>
      </c>
      <c r="T491" s="1948">
        <v>30.2</v>
      </c>
      <c r="U491" s="1948">
        <v>62283</v>
      </c>
      <c r="V491" s="1948">
        <f t="shared" si="107"/>
        <v>123742</v>
      </c>
      <c r="W491" s="1948">
        <f t="shared" si="108"/>
        <v>0</v>
      </c>
      <c r="X491" s="1948">
        <v>333</v>
      </c>
      <c r="Y491" s="1948">
        <v>318.40000000000003</v>
      </c>
      <c r="Z491" s="1948">
        <v>318.39999999999998</v>
      </c>
      <c r="AA491" s="1948">
        <v>0.94479999999999997</v>
      </c>
      <c r="AB491" s="1948">
        <v>21.2</v>
      </c>
      <c r="AC491" s="1948">
        <v>48597</v>
      </c>
      <c r="AD491" s="1948">
        <f t="shared" si="109"/>
        <v>137549</v>
      </c>
      <c r="AE491" s="1948">
        <f t="shared" si="110"/>
        <v>0</v>
      </c>
      <c r="AF491" s="1948">
        <v>333</v>
      </c>
      <c r="AG491" s="1948">
        <v>342.6</v>
      </c>
      <c r="AH491" s="1948">
        <v>342.6</v>
      </c>
      <c r="AI491" s="1948">
        <v>0.97370000000000001</v>
      </c>
      <c r="AJ491" s="1948">
        <v>49.51</v>
      </c>
      <c r="AK491" s="1948">
        <v>126205</v>
      </c>
      <c r="AL491" s="1948">
        <f t="shared" si="111"/>
        <v>152937</v>
      </c>
      <c r="AM491" s="1948">
        <f t="shared" si="112"/>
        <v>0</v>
      </c>
      <c r="AN491" s="1948">
        <v>333</v>
      </c>
      <c r="AO491" s="1948">
        <v>334.8</v>
      </c>
      <c r="AP491" s="1948">
        <v>334.8</v>
      </c>
      <c r="AQ491" s="1948">
        <v>0.98050000000000004</v>
      </c>
      <c r="AR491" s="1948">
        <v>43.97</v>
      </c>
      <c r="AS491" s="1948">
        <v>109525</v>
      </c>
      <c r="AT491" s="1948">
        <f t="shared" si="113"/>
        <v>149455</v>
      </c>
      <c r="AU491" s="1948">
        <f t="shared" si="114"/>
        <v>0</v>
      </c>
      <c r="AV491" s="1948">
        <v>333</v>
      </c>
      <c r="AW491" s="1948">
        <v>343.4</v>
      </c>
      <c r="AX491" s="1948">
        <v>343.4</v>
      </c>
      <c r="AY491" s="1948">
        <v>0.89239999999999997</v>
      </c>
      <c r="AZ491" s="1948">
        <v>17.739999999999998</v>
      </c>
      <c r="BA491" s="1948">
        <v>43855</v>
      </c>
      <c r="BB491" s="1948">
        <f t="shared" si="115"/>
        <v>148349</v>
      </c>
      <c r="BC491" s="1948">
        <f t="shared" si="116"/>
        <v>0</v>
      </c>
      <c r="BD491" s="1949">
        <v>333</v>
      </c>
      <c r="BE491" s="1948">
        <v>296.8</v>
      </c>
      <c r="BF491" s="1949">
        <v>296.8</v>
      </c>
      <c r="BG491" s="1949">
        <v>0.84250000000000003</v>
      </c>
      <c r="BH491" s="1949">
        <v>7.21</v>
      </c>
      <c r="BI491" s="1948">
        <v>15920</v>
      </c>
      <c r="BJ491" s="1948">
        <f t="shared" si="117"/>
        <v>132492</v>
      </c>
      <c r="BK491" s="1948">
        <f t="shared" si="118"/>
        <v>0</v>
      </c>
    </row>
    <row r="492" spans="1:63" ht="15">
      <c r="A492" s="1946">
        <v>124000000072</v>
      </c>
      <c r="B492" s="1947">
        <f t="shared" si="119"/>
        <v>486</v>
      </c>
      <c r="C492" s="1906" t="s">
        <v>3341</v>
      </c>
      <c r="D492" s="1907" t="s">
        <v>524</v>
      </c>
      <c r="E492" s="1906" t="s">
        <v>541</v>
      </c>
      <c r="F492" s="1948" t="s">
        <v>259</v>
      </c>
      <c r="G492" s="1949">
        <v>333</v>
      </c>
      <c r="H492" s="1948">
        <v>333</v>
      </c>
      <c r="I492" s="1950">
        <v>343.68</v>
      </c>
      <c r="J492" s="1948">
        <v>343.68</v>
      </c>
      <c r="K492" s="1948">
        <v>0.97609999999999997</v>
      </c>
      <c r="L492" s="1948">
        <v>35.54</v>
      </c>
      <c r="M492" s="1948">
        <v>87954</v>
      </c>
      <c r="N492" s="1948">
        <f t="shared" si="105"/>
        <v>148470</v>
      </c>
      <c r="O492" s="1948">
        <f t="shared" si="106"/>
        <v>0</v>
      </c>
      <c r="P492" s="1948">
        <v>333</v>
      </c>
      <c r="Q492" s="1948">
        <v>357.6</v>
      </c>
      <c r="R492" s="1948">
        <v>357.6</v>
      </c>
      <c r="S492" s="1948">
        <v>0.97070000000000001</v>
      </c>
      <c r="T492" s="1948">
        <v>35.85</v>
      </c>
      <c r="U492" s="1948">
        <v>95378</v>
      </c>
      <c r="V492" s="1948">
        <f t="shared" si="107"/>
        <v>159633</v>
      </c>
      <c r="W492" s="1948">
        <f t="shared" si="108"/>
        <v>0</v>
      </c>
      <c r="X492" s="1948">
        <v>333</v>
      </c>
      <c r="Y492" s="1948">
        <v>365.6</v>
      </c>
      <c r="Z492" s="1948">
        <v>365.6</v>
      </c>
      <c r="AA492" s="1948">
        <v>0.96209999999999996</v>
      </c>
      <c r="AB492" s="1948">
        <v>28.9</v>
      </c>
      <c r="AC492" s="1948">
        <v>76086</v>
      </c>
      <c r="AD492" s="1948">
        <f t="shared" si="109"/>
        <v>157939</v>
      </c>
      <c r="AE492" s="1948">
        <f t="shared" si="110"/>
        <v>0</v>
      </c>
      <c r="AF492" s="1948">
        <v>333</v>
      </c>
      <c r="AG492" s="1948">
        <v>376.48</v>
      </c>
      <c r="AH492" s="1948">
        <v>376.48</v>
      </c>
      <c r="AI492" s="1948">
        <v>0.95040000000000002</v>
      </c>
      <c r="AJ492" s="1948">
        <v>27.67</v>
      </c>
      <c r="AK492" s="1948">
        <v>77490</v>
      </c>
      <c r="AL492" s="1948">
        <f t="shared" si="111"/>
        <v>168061</v>
      </c>
      <c r="AM492" s="1948">
        <f t="shared" si="112"/>
        <v>0</v>
      </c>
      <c r="AN492" s="1948">
        <v>333</v>
      </c>
      <c r="AO492" s="1948">
        <v>401.6</v>
      </c>
      <c r="AP492" s="1948">
        <v>401.6</v>
      </c>
      <c r="AQ492" s="1948">
        <v>0.9476</v>
      </c>
      <c r="AR492" s="1948">
        <v>17.23</v>
      </c>
      <c r="AS492" s="1948">
        <v>51494</v>
      </c>
      <c r="AT492" s="1948">
        <f t="shared" si="113"/>
        <v>179274</v>
      </c>
      <c r="AU492" s="1948">
        <f t="shared" si="114"/>
        <v>0</v>
      </c>
      <c r="AV492" s="1948">
        <v>333</v>
      </c>
      <c r="AW492" s="1948">
        <v>371.36</v>
      </c>
      <c r="AX492" s="1948">
        <v>371.36</v>
      </c>
      <c r="AY492" s="1948">
        <v>0.94310000000000005</v>
      </c>
      <c r="AZ492" s="1948">
        <v>26.37</v>
      </c>
      <c r="BA492" s="1948">
        <v>70496</v>
      </c>
      <c r="BB492" s="1948">
        <f t="shared" si="115"/>
        <v>160428</v>
      </c>
      <c r="BC492" s="1948">
        <f t="shared" si="116"/>
        <v>0</v>
      </c>
      <c r="BD492" s="1949">
        <v>333</v>
      </c>
      <c r="BE492" s="1948">
        <v>365.28000000000003</v>
      </c>
      <c r="BF492" s="1949">
        <v>365.28</v>
      </c>
      <c r="BG492" s="1949">
        <v>0.95660000000000001</v>
      </c>
      <c r="BH492" s="1949">
        <v>32.950000000000003</v>
      </c>
      <c r="BI492" s="1948">
        <v>89550</v>
      </c>
      <c r="BJ492" s="1948">
        <f t="shared" si="117"/>
        <v>163061</v>
      </c>
      <c r="BK492" s="1948">
        <f t="shared" si="118"/>
        <v>0</v>
      </c>
    </row>
    <row r="493" spans="1:63" ht="15">
      <c r="A493" s="1946">
        <v>124000000073</v>
      </c>
      <c r="B493" s="1947">
        <f t="shared" si="119"/>
        <v>487</v>
      </c>
      <c r="C493" s="1906" t="s">
        <v>3344</v>
      </c>
      <c r="D493" s="1907" t="s">
        <v>524</v>
      </c>
      <c r="E493" s="1906" t="s">
        <v>541</v>
      </c>
      <c r="F493" s="1948" t="s">
        <v>259</v>
      </c>
      <c r="G493" s="1949">
        <v>333</v>
      </c>
      <c r="H493" s="1948">
        <v>333</v>
      </c>
      <c r="I493" s="1950">
        <v>248.16000000000003</v>
      </c>
      <c r="J493" s="1948">
        <v>266.39999999999998</v>
      </c>
      <c r="K493" s="1948">
        <v>0.98980000000000001</v>
      </c>
      <c r="L493" s="1948">
        <v>34.17</v>
      </c>
      <c r="M493" s="1948">
        <v>61050</v>
      </c>
      <c r="N493" s="1948">
        <f t="shared" si="105"/>
        <v>107205</v>
      </c>
      <c r="O493" s="1948">
        <f t="shared" si="106"/>
        <v>0</v>
      </c>
      <c r="P493" s="1948">
        <v>333</v>
      </c>
      <c r="Q493" s="1948">
        <v>289.68</v>
      </c>
      <c r="R493" s="1948">
        <v>289.68</v>
      </c>
      <c r="S493" s="1948">
        <v>0.9153</v>
      </c>
      <c r="T493" s="1948">
        <v>51.71</v>
      </c>
      <c r="U493" s="1948">
        <v>111438</v>
      </c>
      <c r="V493" s="1948">
        <f t="shared" si="107"/>
        <v>129313</v>
      </c>
      <c r="W493" s="1948">
        <f t="shared" si="108"/>
        <v>0</v>
      </c>
      <c r="X493" s="1948">
        <v>333</v>
      </c>
      <c r="Y493" s="1948">
        <v>253.92000000000002</v>
      </c>
      <c r="Z493" s="1948">
        <v>266.39999999999998</v>
      </c>
      <c r="AA493" s="1948">
        <v>0.99329999999999996</v>
      </c>
      <c r="AB493" s="1948">
        <v>36.630000000000003</v>
      </c>
      <c r="AC493" s="1948">
        <v>66963</v>
      </c>
      <c r="AD493" s="1948">
        <f t="shared" si="109"/>
        <v>109693</v>
      </c>
      <c r="AE493" s="1948">
        <f t="shared" si="110"/>
        <v>0</v>
      </c>
      <c r="AF493" s="1948">
        <v>333</v>
      </c>
      <c r="AG493" s="1948">
        <v>266.15999999999997</v>
      </c>
      <c r="AH493" s="1948">
        <v>266.39999999999998</v>
      </c>
      <c r="AI493" s="1948">
        <v>0.99450000000000005</v>
      </c>
      <c r="AJ493" s="1948">
        <v>29.24</v>
      </c>
      <c r="AK493" s="1948">
        <v>57903</v>
      </c>
      <c r="AL493" s="1948">
        <f t="shared" si="111"/>
        <v>118814</v>
      </c>
      <c r="AM493" s="1948">
        <f t="shared" si="112"/>
        <v>0</v>
      </c>
      <c r="AN493" s="1948">
        <v>333</v>
      </c>
      <c r="AO493" s="1948">
        <v>271.92</v>
      </c>
      <c r="AP493" s="1948">
        <v>271.92</v>
      </c>
      <c r="AQ493" s="1948">
        <v>0.99480000000000002</v>
      </c>
      <c r="AR493" s="1948">
        <v>62.03</v>
      </c>
      <c r="AS493" s="1948">
        <v>125502</v>
      </c>
      <c r="AT493" s="1948">
        <f t="shared" si="113"/>
        <v>121385</v>
      </c>
      <c r="AU493" s="1948">
        <f t="shared" si="114"/>
        <v>4117</v>
      </c>
      <c r="AV493" s="1948">
        <v>333</v>
      </c>
      <c r="AW493" s="1948">
        <v>258.72000000000003</v>
      </c>
      <c r="AX493" s="1948">
        <v>266.39999999999998</v>
      </c>
      <c r="AY493" s="1948">
        <v>0.99219999999999997</v>
      </c>
      <c r="AZ493" s="1948">
        <v>28.27</v>
      </c>
      <c r="BA493" s="1948">
        <v>52668</v>
      </c>
      <c r="BB493" s="1948">
        <f t="shared" si="115"/>
        <v>111767</v>
      </c>
      <c r="BC493" s="1948">
        <f t="shared" si="116"/>
        <v>0</v>
      </c>
      <c r="BD493" s="1949">
        <v>333</v>
      </c>
      <c r="BE493" s="1948">
        <v>33.119999999999997</v>
      </c>
      <c r="BF493" s="1949">
        <v>266.39999999999998</v>
      </c>
      <c r="BG493" s="1949">
        <v>0.99350000000000005</v>
      </c>
      <c r="BH493" s="1949">
        <v>15.11</v>
      </c>
      <c r="BI493" s="1948">
        <v>3723</v>
      </c>
      <c r="BJ493" s="1948">
        <f t="shared" si="117"/>
        <v>14785</v>
      </c>
      <c r="BK493" s="1948">
        <f t="shared" si="118"/>
        <v>0</v>
      </c>
    </row>
    <row r="494" spans="1:63" ht="15">
      <c r="A494" s="1946">
        <v>121000000072</v>
      </c>
      <c r="B494" s="1947">
        <f t="shared" si="119"/>
        <v>488</v>
      </c>
      <c r="C494" s="1906" t="s">
        <v>3345</v>
      </c>
      <c r="D494" s="1907" t="s">
        <v>524</v>
      </c>
      <c r="E494" s="1906" t="s">
        <v>636</v>
      </c>
      <c r="F494" s="1948" t="s">
        <v>259</v>
      </c>
      <c r="G494" s="1949">
        <v>333</v>
      </c>
      <c r="H494" s="1948">
        <v>333</v>
      </c>
      <c r="I494" s="1950">
        <v>136.80000000000001</v>
      </c>
      <c r="J494" s="1948">
        <v>266.39999999999998</v>
      </c>
      <c r="K494" s="1948">
        <v>0.96970000000000001</v>
      </c>
      <c r="L494" s="1948">
        <v>36.19</v>
      </c>
      <c r="M494" s="1948">
        <v>35642</v>
      </c>
      <c r="N494" s="1948">
        <f t="shared" si="105"/>
        <v>59098</v>
      </c>
      <c r="O494" s="1948">
        <f t="shared" si="106"/>
        <v>0</v>
      </c>
      <c r="P494" s="1948">
        <v>333</v>
      </c>
      <c r="Q494" s="1948">
        <v>113.12</v>
      </c>
      <c r="R494" s="1948">
        <v>266.39999999999998</v>
      </c>
      <c r="S494" s="1948">
        <v>0.9889</v>
      </c>
      <c r="T494" s="1948">
        <v>51.72</v>
      </c>
      <c r="U494" s="1948">
        <v>43532</v>
      </c>
      <c r="V494" s="1948">
        <f t="shared" si="107"/>
        <v>50497</v>
      </c>
      <c r="W494" s="1948">
        <f t="shared" si="108"/>
        <v>0</v>
      </c>
      <c r="X494" s="1948">
        <v>333</v>
      </c>
      <c r="Y494" s="1948">
        <v>110.72</v>
      </c>
      <c r="Z494" s="1948">
        <v>266.39999999999998</v>
      </c>
      <c r="AA494" s="1948">
        <v>0.98699999999999999</v>
      </c>
      <c r="AB494" s="1948">
        <v>47.63</v>
      </c>
      <c r="AC494" s="1948">
        <v>37968</v>
      </c>
      <c r="AD494" s="1948">
        <f t="shared" si="109"/>
        <v>47831</v>
      </c>
      <c r="AE494" s="1948">
        <f t="shared" si="110"/>
        <v>0</v>
      </c>
      <c r="AF494" s="1948">
        <v>333</v>
      </c>
      <c r="AG494" s="1948">
        <v>101.76</v>
      </c>
      <c r="AH494" s="1948">
        <v>266.39999999999998</v>
      </c>
      <c r="AI494" s="1948">
        <v>0.98360000000000003</v>
      </c>
      <c r="AJ494" s="1948">
        <v>49.15</v>
      </c>
      <c r="AK494" s="1948">
        <v>37212</v>
      </c>
      <c r="AL494" s="1948">
        <f t="shared" si="111"/>
        <v>45426</v>
      </c>
      <c r="AM494" s="1948">
        <f t="shared" si="112"/>
        <v>0</v>
      </c>
      <c r="AN494" s="1948">
        <v>333</v>
      </c>
      <c r="AO494" s="1948">
        <v>104</v>
      </c>
      <c r="AP494" s="1948">
        <v>266.39999999999998</v>
      </c>
      <c r="AQ494" s="1948">
        <v>0.98860000000000003</v>
      </c>
      <c r="AR494" s="1948">
        <v>49.73</v>
      </c>
      <c r="AS494" s="1948">
        <v>38476</v>
      </c>
      <c r="AT494" s="1948">
        <f t="shared" si="113"/>
        <v>46426</v>
      </c>
      <c r="AU494" s="1948">
        <f t="shared" si="114"/>
        <v>0</v>
      </c>
      <c r="AV494" s="1948">
        <v>333</v>
      </c>
      <c r="AW494" s="1948">
        <v>109.44</v>
      </c>
      <c r="AX494" s="1948">
        <v>266.39999999999998</v>
      </c>
      <c r="AY494" s="1948">
        <v>0.99729999999999996</v>
      </c>
      <c r="AZ494" s="1948">
        <v>46.48</v>
      </c>
      <c r="BA494" s="1948">
        <v>36626</v>
      </c>
      <c r="BB494" s="1948">
        <f t="shared" si="115"/>
        <v>47278</v>
      </c>
      <c r="BC494" s="1948">
        <f t="shared" si="116"/>
        <v>0</v>
      </c>
      <c r="BD494" s="1949">
        <v>333</v>
      </c>
      <c r="BE494" s="1948">
        <v>102.71999999999998</v>
      </c>
      <c r="BF494" s="1949">
        <v>266.39999999999998</v>
      </c>
      <c r="BG494" s="1949">
        <v>0.99550000000000005</v>
      </c>
      <c r="BH494" s="1949">
        <v>46.34</v>
      </c>
      <c r="BI494" s="1948">
        <v>35418</v>
      </c>
      <c r="BJ494" s="1948">
        <f t="shared" si="117"/>
        <v>45854</v>
      </c>
      <c r="BK494" s="1948">
        <f t="shared" si="118"/>
        <v>0</v>
      </c>
    </row>
    <row r="495" spans="1:63" ht="15">
      <c r="A495" s="1946">
        <v>611000000051</v>
      </c>
      <c r="B495" s="1947">
        <f t="shared" si="119"/>
        <v>489</v>
      </c>
      <c r="C495" s="1906" t="s">
        <v>3350</v>
      </c>
      <c r="D495" s="1907" t="s">
        <v>524</v>
      </c>
      <c r="E495" s="1906" t="s">
        <v>541</v>
      </c>
      <c r="F495" s="1948" t="s">
        <v>259</v>
      </c>
      <c r="G495" s="1949">
        <v>333</v>
      </c>
      <c r="H495" s="1948">
        <v>333</v>
      </c>
      <c r="I495" s="1950">
        <v>195.6</v>
      </c>
      <c r="J495" s="1948">
        <v>266.39999999999998</v>
      </c>
      <c r="K495" s="1948">
        <v>0.81520000000000004</v>
      </c>
      <c r="L495" s="1948">
        <v>33.67</v>
      </c>
      <c r="M495" s="1948">
        <v>47423</v>
      </c>
      <c r="N495" s="1948">
        <f t="shared" si="105"/>
        <v>84499</v>
      </c>
      <c r="O495" s="1948">
        <f t="shared" si="106"/>
        <v>0</v>
      </c>
      <c r="P495" s="1948">
        <v>333</v>
      </c>
      <c r="Q495" s="1948">
        <v>181.4</v>
      </c>
      <c r="R495" s="1948">
        <v>266.39999999999998</v>
      </c>
      <c r="S495" s="1948">
        <v>0.82330000000000003</v>
      </c>
      <c r="T495" s="1948">
        <v>36.25</v>
      </c>
      <c r="U495" s="1948">
        <v>48920</v>
      </c>
      <c r="V495" s="1948">
        <f t="shared" si="107"/>
        <v>80977</v>
      </c>
      <c r="W495" s="1948">
        <f t="shared" si="108"/>
        <v>0</v>
      </c>
      <c r="X495" s="1948">
        <v>333</v>
      </c>
      <c r="Y495" s="1948">
        <v>188.4</v>
      </c>
      <c r="Z495" s="1948">
        <v>266.39999999999998</v>
      </c>
      <c r="AA495" s="1948">
        <v>0.83020000000000005</v>
      </c>
      <c r="AB495" s="1948">
        <v>30.93</v>
      </c>
      <c r="AC495" s="1948">
        <v>41960</v>
      </c>
      <c r="AD495" s="1948">
        <f t="shared" si="109"/>
        <v>81389</v>
      </c>
      <c r="AE495" s="1948">
        <f t="shared" si="110"/>
        <v>0</v>
      </c>
      <c r="AF495" s="1948">
        <v>333</v>
      </c>
      <c r="AG495" s="1948">
        <v>197.4</v>
      </c>
      <c r="AH495" s="1948">
        <v>266.39999999999998</v>
      </c>
      <c r="AI495" s="1948">
        <v>0.80200000000000005</v>
      </c>
      <c r="AJ495" s="1948">
        <v>35.450000000000003</v>
      </c>
      <c r="AK495" s="1948">
        <v>52067</v>
      </c>
      <c r="AL495" s="1948">
        <f t="shared" si="111"/>
        <v>88119</v>
      </c>
      <c r="AM495" s="1948">
        <f t="shared" si="112"/>
        <v>0</v>
      </c>
      <c r="AN495" s="1948">
        <v>333</v>
      </c>
      <c r="AO495" s="1948">
        <v>197.6</v>
      </c>
      <c r="AP495" s="1948">
        <v>266.39999999999998</v>
      </c>
      <c r="AQ495" s="1948">
        <v>0.85580000000000001</v>
      </c>
      <c r="AR495" s="1948">
        <v>35.630000000000003</v>
      </c>
      <c r="AS495" s="1948">
        <v>52383</v>
      </c>
      <c r="AT495" s="1948">
        <f t="shared" si="113"/>
        <v>88209</v>
      </c>
      <c r="AU495" s="1948">
        <f t="shared" si="114"/>
        <v>0</v>
      </c>
      <c r="AV495" s="1948">
        <v>333</v>
      </c>
      <c r="AW495" s="1948">
        <v>202.6</v>
      </c>
      <c r="AX495" s="1948">
        <v>266.39999999999998</v>
      </c>
      <c r="AY495" s="1948">
        <v>0.86109999999999998</v>
      </c>
      <c r="AZ495" s="1948">
        <v>33.22</v>
      </c>
      <c r="BA495" s="1948">
        <v>48465</v>
      </c>
      <c r="BB495" s="1948">
        <f t="shared" si="115"/>
        <v>87523</v>
      </c>
      <c r="BC495" s="1948">
        <f t="shared" si="116"/>
        <v>0</v>
      </c>
      <c r="BD495" s="1949">
        <v>333</v>
      </c>
      <c r="BE495" s="1948">
        <v>212</v>
      </c>
      <c r="BF495" s="1949">
        <v>266.39999999999998</v>
      </c>
      <c r="BG495" s="1949">
        <v>0.83279999999999998</v>
      </c>
      <c r="BH495" s="1949">
        <v>36.380000000000003</v>
      </c>
      <c r="BI495" s="1948">
        <v>57378</v>
      </c>
      <c r="BJ495" s="1948">
        <f t="shared" si="117"/>
        <v>94637</v>
      </c>
      <c r="BK495" s="1948">
        <f t="shared" si="118"/>
        <v>0</v>
      </c>
    </row>
    <row r="496" spans="1:63" ht="15">
      <c r="A496" s="1946">
        <v>611000000118</v>
      </c>
      <c r="B496" s="1947">
        <f t="shared" si="119"/>
        <v>490</v>
      </c>
      <c r="C496" s="1906" t="s">
        <v>3340</v>
      </c>
      <c r="D496" s="1907" t="s">
        <v>524</v>
      </c>
      <c r="E496" s="1906" t="s">
        <v>636</v>
      </c>
      <c r="F496" s="1948" t="s">
        <v>259</v>
      </c>
      <c r="G496" s="1949">
        <v>333</v>
      </c>
      <c r="H496" s="1948">
        <v>333</v>
      </c>
      <c r="I496" s="1950">
        <v>100</v>
      </c>
      <c r="J496" s="1948">
        <v>266.39999999999998</v>
      </c>
      <c r="K496" s="1948">
        <v>0.99270000000000003</v>
      </c>
      <c r="L496" s="1948">
        <v>24.18</v>
      </c>
      <c r="M496" s="1948">
        <v>17413.0416</v>
      </c>
      <c r="N496" s="1948">
        <f t="shared" si="105"/>
        <v>43200</v>
      </c>
      <c r="O496" s="1948">
        <f t="shared" si="106"/>
        <v>0</v>
      </c>
      <c r="P496" s="1948">
        <v>333</v>
      </c>
      <c r="Q496" s="1948">
        <v>102.4</v>
      </c>
      <c r="R496" s="1948">
        <v>266.39999999999998</v>
      </c>
      <c r="S496" s="1948">
        <v>0.99399999999999999</v>
      </c>
      <c r="T496" s="1948">
        <v>24.96</v>
      </c>
      <c r="U496" s="1948">
        <v>19018</v>
      </c>
      <c r="V496" s="1948">
        <f t="shared" si="107"/>
        <v>45711</v>
      </c>
      <c r="W496" s="1948">
        <f t="shared" si="108"/>
        <v>0</v>
      </c>
      <c r="X496" s="1948">
        <v>333</v>
      </c>
      <c r="Y496" s="1948">
        <v>103.36000000000001</v>
      </c>
      <c r="Z496" s="1948">
        <v>266.39999999999998</v>
      </c>
      <c r="AA496" s="1948">
        <v>0.99480000000000002</v>
      </c>
      <c r="AB496" s="1948">
        <v>28.27</v>
      </c>
      <c r="AC496" s="1948">
        <v>21040</v>
      </c>
      <c r="AD496" s="1948">
        <f t="shared" si="109"/>
        <v>44652</v>
      </c>
      <c r="AE496" s="1948">
        <f t="shared" si="110"/>
        <v>0</v>
      </c>
      <c r="AF496" s="1948">
        <v>333</v>
      </c>
      <c r="AG496" s="1948">
        <v>117.6</v>
      </c>
      <c r="AH496" s="1948">
        <v>266.39999999999998</v>
      </c>
      <c r="AI496" s="1948">
        <v>0.99319999999999997</v>
      </c>
      <c r="AJ496" s="1948">
        <v>26.07</v>
      </c>
      <c r="AK496" s="1948">
        <v>22807</v>
      </c>
      <c r="AL496" s="1948">
        <f t="shared" si="111"/>
        <v>52497</v>
      </c>
      <c r="AM496" s="1948">
        <f t="shared" si="112"/>
        <v>0</v>
      </c>
      <c r="AN496" s="1948">
        <v>333</v>
      </c>
      <c r="AO496" s="1948">
        <v>100.16000000000001</v>
      </c>
      <c r="AP496" s="1948">
        <v>266.39999999999998</v>
      </c>
      <c r="AQ496" s="1948">
        <v>0.99180000000000001</v>
      </c>
      <c r="AR496" s="1948">
        <v>28.17</v>
      </c>
      <c r="AS496" s="1948">
        <v>20994</v>
      </c>
      <c r="AT496" s="1948">
        <f t="shared" si="113"/>
        <v>44711</v>
      </c>
      <c r="AU496" s="1948">
        <f t="shared" si="114"/>
        <v>0</v>
      </c>
      <c r="AV496" s="1948">
        <v>333</v>
      </c>
      <c r="AW496" s="1948">
        <v>102.71999999999998</v>
      </c>
      <c r="AX496" s="1948">
        <v>266.39999999999998</v>
      </c>
      <c r="AY496" s="1948">
        <v>0.99170000000000003</v>
      </c>
      <c r="AZ496" s="1948">
        <v>29.48</v>
      </c>
      <c r="BA496" s="1948">
        <v>21801</v>
      </c>
      <c r="BB496" s="1948">
        <f t="shared" si="115"/>
        <v>44375</v>
      </c>
      <c r="BC496" s="1948">
        <f t="shared" si="116"/>
        <v>0</v>
      </c>
      <c r="BD496" s="1949">
        <v>333</v>
      </c>
      <c r="BE496" s="1948">
        <v>101.76</v>
      </c>
      <c r="BF496" s="1949">
        <v>266.39999999999998</v>
      </c>
      <c r="BG496" s="1949">
        <v>0.99339999999999995</v>
      </c>
      <c r="BH496" s="1949">
        <v>28.67</v>
      </c>
      <c r="BI496" s="1948">
        <v>21708</v>
      </c>
      <c r="BJ496" s="1948">
        <f t="shared" si="117"/>
        <v>45426</v>
      </c>
      <c r="BK496" s="1948">
        <f t="shared" si="118"/>
        <v>0</v>
      </c>
    </row>
    <row r="497" spans="1:63" ht="15">
      <c r="A497" s="1946">
        <v>611000000127</v>
      </c>
      <c r="B497" s="1947">
        <f t="shared" si="119"/>
        <v>491</v>
      </c>
      <c r="C497" s="1906" t="s">
        <v>3581</v>
      </c>
      <c r="D497" s="1907" t="s">
        <v>524</v>
      </c>
      <c r="E497" s="1906" t="s">
        <v>641</v>
      </c>
      <c r="F497" s="1948" t="s">
        <v>259</v>
      </c>
      <c r="G497" s="1949">
        <v>333</v>
      </c>
      <c r="H497" s="1948">
        <v>0</v>
      </c>
      <c r="I497" s="1950">
        <v>0</v>
      </c>
      <c r="J497" s="1948">
        <v>0</v>
      </c>
      <c r="K497" s="1948">
        <v>0</v>
      </c>
      <c r="L497" s="1948">
        <v>0</v>
      </c>
      <c r="M497" s="1948">
        <v>0</v>
      </c>
      <c r="N497" s="1948">
        <f t="shared" si="105"/>
        <v>0</v>
      </c>
      <c r="O497" s="1948">
        <f t="shared" si="106"/>
        <v>0</v>
      </c>
      <c r="P497" s="1948">
        <v>0</v>
      </c>
      <c r="Q497" s="1948">
        <v>0</v>
      </c>
      <c r="R497" s="1948">
        <v>0</v>
      </c>
      <c r="S497" s="1948">
        <v>0</v>
      </c>
      <c r="T497" s="1948">
        <v>0</v>
      </c>
      <c r="U497" s="1948">
        <v>0</v>
      </c>
      <c r="V497" s="1948">
        <f t="shared" si="107"/>
        <v>0</v>
      </c>
      <c r="W497" s="1948">
        <f t="shared" si="108"/>
        <v>0</v>
      </c>
      <c r="X497" s="1948">
        <v>333</v>
      </c>
      <c r="Y497" s="1948">
        <v>0</v>
      </c>
      <c r="Z497" s="1948">
        <v>0</v>
      </c>
      <c r="AA497" s="1948">
        <v>0</v>
      </c>
      <c r="AB497" s="1948">
        <v>0</v>
      </c>
      <c r="AC497" s="1948">
        <v>0</v>
      </c>
      <c r="AD497" s="1948">
        <f t="shared" si="109"/>
        <v>0</v>
      </c>
      <c r="AE497" s="1948">
        <f t="shared" si="110"/>
        <v>0</v>
      </c>
      <c r="AF497" s="1948">
        <v>333</v>
      </c>
      <c r="AG497" s="1948">
        <v>10.718400000000001</v>
      </c>
      <c r="AH497" s="1948">
        <v>266.39999999999998</v>
      </c>
      <c r="AI497" s="1948">
        <v>0.129</v>
      </c>
      <c r="AJ497" s="1948">
        <v>92.14</v>
      </c>
      <c r="AK497" s="1948">
        <v>5975</v>
      </c>
      <c r="AL497" s="1948">
        <f t="shared" si="111"/>
        <v>4785</v>
      </c>
      <c r="AM497" s="1948">
        <f t="shared" si="112"/>
        <v>1190</v>
      </c>
      <c r="AN497" s="1948">
        <v>333</v>
      </c>
      <c r="AO497" s="1948">
        <v>17.897600000000001</v>
      </c>
      <c r="AP497" s="1948">
        <v>266.39999999999998</v>
      </c>
      <c r="AQ497" s="1948">
        <v>0.2989</v>
      </c>
      <c r="AR497" s="1948">
        <v>41.94</v>
      </c>
      <c r="AS497" s="1948">
        <v>5586</v>
      </c>
      <c r="AT497" s="1948">
        <f t="shared" si="113"/>
        <v>7989</v>
      </c>
      <c r="AU497" s="1948">
        <f t="shared" si="114"/>
        <v>0</v>
      </c>
      <c r="AV497" s="1948">
        <v>333</v>
      </c>
      <c r="AW497" s="1948">
        <v>15.96</v>
      </c>
      <c r="AX497" s="1948">
        <v>266.39999999999998</v>
      </c>
      <c r="AY497" s="1948">
        <v>0.92</v>
      </c>
      <c r="AZ497" s="1948">
        <v>42.46</v>
      </c>
      <c r="BA497" s="1948">
        <v>4879</v>
      </c>
      <c r="BB497" s="1948">
        <f t="shared" si="115"/>
        <v>6895</v>
      </c>
      <c r="BC497" s="1948">
        <f t="shared" si="116"/>
        <v>0</v>
      </c>
      <c r="BD497" s="1949">
        <v>333</v>
      </c>
      <c r="BE497" s="1948">
        <v>17.936</v>
      </c>
      <c r="BF497" s="1949">
        <v>266.39999999999998</v>
      </c>
      <c r="BG497" s="1949">
        <v>0.93600000000000005</v>
      </c>
      <c r="BH497" s="1949">
        <v>38.17</v>
      </c>
      <c r="BI497" s="1948">
        <v>5095</v>
      </c>
      <c r="BJ497" s="1948">
        <f t="shared" si="117"/>
        <v>8007</v>
      </c>
      <c r="BK497" s="1948">
        <f t="shared" si="118"/>
        <v>0</v>
      </c>
    </row>
    <row r="498" spans="1:63" ht="15">
      <c r="A498" s="1946">
        <v>615000000011</v>
      </c>
      <c r="B498" s="1947">
        <f t="shared" si="119"/>
        <v>492</v>
      </c>
      <c r="C498" s="1906" t="s">
        <v>3349</v>
      </c>
      <c r="D498" s="1907" t="s">
        <v>524</v>
      </c>
      <c r="E498" s="1906" t="s">
        <v>541</v>
      </c>
      <c r="F498" s="1948" t="s">
        <v>259</v>
      </c>
      <c r="G498" s="1949">
        <v>333</v>
      </c>
      <c r="H498" s="1948">
        <v>333</v>
      </c>
      <c r="I498" s="1950">
        <v>140.4</v>
      </c>
      <c r="J498" s="1948">
        <v>266.39999999999998</v>
      </c>
      <c r="K498" s="1948">
        <v>0.99719999999999998</v>
      </c>
      <c r="L498" s="1948">
        <v>65.650000000000006</v>
      </c>
      <c r="M498" s="1948">
        <v>66360</v>
      </c>
      <c r="N498" s="1948">
        <f t="shared" si="105"/>
        <v>60653</v>
      </c>
      <c r="O498" s="1948">
        <f t="shared" si="106"/>
        <v>5707</v>
      </c>
      <c r="P498" s="1948">
        <v>333</v>
      </c>
      <c r="Q498" s="1948">
        <v>143.19999999999999</v>
      </c>
      <c r="R498" s="1948">
        <v>266.39999999999998</v>
      </c>
      <c r="S498" s="1948">
        <v>0.99739999999999995</v>
      </c>
      <c r="T498" s="1948">
        <v>63.46</v>
      </c>
      <c r="U498" s="1948">
        <v>67610</v>
      </c>
      <c r="V498" s="1948">
        <f t="shared" si="107"/>
        <v>63924</v>
      </c>
      <c r="W498" s="1948">
        <f t="shared" si="108"/>
        <v>3686</v>
      </c>
      <c r="X498" s="1948">
        <v>333</v>
      </c>
      <c r="Y498" s="1948">
        <v>150</v>
      </c>
      <c r="Z498" s="1948">
        <v>266.39999999999998</v>
      </c>
      <c r="AA498" s="1948">
        <v>0.99709999999999999</v>
      </c>
      <c r="AB498" s="1948">
        <v>52.83</v>
      </c>
      <c r="AC498" s="1948">
        <v>57060</v>
      </c>
      <c r="AD498" s="1948">
        <f t="shared" si="109"/>
        <v>64800</v>
      </c>
      <c r="AE498" s="1948">
        <f t="shared" si="110"/>
        <v>0</v>
      </c>
      <c r="AF498" s="1948">
        <v>333</v>
      </c>
      <c r="AG498" s="1948">
        <v>135.19999999999999</v>
      </c>
      <c r="AH498" s="1948">
        <v>266.39999999999998</v>
      </c>
      <c r="AI498" s="1948">
        <v>0.99719999999999998</v>
      </c>
      <c r="AJ498" s="1948">
        <v>65.34</v>
      </c>
      <c r="AK498" s="1948">
        <v>65720</v>
      </c>
      <c r="AL498" s="1948">
        <f t="shared" si="111"/>
        <v>60353</v>
      </c>
      <c r="AM498" s="1948">
        <f t="shared" si="112"/>
        <v>5367</v>
      </c>
      <c r="AN498" s="1948">
        <v>333</v>
      </c>
      <c r="AO498" s="1948">
        <v>136</v>
      </c>
      <c r="AP498" s="1948">
        <v>266.39999999999998</v>
      </c>
      <c r="AQ498" s="1948">
        <v>0.997</v>
      </c>
      <c r="AR498" s="1948">
        <v>72.569999999999993</v>
      </c>
      <c r="AS498" s="1948">
        <v>73430</v>
      </c>
      <c r="AT498" s="1948">
        <f t="shared" si="113"/>
        <v>60710</v>
      </c>
      <c r="AU498" s="1948">
        <f t="shared" si="114"/>
        <v>12720</v>
      </c>
      <c r="AV498" s="1948">
        <v>333</v>
      </c>
      <c r="AW498" s="1948">
        <v>140.4</v>
      </c>
      <c r="AX498" s="1948">
        <v>266.39999999999998</v>
      </c>
      <c r="AY498" s="1948">
        <v>0.99690000000000001</v>
      </c>
      <c r="AZ498" s="1948">
        <v>65.290000000000006</v>
      </c>
      <c r="BA498" s="1948">
        <v>66005</v>
      </c>
      <c r="BB498" s="1948">
        <f t="shared" si="115"/>
        <v>60653</v>
      </c>
      <c r="BC498" s="1948">
        <f t="shared" si="116"/>
        <v>5352</v>
      </c>
      <c r="BD498" s="1949">
        <v>333</v>
      </c>
      <c r="BE498" s="1948">
        <v>153.19999999999999</v>
      </c>
      <c r="BF498" s="1949">
        <v>266.39999999999998</v>
      </c>
      <c r="BG498" s="1949">
        <v>0.95760000000000001</v>
      </c>
      <c r="BH498" s="1949">
        <v>66.91</v>
      </c>
      <c r="BI498" s="1948">
        <v>76265</v>
      </c>
      <c r="BJ498" s="1948">
        <f t="shared" si="117"/>
        <v>68388</v>
      </c>
      <c r="BK498" s="1948">
        <f t="shared" si="118"/>
        <v>7877</v>
      </c>
    </row>
    <row r="499" spans="1:63" ht="15">
      <c r="A499" s="1946">
        <v>613000000032</v>
      </c>
      <c r="B499" s="1947">
        <f t="shared" si="119"/>
        <v>493</v>
      </c>
      <c r="C499" s="1906" t="s">
        <v>3343</v>
      </c>
      <c r="D499" s="1907" t="s">
        <v>524</v>
      </c>
      <c r="E499" s="1906" t="s">
        <v>541</v>
      </c>
      <c r="F499" s="1948" t="s">
        <v>259</v>
      </c>
      <c r="G499" s="1949">
        <v>333</v>
      </c>
      <c r="H499" s="1948">
        <v>333</v>
      </c>
      <c r="I499" s="1950">
        <v>298.8</v>
      </c>
      <c r="J499" s="1948">
        <v>298.8</v>
      </c>
      <c r="K499" s="1948">
        <v>0.97199999999999998</v>
      </c>
      <c r="L499" s="1948">
        <v>16.36</v>
      </c>
      <c r="M499" s="1948">
        <v>35195</v>
      </c>
      <c r="N499" s="1948">
        <f t="shared" si="105"/>
        <v>129082</v>
      </c>
      <c r="O499" s="1948">
        <f t="shared" si="106"/>
        <v>0</v>
      </c>
      <c r="P499" s="1948">
        <v>333</v>
      </c>
      <c r="Q499" s="1948">
        <v>293.60000000000002</v>
      </c>
      <c r="R499" s="1948">
        <v>293.60000000000002</v>
      </c>
      <c r="S499" s="1948">
        <v>0.98870000000000002</v>
      </c>
      <c r="T499" s="1948">
        <v>44.24</v>
      </c>
      <c r="U499" s="1948">
        <v>96645</v>
      </c>
      <c r="V499" s="1948">
        <f t="shared" si="107"/>
        <v>131063</v>
      </c>
      <c r="W499" s="1948">
        <f t="shared" si="108"/>
        <v>0</v>
      </c>
      <c r="X499" s="1948">
        <v>333</v>
      </c>
      <c r="Y499" s="1948">
        <v>290.39999999999998</v>
      </c>
      <c r="Z499" s="1948">
        <v>290.39999999999998</v>
      </c>
      <c r="AA499" s="1948">
        <v>0.99609999999999999</v>
      </c>
      <c r="AB499" s="1948">
        <v>30.84</v>
      </c>
      <c r="AC499" s="1948">
        <v>64475</v>
      </c>
      <c r="AD499" s="1948">
        <f t="shared" si="109"/>
        <v>125453</v>
      </c>
      <c r="AE499" s="1948">
        <f t="shared" si="110"/>
        <v>0</v>
      </c>
      <c r="AF499" s="1948">
        <v>333</v>
      </c>
      <c r="AG499" s="1948">
        <v>297.59999999999997</v>
      </c>
      <c r="AH499" s="1948">
        <v>297.60000000000002</v>
      </c>
      <c r="AI499" s="1948">
        <v>0.97050000000000003</v>
      </c>
      <c r="AJ499" s="1948">
        <v>37.380000000000003</v>
      </c>
      <c r="AK499" s="1948">
        <v>82775</v>
      </c>
      <c r="AL499" s="1948">
        <f t="shared" si="111"/>
        <v>132849</v>
      </c>
      <c r="AM499" s="1948">
        <f t="shared" si="112"/>
        <v>0</v>
      </c>
      <c r="AN499" s="1948">
        <v>333</v>
      </c>
      <c r="AO499" s="1948">
        <v>315.59999999999997</v>
      </c>
      <c r="AP499" s="1948">
        <v>315.60000000000002</v>
      </c>
      <c r="AQ499" s="1948">
        <v>0.97050000000000003</v>
      </c>
      <c r="AR499" s="1948">
        <v>44.5</v>
      </c>
      <c r="AS499" s="1948">
        <v>87645</v>
      </c>
      <c r="AT499" s="1948">
        <f t="shared" si="113"/>
        <v>140884</v>
      </c>
      <c r="AU499" s="1948">
        <f t="shared" si="114"/>
        <v>0</v>
      </c>
      <c r="AV499" s="1948">
        <v>333</v>
      </c>
      <c r="AW499" s="1948">
        <v>314.8</v>
      </c>
      <c r="AX499" s="1948">
        <v>314.8</v>
      </c>
      <c r="AY499" s="1948">
        <v>0.96479999999999999</v>
      </c>
      <c r="AZ499" s="1948">
        <v>30.21</v>
      </c>
      <c r="BA499" s="1948">
        <v>68480</v>
      </c>
      <c r="BB499" s="1948">
        <f t="shared" si="115"/>
        <v>135994</v>
      </c>
      <c r="BC499" s="1948">
        <f t="shared" si="116"/>
        <v>0</v>
      </c>
      <c r="BD499" s="1949">
        <v>333</v>
      </c>
      <c r="BE499" s="1948">
        <v>297.20000000000005</v>
      </c>
      <c r="BF499" s="1949">
        <v>297.2</v>
      </c>
      <c r="BG499" s="1949">
        <v>0.99780000000000002</v>
      </c>
      <c r="BH499" s="1949">
        <v>18.47</v>
      </c>
      <c r="BI499" s="1948">
        <v>43475</v>
      </c>
      <c r="BJ499" s="1948">
        <f t="shared" si="117"/>
        <v>132670</v>
      </c>
      <c r="BK499" s="1948">
        <f t="shared" si="118"/>
        <v>0</v>
      </c>
    </row>
    <row r="500" spans="1:63" ht="15">
      <c r="A500" s="1946">
        <v>613000000036</v>
      </c>
      <c r="B500" s="1947">
        <f t="shared" si="119"/>
        <v>494</v>
      </c>
      <c r="C500" s="1906" t="s">
        <v>3351</v>
      </c>
      <c r="D500" s="1907" t="s">
        <v>524</v>
      </c>
      <c r="E500" s="1906" t="s">
        <v>541</v>
      </c>
      <c r="F500" s="1948" t="s">
        <v>259</v>
      </c>
      <c r="G500" s="1949">
        <v>333</v>
      </c>
      <c r="H500" s="1948">
        <v>333</v>
      </c>
      <c r="I500" s="1950">
        <v>280.56</v>
      </c>
      <c r="J500" s="1948">
        <v>280.56</v>
      </c>
      <c r="K500" s="1948">
        <v>0.99970000000000003</v>
      </c>
      <c r="L500" s="1948">
        <v>21.62</v>
      </c>
      <c r="M500" s="1948">
        <v>43665</v>
      </c>
      <c r="N500" s="1948">
        <f t="shared" si="105"/>
        <v>121202</v>
      </c>
      <c r="O500" s="1948">
        <f t="shared" si="106"/>
        <v>0</v>
      </c>
      <c r="P500" s="1948">
        <v>333</v>
      </c>
      <c r="Q500" s="1948">
        <v>285.12</v>
      </c>
      <c r="R500" s="1948">
        <v>285.12</v>
      </c>
      <c r="S500" s="1948">
        <v>0.99970000000000003</v>
      </c>
      <c r="T500" s="1948">
        <v>25.69</v>
      </c>
      <c r="U500" s="1948">
        <v>54489</v>
      </c>
      <c r="V500" s="1948">
        <f t="shared" si="107"/>
        <v>127278</v>
      </c>
      <c r="W500" s="1948">
        <f t="shared" si="108"/>
        <v>0</v>
      </c>
      <c r="X500" s="1948">
        <v>333</v>
      </c>
      <c r="Y500" s="1948">
        <v>283.2</v>
      </c>
      <c r="Z500" s="1948">
        <v>283.2</v>
      </c>
      <c r="AA500" s="1948">
        <v>0.99970000000000003</v>
      </c>
      <c r="AB500" s="1948">
        <v>20.7</v>
      </c>
      <c r="AC500" s="1948">
        <v>42213</v>
      </c>
      <c r="AD500" s="1948">
        <f t="shared" si="109"/>
        <v>122342</v>
      </c>
      <c r="AE500" s="1948">
        <f t="shared" si="110"/>
        <v>0</v>
      </c>
      <c r="AF500" s="1948">
        <v>333</v>
      </c>
      <c r="AG500" s="1948">
        <v>284.88</v>
      </c>
      <c r="AH500" s="1948">
        <v>284.88</v>
      </c>
      <c r="AI500" s="1948">
        <v>0.99950000000000006</v>
      </c>
      <c r="AJ500" s="1948">
        <v>41.61</v>
      </c>
      <c r="AK500" s="1948">
        <v>88188</v>
      </c>
      <c r="AL500" s="1948">
        <f t="shared" si="111"/>
        <v>127170</v>
      </c>
      <c r="AM500" s="1948">
        <f t="shared" si="112"/>
        <v>0</v>
      </c>
      <c r="AN500" s="1948">
        <v>333</v>
      </c>
      <c r="AO500" s="1948">
        <v>281.52</v>
      </c>
      <c r="AP500" s="1948">
        <v>281.52</v>
      </c>
      <c r="AQ500" s="1948">
        <v>0.99619999999999997</v>
      </c>
      <c r="AR500" s="1948">
        <v>44.49</v>
      </c>
      <c r="AS500" s="1948">
        <v>93177</v>
      </c>
      <c r="AT500" s="1948">
        <f t="shared" si="113"/>
        <v>125671</v>
      </c>
      <c r="AU500" s="1948">
        <f t="shared" si="114"/>
        <v>0</v>
      </c>
      <c r="AV500" s="1948">
        <v>333</v>
      </c>
      <c r="AW500" s="1948">
        <v>297.60000000000002</v>
      </c>
      <c r="AX500" s="1948">
        <v>297.60000000000002</v>
      </c>
      <c r="AY500" s="1948">
        <v>0.98960000000000004</v>
      </c>
      <c r="AZ500" s="1948">
        <v>42.98</v>
      </c>
      <c r="BA500" s="1948">
        <v>92103</v>
      </c>
      <c r="BB500" s="1948">
        <f t="shared" si="115"/>
        <v>128563</v>
      </c>
      <c r="BC500" s="1948">
        <f t="shared" si="116"/>
        <v>0</v>
      </c>
      <c r="BD500" s="1949">
        <v>333</v>
      </c>
      <c r="BE500" s="1948">
        <v>289.68</v>
      </c>
      <c r="BF500" s="1949">
        <v>289.68</v>
      </c>
      <c r="BG500" s="1949">
        <v>0.97119999999999995</v>
      </c>
      <c r="BH500" s="1949">
        <v>34.93</v>
      </c>
      <c r="BI500" s="1948">
        <v>75285</v>
      </c>
      <c r="BJ500" s="1948">
        <f t="shared" si="117"/>
        <v>129313</v>
      </c>
      <c r="BK500" s="1948">
        <f t="shared" si="118"/>
        <v>0</v>
      </c>
    </row>
    <row r="501" spans="1:63" ht="15">
      <c r="A501" s="1946">
        <v>622000000219</v>
      </c>
      <c r="B501" s="1947">
        <f t="shared" si="119"/>
        <v>495</v>
      </c>
      <c r="C501" s="1906" t="s">
        <v>3325</v>
      </c>
      <c r="D501" s="1907" t="s">
        <v>524</v>
      </c>
      <c r="E501" s="1906" t="s">
        <v>629</v>
      </c>
      <c r="F501" s="1948" t="s">
        <v>259</v>
      </c>
      <c r="G501" s="1949">
        <v>333</v>
      </c>
      <c r="H501" s="1948">
        <v>333</v>
      </c>
      <c r="I501" s="1950">
        <v>94.199999999999989</v>
      </c>
      <c r="J501" s="1948">
        <v>333</v>
      </c>
      <c r="K501" s="1948">
        <v>0.89119999999999999</v>
      </c>
      <c r="L501" s="1948">
        <v>0</v>
      </c>
      <c r="M501" s="1948">
        <v>1527</v>
      </c>
      <c r="N501" s="1948">
        <f t="shared" si="105"/>
        <v>40694</v>
      </c>
      <c r="O501" s="1948">
        <f t="shared" si="106"/>
        <v>0</v>
      </c>
      <c r="P501" s="1948">
        <v>333</v>
      </c>
      <c r="Q501" s="1948">
        <v>21.774000000000001</v>
      </c>
      <c r="R501" s="1948">
        <v>333</v>
      </c>
      <c r="S501" s="1948">
        <v>0.96379999999999999</v>
      </c>
      <c r="T501" s="1948">
        <v>0</v>
      </c>
      <c r="U501" s="1948">
        <v>6700</v>
      </c>
      <c r="V501" s="1948">
        <f t="shared" si="107"/>
        <v>9720</v>
      </c>
      <c r="W501" s="1948">
        <f t="shared" si="108"/>
        <v>0</v>
      </c>
      <c r="X501" s="1948">
        <v>333</v>
      </c>
      <c r="Y501" s="1948">
        <v>26.04</v>
      </c>
      <c r="Z501" s="1948">
        <v>333</v>
      </c>
      <c r="AA501" s="1948">
        <v>0.96619999999999995</v>
      </c>
      <c r="AB501" s="1948">
        <v>0</v>
      </c>
      <c r="AC501" s="1948">
        <v>8871</v>
      </c>
      <c r="AD501" s="1948">
        <f t="shared" si="109"/>
        <v>11249</v>
      </c>
      <c r="AE501" s="1948">
        <f t="shared" si="110"/>
        <v>0</v>
      </c>
      <c r="AF501" s="1948">
        <v>333</v>
      </c>
      <c r="AG501" s="1948">
        <v>22.0992</v>
      </c>
      <c r="AH501" s="1948">
        <v>333</v>
      </c>
      <c r="AI501" s="1948">
        <v>0.96799999999999997</v>
      </c>
      <c r="AJ501" s="1948">
        <v>0</v>
      </c>
      <c r="AK501" s="1948">
        <v>8789</v>
      </c>
      <c r="AL501" s="1948">
        <f t="shared" si="111"/>
        <v>9865</v>
      </c>
      <c r="AM501" s="1948">
        <f t="shared" si="112"/>
        <v>0</v>
      </c>
      <c r="AN501" s="1948">
        <v>333</v>
      </c>
      <c r="AO501" s="1948">
        <v>23.798400000000001</v>
      </c>
      <c r="AP501" s="1948">
        <v>333</v>
      </c>
      <c r="AQ501" s="1948">
        <v>0.96340000000000003</v>
      </c>
      <c r="AR501" s="1948">
        <v>0</v>
      </c>
      <c r="AS501" s="1948">
        <v>8813</v>
      </c>
      <c r="AT501" s="1948">
        <f t="shared" si="113"/>
        <v>10624</v>
      </c>
      <c r="AU501" s="1948">
        <f t="shared" si="114"/>
        <v>0</v>
      </c>
      <c r="AV501" s="1948">
        <v>333</v>
      </c>
      <c r="AW501" s="1948">
        <v>21.408000000000001</v>
      </c>
      <c r="AX501" s="1948">
        <v>333</v>
      </c>
      <c r="AY501" s="1948">
        <v>0.97340000000000004</v>
      </c>
      <c r="AZ501" s="1948">
        <v>0</v>
      </c>
      <c r="BA501" s="1948">
        <v>8484</v>
      </c>
      <c r="BB501" s="1948">
        <f t="shared" si="115"/>
        <v>9248</v>
      </c>
      <c r="BC501" s="1948">
        <f t="shared" si="116"/>
        <v>0</v>
      </c>
      <c r="BD501" s="1949">
        <v>333</v>
      </c>
      <c r="BE501" s="1948">
        <v>21.816000000000003</v>
      </c>
      <c r="BF501" s="1949">
        <v>333</v>
      </c>
      <c r="BG501" s="1949">
        <v>0.97009999999999996</v>
      </c>
      <c r="BH501" s="1949">
        <v>0</v>
      </c>
      <c r="BI501" s="1948">
        <v>8074</v>
      </c>
      <c r="BJ501" s="1948">
        <f t="shared" si="117"/>
        <v>9739</v>
      </c>
      <c r="BK501" s="1948">
        <f t="shared" si="118"/>
        <v>0</v>
      </c>
    </row>
    <row r="502" spans="1:63" ht="15">
      <c r="A502" s="1946">
        <v>122000000063</v>
      </c>
      <c r="B502" s="1947">
        <f t="shared" si="119"/>
        <v>496</v>
      </c>
      <c r="C502" s="1906" t="s">
        <v>3353</v>
      </c>
      <c r="D502" s="1907" t="s">
        <v>524</v>
      </c>
      <c r="E502" s="1906" t="s">
        <v>636</v>
      </c>
      <c r="F502" s="1948" t="s">
        <v>259</v>
      </c>
      <c r="G502" s="1949">
        <v>334</v>
      </c>
      <c r="H502" s="1948">
        <v>334</v>
      </c>
      <c r="I502" s="1950">
        <v>124</v>
      </c>
      <c r="J502" s="1948">
        <v>267.2</v>
      </c>
      <c r="K502" s="1948">
        <v>0.95720000000000005</v>
      </c>
      <c r="L502" s="1948">
        <v>29.82</v>
      </c>
      <c r="M502" s="1948">
        <v>26622</v>
      </c>
      <c r="N502" s="1948">
        <f t="shared" si="105"/>
        <v>53568</v>
      </c>
      <c r="O502" s="1948">
        <f t="shared" si="106"/>
        <v>0</v>
      </c>
      <c r="P502" s="1948">
        <v>334</v>
      </c>
      <c r="Q502" s="1948">
        <v>128.80000000000001</v>
      </c>
      <c r="R502" s="1948">
        <v>267.2</v>
      </c>
      <c r="S502" s="1948">
        <v>0.95760000000000001</v>
      </c>
      <c r="T502" s="1948">
        <v>32.21</v>
      </c>
      <c r="U502" s="1948">
        <v>30862</v>
      </c>
      <c r="V502" s="1948">
        <f t="shared" si="107"/>
        <v>57496</v>
      </c>
      <c r="W502" s="1948">
        <f t="shared" si="108"/>
        <v>0</v>
      </c>
      <c r="X502" s="1948">
        <v>334</v>
      </c>
      <c r="Y502" s="1948">
        <v>126.88</v>
      </c>
      <c r="Z502" s="1948">
        <v>267.2</v>
      </c>
      <c r="AA502" s="1948">
        <v>0.95209999999999995</v>
      </c>
      <c r="AB502" s="1948">
        <v>35.659999999999997</v>
      </c>
      <c r="AC502" s="1948">
        <v>32576</v>
      </c>
      <c r="AD502" s="1948">
        <f t="shared" si="109"/>
        <v>54812</v>
      </c>
      <c r="AE502" s="1948">
        <f t="shared" si="110"/>
        <v>0</v>
      </c>
      <c r="AF502" s="1948">
        <v>334</v>
      </c>
      <c r="AG502" s="1948">
        <v>135.04</v>
      </c>
      <c r="AH502" s="1948">
        <v>267.2</v>
      </c>
      <c r="AI502" s="1948">
        <v>0.95399999999999996</v>
      </c>
      <c r="AJ502" s="1948">
        <v>30.86</v>
      </c>
      <c r="AK502" s="1948">
        <v>31000</v>
      </c>
      <c r="AL502" s="1948">
        <f t="shared" si="111"/>
        <v>60282</v>
      </c>
      <c r="AM502" s="1948">
        <f t="shared" si="112"/>
        <v>0</v>
      </c>
      <c r="AN502" s="1948">
        <v>334</v>
      </c>
      <c r="AO502" s="1948">
        <v>122.08000000000001</v>
      </c>
      <c r="AP502" s="1948">
        <v>267.2</v>
      </c>
      <c r="AQ502" s="1948">
        <v>0.94979999999999998</v>
      </c>
      <c r="AR502" s="1948">
        <v>31.59</v>
      </c>
      <c r="AS502" s="1948">
        <v>28696</v>
      </c>
      <c r="AT502" s="1948">
        <f t="shared" si="113"/>
        <v>54497</v>
      </c>
      <c r="AU502" s="1948">
        <f t="shared" si="114"/>
        <v>0</v>
      </c>
      <c r="AV502" s="1948">
        <v>334</v>
      </c>
      <c r="AW502" s="1948">
        <v>110.24000000000001</v>
      </c>
      <c r="AX502" s="1948">
        <v>267.2</v>
      </c>
      <c r="AY502" s="1948">
        <v>0.94399999999999995</v>
      </c>
      <c r="AZ502" s="1948">
        <v>35.46</v>
      </c>
      <c r="BA502" s="1948">
        <v>28146</v>
      </c>
      <c r="BB502" s="1948">
        <f t="shared" si="115"/>
        <v>47624</v>
      </c>
      <c r="BC502" s="1948">
        <f t="shared" si="116"/>
        <v>0</v>
      </c>
      <c r="BD502" s="1949">
        <v>334</v>
      </c>
      <c r="BE502" s="1948">
        <v>115.84</v>
      </c>
      <c r="BF502" s="1949">
        <v>267.2</v>
      </c>
      <c r="BG502" s="1949">
        <v>0.94299999999999995</v>
      </c>
      <c r="BH502" s="1949">
        <v>34.369999999999997</v>
      </c>
      <c r="BI502" s="1948">
        <v>29626</v>
      </c>
      <c r="BJ502" s="1948">
        <f t="shared" si="117"/>
        <v>51711</v>
      </c>
      <c r="BK502" s="1948">
        <f t="shared" si="118"/>
        <v>0</v>
      </c>
    </row>
    <row r="503" spans="1:63" ht="15">
      <c r="A503" s="1946">
        <v>124000000060</v>
      </c>
      <c r="B503" s="1947">
        <f t="shared" si="119"/>
        <v>497</v>
      </c>
      <c r="C503" s="1906" t="s">
        <v>3354</v>
      </c>
      <c r="D503" s="1907" t="s">
        <v>524</v>
      </c>
      <c r="E503" s="1906" t="s">
        <v>737</v>
      </c>
      <c r="F503" s="1948" t="s">
        <v>259</v>
      </c>
      <c r="G503" s="1949">
        <v>334</v>
      </c>
      <c r="H503" s="1948">
        <v>334</v>
      </c>
      <c r="I503" s="1950">
        <v>145.07999999999998</v>
      </c>
      <c r="J503" s="1948">
        <v>267.2</v>
      </c>
      <c r="K503" s="1948">
        <v>0.99590000000000001</v>
      </c>
      <c r="L503" s="1948">
        <v>54.88</v>
      </c>
      <c r="M503" s="1948">
        <v>57329</v>
      </c>
      <c r="N503" s="1948">
        <f t="shared" si="105"/>
        <v>62675</v>
      </c>
      <c r="O503" s="1948">
        <f t="shared" si="106"/>
        <v>0</v>
      </c>
      <c r="P503" s="1948">
        <v>334</v>
      </c>
      <c r="Q503" s="1948">
        <v>143.16</v>
      </c>
      <c r="R503" s="1948">
        <v>267.2</v>
      </c>
      <c r="S503" s="1948">
        <v>0.99470000000000003</v>
      </c>
      <c r="T503" s="1948">
        <v>55.71</v>
      </c>
      <c r="U503" s="1948">
        <v>59335</v>
      </c>
      <c r="V503" s="1948">
        <f t="shared" si="107"/>
        <v>63907</v>
      </c>
      <c r="W503" s="1948">
        <f t="shared" si="108"/>
        <v>0</v>
      </c>
      <c r="X503" s="1948">
        <v>334</v>
      </c>
      <c r="Y503" s="1948">
        <v>152.04000000000002</v>
      </c>
      <c r="Z503" s="1948">
        <v>267.2</v>
      </c>
      <c r="AA503" s="1948">
        <v>0.99429999999999996</v>
      </c>
      <c r="AB503" s="1948">
        <v>50.9</v>
      </c>
      <c r="AC503" s="1948">
        <v>55725</v>
      </c>
      <c r="AD503" s="1948">
        <f t="shared" si="109"/>
        <v>65681</v>
      </c>
      <c r="AE503" s="1948">
        <f t="shared" si="110"/>
        <v>0</v>
      </c>
      <c r="AF503" s="1948">
        <v>334</v>
      </c>
      <c r="AG503" s="1948">
        <v>159.36000000000001</v>
      </c>
      <c r="AH503" s="1948">
        <v>267.2</v>
      </c>
      <c r="AI503" s="1948">
        <v>0.99409999999999998</v>
      </c>
      <c r="AJ503" s="1948">
        <v>53.91</v>
      </c>
      <c r="AK503" s="1948">
        <v>63915</v>
      </c>
      <c r="AL503" s="1948">
        <f t="shared" si="111"/>
        <v>71138</v>
      </c>
      <c r="AM503" s="1948">
        <f t="shared" si="112"/>
        <v>0</v>
      </c>
      <c r="AN503" s="1948">
        <v>334</v>
      </c>
      <c r="AO503" s="1948">
        <v>147.36000000000001</v>
      </c>
      <c r="AP503" s="1948">
        <v>267.2</v>
      </c>
      <c r="AQ503" s="1948">
        <v>0.99209999999999998</v>
      </c>
      <c r="AR503" s="1948">
        <v>50.59</v>
      </c>
      <c r="AS503" s="1948">
        <v>55468</v>
      </c>
      <c r="AT503" s="1948">
        <f t="shared" si="113"/>
        <v>65782</v>
      </c>
      <c r="AU503" s="1948">
        <f t="shared" si="114"/>
        <v>0</v>
      </c>
      <c r="AV503" s="1948">
        <v>334</v>
      </c>
      <c r="AW503" s="1948">
        <v>143.52000000000001</v>
      </c>
      <c r="AX503" s="1948">
        <v>267.2</v>
      </c>
      <c r="AY503" s="1948">
        <v>0.99229999999999996</v>
      </c>
      <c r="AZ503" s="1948">
        <v>53.63</v>
      </c>
      <c r="BA503" s="1948">
        <v>55419</v>
      </c>
      <c r="BB503" s="1948">
        <f t="shared" si="115"/>
        <v>62001</v>
      </c>
      <c r="BC503" s="1948">
        <f t="shared" si="116"/>
        <v>0</v>
      </c>
      <c r="BD503" s="1949">
        <v>334</v>
      </c>
      <c r="BE503" s="1948">
        <v>135.12</v>
      </c>
      <c r="BF503" s="1949">
        <v>267.2</v>
      </c>
      <c r="BG503" s="1949">
        <v>0.99150000000000005</v>
      </c>
      <c r="BH503" s="1949">
        <v>57.04</v>
      </c>
      <c r="BI503" s="1948">
        <v>57342</v>
      </c>
      <c r="BJ503" s="1948">
        <f t="shared" si="117"/>
        <v>60318</v>
      </c>
      <c r="BK503" s="1948">
        <f t="shared" si="118"/>
        <v>0</v>
      </c>
    </row>
    <row r="504" spans="1:63" ht="15">
      <c r="A504" s="1946">
        <v>121000000086</v>
      </c>
      <c r="B504" s="1947">
        <f t="shared" si="119"/>
        <v>498</v>
      </c>
      <c r="C504" s="1906" t="s">
        <v>3352</v>
      </c>
      <c r="D504" s="1907" t="s">
        <v>524</v>
      </c>
      <c r="E504" s="1906" t="s">
        <v>2966</v>
      </c>
      <c r="F504" s="1948" t="s">
        <v>259</v>
      </c>
      <c r="G504" s="1949">
        <v>334</v>
      </c>
      <c r="H504" s="1948">
        <v>334</v>
      </c>
      <c r="I504" s="1950">
        <v>227.76</v>
      </c>
      <c r="J504" s="1948">
        <v>334</v>
      </c>
      <c r="K504" s="1948">
        <v>0.74690000000000001</v>
      </c>
      <c r="L504" s="1948">
        <v>0</v>
      </c>
      <c r="M504" s="1948">
        <v>66540</v>
      </c>
      <c r="N504" s="1948">
        <f t="shared" si="105"/>
        <v>98392</v>
      </c>
      <c r="O504" s="1948">
        <f t="shared" si="106"/>
        <v>0</v>
      </c>
      <c r="P504" s="1948">
        <v>334</v>
      </c>
      <c r="Q504" s="1948">
        <v>143.76</v>
      </c>
      <c r="R504" s="1948">
        <v>334</v>
      </c>
      <c r="S504" s="1948">
        <v>0.6653</v>
      </c>
      <c r="T504" s="1948">
        <v>0</v>
      </c>
      <c r="U504" s="1948">
        <v>33369</v>
      </c>
      <c r="V504" s="1948">
        <f t="shared" si="107"/>
        <v>64174</v>
      </c>
      <c r="W504" s="1948">
        <f t="shared" si="108"/>
        <v>0</v>
      </c>
      <c r="X504" s="1948">
        <v>334</v>
      </c>
      <c r="Y504" s="1948">
        <v>68.160000000000011</v>
      </c>
      <c r="Z504" s="1948">
        <v>334</v>
      </c>
      <c r="AA504" s="1948">
        <v>0.44440000000000002</v>
      </c>
      <c r="AB504" s="1948">
        <v>0</v>
      </c>
      <c r="AC504" s="1948">
        <v>14721</v>
      </c>
      <c r="AD504" s="1948">
        <f t="shared" si="109"/>
        <v>29445</v>
      </c>
      <c r="AE504" s="1948">
        <f t="shared" si="110"/>
        <v>0</v>
      </c>
      <c r="AF504" s="1948">
        <v>334</v>
      </c>
      <c r="AG504" s="1948">
        <v>40.32</v>
      </c>
      <c r="AH504" s="1948">
        <v>334</v>
      </c>
      <c r="AI504" s="1948">
        <v>0.2135</v>
      </c>
      <c r="AJ504" s="1948">
        <v>0</v>
      </c>
      <c r="AK504" s="1948">
        <v>9807</v>
      </c>
      <c r="AL504" s="1948">
        <f t="shared" si="111"/>
        <v>17999</v>
      </c>
      <c r="AM504" s="1948">
        <f t="shared" si="112"/>
        <v>0</v>
      </c>
      <c r="AN504" s="1948">
        <v>334</v>
      </c>
      <c r="AO504" s="1948">
        <v>91.44</v>
      </c>
      <c r="AP504" s="1948">
        <v>334</v>
      </c>
      <c r="AQ504" s="1948">
        <v>0.36259999999999998</v>
      </c>
      <c r="AR504" s="1948">
        <v>0</v>
      </c>
      <c r="AS504" s="1948">
        <v>10728</v>
      </c>
      <c r="AT504" s="1948">
        <f t="shared" si="113"/>
        <v>40819</v>
      </c>
      <c r="AU504" s="1948">
        <f t="shared" si="114"/>
        <v>0</v>
      </c>
      <c r="AV504" s="1948">
        <v>334</v>
      </c>
      <c r="AW504" s="1948">
        <v>94.08</v>
      </c>
      <c r="AX504" s="1948">
        <v>334</v>
      </c>
      <c r="AY504" s="1948">
        <v>0.54249999999999998</v>
      </c>
      <c r="AZ504" s="1948">
        <v>0</v>
      </c>
      <c r="BA504" s="1948">
        <v>23478</v>
      </c>
      <c r="BB504" s="1948">
        <f t="shared" si="115"/>
        <v>40643</v>
      </c>
      <c r="BC504" s="1948">
        <f t="shared" si="116"/>
        <v>0</v>
      </c>
      <c r="BD504" s="1949">
        <v>334</v>
      </c>
      <c r="BE504" s="1948">
        <v>98.16</v>
      </c>
      <c r="BF504" s="1949">
        <v>334</v>
      </c>
      <c r="BG504" s="1949">
        <v>0.68049999999999999</v>
      </c>
      <c r="BH504" s="1949">
        <v>0</v>
      </c>
      <c r="BI504" s="1948">
        <v>32175</v>
      </c>
      <c r="BJ504" s="1948">
        <f t="shared" si="117"/>
        <v>43819</v>
      </c>
      <c r="BK504" s="1948">
        <f t="shared" si="118"/>
        <v>0</v>
      </c>
    </row>
    <row r="505" spans="1:63" ht="15">
      <c r="A505" s="1946">
        <v>123000000008</v>
      </c>
      <c r="B505" s="1947">
        <f t="shared" si="119"/>
        <v>499</v>
      </c>
      <c r="C505" s="1906" t="s">
        <v>3355</v>
      </c>
      <c r="D505" s="1907" t="s">
        <v>524</v>
      </c>
      <c r="E505" s="1906" t="s">
        <v>541</v>
      </c>
      <c r="F505" s="1948" t="s">
        <v>259</v>
      </c>
      <c r="G505" s="1949">
        <v>335</v>
      </c>
      <c r="H505" s="1948">
        <v>335</v>
      </c>
      <c r="I505" s="1950">
        <v>494.88000000000005</v>
      </c>
      <c r="J505" s="1948">
        <v>494.88</v>
      </c>
      <c r="K505" s="1948">
        <v>0.9788</v>
      </c>
      <c r="L505" s="1948">
        <v>37.119999999999997</v>
      </c>
      <c r="M505" s="1948">
        <v>132250</v>
      </c>
      <c r="N505" s="1948">
        <f t="shared" si="105"/>
        <v>213788</v>
      </c>
      <c r="O505" s="1948">
        <f t="shared" si="106"/>
        <v>0</v>
      </c>
      <c r="P505" s="1948">
        <v>335</v>
      </c>
      <c r="Q505" s="1948">
        <v>489.12000000000006</v>
      </c>
      <c r="R505" s="1948">
        <v>489.12</v>
      </c>
      <c r="S505" s="1948">
        <v>0.98209999999999997</v>
      </c>
      <c r="T505" s="1948">
        <v>40.47</v>
      </c>
      <c r="U505" s="1948">
        <v>147258</v>
      </c>
      <c r="V505" s="1948">
        <f t="shared" si="107"/>
        <v>218343</v>
      </c>
      <c r="W505" s="1948">
        <f t="shared" si="108"/>
        <v>0</v>
      </c>
      <c r="X505" s="1948">
        <v>335</v>
      </c>
      <c r="Y505" s="1948">
        <v>463.68</v>
      </c>
      <c r="Z505" s="1948">
        <v>463.68</v>
      </c>
      <c r="AA505" s="1948">
        <v>0.98229999999999995</v>
      </c>
      <c r="AB505" s="1948">
        <v>43.74</v>
      </c>
      <c r="AC505" s="1948">
        <v>146036</v>
      </c>
      <c r="AD505" s="1948">
        <f t="shared" si="109"/>
        <v>200310</v>
      </c>
      <c r="AE505" s="1948">
        <f t="shared" si="110"/>
        <v>0</v>
      </c>
      <c r="AF505" s="1948">
        <v>335</v>
      </c>
      <c r="AG505" s="1948">
        <v>465.59999999999997</v>
      </c>
      <c r="AH505" s="1948">
        <v>465.6</v>
      </c>
      <c r="AI505" s="1948">
        <v>0.98580000000000001</v>
      </c>
      <c r="AJ505" s="1948">
        <v>44.91</v>
      </c>
      <c r="AK505" s="1948">
        <v>155570</v>
      </c>
      <c r="AL505" s="1948">
        <f t="shared" si="111"/>
        <v>207844</v>
      </c>
      <c r="AM505" s="1948">
        <f t="shared" si="112"/>
        <v>0</v>
      </c>
      <c r="AN505" s="1948">
        <v>335</v>
      </c>
      <c r="AO505" s="1948">
        <v>445.12</v>
      </c>
      <c r="AP505" s="1948">
        <v>445.12</v>
      </c>
      <c r="AQ505" s="1948">
        <v>0.98809999999999998</v>
      </c>
      <c r="AR505" s="1948">
        <v>44.11</v>
      </c>
      <c r="AS505" s="1948">
        <v>146070</v>
      </c>
      <c r="AT505" s="1948">
        <f t="shared" si="113"/>
        <v>198702</v>
      </c>
      <c r="AU505" s="1948">
        <f t="shared" si="114"/>
        <v>0</v>
      </c>
      <c r="AV505" s="1948">
        <v>335</v>
      </c>
      <c r="AW505" s="1948">
        <v>439.20000000000005</v>
      </c>
      <c r="AX505" s="1948">
        <v>439.2</v>
      </c>
      <c r="AY505" s="1948">
        <v>0.98770000000000002</v>
      </c>
      <c r="AZ505" s="1948">
        <v>48.71</v>
      </c>
      <c r="BA505" s="1948">
        <v>154048</v>
      </c>
      <c r="BB505" s="1948">
        <f t="shared" si="115"/>
        <v>189734</v>
      </c>
      <c r="BC505" s="1948">
        <f t="shared" si="116"/>
        <v>0</v>
      </c>
      <c r="BD505" s="1949">
        <v>335</v>
      </c>
      <c r="BE505" s="1948">
        <v>424.16</v>
      </c>
      <c r="BF505" s="1949">
        <v>424.16</v>
      </c>
      <c r="BG505" s="1949">
        <v>0.98870000000000002</v>
      </c>
      <c r="BH505" s="1949">
        <v>47.49</v>
      </c>
      <c r="BI505" s="1948">
        <v>149862</v>
      </c>
      <c r="BJ505" s="1948">
        <f t="shared" si="117"/>
        <v>189345</v>
      </c>
      <c r="BK505" s="1948">
        <f t="shared" si="118"/>
        <v>0</v>
      </c>
    </row>
    <row r="506" spans="1:63" ht="15">
      <c r="A506" s="1946">
        <v>125000000051</v>
      </c>
      <c r="B506" s="1947">
        <f t="shared" si="119"/>
        <v>500</v>
      </c>
      <c r="C506" s="1906" t="s">
        <v>3568</v>
      </c>
      <c r="D506" s="1907" t="s">
        <v>524</v>
      </c>
      <c r="E506" s="1906" t="s">
        <v>730</v>
      </c>
      <c r="F506" s="1948" t="s">
        <v>259</v>
      </c>
      <c r="G506" s="1949">
        <v>341</v>
      </c>
      <c r="H506" s="1948">
        <v>0</v>
      </c>
      <c r="I506" s="1950">
        <v>0</v>
      </c>
      <c r="J506" s="1948">
        <v>0</v>
      </c>
      <c r="K506" s="1948">
        <v>0</v>
      </c>
      <c r="L506" s="1948">
        <v>0</v>
      </c>
      <c r="M506" s="1948">
        <v>0</v>
      </c>
      <c r="N506" s="1948">
        <f t="shared" si="105"/>
        <v>0</v>
      </c>
      <c r="O506" s="1948">
        <f t="shared" si="106"/>
        <v>0</v>
      </c>
      <c r="P506" s="1948">
        <v>0</v>
      </c>
      <c r="Q506" s="1948">
        <v>0</v>
      </c>
      <c r="R506" s="1948">
        <v>0</v>
      </c>
      <c r="S506" s="1948">
        <v>0</v>
      </c>
      <c r="T506" s="1948">
        <v>0</v>
      </c>
      <c r="U506" s="1948">
        <v>0</v>
      </c>
      <c r="V506" s="1948">
        <f t="shared" si="107"/>
        <v>0</v>
      </c>
      <c r="W506" s="1948">
        <f t="shared" si="108"/>
        <v>0</v>
      </c>
      <c r="X506" s="1948">
        <v>0</v>
      </c>
      <c r="Y506" s="1948">
        <v>0</v>
      </c>
      <c r="Z506" s="1948">
        <v>0</v>
      </c>
      <c r="AA506" s="1948">
        <v>0</v>
      </c>
      <c r="AB506" s="1948">
        <v>0</v>
      </c>
      <c r="AC506" s="1948">
        <v>0</v>
      </c>
      <c r="AD506" s="1948">
        <f t="shared" si="109"/>
        <v>0</v>
      </c>
      <c r="AE506" s="1948">
        <f t="shared" si="110"/>
        <v>0</v>
      </c>
      <c r="AF506" s="1948">
        <v>341</v>
      </c>
      <c r="AG506" s="1948">
        <v>1.4660000000000002</v>
      </c>
      <c r="AH506" s="1948">
        <v>272.8</v>
      </c>
      <c r="AI506" s="1948">
        <v>1</v>
      </c>
      <c r="AJ506" s="1948">
        <v>51.73</v>
      </c>
      <c r="AK506" s="1948">
        <v>73</v>
      </c>
      <c r="AL506" s="1948">
        <f t="shared" si="111"/>
        <v>654</v>
      </c>
      <c r="AM506" s="1948">
        <f t="shared" si="112"/>
        <v>0</v>
      </c>
      <c r="AN506" s="1948">
        <v>341</v>
      </c>
      <c r="AO506" s="1948">
        <v>223.904</v>
      </c>
      <c r="AP506" s="1948">
        <v>272.8</v>
      </c>
      <c r="AQ506" s="1948">
        <v>0.9556</v>
      </c>
      <c r="AR506" s="1948">
        <v>9.7100000000000009</v>
      </c>
      <c r="AS506" s="1948">
        <v>16181</v>
      </c>
      <c r="AT506" s="1948">
        <f t="shared" si="113"/>
        <v>99951</v>
      </c>
      <c r="AU506" s="1948">
        <f t="shared" si="114"/>
        <v>0</v>
      </c>
      <c r="AV506" s="1948">
        <v>341</v>
      </c>
      <c r="AW506" s="1948">
        <v>266.98500000000001</v>
      </c>
      <c r="AX506" s="1948">
        <v>272.8</v>
      </c>
      <c r="AY506" s="1948">
        <v>0.95960000000000001</v>
      </c>
      <c r="AZ506" s="1948">
        <v>13.77</v>
      </c>
      <c r="BA506" s="1948">
        <v>26470</v>
      </c>
      <c r="BB506" s="1948">
        <f t="shared" si="115"/>
        <v>115338</v>
      </c>
      <c r="BC506" s="1948">
        <f t="shared" si="116"/>
        <v>0</v>
      </c>
      <c r="BD506" s="1949">
        <v>341</v>
      </c>
      <c r="BE506" s="1948">
        <v>265.69499999999999</v>
      </c>
      <c r="BF506" s="1949">
        <v>272.8</v>
      </c>
      <c r="BG506" s="1949">
        <v>0.96860000000000002</v>
      </c>
      <c r="BH506" s="1949">
        <v>23.35</v>
      </c>
      <c r="BI506" s="1948">
        <v>46165</v>
      </c>
      <c r="BJ506" s="1948">
        <f t="shared" si="117"/>
        <v>118606</v>
      </c>
      <c r="BK506" s="1948">
        <f t="shared" si="118"/>
        <v>0</v>
      </c>
    </row>
    <row r="507" spans="1:63" ht="15">
      <c r="A507" s="1946">
        <v>622000000146</v>
      </c>
      <c r="B507" s="1947">
        <f t="shared" si="119"/>
        <v>501</v>
      </c>
      <c r="C507" s="1906" t="s">
        <v>3356</v>
      </c>
      <c r="D507" s="1907" t="s">
        <v>524</v>
      </c>
      <c r="E507" s="1906" t="s">
        <v>730</v>
      </c>
      <c r="F507" s="1948" t="s">
        <v>259</v>
      </c>
      <c r="G507" s="1949">
        <v>341</v>
      </c>
      <c r="H507" s="1948">
        <v>341</v>
      </c>
      <c r="I507" s="1950">
        <v>112.4</v>
      </c>
      <c r="J507" s="1948">
        <v>272.8</v>
      </c>
      <c r="K507" s="1948">
        <v>0.87929999999999997</v>
      </c>
      <c r="L507" s="1948">
        <v>26.04</v>
      </c>
      <c r="M507" s="1948">
        <v>23880</v>
      </c>
      <c r="N507" s="1948">
        <f t="shared" si="105"/>
        <v>48557</v>
      </c>
      <c r="O507" s="1948">
        <f t="shared" si="106"/>
        <v>0</v>
      </c>
      <c r="P507" s="1948">
        <v>341</v>
      </c>
      <c r="Q507" s="1948">
        <v>113.19999999999999</v>
      </c>
      <c r="R507" s="1948">
        <v>272.8</v>
      </c>
      <c r="S507" s="1948">
        <v>0.88190000000000002</v>
      </c>
      <c r="T507" s="1948">
        <v>27.51</v>
      </c>
      <c r="U507" s="1948">
        <v>19430</v>
      </c>
      <c r="V507" s="1948">
        <f t="shared" si="107"/>
        <v>50532</v>
      </c>
      <c r="W507" s="1948">
        <f t="shared" si="108"/>
        <v>0</v>
      </c>
      <c r="X507" s="1948">
        <v>341</v>
      </c>
      <c r="Y507" s="1948">
        <v>121.2</v>
      </c>
      <c r="Z507" s="1948">
        <v>272.8</v>
      </c>
      <c r="AA507" s="1948">
        <v>0.88080000000000003</v>
      </c>
      <c r="AB507" s="1948">
        <v>29.56</v>
      </c>
      <c r="AC507" s="1948">
        <v>30093</v>
      </c>
      <c r="AD507" s="1948">
        <f t="shared" si="109"/>
        <v>52358</v>
      </c>
      <c r="AE507" s="1948">
        <f t="shared" si="110"/>
        <v>0</v>
      </c>
      <c r="AF507" s="1948">
        <v>341</v>
      </c>
      <c r="AG507" s="1948">
        <v>121.80000000000001</v>
      </c>
      <c r="AH507" s="1948">
        <v>272.8</v>
      </c>
      <c r="AI507" s="1948">
        <v>0.88139999999999996</v>
      </c>
      <c r="AJ507" s="1948">
        <v>31.62</v>
      </c>
      <c r="AK507" s="1948">
        <v>24960</v>
      </c>
      <c r="AL507" s="1948">
        <f t="shared" si="111"/>
        <v>54372</v>
      </c>
      <c r="AM507" s="1948">
        <f t="shared" si="112"/>
        <v>0</v>
      </c>
      <c r="AN507" s="1948">
        <v>341</v>
      </c>
      <c r="AO507" s="1948">
        <v>127.6</v>
      </c>
      <c r="AP507" s="1948">
        <v>272.8</v>
      </c>
      <c r="AQ507" s="1948">
        <v>0.87490000000000001</v>
      </c>
      <c r="AR507" s="1948">
        <v>26.45</v>
      </c>
      <c r="AS507" s="1948">
        <v>29965</v>
      </c>
      <c r="AT507" s="1948">
        <f t="shared" si="113"/>
        <v>56961</v>
      </c>
      <c r="AU507" s="1948">
        <f t="shared" si="114"/>
        <v>0</v>
      </c>
      <c r="AV507" s="1948">
        <v>341</v>
      </c>
      <c r="AW507" s="1948">
        <v>123.8</v>
      </c>
      <c r="AX507" s="1948">
        <v>272.8</v>
      </c>
      <c r="AY507" s="1948">
        <v>0.87609999999999999</v>
      </c>
      <c r="AZ507" s="1948">
        <v>29.43</v>
      </c>
      <c r="BA507" s="1948">
        <v>26235</v>
      </c>
      <c r="BB507" s="1948">
        <f t="shared" si="115"/>
        <v>53482</v>
      </c>
      <c r="BC507" s="1948">
        <f t="shared" si="116"/>
        <v>0</v>
      </c>
      <c r="BD507" s="1949">
        <v>341</v>
      </c>
      <c r="BE507" s="1948">
        <v>118.4</v>
      </c>
      <c r="BF507" s="1949">
        <v>272.8</v>
      </c>
      <c r="BG507" s="1949">
        <v>0.88229999999999997</v>
      </c>
      <c r="BH507" s="1949">
        <v>28.28</v>
      </c>
      <c r="BI507" s="1948">
        <v>24910</v>
      </c>
      <c r="BJ507" s="1948">
        <f t="shared" si="117"/>
        <v>52854</v>
      </c>
      <c r="BK507" s="1948">
        <f t="shared" si="118"/>
        <v>0</v>
      </c>
    </row>
    <row r="508" spans="1:63" ht="15">
      <c r="A508" s="1946">
        <v>123000000146</v>
      </c>
      <c r="B508" s="1947">
        <f t="shared" si="119"/>
        <v>502</v>
      </c>
      <c r="C508" s="1906" t="s">
        <v>3582</v>
      </c>
      <c r="D508" s="1907" t="s">
        <v>524</v>
      </c>
      <c r="E508" s="1906" t="s">
        <v>541</v>
      </c>
      <c r="F508" s="1948" t="s">
        <v>259</v>
      </c>
      <c r="G508" s="1949">
        <v>344</v>
      </c>
      <c r="H508" s="1948">
        <v>344</v>
      </c>
      <c r="I508" s="1950">
        <v>200.8</v>
      </c>
      <c r="J508" s="1948">
        <v>275.2</v>
      </c>
      <c r="K508" s="1948">
        <v>0.98529999999999995</v>
      </c>
      <c r="L508" s="1948">
        <v>9.4700000000000006</v>
      </c>
      <c r="M508" s="1948">
        <v>11405</v>
      </c>
      <c r="N508" s="1948">
        <f t="shared" si="105"/>
        <v>86746</v>
      </c>
      <c r="O508" s="1948">
        <f t="shared" si="106"/>
        <v>0</v>
      </c>
      <c r="P508" s="1948">
        <v>344</v>
      </c>
      <c r="Q508" s="1948">
        <v>223.39999999999998</v>
      </c>
      <c r="R508" s="1948">
        <v>275.2</v>
      </c>
      <c r="S508" s="1948">
        <v>0.99760000000000004</v>
      </c>
      <c r="T508" s="1948">
        <v>51.86</v>
      </c>
      <c r="U508" s="1948">
        <v>100100</v>
      </c>
      <c r="V508" s="1948">
        <f t="shared" si="107"/>
        <v>99726</v>
      </c>
      <c r="W508" s="1948">
        <f t="shared" si="108"/>
        <v>374</v>
      </c>
      <c r="X508" s="1948">
        <v>344</v>
      </c>
      <c r="Y508" s="1948">
        <v>208.4</v>
      </c>
      <c r="Z508" s="1948">
        <v>275.2</v>
      </c>
      <c r="AA508" s="1948">
        <v>0.998</v>
      </c>
      <c r="AB508" s="1948">
        <v>56.21</v>
      </c>
      <c r="AC508" s="1948">
        <v>84335</v>
      </c>
      <c r="AD508" s="1948">
        <f t="shared" si="109"/>
        <v>90029</v>
      </c>
      <c r="AE508" s="1948">
        <f t="shared" si="110"/>
        <v>0</v>
      </c>
      <c r="AF508" s="1948">
        <v>344</v>
      </c>
      <c r="AG508" s="1948">
        <v>225.20000000000002</v>
      </c>
      <c r="AH508" s="1948">
        <v>275.2</v>
      </c>
      <c r="AI508" s="1948">
        <v>0.99490000000000001</v>
      </c>
      <c r="AJ508" s="1948">
        <v>31.08</v>
      </c>
      <c r="AK508" s="1948">
        <v>52080</v>
      </c>
      <c r="AL508" s="1948">
        <f t="shared" si="111"/>
        <v>100529</v>
      </c>
      <c r="AM508" s="1948">
        <f t="shared" si="112"/>
        <v>0</v>
      </c>
      <c r="AN508" s="1948">
        <v>344</v>
      </c>
      <c r="AO508" s="1948">
        <v>238.2</v>
      </c>
      <c r="AP508" s="1948">
        <v>275.2</v>
      </c>
      <c r="AQ508" s="1948">
        <v>0.99909999999999999</v>
      </c>
      <c r="AR508" s="1948">
        <v>66.459999999999994</v>
      </c>
      <c r="AS508" s="1948">
        <v>117773</v>
      </c>
      <c r="AT508" s="1948">
        <f t="shared" si="113"/>
        <v>106332</v>
      </c>
      <c r="AU508" s="1948">
        <f t="shared" si="114"/>
        <v>11441</v>
      </c>
      <c r="AV508" s="1948">
        <v>344</v>
      </c>
      <c r="AW508" s="1948">
        <v>212</v>
      </c>
      <c r="AX508" s="1948">
        <v>275.2</v>
      </c>
      <c r="AY508" s="1948">
        <v>0.996</v>
      </c>
      <c r="AZ508" s="1948">
        <v>41.73</v>
      </c>
      <c r="BA508" s="1948">
        <v>63697</v>
      </c>
      <c r="BB508" s="1948">
        <f t="shared" si="115"/>
        <v>91584</v>
      </c>
      <c r="BC508" s="1948">
        <f t="shared" si="116"/>
        <v>0</v>
      </c>
      <c r="BD508" s="1949">
        <v>344</v>
      </c>
      <c r="BE508" s="1948">
        <v>189.6</v>
      </c>
      <c r="BF508" s="1949">
        <v>275.2</v>
      </c>
      <c r="BG508" s="1949">
        <v>0.92700000000000005</v>
      </c>
      <c r="BH508" s="1949">
        <v>5.73</v>
      </c>
      <c r="BI508" s="1948">
        <v>8077</v>
      </c>
      <c r="BJ508" s="1948">
        <f t="shared" si="117"/>
        <v>84637</v>
      </c>
      <c r="BK508" s="1948">
        <f t="shared" si="118"/>
        <v>0</v>
      </c>
    </row>
    <row r="509" spans="1:63" ht="15">
      <c r="A509" s="1946">
        <v>123000000119</v>
      </c>
      <c r="B509" s="1947">
        <f t="shared" si="119"/>
        <v>503</v>
      </c>
      <c r="C509" s="1906" t="s">
        <v>3357</v>
      </c>
      <c r="D509" s="1907" t="s">
        <v>524</v>
      </c>
      <c r="E509" s="1906" t="s">
        <v>541</v>
      </c>
      <c r="F509" s="1948" t="s">
        <v>259</v>
      </c>
      <c r="G509" s="1949">
        <v>345</v>
      </c>
      <c r="H509" s="1948">
        <v>345</v>
      </c>
      <c r="I509" s="1950">
        <v>395.76</v>
      </c>
      <c r="J509" s="1948">
        <v>395.76</v>
      </c>
      <c r="K509" s="1948">
        <v>0.9345</v>
      </c>
      <c r="L509" s="1948">
        <v>52.8</v>
      </c>
      <c r="M509" s="1948">
        <v>150465</v>
      </c>
      <c r="N509" s="1948">
        <f t="shared" si="105"/>
        <v>170968</v>
      </c>
      <c r="O509" s="1948">
        <f t="shared" si="106"/>
        <v>0</v>
      </c>
      <c r="P509" s="1948">
        <v>345</v>
      </c>
      <c r="Q509" s="1948">
        <v>398.64</v>
      </c>
      <c r="R509" s="1948">
        <v>398.64</v>
      </c>
      <c r="S509" s="1948">
        <v>0.94299999999999995</v>
      </c>
      <c r="T509" s="1948">
        <v>47.97</v>
      </c>
      <c r="U509" s="1948">
        <v>142275</v>
      </c>
      <c r="V509" s="1948">
        <f t="shared" si="107"/>
        <v>177953</v>
      </c>
      <c r="W509" s="1948">
        <f t="shared" si="108"/>
        <v>0</v>
      </c>
      <c r="X509" s="1948">
        <v>345</v>
      </c>
      <c r="Y509" s="1948">
        <v>356.64000000000004</v>
      </c>
      <c r="Z509" s="1948">
        <v>356.64</v>
      </c>
      <c r="AA509" s="1948">
        <v>0.93430000000000002</v>
      </c>
      <c r="AB509" s="1948">
        <v>52.28</v>
      </c>
      <c r="AC509" s="1948">
        <v>134241</v>
      </c>
      <c r="AD509" s="1948">
        <f t="shared" si="109"/>
        <v>154068</v>
      </c>
      <c r="AE509" s="1948">
        <f t="shared" si="110"/>
        <v>0</v>
      </c>
      <c r="AF509" s="1948">
        <v>345</v>
      </c>
      <c r="AG509" s="1948">
        <v>292.32</v>
      </c>
      <c r="AH509" s="1948">
        <v>292.32</v>
      </c>
      <c r="AI509" s="1948">
        <v>0.92520000000000002</v>
      </c>
      <c r="AJ509" s="1948">
        <v>41.15</v>
      </c>
      <c r="AK509" s="1948">
        <v>89496</v>
      </c>
      <c r="AL509" s="1948">
        <f t="shared" si="111"/>
        <v>130492</v>
      </c>
      <c r="AM509" s="1948">
        <f t="shared" si="112"/>
        <v>0</v>
      </c>
      <c r="AN509" s="1948">
        <v>345</v>
      </c>
      <c r="AO509" s="1948">
        <v>229.20000000000002</v>
      </c>
      <c r="AP509" s="1948">
        <v>276</v>
      </c>
      <c r="AQ509" s="1948">
        <v>0.91090000000000004</v>
      </c>
      <c r="AR509" s="1948">
        <v>48.66</v>
      </c>
      <c r="AS509" s="1948">
        <v>82983</v>
      </c>
      <c r="AT509" s="1948">
        <f t="shared" si="113"/>
        <v>102315</v>
      </c>
      <c r="AU509" s="1948">
        <f t="shared" si="114"/>
        <v>0</v>
      </c>
      <c r="AV509" s="1948">
        <v>345</v>
      </c>
      <c r="AW509" s="1948">
        <v>258.48</v>
      </c>
      <c r="AX509" s="1948">
        <v>276</v>
      </c>
      <c r="AY509" s="1948">
        <v>0.89059999999999995</v>
      </c>
      <c r="AZ509" s="1948">
        <v>41.62</v>
      </c>
      <c r="BA509" s="1948">
        <v>77454</v>
      </c>
      <c r="BB509" s="1948">
        <f t="shared" si="115"/>
        <v>111663</v>
      </c>
      <c r="BC509" s="1948">
        <f t="shared" si="116"/>
        <v>0</v>
      </c>
      <c r="BD509" s="1949">
        <v>345</v>
      </c>
      <c r="BE509" s="1948">
        <v>292.56</v>
      </c>
      <c r="BF509" s="1949">
        <v>292.56</v>
      </c>
      <c r="BG509" s="1949">
        <v>0.88319999999999999</v>
      </c>
      <c r="BH509" s="1949">
        <v>34.08</v>
      </c>
      <c r="BI509" s="1948">
        <v>74172</v>
      </c>
      <c r="BJ509" s="1948">
        <f t="shared" si="117"/>
        <v>130599</v>
      </c>
      <c r="BK509" s="1948">
        <f t="shared" si="118"/>
        <v>0</v>
      </c>
    </row>
    <row r="510" spans="1:63" ht="15">
      <c r="A510" s="1946">
        <v>125000000011</v>
      </c>
      <c r="B510" s="1947">
        <f t="shared" si="119"/>
        <v>504</v>
      </c>
      <c r="C510" s="1906" t="s">
        <v>3358</v>
      </c>
      <c r="D510" s="1907" t="s">
        <v>524</v>
      </c>
      <c r="E510" s="1906" t="s">
        <v>541</v>
      </c>
      <c r="F510" s="1948" t="s">
        <v>259</v>
      </c>
      <c r="G510" s="1949">
        <v>349</v>
      </c>
      <c r="H510" s="1948">
        <v>349</v>
      </c>
      <c r="I510" s="1950">
        <v>265.2</v>
      </c>
      <c r="J510" s="1948">
        <v>279.2</v>
      </c>
      <c r="K510" s="1948">
        <v>0.97960000000000003</v>
      </c>
      <c r="L510" s="1948">
        <v>41.22</v>
      </c>
      <c r="M510" s="1948">
        <v>78700</v>
      </c>
      <c r="N510" s="1948">
        <f t="shared" si="105"/>
        <v>114566</v>
      </c>
      <c r="O510" s="1948">
        <f t="shared" si="106"/>
        <v>0</v>
      </c>
      <c r="P510" s="1948">
        <v>349</v>
      </c>
      <c r="Q510" s="1948">
        <v>259.60000000000002</v>
      </c>
      <c r="R510" s="1948">
        <v>279.2</v>
      </c>
      <c r="S510" s="1948">
        <v>0.97699999999999998</v>
      </c>
      <c r="T510" s="1948">
        <v>40.28</v>
      </c>
      <c r="U510" s="1948">
        <v>77795</v>
      </c>
      <c r="V510" s="1948">
        <f t="shared" si="107"/>
        <v>115885</v>
      </c>
      <c r="W510" s="1948">
        <f t="shared" si="108"/>
        <v>0</v>
      </c>
      <c r="X510" s="1948">
        <v>349</v>
      </c>
      <c r="Y510" s="1948">
        <v>238</v>
      </c>
      <c r="Z510" s="1948">
        <v>279.2</v>
      </c>
      <c r="AA510" s="1948">
        <v>0.99709999999999999</v>
      </c>
      <c r="AB510" s="1948">
        <v>36.630000000000003</v>
      </c>
      <c r="AC510" s="1948">
        <v>62770</v>
      </c>
      <c r="AD510" s="1948">
        <f t="shared" si="109"/>
        <v>102816</v>
      </c>
      <c r="AE510" s="1948">
        <f t="shared" si="110"/>
        <v>0</v>
      </c>
      <c r="AF510" s="1948">
        <v>349</v>
      </c>
      <c r="AG510" s="1948">
        <v>278.39999999999998</v>
      </c>
      <c r="AH510" s="1948">
        <v>279.2</v>
      </c>
      <c r="AI510" s="1948">
        <v>0.98719999999999997</v>
      </c>
      <c r="AJ510" s="1948">
        <v>34.76</v>
      </c>
      <c r="AK510" s="1948">
        <v>72005</v>
      </c>
      <c r="AL510" s="1948">
        <f t="shared" si="111"/>
        <v>124278</v>
      </c>
      <c r="AM510" s="1948">
        <f t="shared" si="112"/>
        <v>0</v>
      </c>
      <c r="AN510" s="1948">
        <v>349</v>
      </c>
      <c r="AO510" s="1948">
        <v>278.8</v>
      </c>
      <c r="AP510" s="1948">
        <v>279.2</v>
      </c>
      <c r="AQ510" s="1948">
        <v>0.98299999999999998</v>
      </c>
      <c r="AR510" s="1948">
        <v>40.06</v>
      </c>
      <c r="AS510" s="1948">
        <v>83095</v>
      </c>
      <c r="AT510" s="1948">
        <f t="shared" si="113"/>
        <v>124456</v>
      </c>
      <c r="AU510" s="1948">
        <f t="shared" si="114"/>
        <v>0</v>
      </c>
      <c r="AV510" s="1948">
        <v>349</v>
      </c>
      <c r="AW510" s="1948">
        <v>256.40000000000003</v>
      </c>
      <c r="AX510" s="1948">
        <v>279.2</v>
      </c>
      <c r="AY510" s="1948">
        <v>0.94669999999999999</v>
      </c>
      <c r="AZ510" s="1948">
        <v>37.25</v>
      </c>
      <c r="BA510" s="1948">
        <v>68775</v>
      </c>
      <c r="BB510" s="1948">
        <f t="shared" si="115"/>
        <v>110765</v>
      </c>
      <c r="BC510" s="1948">
        <f t="shared" si="116"/>
        <v>0</v>
      </c>
      <c r="BD510" s="1949">
        <v>349</v>
      </c>
      <c r="BE510" s="1948">
        <v>252.8</v>
      </c>
      <c r="BF510" s="1949">
        <v>279.2</v>
      </c>
      <c r="BG510" s="1949">
        <v>0.95289999999999997</v>
      </c>
      <c r="BH510" s="1949">
        <v>44.28</v>
      </c>
      <c r="BI510" s="1948">
        <v>83285</v>
      </c>
      <c r="BJ510" s="1948">
        <f t="shared" si="117"/>
        <v>112850</v>
      </c>
      <c r="BK510" s="1948">
        <f t="shared" si="118"/>
        <v>0</v>
      </c>
    </row>
    <row r="511" spans="1:63" ht="15">
      <c r="A511" s="1946">
        <v>123000000029</v>
      </c>
      <c r="B511" s="1947">
        <f t="shared" si="119"/>
        <v>505</v>
      </c>
      <c r="C511" s="1906" t="s">
        <v>3360</v>
      </c>
      <c r="D511" s="1907" t="s">
        <v>524</v>
      </c>
      <c r="E511" s="1906" t="s">
        <v>636</v>
      </c>
      <c r="F511" s="1948" t="s">
        <v>259</v>
      </c>
      <c r="G511" s="1949">
        <v>350</v>
      </c>
      <c r="H511" s="1948">
        <v>350</v>
      </c>
      <c r="I511" s="1950">
        <v>252.48000000000002</v>
      </c>
      <c r="J511" s="1948">
        <v>280</v>
      </c>
      <c r="K511" s="1948">
        <v>0.99460000000000004</v>
      </c>
      <c r="L511" s="1948">
        <v>40.36</v>
      </c>
      <c r="M511" s="1948">
        <v>73362</v>
      </c>
      <c r="N511" s="1948">
        <f t="shared" si="105"/>
        <v>109071</v>
      </c>
      <c r="O511" s="1948">
        <f t="shared" si="106"/>
        <v>0</v>
      </c>
      <c r="P511" s="1948">
        <v>350</v>
      </c>
      <c r="Q511" s="1948">
        <v>371.03999999999996</v>
      </c>
      <c r="R511" s="1948">
        <v>371.04</v>
      </c>
      <c r="S511" s="1948">
        <v>0.99650000000000005</v>
      </c>
      <c r="T511" s="1948">
        <v>29.69</v>
      </c>
      <c r="U511" s="1948">
        <v>81972</v>
      </c>
      <c r="V511" s="1948">
        <f t="shared" si="107"/>
        <v>165632</v>
      </c>
      <c r="W511" s="1948">
        <f t="shared" si="108"/>
        <v>0</v>
      </c>
      <c r="X511" s="1948">
        <v>350</v>
      </c>
      <c r="Y511" s="1948">
        <v>279.36</v>
      </c>
      <c r="Z511" s="1948">
        <v>280</v>
      </c>
      <c r="AA511" s="1948">
        <v>0.99609999999999999</v>
      </c>
      <c r="AB511" s="1948">
        <v>39.020000000000003</v>
      </c>
      <c r="AC511" s="1948">
        <v>78486</v>
      </c>
      <c r="AD511" s="1948">
        <f t="shared" si="109"/>
        <v>120684</v>
      </c>
      <c r="AE511" s="1948">
        <f t="shared" si="110"/>
        <v>0</v>
      </c>
      <c r="AF511" s="1948">
        <v>350</v>
      </c>
      <c r="AG511" s="1948">
        <v>258.72000000000003</v>
      </c>
      <c r="AH511" s="1948">
        <v>280</v>
      </c>
      <c r="AI511" s="1948">
        <v>0.99480000000000002</v>
      </c>
      <c r="AJ511" s="1948">
        <v>42.34</v>
      </c>
      <c r="AK511" s="1948">
        <v>81507.020499999999</v>
      </c>
      <c r="AL511" s="1948">
        <f t="shared" si="111"/>
        <v>115493</v>
      </c>
      <c r="AM511" s="1948">
        <f t="shared" si="112"/>
        <v>0</v>
      </c>
      <c r="AN511" s="1948">
        <v>350</v>
      </c>
      <c r="AO511" s="1948">
        <v>255.35999999999999</v>
      </c>
      <c r="AP511" s="1948">
        <v>280</v>
      </c>
      <c r="AQ511" s="1948">
        <v>0.99750000000000005</v>
      </c>
      <c r="AR511" s="1948">
        <v>43.36</v>
      </c>
      <c r="AS511" s="1948">
        <v>82381</v>
      </c>
      <c r="AT511" s="1948">
        <f t="shared" si="113"/>
        <v>113993</v>
      </c>
      <c r="AU511" s="1948">
        <f t="shared" si="114"/>
        <v>0</v>
      </c>
      <c r="AV511" s="1948">
        <v>350</v>
      </c>
      <c r="AW511" s="1948">
        <v>327.84</v>
      </c>
      <c r="AX511" s="1948">
        <v>327.84</v>
      </c>
      <c r="AY511" s="1948">
        <v>0.99560000000000004</v>
      </c>
      <c r="AZ511" s="1948">
        <v>36.21</v>
      </c>
      <c r="BA511" s="1948">
        <v>85476</v>
      </c>
      <c r="BB511" s="1948">
        <f t="shared" si="115"/>
        <v>141627</v>
      </c>
      <c r="BC511" s="1948">
        <f t="shared" si="116"/>
        <v>0</v>
      </c>
      <c r="BD511" s="1949">
        <v>350</v>
      </c>
      <c r="BE511" s="1948">
        <v>323.52</v>
      </c>
      <c r="BF511" s="1949">
        <v>323.52</v>
      </c>
      <c r="BG511" s="1949">
        <v>0.99360000000000004</v>
      </c>
      <c r="BH511" s="1949">
        <v>36.89</v>
      </c>
      <c r="BI511" s="1948">
        <v>88782</v>
      </c>
      <c r="BJ511" s="1948">
        <f t="shared" si="117"/>
        <v>144419</v>
      </c>
      <c r="BK511" s="1948">
        <f t="shared" si="118"/>
        <v>0</v>
      </c>
    </row>
    <row r="512" spans="1:63" ht="15">
      <c r="A512" s="1946">
        <v>123000000036</v>
      </c>
      <c r="B512" s="1947">
        <f t="shared" si="119"/>
        <v>506</v>
      </c>
      <c r="C512" s="1906" t="s">
        <v>3361</v>
      </c>
      <c r="D512" s="1907" t="s">
        <v>524</v>
      </c>
      <c r="E512" s="1906" t="s">
        <v>541</v>
      </c>
      <c r="F512" s="1948" t="s">
        <v>259</v>
      </c>
      <c r="G512" s="1949">
        <v>350</v>
      </c>
      <c r="H512" s="1948">
        <v>350</v>
      </c>
      <c r="I512" s="1950">
        <v>260.15999999999997</v>
      </c>
      <c r="J512" s="1948">
        <v>280</v>
      </c>
      <c r="K512" s="1948">
        <v>0.99219999999999997</v>
      </c>
      <c r="L512" s="1948">
        <v>17.88</v>
      </c>
      <c r="M512" s="1948">
        <v>33501</v>
      </c>
      <c r="N512" s="1948">
        <f t="shared" si="105"/>
        <v>112389</v>
      </c>
      <c r="O512" s="1948">
        <f t="shared" si="106"/>
        <v>0</v>
      </c>
      <c r="P512" s="1948">
        <v>350</v>
      </c>
      <c r="Q512" s="1948">
        <v>272.16000000000003</v>
      </c>
      <c r="R512" s="1948">
        <v>280</v>
      </c>
      <c r="S512" s="1948">
        <v>0.99119999999999997</v>
      </c>
      <c r="T512" s="1948">
        <v>16.079999999999998</v>
      </c>
      <c r="U512" s="1948">
        <v>32550</v>
      </c>
      <c r="V512" s="1948">
        <f t="shared" si="107"/>
        <v>121492</v>
      </c>
      <c r="W512" s="1948">
        <f t="shared" si="108"/>
        <v>0</v>
      </c>
      <c r="X512" s="1948">
        <v>350</v>
      </c>
      <c r="Y512" s="1948">
        <v>270.47999999999996</v>
      </c>
      <c r="Z512" s="1948">
        <v>280</v>
      </c>
      <c r="AA512" s="1948">
        <v>0.99050000000000005</v>
      </c>
      <c r="AB512" s="1948">
        <v>18.48</v>
      </c>
      <c r="AC512" s="1948">
        <v>35982</v>
      </c>
      <c r="AD512" s="1948">
        <f t="shared" si="109"/>
        <v>116847</v>
      </c>
      <c r="AE512" s="1948">
        <f t="shared" si="110"/>
        <v>0</v>
      </c>
      <c r="AF512" s="1948">
        <v>350</v>
      </c>
      <c r="AG512" s="1948">
        <v>222.24</v>
      </c>
      <c r="AH512" s="1948">
        <v>280</v>
      </c>
      <c r="AI512" s="1948">
        <v>0.98939999999999995</v>
      </c>
      <c r="AJ512" s="1948">
        <v>18.87</v>
      </c>
      <c r="AK512" s="1948">
        <v>31204.472000000002</v>
      </c>
      <c r="AL512" s="1948">
        <f t="shared" si="111"/>
        <v>99208</v>
      </c>
      <c r="AM512" s="1948">
        <f t="shared" si="112"/>
        <v>0</v>
      </c>
      <c r="AN512" s="1948">
        <v>350</v>
      </c>
      <c r="AO512" s="1948">
        <v>291.12</v>
      </c>
      <c r="AP512" s="1948">
        <v>291.12</v>
      </c>
      <c r="AQ512" s="1948">
        <v>0.99209999999999998</v>
      </c>
      <c r="AR512" s="1948">
        <v>15.52</v>
      </c>
      <c r="AS512" s="1948">
        <v>33616</v>
      </c>
      <c r="AT512" s="1948">
        <f t="shared" si="113"/>
        <v>129956</v>
      </c>
      <c r="AU512" s="1948">
        <f t="shared" si="114"/>
        <v>0</v>
      </c>
      <c r="AV512" s="1948">
        <v>350</v>
      </c>
      <c r="AW512" s="1948">
        <v>250.79999999999998</v>
      </c>
      <c r="AX512" s="1948">
        <v>280</v>
      </c>
      <c r="AY512" s="1948">
        <v>0.99370000000000003</v>
      </c>
      <c r="AZ512" s="1948">
        <v>18.54</v>
      </c>
      <c r="BA512" s="1948">
        <v>33477</v>
      </c>
      <c r="BB512" s="1948">
        <f t="shared" si="115"/>
        <v>108346</v>
      </c>
      <c r="BC512" s="1948">
        <f t="shared" si="116"/>
        <v>0</v>
      </c>
      <c r="BD512" s="1949">
        <v>350</v>
      </c>
      <c r="BE512" s="1948">
        <v>270.47999999999996</v>
      </c>
      <c r="BF512" s="1949">
        <v>280</v>
      </c>
      <c r="BG512" s="1949">
        <v>0.99260000000000004</v>
      </c>
      <c r="BH512" s="1949">
        <v>16.37</v>
      </c>
      <c r="BI512" s="1948">
        <v>32946</v>
      </c>
      <c r="BJ512" s="1948">
        <f t="shared" si="117"/>
        <v>120742</v>
      </c>
      <c r="BK512" s="1948">
        <f t="shared" si="118"/>
        <v>0</v>
      </c>
    </row>
    <row r="513" spans="1:63" ht="15">
      <c r="A513" s="1946">
        <v>123000000047</v>
      </c>
      <c r="B513" s="1947">
        <f t="shared" si="119"/>
        <v>507</v>
      </c>
      <c r="C513" s="1906" t="s">
        <v>3362</v>
      </c>
      <c r="D513" s="1907" t="s">
        <v>524</v>
      </c>
      <c r="E513" s="1906" t="s">
        <v>2966</v>
      </c>
      <c r="F513" s="1948" t="s">
        <v>259</v>
      </c>
      <c r="G513" s="1949">
        <v>350</v>
      </c>
      <c r="H513" s="1948">
        <v>350</v>
      </c>
      <c r="I513" s="1950">
        <v>173.8</v>
      </c>
      <c r="J513" s="1948">
        <v>350</v>
      </c>
      <c r="K513" s="1948">
        <v>0.6885</v>
      </c>
      <c r="L513" s="1948">
        <v>0</v>
      </c>
      <c r="M513" s="1948">
        <v>55670</v>
      </c>
      <c r="N513" s="1948">
        <f t="shared" si="105"/>
        <v>75082</v>
      </c>
      <c r="O513" s="1948">
        <f t="shared" si="106"/>
        <v>0</v>
      </c>
      <c r="P513" s="1948">
        <v>350</v>
      </c>
      <c r="Q513" s="1948">
        <v>206</v>
      </c>
      <c r="R513" s="1948">
        <v>350</v>
      </c>
      <c r="S513" s="1948">
        <v>0.72370000000000001</v>
      </c>
      <c r="T513" s="1948">
        <v>0</v>
      </c>
      <c r="U513" s="1948">
        <v>70378</v>
      </c>
      <c r="V513" s="1948">
        <f t="shared" si="107"/>
        <v>91958</v>
      </c>
      <c r="W513" s="1948">
        <f t="shared" si="108"/>
        <v>0</v>
      </c>
      <c r="X513" s="1948">
        <v>350</v>
      </c>
      <c r="Y513" s="1948">
        <v>197.4</v>
      </c>
      <c r="Z513" s="1948">
        <v>350</v>
      </c>
      <c r="AA513" s="1948">
        <v>0.71660000000000001</v>
      </c>
      <c r="AB513" s="1948">
        <v>0</v>
      </c>
      <c r="AC513" s="1948">
        <v>67408</v>
      </c>
      <c r="AD513" s="1948">
        <f t="shared" si="109"/>
        <v>85277</v>
      </c>
      <c r="AE513" s="1948">
        <f t="shared" si="110"/>
        <v>0</v>
      </c>
      <c r="AF513" s="1948">
        <v>350</v>
      </c>
      <c r="AG513" s="1948">
        <v>189.79999999999998</v>
      </c>
      <c r="AH513" s="1948">
        <v>350</v>
      </c>
      <c r="AI513" s="1948">
        <v>0.71220000000000006</v>
      </c>
      <c r="AJ513" s="1948">
        <v>0</v>
      </c>
      <c r="AK513" s="1948">
        <v>59503</v>
      </c>
      <c r="AL513" s="1948">
        <f t="shared" si="111"/>
        <v>84727</v>
      </c>
      <c r="AM513" s="1948">
        <f t="shared" si="112"/>
        <v>0</v>
      </c>
      <c r="AN513" s="1948">
        <v>350</v>
      </c>
      <c r="AO513" s="1948">
        <v>137.80000000000001</v>
      </c>
      <c r="AP513" s="1948">
        <v>350</v>
      </c>
      <c r="AQ513" s="1948">
        <v>0.57469999999999999</v>
      </c>
      <c r="AR513" s="1948">
        <v>0</v>
      </c>
      <c r="AS513" s="1948">
        <v>22362</v>
      </c>
      <c r="AT513" s="1948">
        <f t="shared" si="113"/>
        <v>61514</v>
      </c>
      <c r="AU513" s="1948">
        <f t="shared" si="114"/>
        <v>0</v>
      </c>
      <c r="AV513" s="1948">
        <v>350</v>
      </c>
      <c r="AW513" s="1948">
        <v>118.6</v>
      </c>
      <c r="AX513" s="1948">
        <v>350</v>
      </c>
      <c r="AY513" s="1948">
        <v>0.55330000000000001</v>
      </c>
      <c r="AZ513" s="1948">
        <v>0</v>
      </c>
      <c r="BA513" s="1948">
        <v>32140</v>
      </c>
      <c r="BB513" s="1948">
        <f t="shared" si="115"/>
        <v>51235</v>
      </c>
      <c r="BC513" s="1948">
        <f t="shared" si="116"/>
        <v>0</v>
      </c>
      <c r="BD513" s="1949">
        <v>350</v>
      </c>
      <c r="BE513" s="1948">
        <v>144.19999999999999</v>
      </c>
      <c r="BF513" s="1949">
        <v>350</v>
      </c>
      <c r="BG513" s="1949">
        <v>0.62219999999999998</v>
      </c>
      <c r="BH513" s="1949">
        <v>0</v>
      </c>
      <c r="BI513" s="1948">
        <v>49952</v>
      </c>
      <c r="BJ513" s="1948">
        <f t="shared" si="117"/>
        <v>64371</v>
      </c>
      <c r="BK513" s="1948">
        <f t="shared" si="118"/>
        <v>0</v>
      </c>
    </row>
    <row r="514" spans="1:63" ht="15">
      <c r="A514" s="1946">
        <v>121000000074</v>
      </c>
      <c r="B514" s="1947">
        <f t="shared" si="119"/>
        <v>508</v>
      </c>
      <c r="C514" s="1906" t="s">
        <v>3359</v>
      </c>
      <c r="D514" s="1907" t="s">
        <v>524</v>
      </c>
      <c r="E514" s="1906" t="s">
        <v>737</v>
      </c>
      <c r="F514" s="1948" t="s">
        <v>259</v>
      </c>
      <c r="G514" s="1949">
        <v>350</v>
      </c>
      <c r="H514" s="1948">
        <v>350</v>
      </c>
      <c r="I514" s="1950">
        <v>230.64000000000001</v>
      </c>
      <c r="J514" s="1948">
        <v>280</v>
      </c>
      <c r="K514" s="1948">
        <v>0.98340000000000005</v>
      </c>
      <c r="L514" s="1948">
        <v>34.36</v>
      </c>
      <c r="M514" s="1948">
        <v>57060</v>
      </c>
      <c r="N514" s="1948">
        <f t="shared" si="105"/>
        <v>99636</v>
      </c>
      <c r="O514" s="1948">
        <f t="shared" si="106"/>
        <v>0</v>
      </c>
      <c r="P514" s="1948">
        <v>350</v>
      </c>
      <c r="Q514" s="1948">
        <v>211.92000000000002</v>
      </c>
      <c r="R514" s="1948">
        <v>280</v>
      </c>
      <c r="S514" s="1948">
        <v>0.98839999999999995</v>
      </c>
      <c r="T514" s="1948">
        <v>40.869999999999997</v>
      </c>
      <c r="U514" s="1948">
        <v>64434</v>
      </c>
      <c r="V514" s="1948">
        <f t="shared" si="107"/>
        <v>94601</v>
      </c>
      <c r="W514" s="1948">
        <f t="shared" si="108"/>
        <v>0</v>
      </c>
      <c r="X514" s="1948">
        <v>350</v>
      </c>
      <c r="Y514" s="1948">
        <v>205.68</v>
      </c>
      <c r="Z514" s="1948">
        <v>280</v>
      </c>
      <c r="AA514" s="1948">
        <v>0.98729999999999996</v>
      </c>
      <c r="AB514" s="1948">
        <v>33.32</v>
      </c>
      <c r="AC514" s="1948">
        <v>49338</v>
      </c>
      <c r="AD514" s="1948">
        <f t="shared" si="109"/>
        <v>88854</v>
      </c>
      <c r="AE514" s="1948">
        <f t="shared" si="110"/>
        <v>0</v>
      </c>
      <c r="AF514" s="1948">
        <v>350</v>
      </c>
      <c r="AG514" s="1948">
        <v>161.04000000000002</v>
      </c>
      <c r="AH514" s="1948">
        <v>280</v>
      </c>
      <c r="AI514" s="1948">
        <v>0.98460000000000003</v>
      </c>
      <c r="AJ514" s="1948">
        <v>38.799999999999997</v>
      </c>
      <c r="AK514" s="1948">
        <v>46491</v>
      </c>
      <c r="AL514" s="1948">
        <f t="shared" si="111"/>
        <v>71888</v>
      </c>
      <c r="AM514" s="1948">
        <f t="shared" si="112"/>
        <v>0</v>
      </c>
      <c r="AN514" s="1948">
        <v>350</v>
      </c>
      <c r="AO514" s="1948">
        <v>167.76000000000002</v>
      </c>
      <c r="AP514" s="1948">
        <v>280</v>
      </c>
      <c r="AQ514" s="1948">
        <v>0.98399999999999999</v>
      </c>
      <c r="AR514" s="1948">
        <v>38.56</v>
      </c>
      <c r="AS514" s="1948">
        <v>48126</v>
      </c>
      <c r="AT514" s="1948">
        <f t="shared" si="113"/>
        <v>74888</v>
      </c>
      <c r="AU514" s="1948">
        <f t="shared" si="114"/>
        <v>0</v>
      </c>
      <c r="AV514" s="1948">
        <v>350</v>
      </c>
      <c r="AW514" s="1948">
        <v>158.88</v>
      </c>
      <c r="AX514" s="1948">
        <v>280</v>
      </c>
      <c r="AY514" s="1948">
        <v>0.9829</v>
      </c>
      <c r="AZ514" s="1948">
        <v>41.53</v>
      </c>
      <c r="BA514" s="1948">
        <v>47502</v>
      </c>
      <c r="BB514" s="1948">
        <f t="shared" si="115"/>
        <v>68636</v>
      </c>
      <c r="BC514" s="1948">
        <f t="shared" si="116"/>
        <v>0</v>
      </c>
      <c r="BD514" s="1949">
        <v>350</v>
      </c>
      <c r="BE514" s="1948">
        <v>155.51999999999998</v>
      </c>
      <c r="BF514" s="1949">
        <v>280</v>
      </c>
      <c r="BG514" s="1949">
        <v>0.97960000000000003</v>
      </c>
      <c r="BH514" s="1949">
        <v>38.909999999999997</v>
      </c>
      <c r="BI514" s="1948">
        <v>45018</v>
      </c>
      <c r="BJ514" s="1948">
        <f t="shared" si="117"/>
        <v>69424</v>
      </c>
      <c r="BK514" s="1948">
        <f t="shared" si="118"/>
        <v>0</v>
      </c>
    </row>
    <row r="515" spans="1:63" ht="15">
      <c r="A515" s="1946">
        <v>622000000148</v>
      </c>
      <c r="B515" s="1947">
        <f t="shared" si="119"/>
        <v>509</v>
      </c>
      <c r="C515" s="1906" t="s">
        <v>3363</v>
      </c>
      <c r="D515" s="1907" t="s">
        <v>524</v>
      </c>
      <c r="E515" s="1906" t="s">
        <v>636</v>
      </c>
      <c r="F515" s="1948" t="s">
        <v>259</v>
      </c>
      <c r="G515" s="1949">
        <v>350</v>
      </c>
      <c r="H515" s="1948">
        <v>350</v>
      </c>
      <c r="I515" s="1950">
        <v>117.4</v>
      </c>
      <c r="J515" s="1948">
        <v>280</v>
      </c>
      <c r="K515" s="1948">
        <v>0.98060000000000003</v>
      </c>
      <c r="L515" s="1948">
        <v>44.6</v>
      </c>
      <c r="M515" s="1948">
        <v>37696.248200000002</v>
      </c>
      <c r="N515" s="1948">
        <f t="shared" si="105"/>
        <v>50717</v>
      </c>
      <c r="O515" s="1948">
        <f t="shared" si="106"/>
        <v>0</v>
      </c>
      <c r="P515" s="1948">
        <v>350</v>
      </c>
      <c r="Q515" s="1948">
        <v>128</v>
      </c>
      <c r="R515" s="1948">
        <v>280</v>
      </c>
      <c r="S515" s="1948">
        <v>0.98580000000000001</v>
      </c>
      <c r="T515" s="1948">
        <v>44.73</v>
      </c>
      <c r="U515" s="1948">
        <v>42602</v>
      </c>
      <c r="V515" s="1948">
        <f t="shared" si="107"/>
        <v>57139</v>
      </c>
      <c r="W515" s="1948">
        <f t="shared" si="108"/>
        <v>0</v>
      </c>
      <c r="X515" s="1948">
        <v>350</v>
      </c>
      <c r="Y515" s="1948">
        <v>149.60000000000002</v>
      </c>
      <c r="Z515" s="1948">
        <v>280</v>
      </c>
      <c r="AA515" s="1948">
        <v>0.98629999999999995</v>
      </c>
      <c r="AB515" s="1948">
        <v>43.46</v>
      </c>
      <c r="AC515" s="1948">
        <v>46807</v>
      </c>
      <c r="AD515" s="1948">
        <f t="shared" si="109"/>
        <v>64627</v>
      </c>
      <c r="AE515" s="1948">
        <f t="shared" si="110"/>
        <v>0</v>
      </c>
      <c r="AF515" s="1948">
        <v>350</v>
      </c>
      <c r="AG515" s="1948">
        <v>106.2</v>
      </c>
      <c r="AH515" s="1948">
        <v>280</v>
      </c>
      <c r="AI515" s="1948">
        <v>0.98799999999999999</v>
      </c>
      <c r="AJ515" s="1948">
        <v>50.53</v>
      </c>
      <c r="AK515" s="1948">
        <v>38636</v>
      </c>
      <c r="AL515" s="1948">
        <f t="shared" si="111"/>
        <v>47408</v>
      </c>
      <c r="AM515" s="1948">
        <f t="shared" si="112"/>
        <v>0</v>
      </c>
      <c r="AN515" s="1948">
        <v>350</v>
      </c>
      <c r="AO515" s="1948">
        <v>92.399999999999991</v>
      </c>
      <c r="AP515" s="1948">
        <v>280</v>
      </c>
      <c r="AQ515" s="1948">
        <v>0.98140000000000005</v>
      </c>
      <c r="AR515" s="1948">
        <v>49.14</v>
      </c>
      <c r="AS515" s="1948">
        <v>34869</v>
      </c>
      <c r="AT515" s="1948">
        <f t="shared" si="113"/>
        <v>41247</v>
      </c>
      <c r="AU515" s="1948">
        <f t="shared" si="114"/>
        <v>0</v>
      </c>
      <c r="AV515" s="1948">
        <v>350</v>
      </c>
      <c r="AW515" s="1948">
        <v>109.8</v>
      </c>
      <c r="AX515" s="1948">
        <v>280</v>
      </c>
      <c r="AY515" s="1948">
        <v>0.98329999999999995</v>
      </c>
      <c r="AZ515" s="1948">
        <v>44.93</v>
      </c>
      <c r="BA515" s="1948">
        <v>35521</v>
      </c>
      <c r="BB515" s="1948">
        <f t="shared" si="115"/>
        <v>47434</v>
      </c>
      <c r="BC515" s="1948">
        <f t="shared" si="116"/>
        <v>0</v>
      </c>
      <c r="BD515" s="1949">
        <v>350</v>
      </c>
      <c r="BE515" s="1948">
        <v>86</v>
      </c>
      <c r="BF515" s="1949">
        <v>280</v>
      </c>
      <c r="BG515" s="1949">
        <v>0.9819</v>
      </c>
      <c r="BH515" s="1949">
        <v>48.69</v>
      </c>
      <c r="BI515" s="1948">
        <v>31157</v>
      </c>
      <c r="BJ515" s="1948">
        <f t="shared" si="117"/>
        <v>38390</v>
      </c>
      <c r="BK515" s="1948">
        <f t="shared" si="118"/>
        <v>0</v>
      </c>
    </row>
    <row r="516" spans="1:63" ht="15">
      <c r="A516" s="1946">
        <v>121000000043</v>
      </c>
      <c r="B516" s="1947">
        <f t="shared" si="119"/>
        <v>510</v>
      </c>
      <c r="C516" s="1906" t="s">
        <v>3365</v>
      </c>
      <c r="D516" s="1907" t="s">
        <v>524</v>
      </c>
      <c r="E516" s="1906" t="s">
        <v>541</v>
      </c>
      <c r="F516" s="1948" t="s">
        <v>259</v>
      </c>
      <c r="G516" s="1949">
        <v>351</v>
      </c>
      <c r="H516" s="1948">
        <v>351</v>
      </c>
      <c r="I516" s="1950">
        <v>384.24</v>
      </c>
      <c r="J516" s="1948">
        <v>384.24</v>
      </c>
      <c r="K516" s="1948">
        <v>0.99509999999999998</v>
      </c>
      <c r="L516" s="1948">
        <v>47.2</v>
      </c>
      <c r="M516" s="1948">
        <v>130578</v>
      </c>
      <c r="N516" s="1948">
        <f t="shared" si="105"/>
        <v>165992</v>
      </c>
      <c r="O516" s="1948">
        <f t="shared" si="106"/>
        <v>0</v>
      </c>
      <c r="P516" s="1948">
        <v>351</v>
      </c>
      <c r="Q516" s="1948">
        <v>366</v>
      </c>
      <c r="R516" s="1948">
        <v>366</v>
      </c>
      <c r="S516" s="1948">
        <v>0.99450000000000005</v>
      </c>
      <c r="T516" s="1948">
        <v>50.76</v>
      </c>
      <c r="U516" s="1948">
        <v>138219</v>
      </c>
      <c r="V516" s="1948">
        <f t="shared" si="107"/>
        <v>163382</v>
      </c>
      <c r="W516" s="1948">
        <f t="shared" si="108"/>
        <v>0</v>
      </c>
      <c r="X516" s="1948">
        <v>351</v>
      </c>
      <c r="Y516" s="1948">
        <v>362.16</v>
      </c>
      <c r="Z516" s="1948">
        <v>362.16</v>
      </c>
      <c r="AA516" s="1948">
        <v>0.99819999999999998</v>
      </c>
      <c r="AB516" s="1948">
        <v>38.26</v>
      </c>
      <c r="AC516" s="1948">
        <v>99753</v>
      </c>
      <c r="AD516" s="1948">
        <f t="shared" si="109"/>
        <v>156453</v>
      </c>
      <c r="AE516" s="1948">
        <f t="shared" si="110"/>
        <v>0</v>
      </c>
      <c r="AF516" s="1948">
        <v>351</v>
      </c>
      <c r="AG516" s="1948">
        <v>369.12</v>
      </c>
      <c r="AH516" s="1948">
        <v>369.12</v>
      </c>
      <c r="AI516" s="1948">
        <v>0.99829999999999997</v>
      </c>
      <c r="AJ516" s="1948">
        <v>43.55</v>
      </c>
      <c r="AK516" s="1948">
        <v>119592</v>
      </c>
      <c r="AL516" s="1948">
        <f t="shared" si="111"/>
        <v>164775</v>
      </c>
      <c r="AM516" s="1948">
        <f t="shared" si="112"/>
        <v>0</v>
      </c>
      <c r="AN516" s="1948">
        <v>351</v>
      </c>
      <c r="AO516" s="1948">
        <v>393.84</v>
      </c>
      <c r="AP516" s="1948">
        <v>393.84</v>
      </c>
      <c r="AQ516" s="1948">
        <v>0.997</v>
      </c>
      <c r="AR516" s="1948">
        <v>56.12</v>
      </c>
      <c r="AS516" s="1948">
        <v>164427</v>
      </c>
      <c r="AT516" s="1948">
        <f t="shared" si="113"/>
        <v>175810</v>
      </c>
      <c r="AU516" s="1948">
        <f t="shared" si="114"/>
        <v>0</v>
      </c>
      <c r="AV516" s="1948">
        <v>351</v>
      </c>
      <c r="AW516" s="1948">
        <v>386.88</v>
      </c>
      <c r="AX516" s="1948">
        <v>386.88</v>
      </c>
      <c r="AY516" s="1948">
        <v>0.99629999999999996</v>
      </c>
      <c r="AZ516" s="1948">
        <v>52.44</v>
      </c>
      <c r="BA516" s="1948">
        <v>146061</v>
      </c>
      <c r="BB516" s="1948">
        <f t="shared" si="115"/>
        <v>167132</v>
      </c>
      <c r="BC516" s="1948">
        <f t="shared" si="116"/>
        <v>0</v>
      </c>
      <c r="BD516" s="1949">
        <v>351</v>
      </c>
      <c r="BE516" s="1948">
        <v>282.72000000000003</v>
      </c>
      <c r="BF516" s="1949">
        <v>282.72000000000003</v>
      </c>
      <c r="BG516" s="1949">
        <v>0.99470000000000003</v>
      </c>
      <c r="BH516" s="1949">
        <v>12.43</v>
      </c>
      <c r="BI516" s="1948">
        <v>26154</v>
      </c>
      <c r="BJ516" s="1948">
        <f t="shared" si="117"/>
        <v>126206</v>
      </c>
      <c r="BK516" s="1948">
        <f t="shared" si="118"/>
        <v>0</v>
      </c>
    </row>
    <row r="517" spans="1:63" ht="15">
      <c r="A517" s="1946">
        <v>611000000109</v>
      </c>
      <c r="B517" s="1947">
        <f t="shared" si="119"/>
        <v>511</v>
      </c>
      <c r="C517" s="1906" t="s">
        <v>3364</v>
      </c>
      <c r="D517" s="1907" t="s">
        <v>524</v>
      </c>
      <c r="E517" s="1906" t="s">
        <v>730</v>
      </c>
      <c r="F517" s="1948" t="s">
        <v>259</v>
      </c>
      <c r="G517" s="1949">
        <v>351</v>
      </c>
      <c r="H517" s="1948">
        <v>351</v>
      </c>
      <c r="I517" s="1950">
        <v>177.28</v>
      </c>
      <c r="J517" s="1948">
        <v>280.8</v>
      </c>
      <c r="K517" s="1948">
        <v>0.96599999999999997</v>
      </c>
      <c r="L517" s="1948">
        <v>54.57</v>
      </c>
      <c r="M517" s="1948">
        <v>69652</v>
      </c>
      <c r="N517" s="1948">
        <f t="shared" si="105"/>
        <v>76585</v>
      </c>
      <c r="O517" s="1948">
        <f t="shared" si="106"/>
        <v>0</v>
      </c>
      <c r="P517" s="1948">
        <v>351</v>
      </c>
      <c r="Q517" s="1948">
        <v>312</v>
      </c>
      <c r="R517" s="1948">
        <v>280.8</v>
      </c>
      <c r="S517" s="1948">
        <v>0.94550000000000001</v>
      </c>
      <c r="T517" s="1948">
        <v>50.35</v>
      </c>
      <c r="U517" s="1948">
        <v>77910</v>
      </c>
      <c r="V517" s="1948">
        <f t="shared" si="107"/>
        <v>139277</v>
      </c>
      <c r="W517" s="1948">
        <f t="shared" si="108"/>
        <v>0</v>
      </c>
      <c r="X517" s="1948">
        <v>351</v>
      </c>
      <c r="Y517" s="1948">
        <v>230.64000000000001</v>
      </c>
      <c r="Z517" s="1948">
        <v>280.8</v>
      </c>
      <c r="AA517" s="1948">
        <v>0.92200000000000004</v>
      </c>
      <c r="AB517" s="1948">
        <v>51.36</v>
      </c>
      <c r="AC517" s="1948">
        <v>85290</v>
      </c>
      <c r="AD517" s="1948">
        <f t="shared" si="109"/>
        <v>99636</v>
      </c>
      <c r="AE517" s="1948">
        <f t="shared" si="110"/>
        <v>0</v>
      </c>
      <c r="AF517" s="1948">
        <v>351</v>
      </c>
      <c r="AG517" s="1948">
        <v>222.48000000000002</v>
      </c>
      <c r="AH517" s="1948">
        <v>280.8</v>
      </c>
      <c r="AI517" s="1948">
        <v>0.92490000000000006</v>
      </c>
      <c r="AJ517" s="1948">
        <v>52.79</v>
      </c>
      <c r="AK517" s="1948">
        <v>87378</v>
      </c>
      <c r="AL517" s="1948">
        <f t="shared" si="111"/>
        <v>99315</v>
      </c>
      <c r="AM517" s="1948">
        <f t="shared" si="112"/>
        <v>0</v>
      </c>
      <c r="AN517" s="1948">
        <v>351</v>
      </c>
      <c r="AO517" s="1948">
        <v>236.16</v>
      </c>
      <c r="AP517" s="1948">
        <v>280.8</v>
      </c>
      <c r="AQ517" s="1948">
        <v>0.9012</v>
      </c>
      <c r="AR517" s="1948">
        <v>44.18</v>
      </c>
      <c r="AS517" s="1948">
        <v>77631</v>
      </c>
      <c r="AT517" s="1948">
        <f t="shared" si="113"/>
        <v>105422</v>
      </c>
      <c r="AU517" s="1948">
        <f t="shared" si="114"/>
        <v>0</v>
      </c>
      <c r="AV517" s="1948">
        <v>351</v>
      </c>
      <c r="AW517" s="1948">
        <v>237.83999999999997</v>
      </c>
      <c r="AX517" s="1948">
        <v>280.8</v>
      </c>
      <c r="AY517" s="1948">
        <v>0.89290000000000003</v>
      </c>
      <c r="AZ517" s="1948">
        <v>33.270000000000003</v>
      </c>
      <c r="BA517" s="1948">
        <v>56970</v>
      </c>
      <c r="BB517" s="1948">
        <f t="shared" si="115"/>
        <v>102747</v>
      </c>
      <c r="BC517" s="1948">
        <f t="shared" si="116"/>
        <v>0</v>
      </c>
      <c r="BD517" s="1949">
        <v>351</v>
      </c>
      <c r="BE517" s="1948">
        <v>230.64000000000001</v>
      </c>
      <c r="BF517" s="1949">
        <v>280.8</v>
      </c>
      <c r="BG517" s="1949">
        <v>0.87580000000000002</v>
      </c>
      <c r="BH517" s="1949">
        <v>43.74</v>
      </c>
      <c r="BI517" s="1948">
        <v>75051</v>
      </c>
      <c r="BJ517" s="1948">
        <f t="shared" si="117"/>
        <v>102958</v>
      </c>
      <c r="BK517" s="1948">
        <f t="shared" si="118"/>
        <v>0</v>
      </c>
    </row>
    <row r="518" spans="1:63" ht="15">
      <c r="A518" s="1946">
        <v>121000000005</v>
      </c>
      <c r="B518" s="1947">
        <f t="shared" si="119"/>
        <v>512</v>
      </c>
      <c r="C518" s="1906" t="s">
        <v>3366</v>
      </c>
      <c r="D518" s="1907" t="s">
        <v>524</v>
      </c>
      <c r="E518" s="1906" t="s">
        <v>541</v>
      </c>
      <c r="F518" s="1948" t="s">
        <v>259</v>
      </c>
      <c r="G518" s="1949">
        <v>353</v>
      </c>
      <c r="H518" s="1948">
        <v>353</v>
      </c>
      <c r="I518" s="1950">
        <v>413</v>
      </c>
      <c r="J518" s="1948">
        <v>413</v>
      </c>
      <c r="K518" s="1948">
        <v>0.98170000000000002</v>
      </c>
      <c r="L518" s="1948">
        <v>21.45</v>
      </c>
      <c r="M518" s="1948">
        <v>63783</v>
      </c>
      <c r="N518" s="1948">
        <f t="shared" si="105"/>
        <v>178416</v>
      </c>
      <c r="O518" s="1948">
        <f t="shared" si="106"/>
        <v>0</v>
      </c>
      <c r="P518" s="1948">
        <v>353</v>
      </c>
      <c r="Q518" s="1948">
        <v>404</v>
      </c>
      <c r="R518" s="1948">
        <v>404</v>
      </c>
      <c r="S518" s="1948">
        <v>0.97570000000000001</v>
      </c>
      <c r="T518" s="1948">
        <v>22.12</v>
      </c>
      <c r="U518" s="1948">
        <v>66475</v>
      </c>
      <c r="V518" s="1948">
        <f t="shared" si="107"/>
        <v>180346</v>
      </c>
      <c r="W518" s="1948">
        <f t="shared" si="108"/>
        <v>0</v>
      </c>
      <c r="X518" s="1948">
        <v>353</v>
      </c>
      <c r="Y518" s="1948">
        <v>419.8</v>
      </c>
      <c r="Z518" s="1948">
        <v>419.8</v>
      </c>
      <c r="AA518" s="1948">
        <v>0.96879999999999999</v>
      </c>
      <c r="AB518" s="1948">
        <v>21.62</v>
      </c>
      <c r="AC518" s="1948">
        <v>65360</v>
      </c>
      <c r="AD518" s="1948">
        <f t="shared" si="109"/>
        <v>181354</v>
      </c>
      <c r="AE518" s="1948">
        <f t="shared" si="110"/>
        <v>0</v>
      </c>
      <c r="AF518" s="1948">
        <v>353</v>
      </c>
      <c r="AG518" s="1948">
        <v>430</v>
      </c>
      <c r="AH518" s="1948">
        <v>430</v>
      </c>
      <c r="AI518" s="1948">
        <v>0.96970000000000001</v>
      </c>
      <c r="AJ518" s="1948">
        <v>22.4</v>
      </c>
      <c r="AK518" s="1948">
        <v>71655</v>
      </c>
      <c r="AL518" s="1948">
        <f t="shared" si="111"/>
        <v>191952</v>
      </c>
      <c r="AM518" s="1948">
        <f t="shared" si="112"/>
        <v>0</v>
      </c>
      <c r="AN518" s="1948">
        <v>353</v>
      </c>
      <c r="AO518" s="1948">
        <v>433</v>
      </c>
      <c r="AP518" s="1948">
        <v>433</v>
      </c>
      <c r="AQ518" s="1948">
        <v>0.97599999999999998</v>
      </c>
      <c r="AR518" s="1948">
        <v>25.34</v>
      </c>
      <c r="AS518" s="1948">
        <v>81622</v>
      </c>
      <c r="AT518" s="1948">
        <f t="shared" si="113"/>
        <v>193291</v>
      </c>
      <c r="AU518" s="1948">
        <f t="shared" si="114"/>
        <v>0</v>
      </c>
      <c r="AV518" s="1948">
        <v>353</v>
      </c>
      <c r="AW518" s="1948">
        <v>436.8</v>
      </c>
      <c r="AX518" s="1948">
        <v>436.8</v>
      </c>
      <c r="AY518" s="1948">
        <v>0.96499999999999997</v>
      </c>
      <c r="AZ518" s="1948">
        <v>25.76</v>
      </c>
      <c r="BA518" s="1948">
        <v>81023</v>
      </c>
      <c r="BB518" s="1948">
        <f t="shared" si="115"/>
        <v>188698</v>
      </c>
      <c r="BC518" s="1948">
        <f t="shared" si="116"/>
        <v>0</v>
      </c>
      <c r="BD518" s="1949">
        <v>353</v>
      </c>
      <c r="BE518" s="1948">
        <v>451.40000000000003</v>
      </c>
      <c r="BF518" s="1949">
        <v>451.4</v>
      </c>
      <c r="BG518" s="1949">
        <v>0.96009999999999995</v>
      </c>
      <c r="BH518" s="1949">
        <v>26.52</v>
      </c>
      <c r="BI518" s="1948">
        <v>89072</v>
      </c>
      <c r="BJ518" s="1948">
        <f t="shared" si="117"/>
        <v>201505</v>
      </c>
      <c r="BK518" s="1948">
        <f t="shared" si="118"/>
        <v>0</v>
      </c>
    </row>
    <row r="519" spans="1:63" ht="15">
      <c r="A519" s="1946">
        <v>614000000001</v>
      </c>
      <c r="B519" s="1947">
        <f t="shared" si="119"/>
        <v>513</v>
      </c>
      <c r="C519" s="1906" t="s">
        <v>3368</v>
      </c>
      <c r="D519" s="1907" t="s">
        <v>524</v>
      </c>
      <c r="E519" s="1906" t="s">
        <v>737</v>
      </c>
      <c r="F519" s="1948" t="s">
        <v>259</v>
      </c>
      <c r="G519" s="1949">
        <v>356</v>
      </c>
      <c r="H519" s="1948">
        <v>356</v>
      </c>
      <c r="I519" s="1950">
        <v>106.4</v>
      </c>
      <c r="J519" s="1948">
        <v>284.8</v>
      </c>
      <c r="K519" s="1948">
        <v>0.93769999999999998</v>
      </c>
      <c r="L519" s="1948">
        <v>44.25</v>
      </c>
      <c r="M519" s="1948">
        <v>33900</v>
      </c>
      <c r="N519" s="1948">
        <f t="shared" ref="N519:N582" si="120">+ROUND(24*30*0.6*I519,0)</f>
        <v>45965</v>
      </c>
      <c r="O519" s="1948">
        <f t="shared" ref="O519:O582" si="121">+MAX((M519-N519),0)</f>
        <v>0</v>
      </c>
      <c r="P519" s="1948">
        <v>356</v>
      </c>
      <c r="Q519" s="1948">
        <v>123.03999999999999</v>
      </c>
      <c r="R519" s="1948">
        <v>284.8</v>
      </c>
      <c r="S519" s="1948">
        <v>0.95860000000000001</v>
      </c>
      <c r="T519" s="1948">
        <v>42.87</v>
      </c>
      <c r="U519" s="1948">
        <v>39240</v>
      </c>
      <c r="V519" s="1948">
        <f t="shared" ref="V519:V582" si="122">+ROUND(24*31*0.6*Q519,0)</f>
        <v>54925</v>
      </c>
      <c r="W519" s="1948">
        <f t="shared" ref="W519:W582" si="123">+MAX((U519-V519),0)</f>
        <v>0</v>
      </c>
      <c r="X519" s="1948">
        <v>356</v>
      </c>
      <c r="Y519" s="1948">
        <v>125.27999999999999</v>
      </c>
      <c r="Z519" s="1948">
        <v>284.8</v>
      </c>
      <c r="AA519" s="1948">
        <v>0.95830000000000004</v>
      </c>
      <c r="AB519" s="1948">
        <v>44.4</v>
      </c>
      <c r="AC519" s="1948">
        <v>40046</v>
      </c>
      <c r="AD519" s="1948">
        <f t="shared" ref="AD519:AD582" si="124">+ROUND(24*30*0.6*Y519,0)</f>
        <v>54121</v>
      </c>
      <c r="AE519" s="1948">
        <f t="shared" ref="AE519:AE582" si="125">+MAX((AC519-AD519),0)</f>
        <v>0</v>
      </c>
      <c r="AF519" s="1948">
        <v>356</v>
      </c>
      <c r="AG519" s="1948">
        <v>104.96000000000001</v>
      </c>
      <c r="AH519" s="1948">
        <v>284.8</v>
      </c>
      <c r="AI519" s="1948">
        <v>0.96199999999999997</v>
      </c>
      <c r="AJ519" s="1948">
        <v>51.97</v>
      </c>
      <c r="AK519" s="1948">
        <v>40586</v>
      </c>
      <c r="AL519" s="1948">
        <f t="shared" ref="AL519:AL582" si="126">+ROUND(24*31*0.6*AG519,0)</f>
        <v>46854</v>
      </c>
      <c r="AM519" s="1948">
        <f t="shared" ref="AM519:AM582" si="127">+MAX((AK519-AL519),0)</f>
        <v>0</v>
      </c>
      <c r="AN519" s="1948">
        <v>356</v>
      </c>
      <c r="AO519" s="1948">
        <v>106.72</v>
      </c>
      <c r="AP519" s="1948">
        <v>284.8</v>
      </c>
      <c r="AQ519" s="1948">
        <v>0.95709999999999995</v>
      </c>
      <c r="AR519" s="1948">
        <v>50.95</v>
      </c>
      <c r="AS519" s="1948">
        <v>40458</v>
      </c>
      <c r="AT519" s="1948">
        <f t="shared" ref="AT519:AT582" si="128">+ROUND(24*31*0.6*AO519,0)</f>
        <v>47640</v>
      </c>
      <c r="AU519" s="1948">
        <f t="shared" ref="AU519:AU582" si="129">+MAX((AS519-AT519),0)</f>
        <v>0</v>
      </c>
      <c r="AV519" s="1948">
        <v>356</v>
      </c>
      <c r="AW519" s="1948">
        <v>110.08</v>
      </c>
      <c r="AX519" s="1948">
        <v>284.8</v>
      </c>
      <c r="AY519" s="1948">
        <v>0.95289999999999997</v>
      </c>
      <c r="AZ519" s="1948">
        <v>51.68</v>
      </c>
      <c r="BA519" s="1948">
        <v>40960</v>
      </c>
      <c r="BB519" s="1948">
        <f t="shared" ref="BB519:BB582" si="130">+ROUND(24*30*0.6*AW519,0)</f>
        <v>47555</v>
      </c>
      <c r="BC519" s="1948">
        <f t="shared" ref="BC519:BC582" si="131">+MAX((BA519-BB519),0)</f>
        <v>0</v>
      </c>
      <c r="BD519" s="1949">
        <v>356</v>
      </c>
      <c r="BE519" s="1948">
        <v>105.28</v>
      </c>
      <c r="BF519" s="1949">
        <v>284.8</v>
      </c>
      <c r="BG519" s="1949">
        <v>0.93269999999999997</v>
      </c>
      <c r="BH519" s="1949">
        <v>48.53</v>
      </c>
      <c r="BI519" s="1948">
        <v>38016</v>
      </c>
      <c r="BJ519" s="1948">
        <f t="shared" ref="BJ519:BJ582" si="132">+ROUND(24*31*0.6*BE519,0)</f>
        <v>46997</v>
      </c>
      <c r="BK519" s="1948">
        <f t="shared" ref="BK519:BK582" si="133">+MAX((BI519-BJ519),0)</f>
        <v>0</v>
      </c>
    </row>
    <row r="520" spans="1:63" ht="15">
      <c r="A520" s="1946">
        <v>613000000021</v>
      </c>
      <c r="B520" s="1947">
        <f t="shared" si="119"/>
        <v>514</v>
      </c>
      <c r="C520" s="1906" t="s">
        <v>3367</v>
      </c>
      <c r="D520" s="1907" t="s">
        <v>524</v>
      </c>
      <c r="E520" s="1906" t="s">
        <v>541</v>
      </c>
      <c r="F520" s="1948" t="s">
        <v>259</v>
      </c>
      <c r="G520" s="1949">
        <v>356</v>
      </c>
      <c r="H520" s="1948">
        <v>356</v>
      </c>
      <c r="I520" s="1950">
        <v>146.4</v>
      </c>
      <c r="J520" s="1948">
        <v>284.8</v>
      </c>
      <c r="K520" s="1948">
        <v>0.96899999999999997</v>
      </c>
      <c r="L520" s="1948">
        <v>35.14</v>
      </c>
      <c r="M520" s="1948">
        <v>40748</v>
      </c>
      <c r="N520" s="1948">
        <f t="shared" si="120"/>
        <v>63245</v>
      </c>
      <c r="O520" s="1948">
        <f t="shared" si="121"/>
        <v>0</v>
      </c>
      <c r="P520" s="1948">
        <v>356</v>
      </c>
      <c r="Q520" s="1948">
        <v>143.6</v>
      </c>
      <c r="R520" s="1948">
        <v>284.8</v>
      </c>
      <c r="S520" s="1948">
        <v>0.97450000000000003</v>
      </c>
      <c r="T520" s="1948">
        <v>45.81</v>
      </c>
      <c r="U520" s="1948">
        <v>48945</v>
      </c>
      <c r="V520" s="1948">
        <f t="shared" si="122"/>
        <v>64103</v>
      </c>
      <c r="W520" s="1948">
        <f t="shared" si="123"/>
        <v>0</v>
      </c>
      <c r="X520" s="1948">
        <v>356</v>
      </c>
      <c r="Y520" s="1948">
        <v>139.6</v>
      </c>
      <c r="Z520" s="1948">
        <v>284.8</v>
      </c>
      <c r="AA520" s="1948">
        <v>0.89510000000000001</v>
      </c>
      <c r="AB520" s="1948">
        <v>14.48</v>
      </c>
      <c r="AC520" s="1948">
        <v>14550</v>
      </c>
      <c r="AD520" s="1948">
        <f t="shared" si="124"/>
        <v>60307</v>
      </c>
      <c r="AE520" s="1948">
        <f t="shared" si="125"/>
        <v>0</v>
      </c>
      <c r="AF520" s="1948">
        <v>356</v>
      </c>
      <c r="AG520" s="1948">
        <v>152.60000000000002</v>
      </c>
      <c r="AH520" s="1948">
        <v>284.8</v>
      </c>
      <c r="AI520" s="1948">
        <v>0.97</v>
      </c>
      <c r="AJ520" s="1948">
        <v>45.16</v>
      </c>
      <c r="AK520" s="1948">
        <v>51275</v>
      </c>
      <c r="AL520" s="1948">
        <f t="shared" si="126"/>
        <v>68121</v>
      </c>
      <c r="AM520" s="1948">
        <f t="shared" si="127"/>
        <v>0</v>
      </c>
      <c r="AN520" s="1948">
        <v>356</v>
      </c>
      <c r="AO520" s="1948">
        <v>207</v>
      </c>
      <c r="AP520" s="1948">
        <v>284.8</v>
      </c>
      <c r="AQ520" s="1948">
        <v>0.68740000000000001</v>
      </c>
      <c r="AR520" s="1948">
        <v>38.1</v>
      </c>
      <c r="AS520" s="1948">
        <v>58680</v>
      </c>
      <c r="AT520" s="1948">
        <f t="shared" si="128"/>
        <v>92405</v>
      </c>
      <c r="AU520" s="1948">
        <f t="shared" si="129"/>
        <v>0</v>
      </c>
      <c r="AV520" s="1948">
        <v>356</v>
      </c>
      <c r="AW520" s="1948">
        <v>206</v>
      </c>
      <c r="AX520" s="1948">
        <v>284.8</v>
      </c>
      <c r="AY520" s="1948">
        <v>0.92320000000000002</v>
      </c>
      <c r="AZ520" s="1948">
        <v>32.32</v>
      </c>
      <c r="BA520" s="1948">
        <v>47935</v>
      </c>
      <c r="BB520" s="1948">
        <f t="shared" si="130"/>
        <v>88992</v>
      </c>
      <c r="BC520" s="1948">
        <f t="shared" si="131"/>
        <v>0</v>
      </c>
      <c r="BD520" s="1949">
        <v>356</v>
      </c>
      <c r="BE520" s="1948">
        <v>104.2</v>
      </c>
      <c r="BF520" s="1949">
        <v>284.8</v>
      </c>
      <c r="BG520" s="1949">
        <v>0.95269999999999999</v>
      </c>
      <c r="BH520" s="1949">
        <v>7.1</v>
      </c>
      <c r="BI520" s="1948">
        <v>5503</v>
      </c>
      <c r="BJ520" s="1948">
        <f t="shared" si="132"/>
        <v>46515</v>
      </c>
      <c r="BK520" s="1948">
        <f t="shared" si="133"/>
        <v>0</v>
      </c>
    </row>
    <row r="521" spans="1:63" ht="15">
      <c r="A521" s="1946">
        <v>121000000040</v>
      </c>
      <c r="B521" s="1947">
        <f t="shared" ref="B521:B584" si="134">+B520+1</f>
        <v>515</v>
      </c>
      <c r="C521" s="1906" t="s">
        <v>3369</v>
      </c>
      <c r="D521" s="1907" t="s">
        <v>524</v>
      </c>
      <c r="E521" s="1906" t="s">
        <v>2966</v>
      </c>
      <c r="F521" s="1948" t="s">
        <v>259</v>
      </c>
      <c r="G521" s="1949">
        <v>358</v>
      </c>
      <c r="H521" s="1948">
        <v>358</v>
      </c>
      <c r="I521" s="1950">
        <v>29.439999999999998</v>
      </c>
      <c r="J521" s="1948">
        <v>358</v>
      </c>
      <c r="K521" s="1948">
        <v>0.98640000000000005</v>
      </c>
      <c r="L521" s="1948">
        <v>0</v>
      </c>
      <c r="M521" s="1948">
        <v>7524</v>
      </c>
      <c r="N521" s="1948">
        <f t="shared" si="120"/>
        <v>12718</v>
      </c>
      <c r="O521" s="1948">
        <f t="shared" si="121"/>
        <v>0</v>
      </c>
      <c r="P521" s="1948">
        <v>358</v>
      </c>
      <c r="Q521" s="1948">
        <v>35.04</v>
      </c>
      <c r="R521" s="1948">
        <v>358</v>
      </c>
      <c r="S521" s="1948">
        <v>0.98099999999999998</v>
      </c>
      <c r="T521" s="1948">
        <v>0</v>
      </c>
      <c r="U521" s="1948">
        <v>6636</v>
      </c>
      <c r="V521" s="1948">
        <f t="shared" si="122"/>
        <v>15642</v>
      </c>
      <c r="W521" s="1948">
        <f t="shared" si="123"/>
        <v>0</v>
      </c>
      <c r="X521" s="1948">
        <v>358</v>
      </c>
      <c r="Y521" s="1948">
        <v>44.48</v>
      </c>
      <c r="Z521" s="1948">
        <v>358</v>
      </c>
      <c r="AA521" s="1948">
        <v>0.93459999999999999</v>
      </c>
      <c r="AB521" s="1948">
        <v>0</v>
      </c>
      <c r="AC521" s="1948">
        <v>9912</v>
      </c>
      <c r="AD521" s="1948">
        <f t="shared" si="124"/>
        <v>19215</v>
      </c>
      <c r="AE521" s="1948">
        <f t="shared" si="125"/>
        <v>0</v>
      </c>
      <c r="AF521" s="1948">
        <v>358</v>
      </c>
      <c r="AG521" s="1948">
        <v>48.480000000000004</v>
      </c>
      <c r="AH521" s="1948">
        <v>358</v>
      </c>
      <c r="AI521" s="1948">
        <v>0.92649999999999999</v>
      </c>
      <c r="AJ521" s="1948">
        <v>0</v>
      </c>
      <c r="AK521" s="1948">
        <v>10676</v>
      </c>
      <c r="AL521" s="1948">
        <f t="shared" si="126"/>
        <v>21641</v>
      </c>
      <c r="AM521" s="1948">
        <f t="shared" si="127"/>
        <v>0</v>
      </c>
      <c r="AN521" s="1948">
        <v>358</v>
      </c>
      <c r="AO521" s="1948">
        <v>34.72</v>
      </c>
      <c r="AP521" s="1948">
        <v>358</v>
      </c>
      <c r="AQ521" s="1948">
        <v>0.9113</v>
      </c>
      <c r="AR521" s="1948">
        <v>0</v>
      </c>
      <c r="AS521" s="1948">
        <v>6562</v>
      </c>
      <c r="AT521" s="1948">
        <f t="shared" si="128"/>
        <v>15499</v>
      </c>
      <c r="AU521" s="1948">
        <f t="shared" si="129"/>
        <v>0</v>
      </c>
      <c r="AV521" s="1948">
        <v>358</v>
      </c>
      <c r="AW521" s="1948">
        <v>36.015999999999998</v>
      </c>
      <c r="AX521" s="1948">
        <v>358</v>
      </c>
      <c r="AY521" s="1948">
        <v>0.91620000000000001</v>
      </c>
      <c r="AZ521" s="1948">
        <v>0</v>
      </c>
      <c r="BA521" s="1948">
        <v>3186</v>
      </c>
      <c r="BB521" s="1948">
        <f t="shared" si="130"/>
        <v>15559</v>
      </c>
      <c r="BC521" s="1948">
        <f t="shared" si="131"/>
        <v>0</v>
      </c>
      <c r="BD521" s="1949">
        <v>358</v>
      </c>
      <c r="BE521" s="1948">
        <v>45.48</v>
      </c>
      <c r="BF521" s="1949">
        <v>358</v>
      </c>
      <c r="BG521" s="1949">
        <v>0.86339999999999995</v>
      </c>
      <c r="BH521" s="1949">
        <v>0</v>
      </c>
      <c r="BI521" s="1948">
        <v>8830</v>
      </c>
      <c r="BJ521" s="1948">
        <f t="shared" si="132"/>
        <v>20302</v>
      </c>
      <c r="BK521" s="1948">
        <f t="shared" si="133"/>
        <v>0</v>
      </c>
    </row>
    <row r="522" spans="1:63" ht="15">
      <c r="A522" s="1946">
        <v>126000000031</v>
      </c>
      <c r="B522" s="1947">
        <f t="shared" si="134"/>
        <v>516</v>
      </c>
      <c r="C522" s="1906" t="s">
        <v>3370</v>
      </c>
      <c r="D522" s="1907" t="s">
        <v>524</v>
      </c>
      <c r="E522" s="1906" t="s">
        <v>541</v>
      </c>
      <c r="F522" s="1948" t="s">
        <v>259</v>
      </c>
      <c r="G522" s="1949">
        <v>361</v>
      </c>
      <c r="H522" s="1948">
        <v>361</v>
      </c>
      <c r="I522" s="1950">
        <v>351.35999999999996</v>
      </c>
      <c r="J522" s="1948">
        <v>351.36</v>
      </c>
      <c r="K522" s="1948">
        <v>0.95599999999999996</v>
      </c>
      <c r="L522" s="1948">
        <v>26.69</v>
      </c>
      <c r="M522" s="1948">
        <v>67512</v>
      </c>
      <c r="N522" s="1948">
        <f t="shared" si="120"/>
        <v>151788</v>
      </c>
      <c r="O522" s="1948">
        <f t="shared" si="121"/>
        <v>0</v>
      </c>
      <c r="P522" s="1948">
        <v>361</v>
      </c>
      <c r="Q522" s="1948">
        <v>359.36</v>
      </c>
      <c r="R522" s="1948">
        <v>359.36</v>
      </c>
      <c r="S522" s="1948">
        <v>0.93759999999999999</v>
      </c>
      <c r="T522" s="1948">
        <v>28.78</v>
      </c>
      <c r="U522" s="1948">
        <v>76946</v>
      </c>
      <c r="V522" s="1948">
        <f t="shared" si="122"/>
        <v>160418</v>
      </c>
      <c r="W522" s="1948">
        <f t="shared" si="123"/>
        <v>0</v>
      </c>
      <c r="X522" s="1948">
        <v>361</v>
      </c>
      <c r="Y522" s="1948">
        <v>329.44</v>
      </c>
      <c r="Z522" s="1948">
        <v>329.44</v>
      </c>
      <c r="AA522" s="1948">
        <v>0.95020000000000004</v>
      </c>
      <c r="AB522" s="1948">
        <v>16.079999999999998</v>
      </c>
      <c r="AC522" s="1948">
        <v>38140</v>
      </c>
      <c r="AD522" s="1948">
        <f t="shared" si="124"/>
        <v>142318</v>
      </c>
      <c r="AE522" s="1948">
        <f t="shared" si="125"/>
        <v>0</v>
      </c>
      <c r="AF522" s="1948">
        <v>361</v>
      </c>
      <c r="AG522" s="1948">
        <v>332.64</v>
      </c>
      <c r="AH522" s="1948">
        <v>332.64</v>
      </c>
      <c r="AI522" s="1948">
        <v>0.96240000000000003</v>
      </c>
      <c r="AJ522" s="1948">
        <v>30.47</v>
      </c>
      <c r="AK522" s="1948">
        <v>75400</v>
      </c>
      <c r="AL522" s="1948">
        <f t="shared" si="126"/>
        <v>148490</v>
      </c>
      <c r="AM522" s="1948">
        <f t="shared" si="127"/>
        <v>0</v>
      </c>
      <c r="AN522" s="1948">
        <v>361</v>
      </c>
      <c r="AO522" s="1948">
        <v>354.24</v>
      </c>
      <c r="AP522" s="1948">
        <v>354.24</v>
      </c>
      <c r="AQ522" s="1948">
        <v>0.93700000000000006</v>
      </c>
      <c r="AR522" s="1948">
        <v>33.020000000000003</v>
      </c>
      <c r="AS522" s="1948">
        <v>87034</v>
      </c>
      <c r="AT522" s="1948">
        <f t="shared" si="128"/>
        <v>158133</v>
      </c>
      <c r="AU522" s="1948">
        <f t="shared" si="129"/>
        <v>0</v>
      </c>
      <c r="AV522" s="1948">
        <v>361</v>
      </c>
      <c r="AW522" s="1948">
        <v>364.8</v>
      </c>
      <c r="AX522" s="1948">
        <v>364.8</v>
      </c>
      <c r="AY522" s="1948">
        <v>0.89990000000000003</v>
      </c>
      <c r="AZ522" s="1948">
        <v>46.82</v>
      </c>
      <c r="BA522" s="1948">
        <v>122970</v>
      </c>
      <c r="BB522" s="1948">
        <f t="shared" si="130"/>
        <v>157594</v>
      </c>
      <c r="BC522" s="1948">
        <f t="shared" si="131"/>
        <v>0</v>
      </c>
      <c r="BD522" s="1949">
        <v>361</v>
      </c>
      <c r="BE522" s="1948">
        <v>308</v>
      </c>
      <c r="BF522" s="1949">
        <v>308</v>
      </c>
      <c r="BG522" s="1949">
        <v>0.98819999999999997</v>
      </c>
      <c r="BH522" s="1949">
        <v>42.62</v>
      </c>
      <c r="BI522" s="1948">
        <v>97666</v>
      </c>
      <c r="BJ522" s="1948">
        <f t="shared" si="132"/>
        <v>137491</v>
      </c>
      <c r="BK522" s="1948">
        <f t="shared" si="133"/>
        <v>0</v>
      </c>
    </row>
    <row r="523" spans="1:63" ht="15">
      <c r="A523" s="1946">
        <v>611000000102</v>
      </c>
      <c r="B523" s="1947">
        <f t="shared" si="134"/>
        <v>517</v>
      </c>
      <c r="C523" s="1906" t="s">
        <v>3371</v>
      </c>
      <c r="D523" s="1907" t="s">
        <v>524</v>
      </c>
      <c r="E523" s="1906" t="s">
        <v>636</v>
      </c>
      <c r="F523" s="1948" t="s">
        <v>259</v>
      </c>
      <c r="G523" s="1949">
        <v>361</v>
      </c>
      <c r="H523" s="1948">
        <v>361</v>
      </c>
      <c r="I523" s="1950">
        <v>138.96</v>
      </c>
      <c r="J523" s="1948">
        <v>288.8</v>
      </c>
      <c r="K523" s="1948">
        <v>0.99850000000000005</v>
      </c>
      <c r="L523" s="1948">
        <v>50.1</v>
      </c>
      <c r="M523" s="1948">
        <v>50124</v>
      </c>
      <c r="N523" s="1948">
        <f t="shared" si="120"/>
        <v>60031</v>
      </c>
      <c r="O523" s="1948">
        <f t="shared" si="121"/>
        <v>0</v>
      </c>
      <c r="P523" s="1948">
        <v>361</v>
      </c>
      <c r="Q523" s="1948">
        <v>141.36000000000001</v>
      </c>
      <c r="R523" s="1948">
        <v>288.8</v>
      </c>
      <c r="S523" s="1948">
        <v>0.99870000000000003</v>
      </c>
      <c r="T523" s="1948">
        <v>52.17</v>
      </c>
      <c r="U523" s="1948">
        <v>54867</v>
      </c>
      <c r="V523" s="1948">
        <f t="shared" si="122"/>
        <v>63103</v>
      </c>
      <c r="W523" s="1948">
        <f t="shared" si="123"/>
        <v>0</v>
      </c>
      <c r="X523" s="1948">
        <v>361</v>
      </c>
      <c r="Y523" s="1948">
        <v>141.36000000000001</v>
      </c>
      <c r="Z523" s="1948">
        <v>288.8</v>
      </c>
      <c r="AA523" s="1948">
        <v>0.99880000000000002</v>
      </c>
      <c r="AB523" s="1948">
        <v>56.42</v>
      </c>
      <c r="AC523" s="1948">
        <v>57420</v>
      </c>
      <c r="AD523" s="1948">
        <f t="shared" si="124"/>
        <v>61068</v>
      </c>
      <c r="AE523" s="1948">
        <f t="shared" si="125"/>
        <v>0</v>
      </c>
      <c r="AF523" s="1948">
        <v>361</v>
      </c>
      <c r="AG523" s="1948">
        <v>133.68</v>
      </c>
      <c r="AH523" s="1948">
        <v>288.8</v>
      </c>
      <c r="AI523" s="1948">
        <v>0.99860000000000004</v>
      </c>
      <c r="AJ523" s="1948">
        <v>53.18</v>
      </c>
      <c r="AK523" s="1948">
        <v>52887</v>
      </c>
      <c r="AL523" s="1948">
        <f t="shared" si="126"/>
        <v>59675</v>
      </c>
      <c r="AM523" s="1948">
        <f t="shared" si="127"/>
        <v>0</v>
      </c>
      <c r="AN523" s="1948">
        <v>361</v>
      </c>
      <c r="AO523" s="1948">
        <v>132</v>
      </c>
      <c r="AP523" s="1948">
        <v>288.8</v>
      </c>
      <c r="AQ523" s="1948">
        <v>0.998</v>
      </c>
      <c r="AR523" s="1948">
        <v>48.23</v>
      </c>
      <c r="AS523" s="1948">
        <v>47370</v>
      </c>
      <c r="AT523" s="1948">
        <f t="shared" si="128"/>
        <v>58925</v>
      </c>
      <c r="AU523" s="1948">
        <f t="shared" si="129"/>
        <v>0</v>
      </c>
      <c r="AV523" s="1948">
        <v>361</v>
      </c>
      <c r="AW523" s="1948">
        <v>131.76</v>
      </c>
      <c r="AX523" s="1948">
        <v>288.8</v>
      </c>
      <c r="AY523" s="1948">
        <v>0.99729999999999996</v>
      </c>
      <c r="AZ523" s="1948">
        <v>54.98</v>
      </c>
      <c r="BA523" s="1948">
        <v>52155</v>
      </c>
      <c r="BB523" s="1948">
        <f t="shared" si="130"/>
        <v>56920</v>
      </c>
      <c r="BC523" s="1948">
        <f t="shared" si="131"/>
        <v>0</v>
      </c>
      <c r="BD523" s="1949">
        <v>361</v>
      </c>
      <c r="BE523" s="1948">
        <v>145.44</v>
      </c>
      <c r="BF523" s="1949">
        <v>288.8</v>
      </c>
      <c r="BG523" s="1949">
        <v>0.99529999999999996</v>
      </c>
      <c r="BH523" s="1949">
        <v>47.21</v>
      </c>
      <c r="BI523" s="1948">
        <v>51090</v>
      </c>
      <c r="BJ523" s="1948">
        <f t="shared" si="132"/>
        <v>64924</v>
      </c>
      <c r="BK523" s="1948">
        <f t="shared" si="133"/>
        <v>0</v>
      </c>
    </row>
    <row r="524" spans="1:63" ht="15">
      <c r="A524" s="1946">
        <v>621000000017</v>
      </c>
      <c r="B524" s="1947">
        <f t="shared" si="134"/>
        <v>518</v>
      </c>
      <c r="C524" s="1906" t="s">
        <v>3372</v>
      </c>
      <c r="D524" s="1907" t="s">
        <v>524</v>
      </c>
      <c r="E524" s="1906" t="s">
        <v>541</v>
      </c>
      <c r="F524" s="1948" t="s">
        <v>259</v>
      </c>
      <c r="G524" s="1949">
        <v>361</v>
      </c>
      <c r="H524" s="1948">
        <v>361</v>
      </c>
      <c r="I524" s="1950">
        <v>10.08</v>
      </c>
      <c r="J524" s="1948">
        <v>288.8</v>
      </c>
      <c r="K524" s="1948">
        <v>0.3594</v>
      </c>
      <c r="L524" s="1948">
        <v>55.43</v>
      </c>
      <c r="M524" s="1948">
        <v>4023</v>
      </c>
      <c r="N524" s="1948">
        <f t="shared" si="120"/>
        <v>4355</v>
      </c>
      <c r="O524" s="1948">
        <f t="shared" si="121"/>
        <v>0</v>
      </c>
      <c r="P524" s="1948">
        <v>361</v>
      </c>
      <c r="Q524" s="1948">
        <v>11.04</v>
      </c>
      <c r="R524" s="1948">
        <v>288.8</v>
      </c>
      <c r="S524" s="1948">
        <v>0.3695</v>
      </c>
      <c r="T524" s="1948">
        <v>51.79</v>
      </c>
      <c r="U524" s="1948">
        <v>4254</v>
      </c>
      <c r="V524" s="1948">
        <f t="shared" si="122"/>
        <v>4928</v>
      </c>
      <c r="W524" s="1948">
        <f t="shared" si="123"/>
        <v>0</v>
      </c>
      <c r="X524" s="1948">
        <v>361</v>
      </c>
      <c r="Y524" s="1948">
        <v>12.24</v>
      </c>
      <c r="Z524" s="1948">
        <v>288.8</v>
      </c>
      <c r="AA524" s="1948">
        <v>0.35139999999999999</v>
      </c>
      <c r="AB524" s="1948">
        <v>38.26</v>
      </c>
      <c r="AC524" s="1948">
        <v>3372</v>
      </c>
      <c r="AD524" s="1948">
        <f t="shared" si="124"/>
        <v>5288</v>
      </c>
      <c r="AE524" s="1948">
        <f t="shared" si="125"/>
        <v>0</v>
      </c>
      <c r="AF524" s="1948">
        <v>361</v>
      </c>
      <c r="AG524" s="1948">
        <v>273.36</v>
      </c>
      <c r="AH524" s="1948">
        <v>288.8</v>
      </c>
      <c r="AI524" s="1948">
        <v>0.46039999999999998</v>
      </c>
      <c r="AJ524" s="1948">
        <v>2.4</v>
      </c>
      <c r="AK524" s="1948">
        <v>4098</v>
      </c>
      <c r="AL524" s="1948">
        <f t="shared" si="126"/>
        <v>122028</v>
      </c>
      <c r="AM524" s="1948">
        <f t="shared" si="127"/>
        <v>0</v>
      </c>
      <c r="AN524" s="1948">
        <v>361</v>
      </c>
      <c r="AO524" s="1948">
        <v>242.4</v>
      </c>
      <c r="AP524" s="1948">
        <v>288.8</v>
      </c>
      <c r="AQ524" s="1948">
        <v>0.79210000000000003</v>
      </c>
      <c r="AR524" s="1948">
        <v>3.11</v>
      </c>
      <c r="AS524" s="1948">
        <v>6510</v>
      </c>
      <c r="AT524" s="1948">
        <f t="shared" si="128"/>
        <v>108207</v>
      </c>
      <c r="AU524" s="1948">
        <f t="shared" si="129"/>
        <v>0</v>
      </c>
      <c r="AV524" s="1948">
        <v>361</v>
      </c>
      <c r="AW524" s="1948">
        <v>20.400000000000002</v>
      </c>
      <c r="AX524" s="1948">
        <v>288.8</v>
      </c>
      <c r="AY524" s="1948">
        <v>0.97950000000000004</v>
      </c>
      <c r="AZ524" s="1948">
        <v>13.42</v>
      </c>
      <c r="BA524" s="1948">
        <v>1905</v>
      </c>
      <c r="BB524" s="1948">
        <f t="shared" si="130"/>
        <v>8813</v>
      </c>
      <c r="BC524" s="1948">
        <f t="shared" si="131"/>
        <v>0</v>
      </c>
      <c r="BD524" s="1949">
        <v>361</v>
      </c>
      <c r="BE524" s="1948">
        <v>252.24</v>
      </c>
      <c r="BF524" s="1949">
        <v>288.8</v>
      </c>
      <c r="BG524" s="1949">
        <v>0.74819999999999998</v>
      </c>
      <c r="BH524" s="1949">
        <v>2.71</v>
      </c>
      <c r="BI524" s="1948">
        <v>5244</v>
      </c>
      <c r="BJ524" s="1948">
        <f t="shared" si="132"/>
        <v>112600</v>
      </c>
      <c r="BK524" s="1948">
        <f t="shared" si="133"/>
        <v>0</v>
      </c>
    </row>
    <row r="525" spans="1:63" ht="15">
      <c r="A525" s="1946">
        <v>123000000145</v>
      </c>
      <c r="B525" s="1947">
        <f t="shared" si="134"/>
        <v>519</v>
      </c>
      <c r="C525" s="1906" t="s">
        <v>3583</v>
      </c>
      <c r="D525" s="1907" t="s">
        <v>524</v>
      </c>
      <c r="E525" s="1906" t="s">
        <v>541</v>
      </c>
      <c r="F525" s="1948" t="s">
        <v>259</v>
      </c>
      <c r="G525" s="1949">
        <v>367</v>
      </c>
      <c r="H525" s="1948">
        <v>367</v>
      </c>
      <c r="I525" s="1950">
        <v>423.67999999999995</v>
      </c>
      <c r="J525" s="1948">
        <v>423.68</v>
      </c>
      <c r="K525" s="1948">
        <v>0.8528</v>
      </c>
      <c r="L525" s="1948">
        <v>6.05</v>
      </c>
      <c r="M525" s="1948">
        <v>19680</v>
      </c>
      <c r="N525" s="1948">
        <f t="shared" si="120"/>
        <v>183030</v>
      </c>
      <c r="O525" s="1948">
        <f t="shared" si="121"/>
        <v>0</v>
      </c>
      <c r="P525" s="1948">
        <v>367</v>
      </c>
      <c r="Q525" s="1948">
        <v>473.28000000000003</v>
      </c>
      <c r="R525" s="1948">
        <v>473.28</v>
      </c>
      <c r="S525" s="1948">
        <v>0.91639999999999999</v>
      </c>
      <c r="T525" s="1948">
        <v>8</v>
      </c>
      <c r="U525" s="1948">
        <v>28158</v>
      </c>
      <c r="V525" s="1948">
        <f t="shared" si="122"/>
        <v>211272</v>
      </c>
      <c r="W525" s="1948">
        <f t="shared" si="123"/>
        <v>0</v>
      </c>
      <c r="X525" s="1948">
        <v>367</v>
      </c>
      <c r="Y525" s="1948">
        <v>350.08</v>
      </c>
      <c r="Z525" s="1948">
        <v>350.08</v>
      </c>
      <c r="AA525" s="1948">
        <v>0.95640000000000003</v>
      </c>
      <c r="AB525" s="1948">
        <v>14.15</v>
      </c>
      <c r="AC525" s="1948">
        <v>35670</v>
      </c>
      <c r="AD525" s="1948">
        <f t="shared" si="124"/>
        <v>151235</v>
      </c>
      <c r="AE525" s="1948">
        <f t="shared" si="125"/>
        <v>0</v>
      </c>
      <c r="AF525" s="1948">
        <v>367</v>
      </c>
      <c r="AG525" s="1948">
        <v>322.24</v>
      </c>
      <c r="AH525" s="1948">
        <v>322.24</v>
      </c>
      <c r="AI525" s="1948">
        <v>0.95489999999999997</v>
      </c>
      <c r="AJ525" s="1948">
        <v>12.32</v>
      </c>
      <c r="AK525" s="1948">
        <v>29538</v>
      </c>
      <c r="AL525" s="1948">
        <f t="shared" si="126"/>
        <v>143848</v>
      </c>
      <c r="AM525" s="1948">
        <f t="shared" si="127"/>
        <v>0</v>
      </c>
      <c r="AN525" s="1948">
        <v>367</v>
      </c>
      <c r="AO525" s="1948">
        <v>345.28</v>
      </c>
      <c r="AP525" s="1948">
        <v>345.28</v>
      </c>
      <c r="AQ525" s="1948">
        <v>0.92369999999999997</v>
      </c>
      <c r="AR525" s="1948">
        <v>9.9700000000000006</v>
      </c>
      <c r="AS525" s="1948">
        <v>25618</v>
      </c>
      <c r="AT525" s="1948">
        <f t="shared" si="128"/>
        <v>154133</v>
      </c>
      <c r="AU525" s="1948">
        <f t="shared" si="129"/>
        <v>0</v>
      </c>
      <c r="AV525" s="1948">
        <v>367</v>
      </c>
      <c r="AW525" s="1948">
        <v>17.599999999999998</v>
      </c>
      <c r="AX525" s="1948">
        <v>293.60000000000002</v>
      </c>
      <c r="AY525" s="1948">
        <v>0.41049999999999998</v>
      </c>
      <c r="AZ525" s="1948">
        <v>28.76</v>
      </c>
      <c r="BA525" s="1948">
        <v>3644</v>
      </c>
      <c r="BB525" s="1948">
        <f t="shared" si="130"/>
        <v>7603</v>
      </c>
      <c r="BC525" s="1948">
        <f t="shared" si="131"/>
        <v>0</v>
      </c>
      <c r="BD525" s="1949">
        <v>367</v>
      </c>
      <c r="BE525" s="1948">
        <v>19.68</v>
      </c>
      <c r="BF525" s="1949">
        <v>293.60000000000002</v>
      </c>
      <c r="BG525" s="1949">
        <v>0.40210000000000001</v>
      </c>
      <c r="BH525" s="1949">
        <v>26.46</v>
      </c>
      <c r="BI525" s="1948">
        <v>3874</v>
      </c>
      <c r="BJ525" s="1948">
        <f t="shared" si="132"/>
        <v>8785</v>
      </c>
      <c r="BK525" s="1948">
        <f t="shared" si="133"/>
        <v>0</v>
      </c>
    </row>
    <row r="526" spans="1:63" ht="15">
      <c r="A526" s="1946">
        <v>124000000029</v>
      </c>
      <c r="B526" s="1947">
        <f t="shared" si="134"/>
        <v>520</v>
      </c>
      <c r="C526" s="1906" t="s">
        <v>3373</v>
      </c>
      <c r="D526" s="1907" t="s">
        <v>524</v>
      </c>
      <c r="E526" s="1906" t="s">
        <v>737</v>
      </c>
      <c r="F526" s="1948" t="s">
        <v>259</v>
      </c>
      <c r="G526" s="1949">
        <v>370</v>
      </c>
      <c r="H526" s="1948">
        <v>370</v>
      </c>
      <c r="I526" s="1950">
        <v>142.08000000000001</v>
      </c>
      <c r="J526" s="1948">
        <v>296</v>
      </c>
      <c r="K526" s="1948">
        <v>0.95250000000000001</v>
      </c>
      <c r="L526" s="1948">
        <v>19.260000000000002</v>
      </c>
      <c r="M526" s="1948">
        <v>19698</v>
      </c>
      <c r="N526" s="1948">
        <f t="shared" si="120"/>
        <v>61379</v>
      </c>
      <c r="O526" s="1948">
        <f t="shared" si="121"/>
        <v>0</v>
      </c>
      <c r="P526" s="1948">
        <v>370</v>
      </c>
      <c r="Q526" s="1948">
        <v>203.2</v>
      </c>
      <c r="R526" s="1948">
        <v>296</v>
      </c>
      <c r="S526" s="1948">
        <v>0.96160000000000001</v>
      </c>
      <c r="T526" s="1948">
        <v>20.350000000000001</v>
      </c>
      <c r="U526" s="1948">
        <v>30758</v>
      </c>
      <c r="V526" s="1948">
        <f t="shared" si="122"/>
        <v>90708</v>
      </c>
      <c r="W526" s="1948">
        <f t="shared" si="123"/>
        <v>0</v>
      </c>
      <c r="X526" s="1948">
        <v>370</v>
      </c>
      <c r="Y526" s="1948">
        <v>154.4</v>
      </c>
      <c r="Z526" s="1948">
        <v>296</v>
      </c>
      <c r="AA526" s="1948">
        <v>0.94769999999999999</v>
      </c>
      <c r="AB526" s="1948">
        <v>12.89</v>
      </c>
      <c r="AC526" s="1948">
        <v>14324</v>
      </c>
      <c r="AD526" s="1948">
        <f t="shared" si="124"/>
        <v>66701</v>
      </c>
      <c r="AE526" s="1948">
        <f t="shared" si="125"/>
        <v>0</v>
      </c>
      <c r="AF526" s="1948">
        <v>370</v>
      </c>
      <c r="AG526" s="1948">
        <v>112.64</v>
      </c>
      <c r="AH526" s="1948">
        <v>296</v>
      </c>
      <c r="AI526" s="1948">
        <v>0.95179999999999998</v>
      </c>
      <c r="AJ526" s="1948">
        <v>22.76</v>
      </c>
      <c r="AK526" s="1948">
        <v>19074</v>
      </c>
      <c r="AL526" s="1948">
        <f t="shared" si="126"/>
        <v>50282</v>
      </c>
      <c r="AM526" s="1948">
        <f t="shared" si="127"/>
        <v>0</v>
      </c>
      <c r="AN526" s="1948">
        <v>370</v>
      </c>
      <c r="AO526" s="1948">
        <v>111.04</v>
      </c>
      <c r="AP526" s="1948">
        <v>296</v>
      </c>
      <c r="AQ526" s="1948">
        <v>0.95109999999999995</v>
      </c>
      <c r="AR526" s="1948">
        <v>22.45</v>
      </c>
      <c r="AS526" s="1948">
        <v>18544</v>
      </c>
      <c r="AT526" s="1948">
        <f t="shared" si="128"/>
        <v>49568</v>
      </c>
      <c r="AU526" s="1948">
        <f t="shared" si="129"/>
        <v>0</v>
      </c>
      <c r="AV526" s="1948">
        <v>370</v>
      </c>
      <c r="AW526" s="1948">
        <v>136.16</v>
      </c>
      <c r="AX526" s="1948">
        <v>296</v>
      </c>
      <c r="AY526" s="1948">
        <v>0.94620000000000004</v>
      </c>
      <c r="AZ526" s="1948">
        <v>18.13</v>
      </c>
      <c r="BA526" s="1948">
        <v>17778</v>
      </c>
      <c r="BB526" s="1948">
        <f t="shared" si="130"/>
        <v>58821</v>
      </c>
      <c r="BC526" s="1948">
        <f t="shared" si="131"/>
        <v>0</v>
      </c>
      <c r="BD526" s="1949">
        <v>370</v>
      </c>
      <c r="BE526" s="1948">
        <v>143.19999999999999</v>
      </c>
      <c r="BF526" s="1949">
        <v>296</v>
      </c>
      <c r="BG526" s="1949">
        <v>0.93989999999999996</v>
      </c>
      <c r="BH526" s="1949">
        <v>16.809999999999999</v>
      </c>
      <c r="BI526" s="1948">
        <v>17914</v>
      </c>
      <c r="BJ526" s="1948">
        <f t="shared" si="132"/>
        <v>63924</v>
      </c>
      <c r="BK526" s="1948">
        <f t="shared" si="133"/>
        <v>0</v>
      </c>
    </row>
    <row r="527" spans="1:63" ht="15">
      <c r="A527" s="1946">
        <v>123000000101</v>
      </c>
      <c r="B527" s="1947">
        <f t="shared" si="134"/>
        <v>521</v>
      </c>
      <c r="C527" s="1906" t="s">
        <v>3374</v>
      </c>
      <c r="D527" s="1907" t="s">
        <v>524</v>
      </c>
      <c r="E527" s="1906" t="s">
        <v>2966</v>
      </c>
      <c r="F527" s="1948" t="s">
        <v>259</v>
      </c>
      <c r="G527" s="1949">
        <v>372</v>
      </c>
      <c r="H527" s="1948">
        <v>372</v>
      </c>
      <c r="I527" s="1950">
        <v>108.60000000000001</v>
      </c>
      <c r="J527" s="1948">
        <v>372</v>
      </c>
      <c r="K527" s="1948">
        <v>0.98950000000000005</v>
      </c>
      <c r="L527" s="1948">
        <v>0</v>
      </c>
      <c r="M527" s="1948">
        <v>32390</v>
      </c>
      <c r="N527" s="1948">
        <f t="shared" si="120"/>
        <v>46915</v>
      </c>
      <c r="O527" s="1948">
        <f t="shared" si="121"/>
        <v>0</v>
      </c>
      <c r="P527" s="1948">
        <v>372</v>
      </c>
      <c r="Q527" s="1948">
        <v>105</v>
      </c>
      <c r="R527" s="1948">
        <v>372</v>
      </c>
      <c r="S527" s="1948">
        <v>0.98180000000000001</v>
      </c>
      <c r="T527" s="1948">
        <v>0</v>
      </c>
      <c r="U527" s="1948">
        <v>33750</v>
      </c>
      <c r="V527" s="1948">
        <f t="shared" si="122"/>
        <v>46872</v>
      </c>
      <c r="W527" s="1948">
        <f t="shared" si="123"/>
        <v>0</v>
      </c>
      <c r="X527" s="1948">
        <v>372</v>
      </c>
      <c r="Y527" s="1948">
        <v>39.4</v>
      </c>
      <c r="Z527" s="1948">
        <v>372</v>
      </c>
      <c r="AA527" s="1948">
        <v>0.99909999999999999</v>
      </c>
      <c r="AB527" s="1948">
        <v>0</v>
      </c>
      <c r="AC527" s="1948">
        <v>2315</v>
      </c>
      <c r="AD527" s="1948">
        <f t="shared" si="124"/>
        <v>17021</v>
      </c>
      <c r="AE527" s="1948">
        <f t="shared" si="125"/>
        <v>0</v>
      </c>
      <c r="AF527" s="1948">
        <v>372</v>
      </c>
      <c r="AG527" s="1948">
        <v>76.399999999999991</v>
      </c>
      <c r="AH527" s="1948">
        <v>372</v>
      </c>
      <c r="AI527" s="1948">
        <v>0.9879</v>
      </c>
      <c r="AJ527" s="1948">
        <v>0</v>
      </c>
      <c r="AK527" s="1948">
        <v>10930</v>
      </c>
      <c r="AL527" s="1948">
        <f t="shared" si="126"/>
        <v>34105</v>
      </c>
      <c r="AM527" s="1948">
        <f t="shared" si="127"/>
        <v>0</v>
      </c>
      <c r="AN527" s="1948">
        <v>372</v>
      </c>
      <c r="AO527" s="1948">
        <v>72.400000000000006</v>
      </c>
      <c r="AP527" s="1948">
        <v>372</v>
      </c>
      <c r="AQ527" s="1948">
        <v>0.98450000000000004</v>
      </c>
      <c r="AR527" s="1948">
        <v>0</v>
      </c>
      <c r="AS527" s="1948">
        <v>17850</v>
      </c>
      <c r="AT527" s="1948">
        <f t="shared" si="128"/>
        <v>32319</v>
      </c>
      <c r="AU527" s="1948">
        <f t="shared" si="129"/>
        <v>0</v>
      </c>
      <c r="AV527" s="1948">
        <v>372</v>
      </c>
      <c r="AW527" s="1948">
        <v>80.199999999999989</v>
      </c>
      <c r="AX527" s="1948">
        <v>372</v>
      </c>
      <c r="AY527" s="1948">
        <v>0.98560000000000003</v>
      </c>
      <c r="AZ527" s="1948">
        <v>0</v>
      </c>
      <c r="BA527" s="1948">
        <v>16478</v>
      </c>
      <c r="BB527" s="1948">
        <f t="shared" si="130"/>
        <v>34646</v>
      </c>
      <c r="BC527" s="1948">
        <f t="shared" si="131"/>
        <v>0</v>
      </c>
      <c r="BD527" s="1949">
        <v>372</v>
      </c>
      <c r="BE527" s="1948">
        <v>40.599999999999994</v>
      </c>
      <c r="BF527" s="1949">
        <v>372</v>
      </c>
      <c r="BG527" s="1949">
        <v>0.99560000000000004</v>
      </c>
      <c r="BH527" s="1949">
        <v>0</v>
      </c>
      <c r="BI527" s="1948">
        <v>2275</v>
      </c>
      <c r="BJ527" s="1948">
        <f t="shared" si="132"/>
        <v>18124</v>
      </c>
      <c r="BK527" s="1948">
        <f t="shared" si="133"/>
        <v>0</v>
      </c>
    </row>
    <row r="528" spans="1:63" ht="15">
      <c r="A528" s="1946">
        <v>124000000064</v>
      </c>
      <c r="B528" s="1947">
        <f t="shared" si="134"/>
        <v>522</v>
      </c>
      <c r="C528" s="1906" t="s">
        <v>3375</v>
      </c>
      <c r="D528" s="1907" t="s">
        <v>524</v>
      </c>
      <c r="E528" s="1906" t="s">
        <v>737</v>
      </c>
      <c r="F528" s="1948" t="s">
        <v>259</v>
      </c>
      <c r="G528" s="1949">
        <v>376</v>
      </c>
      <c r="H528" s="1948">
        <v>376</v>
      </c>
      <c r="I528" s="1950">
        <v>309.60000000000002</v>
      </c>
      <c r="J528" s="1948">
        <v>309.60000000000002</v>
      </c>
      <c r="K528" s="1948">
        <v>0.69569999999999999</v>
      </c>
      <c r="L528" s="1948">
        <v>2.65</v>
      </c>
      <c r="M528" s="1948">
        <v>5907</v>
      </c>
      <c r="N528" s="1948">
        <f t="shared" si="120"/>
        <v>133747</v>
      </c>
      <c r="O528" s="1948">
        <f t="shared" si="121"/>
        <v>0</v>
      </c>
      <c r="P528" s="1948">
        <v>376</v>
      </c>
      <c r="Q528" s="1948">
        <v>327.84</v>
      </c>
      <c r="R528" s="1948">
        <v>327.84</v>
      </c>
      <c r="S528" s="1948">
        <v>0.77600000000000002</v>
      </c>
      <c r="T528" s="1948">
        <v>4.4000000000000004</v>
      </c>
      <c r="U528" s="1948">
        <v>10728</v>
      </c>
      <c r="V528" s="1948">
        <f t="shared" si="122"/>
        <v>146348</v>
      </c>
      <c r="W528" s="1948">
        <f t="shared" si="123"/>
        <v>0</v>
      </c>
      <c r="X528" s="1948">
        <v>376</v>
      </c>
      <c r="Y528" s="1948">
        <v>324.72000000000003</v>
      </c>
      <c r="Z528" s="1948">
        <v>324.72000000000003</v>
      </c>
      <c r="AA528" s="1948">
        <v>0.6875</v>
      </c>
      <c r="AB528" s="1948">
        <v>2.2999999999999998</v>
      </c>
      <c r="AC528" s="1948">
        <v>5367</v>
      </c>
      <c r="AD528" s="1948">
        <f t="shared" si="124"/>
        <v>140279</v>
      </c>
      <c r="AE528" s="1948">
        <f t="shared" si="125"/>
        <v>0</v>
      </c>
      <c r="AF528" s="1948">
        <v>376</v>
      </c>
      <c r="AG528" s="1948">
        <v>270.47999999999996</v>
      </c>
      <c r="AH528" s="1948">
        <v>300.8</v>
      </c>
      <c r="AI528" s="1948">
        <v>0.72909999999999997</v>
      </c>
      <c r="AJ528" s="1948">
        <v>3.53</v>
      </c>
      <c r="AK528" s="1948">
        <v>7101</v>
      </c>
      <c r="AL528" s="1948">
        <f t="shared" si="126"/>
        <v>120742</v>
      </c>
      <c r="AM528" s="1948">
        <f t="shared" si="127"/>
        <v>0</v>
      </c>
      <c r="AN528" s="1948">
        <v>376</v>
      </c>
      <c r="AO528" s="1948">
        <v>260.64</v>
      </c>
      <c r="AP528" s="1948">
        <v>300.8</v>
      </c>
      <c r="AQ528" s="1948">
        <v>0.57640000000000002</v>
      </c>
      <c r="AR528" s="1948">
        <v>2.0099999999999998</v>
      </c>
      <c r="AS528" s="1948">
        <v>3903</v>
      </c>
      <c r="AT528" s="1948">
        <f t="shared" si="128"/>
        <v>116350</v>
      </c>
      <c r="AU528" s="1948">
        <f t="shared" si="129"/>
        <v>0</v>
      </c>
      <c r="AV528" s="1948">
        <v>376</v>
      </c>
      <c r="AW528" s="1948">
        <v>22.560000000000002</v>
      </c>
      <c r="AX528" s="1948">
        <v>300.8</v>
      </c>
      <c r="AY528" s="1948">
        <v>0.60970000000000002</v>
      </c>
      <c r="AZ528" s="1948">
        <v>24.23</v>
      </c>
      <c r="BA528" s="1948">
        <v>3936</v>
      </c>
      <c r="BB528" s="1948">
        <f t="shared" si="130"/>
        <v>9746</v>
      </c>
      <c r="BC528" s="1948">
        <f t="shared" si="131"/>
        <v>0</v>
      </c>
      <c r="BD528" s="1949">
        <v>376</v>
      </c>
      <c r="BE528" s="1948">
        <v>22.08</v>
      </c>
      <c r="BF528" s="1949">
        <v>300.8</v>
      </c>
      <c r="BG528" s="1949">
        <v>0.63619999999999999</v>
      </c>
      <c r="BH528" s="1949">
        <v>26.61</v>
      </c>
      <c r="BI528" s="1948">
        <v>4371</v>
      </c>
      <c r="BJ528" s="1948">
        <f t="shared" si="132"/>
        <v>9857</v>
      </c>
      <c r="BK528" s="1948">
        <f t="shared" si="133"/>
        <v>0</v>
      </c>
    </row>
    <row r="529" spans="1:63" ht="15">
      <c r="A529" s="1946">
        <v>126000000033</v>
      </c>
      <c r="B529" s="1947">
        <f t="shared" si="134"/>
        <v>523</v>
      </c>
      <c r="C529" s="1906" t="s">
        <v>3378</v>
      </c>
      <c r="D529" s="1907" t="s">
        <v>524</v>
      </c>
      <c r="E529" s="1906" t="s">
        <v>2966</v>
      </c>
      <c r="F529" s="1948" t="s">
        <v>259</v>
      </c>
      <c r="G529" s="1949">
        <v>389</v>
      </c>
      <c r="H529" s="1948">
        <v>389</v>
      </c>
      <c r="I529" s="1950">
        <v>192.96</v>
      </c>
      <c r="J529" s="1948">
        <v>389</v>
      </c>
      <c r="K529" s="1948">
        <v>0.67420000000000002</v>
      </c>
      <c r="L529" s="1948">
        <v>0</v>
      </c>
      <c r="M529" s="1948">
        <v>52077</v>
      </c>
      <c r="N529" s="1948">
        <f t="shared" si="120"/>
        <v>83359</v>
      </c>
      <c r="O529" s="1948">
        <f t="shared" si="121"/>
        <v>0</v>
      </c>
      <c r="P529" s="1948">
        <v>389</v>
      </c>
      <c r="Q529" s="1948">
        <v>367.44000000000005</v>
      </c>
      <c r="R529" s="1948">
        <v>389</v>
      </c>
      <c r="S529" s="1948">
        <v>0.68469999999999998</v>
      </c>
      <c r="T529" s="1948">
        <v>0</v>
      </c>
      <c r="U529" s="1948">
        <v>92949</v>
      </c>
      <c r="V529" s="1948">
        <f t="shared" si="122"/>
        <v>164025</v>
      </c>
      <c r="W529" s="1948">
        <f t="shared" si="123"/>
        <v>0</v>
      </c>
      <c r="X529" s="1948">
        <v>389</v>
      </c>
      <c r="Y529" s="1948">
        <v>457.2</v>
      </c>
      <c r="Z529" s="1948">
        <v>457.2</v>
      </c>
      <c r="AA529" s="1948">
        <v>0.72640000000000005</v>
      </c>
      <c r="AB529" s="1948">
        <v>0</v>
      </c>
      <c r="AC529" s="1948">
        <v>163866</v>
      </c>
      <c r="AD529" s="1948">
        <f t="shared" si="124"/>
        <v>197510</v>
      </c>
      <c r="AE529" s="1948">
        <f t="shared" si="125"/>
        <v>0</v>
      </c>
      <c r="AF529" s="1948">
        <v>389</v>
      </c>
      <c r="AG529" s="1948">
        <v>433.91999999999996</v>
      </c>
      <c r="AH529" s="1948">
        <v>433.92</v>
      </c>
      <c r="AI529" s="1948">
        <v>0.7369</v>
      </c>
      <c r="AJ529" s="1948">
        <v>0</v>
      </c>
      <c r="AK529" s="1948">
        <v>174264</v>
      </c>
      <c r="AL529" s="1948">
        <f t="shared" si="126"/>
        <v>193702</v>
      </c>
      <c r="AM529" s="1948">
        <f t="shared" si="127"/>
        <v>0</v>
      </c>
      <c r="AN529" s="1948">
        <v>389</v>
      </c>
      <c r="AO529" s="1948">
        <v>454.08000000000004</v>
      </c>
      <c r="AP529" s="1948">
        <v>454.08</v>
      </c>
      <c r="AQ529" s="1948">
        <v>0.73499999999999999</v>
      </c>
      <c r="AR529" s="1948">
        <v>0</v>
      </c>
      <c r="AS529" s="1948">
        <v>164493</v>
      </c>
      <c r="AT529" s="1948">
        <f t="shared" si="128"/>
        <v>202701</v>
      </c>
      <c r="AU529" s="1948">
        <f t="shared" si="129"/>
        <v>0</v>
      </c>
      <c r="AV529" s="1948">
        <v>389</v>
      </c>
      <c r="AW529" s="1948">
        <v>302.16000000000003</v>
      </c>
      <c r="AX529" s="1948">
        <v>389</v>
      </c>
      <c r="AY529" s="1948">
        <v>0.71989999999999998</v>
      </c>
      <c r="AZ529" s="1948">
        <v>0</v>
      </c>
      <c r="BA529" s="1948">
        <v>101178</v>
      </c>
      <c r="BB529" s="1948">
        <f t="shared" si="130"/>
        <v>130533</v>
      </c>
      <c r="BC529" s="1948">
        <f t="shared" si="131"/>
        <v>0</v>
      </c>
      <c r="BD529" s="1949">
        <v>389</v>
      </c>
      <c r="BE529" s="1948">
        <v>483.12</v>
      </c>
      <c r="BF529" s="1949">
        <v>483.12</v>
      </c>
      <c r="BG529" s="1949">
        <v>0.67979999999999996</v>
      </c>
      <c r="BH529" s="1949">
        <v>0</v>
      </c>
      <c r="BI529" s="1948">
        <v>124143</v>
      </c>
      <c r="BJ529" s="1948">
        <f t="shared" si="132"/>
        <v>215665</v>
      </c>
      <c r="BK529" s="1948">
        <f t="shared" si="133"/>
        <v>0</v>
      </c>
    </row>
    <row r="530" spans="1:63" ht="15">
      <c r="A530" s="1946">
        <v>126000000056</v>
      </c>
      <c r="B530" s="1947">
        <f t="shared" si="134"/>
        <v>524</v>
      </c>
      <c r="C530" s="1906" t="s">
        <v>3376</v>
      </c>
      <c r="D530" s="1907" t="s">
        <v>524</v>
      </c>
      <c r="E530" s="1906" t="s">
        <v>541</v>
      </c>
      <c r="F530" s="1948" t="s">
        <v>259</v>
      </c>
      <c r="G530" s="1949">
        <v>389</v>
      </c>
      <c r="H530" s="1948">
        <v>389</v>
      </c>
      <c r="I530" s="1950">
        <v>362.16</v>
      </c>
      <c r="J530" s="1948">
        <v>362.16</v>
      </c>
      <c r="K530" s="1948">
        <v>0.81499999999999995</v>
      </c>
      <c r="L530" s="1948">
        <v>8.4499999999999993</v>
      </c>
      <c r="M530" s="1948">
        <v>22038</v>
      </c>
      <c r="N530" s="1948">
        <f t="shared" si="120"/>
        <v>156453</v>
      </c>
      <c r="O530" s="1948">
        <f t="shared" si="121"/>
        <v>0</v>
      </c>
      <c r="P530" s="1948">
        <v>389</v>
      </c>
      <c r="Q530" s="1948">
        <v>10.56</v>
      </c>
      <c r="R530" s="1948">
        <v>311.2</v>
      </c>
      <c r="S530" s="1948">
        <v>0.51719999999999999</v>
      </c>
      <c r="T530" s="1948">
        <v>29.82</v>
      </c>
      <c r="U530" s="1948">
        <v>2343</v>
      </c>
      <c r="V530" s="1948">
        <f t="shared" si="122"/>
        <v>4714</v>
      </c>
      <c r="W530" s="1948">
        <f t="shared" si="123"/>
        <v>0</v>
      </c>
      <c r="X530" s="1948">
        <v>389</v>
      </c>
      <c r="Y530" s="1948">
        <v>17.040000000000003</v>
      </c>
      <c r="Z530" s="1948">
        <v>311.2</v>
      </c>
      <c r="AA530" s="1948">
        <v>0.45779999999999998</v>
      </c>
      <c r="AB530" s="1948">
        <v>20.88</v>
      </c>
      <c r="AC530" s="1948">
        <v>2562</v>
      </c>
      <c r="AD530" s="1948">
        <f t="shared" si="124"/>
        <v>7361</v>
      </c>
      <c r="AE530" s="1948">
        <f t="shared" si="125"/>
        <v>0</v>
      </c>
      <c r="AF530" s="1948">
        <v>389</v>
      </c>
      <c r="AG530" s="1948">
        <v>107.76</v>
      </c>
      <c r="AH530" s="1948">
        <v>311.2</v>
      </c>
      <c r="AI530" s="1948">
        <v>0.41110000000000002</v>
      </c>
      <c r="AJ530" s="1948">
        <v>4.42</v>
      </c>
      <c r="AK530" s="1948">
        <v>3546</v>
      </c>
      <c r="AL530" s="1948">
        <f t="shared" si="126"/>
        <v>48104</v>
      </c>
      <c r="AM530" s="1948">
        <f t="shared" si="127"/>
        <v>0</v>
      </c>
      <c r="AN530" s="1948">
        <v>389</v>
      </c>
      <c r="AO530" s="1948">
        <v>20.64</v>
      </c>
      <c r="AP530" s="1948">
        <v>311.2</v>
      </c>
      <c r="AQ530" s="1948">
        <v>0.31009999999999999</v>
      </c>
      <c r="AR530" s="1948">
        <v>36.020000000000003</v>
      </c>
      <c r="AS530" s="1948">
        <v>5532</v>
      </c>
      <c r="AT530" s="1948">
        <f t="shared" si="128"/>
        <v>9214</v>
      </c>
      <c r="AU530" s="1948">
        <f t="shared" si="129"/>
        <v>0</v>
      </c>
      <c r="AV530" s="1948">
        <v>389</v>
      </c>
      <c r="AW530" s="1948">
        <v>21.12</v>
      </c>
      <c r="AX530" s="1948">
        <v>311.2</v>
      </c>
      <c r="AY530" s="1948">
        <v>0.39789999999999998</v>
      </c>
      <c r="AZ530" s="1948">
        <v>37.43</v>
      </c>
      <c r="BA530" s="1948">
        <v>5691</v>
      </c>
      <c r="BB530" s="1948">
        <f t="shared" si="130"/>
        <v>9124</v>
      </c>
      <c r="BC530" s="1948">
        <f t="shared" si="131"/>
        <v>0</v>
      </c>
      <c r="BD530" s="1949">
        <v>389</v>
      </c>
      <c r="BE530" s="1948">
        <v>26.16</v>
      </c>
      <c r="BF530" s="1949">
        <v>311.2</v>
      </c>
      <c r="BG530" s="1949">
        <v>0.27950000000000003</v>
      </c>
      <c r="BH530" s="1949">
        <v>37.270000000000003</v>
      </c>
      <c r="BI530" s="1948">
        <v>7254</v>
      </c>
      <c r="BJ530" s="1948">
        <f t="shared" si="132"/>
        <v>11678</v>
      </c>
      <c r="BK530" s="1948">
        <f t="shared" si="133"/>
        <v>0</v>
      </c>
    </row>
    <row r="531" spans="1:63" ht="15">
      <c r="A531" s="1946">
        <v>611000000059</v>
      </c>
      <c r="B531" s="1947">
        <f t="shared" si="134"/>
        <v>525</v>
      </c>
      <c r="C531" s="1906" t="s">
        <v>3379</v>
      </c>
      <c r="D531" s="1907" t="s">
        <v>524</v>
      </c>
      <c r="E531" s="1906" t="s">
        <v>636</v>
      </c>
      <c r="F531" s="1948" t="s">
        <v>259</v>
      </c>
      <c r="G531" s="1949">
        <v>389</v>
      </c>
      <c r="H531" s="1948">
        <v>389</v>
      </c>
      <c r="I531" s="1950">
        <v>104.16</v>
      </c>
      <c r="J531" s="1948">
        <v>311.2</v>
      </c>
      <c r="K531" s="1948">
        <v>0.85750000000000004</v>
      </c>
      <c r="L531" s="1948">
        <v>40.590000000000003</v>
      </c>
      <c r="M531" s="1948">
        <v>30438</v>
      </c>
      <c r="N531" s="1948">
        <f t="shared" si="120"/>
        <v>44997</v>
      </c>
      <c r="O531" s="1948">
        <f t="shared" si="121"/>
        <v>0</v>
      </c>
      <c r="P531" s="1948">
        <v>389</v>
      </c>
      <c r="Q531" s="1948">
        <v>109.2</v>
      </c>
      <c r="R531" s="1948">
        <v>311.2</v>
      </c>
      <c r="S531" s="1948">
        <v>0.88270000000000004</v>
      </c>
      <c r="T531" s="1948">
        <v>44.06</v>
      </c>
      <c r="U531" s="1948">
        <v>35799</v>
      </c>
      <c r="V531" s="1948">
        <f t="shared" si="122"/>
        <v>48747</v>
      </c>
      <c r="W531" s="1948">
        <f t="shared" si="123"/>
        <v>0</v>
      </c>
      <c r="X531" s="1948">
        <v>389</v>
      </c>
      <c r="Y531" s="1948">
        <v>138.24</v>
      </c>
      <c r="Z531" s="1948">
        <v>311.2</v>
      </c>
      <c r="AA531" s="1948">
        <v>0.8931</v>
      </c>
      <c r="AB531" s="1948">
        <v>37.340000000000003</v>
      </c>
      <c r="AC531" s="1948">
        <v>37161</v>
      </c>
      <c r="AD531" s="1948">
        <f t="shared" si="124"/>
        <v>59720</v>
      </c>
      <c r="AE531" s="1948">
        <f t="shared" si="125"/>
        <v>0</v>
      </c>
      <c r="AF531" s="1948">
        <v>389</v>
      </c>
      <c r="AG531" s="1948">
        <v>123.36</v>
      </c>
      <c r="AH531" s="1948">
        <v>311.2</v>
      </c>
      <c r="AI531" s="1948">
        <v>0.86909999999999998</v>
      </c>
      <c r="AJ531" s="1948">
        <v>39.17</v>
      </c>
      <c r="AK531" s="1948">
        <v>35946</v>
      </c>
      <c r="AL531" s="1948">
        <f t="shared" si="126"/>
        <v>55068</v>
      </c>
      <c r="AM531" s="1948">
        <f t="shared" si="127"/>
        <v>0</v>
      </c>
      <c r="AN531" s="1948">
        <v>389</v>
      </c>
      <c r="AO531" s="1948">
        <v>103.92</v>
      </c>
      <c r="AP531" s="1948">
        <v>311.2</v>
      </c>
      <c r="AQ531" s="1948">
        <v>0.83460000000000001</v>
      </c>
      <c r="AR531" s="1948">
        <v>48.2</v>
      </c>
      <c r="AS531" s="1948">
        <v>37266</v>
      </c>
      <c r="AT531" s="1948">
        <f t="shared" si="128"/>
        <v>46390</v>
      </c>
      <c r="AU531" s="1948">
        <f t="shared" si="129"/>
        <v>0</v>
      </c>
      <c r="AV531" s="1948">
        <v>389</v>
      </c>
      <c r="AW531" s="1948">
        <v>113.52000000000001</v>
      </c>
      <c r="AX531" s="1948">
        <v>311.2</v>
      </c>
      <c r="AY531" s="1948">
        <v>0.82220000000000004</v>
      </c>
      <c r="AZ531" s="1948">
        <v>42.73</v>
      </c>
      <c r="BA531" s="1948">
        <v>34923</v>
      </c>
      <c r="BB531" s="1948">
        <f t="shared" si="130"/>
        <v>49041</v>
      </c>
      <c r="BC531" s="1948">
        <f t="shared" si="131"/>
        <v>0</v>
      </c>
      <c r="BD531" s="1949">
        <v>389</v>
      </c>
      <c r="BE531" s="1948">
        <v>113.28</v>
      </c>
      <c r="BF531" s="1949">
        <v>311.2</v>
      </c>
      <c r="BG531" s="1949">
        <v>0.77669999999999995</v>
      </c>
      <c r="BH531" s="1949">
        <v>38.01</v>
      </c>
      <c r="BI531" s="1948">
        <v>32034</v>
      </c>
      <c r="BJ531" s="1948">
        <f t="shared" si="132"/>
        <v>50568</v>
      </c>
      <c r="BK531" s="1948">
        <f t="shared" si="133"/>
        <v>0</v>
      </c>
    </row>
    <row r="532" spans="1:63" ht="15">
      <c r="A532" s="982">
        <v>123000000117</v>
      </c>
      <c r="B532" s="1947">
        <f t="shared" si="134"/>
        <v>526</v>
      </c>
      <c r="C532" s="1895" t="s">
        <v>3377</v>
      </c>
      <c r="D532" s="1907" t="s">
        <v>3661</v>
      </c>
      <c r="E532" s="1895" t="s">
        <v>541</v>
      </c>
      <c r="F532" s="1951" t="s">
        <v>259</v>
      </c>
      <c r="G532" s="1951">
        <v>389</v>
      </c>
      <c r="H532" s="1951">
        <v>389</v>
      </c>
      <c r="I532" s="1952">
        <v>0</v>
      </c>
      <c r="J532" s="1951">
        <v>311.2</v>
      </c>
      <c r="K532" s="1951">
        <v>0.41460000000000002</v>
      </c>
      <c r="L532" s="1951">
        <v>5.29</v>
      </c>
      <c r="M532" s="1951">
        <v>4428</v>
      </c>
      <c r="N532" s="1948">
        <f t="shared" si="120"/>
        <v>0</v>
      </c>
      <c r="O532" s="1948">
        <f t="shared" si="121"/>
        <v>4428</v>
      </c>
      <c r="P532" s="1948">
        <v>389</v>
      </c>
      <c r="Q532" s="1948">
        <v>0</v>
      </c>
      <c r="R532" s="1948">
        <v>311.2</v>
      </c>
      <c r="S532" s="1948">
        <v>0.33589999999999998</v>
      </c>
      <c r="T532" s="1948">
        <v>4.5</v>
      </c>
      <c r="U532" s="1948">
        <v>3867</v>
      </c>
      <c r="V532" s="1948">
        <f t="shared" si="122"/>
        <v>0</v>
      </c>
      <c r="W532" s="1948">
        <f t="shared" si="123"/>
        <v>3867</v>
      </c>
      <c r="X532" s="1948">
        <v>389</v>
      </c>
      <c r="Y532" s="1948">
        <v>0</v>
      </c>
      <c r="Z532" s="1948">
        <v>311.2</v>
      </c>
      <c r="AA532" s="1948">
        <v>0.40050000000000002</v>
      </c>
      <c r="AB532" s="1948">
        <v>3.91</v>
      </c>
      <c r="AC532" s="1948">
        <v>3168</v>
      </c>
      <c r="AD532" s="1948">
        <f t="shared" si="124"/>
        <v>0</v>
      </c>
      <c r="AE532" s="1948">
        <f t="shared" si="125"/>
        <v>3168</v>
      </c>
      <c r="AF532" s="1948">
        <v>389</v>
      </c>
      <c r="AG532" s="1948">
        <v>0</v>
      </c>
      <c r="AH532" s="1948">
        <v>311.2</v>
      </c>
      <c r="AI532" s="1948">
        <v>0.497</v>
      </c>
      <c r="AJ532" s="1948">
        <v>3.3</v>
      </c>
      <c r="AK532" s="1948">
        <v>3018</v>
      </c>
      <c r="AL532" s="1948">
        <f t="shared" si="126"/>
        <v>0</v>
      </c>
      <c r="AM532" s="1948">
        <f t="shared" si="127"/>
        <v>3018</v>
      </c>
      <c r="AN532" s="1948">
        <v>389</v>
      </c>
      <c r="AO532" s="1948">
        <v>0</v>
      </c>
      <c r="AP532" s="1948">
        <v>311.2</v>
      </c>
      <c r="AQ532" s="1948">
        <v>0.4128</v>
      </c>
      <c r="AR532" s="1948">
        <v>8.24</v>
      </c>
      <c r="AS532" s="1948">
        <v>2340</v>
      </c>
      <c r="AT532" s="1948">
        <f t="shared" si="128"/>
        <v>0</v>
      </c>
      <c r="AU532" s="1948">
        <f t="shared" si="129"/>
        <v>2340</v>
      </c>
      <c r="AV532" s="1948">
        <v>0</v>
      </c>
      <c r="AW532" s="1948">
        <v>0</v>
      </c>
      <c r="AX532" s="1948">
        <v>0</v>
      </c>
      <c r="AY532" s="1948">
        <v>0</v>
      </c>
      <c r="AZ532" s="1948">
        <v>0</v>
      </c>
      <c r="BA532" s="1948">
        <v>0</v>
      </c>
      <c r="BB532" s="1948">
        <f t="shared" si="130"/>
        <v>0</v>
      </c>
      <c r="BC532" s="1948">
        <f t="shared" si="131"/>
        <v>0</v>
      </c>
      <c r="BD532" s="1948">
        <v>0</v>
      </c>
      <c r="BE532" s="1948">
        <v>0</v>
      </c>
      <c r="BF532" s="1948">
        <v>0</v>
      </c>
      <c r="BG532" s="1948">
        <v>0</v>
      </c>
      <c r="BH532" s="1948">
        <v>0</v>
      </c>
      <c r="BI532" s="1948">
        <v>0</v>
      </c>
      <c r="BJ532" s="1948">
        <f t="shared" si="132"/>
        <v>0</v>
      </c>
      <c r="BK532" s="1948">
        <f t="shared" si="133"/>
        <v>0</v>
      </c>
    </row>
    <row r="533" spans="1:63" ht="15">
      <c r="A533" s="982">
        <v>621000000051</v>
      </c>
      <c r="B533" s="1947">
        <f t="shared" si="134"/>
        <v>527</v>
      </c>
      <c r="C533" s="1895" t="s">
        <v>3019</v>
      </c>
      <c r="D533" s="1907" t="s">
        <v>3661</v>
      </c>
      <c r="E533" s="1895" t="s">
        <v>541</v>
      </c>
      <c r="F533" s="1951" t="s">
        <v>259</v>
      </c>
      <c r="G533" s="1951">
        <v>389</v>
      </c>
      <c r="H533" s="1951">
        <v>389</v>
      </c>
      <c r="I533" s="1952">
        <v>0</v>
      </c>
      <c r="J533" s="1951">
        <v>311.2</v>
      </c>
      <c r="K533" s="1951">
        <v>0</v>
      </c>
      <c r="L533" s="1951">
        <v>0</v>
      </c>
      <c r="M533" s="1951">
        <v>0</v>
      </c>
      <c r="N533" s="1948">
        <f t="shared" si="120"/>
        <v>0</v>
      </c>
      <c r="O533" s="1948">
        <f t="shared" si="121"/>
        <v>0</v>
      </c>
      <c r="P533" s="1948">
        <v>389</v>
      </c>
      <c r="Q533" s="1948">
        <v>0</v>
      </c>
      <c r="R533" s="1948">
        <v>0</v>
      </c>
      <c r="S533" s="1948">
        <v>0</v>
      </c>
      <c r="T533" s="1948">
        <v>0</v>
      </c>
      <c r="U533" s="1948">
        <v>0</v>
      </c>
      <c r="V533" s="1948">
        <f t="shared" si="122"/>
        <v>0</v>
      </c>
      <c r="W533" s="1948">
        <f t="shared" si="123"/>
        <v>0</v>
      </c>
      <c r="X533" s="1948">
        <v>389</v>
      </c>
      <c r="Y533" s="1948">
        <v>0</v>
      </c>
      <c r="Z533" s="1948">
        <v>0</v>
      </c>
      <c r="AA533" s="1948">
        <v>0</v>
      </c>
      <c r="AB533" s="1948">
        <v>0</v>
      </c>
      <c r="AC533" s="1948">
        <v>0</v>
      </c>
      <c r="AD533" s="1948">
        <f t="shared" si="124"/>
        <v>0</v>
      </c>
      <c r="AE533" s="1948">
        <f t="shared" si="125"/>
        <v>0</v>
      </c>
      <c r="AF533" s="1948">
        <v>0</v>
      </c>
      <c r="AG533" s="1948">
        <v>0</v>
      </c>
      <c r="AH533" s="1948">
        <v>0</v>
      </c>
      <c r="AI533" s="1948">
        <v>0</v>
      </c>
      <c r="AJ533" s="1948">
        <v>0</v>
      </c>
      <c r="AK533" s="1948">
        <v>0</v>
      </c>
      <c r="AL533" s="1948">
        <f t="shared" si="126"/>
        <v>0</v>
      </c>
      <c r="AM533" s="1948">
        <f t="shared" si="127"/>
        <v>0</v>
      </c>
      <c r="AN533" s="1948">
        <v>0</v>
      </c>
      <c r="AO533" s="1948">
        <v>0</v>
      </c>
      <c r="AP533" s="1948">
        <v>0</v>
      </c>
      <c r="AQ533" s="1948">
        <v>0</v>
      </c>
      <c r="AR533" s="1948">
        <v>0</v>
      </c>
      <c r="AS533" s="1948">
        <v>0</v>
      </c>
      <c r="AT533" s="1948">
        <f t="shared" si="128"/>
        <v>0</v>
      </c>
      <c r="AU533" s="1948">
        <f t="shared" si="129"/>
        <v>0</v>
      </c>
      <c r="AV533" s="1948">
        <v>0</v>
      </c>
      <c r="AW533" s="1948">
        <v>0</v>
      </c>
      <c r="AX533" s="1948">
        <v>0</v>
      </c>
      <c r="AY533" s="1948">
        <v>0</v>
      </c>
      <c r="AZ533" s="1948">
        <v>0</v>
      </c>
      <c r="BA533" s="1948">
        <v>0</v>
      </c>
      <c r="BB533" s="1948">
        <f t="shared" si="130"/>
        <v>0</v>
      </c>
      <c r="BC533" s="1948">
        <f t="shared" si="131"/>
        <v>0</v>
      </c>
      <c r="BD533" s="1948">
        <v>0</v>
      </c>
      <c r="BE533" s="1948">
        <v>0</v>
      </c>
      <c r="BF533" s="1948">
        <v>0</v>
      </c>
      <c r="BG533" s="1948">
        <v>0</v>
      </c>
      <c r="BH533" s="1948">
        <v>0</v>
      </c>
      <c r="BI533" s="1948">
        <v>0</v>
      </c>
      <c r="BJ533" s="1948">
        <f t="shared" si="132"/>
        <v>0</v>
      </c>
      <c r="BK533" s="1948">
        <f t="shared" si="133"/>
        <v>0</v>
      </c>
    </row>
    <row r="534" spans="1:63" ht="15">
      <c r="A534" s="1946">
        <v>622000000147</v>
      </c>
      <c r="B534" s="1947">
        <f t="shared" si="134"/>
        <v>528</v>
      </c>
      <c r="C534" s="1906" t="s">
        <v>3380</v>
      </c>
      <c r="D534" s="1907" t="s">
        <v>524</v>
      </c>
      <c r="E534" s="1906" t="s">
        <v>730</v>
      </c>
      <c r="F534" s="1948" t="s">
        <v>259</v>
      </c>
      <c r="G534" s="1949">
        <v>391</v>
      </c>
      <c r="H534" s="1948">
        <v>391</v>
      </c>
      <c r="I534" s="1950">
        <v>280.32</v>
      </c>
      <c r="J534" s="1948">
        <v>312.8</v>
      </c>
      <c r="K534" s="1948">
        <v>0.88839999999999997</v>
      </c>
      <c r="L534" s="1948">
        <v>33.799999999999997</v>
      </c>
      <c r="M534" s="1948">
        <v>68227</v>
      </c>
      <c r="N534" s="1948">
        <f t="shared" si="120"/>
        <v>121098</v>
      </c>
      <c r="O534" s="1948">
        <f t="shared" si="121"/>
        <v>0</v>
      </c>
      <c r="P534" s="1948">
        <v>391</v>
      </c>
      <c r="Q534" s="1948">
        <v>138.12</v>
      </c>
      <c r="R534" s="1948">
        <v>312.8</v>
      </c>
      <c r="S534" s="1948">
        <v>0.89049999999999996</v>
      </c>
      <c r="T534" s="1948">
        <v>70.319999999999993</v>
      </c>
      <c r="U534" s="1948">
        <v>72261</v>
      </c>
      <c r="V534" s="1948">
        <f t="shared" si="122"/>
        <v>61657</v>
      </c>
      <c r="W534" s="1948">
        <f t="shared" si="123"/>
        <v>10604</v>
      </c>
      <c r="X534" s="1948">
        <v>391</v>
      </c>
      <c r="Y534" s="1948">
        <v>224.76</v>
      </c>
      <c r="Z534" s="1948">
        <v>312.8</v>
      </c>
      <c r="AA534" s="1948">
        <v>0.88660000000000005</v>
      </c>
      <c r="AB534" s="1948">
        <v>46.76</v>
      </c>
      <c r="AC534" s="1948">
        <v>75665</v>
      </c>
      <c r="AD534" s="1948">
        <f t="shared" si="124"/>
        <v>97096</v>
      </c>
      <c r="AE534" s="1948">
        <f t="shared" si="125"/>
        <v>0</v>
      </c>
      <c r="AF534" s="1948">
        <v>391</v>
      </c>
      <c r="AG534" s="1948">
        <v>271.68</v>
      </c>
      <c r="AH534" s="1948">
        <v>312.8</v>
      </c>
      <c r="AI534" s="1948">
        <v>0.88119999999999998</v>
      </c>
      <c r="AJ534" s="1948">
        <v>49.16</v>
      </c>
      <c r="AK534" s="1948">
        <v>80140</v>
      </c>
      <c r="AL534" s="1948">
        <f t="shared" si="126"/>
        <v>121278</v>
      </c>
      <c r="AM534" s="1948">
        <f t="shared" si="127"/>
        <v>0</v>
      </c>
      <c r="AN534" s="1948">
        <v>391</v>
      </c>
      <c r="AO534" s="1948">
        <v>153.11999999999998</v>
      </c>
      <c r="AP534" s="1948">
        <v>312.8</v>
      </c>
      <c r="AQ534" s="1948">
        <v>0.88770000000000004</v>
      </c>
      <c r="AR534" s="1948">
        <v>65.45</v>
      </c>
      <c r="AS534" s="1948">
        <v>79374</v>
      </c>
      <c r="AT534" s="1948">
        <f t="shared" si="128"/>
        <v>68353</v>
      </c>
      <c r="AU534" s="1948">
        <f t="shared" si="129"/>
        <v>11021</v>
      </c>
      <c r="AV534" s="1948">
        <v>391</v>
      </c>
      <c r="AW534" s="1948">
        <v>133.19999999999999</v>
      </c>
      <c r="AX534" s="1948">
        <v>312.8</v>
      </c>
      <c r="AY534" s="1948">
        <v>0.88990000000000002</v>
      </c>
      <c r="AZ534" s="1948">
        <v>77.989999999999995</v>
      </c>
      <c r="BA534" s="1948">
        <v>79779</v>
      </c>
      <c r="BB534" s="1948">
        <f t="shared" si="130"/>
        <v>57542</v>
      </c>
      <c r="BC534" s="1948">
        <f t="shared" si="131"/>
        <v>22237</v>
      </c>
      <c r="BD534" s="1949">
        <v>391</v>
      </c>
      <c r="BE534" s="1948">
        <v>138.36000000000001</v>
      </c>
      <c r="BF534" s="1949">
        <v>312.8</v>
      </c>
      <c r="BG534" s="1949">
        <v>0.88319999999999999</v>
      </c>
      <c r="BH534" s="1949">
        <v>65.56</v>
      </c>
      <c r="BI534" s="1948">
        <v>63136</v>
      </c>
      <c r="BJ534" s="1948">
        <f t="shared" si="132"/>
        <v>61764</v>
      </c>
      <c r="BK534" s="1948">
        <f t="shared" si="133"/>
        <v>1372</v>
      </c>
    </row>
    <row r="535" spans="1:63" ht="15">
      <c r="A535" s="1946">
        <v>122000000069</v>
      </c>
      <c r="B535" s="1947">
        <f t="shared" si="134"/>
        <v>529</v>
      </c>
      <c r="C535" s="1906" t="s">
        <v>626</v>
      </c>
      <c r="D535" s="1907" t="s">
        <v>524</v>
      </c>
      <c r="E535" s="1906" t="s">
        <v>2966</v>
      </c>
      <c r="F535" s="1948" t="s">
        <v>259</v>
      </c>
      <c r="G535" s="1949">
        <v>395</v>
      </c>
      <c r="H535" s="1948">
        <v>395</v>
      </c>
      <c r="I535" s="1950">
        <v>211.60000000000002</v>
      </c>
      <c r="J535" s="1948">
        <v>395</v>
      </c>
      <c r="K535" s="1948">
        <v>0.73609999999999998</v>
      </c>
      <c r="L535" s="1948">
        <v>0</v>
      </c>
      <c r="M535" s="1948">
        <v>41410</v>
      </c>
      <c r="N535" s="1948">
        <f t="shared" si="120"/>
        <v>91411</v>
      </c>
      <c r="O535" s="1948">
        <f t="shared" si="121"/>
        <v>0</v>
      </c>
      <c r="P535" s="1948">
        <v>395</v>
      </c>
      <c r="Q535" s="1948">
        <v>218.79999999999998</v>
      </c>
      <c r="R535" s="1948">
        <v>395</v>
      </c>
      <c r="S535" s="1948">
        <v>0.73980000000000001</v>
      </c>
      <c r="T535" s="1948">
        <v>0</v>
      </c>
      <c r="U535" s="1948">
        <v>62725</v>
      </c>
      <c r="V535" s="1948">
        <f t="shared" si="122"/>
        <v>97672</v>
      </c>
      <c r="W535" s="1948">
        <f t="shared" si="123"/>
        <v>0</v>
      </c>
      <c r="X535" s="1948">
        <v>395</v>
      </c>
      <c r="Y535" s="1948">
        <v>261.2</v>
      </c>
      <c r="Z535" s="1948">
        <v>395</v>
      </c>
      <c r="AA535" s="1948">
        <v>0.73599999999999999</v>
      </c>
      <c r="AB535" s="1948">
        <v>0</v>
      </c>
      <c r="AC535" s="1948">
        <v>79645</v>
      </c>
      <c r="AD535" s="1948">
        <f t="shared" si="124"/>
        <v>112838</v>
      </c>
      <c r="AE535" s="1948">
        <f t="shared" si="125"/>
        <v>0</v>
      </c>
      <c r="AF535" s="1948">
        <v>395</v>
      </c>
      <c r="AG535" s="1948">
        <v>251.6</v>
      </c>
      <c r="AH535" s="1948">
        <v>395</v>
      </c>
      <c r="AI535" s="1948">
        <v>0.74339999999999995</v>
      </c>
      <c r="AJ535" s="1948">
        <v>0</v>
      </c>
      <c r="AK535" s="1948">
        <v>67950</v>
      </c>
      <c r="AL535" s="1948">
        <f t="shared" si="126"/>
        <v>112314</v>
      </c>
      <c r="AM535" s="1948">
        <f t="shared" si="127"/>
        <v>0</v>
      </c>
      <c r="AN535" s="1948">
        <v>395</v>
      </c>
      <c r="AO535" s="1948">
        <v>146</v>
      </c>
      <c r="AP535" s="1948">
        <v>395</v>
      </c>
      <c r="AQ535" s="1948">
        <v>0.71040000000000003</v>
      </c>
      <c r="AR535" s="1948">
        <v>0</v>
      </c>
      <c r="AS535" s="1948">
        <v>24070</v>
      </c>
      <c r="AT535" s="1948">
        <f t="shared" si="128"/>
        <v>65174</v>
      </c>
      <c r="AU535" s="1948">
        <f t="shared" si="129"/>
        <v>0</v>
      </c>
      <c r="AV535" s="1948">
        <v>395</v>
      </c>
      <c r="AW535" s="1948">
        <v>140.80000000000001</v>
      </c>
      <c r="AX535" s="1948">
        <v>395</v>
      </c>
      <c r="AY535" s="1948">
        <v>0.71450000000000002</v>
      </c>
      <c r="AZ535" s="1948">
        <v>0</v>
      </c>
      <c r="BA535" s="1948">
        <v>40040</v>
      </c>
      <c r="BB535" s="1948">
        <f t="shared" si="130"/>
        <v>60826</v>
      </c>
      <c r="BC535" s="1948">
        <f t="shared" si="131"/>
        <v>0</v>
      </c>
      <c r="BD535" s="1949">
        <v>395</v>
      </c>
      <c r="BE535" s="1948">
        <v>132</v>
      </c>
      <c r="BF535" s="1949">
        <v>395</v>
      </c>
      <c r="BG535" s="1949">
        <v>0.73019999999999996</v>
      </c>
      <c r="BH535" s="1949">
        <v>0</v>
      </c>
      <c r="BI535" s="1948">
        <v>42205</v>
      </c>
      <c r="BJ535" s="1948">
        <f t="shared" si="132"/>
        <v>58925</v>
      </c>
      <c r="BK535" s="1948">
        <f t="shared" si="133"/>
        <v>0</v>
      </c>
    </row>
    <row r="536" spans="1:63" ht="15">
      <c r="A536" s="1946">
        <v>122000000032</v>
      </c>
      <c r="B536" s="1947">
        <f t="shared" si="134"/>
        <v>530</v>
      </c>
      <c r="C536" s="1906" t="s">
        <v>3382</v>
      </c>
      <c r="D536" s="1907" t="s">
        <v>524</v>
      </c>
      <c r="E536" s="1906" t="s">
        <v>541</v>
      </c>
      <c r="F536" s="1948" t="s">
        <v>259</v>
      </c>
      <c r="G536" s="1949">
        <v>400</v>
      </c>
      <c r="H536" s="1948">
        <v>400</v>
      </c>
      <c r="I536" s="1950">
        <v>372.48</v>
      </c>
      <c r="J536" s="1948">
        <v>372.48</v>
      </c>
      <c r="K536" s="1948">
        <v>0.98670000000000002</v>
      </c>
      <c r="L536" s="1948">
        <v>39.43</v>
      </c>
      <c r="M536" s="1948">
        <v>105735</v>
      </c>
      <c r="N536" s="1948">
        <f t="shared" si="120"/>
        <v>160911</v>
      </c>
      <c r="O536" s="1948">
        <f t="shared" si="121"/>
        <v>0</v>
      </c>
      <c r="P536" s="1948">
        <v>400</v>
      </c>
      <c r="Q536" s="1948">
        <v>357.84000000000003</v>
      </c>
      <c r="R536" s="1948">
        <v>357.84</v>
      </c>
      <c r="S536" s="1948">
        <v>0.98370000000000002</v>
      </c>
      <c r="T536" s="1948">
        <v>43.9</v>
      </c>
      <c r="U536" s="1948">
        <v>116880</v>
      </c>
      <c r="V536" s="1948">
        <f t="shared" si="122"/>
        <v>159740</v>
      </c>
      <c r="W536" s="1948">
        <f t="shared" si="123"/>
        <v>0</v>
      </c>
      <c r="X536" s="1948">
        <v>400</v>
      </c>
      <c r="Y536" s="1948">
        <v>385.68</v>
      </c>
      <c r="Z536" s="1948">
        <v>385.68</v>
      </c>
      <c r="AA536" s="1948">
        <v>0.98250000000000004</v>
      </c>
      <c r="AB536" s="1948">
        <v>48.14</v>
      </c>
      <c r="AC536" s="1948">
        <v>133683</v>
      </c>
      <c r="AD536" s="1948">
        <f t="shared" si="124"/>
        <v>166614</v>
      </c>
      <c r="AE536" s="1948">
        <f t="shared" si="125"/>
        <v>0</v>
      </c>
      <c r="AF536" s="1948">
        <v>400</v>
      </c>
      <c r="AG536" s="1948">
        <v>363.12</v>
      </c>
      <c r="AH536" s="1948">
        <v>363.12</v>
      </c>
      <c r="AI536" s="1948">
        <v>0.98750000000000004</v>
      </c>
      <c r="AJ536" s="1948">
        <v>45.57</v>
      </c>
      <c r="AK536" s="1948">
        <v>123099</v>
      </c>
      <c r="AL536" s="1948">
        <f t="shared" si="126"/>
        <v>162097</v>
      </c>
      <c r="AM536" s="1948">
        <f t="shared" si="127"/>
        <v>0</v>
      </c>
      <c r="AN536" s="1948">
        <v>400</v>
      </c>
      <c r="AO536" s="1948">
        <v>356.88</v>
      </c>
      <c r="AP536" s="1948">
        <v>356.88</v>
      </c>
      <c r="AQ536" s="1948">
        <v>0.98839999999999995</v>
      </c>
      <c r="AR536" s="1948">
        <v>46.39</v>
      </c>
      <c r="AS536" s="1948">
        <v>123165</v>
      </c>
      <c r="AT536" s="1948">
        <f t="shared" si="128"/>
        <v>159311</v>
      </c>
      <c r="AU536" s="1948">
        <f t="shared" si="129"/>
        <v>0</v>
      </c>
      <c r="AV536" s="1948">
        <v>400</v>
      </c>
      <c r="AW536" s="1948">
        <v>322.08000000000004</v>
      </c>
      <c r="AX536" s="1948">
        <v>322.08</v>
      </c>
      <c r="AY536" s="1948">
        <v>0.98850000000000005</v>
      </c>
      <c r="AZ536" s="1948">
        <v>49.91</v>
      </c>
      <c r="BA536" s="1948">
        <v>115734</v>
      </c>
      <c r="BB536" s="1948">
        <f t="shared" si="130"/>
        <v>139139</v>
      </c>
      <c r="BC536" s="1948">
        <f t="shared" si="131"/>
        <v>0</v>
      </c>
      <c r="BD536" s="1949">
        <v>400</v>
      </c>
      <c r="BE536" s="1948">
        <v>327.60000000000002</v>
      </c>
      <c r="BF536" s="1949">
        <v>327.60000000000002</v>
      </c>
      <c r="BG536" s="1949">
        <v>0.9909</v>
      </c>
      <c r="BH536" s="1949">
        <v>40.42</v>
      </c>
      <c r="BI536" s="1948">
        <v>98526</v>
      </c>
      <c r="BJ536" s="1948">
        <f t="shared" si="132"/>
        <v>146241</v>
      </c>
      <c r="BK536" s="1948">
        <f t="shared" si="133"/>
        <v>0</v>
      </c>
    </row>
    <row r="537" spans="1:63" ht="15">
      <c r="A537" s="1946">
        <v>122000000038</v>
      </c>
      <c r="B537" s="1947">
        <f t="shared" si="134"/>
        <v>531</v>
      </c>
      <c r="C537" s="1906" t="s">
        <v>3383</v>
      </c>
      <c r="D537" s="1907" t="s">
        <v>524</v>
      </c>
      <c r="E537" s="1906" t="s">
        <v>541</v>
      </c>
      <c r="F537" s="1948" t="s">
        <v>259</v>
      </c>
      <c r="G537" s="1949">
        <v>400</v>
      </c>
      <c r="H537" s="1948">
        <v>400</v>
      </c>
      <c r="I537" s="1950">
        <v>383.52</v>
      </c>
      <c r="J537" s="1948">
        <v>383.52</v>
      </c>
      <c r="K537" s="1948">
        <v>0.99939999999999996</v>
      </c>
      <c r="L537" s="1948">
        <v>29.6</v>
      </c>
      <c r="M537" s="1948">
        <v>81735</v>
      </c>
      <c r="N537" s="1948">
        <f t="shared" si="120"/>
        <v>165681</v>
      </c>
      <c r="O537" s="1948">
        <f t="shared" si="121"/>
        <v>0</v>
      </c>
      <c r="P537" s="1948">
        <v>400</v>
      </c>
      <c r="Q537" s="1948">
        <v>384.96</v>
      </c>
      <c r="R537" s="1948">
        <v>384.96</v>
      </c>
      <c r="S537" s="1948">
        <v>0.99980000000000002</v>
      </c>
      <c r="T537" s="1948">
        <v>37.380000000000003</v>
      </c>
      <c r="U537" s="1948">
        <v>107061</v>
      </c>
      <c r="V537" s="1948">
        <f t="shared" si="122"/>
        <v>171846</v>
      </c>
      <c r="W537" s="1948">
        <f t="shared" si="123"/>
        <v>0</v>
      </c>
      <c r="X537" s="1948">
        <v>400</v>
      </c>
      <c r="Y537" s="1948">
        <v>372.23999999999995</v>
      </c>
      <c r="Z537" s="1948">
        <v>372.24</v>
      </c>
      <c r="AA537" s="1948">
        <v>0.99960000000000004</v>
      </c>
      <c r="AB537" s="1948">
        <v>33.39</v>
      </c>
      <c r="AC537" s="1948">
        <v>89487</v>
      </c>
      <c r="AD537" s="1948">
        <f t="shared" si="124"/>
        <v>160808</v>
      </c>
      <c r="AE537" s="1948">
        <f t="shared" si="125"/>
        <v>0</v>
      </c>
      <c r="AF537" s="1948">
        <v>400</v>
      </c>
      <c r="AG537" s="1948">
        <v>375.84</v>
      </c>
      <c r="AH537" s="1948">
        <v>375.84</v>
      </c>
      <c r="AI537" s="1948">
        <v>0.99990000000000001</v>
      </c>
      <c r="AJ537" s="1948">
        <v>33.299999999999997</v>
      </c>
      <c r="AK537" s="1948">
        <v>93120</v>
      </c>
      <c r="AL537" s="1948">
        <f t="shared" si="126"/>
        <v>167775</v>
      </c>
      <c r="AM537" s="1948">
        <f t="shared" si="127"/>
        <v>0</v>
      </c>
      <c r="AN537" s="1948">
        <v>400</v>
      </c>
      <c r="AO537" s="1948">
        <v>390.96</v>
      </c>
      <c r="AP537" s="1948">
        <v>390.96</v>
      </c>
      <c r="AQ537" s="1948">
        <v>0.99250000000000005</v>
      </c>
      <c r="AR537" s="1948">
        <v>38.61</v>
      </c>
      <c r="AS537" s="1948">
        <v>112308</v>
      </c>
      <c r="AT537" s="1948">
        <f t="shared" si="128"/>
        <v>174525</v>
      </c>
      <c r="AU537" s="1948">
        <f t="shared" si="129"/>
        <v>0</v>
      </c>
      <c r="AV537" s="1948">
        <v>400</v>
      </c>
      <c r="AW537" s="1948">
        <v>472.56</v>
      </c>
      <c r="AX537" s="1948">
        <v>472.56</v>
      </c>
      <c r="AY537" s="1948">
        <v>0.98350000000000004</v>
      </c>
      <c r="AZ537" s="1948">
        <v>35.32</v>
      </c>
      <c r="BA537" s="1948">
        <v>120171</v>
      </c>
      <c r="BB537" s="1948">
        <f t="shared" si="130"/>
        <v>204146</v>
      </c>
      <c r="BC537" s="1948">
        <f t="shared" si="131"/>
        <v>0</v>
      </c>
      <c r="BD537" s="1949">
        <v>400</v>
      </c>
      <c r="BE537" s="1948">
        <v>390.24</v>
      </c>
      <c r="BF537" s="1949">
        <v>390.24</v>
      </c>
      <c r="BG537" s="1949">
        <v>0.99990000000000001</v>
      </c>
      <c r="BH537" s="1949">
        <v>40.200000000000003</v>
      </c>
      <c r="BI537" s="1948">
        <v>116706</v>
      </c>
      <c r="BJ537" s="1948">
        <f t="shared" si="132"/>
        <v>174203</v>
      </c>
      <c r="BK537" s="1948">
        <f t="shared" si="133"/>
        <v>0</v>
      </c>
    </row>
    <row r="538" spans="1:63" ht="15">
      <c r="A538" s="1946">
        <v>122000000040</v>
      </c>
      <c r="B538" s="1947">
        <f t="shared" si="134"/>
        <v>532</v>
      </c>
      <c r="C538" s="1906" t="s">
        <v>3384</v>
      </c>
      <c r="D538" s="1907" t="s">
        <v>524</v>
      </c>
      <c r="E538" s="1906" t="s">
        <v>623</v>
      </c>
      <c r="F538" s="1948" t="s">
        <v>259</v>
      </c>
      <c r="G538" s="1949">
        <v>400</v>
      </c>
      <c r="H538" s="1948">
        <v>400</v>
      </c>
      <c r="I538" s="1950">
        <v>2.7720000000000002</v>
      </c>
      <c r="J538" s="1948">
        <v>400</v>
      </c>
      <c r="K538" s="1948">
        <v>0.98299999999999998</v>
      </c>
      <c r="L538" s="1948">
        <v>0</v>
      </c>
      <c r="M538" s="1948">
        <v>72702</v>
      </c>
      <c r="N538" s="1948">
        <f t="shared" si="120"/>
        <v>1198</v>
      </c>
      <c r="O538" s="1948">
        <f t="shared" si="121"/>
        <v>71504</v>
      </c>
      <c r="P538" s="1948">
        <v>400</v>
      </c>
      <c r="Q538" s="1948">
        <v>290.42400000000004</v>
      </c>
      <c r="R538" s="1948">
        <v>400</v>
      </c>
      <c r="S538" s="1948">
        <v>0.98260000000000003</v>
      </c>
      <c r="T538" s="1948">
        <v>0</v>
      </c>
      <c r="U538" s="1948">
        <v>125553</v>
      </c>
      <c r="V538" s="1948">
        <f t="shared" si="122"/>
        <v>129645</v>
      </c>
      <c r="W538" s="1948">
        <f t="shared" si="123"/>
        <v>0</v>
      </c>
      <c r="X538" s="1948">
        <v>400</v>
      </c>
      <c r="Y538" s="1948">
        <v>288.87</v>
      </c>
      <c r="Z538" s="1948">
        <v>400</v>
      </c>
      <c r="AA538" s="1948">
        <v>0.98119999999999996</v>
      </c>
      <c r="AB538" s="1948">
        <v>0</v>
      </c>
      <c r="AC538" s="1948">
        <v>108353</v>
      </c>
      <c r="AD538" s="1948">
        <f t="shared" si="124"/>
        <v>124792</v>
      </c>
      <c r="AE538" s="1948">
        <f t="shared" si="125"/>
        <v>0</v>
      </c>
      <c r="AF538" s="1948">
        <v>400</v>
      </c>
      <c r="AG538" s="1948">
        <v>272.3304</v>
      </c>
      <c r="AH538" s="1948">
        <v>400</v>
      </c>
      <c r="AI538" s="1948">
        <v>0.98509999999999998</v>
      </c>
      <c r="AJ538" s="1948">
        <v>0</v>
      </c>
      <c r="AK538" s="1948">
        <v>101082</v>
      </c>
      <c r="AL538" s="1948">
        <f t="shared" si="126"/>
        <v>121568</v>
      </c>
      <c r="AM538" s="1948">
        <f t="shared" si="127"/>
        <v>0</v>
      </c>
      <c r="AN538" s="1948">
        <v>400</v>
      </c>
      <c r="AO538" s="1948">
        <v>256.10880000000003</v>
      </c>
      <c r="AP538" s="1948">
        <v>400</v>
      </c>
      <c r="AQ538" s="1948">
        <v>0.98929999999999996</v>
      </c>
      <c r="AR538" s="1948">
        <v>0</v>
      </c>
      <c r="AS538" s="1948">
        <v>96232</v>
      </c>
      <c r="AT538" s="1948">
        <f t="shared" si="128"/>
        <v>114327</v>
      </c>
      <c r="AU538" s="1948">
        <f t="shared" si="129"/>
        <v>0</v>
      </c>
      <c r="AV538" s="1948">
        <v>400</v>
      </c>
      <c r="AW538" s="1948">
        <v>251.05800000000002</v>
      </c>
      <c r="AX538" s="1948">
        <v>400</v>
      </c>
      <c r="AY538" s="1948">
        <v>0.99029999999999996</v>
      </c>
      <c r="AZ538" s="1948">
        <v>0</v>
      </c>
      <c r="BA538" s="1948">
        <v>88712</v>
      </c>
      <c r="BB538" s="1948">
        <f t="shared" si="130"/>
        <v>108457</v>
      </c>
      <c r="BC538" s="1948">
        <f t="shared" si="131"/>
        <v>0</v>
      </c>
      <c r="BD538" s="1949">
        <v>400</v>
      </c>
      <c r="BE538" s="1948">
        <v>249.822</v>
      </c>
      <c r="BF538" s="1949">
        <v>400</v>
      </c>
      <c r="BG538" s="1949">
        <v>0.98670000000000002</v>
      </c>
      <c r="BH538" s="1949">
        <v>0</v>
      </c>
      <c r="BI538" s="1948">
        <v>87339</v>
      </c>
      <c r="BJ538" s="1948">
        <f t="shared" si="132"/>
        <v>111521</v>
      </c>
      <c r="BK538" s="1948">
        <f t="shared" si="133"/>
        <v>0</v>
      </c>
    </row>
    <row r="539" spans="1:63" ht="15">
      <c r="A539" s="1946">
        <v>122000000077</v>
      </c>
      <c r="B539" s="1947">
        <f t="shared" si="134"/>
        <v>533</v>
      </c>
      <c r="C539" s="1906" t="s">
        <v>3385</v>
      </c>
      <c r="D539" s="1907" t="s">
        <v>524</v>
      </c>
      <c r="E539" s="1906" t="s">
        <v>541</v>
      </c>
      <c r="F539" s="1948" t="s">
        <v>259</v>
      </c>
      <c r="G539" s="1949">
        <v>400</v>
      </c>
      <c r="H539" s="1948">
        <v>400</v>
      </c>
      <c r="I539" s="1950">
        <v>41.04</v>
      </c>
      <c r="J539" s="1948">
        <v>320</v>
      </c>
      <c r="K539" s="1948">
        <v>0.97240000000000004</v>
      </c>
      <c r="L539" s="1948">
        <v>34.700000000000003</v>
      </c>
      <c r="M539" s="1948">
        <v>10254</v>
      </c>
      <c r="N539" s="1948">
        <f t="shared" si="120"/>
        <v>17729</v>
      </c>
      <c r="O539" s="1948">
        <f t="shared" si="121"/>
        <v>0</v>
      </c>
      <c r="P539" s="1948">
        <v>400</v>
      </c>
      <c r="Q539" s="1948">
        <v>253.68</v>
      </c>
      <c r="R539" s="1948">
        <v>320</v>
      </c>
      <c r="S539" s="1948">
        <v>0.99399999999999999</v>
      </c>
      <c r="T539" s="1948">
        <v>43.59</v>
      </c>
      <c r="U539" s="1948">
        <v>82263</v>
      </c>
      <c r="V539" s="1948">
        <f t="shared" si="122"/>
        <v>113243</v>
      </c>
      <c r="W539" s="1948">
        <f t="shared" si="123"/>
        <v>0</v>
      </c>
      <c r="X539" s="1948">
        <v>400</v>
      </c>
      <c r="Y539" s="1948">
        <v>286.56</v>
      </c>
      <c r="Z539" s="1948">
        <v>320</v>
      </c>
      <c r="AA539" s="1948">
        <v>0.99709999999999999</v>
      </c>
      <c r="AB539" s="1948">
        <v>43.79</v>
      </c>
      <c r="AC539" s="1948">
        <v>90357</v>
      </c>
      <c r="AD539" s="1948">
        <f t="shared" si="124"/>
        <v>123794</v>
      </c>
      <c r="AE539" s="1948">
        <f t="shared" si="125"/>
        <v>0</v>
      </c>
      <c r="AF539" s="1948">
        <v>400</v>
      </c>
      <c r="AG539" s="1948">
        <v>238.8</v>
      </c>
      <c r="AH539" s="1948">
        <v>320</v>
      </c>
      <c r="AI539" s="1948">
        <v>0.998</v>
      </c>
      <c r="AJ539" s="1948">
        <v>39.04</v>
      </c>
      <c r="AK539" s="1948">
        <v>69369</v>
      </c>
      <c r="AL539" s="1948">
        <f t="shared" si="126"/>
        <v>106600</v>
      </c>
      <c r="AM539" s="1948">
        <f t="shared" si="127"/>
        <v>0</v>
      </c>
      <c r="AN539" s="1948">
        <v>400</v>
      </c>
      <c r="AO539" s="1948">
        <v>271.68</v>
      </c>
      <c r="AP539" s="1948">
        <v>320</v>
      </c>
      <c r="AQ539" s="1948">
        <v>0.99770000000000003</v>
      </c>
      <c r="AR539" s="1948">
        <v>41.27</v>
      </c>
      <c r="AS539" s="1948">
        <v>83424</v>
      </c>
      <c r="AT539" s="1948">
        <f t="shared" si="128"/>
        <v>121278</v>
      </c>
      <c r="AU539" s="1948">
        <f t="shared" si="129"/>
        <v>0</v>
      </c>
      <c r="AV539" s="1948">
        <v>400</v>
      </c>
      <c r="AW539" s="1948">
        <v>251.28</v>
      </c>
      <c r="AX539" s="1948">
        <v>320</v>
      </c>
      <c r="AY539" s="1948">
        <v>0.99770000000000003</v>
      </c>
      <c r="AZ539" s="1948">
        <v>47.38</v>
      </c>
      <c r="BA539" s="1948">
        <v>85719</v>
      </c>
      <c r="BB539" s="1948">
        <f t="shared" si="130"/>
        <v>108553</v>
      </c>
      <c r="BC539" s="1948">
        <f t="shared" si="131"/>
        <v>0</v>
      </c>
      <c r="BD539" s="1949">
        <v>400</v>
      </c>
      <c r="BE539" s="1948">
        <v>252.24</v>
      </c>
      <c r="BF539" s="1949">
        <v>320</v>
      </c>
      <c r="BG539" s="1949">
        <v>0.99680000000000002</v>
      </c>
      <c r="BH539" s="1949">
        <v>43.44</v>
      </c>
      <c r="BI539" s="1948">
        <v>81516</v>
      </c>
      <c r="BJ539" s="1948">
        <f t="shared" si="132"/>
        <v>112600</v>
      </c>
      <c r="BK539" s="1948">
        <f t="shared" si="133"/>
        <v>0</v>
      </c>
    </row>
    <row r="540" spans="1:63" ht="15">
      <c r="A540" s="1946">
        <v>122000000083</v>
      </c>
      <c r="B540" s="1947">
        <f t="shared" si="134"/>
        <v>534</v>
      </c>
      <c r="C540" s="1906" t="s">
        <v>3386</v>
      </c>
      <c r="D540" s="1907" t="s">
        <v>524</v>
      </c>
      <c r="E540" s="1906" t="s">
        <v>541</v>
      </c>
      <c r="F540" s="1948" t="s">
        <v>259</v>
      </c>
      <c r="G540" s="1949">
        <v>400</v>
      </c>
      <c r="H540" s="1948">
        <v>400</v>
      </c>
      <c r="I540" s="1950">
        <v>162.96</v>
      </c>
      <c r="J540" s="1948">
        <v>320</v>
      </c>
      <c r="K540" s="1948">
        <v>0.99919999999999998</v>
      </c>
      <c r="L540" s="1948">
        <v>12.98</v>
      </c>
      <c r="M540" s="1948">
        <v>15234</v>
      </c>
      <c r="N540" s="1948">
        <f t="shared" si="120"/>
        <v>70399</v>
      </c>
      <c r="O540" s="1948">
        <f t="shared" si="121"/>
        <v>0</v>
      </c>
      <c r="P540" s="1948">
        <v>400</v>
      </c>
      <c r="Q540" s="1948">
        <v>242.16</v>
      </c>
      <c r="R540" s="1948">
        <v>320</v>
      </c>
      <c r="S540" s="1948">
        <v>0.99939999999999996</v>
      </c>
      <c r="T540" s="1948">
        <v>18.05</v>
      </c>
      <c r="U540" s="1948">
        <v>32526</v>
      </c>
      <c r="V540" s="1948">
        <f t="shared" si="122"/>
        <v>108100</v>
      </c>
      <c r="W540" s="1948">
        <f t="shared" si="123"/>
        <v>0</v>
      </c>
      <c r="X540" s="1948">
        <v>400</v>
      </c>
      <c r="Y540" s="1948">
        <v>248.64</v>
      </c>
      <c r="Z540" s="1948">
        <v>320</v>
      </c>
      <c r="AA540" s="1948">
        <v>0.99960000000000004</v>
      </c>
      <c r="AB540" s="1948">
        <v>35</v>
      </c>
      <c r="AC540" s="1948">
        <v>62655</v>
      </c>
      <c r="AD540" s="1948">
        <f t="shared" si="124"/>
        <v>107412</v>
      </c>
      <c r="AE540" s="1948">
        <f t="shared" si="125"/>
        <v>0</v>
      </c>
      <c r="AF540" s="1948">
        <v>400</v>
      </c>
      <c r="AG540" s="1948">
        <v>246.72</v>
      </c>
      <c r="AH540" s="1948">
        <v>320</v>
      </c>
      <c r="AI540" s="1948">
        <v>0.99970000000000003</v>
      </c>
      <c r="AJ540" s="1948">
        <v>23.51</v>
      </c>
      <c r="AK540" s="1948">
        <v>43158</v>
      </c>
      <c r="AL540" s="1948">
        <f t="shared" si="126"/>
        <v>110136</v>
      </c>
      <c r="AM540" s="1948">
        <f t="shared" si="127"/>
        <v>0</v>
      </c>
      <c r="AN540" s="1948">
        <v>400</v>
      </c>
      <c r="AO540" s="1948">
        <v>181.44</v>
      </c>
      <c r="AP540" s="1948">
        <v>320</v>
      </c>
      <c r="AQ540" s="1948">
        <v>0.99970000000000003</v>
      </c>
      <c r="AR540" s="1948">
        <v>32.479999999999997</v>
      </c>
      <c r="AS540" s="1948">
        <v>43845</v>
      </c>
      <c r="AT540" s="1948">
        <f t="shared" si="128"/>
        <v>80995</v>
      </c>
      <c r="AU540" s="1948">
        <f t="shared" si="129"/>
        <v>0</v>
      </c>
      <c r="AV540" s="1948">
        <v>400</v>
      </c>
      <c r="AW540" s="1948">
        <v>179.04</v>
      </c>
      <c r="AX540" s="1948">
        <v>320</v>
      </c>
      <c r="AY540" s="1948">
        <v>0.99970000000000003</v>
      </c>
      <c r="AZ540" s="1948">
        <v>23.62</v>
      </c>
      <c r="BA540" s="1948">
        <v>30444</v>
      </c>
      <c r="BB540" s="1948">
        <f t="shared" si="130"/>
        <v>77345</v>
      </c>
      <c r="BC540" s="1948">
        <f t="shared" si="131"/>
        <v>0</v>
      </c>
      <c r="BD540" s="1949">
        <v>400</v>
      </c>
      <c r="BE540" s="1948">
        <v>216.24</v>
      </c>
      <c r="BF540" s="1949">
        <v>320</v>
      </c>
      <c r="BG540" s="1949">
        <v>0.99960000000000004</v>
      </c>
      <c r="BH540" s="1949">
        <v>22.43</v>
      </c>
      <c r="BI540" s="1948">
        <v>36081</v>
      </c>
      <c r="BJ540" s="1948">
        <f t="shared" si="132"/>
        <v>96530</v>
      </c>
      <c r="BK540" s="1948">
        <f t="shared" si="133"/>
        <v>0</v>
      </c>
    </row>
    <row r="541" spans="1:63" ht="15">
      <c r="A541" s="1946">
        <v>123000000057</v>
      </c>
      <c r="B541" s="1947">
        <f t="shared" si="134"/>
        <v>535</v>
      </c>
      <c r="C541" s="1906" t="s">
        <v>3387</v>
      </c>
      <c r="D541" s="1907" t="s">
        <v>524</v>
      </c>
      <c r="E541" s="1906" t="s">
        <v>737</v>
      </c>
      <c r="F541" s="1948" t="s">
        <v>259</v>
      </c>
      <c r="G541" s="1949">
        <v>400</v>
      </c>
      <c r="H541" s="1948">
        <v>400</v>
      </c>
      <c r="I541" s="1950">
        <v>196.39999999999998</v>
      </c>
      <c r="J541" s="1948">
        <v>320</v>
      </c>
      <c r="K541" s="1948">
        <v>0.99929999999999997</v>
      </c>
      <c r="L541" s="1948">
        <v>43.47</v>
      </c>
      <c r="M541" s="1948">
        <v>61475</v>
      </c>
      <c r="N541" s="1948">
        <f t="shared" si="120"/>
        <v>84845</v>
      </c>
      <c r="O541" s="1948">
        <f t="shared" si="121"/>
        <v>0</v>
      </c>
      <c r="P541" s="1948">
        <v>400</v>
      </c>
      <c r="Q541" s="1948">
        <v>215.60000000000002</v>
      </c>
      <c r="R541" s="1948">
        <v>320</v>
      </c>
      <c r="S541" s="1948">
        <v>0.99939999999999996</v>
      </c>
      <c r="T541" s="1948">
        <v>48.82</v>
      </c>
      <c r="U541" s="1948">
        <v>78310</v>
      </c>
      <c r="V541" s="1948">
        <f t="shared" si="122"/>
        <v>96244</v>
      </c>
      <c r="W541" s="1948">
        <f t="shared" si="123"/>
        <v>0</v>
      </c>
      <c r="X541" s="1948">
        <v>400</v>
      </c>
      <c r="Y541" s="1948">
        <v>208.8</v>
      </c>
      <c r="Z541" s="1948">
        <v>320</v>
      </c>
      <c r="AA541" s="1948">
        <v>0.99939999999999996</v>
      </c>
      <c r="AB541" s="1948">
        <v>39.28</v>
      </c>
      <c r="AC541" s="1948">
        <v>59050</v>
      </c>
      <c r="AD541" s="1948">
        <f t="shared" si="124"/>
        <v>90202</v>
      </c>
      <c r="AE541" s="1948">
        <f t="shared" si="125"/>
        <v>0</v>
      </c>
      <c r="AF541" s="1948">
        <v>400</v>
      </c>
      <c r="AG541" s="1948">
        <v>216.4</v>
      </c>
      <c r="AH541" s="1948">
        <v>320</v>
      </c>
      <c r="AI541" s="1948">
        <v>0.99960000000000004</v>
      </c>
      <c r="AJ541" s="1948">
        <v>46.72</v>
      </c>
      <c r="AK541" s="1948">
        <v>75220</v>
      </c>
      <c r="AL541" s="1948">
        <f t="shared" si="126"/>
        <v>96601</v>
      </c>
      <c r="AM541" s="1948">
        <f t="shared" si="127"/>
        <v>0</v>
      </c>
      <c r="AN541" s="1948">
        <v>400</v>
      </c>
      <c r="AO541" s="1948">
        <v>205.2</v>
      </c>
      <c r="AP541" s="1948">
        <v>320</v>
      </c>
      <c r="AQ541" s="1948">
        <v>0.99970000000000003</v>
      </c>
      <c r="AR541" s="1948">
        <v>50.59</v>
      </c>
      <c r="AS541" s="1948">
        <v>77235</v>
      </c>
      <c r="AT541" s="1948">
        <f t="shared" si="128"/>
        <v>91601</v>
      </c>
      <c r="AU541" s="1948">
        <f t="shared" si="129"/>
        <v>0</v>
      </c>
      <c r="AV541" s="1948">
        <v>400</v>
      </c>
      <c r="AW541" s="1948">
        <v>290.39999999999998</v>
      </c>
      <c r="AX541" s="1948">
        <v>320</v>
      </c>
      <c r="AY541" s="1948">
        <v>1</v>
      </c>
      <c r="AZ541" s="1948">
        <v>40.43</v>
      </c>
      <c r="BA541" s="1948">
        <v>84530</v>
      </c>
      <c r="BB541" s="1948">
        <f t="shared" si="130"/>
        <v>125453</v>
      </c>
      <c r="BC541" s="1948">
        <f t="shared" si="131"/>
        <v>0</v>
      </c>
      <c r="BD541" s="1949">
        <v>400</v>
      </c>
      <c r="BE541" s="1948">
        <v>223.20000000000002</v>
      </c>
      <c r="BF541" s="1949">
        <v>320</v>
      </c>
      <c r="BG541" s="1949">
        <v>1</v>
      </c>
      <c r="BH541" s="1949">
        <v>42.44</v>
      </c>
      <c r="BI541" s="1948">
        <v>70470</v>
      </c>
      <c r="BJ541" s="1948">
        <f t="shared" si="132"/>
        <v>99636</v>
      </c>
      <c r="BK541" s="1948">
        <f t="shared" si="133"/>
        <v>0</v>
      </c>
    </row>
    <row r="542" spans="1:63" ht="15">
      <c r="A542" s="1946">
        <v>123000000082</v>
      </c>
      <c r="B542" s="1947">
        <f t="shared" si="134"/>
        <v>536</v>
      </c>
      <c r="C542" s="1906" t="s">
        <v>3388</v>
      </c>
      <c r="D542" s="1907" t="s">
        <v>524</v>
      </c>
      <c r="E542" s="1906" t="s">
        <v>737</v>
      </c>
      <c r="F542" s="1948" t="s">
        <v>259</v>
      </c>
      <c r="G542" s="1949">
        <v>400</v>
      </c>
      <c r="H542" s="1948">
        <v>400</v>
      </c>
      <c r="I542" s="1950">
        <v>182.88</v>
      </c>
      <c r="J542" s="1948">
        <v>320</v>
      </c>
      <c r="K542" s="1948">
        <v>0.9254</v>
      </c>
      <c r="L542" s="1948">
        <v>34.729999999999997</v>
      </c>
      <c r="M542" s="1948">
        <v>45735</v>
      </c>
      <c r="N542" s="1948">
        <f t="shared" si="120"/>
        <v>79004</v>
      </c>
      <c r="O542" s="1948">
        <f t="shared" si="121"/>
        <v>0</v>
      </c>
      <c r="P542" s="1948">
        <v>400</v>
      </c>
      <c r="Q542" s="1948">
        <v>214.55999999999997</v>
      </c>
      <c r="R542" s="1948">
        <v>320</v>
      </c>
      <c r="S542" s="1948">
        <v>0.92749999999999999</v>
      </c>
      <c r="T542" s="1948">
        <v>37.020000000000003</v>
      </c>
      <c r="U542" s="1948">
        <v>59097</v>
      </c>
      <c r="V542" s="1948">
        <f t="shared" si="122"/>
        <v>95780</v>
      </c>
      <c r="W542" s="1948">
        <f t="shared" si="123"/>
        <v>0</v>
      </c>
      <c r="X542" s="1948">
        <v>400</v>
      </c>
      <c r="Y542" s="1948">
        <v>225.6</v>
      </c>
      <c r="Z542" s="1948">
        <v>320</v>
      </c>
      <c r="AA542" s="1948">
        <v>0.91469999999999996</v>
      </c>
      <c r="AB542" s="1948">
        <v>38.58</v>
      </c>
      <c r="AC542" s="1948">
        <v>62670</v>
      </c>
      <c r="AD542" s="1948">
        <f t="shared" si="124"/>
        <v>97459</v>
      </c>
      <c r="AE542" s="1948">
        <f t="shared" si="125"/>
        <v>0</v>
      </c>
      <c r="AF542" s="1948">
        <v>400</v>
      </c>
      <c r="AG542" s="1948">
        <v>198.96</v>
      </c>
      <c r="AH542" s="1948">
        <v>320</v>
      </c>
      <c r="AI542" s="1948">
        <v>0.89200000000000002</v>
      </c>
      <c r="AJ542" s="1948">
        <v>36.56</v>
      </c>
      <c r="AK542" s="1948">
        <v>54117</v>
      </c>
      <c r="AL542" s="1948">
        <f t="shared" si="126"/>
        <v>88816</v>
      </c>
      <c r="AM542" s="1948">
        <f t="shared" si="127"/>
        <v>0</v>
      </c>
      <c r="AN542" s="1948">
        <v>400</v>
      </c>
      <c r="AO542" s="1948">
        <v>246.23999999999998</v>
      </c>
      <c r="AP542" s="1948">
        <v>320</v>
      </c>
      <c r="AQ542" s="1948">
        <v>0.90339999999999998</v>
      </c>
      <c r="AR542" s="1948">
        <v>38.979999999999997</v>
      </c>
      <c r="AS542" s="1948">
        <v>71418</v>
      </c>
      <c r="AT542" s="1948">
        <f t="shared" si="128"/>
        <v>109922</v>
      </c>
      <c r="AU542" s="1948">
        <f t="shared" si="129"/>
        <v>0</v>
      </c>
      <c r="AV542" s="1948">
        <v>400</v>
      </c>
      <c r="AW542" s="1948">
        <v>225.84</v>
      </c>
      <c r="AX542" s="1948">
        <v>320</v>
      </c>
      <c r="AY542" s="1948">
        <v>0.90859999999999996</v>
      </c>
      <c r="AZ542" s="1948">
        <v>43.38</v>
      </c>
      <c r="BA542" s="1948">
        <v>70542</v>
      </c>
      <c r="BB542" s="1948">
        <f t="shared" si="130"/>
        <v>97563</v>
      </c>
      <c r="BC542" s="1948">
        <f t="shared" si="131"/>
        <v>0</v>
      </c>
      <c r="BD542" s="1949">
        <v>400</v>
      </c>
      <c r="BE542" s="1948">
        <v>204.72</v>
      </c>
      <c r="BF542" s="1949">
        <v>320</v>
      </c>
      <c r="BG542" s="1949">
        <v>0.90769999999999995</v>
      </c>
      <c r="BH542" s="1949">
        <v>37.369999999999997</v>
      </c>
      <c r="BI542" s="1948">
        <v>56916</v>
      </c>
      <c r="BJ542" s="1948">
        <f t="shared" si="132"/>
        <v>91387</v>
      </c>
      <c r="BK542" s="1948">
        <f t="shared" si="133"/>
        <v>0</v>
      </c>
    </row>
    <row r="543" spans="1:63" ht="15">
      <c r="A543" s="1946">
        <v>123000000120</v>
      </c>
      <c r="B543" s="1947">
        <f t="shared" si="134"/>
        <v>537</v>
      </c>
      <c r="C543" s="1906" t="s">
        <v>3389</v>
      </c>
      <c r="D543" s="1907" t="s">
        <v>524</v>
      </c>
      <c r="E543" s="1906" t="s">
        <v>541</v>
      </c>
      <c r="F543" s="1948" t="s">
        <v>259</v>
      </c>
      <c r="G543" s="1949">
        <v>400</v>
      </c>
      <c r="H543" s="1948">
        <v>400</v>
      </c>
      <c r="I543" s="1950">
        <v>366.48</v>
      </c>
      <c r="J543" s="1948">
        <v>366.48</v>
      </c>
      <c r="K543" s="1948">
        <v>0.95889999999999997</v>
      </c>
      <c r="L543" s="1948">
        <v>35.869999999999997</v>
      </c>
      <c r="M543" s="1948">
        <v>94638</v>
      </c>
      <c r="N543" s="1948">
        <f t="shared" si="120"/>
        <v>158319</v>
      </c>
      <c r="O543" s="1948">
        <f t="shared" si="121"/>
        <v>0</v>
      </c>
      <c r="P543" s="1948">
        <v>400</v>
      </c>
      <c r="Q543" s="1948">
        <v>385.68</v>
      </c>
      <c r="R543" s="1948">
        <v>385.68</v>
      </c>
      <c r="S543" s="1948">
        <v>0.95540000000000003</v>
      </c>
      <c r="T543" s="1948">
        <v>43.31</v>
      </c>
      <c r="U543" s="1948">
        <v>124269</v>
      </c>
      <c r="V543" s="1948">
        <f t="shared" si="122"/>
        <v>172168</v>
      </c>
      <c r="W543" s="1948">
        <f t="shared" si="123"/>
        <v>0</v>
      </c>
      <c r="X543" s="1948">
        <v>400</v>
      </c>
      <c r="Y543" s="1948">
        <v>389.52</v>
      </c>
      <c r="Z543" s="1948">
        <v>389.52</v>
      </c>
      <c r="AA543" s="1948">
        <v>0.93559999999999999</v>
      </c>
      <c r="AB543" s="1948">
        <v>29.41</v>
      </c>
      <c r="AC543" s="1948">
        <v>82488</v>
      </c>
      <c r="AD543" s="1948">
        <f t="shared" si="124"/>
        <v>168273</v>
      </c>
      <c r="AE543" s="1948">
        <f t="shared" si="125"/>
        <v>0</v>
      </c>
      <c r="AF543" s="1948">
        <v>400</v>
      </c>
      <c r="AG543" s="1948">
        <v>379.44</v>
      </c>
      <c r="AH543" s="1948">
        <v>379.44</v>
      </c>
      <c r="AI543" s="1948">
        <v>0.90510000000000002</v>
      </c>
      <c r="AJ543" s="1948">
        <v>20.079999999999998</v>
      </c>
      <c r="AK543" s="1948">
        <v>56697</v>
      </c>
      <c r="AL543" s="1948">
        <f t="shared" si="126"/>
        <v>169382</v>
      </c>
      <c r="AM543" s="1948">
        <f t="shared" si="127"/>
        <v>0</v>
      </c>
      <c r="AN543" s="1948">
        <v>400</v>
      </c>
      <c r="AO543" s="1948">
        <v>390.24</v>
      </c>
      <c r="AP543" s="1948">
        <v>390.24</v>
      </c>
      <c r="AQ543" s="1948">
        <v>0.94799999999999995</v>
      </c>
      <c r="AR543" s="1948">
        <v>22.75</v>
      </c>
      <c r="AS543" s="1948">
        <v>66066</v>
      </c>
      <c r="AT543" s="1948">
        <f t="shared" si="128"/>
        <v>174203</v>
      </c>
      <c r="AU543" s="1948">
        <f t="shared" si="129"/>
        <v>0</v>
      </c>
      <c r="AV543" s="1948">
        <v>400</v>
      </c>
      <c r="AW543" s="1948">
        <v>384.48</v>
      </c>
      <c r="AX543" s="1948">
        <v>384.48</v>
      </c>
      <c r="AY543" s="1948">
        <v>0.95240000000000002</v>
      </c>
      <c r="AZ543" s="1948">
        <v>17.45</v>
      </c>
      <c r="BA543" s="1948">
        <v>48309</v>
      </c>
      <c r="BB543" s="1948">
        <f t="shared" si="130"/>
        <v>166095</v>
      </c>
      <c r="BC543" s="1948">
        <f t="shared" si="131"/>
        <v>0</v>
      </c>
      <c r="BD543" s="1949">
        <v>400</v>
      </c>
      <c r="BE543" s="1949">
        <v>371.28</v>
      </c>
      <c r="BF543" s="1949">
        <v>371.28</v>
      </c>
      <c r="BG543" s="1949">
        <v>0.95479999999999998</v>
      </c>
      <c r="BH543" s="1949">
        <v>12.2</v>
      </c>
      <c r="BI543" s="1948">
        <v>33711</v>
      </c>
      <c r="BJ543" s="1948">
        <f t="shared" si="132"/>
        <v>165739</v>
      </c>
      <c r="BK543" s="1948">
        <f t="shared" si="133"/>
        <v>0</v>
      </c>
    </row>
    <row r="544" spans="1:63" ht="15">
      <c r="A544" s="1946">
        <v>125000000027</v>
      </c>
      <c r="B544" s="1947">
        <f t="shared" si="134"/>
        <v>538</v>
      </c>
      <c r="C544" s="1906" t="s">
        <v>3390</v>
      </c>
      <c r="D544" s="1907" t="s">
        <v>524</v>
      </c>
      <c r="E544" s="1906" t="s">
        <v>2966</v>
      </c>
      <c r="F544" s="1948" t="s">
        <v>259</v>
      </c>
      <c r="G544" s="1949">
        <v>400</v>
      </c>
      <c r="H544" s="1948">
        <v>400</v>
      </c>
      <c r="I544" s="1950">
        <v>92.4</v>
      </c>
      <c r="J544" s="1948">
        <v>400</v>
      </c>
      <c r="K544" s="1948">
        <v>0.93120000000000003</v>
      </c>
      <c r="L544" s="1948">
        <v>0</v>
      </c>
      <c r="M544" s="1948">
        <v>17805</v>
      </c>
      <c r="N544" s="1948">
        <f t="shared" si="120"/>
        <v>39917</v>
      </c>
      <c r="O544" s="1948">
        <f t="shared" si="121"/>
        <v>0</v>
      </c>
      <c r="P544" s="1948">
        <v>400</v>
      </c>
      <c r="Q544" s="1948">
        <v>90.960000000000008</v>
      </c>
      <c r="R544" s="1948">
        <v>400</v>
      </c>
      <c r="S544" s="1948">
        <v>0.92149999999999999</v>
      </c>
      <c r="T544" s="1948">
        <v>0</v>
      </c>
      <c r="U544" s="1948">
        <v>23172</v>
      </c>
      <c r="V544" s="1948">
        <f t="shared" si="122"/>
        <v>40605</v>
      </c>
      <c r="W544" s="1948">
        <f t="shared" si="123"/>
        <v>0</v>
      </c>
      <c r="X544" s="1948">
        <v>400</v>
      </c>
      <c r="Y544" s="1948">
        <v>94.8</v>
      </c>
      <c r="Z544" s="1948">
        <v>400</v>
      </c>
      <c r="AA544" s="1948">
        <v>0.91559999999999997</v>
      </c>
      <c r="AB544" s="1948">
        <v>0</v>
      </c>
      <c r="AC544" s="1948">
        <v>16968</v>
      </c>
      <c r="AD544" s="1948">
        <f t="shared" si="124"/>
        <v>40954</v>
      </c>
      <c r="AE544" s="1948">
        <f t="shared" si="125"/>
        <v>0</v>
      </c>
      <c r="AF544" s="1948">
        <v>400</v>
      </c>
      <c r="AG544" s="1948">
        <v>59.519999999999996</v>
      </c>
      <c r="AH544" s="1948">
        <v>400</v>
      </c>
      <c r="AI544" s="1948">
        <v>0.90649999999999997</v>
      </c>
      <c r="AJ544" s="1948">
        <v>0</v>
      </c>
      <c r="AK544" s="1948">
        <v>10917</v>
      </c>
      <c r="AL544" s="1948">
        <f t="shared" si="126"/>
        <v>26570</v>
      </c>
      <c r="AM544" s="1948">
        <f t="shared" si="127"/>
        <v>0</v>
      </c>
      <c r="AN544" s="1948">
        <v>400</v>
      </c>
      <c r="AO544" s="1948">
        <v>149.52000000000001</v>
      </c>
      <c r="AP544" s="1948">
        <v>400</v>
      </c>
      <c r="AQ544" s="1948">
        <v>0.98350000000000004</v>
      </c>
      <c r="AR544" s="1948">
        <v>0</v>
      </c>
      <c r="AS544" s="1948">
        <v>40791</v>
      </c>
      <c r="AT544" s="1948">
        <f t="shared" si="128"/>
        <v>66746</v>
      </c>
      <c r="AU544" s="1948">
        <f t="shared" si="129"/>
        <v>0</v>
      </c>
      <c r="AV544" s="1948">
        <v>400</v>
      </c>
      <c r="AW544" s="1948">
        <v>64.08</v>
      </c>
      <c r="AX544" s="1948">
        <v>400</v>
      </c>
      <c r="AY544" s="1948">
        <v>0.90700000000000003</v>
      </c>
      <c r="AZ544" s="1948">
        <v>0</v>
      </c>
      <c r="BA544" s="1948">
        <v>9651</v>
      </c>
      <c r="BB544" s="1948">
        <f t="shared" si="130"/>
        <v>27683</v>
      </c>
      <c r="BC544" s="1948">
        <f t="shared" si="131"/>
        <v>0</v>
      </c>
      <c r="BD544" s="1949">
        <v>400</v>
      </c>
      <c r="BE544" s="1948">
        <v>71.28</v>
      </c>
      <c r="BF544" s="1949">
        <v>400</v>
      </c>
      <c r="BG544" s="1949">
        <v>0.89870000000000005</v>
      </c>
      <c r="BH544" s="1949">
        <v>0</v>
      </c>
      <c r="BI544" s="1948">
        <v>12594</v>
      </c>
      <c r="BJ544" s="1948">
        <f t="shared" si="132"/>
        <v>31819</v>
      </c>
      <c r="BK544" s="1948">
        <f t="shared" si="133"/>
        <v>0</v>
      </c>
    </row>
    <row r="545" spans="1:63" ht="15">
      <c r="A545" s="1946">
        <v>611000000099</v>
      </c>
      <c r="B545" s="1947">
        <f t="shared" si="134"/>
        <v>539</v>
      </c>
      <c r="C545" s="1906" t="s">
        <v>3391</v>
      </c>
      <c r="D545" s="1907" t="s">
        <v>524</v>
      </c>
      <c r="E545" s="1906" t="s">
        <v>3392</v>
      </c>
      <c r="F545" s="1948" t="s">
        <v>259</v>
      </c>
      <c r="G545" s="1949">
        <v>400</v>
      </c>
      <c r="H545" s="1948">
        <v>400</v>
      </c>
      <c r="I545" s="1950">
        <v>91.679999999999993</v>
      </c>
      <c r="J545" s="1948">
        <v>320</v>
      </c>
      <c r="K545" s="1948">
        <v>0.9909</v>
      </c>
      <c r="L545" s="1948">
        <v>19.670000000000002</v>
      </c>
      <c r="M545" s="1948">
        <v>12987</v>
      </c>
      <c r="N545" s="1948">
        <f t="shared" si="120"/>
        <v>39606</v>
      </c>
      <c r="O545" s="1948">
        <f t="shared" si="121"/>
        <v>0</v>
      </c>
      <c r="P545" s="1948">
        <v>400</v>
      </c>
      <c r="Q545" s="1948">
        <v>90.72</v>
      </c>
      <c r="R545" s="1948">
        <v>320</v>
      </c>
      <c r="S545" s="1948">
        <v>0.99060000000000004</v>
      </c>
      <c r="T545" s="1948">
        <v>18.09</v>
      </c>
      <c r="U545" s="1948">
        <v>12213</v>
      </c>
      <c r="V545" s="1948">
        <f t="shared" si="122"/>
        <v>40497</v>
      </c>
      <c r="W545" s="1948">
        <f t="shared" si="123"/>
        <v>0</v>
      </c>
      <c r="X545" s="1948">
        <v>400</v>
      </c>
      <c r="Y545" s="1948">
        <v>70.08</v>
      </c>
      <c r="Z545" s="1948">
        <v>320</v>
      </c>
      <c r="AA545" s="1948">
        <v>0.99560000000000004</v>
      </c>
      <c r="AB545" s="1948">
        <v>14.94</v>
      </c>
      <c r="AC545" s="1948">
        <v>7536</v>
      </c>
      <c r="AD545" s="1948">
        <f t="shared" si="124"/>
        <v>30275</v>
      </c>
      <c r="AE545" s="1948">
        <f t="shared" si="125"/>
        <v>0</v>
      </c>
      <c r="AF545" s="1948">
        <v>400</v>
      </c>
      <c r="AG545" s="1948">
        <v>75.84</v>
      </c>
      <c r="AH545" s="1948">
        <v>320</v>
      </c>
      <c r="AI545" s="1948">
        <v>0.99</v>
      </c>
      <c r="AJ545" s="1948">
        <v>14.38</v>
      </c>
      <c r="AK545" s="1948">
        <v>8115</v>
      </c>
      <c r="AL545" s="1948">
        <f t="shared" si="126"/>
        <v>33855</v>
      </c>
      <c r="AM545" s="1948">
        <f t="shared" si="127"/>
        <v>0</v>
      </c>
      <c r="AN545" s="1948">
        <v>400</v>
      </c>
      <c r="AO545" s="1948">
        <v>72.239999999999995</v>
      </c>
      <c r="AP545" s="1948">
        <v>320</v>
      </c>
      <c r="AQ545" s="1948">
        <v>0.99439999999999995</v>
      </c>
      <c r="AR545" s="1948">
        <v>14.05</v>
      </c>
      <c r="AS545" s="1948">
        <v>7551</v>
      </c>
      <c r="AT545" s="1948">
        <f t="shared" si="128"/>
        <v>32248</v>
      </c>
      <c r="AU545" s="1948">
        <f t="shared" si="129"/>
        <v>0</v>
      </c>
      <c r="AV545" s="1948">
        <v>400</v>
      </c>
      <c r="AW545" s="1948">
        <v>11.52</v>
      </c>
      <c r="AX545" s="1948">
        <v>320</v>
      </c>
      <c r="AY545" s="1948">
        <v>1</v>
      </c>
      <c r="AZ545" s="1948">
        <v>51.87</v>
      </c>
      <c r="BA545" s="1948">
        <v>4302</v>
      </c>
      <c r="BB545" s="1948">
        <f t="shared" si="130"/>
        <v>4977</v>
      </c>
      <c r="BC545" s="1948">
        <f t="shared" si="131"/>
        <v>0</v>
      </c>
      <c r="BD545" s="1949">
        <v>400</v>
      </c>
      <c r="BE545" s="1948">
        <v>11.04</v>
      </c>
      <c r="BF545" s="1949">
        <v>320</v>
      </c>
      <c r="BG545" s="1949">
        <v>1.0007999999999999</v>
      </c>
      <c r="BH545" s="1949">
        <v>42.19</v>
      </c>
      <c r="BI545" s="1948">
        <v>3465</v>
      </c>
      <c r="BJ545" s="1948">
        <f t="shared" si="132"/>
        <v>4928</v>
      </c>
      <c r="BK545" s="1948">
        <f t="shared" si="133"/>
        <v>0</v>
      </c>
    </row>
    <row r="546" spans="1:63" ht="15">
      <c r="A546" s="1946">
        <v>622000000169</v>
      </c>
      <c r="B546" s="1947">
        <f t="shared" si="134"/>
        <v>540</v>
      </c>
      <c r="C546" s="1906" t="s">
        <v>3393</v>
      </c>
      <c r="D546" s="1907" t="s">
        <v>524</v>
      </c>
      <c r="E546" s="1906" t="s">
        <v>541</v>
      </c>
      <c r="F546" s="1948" t="s">
        <v>259</v>
      </c>
      <c r="G546" s="1949">
        <v>400</v>
      </c>
      <c r="H546" s="1948">
        <v>400</v>
      </c>
      <c r="I546" s="1950">
        <v>351.59999999999997</v>
      </c>
      <c r="J546" s="1948">
        <v>351.6</v>
      </c>
      <c r="K546" s="1948">
        <v>0.75249999999999995</v>
      </c>
      <c r="L546" s="1948">
        <v>21.26</v>
      </c>
      <c r="M546" s="1948">
        <v>53817</v>
      </c>
      <c r="N546" s="1948">
        <f t="shared" si="120"/>
        <v>151891</v>
      </c>
      <c r="O546" s="1948">
        <f t="shared" si="121"/>
        <v>0</v>
      </c>
      <c r="P546" s="1948">
        <v>400</v>
      </c>
      <c r="Q546" s="1948">
        <v>351.84000000000003</v>
      </c>
      <c r="R546" s="1948">
        <v>351.84</v>
      </c>
      <c r="S546" s="1948">
        <v>0.76070000000000004</v>
      </c>
      <c r="T546" s="1948">
        <v>22.59</v>
      </c>
      <c r="U546" s="1948">
        <v>59136</v>
      </c>
      <c r="V546" s="1948">
        <f t="shared" si="122"/>
        <v>157061</v>
      </c>
      <c r="W546" s="1948">
        <f t="shared" si="123"/>
        <v>0</v>
      </c>
      <c r="X546" s="1948">
        <v>400</v>
      </c>
      <c r="Y546" s="1948">
        <v>343.92</v>
      </c>
      <c r="Z546" s="1948">
        <v>343.92</v>
      </c>
      <c r="AA546" s="1948">
        <v>0.75280000000000002</v>
      </c>
      <c r="AB546" s="1948">
        <v>20.309999999999999</v>
      </c>
      <c r="AC546" s="1948">
        <v>50283</v>
      </c>
      <c r="AD546" s="1948">
        <f t="shared" si="124"/>
        <v>148573</v>
      </c>
      <c r="AE546" s="1948">
        <f t="shared" si="125"/>
        <v>0</v>
      </c>
      <c r="AF546" s="1948">
        <v>400</v>
      </c>
      <c r="AG546" s="1948">
        <v>354</v>
      </c>
      <c r="AH546" s="1948">
        <v>354</v>
      </c>
      <c r="AI546" s="1948">
        <v>0.73709999999999998</v>
      </c>
      <c r="AJ546" s="1948">
        <v>19.73</v>
      </c>
      <c r="AK546" s="1948">
        <v>51957</v>
      </c>
      <c r="AL546" s="1948">
        <f t="shared" si="126"/>
        <v>158026</v>
      </c>
      <c r="AM546" s="1948">
        <f t="shared" si="127"/>
        <v>0</v>
      </c>
      <c r="AN546" s="1948">
        <v>400</v>
      </c>
      <c r="AO546" s="1948">
        <v>325.92</v>
      </c>
      <c r="AP546" s="1948">
        <v>325.92</v>
      </c>
      <c r="AQ546" s="1948">
        <v>0.7107</v>
      </c>
      <c r="AR546" s="1948">
        <v>20.059999999999999</v>
      </c>
      <c r="AS546" s="1948">
        <v>48648</v>
      </c>
      <c r="AT546" s="1948">
        <f t="shared" si="128"/>
        <v>145491</v>
      </c>
      <c r="AU546" s="1948">
        <f t="shared" si="129"/>
        <v>0</v>
      </c>
      <c r="AV546" s="1948">
        <v>400</v>
      </c>
      <c r="AW546" s="1948">
        <v>340.56</v>
      </c>
      <c r="AX546" s="1948">
        <v>340.56</v>
      </c>
      <c r="AY546" s="1948">
        <v>0.68440000000000001</v>
      </c>
      <c r="AZ546" s="1948">
        <v>18.38</v>
      </c>
      <c r="BA546" s="1948">
        <v>45060</v>
      </c>
      <c r="BB546" s="1948">
        <f t="shared" si="130"/>
        <v>147122</v>
      </c>
      <c r="BC546" s="1948">
        <f t="shared" si="131"/>
        <v>0</v>
      </c>
      <c r="BD546" s="1949">
        <v>400</v>
      </c>
      <c r="BE546" s="1948">
        <v>343.44</v>
      </c>
      <c r="BF546" s="1949">
        <v>343.44</v>
      </c>
      <c r="BG546" s="1949">
        <v>0.70609999999999995</v>
      </c>
      <c r="BH546" s="1949">
        <v>22.13</v>
      </c>
      <c r="BI546" s="1948">
        <v>56556</v>
      </c>
      <c r="BJ546" s="1948">
        <f t="shared" si="132"/>
        <v>153312</v>
      </c>
      <c r="BK546" s="1948">
        <f t="shared" si="133"/>
        <v>0</v>
      </c>
    </row>
    <row r="547" spans="1:63" ht="15">
      <c r="A547" s="1946">
        <v>621000000069</v>
      </c>
      <c r="B547" s="1947">
        <f t="shared" si="134"/>
        <v>541</v>
      </c>
      <c r="C547" s="1906" t="s">
        <v>3381</v>
      </c>
      <c r="D547" s="1907" t="s">
        <v>524</v>
      </c>
      <c r="E547" s="1906" t="s">
        <v>636</v>
      </c>
      <c r="F547" s="1948" t="s">
        <v>259</v>
      </c>
      <c r="G547" s="1949">
        <v>400</v>
      </c>
      <c r="H547" s="1948">
        <v>400</v>
      </c>
      <c r="I547" s="1950">
        <v>287.60000000000002</v>
      </c>
      <c r="J547" s="1948">
        <v>320</v>
      </c>
      <c r="K547" s="1948">
        <v>0.83389999999999997</v>
      </c>
      <c r="L547" s="1948">
        <v>5.44</v>
      </c>
      <c r="M547" s="1948">
        <v>10145</v>
      </c>
      <c r="N547" s="1948">
        <f t="shared" si="120"/>
        <v>124243</v>
      </c>
      <c r="O547" s="1948">
        <f t="shared" si="121"/>
        <v>0</v>
      </c>
      <c r="P547" s="1948">
        <v>400</v>
      </c>
      <c r="Q547" s="1948">
        <v>277.60000000000002</v>
      </c>
      <c r="R547" s="1948">
        <v>320</v>
      </c>
      <c r="S547" s="1948">
        <v>0.83840000000000003</v>
      </c>
      <c r="T547" s="1948">
        <v>4.92</v>
      </c>
      <c r="U547" s="1948">
        <v>10495</v>
      </c>
      <c r="V547" s="1948">
        <f t="shared" si="122"/>
        <v>123921</v>
      </c>
      <c r="W547" s="1948">
        <f t="shared" si="123"/>
        <v>0</v>
      </c>
      <c r="X547" s="1948">
        <v>400</v>
      </c>
      <c r="Y547" s="1948">
        <v>261.2</v>
      </c>
      <c r="Z547" s="1948">
        <v>320</v>
      </c>
      <c r="AA547" s="1948">
        <v>0.81259999999999999</v>
      </c>
      <c r="AB547" s="1948">
        <v>6.44</v>
      </c>
      <c r="AC547" s="1948">
        <v>13315</v>
      </c>
      <c r="AD547" s="1948">
        <f t="shared" si="124"/>
        <v>112838</v>
      </c>
      <c r="AE547" s="1948">
        <f t="shared" si="125"/>
        <v>0</v>
      </c>
      <c r="AF547" s="1948">
        <v>400</v>
      </c>
      <c r="AG547" s="1948">
        <v>242.79999999999998</v>
      </c>
      <c r="AH547" s="1948">
        <v>320</v>
      </c>
      <c r="AI547" s="1948">
        <v>0.7006</v>
      </c>
      <c r="AJ547" s="1948">
        <v>4.01</v>
      </c>
      <c r="AK547" s="1948">
        <v>7250</v>
      </c>
      <c r="AL547" s="1948">
        <f t="shared" si="126"/>
        <v>108386</v>
      </c>
      <c r="AM547" s="1948">
        <f t="shared" si="127"/>
        <v>0</v>
      </c>
      <c r="AN547" s="1948">
        <v>400</v>
      </c>
      <c r="AO547" s="1948">
        <v>196.39999999999998</v>
      </c>
      <c r="AP547" s="1948">
        <v>320</v>
      </c>
      <c r="AQ547" s="1948">
        <v>0.68459999999999999</v>
      </c>
      <c r="AR547" s="1948">
        <v>5.63</v>
      </c>
      <c r="AS547" s="1948">
        <v>8230</v>
      </c>
      <c r="AT547" s="1948">
        <f t="shared" si="128"/>
        <v>87673</v>
      </c>
      <c r="AU547" s="1948">
        <f t="shared" si="129"/>
        <v>0</v>
      </c>
      <c r="AV547" s="1948">
        <v>400</v>
      </c>
      <c r="AW547" s="1948">
        <v>198</v>
      </c>
      <c r="AX547" s="1948">
        <v>320</v>
      </c>
      <c r="AY547" s="1948">
        <v>0.71630000000000005</v>
      </c>
      <c r="AZ547" s="1948">
        <v>7.32</v>
      </c>
      <c r="BA547" s="1948">
        <v>10435</v>
      </c>
      <c r="BB547" s="1948">
        <f t="shared" si="130"/>
        <v>85536</v>
      </c>
      <c r="BC547" s="1948">
        <f t="shared" si="131"/>
        <v>0</v>
      </c>
      <c r="BD547" s="1949">
        <v>400</v>
      </c>
      <c r="BE547" s="1948">
        <v>190.8</v>
      </c>
      <c r="BF547" s="1949">
        <v>320</v>
      </c>
      <c r="BG547" s="1949">
        <v>0.64929999999999999</v>
      </c>
      <c r="BH547" s="1949">
        <v>5.64</v>
      </c>
      <c r="BI547" s="1948">
        <v>8000</v>
      </c>
      <c r="BJ547" s="1948">
        <f t="shared" si="132"/>
        <v>85173</v>
      </c>
      <c r="BK547" s="1948">
        <f t="shared" si="133"/>
        <v>0</v>
      </c>
    </row>
    <row r="548" spans="1:63" ht="15">
      <c r="A548" s="1946">
        <v>122000000096</v>
      </c>
      <c r="B548" s="1947">
        <f t="shared" si="134"/>
        <v>542</v>
      </c>
      <c r="C548" s="1906" t="s">
        <v>3394</v>
      </c>
      <c r="D548" s="1907" t="s">
        <v>524</v>
      </c>
      <c r="E548" s="1906" t="s">
        <v>737</v>
      </c>
      <c r="F548" s="1948" t="s">
        <v>259</v>
      </c>
      <c r="G548" s="1949">
        <v>406</v>
      </c>
      <c r="H548" s="1948">
        <v>406</v>
      </c>
      <c r="I548" s="1950">
        <v>67.2</v>
      </c>
      <c r="J548" s="1948">
        <v>324.8</v>
      </c>
      <c r="K548" s="1948">
        <v>0.99939999999999996</v>
      </c>
      <c r="L548" s="1948">
        <v>23.67</v>
      </c>
      <c r="M548" s="1948">
        <v>11454</v>
      </c>
      <c r="N548" s="1948">
        <f t="shared" si="120"/>
        <v>29030</v>
      </c>
      <c r="O548" s="1948">
        <f t="shared" si="121"/>
        <v>0</v>
      </c>
      <c r="P548" s="1948">
        <v>406</v>
      </c>
      <c r="Q548" s="1948">
        <v>73.92</v>
      </c>
      <c r="R548" s="1948">
        <v>324.8</v>
      </c>
      <c r="S548" s="1948">
        <v>0.99309999999999998</v>
      </c>
      <c r="T548" s="1948">
        <v>22.34</v>
      </c>
      <c r="U548" s="1948">
        <v>12288</v>
      </c>
      <c r="V548" s="1948">
        <f t="shared" si="122"/>
        <v>32998</v>
      </c>
      <c r="W548" s="1948">
        <f t="shared" si="123"/>
        <v>0</v>
      </c>
      <c r="X548" s="1948">
        <v>406</v>
      </c>
      <c r="Y548" s="1948">
        <v>103.19999999999999</v>
      </c>
      <c r="Z548" s="1948">
        <v>324.8</v>
      </c>
      <c r="AA548" s="1948">
        <v>0.99660000000000004</v>
      </c>
      <c r="AB548" s="1948">
        <v>21.85</v>
      </c>
      <c r="AC548" s="1948">
        <v>16236</v>
      </c>
      <c r="AD548" s="1948">
        <f t="shared" si="124"/>
        <v>44582</v>
      </c>
      <c r="AE548" s="1948">
        <f t="shared" si="125"/>
        <v>0</v>
      </c>
      <c r="AF548" s="1948">
        <v>406</v>
      </c>
      <c r="AG548" s="1948">
        <v>65.52000000000001</v>
      </c>
      <c r="AH548" s="1948">
        <v>324.8</v>
      </c>
      <c r="AI548" s="1948">
        <v>0.99829999999999997</v>
      </c>
      <c r="AJ548" s="1948">
        <v>25.84</v>
      </c>
      <c r="AK548" s="1948">
        <v>12597</v>
      </c>
      <c r="AL548" s="1948">
        <f t="shared" si="126"/>
        <v>29248</v>
      </c>
      <c r="AM548" s="1948">
        <f t="shared" si="127"/>
        <v>0</v>
      </c>
      <c r="AN548" s="1948">
        <v>406</v>
      </c>
      <c r="AO548" s="1948">
        <v>69.12</v>
      </c>
      <c r="AP548" s="1948">
        <v>324.8</v>
      </c>
      <c r="AQ548" s="1948">
        <v>0.99950000000000006</v>
      </c>
      <c r="AR548" s="1948">
        <v>24.06</v>
      </c>
      <c r="AS548" s="1948">
        <v>12375</v>
      </c>
      <c r="AT548" s="1948">
        <f t="shared" si="128"/>
        <v>30855</v>
      </c>
      <c r="AU548" s="1948">
        <f t="shared" si="129"/>
        <v>0</v>
      </c>
      <c r="AV548" s="1948">
        <v>406</v>
      </c>
      <c r="AW548" s="1948">
        <v>55.44</v>
      </c>
      <c r="AX548" s="1948">
        <v>324.8</v>
      </c>
      <c r="AY548" s="1948">
        <v>0.999</v>
      </c>
      <c r="AZ548" s="1948">
        <v>31.99</v>
      </c>
      <c r="BA548" s="1948">
        <v>12771</v>
      </c>
      <c r="BB548" s="1948">
        <f t="shared" si="130"/>
        <v>23950</v>
      </c>
      <c r="BC548" s="1948">
        <f t="shared" si="131"/>
        <v>0</v>
      </c>
      <c r="BD548" s="1949">
        <v>406</v>
      </c>
      <c r="BE548" s="1948">
        <v>59.04</v>
      </c>
      <c r="BF548" s="1949">
        <v>324.8</v>
      </c>
      <c r="BG548" s="1949">
        <v>0.999</v>
      </c>
      <c r="BH548" s="1949">
        <v>27.94</v>
      </c>
      <c r="BI548" s="1948">
        <v>12273</v>
      </c>
      <c r="BJ548" s="1948">
        <f t="shared" si="132"/>
        <v>26355</v>
      </c>
      <c r="BK548" s="1948">
        <f t="shared" si="133"/>
        <v>0</v>
      </c>
    </row>
    <row r="549" spans="1:63" ht="15">
      <c r="A549" s="1946">
        <v>123000000148</v>
      </c>
      <c r="B549" s="1947">
        <f t="shared" si="134"/>
        <v>543</v>
      </c>
      <c r="C549" s="1906" t="s">
        <v>3584</v>
      </c>
      <c r="D549" s="1907" t="s">
        <v>524</v>
      </c>
      <c r="E549" s="1906" t="s">
        <v>541</v>
      </c>
      <c r="F549" s="1948" t="s">
        <v>259</v>
      </c>
      <c r="G549" s="1949">
        <v>406</v>
      </c>
      <c r="H549" s="1948">
        <v>0</v>
      </c>
      <c r="I549" s="1950">
        <v>0</v>
      </c>
      <c r="J549" s="1948">
        <v>0</v>
      </c>
      <c r="K549" s="1948">
        <v>0</v>
      </c>
      <c r="L549" s="1948">
        <v>0</v>
      </c>
      <c r="M549" s="1948">
        <v>0</v>
      </c>
      <c r="N549" s="1948">
        <f t="shared" si="120"/>
        <v>0</v>
      </c>
      <c r="O549" s="1948">
        <f t="shared" si="121"/>
        <v>0</v>
      </c>
      <c r="P549" s="1948">
        <v>406</v>
      </c>
      <c r="Q549" s="1948">
        <v>264.83280000000002</v>
      </c>
      <c r="R549" s="1948">
        <v>324.8</v>
      </c>
      <c r="S549" s="1948">
        <v>0.85119999999999996</v>
      </c>
      <c r="T549" s="1948">
        <v>7.73</v>
      </c>
      <c r="U549" s="1948">
        <v>15222</v>
      </c>
      <c r="V549" s="1948">
        <f t="shared" si="122"/>
        <v>118221</v>
      </c>
      <c r="W549" s="1948">
        <f t="shared" si="123"/>
        <v>0</v>
      </c>
      <c r="X549" s="1948">
        <v>406</v>
      </c>
      <c r="Y549" s="1948">
        <v>240.32999999999998</v>
      </c>
      <c r="Z549" s="1948">
        <v>324.8</v>
      </c>
      <c r="AA549" s="1948">
        <v>0.89129999999999998</v>
      </c>
      <c r="AB549" s="1948">
        <v>10.77</v>
      </c>
      <c r="AC549" s="1948">
        <v>18641</v>
      </c>
      <c r="AD549" s="1948">
        <f t="shared" si="124"/>
        <v>103823</v>
      </c>
      <c r="AE549" s="1948">
        <f t="shared" si="125"/>
        <v>0</v>
      </c>
      <c r="AF549" s="1948">
        <v>406</v>
      </c>
      <c r="AG549" s="1948">
        <v>194.4864</v>
      </c>
      <c r="AH549" s="1948">
        <v>324.8</v>
      </c>
      <c r="AI549" s="1948">
        <v>0.86739999999999995</v>
      </c>
      <c r="AJ549" s="1948">
        <v>7.59</v>
      </c>
      <c r="AK549" s="1948">
        <v>10983</v>
      </c>
      <c r="AL549" s="1948">
        <f t="shared" si="126"/>
        <v>86819</v>
      </c>
      <c r="AM549" s="1948">
        <f t="shared" si="127"/>
        <v>0</v>
      </c>
      <c r="AN549" s="1948">
        <v>406</v>
      </c>
      <c r="AO549" s="1948">
        <v>68.666399999999996</v>
      </c>
      <c r="AP549" s="1948">
        <v>324.8</v>
      </c>
      <c r="AQ549" s="1948">
        <v>0.51119999999999999</v>
      </c>
      <c r="AR549" s="1948">
        <v>8.2799999999999994</v>
      </c>
      <c r="AS549" s="1948">
        <v>4231</v>
      </c>
      <c r="AT549" s="1948">
        <f t="shared" si="128"/>
        <v>30653</v>
      </c>
      <c r="AU549" s="1948">
        <f t="shared" si="129"/>
        <v>0</v>
      </c>
      <c r="AV549" s="1948">
        <v>406</v>
      </c>
      <c r="AW549" s="1948">
        <v>208.86</v>
      </c>
      <c r="AX549" s="1948">
        <v>324.8</v>
      </c>
      <c r="AY549" s="1948">
        <v>0.72250000000000003</v>
      </c>
      <c r="AZ549" s="1948">
        <v>5.17</v>
      </c>
      <c r="BA549" s="1948">
        <v>7778</v>
      </c>
      <c r="BB549" s="1948">
        <f t="shared" si="130"/>
        <v>90228</v>
      </c>
      <c r="BC549" s="1948">
        <f t="shared" si="131"/>
        <v>0</v>
      </c>
      <c r="BD549" s="1949">
        <v>406</v>
      </c>
      <c r="BE549" s="1948">
        <v>123.822</v>
      </c>
      <c r="BF549" s="1949">
        <v>324.8</v>
      </c>
      <c r="BG549" s="1949">
        <v>0.44119999999999998</v>
      </c>
      <c r="BH549" s="1949">
        <v>3.57</v>
      </c>
      <c r="BI549" s="1948">
        <v>3293</v>
      </c>
      <c r="BJ549" s="1948">
        <f t="shared" si="132"/>
        <v>55274</v>
      </c>
      <c r="BK549" s="1948">
        <f t="shared" si="133"/>
        <v>0</v>
      </c>
    </row>
    <row r="550" spans="1:63" ht="15">
      <c r="A550" s="1946">
        <v>123000000096</v>
      </c>
      <c r="B550" s="1947">
        <f t="shared" si="134"/>
        <v>544</v>
      </c>
      <c r="C550" s="1906" t="s">
        <v>3395</v>
      </c>
      <c r="D550" s="1907" t="s">
        <v>524</v>
      </c>
      <c r="E550" s="1906" t="s">
        <v>541</v>
      </c>
      <c r="F550" s="1948" t="s">
        <v>259</v>
      </c>
      <c r="G550" s="1949">
        <v>420</v>
      </c>
      <c r="H550" s="1948">
        <v>420</v>
      </c>
      <c r="I550" s="1950">
        <v>429</v>
      </c>
      <c r="J550" s="1948">
        <v>429</v>
      </c>
      <c r="K550" s="1948">
        <v>0.97829999999999995</v>
      </c>
      <c r="L550" s="1948">
        <v>57.4</v>
      </c>
      <c r="M550" s="1948">
        <v>177292</v>
      </c>
      <c r="N550" s="1948">
        <f t="shared" si="120"/>
        <v>185328</v>
      </c>
      <c r="O550" s="1948">
        <f t="shared" si="121"/>
        <v>0</v>
      </c>
      <c r="P550" s="1948">
        <v>420</v>
      </c>
      <c r="Q550" s="1948">
        <v>468.8</v>
      </c>
      <c r="R550" s="1948">
        <v>468.8</v>
      </c>
      <c r="S550" s="1948">
        <v>0.9829</v>
      </c>
      <c r="T550" s="1948">
        <v>46.75</v>
      </c>
      <c r="U550" s="1948">
        <v>163050</v>
      </c>
      <c r="V550" s="1948">
        <f t="shared" si="122"/>
        <v>209272</v>
      </c>
      <c r="W550" s="1948">
        <f t="shared" si="123"/>
        <v>0</v>
      </c>
      <c r="X550" s="1948">
        <v>420</v>
      </c>
      <c r="Y550" s="1948">
        <v>5.0220000000000002</v>
      </c>
      <c r="Z550" s="1948">
        <v>418.5</v>
      </c>
      <c r="AA550" s="1948">
        <v>0.97119999999999995</v>
      </c>
      <c r="AB550" s="1948">
        <v>24.35</v>
      </c>
      <c r="AC550" s="1948">
        <v>73359</v>
      </c>
      <c r="AD550" s="1948">
        <f t="shared" si="124"/>
        <v>2170</v>
      </c>
      <c r="AE550" s="1948">
        <f t="shared" si="125"/>
        <v>71189</v>
      </c>
      <c r="AF550" s="1948">
        <v>420</v>
      </c>
      <c r="AG550" s="1948">
        <v>424.68719999999996</v>
      </c>
      <c r="AH550" s="1948">
        <v>424.69</v>
      </c>
      <c r="AI550" s="1948">
        <v>0.95860000000000001</v>
      </c>
      <c r="AJ550" s="1948">
        <v>45.2</v>
      </c>
      <c r="AK550" s="1948">
        <v>142823</v>
      </c>
      <c r="AL550" s="1948">
        <f t="shared" si="126"/>
        <v>189580</v>
      </c>
      <c r="AM550" s="1948">
        <f t="shared" si="127"/>
        <v>0</v>
      </c>
      <c r="AN550" s="1948">
        <v>420</v>
      </c>
      <c r="AO550" s="1948">
        <v>363.49200000000002</v>
      </c>
      <c r="AP550" s="1948">
        <v>363.49</v>
      </c>
      <c r="AQ550" s="1948">
        <v>0.95509999999999995</v>
      </c>
      <c r="AR550" s="1948">
        <v>34.020000000000003</v>
      </c>
      <c r="AS550" s="1948">
        <v>91995</v>
      </c>
      <c r="AT550" s="1948">
        <f t="shared" si="128"/>
        <v>162263</v>
      </c>
      <c r="AU550" s="1948">
        <f t="shared" si="129"/>
        <v>0</v>
      </c>
      <c r="AV550" s="1948">
        <v>420</v>
      </c>
      <c r="AW550" s="1948">
        <v>383.154</v>
      </c>
      <c r="AX550" s="1948">
        <v>383.15</v>
      </c>
      <c r="AY550" s="1948">
        <v>0.95299999999999996</v>
      </c>
      <c r="AZ550" s="1948">
        <v>39.159999999999997</v>
      </c>
      <c r="BA550" s="1948">
        <v>108032</v>
      </c>
      <c r="BB550" s="1948">
        <f t="shared" si="130"/>
        <v>165523</v>
      </c>
      <c r="BC550" s="1948">
        <f t="shared" si="131"/>
        <v>0</v>
      </c>
      <c r="BD550" s="1949">
        <v>420</v>
      </c>
      <c r="BE550" s="1948">
        <v>409.90199999999993</v>
      </c>
      <c r="BF550" s="1949">
        <v>409.9</v>
      </c>
      <c r="BG550" s="1949">
        <v>0.90969999999999995</v>
      </c>
      <c r="BH550" s="1949">
        <v>15.93</v>
      </c>
      <c r="BI550" s="1948">
        <v>48590</v>
      </c>
      <c r="BJ550" s="1948">
        <f t="shared" si="132"/>
        <v>182980</v>
      </c>
      <c r="BK550" s="1948">
        <f t="shared" si="133"/>
        <v>0</v>
      </c>
    </row>
    <row r="551" spans="1:63" ht="15">
      <c r="A551" s="1946">
        <v>124000000054</v>
      </c>
      <c r="B551" s="1947">
        <f t="shared" si="134"/>
        <v>545</v>
      </c>
      <c r="C551" s="1906" t="s">
        <v>3585</v>
      </c>
      <c r="D551" s="1907" t="s">
        <v>524</v>
      </c>
      <c r="E551" s="1906" t="s">
        <v>541</v>
      </c>
      <c r="F551" s="1948" t="s">
        <v>259</v>
      </c>
      <c r="G551" s="1949">
        <v>420</v>
      </c>
      <c r="H551" s="1948">
        <v>420</v>
      </c>
      <c r="I551" s="1950">
        <v>331.2</v>
      </c>
      <c r="J551" s="1948">
        <v>336</v>
      </c>
      <c r="K551" s="1948">
        <v>0.99950000000000006</v>
      </c>
      <c r="L551" s="1948">
        <v>61.69</v>
      </c>
      <c r="M551" s="1948">
        <v>147120</v>
      </c>
      <c r="N551" s="1948">
        <f t="shared" si="120"/>
        <v>143078</v>
      </c>
      <c r="O551" s="1948">
        <f t="shared" si="121"/>
        <v>4042</v>
      </c>
      <c r="P551" s="1948">
        <v>420</v>
      </c>
      <c r="Q551" s="1948">
        <v>332.8</v>
      </c>
      <c r="R551" s="1948">
        <v>336</v>
      </c>
      <c r="S551" s="1948">
        <v>0.99960000000000004</v>
      </c>
      <c r="T551" s="1948">
        <v>61.58</v>
      </c>
      <c r="U551" s="1948">
        <v>152480</v>
      </c>
      <c r="V551" s="1948">
        <f t="shared" si="122"/>
        <v>148562</v>
      </c>
      <c r="W551" s="1948">
        <f t="shared" si="123"/>
        <v>3918</v>
      </c>
      <c r="X551" s="1948">
        <v>420</v>
      </c>
      <c r="Y551" s="1948">
        <v>342.4</v>
      </c>
      <c r="Z551" s="1948">
        <v>342.4</v>
      </c>
      <c r="AA551" s="1948">
        <v>0.99950000000000006</v>
      </c>
      <c r="AB551" s="1948">
        <v>49.85</v>
      </c>
      <c r="AC551" s="1948">
        <v>122900</v>
      </c>
      <c r="AD551" s="1948">
        <f t="shared" si="124"/>
        <v>147917</v>
      </c>
      <c r="AE551" s="1948">
        <f t="shared" si="125"/>
        <v>0</v>
      </c>
      <c r="AF551" s="1948">
        <v>420</v>
      </c>
      <c r="AG551" s="1948">
        <v>312</v>
      </c>
      <c r="AH551" s="1948">
        <v>336</v>
      </c>
      <c r="AI551" s="1948">
        <v>0.99909999999999999</v>
      </c>
      <c r="AJ551" s="1948">
        <v>53.01</v>
      </c>
      <c r="AK551" s="1948">
        <v>123040</v>
      </c>
      <c r="AL551" s="1948">
        <f t="shared" si="126"/>
        <v>139277</v>
      </c>
      <c r="AM551" s="1948">
        <f t="shared" si="127"/>
        <v>0</v>
      </c>
      <c r="AN551" s="1948">
        <v>420</v>
      </c>
      <c r="AO551" s="1948">
        <v>316.8</v>
      </c>
      <c r="AP551" s="1948">
        <v>336</v>
      </c>
      <c r="AQ551" s="1948">
        <v>0.99909999999999999</v>
      </c>
      <c r="AR551" s="1948">
        <v>62.52</v>
      </c>
      <c r="AS551" s="1948">
        <v>147360</v>
      </c>
      <c r="AT551" s="1948">
        <f t="shared" si="128"/>
        <v>141420</v>
      </c>
      <c r="AU551" s="1948">
        <f t="shared" si="129"/>
        <v>5940</v>
      </c>
      <c r="AV551" s="1948">
        <v>420</v>
      </c>
      <c r="AW551" s="1948">
        <v>331.2</v>
      </c>
      <c r="AX551" s="1948">
        <v>336</v>
      </c>
      <c r="AY551" s="1948">
        <v>0.99929999999999997</v>
      </c>
      <c r="AZ551" s="1948">
        <v>52.48</v>
      </c>
      <c r="BA551" s="1948">
        <v>125140</v>
      </c>
      <c r="BB551" s="1948">
        <f t="shared" si="130"/>
        <v>143078</v>
      </c>
      <c r="BC551" s="1948">
        <f t="shared" si="131"/>
        <v>0</v>
      </c>
      <c r="BD551" s="1949">
        <v>420</v>
      </c>
      <c r="BE551" s="1948">
        <v>320</v>
      </c>
      <c r="BF551" s="1949">
        <v>336</v>
      </c>
      <c r="BG551" s="1949">
        <v>0.99980000000000002</v>
      </c>
      <c r="BH551" s="1949">
        <v>49.71</v>
      </c>
      <c r="BI551" s="1948">
        <v>118360</v>
      </c>
      <c r="BJ551" s="1948">
        <f t="shared" si="132"/>
        <v>142848</v>
      </c>
      <c r="BK551" s="1948">
        <f t="shared" si="133"/>
        <v>0</v>
      </c>
    </row>
    <row r="552" spans="1:63" ht="15">
      <c r="A552" s="1946">
        <v>622000000025</v>
      </c>
      <c r="B552" s="1947">
        <f t="shared" si="134"/>
        <v>546</v>
      </c>
      <c r="C552" s="1906" t="s">
        <v>3397</v>
      </c>
      <c r="D552" s="1907" t="s">
        <v>524</v>
      </c>
      <c r="E552" s="1906" t="s">
        <v>636</v>
      </c>
      <c r="F552" s="1948" t="s">
        <v>259</v>
      </c>
      <c r="G552" s="1949">
        <v>422</v>
      </c>
      <c r="H552" s="1948">
        <v>422</v>
      </c>
      <c r="I552" s="1950">
        <v>86.2</v>
      </c>
      <c r="J552" s="1948">
        <v>337.6</v>
      </c>
      <c r="K552" s="1948">
        <v>0.626</v>
      </c>
      <c r="L552" s="1948">
        <v>52.07</v>
      </c>
      <c r="M552" s="1948">
        <v>32315</v>
      </c>
      <c r="N552" s="1948">
        <f t="shared" si="120"/>
        <v>37238</v>
      </c>
      <c r="O552" s="1948">
        <f t="shared" si="121"/>
        <v>0</v>
      </c>
      <c r="P552" s="1948">
        <v>422</v>
      </c>
      <c r="Q552" s="1948">
        <v>91.800000000000011</v>
      </c>
      <c r="R552" s="1948">
        <v>337.6</v>
      </c>
      <c r="S552" s="1948">
        <v>0.5857</v>
      </c>
      <c r="T552" s="1948">
        <v>36.99</v>
      </c>
      <c r="U552" s="1948">
        <v>25263</v>
      </c>
      <c r="V552" s="1948">
        <f t="shared" si="122"/>
        <v>40980</v>
      </c>
      <c r="W552" s="1948">
        <f t="shared" si="123"/>
        <v>0</v>
      </c>
      <c r="X552" s="1948">
        <v>422</v>
      </c>
      <c r="Y552" s="1948">
        <v>74.2</v>
      </c>
      <c r="Z552" s="1948">
        <v>337.6</v>
      </c>
      <c r="AA552" s="1948">
        <v>0.51910000000000001</v>
      </c>
      <c r="AB552" s="1948">
        <v>44.32</v>
      </c>
      <c r="AC552" s="1948">
        <v>23680</v>
      </c>
      <c r="AD552" s="1948">
        <f t="shared" si="124"/>
        <v>32054</v>
      </c>
      <c r="AE552" s="1948">
        <f t="shared" si="125"/>
        <v>0</v>
      </c>
      <c r="AF552" s="1948">
        <v>422</v>
      </c>
      <c r="AG552" s="1948">
        <v>83.2</v>
      </c>
      <c r="AH552" s="1948">
        <v>337.6</v>
      </c>
      <c r="AI552" s="1948">
        <v>0.46810000000000002</v>
      </c>
      <c r="AJ552" s="1948">
        <v>42.07</v>
      </c>
      <c r="AK552" s="1948">
        <v>26043</v>
      </c>
      <c r="AL552" s="1948">
        <f t="shared" si="126"/>
        <v>37140</v>
      </c>
      <c r="AM552" s="1948">
        <f t="shared" si="127"/>
        <v>0</v>
      </c>
      <c r="AN552" s="1948">
        <v>422</v>
      </c>
      <c r="AO552" s="1948">
        <v>69.8</v>
      </c>
      <c r="AP552" s="1948">
        <v>337.6</v>
      </c>
      <c r="AQ552" s="1948">
        <v>0.35770000000000002</v>
      </c>
      <c r="AR552" s="1948">
        <v>44.29</v>
      </c>
      <c r="AS552" s="1948">
        <v>23002</v>
      </c>
      <c r="AT552" s="1948">
        <f t="shared" si="128"/>
        <v>31159</v>
      </c>
      <c r="AU552" s="1948">
        <f t="shared" si="129"/>
        <v>0</v>
      </c>
      <c r="AV552" s="1948">
        <v>422</v>
      </c>
      <c r="AW552" s="1948">
        <v>62.199999999999996</v>
      </c>
      <c r="AX552" s="1948">
        <v>337.6</v>
      </c>
      <c r="AY552" s="1948">
        <v>0.42049999999999998</v>
      </c>
      <c r="AZ552" s="1948">
        <v>51.84</v>
      </c>
      <c r="BA552" s="1948">
        <v>23217</v>
      </c>
      <c r="BB552" s="1948">
        <f t="shared" si="130"/>
        <v>26870</v>
      </c>
      <c r="BC552" s="1948">
        <f t="shared" si="131"/>
        <v>0</v>
      </c>
      <c r="BD552" s="1949">
        <v>422</v>
      </c>
      <c r="BE552" s="1948">
        <v>55.199999999999996</v>
      </c>
      <c r="BF552" s="1949">
        <v>337.6</v>
      </c>
      <c r="BG552" s="1949">
        <v>0.40989999999999999</v>
      </c>
      <c r="BH552" s="1949">
        <v>49.42</v>
      </c>
      <c r="BI552" s="1948">
        <v>20298</v>
      </c>
      <c r="BJ552" s="1948">
        <f t="shared" si="132"/>
        <v>24641</v>
      </c>
      <c r="BK552" s="1948">
        <f t="shared" si="133"/>
        <v>0</v>
      </c>
    </row>
    <row r="553" spans="1:63" ht="15">
      <c r="A553" s="1946">
        <v>622000000221</v>
      </c>
      <c r="B553" s="1947">
        <f t="shared" si="134"/>
        <v>547</v>
      </c>
      <c r="C553" s="1906" t="s">
        <v>3586</v>
      </c>
      <c r="D553" s="1907" t="s">
        <v>524</v>
      </c>
      <c r="E553" s="1906" t="s">
        <v>730</v>
      </c>
      <c r="F553" s="1948" t="s">
        <v>259</v>
      </c>
      <c r="G553" s="1949">
        <v>430</v>
      </c>
      <c r="H553" s="1948">
        <v>0</v>
      </c>
      <c r="I553" s="1950">
        <v>0</v>
      </c>
      <c r="J553" s="1948">
        <v>0</v>
      </c>
      <c r="K553" s="1948">
        <v>0</v>
      </c>
      <c r="L553" s="1948">
        <v>0</v>
      </c>
      <c r="M553" s="1948">
        <v>0</v>
      </c>
      <c r="N553" s="1948">
        <f t="shared" si="120"/>
        <v>0</v>
      </c>
      <c r="O553" s="1948">
        <f t="shared" si="121"/>
        <v>0</v>
      </c>
      <c r="P553" s="1948">
        <v>0</v>
      </c>
      <c r="Q553" s="1948">
        <v>0</v>
      </c>
      <c r="R553" s="1948">
        <v>0</v>
      </c>
      <c r="S553" s="1948">
        <v>0</v>
      </c>
      <c r="T553" s="1948">
        <v>0</v>
      </c>
      <c r="U553" s="1948">
        <v>0</v>
      </c>
      <c r="V553" s="1948">
        <f t="shared" si="122"/>
        <v>0</v>
      </c>
      <c r="W553" s="1948">
        <f t="shared" si="123"/>
        <v>0</v>
      </c>
      <c r="X553" s="1948">
        <v>430</v>
      </c>
      <c r="Y553" s="1948">
        <v>195.84</v>
      </c>
      <c r="Z553" s="1948">
        <v>344</v>
      </c>
      <c r="AA553" s="1948">
        <v>0.84150000000000003</v>
      </c>
      <c r="AB553" s="1948">
        <v>4.0999999999999996</v>
      </c>
      <c r="AC553" s="1948">
        <v>6171</v>
      </c>
      <c r="AD553" s="1948">
        <f t="shared" si="124"/>
        <v>84603</v>
      </c>
      <c r="AE553" s="1948">
        <f t="shared" si="125"/>
        <v>0</v>
      </c>
      <c r="AF553" s="1948">
        <v>430</v>
      </c>
      <c r="AG553" s="1948">
        <v>155.04000000000002</v>
      </c>
      <c r="AH553" s="1948">
        <v>344</v>
      </c>
      <c r="AI553" s="1948">
        <v>0.99470000000000003</v>
      </c>
      <c r="AJ553" s="1948">
        <v>9.4</v>
      </c>
      <c r="AK553" s="1948">
        <v>10839</v>
      </c>
      <c r="AL553" s="1948">
        <f t="shared" si="126"/>
        <v>69210</v>
      </c>
      <c r="AM553" s="1948">
        <f t="shared" si="127"/>
        <v>0</v>
      </c>
      <c r="AN553" s="1948">
        <v>430</v>
      </c>
      <c r="AO553" s="1948">
        <v>148.32</v>
      </c>
      <c r="AP553" s="1948">
        <v>344</v>
      </c>
      <c r="AQ553" s="1948">
        <v>0.99770000000000003</v>
      </c>
      <c r="AR553" s="1948">
        <v>13.07</v>
      </c>
      <c r="AS553" s="1948">
        <v>14421</v>
      </c>
      <c r="AT553" s="1948">
        <f t="shared" si="128"/>
        <v>66210</v>
      </c>
      <c r="AU553" s="1948">
        <f t="shared" si="129"/>
        <v>0</v>
      </c>
      <c r="AV553" s="1948">
        <v>430</v>
      </c>
      <c r="AW553" s="1948">
        <v>147.36000000000001</v>
      </c>
      <c r="AX553" s="1948">
        <v>344</v>
      </c>
      <c r="AY553" s="1948">
        <v>0.99260000000000004</v>
      </c>
      <c r="AZ553" s="1948">
        <v>18.16</v>
      </c>
      <c r="BA553" s="1948">
        <v>19263</v>
      </c>
      <c r="BB553" s="1948">
        <f t="shared" si="130"/>
        <v>63660</v>
      </c>
      <c r="BC553" s="1948">
        <f t="shared" si="131"/>
        <v>0</v>
      </c>
      <c r="BD553" s="1949">
        <v>430</v>
      </c>
      <c r="BE553" s="1948">
        <v>148.56</v>
      </c>
      <c r="BF553" s="1949">
        <v>344</v>
      </c>
      <c r="BG553" s="1949">
        <v>0.99009999999999998</v>
      </c>
      <c r="BH553" s="1949">
        <v>18.239999999999998</v>
      </c>
      <c r="BI553" s="1948">
        <v>20163</v>
      </c>
      <c r="BJ553" s="1948">
        <f t="shared" si="132"/>
        <v>66317</v>
      </c>
      <c r="BK553" s="1948">
        <f t="shared" si="133"/>
        <v>0</v>
      </c>
    </row>
    <row r="554" spans="1:63" ht="15">
      <c r="A554" s="1946">
        <v>613000000012</v>
      </c>
      <c r="B554" s="1947">
        <f t="shared" si="134"/>
        <v>548</v>
      </c>
      <c r="C554" s="1906" t="s">
        <v>3399</v>
      </c>
      <c r="D554" s="1907" t="s">
        <v>524</v>
      </c>
      <c r="E554" s="1906" t="s">
        <v>541</v>
      </c>
      <c r="F554" s="1948" t="s">
        <v>259</v>
      </c>
      <c r="G554" s="1949">
        <v>434</v>
      </c>
      <c r="H554" s="1948">
        <v>434</v>
      </c>
      <c r="I554" s="1950">
        <v>152.64000000000001</v>
      </c>
      <c r="J554" s="1948">
        <v>347.2</v>
      </c>
      <c r="K554" s="1948">
        <v>0.98670000000000002</v>
      </c>
      <c r="L554" s="1948">
        <v>37.06</v>
      </c>
      <c r="M554" s="1948">
        <v>40731</v>
      </c>
      <c r="N554" s="1948">
        <f t="shared" si="120"/>
        <v>65940</v>
      </c>
      <c r="O554" s="1948">
        <f t="shared" si="121"/>
        <v>0</v>
      </c>
      <c r="P554" s="1948">
        <v>434</v>
      </c>
      <c r="Q554" s="1948">
        <v>149.04</v>
      </c>
      <c r="R554" s="1948">
        <v>347.2</v>
      </c>
      <c r="S554" s="1948">
        <v>0.98950000000000005</v>
      </c>
      <c r="T554" s="1948">
        <v>42.6</v>
      </c>
      <c r="U554" s="1948">
        <v>47232</v>
      </c>
      <c r="V554" s="1948">
        <f t="shared" si="122"/>
        <v>66531</v>
      </c>
      <c r="W554" s="1948">
        <f t="shared" si="123"/>
        <v>0</v>
      </c>
      <c r="X554" s="1948">
        <v>434</v>
      </c>
      <c r="Y554" s="1948">
        <v>146.88</v>
      </c>
      <c r="Z554" s="1948">
        <v>347.2</v>
      </c>
      <c r="AA554" s="1948">
        <v>0.98740000000000006</v>
      </c>
      <c r="AB554" s="1948">
        <v>31.86</v>
      </c>
      <c r="AC554" s="1948">
        <v>33696</v>
      </c>
      <c r="AD554" s="1948">
        <f t="shared" si="124"/>
        <v>63452</v>
      </c>
      <c r="AE554" s="1948">
        <f t="shared" si="125"/>
        <v>0</v>
      </c>
      <c r="AF554" s="1948">
        <v>434</v>
      </c>
      <c r="AG554" s="1948">
        <v>156</v>
      </c>
      <c r="AH554" s="1948">
        <v>347.2</v>
      </c>
      <c r="AI554" s="1948">
        <v>0.98650000000000004</v>
      </c>
      <c r="AJ554" s="1948">
        <v>49.37</v>
      </c>
      <c r="AK554" s="1948">
        <v>57303</v>
      </c>
      <c r="AL554" s="1948">
        <f t="shared" si="126"/>
        <v>69638</v>
      </c>
      <c r="AM554" s="1948">
        <f t="shared" si="127"/>
        <v>0</v>
      </c>
      <c r="AN554" s="1948">
        <v>434</v>
      </c>
      <c r="AO554" s="1948">
        <v>157.91999999999999</v>
      </c>
      <c r="AP554" s="1948">
        <v>347.2</v>
      </c>
      <c r="AQ554" s="1948">
        <v>0.98750000000000004</v>
      </c>
      <c r="AR554" s="1948">
        <v>43.77</v>
      </c>
      <c r="AS554" s="1948">
        <v>51429</v>
      </c>
      <c r="AT554" s="1948">
        <f t="shared" si="128"/>
        <v>70495</v>
      </c>
      <c r="AU554" s="1948">
        <f t="shared" si="129"/>
        <v>0</v>
      </c>
      <c r="AV554" s="1948">
        <v>434</v>
      </c>
      <c r="AW554" s="1948">
        <v>156.72</v>
      </c>
      <c r="AX554" s="1948">
        <v>347.2</v>
      </c>
      <c r="AY554" s="1948">
        <v>0.98629999999999995</v>
      </c>
      <c r="AZ554" s="1948">
        <v>44.11</v>
      </c>
      <c r="BA554" s="1948">
        <v>49773</v>
      </c>
      <c r="BB554" s="1948">
        <f t="shared" si="130"/>
        <v>67703</v>
      </c>
      <c r="BC554" s="1948">
        <f t="shared" si="131"/>
        <v>0</v>
      </c>
      <c r="BD554" s="1949">
        <v>434</v>
      </c>
      <c r="BE554" s="1948">
        <v>158.4</v>
      </c>
      <c r="BF554" s="1949">
        <v>347.2</v>
      </c>
      <c r="BG554" s="1949">
        <v>0.98080000000000001</v>
      </c>
      <c r="BH554" s="1949">
        <v>32.26</v>
      </c>
      <c r="BI554" s="1948">
        <v>38013</v>
      </c>
      <c r="BJ554" s="1948">
        <f t="shared" si="132"/>
        <v>70710</v>
      </c>
      <c r="BK554" s="1948">
        <f t="shared" si="133"/>
        <v>0</v>
      </c>
    </row>
    <row r="555" spans="1:63" ht="15">
      <c r="A555" s="1946">
        <v>124000000039</v>
      </c>
      <c r="B555" s="1947">
        <f t="shared" si="134"/>
        <v>549</v>
      </c>
      <c r="C555" s="1906" t="s">
        <v>3400</v>
      </c>
      <c r="D555" s="1907" t="s">
        <v>524</v>
      </c>
      <c r="E555" s="1906" t="s">
        <v>541</v>
      </c>
      <c r="F555" s="1948" t="s">
        <v>259</v>
      </c>
      <c r="G555" s="1949">
        <v>440</v>
      </c>
      <c r="H555" s="1948">
        <v>440</v>
      </c>
      <c r="I555" s="1950">
        <v>491.03999999999996</v>
      </c>
      <c r="J555" s="1948">
        <v>491.04</v>
      </c>
      <c r="K555" s="1948">
        <v>0.9708</v>
      </c>
      <c r="L555" s="1948">
        <v>32.04</v>
      </c>
      <c r="M555" s="1948">
        <v>113288</v>
      </c>
      <c r="N555" s="1948">
        <f t="shared" si="120"/>
        <v>212129</v>
      </c>
      <c r="O555" s="1948">
        <f t="shared" si="121"/>
        <v>0</v>
      </c>
      <c r="P555" s="1948">
        <v>440</v>
      </c>
      <c r="Q555" s="1948">
        <v>489.96</v>
      </c>
      <c r="R555" s="1948">
        <v>489.96</v>
      </c>
      <c r="S555" s="1948">
        <v>0.96909999999999996</v>
      </c>
      <c r="T555" s="1948">
        <v>26.88</v>
      </c>
      <c r="U555" s="1948">
        <v>97978</v>
      </c>
      <c r="V555" s="1948">
        <f t="shared" si="122"/>
        <v>218718</v>
      </c>
      <c r="W555" s="1948">
        <f t="shared" si="123"/>
        <v>0</v>
      </c>
      <c r="X555" s="1948">
        <v>440</v>
      </c>
      <c r="Y555" s="1948">
        <v>458.64000000000004</v>
      </c>
      <c r="Z555" s="1948">
        <v>458.64</v>
      </c>
      <c r="AA555" s="1948">
        <v>0.98</v>
      </c>
      <c r="AB555" s="1948">
        <v>17.39</v>
      </c>
      <c r="AC555" s="1948">
        <v>57411</v>
      </c>
      <c r="AD555" s="1948">
        <f t="shared" si="124"/>
        <v>198132</v>
      </c>
      <c r="AE555" s="1948">
        <f t="shared" si="125"/>
        <v>0</v>
      </c>
      <c r="AF555" s="1948">
        <v>440</v>
      </c>
      <c r="AG555" s="1948">
        <v>643.20000000000005</v>
      </c>
      <c r="AH555" s="1948">
        <v>482.4</v>
      </c>
      <c r="AI555" s="1948">
        <v>0.97499999999999998</v>
      </c>
      <c r="AJ555" s="1948">
        <v>48.59</v>
      </c>
      <c r="AK555" s="1948">
        <v>174379</v>
      </c>
      <c r="AL555" s="1948">
        <f t="shared" si="126"/>
        <v>287124</v>
      </c>
      <c r="AM555" s="1948">
        <f t="shared" si="127"/>
        <v>0</v>
      </c>
      <c r="AN555" s="1948">
        <v>440</v>
      </c>
      <c r="AO555" s="1948">
        <v>449.76000000000005</v>
      </c>
      <c r="AP555" s="1948">
        <v>449.76</v>
      </c>
      <c r="AQ555" s="1948">
        <v>0.97699999999999998</v>
      </c>
      <c r="AR555" s="1948">
        <v>34.909999999999997</v>
      </c>
      <c r="AS555" s="1948">
        <v>97962</v>
      </c>
      <c r="AT555" s="1948">
        <f t="shared" si="128"/>
        <v>200773</v>
      </c>
      <c r="AU555" s="1948">
        <f t="shared" si="129"/>
        <v>0</v>
      </c>
      <c r="AV555" s="1948">
        <v>440</v>
      </c>
      <c r="AW555" s="1948">
        <v>422.88</v>
      </c>
      <c r="AX555" s="1948">
        <v>422.88</v>
      </c>
      <c r="AY555" s="1948">
        <v>0.9768</v>
      </c>
      <c r="AZ555" s="1948">
        <v>45.37</v>
      </c>
      <c r="BA555" s="1948">
        <v>128928</v>
      </c>
      <c r="BB555" s="1948">
        <f t="shared" si="130"/>
        <v>182684</v>
      </c>
      <c r="BC555" s="1948">
        <f t="shared" si="131"/>
        <v>0</v>
      </c>
      <c r="BD555" s="1949">
        <v>440</v>
      </c>
      <c r="BE555" s="1948">
        <v>405.12</v>
      </c>
      <c r="BF555" s="1949">
        <v>405.12</v>
      </c>
      <c r="BG555" s="1949">
        <v>0.98670000000000002</v>
      </c>
      <c r="BH555" s="1949">
        <v>18.05</v>
      </c>
      <c r="BI555" s="1948">
        <v>56148</v>
      </c>
      <c r="BJ555" s="1948">
        <f t="shared" si="132"/>
        <v>180846</v>
      </c>
      <c r="BK555" s="1948">
        <f t="shared" si="133"/>
        <v>0</v>
      </c>
    </row>
    <row r="556" spans="1:63" ht="15">
      <c r="A556" s="1946">
        <v>122000000105</v>
      </c>
      <c r="B556" s="1947">
        <f t="shared" si="134"/>
        <v>550</v>
      </c>
      <c r="C556" s="1906" t="s">
        <v>3668</v>
      </c>
      <c r="D556" s="1907" t="s">
        <v>524</v>
      </c>
      <c r="E556" s="1906" t="s">
        <v>636</v>
      </c>
      <c r="F556" s="1948" t="s">
        <v>259</v>
      </c>
      <c r="G556" s="1949">
        <v>445</v>
      </c>
      <c r="H556" s="1948">
        <v>0</v>
      </c>
      <c r="I556" s="1950">
        <v>0</v>
      </c>
      <c r="J556" s="1948">
        <v>0</v>
      </c>
      <c r="K556" s="1948">
        <v>0</v>
      </c>
      <c r="L556" s="1948">
        <v>0</v>
      </c>
      <c r="M556" s="1948">
        <v>0</v>
      </c>
      <c r="N556" s="1948">
        <f t="shared" si="120"/>
        <v>0</v>
      </c>
      <c r="O556" s="1948">
        <f t="shared" si="121"/>
        <v>0</v>
      </c>
      <c r="P556" s="1948">
        <v>0</v>
      </c>
      <c r="Q556" s="1948">
        <v>0</v>
      </c>
      <c r="R556" s="1948">
        <v>0</v>
      </c>
      <c r="S556" s="1948">
        <v>0</v>
      </c>
      <c r="T556" s="1948">
        <v>0</v>
      </c>
      <c r="U556" s="1948">
        <v>0</v>
      </c>
      <c r="V556" s="1948">
        <f t="shared" si="122"/>
        <v>0</v>
      </c>
      <c r="W556" s="1948">
        <f t="shared" si="123"/>
        <v>0</v>
      </c>
      <c r="X556" s="1948">
        <v>0</v>
      </c>
      <c r="Y556" s="1948">
        <v>0</v>
      </c>
      <c r="Z556" s="1948">
        <v>0</v>
      </c>
      <c r="AA556" s="1948">
        <v>0</v>
      </c>
      <c r="AB556" s="1948">
        <v>0</v>
      </c>
      <c r="AC556" s="1948">
        <v>0</v>
      </c>
      <c r="AD556" s="1948">
        <f t="shared" si="124"/>
        <v>0</v>
      </c>
      <c r="AE556" s="1948">
        <f t="shared" si="125"/>
        <v>0</v>
      </c>
      <c r="AF556" s="1948">
        <v>0</v>
      </c>
      <c r="AG556" s="1948">
        <v>0</v>
      </c>
      <c r="AH556" s="1948">
        <v>0</v>
      </c>
      <c r="AI556" s="1948">
        <v>0</v>
      </c>
      <c r="AJ556" s="1948">
        <v>0</v>
      </c>
      <c r="AK556" s="1948">
        <v>0</v>
      </c>
      <c r="AL556" s="1948">
        <f t="shared" si="126"/>
        <v>0</v>
      </c>
      <c r="AM556" s="1948">
        <f t="shared" si="127"/>
        <v>0</v>
      </c>
      <c r="AN556" s="1948">
        <v>0</v>
      </c>
      <c r="AO556" s="1948">
        <v>0</v>
      </c>
      <c r="AP556" s="1948">
        <v>0</v>
      </c>
      <c r="AQ556" s="1948">
        <v>0</v>
      </c>
      <c r="AR556" s="1948">
        <v>0</v>
      </c>
      <c r="AS556" s="1948">
        <v>0</v>
      </c>
      <c r="AT556" s="1948">
        <f t="shared" si="128"/>
        <v>0</v>
      </c>
      <c r="AU556" s="1948">
        <f t="shared" si="129"/>
        <v>0</v>
      </c>
      <c r="AV556" s="1948">
        <v>0</v>
      </c>
      <c r="AW556" s="1948">
        <v>0</v>
      </c>
      <c r="AX556" s="1948">
        <v>0</v>
      </c>
      <c r="AY556" s="1948">
        <v>0</v>
      </c>
      <c r="AZ556" s="1948">
        <v>0</v>
      </c>
      <c r="BA556" s="1948">
        <v>0</v>
      </c>
      <c r="BB556" s="1948">
        <f t="shared" si="130"/>
        <v>0</v>
      </c>
      <c r="BC556" s="1948">
        <f t="shared" si="131"/>
        <v>0</v>
      </c>
      <c r="BD556" s="1949">
        <v>445</v>
      </c>
      <c r="BE556" s="1948">
        <v>226.38</v>
      </c>
      <c r="BF556" s="1949">
        <v>356</v>
      </c>
      <c r="BG556" s="1949">
        <v>0.96550000000000002</v>
      </c>
      <c r="BH556" s="1949">
        <v>16.510000000000002</v>
      </c>
      <c r="BI556" s="1948">
        <v>39480</v>
      </c>
      <c r="BJ556" s="1948">
        <f t="shared" si="132"/>
        <v>101056</v>
      </c>
      <c r="BK556" s="1948">
        <f t="shared" si="133"/>
        <v>0</v>
      </c>
    </row>
    <row r="557" spans="1:63" ht="15">
      <c r="A557" s="1946">
        <v>126000000041</v>
      </c>
      <c r="B557" s="1947">
        <f t="shared" si="134"/>
        <v>551</v>
      </c>
      <c r="C557" s="1906" t="s">
        <v>3402</v>
      </c>
      <c r="D557" s="1907" t="s">
        <v>524</v>
      </c>
      <c r="E557" s="1906" t="s">
        <v>541</v>
      </c>
      <c r="F557" s="1948" t="s">
        <v>259</v>
      </c>
      <c r="G557" s="1949">
        <v>445</v>
      </c>
      <c r="H557" s="1948">
        <v>445</v>
      </c>
      <c r="I557" s="1950">
        <v>219.12</v>
      </c>
      <c r="J557" s="1948">
        <v>356</v>
      </c>
      <c r="K557" s="1948">
        <v>0.98650000000000004</v>
      </c>
      <c r="L557" s="1948">
        <v>49.43</v>
      </c>
      <c r="M557" s="1948">
        <v>77985</v>
      </c>
      <c r="N557" s="1948">
        <f t="shared" si="120"/>
        <v>94660</v>
      </c>
      <c r="O557" s="1948">
        <f t="shared" si="121"/>
        <v>0</v>
      </c>
      <c r="P557" s="1948">
        <v>445</v>
      </c>
      <c r="Q557" s="1948">
        <v>208.56</v>
      </c>
      <c r="R557" s="1948">
        <v>356</v>
      </c>
      <c r="S557" s="1948">
        <v>0.9849</v>
      </c>
      <c r="T557" s="1948">
        <v>53.35</v>
      </c>
      <c r="U557" s="1948">
        <v>82776</v>
      </c>
      <c r="V557" s="1948">
        <f t="shared" si="122"/>
        <v>93101</v>
      </c>
      <c r="W557" s="1948">
        <f t="shared" si="123"/>
        <v>0</v>
      </c>
      <c r="X557" s="1948">
        <v>445</v>
      </c>
      <c r="Y557" s="1948">
        <v>192.72</v>
      </c>
      <c r="Z557" s="1948">
        <v>356</v>
      </c>
      <c r="AA557" s="1948">
        <v>0.97929999999999995</v>
      </c>
      <c r="AB557" s="1948">
        <v>45.91</v>
      </c>
      <c r="AC557" s="1948">
        <v>63708</v>
      </c>
      <c r="AD557" s="1948">
        <f t="shared" si="124"/>
        <v>83255</v>
      </c>
      <c r="AE557" s="1948">
        <f t="shared" si="125"/>
        <v>0</v>
      </c>
      <c r="AF557" s="1948">
        <v>445</v>
      </c>
      <c r="AG557" s="1948">
        <v>188.88000000000002</v>
      </c>
      <c r="AH557" s="1948">
        <v>356</v>
      </c>
      <c r="AI557" s="1948">
        <v>0.97009999999999996</v>
      </c>
      <c r="AJ557" s="1948">
        <v>47.29</v>
      </c>
      <c r="AK557" s="1948">
        <v>66459</v>
      </c>
      <c r="AL557" s="1948">
        <f t="shared" si="126"/>
        <v>84316</v>
      </c>
      <c r="AM557" s="1948">
        <f t="shared" si="127"/>
        <v>0</v>
      </c>
      <c r="AN557" s="1948">
        <v>445</v>
      </c>
      <c r="AO557" s="1948">
        <v>202.32</v>
      </c>
      <c r="AP557" s="1948">
        <v>356</v>
      </c>
      <c r="AQ557" s="1948">
        <v>0.95330000000000004</v>
      </c>
      <c r="AR557" s="1948">
        <v>41.55</v>
      </c>
      <c r="AS557" s="1948">
        <v>62541</v>
      </c>
      <c r="AT557" s="1948">
        <f t="shared" si="128"/>
        <v>90316</v>
      </c>
      <c r="AU557" s="1948">
        <f t="shared" si="129"/>
        <v>0</v>
      </c>
      <c r="AV557" s="1948">
        <v>445</v>
      </c>
      <c r="AW557" s="1948">
        <v>191.27999999999997</v>
      </c>
      <c r="AX557" s="1948">
        <v>356</v>
      </c>
      <c r="AY557" s="1948">
        <v>0.93940000000000001</v>
      </c>
      <c r="AZ557" s="1948">
        <v>30.04</v>
      </c>
      <c r="BA557" s="1948">
        <v>41373</v>
      </c>
      <c r="BB557" s="1948">
        <f t="shared" si="130"/>
        <v>82633</v>
      </c>
      <c r="BC557" s="1948">
        <f t="shared" si="131"/>
        <v>0</v>
      </c>
      <c r="BD557" s="1949">
        <v>445</v>
      </c>
      <c r="BE557" s="1948">
        <v>35.04</v>
      </c>
      <c r="BF557" s="1949">
        <v>356</v>
      </c>
      <c r="BG557" s="1949">
        <v>0.57899999999999996</v>
      </c>
      <c r="BH557" s="1949">
        <v>28.52</v>
      </c>
      <c r="BI557" s="1948">
        <v>7434</v>
      </c>
      <c r="BJ557" s="1948">
        <f t="shared" si="132"/>
        <v>15642</v>
      </c>
      <c r="BK557" s="1948">
        <f t="shared" si="133"/>
        <v>0</v>
      </c>
    </row>
    <row r="558" spans="1:63" ht="15">
      <c r="A558" s="1946">
        <v>124000000062</v>
      </c>
      <c r="B558" s="1947">
        <f t="shared" si="134"/>
        <v>552</v>
      </c>
      <c r="C558" s="1906" t="s">
        <v>3401</v>
      </c>
      <c r="D558" s="1907" t="s">
        <v>524</v>
      </c>
      <c r="E558" s="1906" t="s">
        <v>541</v>
      </c>
      <c r="F558" s="1948" t="s">
        <v>259</v>
      </c>
      <c r="G558" s="1949">
        <v>445</v>
      </c>
      <c r="H558" s="1948">
        <v>445</v>
      </c>
      <c r="I558" s="1950">
        <v>216.48000000000002</v>
      </c>
      <c r="J558" s="1948">
        <v>356</v>
      </c>
      <c r="K558" s="1948">
        <v>0.90290000000000004</v>
      </c>
      <c r="L558" s="1948">
        <v>21.26</v>
      </c>
      <c r="M558" s="1948">
        <v>33135</v>
      </c>
      <c r="N558" s="1948">
        <f t="shared" si="120"/>
        <v>93519</v>
      </c>
      <c r="O558" s="1948">
        <f t="shared" si="121"/>
        <v>0</v>
      </c>
      <c r="P558" s="1948">
        <v>445</v>
      </c>
      <c r="Q558" s="1948">
        <v>213.12</v>
      </c>
      <c r="R558" s="1948">
        <v>356</v>
      </c>
      <c r="S558" s="1948">
        <v>0.92049999999999998</v>
      </c>
      <c r="T558" s="1948">
        <v>34.229999999999997</v>
      </c>
      <c r="U558" s="1948">
        <v>54282</v>
      </c>
      <c r="V558" s="1948">
        <f t="shared" si="122"/>
        <v>95137</v>
      </c>
      <c r="W558" s="1948">
        <f t="shared" si="123"/>
        <v>0</v>
      </c>
      <c r="X558" s="1948">
        <v>445</v>
      </c>
      <c r="Y558" s="1948">
        <v>219.6</v>
      </c>
      <c r="Z558" s="1948">
        <v>356</v>
      </c>
      <c r="AA558" s="1948">
        <v>0.97219999999999995</v>
      </c>
      <c r="AB558" s="1948">
        <v>24.54</v>
      </c>
      <c r="AC558" s="1948">
        <v>38799</v>
      </c>
      <c r="AD558" s="1948">
        <f t="shared" si="124"/>
        <v>94867</v>
      </c>
      <c r="AE558" s="1948">
        <f t="shared" si="125"/>
        <v>0</v>
      </c>
      <c r="AF558" s="1948">
        <v>445</v>
      </c>
      <c r="AG558" s="1948">
        <v>184.08</v>
      </c>
      <c r="AH558" s="1948">
        <v>356</v>
      </c>
      <c r="AI558" s="1948">
        <v>0.99860000000000004</v>
      </c>
      <c r="AJ558" s="1948">
        <v>9.49</v>
      </c>
      <c r="AK558" s="1948">
        <v>12993</v>
      </c>
      <c r="AL558" s="1948">
        <f t="shared" si="126"/>
        <v>82173</v>
      </c>
      <c r="AM558" s="1948">
        <f t="shared" si="127"/>
        <v>0</v>
      </c>
      <c r="AN558" s="1948">
        <v>445</v>
      </c>
      <c r="AO558" s="1948">
        <v>153.35999999999999</v>
      </c>
      <c r="AP558" s="1948">
        <v>356</v>
      </c>
      <c r="AQ558" s="1948">
        <v>0.99790000000000001</v>
      </c>
      <c r="AR558" s="1948">
        <v>14.46</v>
      </c>
      <c r="AS558" s="1948">
        <v>16497</v>
      </c>
      <c r="AT558" s="1948">
        <f t="shared" si="128"/>
        <v>68460</v>
      </c>
      <c r="AU558" s="1948">
        <f t="shared" si="129"/>
        <v>0</v>
      </c>
      <c r="AV558" s="1948">
        <v>445</v>
      </c>
      <c r="AW558" s="1948">
        <v>140.4</v>
      </c>
      <c r="AX558" s="1948">
        <v>356</v>
      </c>
      <c r="AY558" s="1948">
        <v>0.99809999999999999</v>
      </c>
      <c r="AZ558" s="1948">
        <v>14.56</v>
      </c>
      <c r="BA558" s="1948">
        <v>14718</v>
      </c>
      <c r="BB558" s="1948">
        <f t="shared" si="130"/>
        <v>60653</v>
      </c>
      <c r="BC558" s="1948">
        <f t="shared" si="131"/>
        <v>0</v>
      </c>
      <c r="BD558" s="1949">
        <v>445</v>
      </c>
      <c r="BE558" s="1948">
        <v>172.79999999999998</v>
      </c>
      <c r="BF558" s="1949">
        <v>356</v>
      </c>
      <c r="BG558" s="1949">
        <v>0.99890000000000001</v>
      </c>
      <c r="BH558" s="1949">
        <v>25.58</v>
      </c>
      <c r="BI558" s="1948">
        <v>32892</v>
      </c>
      <c r="BJ558" s="1948">
        <f t="shared" si="132"/>
        <v>77138</v>
      </c>
      <c r="BK558" s="1948">
        <f t="shared" si="133"/>
        <v>0</v>
      </c>
    </row>
    <row r="559" spans="1:63" ht="15">
      <c r="A559" s="1946">
        <v>123000000002</v>
      </c>
      <c r="B559" s="1947">
        <f t="shared" si="134"/>
        <v>553</v>
      </c>
      <c r="C559" s="1906" t="s">
        <v>3403</v>
      </c>
      <c r="D559" s="1907" t="s">
        <v>524</v>
      </c>
      <c r="E559" s="1906" t="s">
        <v>541</v>
      </c>
      <c r="F559" s="1948" t="s">
        <v>259</v>
      </c>
      <c r="G559" s="1949">
        <v>450</v>
      </c>
      <c r="H559" s="1948">
        <v>450</v>
      </c>
      <c r="I559" s="1950">
        <v>433.2</v>
      </c>
      <c r="J559" s="1948">
        <v>433.2</v>
      </c>
      <c r="K559" s="1948">
        <v>0.99480000000000002</v>
      </c>
      <c r="L559" s="1948">
        <v>43.88</v>
      </c>
      <c r="M559" s="1948">
        <v>136860</v>
      </c>
      <c r="N559" s="1948">
        <f t="shared" si="120"/>
        <v>187142</v>
      </c>
      <c r="O559" s="1948">
        <f t="shared" si="121"/>
        <v>0</v>
      </c>
      <c r="P559" s="1948">
        <v>450</v>
      </c>
      <c r="Q559" s="1948">
        <v>435.59999999999997</v>
      </c>
      <c r="R559" s="1948">
        <v>435.6</v>
      </c>
      <c r="S559" s="1948">
        <v>0.99029999999999996</v>
      </c>
      <c r="T559" s="1948">
        <v>54.25</v>
      </c>
      <c r="U559" s="1948">
        <v>175830</v>
      </c>
      <c r="V559" s="1948">
        <f t="shared" si="122"/>
        <v>194452</v>
      </c>
      <c r="W559" s="1948">
        <f t="shared" si="123"/>
        <v>0</v>
      </c>
      <c r="X559" s="1948">
        <v>450</v>
      </c>
      <c r="Y559" s="1948">
        <v>465.6</v>
      </c>
      <c r="Z559" s="1948">
        <v>465.6</v>
      </c>
      <c r="AA559" s="1948">
        <v>0.98409999999999997</v>
      </c>
      <c r="AB559" s="1948">
        <v>37.51</v>
      </c>
      <c r="AC559" s="1948">
        <v>125745</v>
      </c>
      <c r="AD559" s="1948">
        <f t="shared" si="124"/>
        <v>201139</v>
      </c>
      <c r="AE559" s="1948">
        <f t="shared" si="125"/>
        <v>0</v>
      </c>
      <c r="AF559" s="1948">
        <v>450</v>
      </c>
      <c r="AG559" s="1948">
        <v>442.8</v>
      </c>
      <c r="AH559" s="1948">
        <v>442.8</v>
      </c>
      <c r="AI559" s="1948">
        <v>0.97060000000000002</v>
      </c>
      <c r="AJ559" s="1948">
        <v>37.06</v>
      </c>
      <c r="AK559" s="1948">
        <v>122085</v>
      </c>
      <c r="AL559" s="1948">
        <f t="shared" si="126"/>
        <v>197666</v>
      </c>
      <c r="AM559" s="1948">
        <f t="shared" si="127"/>
        <v>0</v>
      </c>
      <c r="AN559" s="1948">
        <v>450</v>
      </c>
      <c r="AO559" s="1948">
        <v>425.99999999999994</v>
      </c>
      <c r="AP559" s="1948">
        <v>426</v>
      </c>
      <c r="AQ559" s="1948">
        <v>0.99260000000000004</v>
      </c>
      <c r="AR559" s="1948">
        <v>41.89</v>
      </c>
      <c r="AS559" s="1948">
        <v>132765</v>
      </c>
      <c r="AT559" s="1948">
        <f t="shared" si="128"/>
        <v>190166</v>
      </c>
      <c r="AU559" s="1948">
        <f t="shared" si="129"/>
        <v>0</v>
      </c>
      <c r="AV559" s="1948">
        <v>450</v>
      </c>
      <c r="AW559" s="1948">
        <v>414.00000000000006</v>
      </c>
      <c r="AX559" s="1948">
        <v>414</v>
      </c>
      <c r="AY559" s="1948">
        <v>0.99739999999999995</v>
      </c>
      <c r="AZ559" s="1948">
        <v>27.72</v>
      </c>
      <c r="BA559" s="1948">
        <v>82620</v>
      </c>
      <c r="BB559" s="1948">
        <f t="shared" si="130"/>
        <v>178848</v>
      </c>
      <c r="BC559" s="1948">
        <f t="shared" si="131"/>
        <v>0</v>
      </c>
      <c r="BD559" s="1949">
        <v>450</v>
      </c>
      <c r="BE559" s="1948">
        <v>230.39999999999998</v>
      </c>
      <c r="BF559" s="1949">
        <v>360</v>
      </c>
      <c r="BG559" s="1949">
        <v>0.99950000000000006</v>
      </c>
      <c r="BH559" s="1949">
        <v>21.53</v>
      </c>
      <c r="BI559" s="1948">
        <v>36900</v>
      </c>
      <c r="BJ559" s="1948">
        <f t="shared" si="132"/>
        <v>102851</v>
      </c>
      <c r="BK559" s="1948">
        <f t="shared" si="133"/>
        <v>0</v>
      </c>
    </row>
    <row r="560" spans="1:63" ht="15">
      <c r="A560" s="1946">
        <v>123000000013</v>
      </c>
      <c r="B560" s="1947">
        <f t="shared" si="134"/>
        <v>554</v>
      </c>
      <c r="C560" s="1906" t="s">
        <v>3404</v>
      </c>
      <c r="D560" s="1907" t="s">
        <v>524</v>
      </c>
      <c r="E560" s="1906" t="s">
        <v>541</v>
      </c>
      <c r="F560" s="1948" t="s">
        <v>259</v>
      </c>
      <c r="G560" s="1949">
        <v>450</v>
      </c>
      <c r="H560" s="1948">
        <v>450</v>
      </c>
      <c r="I560" s="1950">
        <v>376.56</v>
      </c>
      <c r="J560" s="1948">
        <v>376.56</v>
      </c>
      <c r="K560" s="1948">
        <v>0.98809999999999998</v>
      </c>
      <c r="L560" s="1948">
        <v>55.79</v>
      </c>
      <c r="M560" s="1948">
        <v>151272</v>
      </c>
      <c r="N560" s="1948">
        <f t="shared" si="120"/>
        <v>162674</v>
      </c>
      <c r="O560" s="1948">
        <f t="shared" si="121"/>
        <v>0</v>
      </c>
      <c r="P560" s="1948">
        <v>450</v>
      </c>
      <c r="Q560" s="1948">
        <v>399.12</v>
      </c>
      <c r="R560" s="1948">
        <v>399.12</v>
      </c>
      <c r="S560" s="1948">
        <v>0.98640000000000005</v>
      </c>
      <c r="T560" s="1948">
        <v>50.12</v>
      </c>
      <c r="U560" s="1948">
        <v>148836</v>
      </c>
      <c r="V560" s="1948">
        <f t="shared" si="122"/>
        <v>178167</v>
      </c>
      <c r="W560" s="1948">
        <f t="shared" si="123"/>
        <v>0</v>
      </c>
      <c r="X560" s="1948">
        <v>450</v>
      </c>
      <c r="Y560" s="1948">
        <v>391.68</v>
      </c>
      <c r="Z560" s="1948">
        <v>391.68</v>
      </c>
      <c r="AA560" s="1948">
        <v>0.9879</v>
      </c>
      <c r="AB560" s="1948">
        <v>50.06</v>
      </c>
      <c r="AC560" s="1948">
        <v>141186</v>
      </c>
      <c r="AD560" s="1948">
        <f t="shared" si="124"/>
        <v>169206</v>
      </c>
      <c r="AE560" s="1948">
        <f t="shared" si="125"/>
        <v>0</v>
      </c>
      <c r="AF560" s="1948">
        <v>450</v>
      </c>
      <c r="AG560" s="1948">
        <v>382.55999999999995</v>
      </c>
      <c r="AH560" s="1948">
        <v>382.56</v>
      </c>
      <c r="AI560" s="1948">
        <v>0.9859</v>
      </c>
      <c r="AJ560" s="1948">
        <v>48.89</v>
      </c>
      <c r="AK560" s="1948">
        <v>139155</v>
      </c>
      <c r="AL560" s="1948">
        <f t="shared" si="126"/>
        <v>170775</v>
      </c>
      <c r="AM560" s="1948">
        <f t="shared" si="127"/>
        <v>0</v>
      </c>
      <c r="AN560" s="1948">
        <v>450</v>
      </c>
      <c r="AO560" s="1948">
        <v>407.28</v>
      </c>
      <c r="AP560" s="1948">
        <v>407.28</v>
      </c>
      <c r="AQ560" s="1948">
        <v>0.9839</v>
      </c>
      <c r="AR560" s="1948">
        <v>36.43</v>
      </c>
      <c r="AS560" s="1948">
        <v>110403</v>
      </c>
      <c r="AT560" s="1948">
        <f t="shared" si="128"/>
        <v>181810</v>
      </c>
      <c r="AU560" s="1948">
        <f t="shared" si="129"/>
        <v>0</v>
      </c>
      <c r="AV560" s="1948">
        <v>450</v>
      </c>
      <c r="AW560" s="1948">
        <v>348.24</v>
      </c>
      <c r="AX560" s="1948">
        <v>360</v>
      </c>
      <c r="AY560" s="1948">
        <v>0.98599999999999999</v>
      </c>
      <c r="AZ560" s="1948">
        <v>46.36</v>
      </c>
      <c r="BA560" s="1948">
        <v>116229</v>
      </c>
      <c r="BB560" s="1948">
        <f t="shared" si="130"/>
        <v>150440</v>
      </c>
      <c r="BC560" s="1948">
        <f t="shared" si="131"/>
        <v>0</v>
      </c>
      <c r="BD560" s="1949">
        <v>450</v>
      </c>
      <c r="BE560" s="1948">
        <v>332.40000000000003</v>
      </c>
      <c r="BF560" s="1949">
        <v>360</v>
      </c>
      <c r="BG560" s="1949">
        <v>0.98329999999999995</v>
      </c>
      <c r="BH560" s="1949">
        <v>44.77</v>
      </c>
      <c r="BI560" s="1948">
        <v>110724</v>
      </c>
      <c r="BJ560" s="1948">
        <f t="shared" si="132"/>
        <v>148383</v>
      </c>
      <c r="BK560" s="1948">
        <f t="shared" si="133"/>
        <v>0</v>
      </c>
    </row>
    <row r="561" spans="1:63" ht="15">
      <c r="A561" s="1946">
        <v>124000000028</v>
      </c>
      <c r="B561" s="1947">
        <f t="shared" si="134"/>
        <v>555</v>
      </c>
      <c r="C561" s="1906" t="s">
        <v>3405</v>
      </c>
      <c r="D561" s="1907" t="s">
        <v>524</v>
      </c>
      <c r="E561" s="1906" t="s">
        <v>541</v>
      </c>
      <c r="F561" s="1948" t="s">
        <v>259</v>
      </c>
      <c r="G561" s="1949">
        <v>450</v>
      </c>
      <c r="H561" s="1948">
        <v>450</v>
      </c>
      <c r="I561" s="1950">
        <v>509.28</v>
      </c>
      <c r="J561" s="1948">
        <v>509.28</v>
      </c>
      <c r="K561" s="1948">
        <v>0.89270000000000005</v>
      </c>
      <c r="L561" s="1948">
        <v>50.44</v>
      </c>
      <c r="M561" s="1948">
        <v>184956</v>
      </c>
      <c r="N561" s="1948">
        <f t="shared" si="120"/>
        <v>220009</v>
      </c>
      <c r="O561" s="1948">
        <f t="shared" si="121"/>
        <v>0</v>
      </c>
      <c r="P561" s="1948">
        <v>450</v>
      </c>
      <c r="Q561" s="1948">
        <v>522.72</v>
      </c>
      <c r="R561" s="1948">
        <v>522.72</v>
      </c>
      <c r="S561" s="1948">
        <v>0.89059999999999995</v>
      </c>
      <c r="T561" s="1948">
        <v>49.77</v>
      </c>
      <c r="U561" s="1948">
        <v>193575</v>
      </c>
      <c r="V561" s="1948">
        <f t="shared" si="122"/>
        <v>233342</v>
      </c>
      <c r="W561" s="1948">
        <f t="shared" si="123"/>
        <v>0</v>
      </c>
      <c r="X561" s="1948">
        <v>450</v>
      </c>
      <c r="Y561" s="1948">
        <v>507.84</v>
      </c>
      <c r="Z561" s="1948">
        <v>507.84</v>
      </c>
      <c r="AA561" s="1948">
        <v>0.88739999999999997</v>
      </c>
      <c r="AB561" s="1948">
        <v>51.75</v>
      </c>
      <c r="AC561" s="1948">
        <v>189231</v>
      </c>
      <c r="AD561" s="1948">
        <f t="shared" si="124"/>
        <v>219387</v>
      </c>
      <c r="AE561" s="1948">
        <f t="shared" si="125"/>
        <v>0</v>
      </c>
      <c r="AF561" s="1948">
        <v>450</v>
      </c>
      <c r="AG561" s="1948">
        <v>487.44</v>
      </c>
      <c r="AH561" s="1948">
        <v>487.44</v>
      </c>
      <c r="AI561" s="1948">
        <v>0.88900000000000001</v>
      </c>
      <c r="AJ561" s="1948">
        <v>49.96</v>
      </c>
      <c r="AK561" s="1948">
        <v>181185</v>
      </c>
      <c r="AL561" s="1948">
        <f t="shared" si="126"/>
        <v>217593</v>
      </c>
      <c r="AM561" s="1948">
        <f t="shared" si="127"/>
        <v>0</v>
      </c>
      <c r="AN561" s="1948">
        <v>450</v>
      </c>
      <c r="AO561" s="1948">
        <v>531.12</v>
      </c>
      <c r="AP561" s="1948">
        <v>531.12</v>
      </c>
      <c r="AQ561" s="1948">
        <v>0.87080000000000002</v>
      </c>
      <c r="AR561" s="1948">
        <v>53.14</v>
      </c>
      <c r="AS561" s="1948">
        <v>209979</v>
      </c>
      <c r="AT561" s="1948">
        <f t="shared" si="128"/>
        <v>237092</v>
      </c>
      <c r="AU561" s="1948">
        <f t="shared" si="129"/>
        <v>0</v>
      </c>
      <c r="AV561" s="1948">
        <v>450</v>
      </c>
      <c r="AW561" s="1948">
        <v>539.04</v>
      </c>
      <c r="AX561" s="1948">
        <v>539.04</v>
      </c>
      <c r="AY561" s="1948">
        <v>0.86960000000000004</v>
      </c>
      <c r="AZ561" s="1948">
        <v>48.17</v>
      </c>
      <c r="BA561" s="1948">
        <v>186969</v>
      </c>
      <c r="BB561" s="1948">
        <f t="shared" si="130"/>
        <v>232865</v>
      </c>
      <c r="BC561" s="1948">
        <f t="shared" si="131"/>
        <v>0</v>
      </c>
      <c r="BD561" s="1949">
        <v>450</v>
      </c>
      <c r="BE561" s="1949">
        <v>540.72</v>
      </c>
      <c r="BF561" s="1949">
        <v>540.72</v>
      </c>
      <c r="BG561" s="1949">
        <v>0.85870000000000002</v>
      </c>
      <c r="BH561" s="1949">
        <v>50.53</v>
      </c>
      <c r="BI561" s="1948">
        <v>203298</v>
      </c>
      <c r="BJ561" s="1948">
        <f t="shared" si="132"/>
        <v>241377</v>
      </c>
      <c r="BK561" s="1948">
        <f t="shared" si="133"/>
        <v>0</v>
      </c>
    </row>
    <row r="562" spans="1:63" ht="15">
      <c r="A562" s="1946">
        <v>622000000224</v>
      </c>
      <c r="B562" s="1947">
        <f t="shared" si="134"/>
        <v>556</v>
      </c>
      <c r="C562" s="1906" t="s">
        <v>3587</v>
      </c>
      <c r="D562" s="1907" t="s">
        <v>524</v>
      </c>
      <c r="E562" s="1906" t="s">
        <v>541</v>
      </c>
      <c r="F562" s="1948" t="s">
        <v>259</v>
      </c>
      <c r="G562" s="1949">
        <v>450</v>
      </c>
      <c r="H562" s="1948">
        <v>0</v>
      </c>
      <c r="I562" s="1950">
        <v>0</v>
      </c>
      <c r="J562" s="1948">
        <v>0</v>
      </c>
      <c r="K562" s="1948">
        <v>0</v>
      </c>
      <c r="L562" s="1948">
        <v>0</v>
      </c>
      <c r="M562" s="1948">
        <v>0</v>
      </c>
      <c r="N562" s="1948">
        <f t="shared" si="120"/>
        <v>0</v>
      </c>
      <c r="O562" s="1948">
        <f t="shared" si="121"/>
        <v>0</v>
      </c>
      <c r="P562" s="1948">
        <v>0</v>
      </c>
      <c r="Q562" s="1948">
        <v>0</v>
      </c>
      <c r="R562" s="1948">
        <v>0</v>
      </c>
      <c r="S562" s="1948">
        <v>0</v>
      </c>
      <c r="T562" s="1948">
        <v>0</v>
      </c>
      <c r="U562" s="1948">
        <v>0</v>
      </c>
      <c r="V562" s="1948">
        <f t="shared" si="122"/>
        <v>0</v>
      </c>
      <c r="W562" s="1948">
        <f t="shared" si="123"/>
        <v>0</v>
      </c>
      <c r="X562" s="1948">
        <v>0</v>
      </c>
      <c r="Y562" s="1948">
        <v>0</v>
      </c>
      <c r="Z562" s="1948">
        <v>0</v>
      </c>
      <c r="AA562" s="1948">
        <v>0</v>
      </c>
      <c r="AB562" s="1948">
        <v>0</v>
      </c>
      <c r="AC562" s="1948">
        <v>0</v>
      </c>
      <c r="AD562" s="1948">
        <f t="shared" si="124"/>
        <v>0</v>
      </c>
      <c r="AE562" s="1948">
        <f t="shared" si="125"/>
        <v>0</v>
      </c>
      <c r="AF562" s="1948">
        <v>0</v>
      </c>
      <c r="AG562" s="1948">
        <v>0</v>
      </c>
      <c r="AH562" s="1948">
        <v>0</v>
      </c>
      <c r="AI562" s="1948">
        <v>0</v>
      </c>
      <c r="AJ562" s="1948">
        <v>0</v>
      </c>
      <c r="AK562" s="1948">
        <v>0</v>
      </c>
      <c r="AL562" s="1948">
        <f t="shared" si="126"/>
        <v>0</v>
      </c>
      <c r="AM562" s="1948">
        <f t="shared" si="127"/>
        <v>0</v>
      </c>
      <c r="AN562" s="1948">
        <v>0</v>
      </c>
      <c r="AO562" s="1948">
        <v>0</v>
      </c>
      <c r="AP562" s="1948">
        <v>0</v>
      </c>
      <c r="AQ562" s="1948">
        <v>0</v>
      </c>
      <c r="AR562" s="1948">
        <v>0</v>
      </c>
      <c r="AS562" s="1948">
        <v>0</v>
      </c>
      <c r="AT562" s="1948">
        <f t="shared" si="128"/>
        <v>0</v>
      </c>
      <c r="AU562" s="1948">
        <f t="shared" si="129"/>
        <v>0</v>
      </c>
      <c r="AV562" s="1948">
        <v>450</v>
      </c>
      <c r="AW562" s="1948">
        <v>33.078000000000003</v>
      </c>
      <c r="AX562" s="1948">
        <v>360</v>
      </c>
      <c r="AY562" s="1948">
        <v>0.28549999999999998</v>
      </c>
      <c r="AZ562" s="1948">
        <v>51.3</v>
      </c>
      <c r="BA562" s="1948">
        <v>11403</v>
      </c>
      <c r="BB562" s="1948">
        <f t="shared" si="130"/>
        <v>14290</v>
      </c>
      <c r="BC562" s="1948">
        <f t="shared" si="131"/>
        <v>0</v>
      </c>
      <c r="BD562" s="1949">
        <v>450</v>
      </c>
      <c r="BE562" s="1948">
        <v>328.596</v>
      </c>
      <c r="BF562" s="1949">
        <v>360</v>
      </c>
      <c r="BG562" s="1949">
        <v>0.81620000000000004</v>
      </c>
      <c r="BH562" s="1949">
        <v>18.3</v>
      </c>
      <c r="BI562" s="1948">
        <v>44751</v>
      </c>
      <c r="BJ562" s="1948">
        <f t="shared" si="132"/>
        <v>146685</v>
      </c>
      <c r="BK562" s="1948">
        <f t="shared" si="133"/>
        <v>0</v>
      </c>
    </row>
    <row r="563" spans="1:63" ht="15">
      <c r="A563" s="1946">
        <v>622000000013</v>
      </c>
      <c r="B563" s="1947">
        <f t="shared" si="134"/>
        <v>557</v>
      </c>
      <c r="C563" s="1906" t="s">
        <v>3406</v>
      </c>
      <c r="D563" s="1907" t="s">
        <v>524</v>
      </c>
      <c r="E563" s="1906" t="s">
        <v>629</v>
      </c>
      <c r="F563" s="1948" t="s">
        <v>259</v>
      </c>
      <c r="G563" s="1949">
        <v>452.22</v>
      </c>
      <c r="H563" s="1948">
        <v>452.22</v>
      </c>
      <c r="I563" s="1950">
        <v>95.92</v>
      </c>
      <c r="J563" s="1948">
        <v>452.22</v>
      </c>
      <c r="K563" s="1948">
        <v>0.98619999999999997</v>
      </c>
      <c r="L563" s="1948">
        <v>0</v>
      </c>
      <c r="M563" s="1948">
        <v>42304</v>
      </c>
      <c r="N563" s="1948">
        <f t="shared" si="120"/>
        <v>41437</v>
      </c>
      <c r="O563" s="1948">
        <f t="shared" si="121"/>
        <v>867</v>
      </c>
      <c r="P563" s="1948">
        <v>452.22</v>
      </c>
      <c r="Q563" s="1948">
        <v>104.64</v>
      </c>
      <c r="R563" s="1948">
        <v>452.22</v>
      </c>
      <c r="S563" s="1948">
        <v>0.98680000000000001</v>
      </c>
      <c r="T563" s="1948">
        <v>0</v>
      </c>
      <c r="U563" s="1948">
        <v>44613</v>
      </c>
      <c r="V563" s="1948">
        <f t="shared" si="122"/>
        <v>46711</v>
      </c>
      <c r="W563" s="1948">
        <f t="shared" si="123"/>
        <v>0</v>
      </c>
      <c r="X563" s="1948">
        <v>452.22</v>
      </c>
      <c r="Y563" s="1948">
        <v>116.08000000000001</v>
      </c>
      <c r="Z563" s="1948">
        <v>452.22</v>
      </c>
      <c r="AA563" s="1948">
        <v>0.98209999999999997</v>
      </c>
      <c r="AB563" s="1948">
        <v>0</v>
      </c>
      <c r="AC563" s="1948">
        <v>52321</v>
      </c>
      <c r="AD563" s="1948">
        <f t="shared" si="124"/>
        <v>50147</v>
      </c>
      <c r="AE563" s="1948">
        <f t="shared" si="125"/>
        <v>2174</v>
      </c>
      <c r="AF563" s="1948">
        <v>452.22</v>
      </c>
      <c r="AG563" s="1948">
        <v>259</v>
      </c>
      <c r="AH563" s="1948">
        <v>452.22</v>
      </c>
      <c r="AI563" s="1948">
        <v>0.98070000000000002</v>
      </c>
      <c r="AJ563" s="1948">
        <v>0</v>
      </c>
      <c r="AK563" s="1948">
        <v>50517</v>
      </c>
      <c r="AL563" s="1948">
        <f t="shared" si="126"/>
        <v>115618</v>
      </c>
      <c r="AM563" s="1948">
        <f t="shared" si="127"/>
        <v>0</v>
      </c>
      <c r="AN563" s="1948">
        <v>452.22</v>
      </c>
      <c r="AO563" s="1948">
        <v>96</v>
      </c>
      <c r="AP563" s="1948">
        <v>452.22</v>
      </c>
      <c r="AQ563" s="1948">
        <v>0.98089999999999999</v>
      </c>
      <c r="AR563" s="1948">
        <v>0</v>
      </c>
      <c r="AS563" s="1948">
        <v>45477</v>
      </c>
      <c r="AT563" s="1948">
        <f t="shared" si="128"/>
        <v>42854</v>
      </c>
      <c r="AU563" s="1948">
        <f t="shared" si="129"/>
        <v>2623</v>
      </c>
      <c r="AV563" s="1948">
        <v>452.22</v>
      </c>
      <c r="AW563" s="1948">
        <v>141.80000000000001</v>
      </c>
      <c r="AX563" s="1948">
        <v>452.22</v>
      </c>
      <c r="AY563" s="1948">
        <v>0.98309999999999997</v>
      </c>
      <c r="AZ563" s="1948">
        <v>0</v>
      </c>
      <c r="BA563" s="1948">
        <v>52085</v>
      </c>
      <c r="BB563" s="1948">
        <f t="shared" si="130"/>
        <v>61258</v>
      </c>
      <c r="BC563" s="1948">
        <f t="shared" si="131"/>
        <v>0</v>
      </c>
      <c r="BD563" s="1949">
        <v>452.22</v>
      </c>
      <c r="BE563" s="1948">
        <v>137.19999999999999</v>
      </c>
      <c r="BF563" s="1949">
        <v>452.22</v>
      </c>
      <c r="BG563" s="1949">
        <v>0.98340000000000005</v>
      </c>
      <c r="BH563" s="1949">
        <v>0</v>
      </c>
      <c r="BI563" s="1948">
        <v>47465</v>
      </c>
      <c r="BJ563" s="1948">
        <f t="shared" si="132"/>
        <v>61246</v>
      </c>
      <c r="BK563" s="1948">
        <f t="shared" si="133"/>
        <v>0</v>
      </c>
    </row>
    <row r="564" spans="1:63" ht="15">
      <c r="A564" s="1946">
        <v>124000000052</v>
      </c>
      <c r="B564" s="1947">
        <f t="shared" si="134"/>
        <v>558</v>
      </c>
      <c r="C564" s="1906" t="s">
        <v>3407</v>
      </c>
      <c r="D564" s="1907" t="s">
        <v>524</v>
      </c>
      <c r="E564" s="1906" t="s">
        <v>737</v>
      </c>
      <c r="F564" s="1948" t="s">
        <v>259</v>
      </c>
      <c r="G564" s="1949">
        <v>458</v>
      </c>
      <c r="H564" s="1948">
        <v>458</v>
      </c>
      <c r="I564" s="1950">
        <v>397.67999999999995</v>
      </c>
      <c r="J564" s="1948">
        <v>397.68</v>
      </c>
      <c r="K564" s="1948">
        <v>0.9919</v>
      </c>
      <c r="L564" s="1948">
        <v>36.450000000000003</v>
      </c>
      <c r="M564" s="1948">
        <v>104358</v>
      </c>
      <c r="N564" s="1948">
        <f t="shared" si="120"/>
        <v>171798</v>
      </c>
      <c r="O564" s="1948">
        <f t="shared" si="121"/>
        <v>0</v>
      </c>
      <c r="P564" s="1948">
        <v>458</v>
      </c>
      <c r="Q564" s="1948">
        <v>357.11999999999995</v>
      </c>
      <c r="R564" s="1948">
        <v>366.4</v>
      </c>
      <c r="S564" s="1948">
        <v>0.99519999999999997</v>
      </c>
      <c r="T564" s="1948">
        <v>44.01</v>
      </c>
      <c r="U564" s="1948">
        <v>116934</v>
      </c>
      <c r="V564" s="1948">
        <f t="shared" si="122"/>
        <v>159418</v>
      </c>
      <c r="W564" s="1948">
        <f t="shared" si="123"/>
        <v>0</v>
      </c>
      <c r="X564" s="1948">
        <v>458</v>
      </c>
      <c r="Y564" s="1948">
        <v>277.68</v>
      </c>
      <c r="Z564" s="1948">
        <v>366.4</v>
      </c>
      <c r="AA564" s="1948">
        <v>0.99029999999999996</v>
      </c>
      <c r="AB564" s="1948">
        <v>44.32</v>
      </c>
      <c r="AC564" s="1948">
        <v>88617</v>
      </c>
      <c r="AD564" s="1948">
        <f t="shared" si="124"/>
        <v>119958</v>
      </c>
      <c r="AE564" s="1948">
        <f t="shared" si="125"/>
        <v>0</v>
      </c>
      <c r="AF564" s="1948">
        <v>458</v>
      </c>
      <c r="AG564" s="1948">
        <v>341.28</v>
      </c>
      <c r="AH564" s="1948">
        <v>366.4</v>
      </c>
      <c r="AI564" s="1948">
        <v>0.99409999999999998</v>
      </c>
      <c r="AJ564" s="1948">
        <v>42.66</v>
      </c>
      <c r="AK564" s="1948">
        <v>108330</v>
      </c>
      <c r="AL564" s="1948">
        <f t="shared" si="126"/>
        <v>152347</v>
      </c>
      <c r="AM564" s="1948">
        <f t="shared" si="127"/>
        <v>0</v>
      </c>
      <c r="AN564" s="1948">
        <v>458</v>
      </c>
      <c r="AO564" s="1948">
        <v>271.92</v>
      </c>
      <c r="AP564" s="1948">
        <v>366.4</v>
      </c>
      <c r="AQ564" s="1948">
        <v>0.99309999999999998</v>
      </c>
      <c r="AR564" s="1948">
        <v>50.28</v>
      </c>
      <c r="AS564" s="1948">
        <v>101730</v>
      </c>
      <c r="AT564" s="1948">
        <f t="shared" si="128"/>
        <v>121385</v>
      </c>
      <c r="AU564" s="1948">
        <f t="shared" si="129"/>
        <v>0</v>
      </c>
      <c r="AV564" s="1948">
        <v>458</v>
      </c>
      <c r="AW564" s="1948">
        <v>300.23999999999995</v>
      </c>
      <c r="AX564" s="1948">
        <v>366.4</v>
      </c>
      <c r="AY564" s="1948">
        <v>0.99380000000000002</v>
      </c>
      <c r="AZ564" s="1948">
        <v>47.36</v>
      </c>
      <c r="BA564" s="1948">
        <v>68256</v>
      </c>
      <c r="BB564" s="1948">
        <f t="shared" si="130"/>
        <v>129704</v>
      </c>
      <c r="BC564" s="1948">
        <f t="shared" si="131"/>
        <v>0</v>
      </c>
      <c r="BD564" s="1949">
        <v>458</v>
      </c>
      <c r="BE564" s="1949">
        <v>621.6</v>
      </c>
      <c r="BF564" s="1949">
        <v>621.6</v>
      </c>
      <c r="BG564" s="1949">
        <v>0.99990000000000001</v>
      </c>
      <c r="BH564" s="1949">
        <v>18.28</v>
      </c>
      <c r="BI564" s="1948">
        <v>100926</v>
      </c>
      <c r="BJ564" s="1948">
        <f t="shared" si="132"/>
        <v>277482</v>
      </c>
      <c r="BK564" s="1948">
        <f t="shared" si="133"/>
        <v>0</v>
      </c>
    </row>
    <row r="565" spans="1:63" ht="15">
      <c r="A565" s="1946">
        <v>611000000095</v>
      </c>
      <c r="B565" s="1947">
        <f t="shared" si="134"/>
        <v>559</v>
      </c>
      <c r="C565" s="1906" t="s">
        <v>3409</v>
      </c>
      <c r="D565" s="1907" t="s">
        <v>524</v>
      </c>
      <c r="E565" s="1906" t="s">
        <v>541</v>
      </c>
      <c r="F565" s="1948" t="s">
        <v>259</v>
      </c>
      <c r="G565" s="1949">
        <v>465</v>
      </c>
      <c r="H565" s="1948">
        <v>465</v>
      </c>
      <c r="I565" s="1950">
        <v>455.52</v>
      </c>
      <c r="J565" s="1948">
        <v>455.52</v>
      </c>
      <c r="K565" s="1948">
        <v>0.99199999999999999</v>
      </c>
      <c r="L565" s="1948">
        <v>42.6</v>
      </c>
      <c r="M565" s="1948">
        <v>139716</v>
      </c>
      <c r="N565" s="1948">
        <f t="shared" si="120"/>
        <v>196785</v>
      </c>
      <c r="O565" s="1948">
        <f t="shared" si="121"/>
        <v>0</v>
      </c>
      <c r="P565" s="1948">
        <v>465</v>
      </c>
      <c r="Q565" s="1948">
        <v>470.4</v>
      </c>
      <c r="R565" s="1948">
        <v>470.4</v>
      </c>
      <c r="S565" s="1948">
        <v>0.98839999999999995</v>
      </c>
      <c r="T565" s="1948">
        <v>38.270000000000003</v>
      </c>
      <c r="U565" s="1948">
        <v>133920</v>
      </c>
      <c r="V565" s="1948">
        <f t="shared" si="122"/>
        <v>209987</v>
      </c>
      <c r="W565" s="1948">
        <f t="shared" si="123"/>
        <v>0</v>
      </c>
      <c r="X565" s="1948">
        <v>465</v>
      </c>
      <c r="Y565" s="1948">
        <v>456.48</v>
      </c>
      <c r="Z565" s="1948">
        <v>456.48</v>
      </c>
      <c r="AA565" s="1948">
        <v>0.98609999999999998</v>
      </c>
      <c r="AB565" s="1948">
        <v>35.24</v>
      </c>
      <c r="AC565" s="1948">
        <v>115824</v>
      </c>
      <c r="AD565" s="1948">
        <f t="shared" si="124"/>
        <v>197199</v>
      </c>
      <c r="AE565" s="1948">
        <f t="shared" si="125"/>
        <v>0</v>
      </c>
      <c r="AF565" s="1948">
        <v>465</v>
      </c>
      <c r="AG565" s="1948">
        <v>455.52</v>
      </c>
      <c r="AH565" s="1948">
        <v>455.52</v>
      </c>
      <c r="AI565" s="1948">
        <v>0.99099999999999999</v>
      </c>
      <c r="AJ565" s="1948">
        <v>30.21</v>
      </c>
      <c r="AK565" s="1948">
        <v>102390</v>
      </c>
      <c r="AL565" s="1948">
        <f t="shared" si="126"/>
        <v>203344</v>
      </c>
      <c r="AM565" s="1948">
        <f t="shared" si="127"/>
        <v>0</v>
      </c>
      <c r="AN565" s="1948">
        <v>465</v>
      </c>
      <c r="AO565" s="1948">
        <v>437.76</v>
      </c>
      <c r="AP565" s="1948">
        <v>437.76</v>
      </c>
      <c r="AQ565" s="1948">
        <v>0.99619999999999997</v>
      </c>
      <c r="AR565" s="1948">
        <v>40.69</v>
      </c>
      <c r="AS565" s="1948">
        <v>132522</v>
      </c>
      <c r="AT565" s="1948">
        <f t="shared" si="128"/>
        <v>195416</v>
      </c>
      <c r="AU565" s="1948">
        <f t="shared" si="129"/>
        <v>0</v>
      </c>
      <c r="AV565" s="1948">
        <v>465</v>
      </c>
      <c r="AW565" s="1948">
        <v>451.2</v>
      </c>
      <c r="AX565" s="1948">
        <v>451.2</v>
      </c>
      <c r="AY565" s="1948">
        <v>0.99670000000000003</v>
      </c>
      <c r="AZ565" s="1948">
        <v>38.17</v>
      </c>
      <c r="BA565" s="1948">
        <v>124014</v>
      </c>
      <c r="BB565" s="1948">
        <f t="shared" si="130"/>
        <v>194918</v>
      </c>
      <c r="BC565" s="1948">
        <f t="shared" si="131"/>
        <v>0</v>
      </c>
      <c r="BD565" s="1949">
        <v>465</v>
      </c>
      <c r="BE565" s="1949">
        <v>422.88</v>
      </c>
      <c r="BF565" s="1949">
        <v>422.88</v>
      </c>
      <c r="BG565" s="1949">
        <v>0.99470000000000003</v>
      </c>
      <c r="BH565" s="1949">
        <v>14.26</v>
      </c>
      <c r="BI565" s="1948">
        <v>44880</v>
      </c>
      <c r="BJ565" s="1948">
        <f t="shared" si="132"/>
        <v>188774</v>
      </c>
      <c r="BK565" s="1948">
        <f t="shared" si="133"/>
        <v>0</v>
      </c>
    </row>
    <row r="566" spans="1:63" ht="15">
      <c r="A566" s="1946">
        <v>614000000005</v>
      </c>
      <c r="B566" s="1947">
        <f t="shared" si="134"/>
        <v>560</v>
      </c>
      <c r="C566" s="1906" t="s">
        <v>3408</v>
      </c>
      <c r="D566" s="1907" t="s">
        <v>524</v>
      </c>
      <c r="E566" s="1906" t="s">
        <v>737</v>
      </c>
      <c r="F566" s="1948" t="s">
        <v>259</v>
      </c>
      <c r="G566" s="1949">
        <v>465</v>
      </c>
      <c r="H566" s="1948">
        <v>465</v>
      </c>
      <c r="I566" s="1950">
        <v>305.76000000000005</v>
      </c>
      <c r="J566" s="1948">
        <v>372</v>
      </c>
      <c r="K566" s="1948">
        <v>0.96260000000000001</v>
      </c>
      <c r="L566" s="1948">
        <v>5.59</v>
      </c>
      <c r="M566" s="1948">
        <v>12300</v>
      </c>
      <c r="N566" s="1948">
        <f t="shared" si="120"/>
        <v>132088</v>
      </c>
      <c r="O566" s="1948">
        <f t="shared" si="121"/>
        <v>0</v>
      </c>
      <c r="P566" s="1948">
        <v>465</v>
      </c>
      <c r="Q566" s="1948">
        <v>283.2</v>
      </c>
      <c r="R566" s="1948">
        <v>372</v>
      </c>
      <c r="S566" s="1948">
        <v>0.89319999999999999</v>
      </c>
      <c r="T566" s="1948">
        <v>2.56</v>
      </c>
      <c r="U566" s="1948">
        <v>5394</v>
      </c>
      <c r="V566" s="1948">
        <f t="shared" si="122"/>
        <v>126420</v>
      </c>
      <c r="W566" s="1948">
        <f t="shared" si="123"/>
        <v>0</v>
      </c>
      <c r="X566" s="1948">
        <v>465</v>
      </c>
      <c r="Y566" s="1948">
        <v>38.160000000000004</v>
      </c>
      <c r="Z566" s="1948">
        <v>372</v>
      </c>
      <c r="AA566" s="1948">
        <v>0.7167</v>
      </c>
      <c r="AB566" s="1948">
        <v>6.98</v>
      </c>
      <c r="AC566" s="1948">
        <v>1917</v>
      </c>
      <c r="AD566" s="1948">
        <f t="shared" si="124"/>
        <v>16485</v>
      </c>
      <c r="AE566" s="1948">
        <f t="shared" si="125"/>
        <v>0</v>
      </c>
      <c r="AF566" s="1948">
        <v>465</v>
      </c>
      <c r="AG566" s="1948">
        <v>34.32</v>
      </c>
      <c r="AH566" s="1948">
        <v>372</v>
      </c>
      <c r="AI566" s="1948">
        <v>0.76060000000000005</v>
      </c>
      <c r="AJ566" s="1948">
        <v>7.75</v>
      </c>
      <c r="AK566" s="1948">
        <v>1980</v>
      </c>
      <c r="AL566" s="1948">
        <f t="shared" si="126"/>
        <v>15320</v>
      </c>
      <c r="AM566" s="1948">
        <f t="shared" si="127"/>
        <v>0</v>
      </c>
      <c r="AN566" s="1948">
        <v>465</v>
      </c>
      <c r="AO566" s="1948">
        <v>8.64</v>
      </c>
      <c r="AP566" s="1948">
        <v>372</v>
      </c>
      <c r="AQ566" s="1948">
        <v>0.70540000000000003</v>
      </c>
      <c r="AR566" s="1948">
        <v>30.9</v>
      </c>
      <c r="AS566" s="1948">
        <v>1986</v>
      </c>
      <c r="AT566" s="1948">
        <f t="shared" si="128"/>
        <v>3857</v>
      </c>
      <c r="AU566" s="1948">
        <f t="shared" si="129"/>
        <v>0</v>
      </c>
      <c r="AV566" s="1948">
        <v>465</v>
      </c>
      <c r="AW566" s="1948">
        <v>9.8400000000000016</v>
      </c>
      <c r="AX566" s="1948">
        <v>372</v>
      </c>
      <c r="AY566" s="1948">
        <v>0.68340000000000001</v>
      </c>
      <c r="AZ566" s="1948">
        <v>27.69</v>
      </c>
      <c r="BA566" s="1948">
        <v>1962</v>
      </c>
      <c r="BB566" s="1948">
        <f t="shared" si="130"/>
        <v>4251</v>
      </c>
      <c r="BC566" s="1948">
        <f t="shared" si="131"/>
        <v>0</v>
      </c>
      <c r="BD566" s="1949">
        <v>465</v>
      </c>
      <c r="BE566" s="1948">
        <v>8.8800000000000008</v>
      </c>
      <c r="BF566" s="1949">
        <v>372</v>
      </c>
      <c r="BG566" s="1949">
        <v>0.69710000000000005</v>
      </c>
      <c r="BH566" s="1949">
        <v>15.89</v>
      </c>
      <c r="BI566" s="1948">
        <v>1050</v>
      </c>
      <c r="BJ566" s="1948">
        <f t="shared" si="132"/>
        <v>3964</v>
      </c>
      <c r="BK566" s="1948">
        <f t="shared" si="133"/>
        <v>0</v>
      </c>
    </row>
    <row r="567" spans="1:63" ht="15">
      <c r="A567" s="1946">
        <v>421000000002</v>
      </c>
      <c r="B567" s="1947">
        <f t="shared" si="134"/>
        <v>561</v>
      </c>
      <c r="C567" s="1906" t="s">
        <v>3410</v>
      </c>
      <c r="D567" s="1907" t="s">
        <v>524</v>
      </c>
      <c r="E567" s="1906" t="s">
        <v>737</v>
      </c>
      <c r="F567" s="1948" t="s">
        <v>259</v>
      </c>
      <c r="G567" s="1949">
        <v>467</v>
      </c>
      <c r="H567" s="1948">
        <v>467</v>
      </c>
      <c r="I567" s="1950">
        <v>73.44</v>
      </c>
      <c r="J567" s="1948">
        <v>373.6</v>
      </c>
      <c r="K567" s="1948">
        <v>0.83230000000000004</v>
      </c>
      <c r="L567" s="1948">
        <v>43.31</v>
      </c>
      <c r="M567" s="1948">
        <v>22902</v>
      </c>
      <c r="N567" s="1948">
        <f t="shared" si="120"/>
        <v>31726</v>
      </c>
      <c r="O567" s="1948">
        <f t="shared" si="121"/>
        <v>0</v>
      </c>
      <c r="P567" s="1948">
        <v>467</v>
      </c>
      <c r="Q567" s="1948">
        <v>90.72</v>
      </c>
      <c r="R567" s="1948">
        <v>373.6</v>
      </c>
      <c r="S567" s="1948">
        <v>0.89080000000000004</v>
      </c>
      <c r="T567" s="1948">
        <v>37.25</v>
      </c>
      <c r="U567" s="1948">
        <v>25140</v>
      </c>
      <c r="V567" s="1948">
        <f t="shared" si="122"/>
        <v>40497</v>
      </c>
      <c r="W567" s="1948">
        <f t="shared" si="123"/>
        <v>0</v>
      </c>
      <c r="X567" s="1948">
        <v>467</v>
      </c>
      <c r="Y567" s="1948">
        <v>102.48</v>
      </c>
      <c r="Z567" s="1948">
        <v>373.6</v>
      </c>
      <c r="AA567" s="1948">
        <v>0.84630000000000005</v>
      </c>
      <c r="AB567" s="1948">
        <v>28.92</v>
      </c>
      <c r="AC567" s="1948">
        <v>21339</v>
      </c>
      <c r="AD567" s="1948">
        <f t="shared" si="124"/>
        <v>44271</v>
      </c>
      <c r="AE567" s="1948">
        <f t="shared" si="125"/>
        <v>0</v>
      </c>
      <c r="AF567" s="1948">
        <v>467</v>
      </c>
      <c r="AG567" s="1948">
        <v>78</v>
      </c>
      <c r="AH567" s="1948">
        <v>373.6</v>
      </c>
      <c r="AI567" s="1948">
        <v>0.84940000000000004</v>
      </c>
      <c r="AJ567" s="1948">
        <v>39.380000000000003</v>
      </c>
      <c r="AK567" s="1948">
        <v>22851</v>
      </c>
      <c r="AL567" s="1948">
        <f t="shared" si="126"/>
        <v>34819</v>
      </c>
      <c r="AM567" s="1948">
        <f t="shared" si="127"/>
        <v>0</v>
      </c>
      <c r="AN567" s="1948">
        <v>467</v>
      </c>
      <c r="AO567" s="1948">
        <v>79.92</v>
      </c>
      <c r="AP567" s="1948">
        <v>373.6</v>
      </c>
      <c r="AQ567" s="1948">
        <v>0.85250000000000004</v>
      </c>
      <c r="AR567" s="1948">
        <v>40.31</v>
      </c>
      <c r="AS567" s="1948">
        <v>23970</v>
      </c>
      <c r="AT567" s="1948">
        <f t="shared" si="128"/>
        <v>35676</v>
      </c>
      <c r="AU567" s="1948">
        <f t="shared" si="129"/>
        <v>0</v>
      </c>
      <c r="AV567" s="1948">
        <v>467</v>
      </c>
      <c r="AW567" s="1948">
        <v>89.279999999999987</v>
      </c>
      <c r="AX567" s="1948">
        <v>373.6</v>
      </c>
      <c r="AY567" s="1948">
        <v>0.84140000000000004</v>
      </c>
      <c r="AZ567" s="1948">
        <v>36.72</v>
      </c>
      <c r="BA567" s="1948">
        <v>23601</v>
      </c>
      <c r="BB567" s="1948">
        <f t="shared" si="130"/>
        <v>38569</v>
      </c>
      <c r="BC567" s="1948">
        <f t="shared" si="131"/>
        <v>0</v>
      </c>
      <c r="BD567" s="1949">
        <v>467</v>
      </c>
      <c r="BE567" s="1948">
        <v>94.559999999999988</v>
      </c>
      <c r="BF567" s="1949">
        <v>373.6</v>
      </c>
      <c r="BG567" s="1949">
        <v>0.78500000000000003</v>
      </c>
      <c r="BH567" s="1949">
        <v>34.19</v>
      </c>
      <c r="BI567" s="1948">
        <v>24051</v>
      </c>
      <c r="BJ567" s="1948">
        <f t="shared" si="132"/>
        <v>42212</v>
      </c>
      <c r="BK567" s="1948">
        <f t="shared" si="133"/>
        <v>0</v>
      </c>
    </row>
    <row r="568" spans="1:63" ht="15">
      <c r="A568" s="1946">
        <v>127000000009</v>
      </c>
      <c r="B568" s="1947">
        <f t="shared" si="134"/>
        <v>562</v>
      </c>
      <c r="C568" s="1906" t="s">
        <v>3411</v>
      </c>
      <c r="D568" s="1907" t="s">
        <v>524</v>
      </c>
      <c r="E568" s="1906" t="s">
        <v>2966</v>
      </c>
      <c r="F568" s="1948" t="s">
        <v>259</v>
      </c>
      <c r="G568" s="1949">
        <v>470</v>
      </c>
      <c r="H568" s="1948">
        <v>470</v>
      </c>
      <c r="I568" s="1950">
        <v>416.88</v>
      </c>
      <c r="J568" s="1948">
        <v>470</v>
      </c>
      <c r="K568" s="1948">
        <v>0.66659999999999997</v>
      </c>
      <c r="L568" s="1948">
        <v>0</v>
      </c>
      <c r="M568" s="1948">
        <v>105663</v>
      </c>
      <c r="N568" s="1948">
        <f t="shared" si="120"/>
        <v>180092</v>
      </c>
      <c r="O568" s="1948">
        <f t="shared" si="121"/>
        <v>0</v>
      </c>
      <c r="P568" s="1948">
        <v>470</v>
      </c>
      <c r="Q568" s="1948">
        <v>487.44</v>
      </c>
      <c r="R568" s="1948">
        <v>487.44</v>
      </c>
      <c r="S568" s="1948">
        <v>0.63119999999999998</v>
      </c>
      <c r="T568" s="1948">
        <v>0</v>
      </c>
      <c r="U568" s="1948">
        <v>107046</v>
      </c>
      <c r="V568" s="1948">
        <f t="shared" si="122"/>
        <v>217593</v>
      </c>
      <c r="W568" s="1948">
        <f t="shared" si="123"/>
        <v>0</v>
      </c>
      <c r="X568" s="1948">
        <v>470</v>
      </c>
      <c r="Y568" s="1948">
        <v>590.88</v>
      </c>
      <c r="Z568" s="1948">
        <v>590.88</v>
      </c>
      <c r="AA568" s="1948">
        <v>0.59770000000000001</v>
      </c>
      <c r="AB568" s="1948">
        <v>0</v>
      </c>
      <c r="AC568" s="1948">
        <v>91794</v>
      </c>
      <c r="AD568" s="1948">
        <f t="shared" si="124"/>
        <v>255260</v>
      </c>
      <c r="AE568" s="1948">
        <f t="shared" si="125"/>
        <v>0</v>
      </c>
      <c r="AF568" s="1948">
        <v>470</v>
      </c>
      <c r="AG568" s="1948">
        <v>150.72</v>
      </c>
      <c r="AH568" s="1948">
        <v>470</v>
      </c>
      <c r="AI568" s="1948">
        <v>0.627</v>
      </c>
      <c r="AJ568" s="1948">
        <v>0</v>
      </c>
      <c r="AK568" s="1948">
        <v>14865</v>
      </c>
      <c r="AL568" s="1948">
        <f t="shared" si="126"/>
        <v>67281</v>
      </c>
      <c r="AM568" s="1948">
        <f t="shared" si="127"/>
        <v>0</v>
      </c>
      <c r="AN568" s="1948">
        <v>470</v>
      </c>
      <c r="AO568" s="1948">
        <v>262.8</v>
      </c>
      <c r="AP568" s="1948">
        <v>470</v>
      </c>
      <c r="AQ568" s="1948">
        <v>0.63970000000000005</v>
      </c>
      <c r="AR568" s="1948">
        <v>0</v>
      </c>
      <c r="AS568" s="1948">
        <v>46785</v>
      </c>
      <c r="AT568" s="1948">
        <f t="shared" si="128"/>
        <v>117314</v>
      </c>
      <c r="AU568" s="1948">
        <f t="shared" si="129"/>
        <v>0</v>
      </c>
      <c r="AV568" s="1948">
        <v>470</v>
      </c>
      <c r="AW568" s="1948">
        <v>251.28</v>
      </c>
      <c r="AX568" s="1948">
        <v>470</v>
      </c>
      <c r="AY568" s="1948">
        <v>0.64059999999999995</v>
      </c>
      <c r="AZ568" s="1948">
        <v>0</v>
      </c>
      <c r="BA568" s="1948">
        <v>73575</v>
      </c>
      <c r="BB568" s="1948">
        <f t="shared" si="130"/>
        <v>108553</v>
      </c>
      <c r="BC568" s="1948">
        <f t="shared" si="131"/>
        <v>0</v>
      </c>
      <c r="BD568" s="1949">
        <v>470</v>
      </c>
      <c r="BE568" s="1948">
        <v>286.56</v>
      </c>
      <c r="BF568" s="1949">
        <v>470</v>
      </c>
      <c r="BG568" s="1949">
        <v>0.61009999999999998</v>
      </c>
      <c r="BH568" s="1949">
        <v>0</v>
      </c>
      <c r="BI568" s="1948">
        <v>107274</v>
      </c>
      <c r="BJ568" s="1948">
        <f t="shared" si="132"/>
        <v>127920</v>
      </c>
      <c r="BK568" s="1948">
        <f t="shared" si="133"/>
        <v>0</v>
      </c>
    </row>
    <row r="569" spans="1:63" ht="15">
      <c r="A569" s="1946">
        <v>123000000080</v>
      </c>
      <c r="B569" s="1947">
        <f t="shared" si="134"/>
        <v>563</v>
      </c>
      <c r="C569" s="1906" t="s">
        <v>3412</v>
      </c>
      <c r="D569" s="1907" t="s">
        <v>524</v>
      </c>
      <c r="E569" s="1906" t="s">
        <v>541</v>
      </c>
      <c r="F569" s="1948" t="s">
        <v>259</v>
      </c>
      <c r="G569" s="1949">
        <v>475</v>
      </c>
      <c r="H569" s="1948">
        <v>475</v>
      </c>
      <c r="I569" s="1950">
        <v>506.88</v>
      </c>
      <c r="J569" s="1948">
        <v>506.88</v>
      </c>
      <c r="K569" s="1948">
        <v>0.90949999999999998</v>
      </c>
      <c r="L569" s="1948">
        <v>61.27</v>
      </c>
      <c r="M569" s="1948">
        <v>201246</v>
      </c>
      <c r="N569" s="1948">
        <f t="shared" si="120"/>
        <v>218972</v>
      </c>
      <c r="O569" s="1948">
        <f t="shared" si="121"/>
        <v>0</v>
      </c>
      <c r="P569" s="1948">
        <v>475</v>
      </c>
      <c r="Q569" s="1948">
        <v>456.48</v>
      </c>
      <c r="R569" s="1948">
        <v>456.48</v>
      </c>
      <c r="S569" s="1948">
        <v>0.90110000000000001</v>
      </c>
      <c r="T569" s="1948">
        <v>55.77</v>
      </c>
      <c r="U569" s="1948">
        <v>177177</v>
      </c>
      <c r="V569" s="1948">
        <f t="shared" si="122"/>
        <v>203773</v>
      </c>
      <c r="W569" s="1948">
        <f t="shared" si="123"/>
        <v>0</v>
      </c>
      <c r="X569" s="1948">
        <v>475</v>
      </c>
      <c r="Y569" s="1948">
        <v>471.35999999999996</v>
      </c>
      <c r="Z569" s="1948">
        <v>471.36</v>
      </c>
      <c r="AA569" s="1948">
        <v>0.89400000000000002</v>
      </c>
      <c r="AB569" s="1948">
        <v>56.07</v>
      </c>
      <c r="AC569" s="1948">
        <v>209319</v>
      </c>
      <c r="AD569" s="1948">
        <f t="shared" si="124"/>
        <v>203628</v>
      </c>
      <c r="AE569" s="1948">
        <f t="shared" si="125"/>
        <v>5691</v>
      </c>
      <c r="AF569" s="1948">
        <v>475</v>
      </c>
      <c r="AG569" s="1948">
        <v>530.64</v>
      </c>
      <c r="AH569" s="1948">
        <v>530.64</v>
      </c>
      <c r="AI569" s="1948">
        <v>0.90049999999999997</v>
      </c>
      <c r="AJ569" s="1948">
        <v>56.21</v>
      </c>
      <c r="AK569" s="1948">
        <v>236238</v>
      </c>
      <c r="AL569" s="1948">
        <f t="shared" si="126"/>
        <v>236878</v>
      </c>
      <c r="AM569" s="1948">
        <f t="shared" si="127"/>
        <v>0</v>
      </c>
      <c r="AN569" s="1948">
        <v>475</v>
      </c>
      <c r="AO569" s="1948">
        <v>496.08</v>
      </c>
      <c r="AP569" s="1948">
        <v>496.08</v>
      </c>
      <c r="AQ569" s="1948">
        <v>0.88990000000000002</v>
      </c>
      <c r="AR569" s="1948">
        <v>45.76</v>
      </c>
      <c r="AS569" s="1948">
        <v>152535</v>
      </c>
      <c r="AT569" s="1948">
        <f t="shared" si="128"/>
        <v>221450</v>
      </c>
      <c r="AU569" s="1948">
        <f t="shared" si="129"/>
        <v>0</v>
      </c>
      <c r="AV569" s="1948">
        <v>475</v>
      </c>
      <c r="AW569" s="1948">
        <v>491.76</v>
      </c>
      <c r="AX569" s="1948">
        <v>491.76</v>
      </c>
      <c r="AY569" s="1948">
        <v>0.89029999999999998</v>
      </c>
      <c r="AZ569" s="1948">
        <v>40.729999999999997</v>
      </c>
      <c r="BA569" s="1948">
        <v>144207</v>
      </c>
      <c r="BB569" s="1948">
        <f t="shared" si="130"/>
        <v>212440</v>
      </c>
      <c r="BC569" s="1948">
        <f t="shared" si="131"/>
        <v>0</v>
      </c>
      <c r="BD569" s="1949">
        <v>475</v>
      </c>
      <c r="BE569" s="1948">
        <v>462</v>
      </c>
      <c r="BF569" s="1949">
        <v>462</v>
      </c>
      <c r="BG569" s="1949">
        <v>0.88039999999999996</v>
      </c>
      <c r="BH569" s="1949">
        <v>55.34</v>
      </c>
      <c r="BI569" s="1948">
        <v>184098</v>
      </c>
      <c r="BJ569" s="1948">
        <f t="shared" si="132"/>
        <v>206237</v>
      </c>
      <c r="BK569" s="1948">
        <f t="shared" si="133"/>
        <v>0</v>
      </c>
    </row>
    <row r="570" spans="1:63" ht="15">
      <c r="A570" s="1946">
        <v>611000000052</v>
      </c>
      <c r="B570" s="1947">
        <f t="shared" si="134"/>
        <v>564</v>
      </c>
      <c r="C570" s="1906" t="s">
        <v>3413</v>
      </c>
      <c r="D570" s="1907" t="s">
        <v>524</v>
      </c>
      <c r="E570" s="1906" t="s">
        <v>541</v>
      </c>
      <c r="F570" s="1948" t="s">
        <v>259</v>
      </c>
      <c r="G570" s="1949">
        <v>475</v>
      </c>
      <c r="H570" s="1948">
        <v>475</v>
      </c>
      <c r="I570" s="1950">
        <v>389.28000000000003</v>
      </c>
      <c r="J570" s="1948">
        <v>389.28</v>
      </c>
      <c r="K570" s="1948">
        <v>0.97209999999999996</v>
      </c>
      <c r="L570" s="1948">
        <v>68.849999999999994</v>
      </c>
      <c r="M570" s="1948">
        <v>173682</v>
      </c>
      <c r="N570" s="1948">
        <f t="shared" si="120"/>
        <v>168169</v>
      </c>
      <c r="O570" s="1948">
        <f t="shared" si="121"/>
        <v>5513</v>
      </c>
      <c r="P570" s="1948">
        <v>475</v>
      </c>
      <c r="Q570" s="1948">
        <v>405.6</v>
      </c>
      <c r="R570" s="1948">
        <v>405.6</v>
      </c>
      <c r="S570" s="1948">
        <v>0.95540000000000003</v>
      </c>
      <c r="T570" s="1948">
        <v>67.77</v>
      </c>
      <c r="U570" s="1948">
        <v>237504</v>
      </c>
      <c r="V570" s="1948">
        <f t="shared" si="122"/>
        <v>181060</v>
      </c>
      <c r="W570" s="1948">
        <f t="shared" si="123"/>
        <v>56444</v>
      </c>
      <c r="X570" s="1948">
        <v>475</v>
      </c>
      <c r="Y570" s="1948">
        <v>399.35999999999996</v>
      </c>
      <c r="Z570" s="1948">
        <v>399.36</v>
      </c>
      <c r="AA570" s="1948">
        <v>0.95499999999999996</v>
      </c>
      <c r="AB570" s="1948">
        <v>62.06</v>
      </c>
      <c r="AC570" s="1948">
        <v>178440</v>
      </c>
      <c r="AD570" s="1948">
        <f t="shared" si="124"/>
        <v>172524</v>
      </c>
      <c r="AE570" s="1948">
        <f t="shared" si="125"/>
        <v>5916</v>
      </c>
      <c r="AF570" s="1948">
        <v>475</v>
      </c>
      <c r="AG570" s="1948">
        <v>372.96000000000004</v>
      </c>
      <c r="AH570" s="1948">
        <v>380</v>
      </c>
      <c r="AI570" s="1948">
        <v>0.98860000000000003</v>
      </c>
      <c r="AJ570" s="1948">
        <v>71.33</v>
      </c>
      <c r="AK570" s="1948">
        <v>197940</v>
      </c>
      <c r="AL570" s="1948">
        <f t="shared" si="126"/>
        <v>166489</v>
      </c>
      <c r="AM570" s="1948">
        <f t="shared" si="127"/>
        <v>31451</v>
      </c>
      <c r="AN570" s="1948">
        <v>475</v>
      </c>
      <c r="AO570" s="1948">
        <v>382.08000000000004</v>
      </c>
      <c r="AP570" s="1948">
        <v>382.08</v>
      </c>
      <c r="AQ570" s="1948">
        <v>0.99039999999999995</v>
      </c>
      <c r="AR570" s="1948">
        <v>68.06</v>
      </c>
      <c r="AS570" s="1948">
        <v>193470</v>
      </c>
      <c r="AT570" s="1948">
        <f t="shared" si="128"/>
        <v>170561</v>
      </c>
      <c r="AU570" s="1948">
        <f t="shared" si="129"/>
        <v>22909</v>
      </c>
      <c r="AV570" s="1948">
        <v>475</v>
      </c>
      <c r="AW570" s="1948">
        <v>384.48</v>
      </c>
      <c r="AX570" s="1948">
        <v>384.48</v>
      </c>
      <c r="AY570" s="1948">
        <v>0.99509999999999998</v>
      </c>
      <c r="AZ570" s="1948">
        <v>57.7</v>
      </c>
      <c r="BA570" s="1948">
        <v>159732</v>
      </c>
      <c r="BB570" s="1948">
        <f t="shared" si="130"/>
        <v>166095</v>
      </c>
      <c r="BC570" s="1948">
        <f t="shared" si="131"/>
        <v>0</v>
      </c>
      <c r="BD570" s="1949">
        <v>475</v>
      </c>
      <c r="BE570" s="1948">
        <v>376.32</v>
      </c>
      <c r="BF570" s="1949">
        <v>380</v>
      </c>
      <c r="BG570" s="1949">
        <v>0.99439999999999995</v>
      </c>
      <c r="BH570" s="1949">
        <v>70.83</v>
      </c>
      <c r="BI570" s="1948">
        <v>198312</v>
      </c>
      <c r="BJ570" s="1948">
        <f t="shared" si="132"/>
        <v>167989</v>
      </c>
      <c r="BK570" s="1948">
        <f t="shared" si="133"/>
        <v>30323</v>
      </c>
    </row>
    <row r="571" spans="1:63" ht="15">
      <c r="A571" s="1946">
        <v>622000000192</v>
      </c>
      <c r="B571" s="1947">
        <f t="shared" si="134"/>
        <v>565</v>
      </c>
      <c r="C571" s="1906" t="s">
        <v>3414</v>
      </c>
      <c r="D571" s="1907" t="s">
        <v>524</v>
      </c>
      <c r="E571" s="1906" t="s">
        <v>730</v>
      </c>
      <c r="F571" s="1948" t="s">
        <v>259</v>
      </c>
      <c r="G571" s="1949">
        <v>478</v>
      </c>
      <c r="H571" s="1948">
        <v>478</v>
      </c>
      <c r="I571" s="1950">
        <v>408.47999999999996</v>
      </c>
      <c r="J571" s="1948">
        <v>408.48</v>
      </c>
      <c r="K571" s="1948">
        <v>0.94269999999999998</v>
      </c>
      <c r="L571" s="1948">
        <v>32.18</v>
      </c>
      <c r="M571" s="1948">
        <v>94644</v>
      </c>
      <c r="N571" s="1948">
        <f t="shared" si="120"/>
        <v>176463</v>
      </c>
      <c r="O571" s="1948">
        <f t="shared" si="121"/>
        <v>0</v>
      </c>
      <c r="P571" s="1948">
        <v>478</v>
      </c>
      <c r="Q571" s="1948">
        <v>422.64000000000004</v>
      </c>
      <c r="R571" s="1948">
        <v>422.64</v>
      </c>
      <c r="S571" s="1948">
        <v>0.95589999999999997</v>
      </c>
      <c r="T571" s="1948">
        <v>31.12</v>
      </c>
      <c r="U571" s="1948">
        <v>97851</v>
      </c>
      <c r="V571" s="1948">
        <f t="shared" si="122"/>
        <v>188666</v>
      </c>
      <c r="W571" s="1948">
        <f t="shared" si="123"/>
        <v>0</v>
      </c>
      <c r="X571" s="1948">
        <v>478</v>
      </c>
      <c r="Y571" s="1948">
        <v>413.52000000000004</v>
      </c>
      <c r="Z571" s="1948">
        <v>413.52</v>
      </c>
      <c r="AA571" s="1948">
        <v>0.95369999999999999</v>
      </c>
      <c r="AB571" s="1948">
        <v>30.36</v>
      </c>
      <c r="AC571" s="1948">
        <v>90393</v>
      </c>
      <c r="AD571" s="1948">
        <f t="shared" si="124"/>
        <v>178641</v>
      </c>
      <c r="AE571" s="1948">
        <f t="shared" si="125"/>
        <v>0</v>
      </c>
      <c r="AF571" s="1948">
        <v>478</v>
      </c>
      <c r="AG571" s="1948">
        <v>426.48</v>
      </c>
      <c r="AH571" s="1948">
        <v>426.48</v>
      </c>
      <c r="AI571" s="1948">
        <v>0.93110000000000004</v>
      </c>
      <c r="AJ571" s="1948">
        <v>25.98</v>
      </c>
      <c r="AK571" s="1948">
        <v>82431</v>
      </c>
      <c r="AL571" s="1948">
        <f t="shared" si="126"/>
        <v>190381</v>
      </c>
      <c r="AM571" s="1948">
        <f t="shared" si="127"/>
        <v>0</v>
      </c>
      <c r="AN571" s="1948">
        <v>478</v>
      </c>
      <c r="AO571" s="1948">
        <v>399.84</v>
      </c>
      <c r="AP571" s="1948">
        <v>399.84</v>
      </c>
      <c r="AQ571" s="1948">
        <v>0.95920000000000005</v>
      </c>
      <c r="AR571" s="1948">
        <v>27.5</v>
      </c>
      <c r="AS571" s="1948">
        <v>81798</v>
      </c>
      <c r="AT571" s="1948">
        <f t="shared" si="128"/>
        <v>178489</v>
      </c>
      <c r="AU571" s="1948">
        <f t="shared" si="129"/>
        <v>0</v>
      </c>
      <c r="AV571" s="1948">
        <v>478</v>
      </c>
      <c r="AW571" s="1948">
        <v>405.84</v>
      </c>
      <c r="AX571" s="1948">
        <v>405.84</v>
      </c>
      <c r="AY571" s="1948">
        <v>0.9466</v>
      </c>
      <c r="AZ571" s="1948">
        <v>23.4</v>
      </c>
      <c r="BA571" s="1948">
        <v>68364</v>
      </c>
      <c r="BB571" s="1948">
        <f t="shared" si="130"/>
        <v>175323</v>
      </c>
      <c r="BC571" s="1948">
        <f t="shared" si="131"/>
        <v>0</v>
      </c>
      <c r="BD571" s="1949">
        <v>478</v>
      </c>
      <c r="BE571" s="1948">
        <v>391.68</v>
      </c>
      <c r="BF571" s="1949">
        <v>391.68</v>
      </c>
      <c r="BG571" s="1949">
        <v>0.96309999999999996</v>
      </c>
      <c r="BH571" s="1949">
        <v>25.56</v>
      </c>
      <c r="BI571" s="1948">
        <v>74496</v>
      </c>
      <c r="BJ571" s="1948">
        <f t="shared" si="132"/>
        <v>174846</v>
      </c>
      <c r="BK571" s="1948">
        <f t="shared" si="133"/>
        <v>0</v>
      </c>
    </row>
    <row r="572" spans="1:63" ht="15">
      <c r="A572" s="1946">
        <v>621000000072</v>
      </c>
      <c r="B572" s="1947">
        <f t="shared" si="134"/>
        <v>566</v>
      </c>
      <c r="C572" s="1906" t="s">
        <v>3588</v>
      </c>
      <c r="D572" s="1907" t="s">
        <v>524</v>
      </c>
      <c r="E572" s="1906" t="s">
        <v>636</v>
      </c>
      <c r="F572" s="1948" t="s">
        <v>259</v>
      </c>
      <c r="G572" s="1949">
        <v>487</v>
      </c>
      <c r="H572" s="1948">
        <v>0</v>
      </c>
      <c r="I572" s="1950">
        <v>0</v>
      </c>
      <c r="J572" s="1948">
        <v>0</v>
      </c>
      <c r="K572" s="1948">
        <v>0</v>
      </c>
      <c r="L572" s="1948">
        <v>0</v>
      </c>
      <c r="M572" s="1948">
        <v>0</v>
      </c>
      <c r="N572" s="1948">
        <f t="shared" si="120"/>
        <v>0</v>
      </c>
      <c r="O572" s="1948">
        <f t="shared" si="121"/>
        <v>0</v>
      </c>
      <c r="P572" s="1948">
        <v>0</v>
      </c>
      <c r="Q572" s="1948">
        <v>0</v>
      </c>
      <c r="R572" s="1948">
        <v>0</v>
      </c>
      <c r="S572" s="1948">
        <v>0</v>
      </c>
      <c r="T572" s="1948">
        <v>0</v>
      </c>
      <c r="U572" s="1948">
        <v>0</v>
      </c>
      <c r="V572" s="1948">
        <f t="shared" si="122"/>
        <v>0</v>
      </c>
      <c r="W572" s="1948">
        <f t="shared" si="123"/>
        <v>0</v>
      </c>
      <c r="X572" s="1948">
        <v>487</v>
      </c>
      <c r="Y572" s="1948">
        <v>0</v>
      </c>
      <c r="Z572" s="1948">
        <v>389.6</v>
      </c>
      <c r="AA572" s="1948">
        <v>0</v>
      </c>
      <c r="AB572" s="1948">
        <v>0</v>
      </c>
      <c r="AC572" s="1948">
        <v>0</v>
      </c>
      <c r="AD572" s="1948">
        <f t="shared" si="124"/>
        <v>0</v>
      </c>
      <c r="AE572" s="1948">
        <f t="shared" si="125"/>
        <v>0</v>
      </c>
      <c r="AF572" s="1948">
        <v>487</v>
      </c>
      <c r="AG572" s="1948">
        <v>0</v>
      </c>
      <c r="AH572" s="1948">
        <v>389.6</v>
      </c>
      <c r="AI572" s="1948">
        <v>0</v>
      </c>
      <c r="AJ572" s="1948">
        <v>0</v>
      </c>
      <c r="AK572" s="1948">
        <v>0</v>
      </c>
      <c r="AL572" s="1948">
        <f t="shared" si="126"/>
        <v>0</v>
      </c>
      <c r="AM572" s="1948">
        <f t="shared" si="127"/>
        <v>0</v>
      </c>
      <c r="AN572" s="1948">
        <v>487</v>
      </c>
      <c r="AO572" s="1948">
        <v>0</v>
      </c>
      <c r="AP572" s="1948">
        <v>389.6</v>
      </c>
      <c r="AQ572" s="1948">
        <v>0</v>
      </c>
      <c r="AR572" s="1948">
        <v>0</v>
      </c>
      <c r="AS572" s="1948">
        <v>0</v>
      </c>
      <c r="AT572" s="1948">
        <f t="shared" si="128"/>
        <v>0</v>
      </c>
      <c r="AU572" s="1948">
        <f t="shared" si="129"/>
        <v>0</v>
      </c>
      <c r="AV572" s="1948">
        <v>487</v>
      </c>
      <c r="AW572" s="1948">
        <v>0</v>
      </c>
      <c r="AX572" s="1948">
        <v>389.6</v>
      </c>
      <c r="AY572" s="1948">
        <v>0</v>
      </c>
      <c r="AZ572" s="1948">
        <v>0</v>
      </c>
      <c r="BA572" s="1948">
        <v>0</v>
      </c>
      <c r="BB572" s="1948">
        <f t="shared" si="130"/>
        <v>0</v>
      </c>
      <c r="BC572" s="1948">
        <f t="shared" si="131"/>
        <v>0</v>
      </c>
      <c r="BD572" s="1949">
        <v>487</v>
      </c>
      <c r="BE572" s="1948">
        <v>0</v>
      </c>
      <c r="BF572" s="1949">
        <v>389.6</v>
      </c>
      <c r="BG572" s="1949">
        <v>0</v>
      </c>
      <c r="BH572" s="1949">
        <v>0</v>
      </c>
      <c r="BI572" s="1948">
        <v>0</v>
      </c>
      <c r="BJ572" s="1948">
        <f t="shared" si="132"/>
        <v>0</v>
      </c>
      <c r="BK572" s="1948">
        <f t="shared" si="133"/>
        <v>0</v>
      </c>
    </row>
    <row r="573" spans="1:63" ht="15">
      <c r="A573" s="1946">
        <v>613000000017</v>
      </c>
      <c r="B573" s="1947">
        <f t="shared" si="134"/>
        <v>567</v>
      </c>
      <c r="C573" s="1906" t="s">
        <v>3415</v>
      </c>
      <c r="D573" s="1907" t="s">
        <v>524</v>
      </c>
      <c r="E573" s="1906" t="s">
        <v>541</v>
      </c>
      <c r="F573" s="1948" t="s">
        <v>259</v>
      </c>
      <c r="G573" s="1949">
        <v>489</v>
      </c>
      <c r="H573" s="1948">
        <v>489</v>
      </c>
      <c r="I573" s="1950">
        <v>261.12</v>
      </c>
      <c r="J573" s="1948">
        <v>391.2</v>
      </c>
      <c r="K573" s="1948">
        <v>0.97599999999999998</v>
      </c>
      <c r="L573" s="1948">
        <v>33.64</v>
      </c>
      <c r="M573" s="1948">
        <v>63249</v>
      </c>
      <c r="N573" s="1948">
        <f t="shared" si="120"/>
        <v>112804</v>
      </c>
      <c r="O573" s="1948">
        <f t="shared" si="121"/>
        <v>0</v>
      </c>
      <c r="P573" s="1948">
        <v>489</v>
      </c>
      <c r="Q573" s="1948">
        <v>254.16</v>
      </c>
      <c r="R573" s="1948">
        <v>391.2</v>
      </c>
      <c r="S573" s="1948">
        <v>0.98360000000000003</v>
      </c>
      <c r="T573" s="1948">
        <v>57.85</v>
      </c>
      <c r="U573" s="1948">
        <v>109386</v>
      </c>
      <c r="V573" s="1948">
        <f t="shared" si="122"/>
        <v>113457</v>
      </c>
      <c r="W573" s="1948">
        <f t="shared" si="123"/>
        <v>0</v>
      </c>
      <c r="X573" s="1948">
        <v>489</v>
      </c>
      <c r="Y573" s="1948">
        <v>247.92000000000002</v>
      </c>
      <c r="Z573" s="1948">
        <v>391.2</v>
      </c>
      <c r="AA573" s="1948">
        <v>0.98250000000000004</v>
      </c>
      <c r="AB573" s="1948">
        <v>46.16</v>
      </c>
      <c r="AC573" s="1948">
        <v>82398</v>
      </c>
      <c r="AD573" s="1948">
        <f t="shared" si="124"/>
        <v>107101</v>
      </c>
      <c r="AE573" s="1948">
        <f t="shared" si="125"/>
        <v>0</v>
      </c>
      <c r="AF573" s="1948">
        <v>489</v>
      </c>
      <c r="AG573" s="1948">
        <v>245.52</v>
      </c>
      <c r="AH573" s="1948">
        <v>391.2</v>
      </c>
      <c r="AI573" s="1948">
        <v>0.98870000000000002</v>
      </c>
      <c r="AJ573" s="1948">
        <v>36</v>
      </c>
      <c r="AK573" s="1948">
        <v>65760</v>
      </c>
      <c r="AL573" s="1948">
        <f t="shared" si="126"/>
        <v>109600</v>
      </c>
      <c r="AM573" s="1948">
        <f t="shared" si="127"/>
        <v>0</v>
      </c>
      <c r="AN573" s="1948">
        <v>489</v>
      </c>
      <c r="AO573" s="1948">
        <v>249.36</v>
      </c>
      <c r="AP573" s="1948">
        <v>391.2</v>
      </c>
      <c r="AQ573" s="1948">
        <v>0.98560000000000003</v>
      </c>
      <c r="AR573" s="1948">
        <v>51.95</v>
      </c>
      <c r="AS573" s="1948">
        <v>96387</v>
      </c>
      <c r="AT573" s="1948">
        <f t="shared" si="128"/>
        <v>111314</v>
      </c>
      <c r="AU573" s="1948">
        <f t="shared" si="129"/>
        <v>0</v>
      </c>
      <c r="AV573" s="1948">
        <v>489</v>
      </c>
      <c r="AW573" s="1948">
        <v>240</v>
      </c>
      <c r="AX573" s="1948">
        <v>391.2</v>
      </c>
      <c r="AY573" s="1948">
        <v>0.98719999999999997</v>
      </c>
      <c r="AZ573" s="1948">
        <v>38.51</v>
      </c>
      <c r="BA573" s="1948">
        <v>66540</v>
      </c>
      <c r="BB573" s="1948">
        <f t="shared" si="130"/>
        <v>103680</v>
      </c>
      <c r="BC573" s="1948">
        <f t="shared" si="131"/>
        <v>0</v>
      </c>
      <c r="BD573" s="1949">
        <v>489</v>
      </c>
      <c r="BE573" s="1948">
        <v>232.56</v>
      </c>
      <c r="BF573" s="1949">
        <v>391.2</v>
      </c>
      <c r="BG573" s="1949">
        <v>0.98750000000000004</v>
      </c>
      <c r="BH573" s="1949">
        <v>13.35</v>
      </c>
      <c r="BI573" s="1948">
        <v>23094</v>
      </c>
      <c r="BJ573" s="1948">
        <f t="shared" si="132"/>
        <v>103815</v>
      </c>
      <c r="BK573" s="1948">
        <f t="shared" si="133"/>
        <v>0</v>
      </c>
    </row>
    <row r="574" spans="1:63" ht="15">
      <c r="A574" s="1946">
        <v>622000000077</v>
      </c>
      <c r="B574" s="1947">
        <f t="shared" si="134"/>
        <v>568</v>
      </c>
      <c r="C574" s="1906" t="s">
        <v>3416</v>
      </c>
      <c r="D574" s="1907" t="s">
        <v>524</v>
      </c>
      <c r="E574" s="1906" t="s">
        <v>541</v>
      </c>
      <c r="F574" s="1948" t="s">
        <v>259</v>
      </c>
      <c r="G574" s="1949">
        <v>490</v>
      </c>
      <c r="H574" s="1948">
        <v>490</v>
      </c>
      <c r="I574" s="1950">
        <v>324.47999999999996</v>
      </c>
      <c r="J574" s="1948">
        <v>392</v>
      </c>
      <c r="K574" s="1948">
        <v>0.9476</v>
      </c>
      <c r="L574" s="1948">
        <v>65.239999999999995</v>
      </c>
      <c r="M574" s="1948">
        <v>147336</v>
      </c>
      <c r="N574" s="1948">
        <f t="shared" si="120"/>
        <v>140175</v>
      </c>
      <c r="O574" s="1948">
        <f t="shared" si="121"/>
        <v>7161</v>
      </c>
      <c r="P574" s="1948">
        <v>490</v>
      </c>
      <c r="Q574" s="1948">
        <v>405.6</v>
      </c>
      <c r="R574" s="1948">
        <v>405.6</v>
      </c>
      <c r="S574" s="1948">
        <v>0.9254</v>
      </c>
      <c r="T574" s="1948">
        <v>51.32</v>
      </c>
      <c r="U574" s="1948">
        <v>159864</v>
      </c>
      <c r="V574" s="1948">
        <f t="shared" si="122"/>
        <v>181060</v>
      </c>
      <c r="W574" s="1948">
        <f t="shared" si="123"/>
        <v>0</v>
      </c>
      <c r="X574" s="1948">
        <v>490</v>
      </c>
      <c r="Y574" s="1948">
        <v>378.23999999999995</v>
      </c>
      <c r="Z574" s="1948">
        <v>392</v>
      </c>
      <c r="AA574" s="1948">
        <v>0.89770000000000005</v>
      </c>
      <c r="AB574" s="1948">
        <v>57.97</v>
      </c>
      <c r="AC574" s="1948">
        <v>152619</v>
      </c>
      <c r="AD574" s="1948">
        <f t="shared" si="124"/>
        <v>163400</v>
      </c>
      <c r="AE574" s="1948">
        <f t="shared" si="125"/>
        <v>0</v>
      </c>
      <c r="AF574" s="1948">
        <v>490</v>
      </c>
      <c r="AG574" s="1948">
        <v>356.64000000000004</v>
      </c>
      <c r="AH574" s="1948">
        <v>392</v>
      </c>
      <c r="AI574" s="1948">
        <v>0.89159999999999995</v>
      </c>
      <c r="AJ574" s="1948">
        <v>64.41</v>
      </c>
      <c r="AK574" s="1948">
        <v>159870</v>
      </c>
      <c r="AL574" s="1948">
        <f t="shared" si="126"/>
        <v>159204</v>
      </c>
      <c r="AM574" s="1948">
        <f t="shared" si="127"/>
        <v>666</v>
      </c>
      <c r="AN574" s="1948">
        <v>490</v>
      </c>
      <c r="AO574" s="1948">
        <v>346.79999999999995</v>
      </c>
      <c r="AP574" s="1948">
        <v>392</v>
      </c>
      <c r="AQ574" s="1948">
        <v>0.92279999999999995</v>
      </c>
      <c r="AR574" s="1948">
        <v>61.34</v>
      </c>
      <c r="AS574" s="1948">
        <v>142962</v>
      </c>
      <c r="AT574" s="1948">
        <f t="shared" si="128"/>
        <v>154812</v>
      </c>
      <c r="AU574" s="1948">
        <f t="shared" si="129"/>
        <v>0</v>
      </c>
      <c r="AV574" s="1948">
        <v>490</v>
      </c>
      <c r="AW574" s="1948">
        <v>373.91999999999996</v>
      </c>
      <c r="AX574" s="1948">
        <v>392</v>
      </c>
      <c r="AY574" s="1948">
        <v>0.94189999999999996</v>
      </c>
      <c r="AZ574" s="1948">
        <v>55.81</v>
      </c>
      <c r="BA574" s="1948">
        <v>165270</v>
      </c>
      <c r="BB574" s="1948">
        <f t="shared" si="130"/>
        <v>161533</v>
      </c>
      <c r="BC574" s="1948">
        <f t="shared" si="131"/>
        <v>3737</v>
      </c>
      <c r="BD574" s="1949">
        <v>490</v>
      </c>
      <c r="BE574" s="1948">
        <v>350.4</v>
      </c>
      <c r="BF574" s="1949">
        <v>392</v>
      </c>
      <c r="BG574" s="1949">
        <v>0.96719999999999995</v>
      </c>
      <c r="BH574" s="1949">
        <v>65.55</v>
      </c>
      <c r="BI574" s="1948">
        <v>159873</v>
      </c>
      <c r="BJ574" s="1948">
        <f t="shared" si="132"/>
        <v>156419</v>
      </c>
      <c r="BK574" s="1948">
        <f t="shared" si="133"/>
        <v>3454</v>
      </c>
    </row>
    <row r="575" spans="1:63" ht="15">
      <c r="A575" s="1946">
        <v>622000000174</v>
      </c>
      <c r="B575" s="1947">
        <f t="shared" si="134"/>
        <v>569</v>
      </c>
      <c r="C575" s="1906" t="s">
        <v>3417</v>
      </c>
      <c r="D575" s="1907" t="s">
        <v>524</v>
      </c>
      <c r="E575" s="1906" t="s">
        <v>541</v>
      </c>
      <c r="F575" s="1948" t="s">
        <v>259</v>
      </c>
      <c r="G575" s="1949">
        <v>490</v>
      </c>
      <c r="H575" s="1948">
        <v>490</v>
      </c>
      <c r="I575" s="1950">
        <v>224.8</v>
      </c>
      <c r="J575" s="1948">
        <v>392</v>
      </c>
      <c r="K575" s="1948">
        <v>0.88139999999999996</v>
      </c>
      <c r="L575" s="1948">
        <v>24.28</v>
      </c>
      <c r="M575" s="1948">
        <v>39305</v>
      </c>
      <c r="N575" s="1948">
        <f t="shared" si="120"/>
        <v>97114</v>
      </c>
      <c r="O575" s="1948">
        <f t="shared" si="121"/>
        <v>0</v>
      </c>
      <c r="P575" s="1948">
        <v>490</v>
      </c>
      <c r="Q575" s="1948">
        <v>342</v>
      </c>
      <c r="R575" s="1948">
        <v>392</v>
      </c>
      <c r="S575" s="1948">
        <v>0.83140000000000003</v>
      </c>
      <c r="T575" s="1948">
        <v>25.72</v>
      </c>
      <c r="U575" s="1948">
        <v>65455</v>
      </c>
      <c r="V575" s="1948">
        <f t="shared" si="122"/>
        <v>152669</v>
      </c>
      <c r="W575" s="1948">
        <f t="shared" si="123"/>
        <v>0</v>
      </c>
      <c r="X575" s="1948">
        <v>490</v>
      </c>
      <c r="Y575" s="1948">
        <v>283.2</v>
      </c>
      <c r="Z575" s="1948">
        <v>392</v>
      </c>
      <c r="AA575" s="1948">
        <v>0.86119999999999997</v>
      </c>
      <c r="AB575" s="1948">
        <v>15.94</v>
      </c>
      <c r="AC575" s="1948">
        <v>32495</v>
      </c>
      <c r="AD575" s="1948">
        <f t="shared" si="124"/>
        <v>122342</v>
      </c>
      <c r="AE575" s="1948">
        <f t="shared" si="125"/>
        <v>0</v>
      </c>
      <c r="AF575" s="1948">
        <v>490</v>
      </c>
      <c r="AG575" s="1948">
        <v>249.20000000000002</v>
      </c>
      <c r="AH575" s="1948">
        <v>392</v>
      </c>
      <c r="AI575" s="1948">
        <v>0.80589999999999995</v>
      </c>
      <c r="AJ575" s="1948">
        <v>24.41</v>
      </c>
      <c r="AK575" s="1948">
        <v>45255</v>
      </c>
      <c r="AL575" s="1948">
        <f t="shared" si="126"/>
        <v>111243</v>
      </c>
      <c r="AM575" s="1948">
        <f t="shared" si="127"/>
        <v>0</v>
      </c>
      <c r="AN575" s="1948">
        <v>490</v>
      </c>
      <c r="AO575" s="1948">
        <v>227.6</v>
      </c>
      <c r="AP575" s="1948">
        <v>392</v>
      </c>
      <c r="AQ575" s="1948">
        <v>0.878</v>
      </c>
      <c r="AR575" s="1948">
        <v>21.22</v>
      </c>
      <c r="AS575" s="1948">
        <v>35925</v>
      </c>
      <c r="AT575" s="1948">
        <f t="shared" si="128"/>
        <v>101601</v>
      </c>
      <c r="AU575" s="1948">
        <f t="shared" si="129"/>
        <v>0</v>
      </c>
      <c r="AV575" s="1948">
        <v>490</v>
      </c>
      <c r="AW575" s="1948">
        <v>204</v>
      </c>
      <c r="AX575" s="1948">
        <v>392</v>
      </c>
      <c r="AY575" s="1948">
        <v>0.84609999999999996</v>
      </c>
      <c r="AZ575" s="1948">
        <v>20.02</v>
      </c>
      <c r="BA575" s="1948">
        <v>29410</v>
      </c>
      <c r="BB575" s="1948">
        <f t="shared" si="130"/>
        <v>88128</v>
      </c>
      <c r="BC575" s="1948">
        <f t="shared" si="131"/>
        <v>0</v>
      </c>
      <c r="BD575" s="1949">
        <v>490</v>
      </c>
      <c r="BE575" s="1948">
        <v>202</v>
      </c>
      <c r="BF575" s="1949">
        <v>392</v>
      </c>
      <c r="BG575" s="1949">
        <v>0.89929999999999999</v>
      </c>
      <c r="BH575" s="1949">
        <v>27.43</v>
      </c>
      <c r="BI575" s="1948">
        <v>41230</v>
      </c>
      <c r="BJ575" s="1948">
        <f t="shared" si="132"/>
        <v>90173</v>
      </c>
      <c r="BK575" s="1948">
        <f t="shared" si="133"/>
        <v>0</v>
      </c>
    </row>
    <row r="576" spans="1:63" ht="15">
      <c r="A576" s="1946">
        <v>621000000025</v>
      </c>
      <c r="B576" s="1947">
        <f t="shared" si="134"/>
        <v>570</v>
      </c>
      <c r="C576" s="1906" t="s">
        <v>3418</v>
      </c>
      <c r="D576" s="1907" t="s">
        <v>524</v>
      </c>
      <c r="E576" s="1906" t="s">
        <v>541</v>
      </c>
      <c r="F576" s="1948" t="s">
        <v>259</v>
      </c>
      <c r="G576" s="1949">
        <v>495</v>
      </c>
      <c r="H576" s="1948">
        <v>495</v>
      </c>
      <c r="I576" s="1950">
        <v>372.48</v>
      </c>
      <c r="J576" s="1948">
        <v>396</v>
      </c>
      <c r="K576" s="1948">
        <v>0.94099999999999995</v>
      </c>
      <c r="L576" s="1948">
        <v>58.89</v>
      </c>
      <c r="M576" s="1948">
        <v>152682</v>
      </c>
      <c r="N576" s="1948">
        <f t="shared" si="120"/>
        <v>160911</v>
      </c>
      <c r="O576" s="1948">
        <f t="shared" si="121"/>
        <v>0</v>
      </c>
      <c r="P576" s="1948">
        <v>495</v>
      </c>
      <c r="Q576" s="1948">
        <v>377.52</v>
      </c>
      <c r="R576" s="1948">
        <v>396</v>
      </c>
      <c r="S576" s="1948">
        <v>0.93820000000000003</v>
      </c>
      <c r="T576" s="1948">
        <v>57.09</v>
      </c>
      <c r="U576" s="1948">
        <v>165510</v>
      </c>
      <c r="V576" s="1948">
        <f t="shared" si="122"/>
        <v>168525</v>
      </c>
      <c r="W576" s="1948">
        <f t="shared" si="123"/>
        <v>0</v>
      </c>
      <c r="X576" s="1948">
        <v>495</v>
      </c>
      <c r="Y576" s="1948">
        <v>432.96000000000004</v>
      </c>
      <c r="Z576" s="1948">
        <v>432.96</v>
      </c>
      <c r="AA576" s="1948">
        <v>0.93559999999999999</v>
      </c>
      <c r="AB576" s="1948">
        <v>45.51</v>
      </c>
      <c r="AC576" s="1948">
        <v>137130</v>
      </c>
      <c r="AD576" s="1948">
        <f t="shared" si="124"/>
        <v>187039</v>
      </c>
      <c r="AE576" s="1948">
        <f t="shared" si="125"/>
        <v>0</v>
      </c>
      <c r="AF576" s="1948">
        <v>495</v>
      </c>
      <c r="AG576" s="1948">
        <v>377.52</v>
      </c>
      <c r="AH576" s="1948">
        <v>396</v>
      </c>
      <c r="AI576" s="1948">
        <v>0.93279999999999996</v>
      </c>
      <c r="AJ576" s="1948">
        <v>44.25</v>
      </c>
      <c r="AK576" s="1948">
        <v>128295</v>
      </c>
      <c r="AL576" s="1948">
        <f t="shared" si="126"/>
        <v>168525</v>
      </c>
      <c r="AM576" s="1948">
        <f t="shared" si="127"/>
        <v>0</v>
      </c>
      <c r="AN576" s="1948">
        <v>495</v>
      </c>
      <c r="AO576" s="1948">
        <v>385.2</v>
      </c>
      <c r="AP576" s="1948">
        <v>396</v>
      </c>
      <c r="AQ576" s="1948">
        <v>0.93500000000000005</v>
      </c>
      <c r="AR576" s="1948">
        <v>46.16</v>
      </c>
      <c r="AS576" s="1948">
        <v>132282</v>
      </c>
      <c r="AT576" s="1948">
        <f t="shared" si="128"/>
        <v>171953</v>
      </c>
      <c r="AU576" s="1948">
        <f t="shared" si="129"/>
        <v>0</v>
      </c>
      <c r="AV576" s="1948">
        <v>495</v>
      </c>
      <c r="AW576" s="1948">
        <v>379.68</v>
      </c>
      <c r="AX576" s="1948">
        <v>396</v>
      </c>
      <c r="AY576" s="1948">
        <v>0.92810000000000004</v>
      </c>
      <c r="AZ576" s="1948">
        <v>41.77</v>
      </c>
      <c r="BA576" s="1948">
        <v>114186</v>
      </c>
      <c r="BB576" s="1948">
        <f t="shared" si="130"/>
        <v>164022</v>
      </c>
      <c r="BC576" s="1948">
        <f t="shared" si="131"/>
        <v>0</v>
      </c>
      <c r="BD576" s="1949">
        <v>495</v>
      </c>
      <c r="BE576" s="1948">
        <v>356.88</v>
      </c>
      <c r="BF576" s="1949">
        <v>396</v>
      </c>
      <c r="BG576" s="1949">
        <v>0.88500000000000001</v>
      </c>
      <c r="BH576" s="1949">
        <v>18.37</v>
      </c>
      <c r="BI576" s="1948">
        <v>48786</v>
      </c>
      <c r="BJ576" s="1948">
        <f t="shared" si="132"/>
        <v>159311</v>
      </c>
      <c r="BK576" s="1948">
        <f t="shared" si="133"/>
        <v>0</v>
      </c>
    </row>
    <row r="577" spans="1:63" ht="15">
      <c r="A577" s="1946">
        <v>613000000045</v>
      </c>
      <c r="B577" s="1947">
        <f t="shared" si="134"/>
        <v>571</v>
      </c>
      <c r="C577" s="1906" t="s">
        <v>3589</v>
      </c>
      <c r="D577" s="1907" t="s">
        <v>524</v>
      </c>
      <c r="E577" s="1906" t="s">
        <v>730</v>
      </c>
      <c r="F577" s="1948" t="s">
        <v>259</v>
      </c>
      <c r="G577" s="1949">
        <v>498</v>
      </c>
      <c r="H577" s="1948">
        <v>0</v>
      </c>
      <c r="I577" s="1950">
        <v>0</v>
      </c>
      <c r="J577" s="1948">
        <v>0</v>
      </c>
      <c r="K577" s="1948">
        <v>0</v>
      </c>
      <c r="L577" s="1948">
        <v>0</v>
      </c>
      <c r="M577" s="1948">
        <v>0</v>
      </c>
      <c r="N577" s="1948">
        <f t="shared" si="120"/>
        <v>0</v>
      </c>
      <c r="O577" s="1948">
        <f t="shared" si="121"/>
        <v>0</v>
      </c>
      <c r="P577" s="1948">
        <v>0</v>
      </c>
      <c r="Q577" s="1948">
        <v>0</v>
      </c>
      <c r="R577" s="1948">
        <v>0</v>
      </c>
      <c r="S577" s="1948">
        <v>0</v>
      </c>
      <c r="T577" s="1948">
        <v>0</v>
      </c>
      <c r="U577" s="1948">
        <v>0</v>
      </c>
      <c r="V577" s="1948">
        <f t="shared" si="122"/>
        <v>0</v>
      </c>
      <c r="W577" s="1948">
        <f t="shared" si="123"/>
        <v>0</v>
      </c>
      <c r="X577" s="1948">
        <v>0</v>
      </c>
      <c r="Y577" s="1948">
        <v>0</v>
      </c>
      <c r="Z577" s="1948">
        <v>0</v>
      </c>
      <c r="AA577" s="1948">
        <v>0</v>
      </c>
      <c r="AB577" s="1948">
        <v>0</v>
      </c>
      <c r="AC577" s="1948">
        <v>0</v>
      </c>
      <c r="AD577" s="1948">
        <f t="shared" si="124"/>
        <v>0</v>
      </c>
      <c r="AE577" s="1948">
        <f t="shared" si="125"/>
        <v>0</v>
      </c>
      <c r="AF577" s="1948">
        <v>498</v>
      </c>
      <c r="AG577" s="1948">
        <v>41.319999999999993</v>
      </c>
      <c r="AH577" s="1948">
        <v>398.4</v>
      </c>
      <c r="AI577" s="1948">
        <v>0.81299999999999994</v>
      </c>
      <c r="AJ577" s="1948">
        <v>31.59</v>
      </c>
      <c r="AK577" s="1948">
        <v>2819</v>
      </c>
      <c r="AL577" s="1948">
        <f t="shared" si="126"/>
        <v>18445</v>
      </c>
      <c r="AM577" s="1948">
        <f t="shared" si="127"/>
        <v>0</v>
      </c>
      <c r="AN577" s="1948">
        <v>498</v>
      </c>
      <c r="AO577" s="1948">
        <v>349.68400000000003</v>
      </c>
      <c r="AP577" s="1948">
        <v>398.4</v>
      </c>
      <c r="AQ577" s="1948">
        <v>0.88700000000000001</v>
      </c>
      <c r="AR577" s="1948">
        <v>7.76</v>
      </c>
      <c r="AS577" s="1948">
        <v>20178</v>
      </c>
      <c r="AT577" s="1948">
        <f t="shared" si="128"/>
        <v>156099</v>
      </c>
      <c r="AU577" s="1948">
        <f t="shared" si="129"/>
        <v>0</v>
      </c>
      <c r="AV577" s="1948">
        <v>498</v>
      </c>
      <c r="AW577" s="1948">
        <v>338.38</v>
      </c>
      <c r="AX577" s="1948">
        <v>398.4</v>
      </c>
      <c r="AY577" s="1948">
        <v>0.89380000000000004</v>
      </c>
      <c r="AZ577" s="1948">
        <v>11.37</v>
      </c>
      <c r="BA577" s="1948">
        <v>27703</v>
      </c>
      <c r="BB577" s="1948">
        <f t="shared" si="130"/>
        <v>146180</v>
      </c>
      <c r="BC577" s="1948">
        <f t="shared" si="131"/>
        <v>0</v>
      </c>
      <c r="BD577" s="1949">
        <v>498</v>
      </c>
      <c r="BE577" s="1948">
        <v>279.94</v>
      </c>
      <c r="BF577" s="1949">
        <v>398.4</v>
      </c>
      <c r="BG577" s="1949">
        <v>0.88700000000000001</v>
      </c>
      <c r="BH577" s="1949">
        <v>15.13</v>
      </c>
      <c r="BI577" s="1948">
        <v>31517</v>
      </c>
      <c r="BJ577" s="1948">
        <f t="shared" si="132"/>
        <v>124965</v>
      </c>
      <c r="BK577" s="1948">
        <f t="shared" si="133"/>
        <v>0</v>
      </c>
    </row>
    <row r="578" spans="1:63" ht="15">
      <c r="A578" s="1946">
        <v>124000000004</v>
      </c>
      <c r="B578" s="1947">
        <f t="shared" si="134"/>
        <v>572</v>
      </c>
      <c r="C578" s="1906" t="s">
        <v>3590</v>
      </c>
      <c r="D578" s="1907" t="s">
        <v>524</v>
      </c>
      <c r="E578" s="1906" t="s">
        <v>541</v>
      </c>
      <c r="F578" s="1948" t="s">
        <v>259</v>
      </c>
      <c r="G578" s="1949">
        <v>500</v>
      </c>
      <c r="H578" s="1948">
        <v>500</v>
      </c>
      <c r="I578" s="1950">
        <v>505.44</v>
      </c>
      <c r="J578" s="1948">
        <v>505.44</v>
      </c>
      <c r="K578" s="1948">
        <v>0.94210000000000005</v>
      </c>
      <c r="L578" s="1948">
        <v>32.9</v>
      </c>
      <c r="M578" s="1948">
        <v>143658</v>
      </c>
      <c r="N578" s="1948">
        <f t="shared" si="120"/>
        <v>218350</v>
      </c>
      <c r="O578" s="1948">
        <f t="shared" si="121"/>
        <v>0</v>
      </c>
      <c r="P578" s="1948">
        <v>500</v>
      </c>
      <c r="Q578" s="1948">
        <v>526.56000000000006</v>
      </c>
      <c r="R578" s="1948">
        <v>526.55999999999995</v>
      </c>
      <c r="S578" s="1948">
        <v>0.93400000000000005</v>
      </c>
      <c r="T578" s="1948">
        <v>37.54</v>
      </c>
      <c r="U578" s="1948">
        <v>147078</v>
      </c>
      <c r="V578" s="1948">
        <f t="shared" si="122"/>
        <v>235056</v>
      </c>
      <c r="W578" s="1948">
        <f t="shared" si="123"/>
        <v>0</v>
      </c>
      <c r="X578" s="1948">
        <v>500</v>
      </c>
      <c r="Y578" s="1948">
        <v>505.44</v>
      </c>
      <c r="Z578" s="1948">
        <v>505.44</v>
      </c>
      <c r="AA578" s="1948">
        <v>0.93220000000000003</v>
      </c>
      <c r="AB578" s="1948">
        <v>36.770000000000003</v>
      </c>
      <c r="AC578" s="1948">
        <v>133812</v>
      </c>
      <c r="AD578" s="1948">
        <f t="shared" si="124"/>
        <v>218350</v>
      </c>
      <c r="AE578" s="1948">
        <f t="shared" si="125"/>
        <v>0</v>
      </c>
      <c r="AF578" s="1948">
        <v>500</v>
      </c>
      <c r="AG578" s="1948">
        <v>456.48</v>
      </c>
      <c r="AH578" s="1948">
        <v>456.48</v>
      </c>
      <c r="AI578" s="1948">
        <v>0.9395</v>
      </c>
      <c r="AJ578" s="1948">
        <v>38.22</v>
      </c>
      <c r="AK578" s="1948">
        <v>129792</v>
      </c>
      <c r="AL578" s="1948">
        <f t="shared" si="126"/>
        <v>203773</v>
      </c>
      <c r="AM578" s="1948">
        <f t="shared" si="127"/>
        <v>0</v>
      </c>
      <c r="AN578" s="1948">
        <v>500</v>
      </c>
      <c r="AO578" s="1948">
        <v>496.79999999999995</v>
      </c>
      <c r="AP578" s="1948">
        <v>496.8</v>
      </c>
      <c r="AQ578" s="1948">
        <v>0.92920000000000003</v>
      </c>
      <c r="AR578" s="1948">
        <v>37.700000000000003</v>
      </c>
      <c r="AS578" s="1948">
        <v>139344</v>
      </c>
      <c r="AT578" s="1948">
        <f t="shared" si="128"/>
        <v>221772</v>
      </c>
      <c r="AU578" s="1948">
        <f t="shared" si="129"/>
        <v>0</v>
      </c>
      <c r="AV578" s="1948">
        <v>500</v>
      </c>
      <c r="AW578" s="1948">
        <v>537.12</v>
      </c>
      <c r="AX578" s="1948">
        <v>537.12</v>
      </c>
      <c r="AY578" s="1948">
        <v>0.91920000000000002</v>
      </c>
      <c r="AZ578" s="1948">
        <v>39.729999999999997</v>
      </c>
      <c r="BA578" s="1948">
        <v>153630</v>
      </c>
      <c r="BB578" s="1948">
        <f t="shared" si="130"/>
        <v>232036</v>
      </c>
      <c r="BC578" s="1948">
        <f t="shared" si="131"/>
        <v>0</v>
      </c>
      <c r="BD578" s="1949">
        <v>500</v>
      </c>
      <c r="BE578" s="1948">
        <v>564</v>
      </c>
      <c r="BF578" s="1949">
        <v>564</v>
      </c>
      <c r="BG578" s="1949">
        <v>0.91369999999999996</v>
      </c>
      <c r="BH578" s="1949">
        <v>40.64</v>
      </c>
      <c r="BI578" s="1948">
        <v>170514</v>
      </c>
      <c r="BJ578" s="1948">
        <f t="shared" si="132"/>
        <v>251770</v>
      </c>
      <c r="BK578" s="1948">
        <f t="shared" si="133"/>
        <v>0</v>
      </c>
    </row>
    <row r="579" spans="1:63" ht="15">
      <c r="A579" s="1946">
        <v>125000000045</v>
      </c>
      <c r="B579" s="1947">
        <f t="shared" si="134"/>
        <v>573</v>
      </c>
      <c r="C579" s="1906" t="s">
        <v>3419</v>
      </c>
      <c r="D579" s="1907" t="s">
        <v>524</v>
      </c>
      <c r="E579" s="1906" t="s">
        <v>541</v>
      </c>
      <c r="F579" s="1948" t="s">
        <v>259</v>
      </c>
      <c r="G579" s="1949">
        <v>500</v>
      </c>
      <c r="H579" s="1948">
        <v>500</v>
      </c>
      <c r="I579" s="1950">
        <v>816.00000000000011</v>
      </c>
      <c r="J579" s="1948">
        <v>816</v>
      </c>
      <c r="K579" s="1948">
        <v>0.998</v>
      </c>
      <c r="L579" s="1948">
        <v>61.07</v>
      </c>
      <c r="M579" s="1948">
        <v>358797</v>
      </c>
      <c r="N579" s="1948">
        <f t="shared" si="120"/>
        <v>352512</v>
      </c>
      <c r="O579" s="1948">
        <f t="shared" si="121"/>
        <v>6285</v>
      </c>
      <c r="P579" s="1948">
        <v>500</v>
      </c>
      <c r="Q579" s="1948">
        <v>854.16</v>
      </c>
      <c r="R579" s="1948">
        <v>854.16</v>
      </c>
      <c r="S579" s="1948">
        <v>0.99660000000000004</v>
      </c>
      <c r="T579" s="1948">
        <v>63.24</v>
      </c>
      <c r="U579" s="1948">
        <v>401883</v>
      </c>
      <c r="V579" s="1948">
        <f t="shared" si="122"/>
        <v>381297</v>
      </c>
      <c r="W579" s="1948">
        <f t="shared" si="123"/>
        <v>20586</v>
      </c>
      <c r="X579" s="1948">
        <v>500</v>
      </c>
      <c r="Y579" s="1948">
        <v>753.12</v>
      </c>
      <c r="Z579" s="1948">
        <v>753.12</v>
      </c>
      <c r="AA579" s="1948">
        <v>0.99880000000000002</v>
      </c>
      <c r="AB579" s="1948">
        <v>78.540000000000006</v>
      </c>
      <c r="AC579" s="1948">
        <v>425880</v>
      </c>
      <c r="AD579" s="1948">
        <f t="shared" si="124"/>
        <v>325348</v>
      </c>
      <c r="AE579" s="1948">
        <f t="shared" si="125"/>
        <v>100532</v>
      </c>
      <c r="AF579" s="1948">
        <v>500</v>
      </c>
      <c r="AG579" s="1948">
        <v>770.64</v>
      </c>
      <c r="AH579" s="1948">
        <v>770.64</v>
      </c>
      <c r="AI579" s="1948">
        <v>0.99970000000000003</v>
      </c>
      <c r="AJ579" s="1948">
        <v>79.31</v>
      </c>
      <c r="AK579" s="1948">
        <v>454713</v>
      </c>
      <c r="AL579" s="1948">
        <f t="shared" si="126"/>
        <v>344014</v>
      </c>
      <c r="AM579" s="1948">
        <f t="shared" si="127"/>
        <v>110699</v>
      </c>
      <c r="AN579" s="1948">
        <v>500</v>
      </c>
      <c r="AO579" s="1948">
        <v>704.16</v>
      </c>
      <c r="AP579" s="1948">
        <v>704.16</v>
      </c>
      <c r="AQ579" s="1948">
        <v>0.99980000000000002</v>
      </c>
      <c r="AR579" s="1948">
        <v>73.349999999999994</v>
      </c>
      <c r="AS579" s="1948">
        <v>384294</v>
      </c>
      <c r="AT579" s="1948">
        <f t="shared" si="128"/>
        <v>314337</v>
      </c>
      <c r="AU579" s="1948">
        <f t="shared" si="129"/>
        <v>69957</v>
      </c>
      <c r="AV579" s="1948">
        <v>500</v>
      </c>
      <c r="AW579" s="1948">
        <v>892.32</v>
      </c>
      <c r="AX579" s="1948">
        <v>892.32</v>
      </c>
      <c r="AY579" s="1948">
        <v>0.99870000000000003</v>
      </c>
      <c r="AZ579" s="1948">
        <v>66.63</v>
      </c>
      <c r="BA579" s="1948">
        <v>428091</v>
      </c>
      <c r="BB579" s="1948">
        <f t="shared" si="130"/>
        <v>385482</v>
      </c>
      <c r="BC579" s="1948">
        <f t="shared" si="131"/>
        <v>42609</v>
      </c>
      <c r="BD579" s="1949">
        <v>500</v>
      </c>
      <c r="BE579" s="1948">
        <v>789.84</v>
      </c>
      <c r="BF579" s="1949">
        <v>789.84</v>
      </c>
      <c r="BG579" s="1949">
        <v>0.99960000000000004</v>
      </c>
      <c r="BH579" s="1949">
        <v>77.72</v>
      </c>
      <c r="BI579" s="1948">
        <v>456702</v>
      </c>
      <c r="BJ579" s="1948">
        <f t="shared" si="132"/>
        <v>352585</v>
      </c>
      <c r="BK579" s="1948">
        <f t="shared" si="133"/>
        <v>104117</v>
      </c>
    </row>
    <row r="580" spans="1:63" ht="15">
      <c r="A580" s="1946">
        <v>121000000002</v>
      </c>
      <c r="B580" s="1947">
        <f t="shared" si="134"/>
        <v>574</v>
      </c>
      <c r="C580" s="1906" t="s">
        <v>3420</v>
      </c>
      <c r="D580" s="1907" t="s">
        <v>524</v>
      </c>
      <c r="E580" s="1906" t="s">
        <v>636</v>
      </c>
      <c r="F580" s="1948" t="s">
        <v>259</v>
      </c>
      <c r="G580" s="1949">
        <v>500</v>
      </c>
      <c r="H580" s="1948">
        <v>500</v>
      </c>
      <c r="I580" s="1950">
        <v>220.32000000000002</v>
      </c>
      <c r="J580" s="1948">
        <v>400</v>
      </c>
      <c r="K580" s="1948">
        <v>0.96579999999999999</v>
      </c>
      <c r="L580" s="1948">
        <v>47.88</v>
      </c>
      <c r="M580" s="1948">
        <v>75960</v>
      </c>
      <c r="N580" s="1948">
        <f t="shared" si="120"/>
        <v>95178</v>
      </c>
      <c r="O580" s="1948">
        <f t="shared" si="121"/>
        <v>0</v>
      </c>
      <c r="P580" s="1948">
        <v>500</v>
      </c>
      <c r="Q580" s="1948">
        <v>287.52</v>
      </c>
      <c r="R580" s="1948">
        <v>400</v>
      </c>
      <c r="S580" s="1948">
        <v>0.96679999999999999</v>
      </c>
      <c r="T580" s="1948">
        <v>37.96</v>
      </c>
      <c r="U580" s="1948">
        <v>81207</v>
      </c>
      <c r="V580" s="1948">
        <f t="shared" si="122"/>
        <v>128349</v>
      </c>
      <c r="W580" s="1948">
        <f t="shared" si="123"/>
        <v>0</v>
      </c>
      <c r="X580" s="1948">
        <v>500</v>
      </c>
      <c r="Y580" s="1948">
        <v>298.56</v>
      </c>
      <c r="Z580" s="1948">
        <v>400</v>
      </c>
      <c r="AA580" s="1948">
        <v>0.96260000000000001</v>
      </c>
      <c r="AB580" s="1948">
        <v>41.79</v>
      </c>
      <c r="AC580" s="1948">
        <v>89832</v>
      </c>
      <c r="AD580" s="1948">
        <f t="shared" si="124"/>
        <v>128978</v>
      </c>
      <c r="AE580" s="1948">
        <f t="shared" si="125"/>
        <v>0</v>
      </c>
      <c r="AF580" s="1948">
        <v>500</v>
      </c>
      <c r="AG580" s="1948">
        <v>255.35999999999999</v>
      </c>
      <c r="AH580" s="1948">
        <v>400</v>
      </c>
      <c r="AI580" s="1948">
        <v>0.96099999999999997</v>
      </c>
      <c r="AJ580" s="1948">
        <v>40.409999999999997</v>
      </c>
      <c r="AK580" s="1948">
        <v>76770</v>
      </c>
      <c r="AL580" s="1948">
        <f t="shared" si="126"/>
        <v>113993</v>
      </c>
      <c r="AM580" s="1948">
        <f t="shared" si="127"/>
        <v>0</v>
      </c>
      <c r="AN580" s="1948">
        <v>500</v>
      </c>
      <c r="AO580" s="1948">
        <v>177.35999999999999</v>
      </c>
      <c r="AP580" s="1948">
        <v>400</v>
      </c>
      <c r="AQ580" s="1948">
        <v>0.95660000000000001</v>
      </c>
      <c r="AR580" s="1948">
        <v>54.79</v>
      </c>
      <c r="AS580" s="1948">
        <v>72297</v>
      </c>
      <c r="AT580" s="1948">
        <f t="shared" si="128"/>
        <v>79174</v>
      </c>
      <c r="AU580" s="1948">
        <f t="shared" si="129"/>
        <v>0</v>
      </c>
      <c r="AV580" s="1948">
        <v>500</v>
      </c>
      <c r="AW580" s="1948">
        <v>266.64</v>
      </c>
      <c r="AX580" s="1948">
        <v>400</v>
      </c>
      <c r="AY580" s="1948">
        <v>0.95940000000000003</v>
      </c>
      <c r="AZ580" s="1948">
        <v>40</v>
      </c>
      <c r="BA580" s="1948">
        <v>76797</v>
      </c>
      <c r="BB580" s="1948">
        <f t="shared" si="130"/>
        <v>115188</v>
      </c>
      <c r="BC580" s="1948">
        <f t="shared" si="131"/>
        <v>0</v>
      </c>
      <c r="BD580" s="1949">
        <v>500</v>
      </c>
      <c r="BE580" s="1948">
        <v>227.51999999999998</v>
      </c>
      <c r="BF580" s="1949">
        <v>400</v>
      </c>
      <c r="BG580" s="1949">
        <v>0.95109999999999995</v>
      </c>
      <c r="BH580" s="1949">
        <v>44.6</v>
      </c>
      <c r="BI580" s="1948">
        <v>75504</v>
      </c>
      <c r="BJ580" s="1948">
        <f t="shared" si="132"/>
        <v>101565</v>
      </c>
      <c r="BK580" s="1948">
        <f t="shared" si="133"/>
        <v>0</v>
      </c>
    </row>
    <row r="581" spans="1:63" ht="15">
      <c r="A581" s="1946">
        <v>611000000085</v>
      </c>
      <c r="B581" s="1947">
        <f t="shared" si="134"/>
        <v>575</v>
      </c>
      <c r="C581" s="1906" t="s">
        <v>3591</v>
      </c>
      <c r="D581" s="1907" t="s">
        <v>524</v>
      </c>
      <c r="E581" s="1906" t="s">
        <v>636</v>
      </c>
      <c r="F581" s="1948" t="s">
        <v>259</v>
      </c>
      <c r="G581" s="1949">
        <v>500</v>
      </c>
      <c r="H581" s="1948">
        <v>500</v>
      </c>
      <c r="I581" s="1950">
        <v>361.91999999999996</v>
      </c>
      <c r="J581" s="1948">
        <v>480</v>
      </c>
      <c r="K581" s="1948">
        <v>0.98109999999999997</v>
      </c>
      <c r="L581" s="1948">
        <v>45.28</v>
      </c>
      <c r="M581" s="1948">
        <v>117990</v>
      </c>
      <c r="N581" s="1948">
        <f t="shared" si="120"/>
        <v>156349</v>
      </c>
      <c r="O581" s="1948">
        <f t="shared" si="121"/>
        <v>0</v>
      </c>
      <c r="P581" s="1948">
        <v>500</v>
      </c>
      <c r="Q581" s="1948">
        <v>432.48</v>
      </c>
      <c r="R581" s="1948">
        <v>432.48</v>
      </c>
      <c r="S581" s="1948">
        <v>0.97409999999999997</v>
      </c>
      <c r="T581" s="1948">
        <v>46.62</v>
      </c>
      <c r="U581" s="1948">
        <v>150018</v>
      </c>
      <c r="V581" s="1948">
        <f t="shared" si="122"/>
        <v>193059</v>
      </c>
      <c r="W581" s="1948">
        <f t="shared" si="123"/>
        <v>0</v>
      </c>
      <c r="X581" s="1948">
        <v>500</v>
      </c>
      <c r="Y581" s="1948">
        <v>409.92</v>
      </c>
      <c r="Z581" s="1948">
        <v>409.92</v>
      </c>
      <c r="AA581" s="1948">
        <v>0.97089999999999999</v>
      </c>
      <c r="AB581" s="1948">
        <v>53.88</v>
      </c>
      <c r="AC581" s="1948">
        <v>159012</v>
      </c>
      <c r="AD581" s="1948">
        <f t="shared" si="124"/>
        <v>177085</v>
      </c>
      <c r="AE581" s="1948">
        <f t="shared" si="125"/>
        <v>0</v>
      </c>
      <c r="AF581" s="1948">
        <v>500</v>
      </c>
      <c r="AG581" s="1948">
        <v>420</v>
      </c>
      <c r="AH581" s="1948">
        <v>420</v>
      </c>
      <c r="AI581" s="1948">
        <v>0.9698</v>
      </c>
      <c r="AJ581" s="1948">
        <v>46.97</v>
      </c>
      <c r="AK581" s="1948">
        <v>146760</v>
      </c>
      <c r="AL581" s="1948">
        <f t="shared" si="126"/>
        <v>187488</v>
      </c>
      <c r="AM581" s="1948">
        <f t="shared" si="127"/>
        <v>0</v>
      </c>
      <c r="AN581" s="1948">
        <v>500</v>
      </c>
      <c r="AO581" s="1948">
        <v>408.00000000000006</v>
      </c>
      <c r="AP581" s="1948">
        <v>408</v>
      </c>
      <c r="AQ581" s="1948">
        <v>0.98019999999999996</v>
      </c>
      <c r="AR581" s="1948">
        <v>49.53</v>
      </c>
      <c r="AS581" s="1948">
        <v>150342</v>
      </c>
      <c r="AT581" s="1948">
        <f t="shared" si="128"/>
        <v>182131</v>
      </c>
      <c r="AU581" s="1948">
        <f t="shared" si="129"/>
        <v>0</v>
      </c>
      <c r="AV581" s="1948">
        <v>500</v>
      </c>
      <c r="AW581" s="1948">
        <v>445.43999999999994</v>
      </c>
      <c r="AX581" s="1948">
        <v>445.44</v>
      </c>
      <c r="AY581" s="1948">
        <v>0.98</v>
      </c>
      <c r="AZ581" s="1948">
        <v>49.7</v>
      </c>
      <c r="BA581" s="1948">
        <v>159384</v>
      </c>
      <c r="BB581" s="1948">
        <f t="shared" si="130"/>
        <v>192430</v>
      </c>
      <c r="BC581" s="1948">
        <f t="shared" si="131"/>
        <v>0</v>
      </c>
      <c r="BD581" s="1949">
        <v>500</v>
      </c>
      <c r="BE581" s="1948">
        <v>442.56</v>
      </c>
      <c r="BF581" s="1949">
        <v>442.56</v>
      </c>
      <c r="BG581" s="1949">
        <v>0.98270000000000002</v>
      </c>
      <c r="BH581" s="1949">
        <v>46.9</v>
      </c>
      <c r="BI581" s="1948">
        <v>154410</v>
      </c>
      <c r="BJ581" s="1948">
        <f t="shared" si="132"/>
        <v>197559</v>
      </c>
      <c r="BK581" s="1948">
        <f t="shared" si="133"/>
        <v>0</v>
      </c>
    </row>
    <row r="582" spans="1:63" ht="15">
      <c r="A582" s="1946">
        <v>613000000006</v>
      </c>
      <c r="B582" s="1947">
        <f t="shared" si="134"/>
        <v>576</v>
      </c>
      <c r="C582" s="1906" t="s">
        <v>3425</v>
      </c>
      <c r="D582" s="1907" t="s">
        <v>524</v>
      </c>
      <c r="E582" s="1906" t="s">
        <v>541</v>
      </c>
      <c r="F582" s="1948" t="s">
        <v>259</v>
      </c>
      <c r="G582" s="1949">
        <v>500</v>
      </c>
      <c r="H582" s="1948">
        <v>500</v>
      </c>
      <c r="I582" s="1950">
        <v>594.48</v>
      </c>
      <c r="J582" s="1948">
        <v>594.48</v>
      </c>
      <c r="K582" s="1948">
        <v>0.83540000000000003</v>
      </c>
      <c r="L582" s="1948">
        <v>43.93</v>
      </c>
      <c r="M582" s="1948">
        <v>188046</v>
      </c>
      <c r="N582" s="1948">
        <f t="shared" si="120"/>
        <v>256815</v>
      </c>
      <c r="O582" s="1948">
        <f t="shared" si="121"/>
        <v>0</v>
      </c>
      <c r="P582" s="1948">
        <v>500</v>
      </c>
      <c r="Q582" s="1948">
        <v>521.04</v>
      </c>
      <c r="R582" s="1948">
        <v>521.04</v>
      </c>
      <c r="S582" s="1948">
        <v>0.92579999999999996</v>
      </c>
      <c r="T582" s="1948">
        <v>37.17</v>
      </c>
      <c r="U582" s="1948">
        <v>139431</v>
      </c>
      <c r="V582" s="1948">
        <f t="shared" si="122"/>
        <v>232592</v>
      </c>
      <c r="W582" s="1948">
        <f t="shared" si="123"/>
        <v>0</v>
      </c>
      <c r="X582" s="1948">
        <v>500</v>
      </c>
      <c r="Y582" s="1948">
        <v>632.64</v>
      </c>
      <c r="Z582" s="1948">
        <v>632.64</v>
      </c>
      <c r="AA582" s="1948">
        <v>0.84340000000000004</v>
      </c>
      <c r="AB582" s="1948">
        <v>31.87</v>
      </c>
      <c r="AC582" s="1948">
        <v>149991</v>
      </c>
      <c r="AD582" s="1948">
        <f t="shared" si="124"/>
        <v>273300</v>
      </c>
      <c r="AE582" s="1948">
        <f t="shared" si="125"/>
        <v>0</v>
      </c>
      <c r="AF582" s="1948">
        <v>500</v>
      </c>
      <c r="AG582" s="1948">
        <v>654.95999999999992</v>
      </c>
      <c r="AH582" s="1948">
        <v>654.96</v>
      </c>
      <c r="AI582" s="1948">
        <v>0.82640000000000002</v>
      </c>
      <c r="AJ582" s="1948">
        <v>35.08</v>
      </c>
      <c r="AK582" s="1948">
        <v>170932.11069999999</v>
      </c>
      <c r="AL582" s="1948">
        <f t="shared" si="126"/>
        <v>292374</v>
      </c>
      <c r="AM582" s="1948">
        <f t="shared" si="127"/>
        <v>0</v>
      </c>
      <c r="AN582" s="1948">
        <v>500</v>
      </c>
      <c r="AO582" s="1948">
        <v>645.84</v>
      </c>
      <c r="AP582" s="1948">
        <v>645.84</v>
      </c>
      <c r="AQ582" s="1948">
        <v>0.84340000000000004</v>
      </c>
      <c r="AR582" s="1948">
        <v>37</v>
      </c>
      <c r="AS582" s="1948">
        <v>177792</v>
      </c>
      <c r="AT582" s="1948">
        <f t="shared" si="128"/>
        <v>288303</v>
      </c>
      <c r="AU582" s="1948">
        <f t="shared" si="129"/>
        <v>0</v>
      </c>
      <c r="AV582" s="1948">
        <v>500</v>
      </c>
      <c r="AW582" s="1948">
        <v>614.88</v>
      </c>
      <c r="AX582" s="1948">
        <v>614.88</v>
      </c>
      <c r="AY582" s="1948">
        <v>0.83169999999999999</v>
      </c>
      <c r="AZ582" s="1948">
        <v>44.28</v>
      </c>
      <c r="BA582" s="1948">
        <v>196029</v>
      </c>
      <c r="BB582" s="1948">
        <f t="shared" si="130"/>
        <v>265628</v>
      </c>
      <c r="BC582" s="1948">
        <f t="shared" si="131"/>
        <v>0</v>
      </c>
      <c r="BD582" s="1949">
        <v>500</v>
      </c>
      <c r="BE582" s="1948">
        <v>610.07999999999993</v>
      </c>
      <c r="BF582" s="1949">
        <v>610.08000000000004</v>
      </c>
      <c r="BG582" s="1949">
        <v>0.83120000000000005</v>
      </c>
      <c r="BH582" s="1949">
        <v>39.22</v>
      </c>
      <c r="BI582" s="1948">
        <v>178011</v>
      </c>
      <c r="BJ582" s="1948">
        <f t="shared" si="132"/>
        <v>272340</v>
      </c>
      <c r="BK582" s="1948">
        <f t="shared" si="133"/>
        <v>0</v>
      </c>
    </row>
    <row r="583" spans="1:63" ht="15">
      <c r="A583" s="1946">
        <v>622000000011</v>
      </c>
      <c r="B583" s="1947">
        <f t="shared" si="134"/>
        <v>577</v>
      </c>
      <c r="C583" s="1906" t="s">
        <v>3423</v>
      </c>
      <c r="D583" s="1907" t="s">
        <v>524</v>
      </c>
      <c r="E583" s="1906" t="s">
        <v>629</v>
      </c>
      <c r="F583" s="1948" t="s">
        <v>259</v>
      </c>
      <c r="G583" s="1949">
        <v>500</v>
      </c>
      <c r="H583" s="1948">
        <v>500</v>
      </c>
      <c r="I583" s="1950">
        <v>197.2</v>
      </c>
      <c r="J583" s="1948">
        <v>500</v>
      </c>
      <c r="K583" s="1948">
        <v>0.98470000000000002</v>
      </c>
      <c r="L583" s="1948">
        <v>0</v>
      </c>
      <c r="M583" s="1948">
        <v>84030</v>
      </c>
      <c r="N583" s="1948">
        <f t="shared" ref="N583:N646" si="135">+ROUND(24*30*0.6*I583,0)</f>
        <v>85190</v>
      </c>
      <c r="O583" s="1948">
        <f t="shared" ref="O583:O646" si="136">+MAX((M583-N583),0)</f>
        <v>0</v>
      </c>
      <c r="P583" s="1948">
        <v>500</v>
      </c>
      <c r="Q583" s="1948">
        <v>206.8</v>
      </c>
      <c r="R583" s="1948">
        <v>500</v>
      </c>
      <c r="S583" s="1948">
        <v>0.99229999999999996</v>
      </c>
      <c r="T583" s="1948">
        <v>0</v>
      </c>
      <c r="U583" s="1948">
        <v>87760</v>
      </c>
      <c r="V583" s="1948">
        <f t="shared" ref="V583:V646" si="137">+ROUND(24*31*0.6*Q583,0)</f>
        <v>92316</v>
      </c>
      <c r="W583" s="1948">
        <f t="shared" ref="W583:W646" si="138">+MAX((U583-V583),0)</f>
        <v>0</v>
      </c>
      <c r="X583" s="1948">
        <v>500</v>
      </c>
      <c r="Y583" s="1948">
        <v>206</v>
      </c>
      <c r="Z583" s="1948">
        <v>500</v>
      </c>
      <c r="AA583" s="1948">
        <v>0.99319999999999997</v>
      </c>
      <c r="AB583" s="1948">
        <v>0</v>
      </c>
      <c r="AC583" s="1948">
        <v>88605</v>
      </c>
      <c r="AD583" s="1948">
        <f t="shared" ref="AD583:AD646" si="139">+ROUND(24*30*0.6*Y583,0)</f>
        <v>88992</v>
      </c>
      <c r="AE583" s="1948">
        <f t="shared" ref="AE583:AE646" si="140">+MAX((AC583-AD583),0)</f>
        <v>0</v>
      </c>
      <c r="AF583" s="1948">
        <v>500</v>
      </c>
      <c r="AG583" s="1948">
        <v>211.60000000000002</v>
      </c>
      <c r="AH583" s="1948">
        <v>500</v>
      </c>
      <c r="AI583" s="1948">
        <v>0.99029999999999996</v>
      </c>
      <c r="AJ583" s="1948">
        <v>0</v>
      </c>
      <c r="AK583" s="1948">
        <v>85750</v>
      </c>
      <c r="AL583" s="1948">
        <f t="shared" ref="AL583:AL646" si="141">+ROUND(24*31*0.6*AG583,0)</f>
        <v>94458</v>
      </c>
      <c r="AM583" s="1948">
        <f t="shared" ref="AM583:AM646" si="142">+MAX((AK583-AL583),0)</f>
        <v>0</v>
      </c>
      <c r="AN583" s="1948">
        <v>500</v>
      </c>
      <c r="AO583" s="1948">
        <v>208.8</v>
      </c>
      <c r="AP583" s="1948">
        <v>500</v>
      </c>
      <c r="AQ583" s="1948">
        <v>0.98170000000000002</v>
      </c>
      <c r="AR583" s="1948">
        <v>0</v>
      </c>
      <c r="AS583" s="1948">
        <v>83515</v>
      </c>
      <c r="AT583" s="1948">
        <f t="shared" ref="AT583:AT646" si="143">+ROUND(24*31*0.6*AO583,0)</f>
        <v>93208</v>
      </c>
      <c r="AU583" s="1948">
        <f t="shared" ref="AU583:AU646" si="144">+MAX((AS583-AT583),0)</f>
        <v>0</v>
      </c>
      <c r="AV583" s="1948">
        <v>500</v>
      </c>
      <c r="AW583" s="1948">
        <v>222.8</v>
      </c>
      <c r="AX583" s="1948">
        <v>500</v>
      </c>
      <c r="AY583" s="1948">
        <v>0.98760000000000003</v>
      </c>
      <c r="AZ583" s="1948">
        <v>0</v>
      </c>
      <c r="BA583" s="1948">
        <v>82925</v>
      </c>
      <c r="BB583" s="1948">
        <f t="shared" ref="BB583:BB646" si="145">+ROUND(24*30*0.6*AW583,0)</f>
        <v>96250</v>
      </c>
      <c r="BC583" s="1948">
        <f t="shared" ref="BC583:BC646" si="146">+MAX((BA583-BB583),0)</f>
        <v>0</v>
      </c>
      <c r="BD583" s="1949">
        <v>500</v>
      </c>
      <c r="BE583" s="1948">
        <v>188</v>
      </c>
      <c r="BF583" s="1949">
        <v>500</v>
      </c>
      <c r="BG583" s="1949">
        <v>0.98660000000000003</v>
      </c>
      <c r="BH583" s="1949">
        <v>0</v>
      </c>
      <c r="BI583" s="1948">
        <v>86040</v>
      </c>
      <c r="BJ583" s="1948">
        <f t="shared" ref="BJ583:BJ646" si="147">+ROUND(24*31*0.6*BE583,0)</f>
        <v>83923</v>
      </c>
      <c r="BK583" s="1948">
        <f t="shared" ref="BK583:BK646" si="148">+MAX((BI583-BJ583),0)</f>
        <v>2117</v>
      </c>
    </row>
    <row r="584" spans="1:63" ht="15">
      <c r="A584" s="1946">
        <v>622000000140</v>
      </c>
      <c r="B584" s="1947">
        <f t="shared" si="134"/>
        <v>578</v>
      </c>
      <c r="C584" s="1906" t="s">
        <v>3424</v>
      </c>
      <c r="D584" s="1907" t="s">
        <v>524</v>
      </c>
      <c r="E584" s="1906" t="s">
        <v>541</v>
      </c>
      <c r="F584" s="1948" t="s">
        <v>259</v>
      </c>
      <c r="G584" s="1949">
        <v>500</v>
      </c>
      <c r="H584" s="1948">
        <v>500</v>
      </c>
      <c r="I584" s="1950">
        <v>104.4</v>
      </c>
      <c r="J584" s="1948">
        <v>400</v>
      </c>
      <c r="K584" s="1948">
        <v>0.93330000000000002</v>
      </c>
      <c r="L584" s="1948">
        <v>64.69</v>
      </c>
      <c r="M584" s="1948">
        <v>58352</v>
      </c>
      <c r="N584" s="1948">
        <f t="shared" si="135"/>
        <v>45101</v>
      </c>
      <c r="O584" s="1948">
        <f t="shared" si="136"/>
        <v>13251</v>
      </c>
      <c r="P584" s="1948">
        <v>500</v>
      </c>
      <c r="Q584" s="1948">
        <v>119.16</v>
      </c>
      <c r="R584" s="1948">
        <v>400</v>
      </c>
      <c r="S584" s="1948">
        <v>0.92779999999999996</v>
      </c>
      <c r="T584" s="1948">
        <v>65.16</v>
      </c>
      <c r="U584" s="1948">
        <v>44721</v>
      </c>
      <c r="V584" s="1948">
        <f t="shared" si="137"/>
        <v>53193</v>
      </c>
      <c r="W584" s="1948">
        <f t="shared" si="138"/>
        <v>0</v>
      </c>
      <c r="X584" s="1948">
        <v>500</v>
      </c>
      <c r="Y584" s="1948">
        <v>130.68</v>
      </c>
      <c r="Z584" s="1948">
        <v>400</v>
      </c>
      <c r="AA584" s="1948">
        <v>0.92679999999999996</v>
      </c>
      <c r="AB584" s="1948">
        <v>56.88</v>
      </c>
      <c r="AC584" s="1948">
        <v>62438</v>
      </c>
      <c r="AD584" s="1948">
        <f t="shared" si="139"/>
        <v>56454</v>
      </c>
      <c r="AE584" s="1948">
        <f t="shared" si="140"/>
        <v>5984</v>
      </c>
      <c r="AF584" s="1948">
        <v>500</v>
      </c>
      <c r="AG584" s="1948">
        <v>102.60000000000001</v>
      </c>
      <c r="AH584" s="1948">
        <v>400</v>
      </c>
      <c r="AI584" s="1948">
        <v>0.95830000000000004</v>
      </c>
      <c r="AJ584" s="1948">
        <v>54.02</v>
      </c>
      <c r="AK584" s="1948">
        <v>45229</v>
      </c>
      <c r="AL584" s="1948">
        <f t="shared" si="141"/>
        <v>45801</v>
      </c>
      <c r="AM584" s="1948">
        <f t="shared" si="142"/>
        <v>0</v>
      </c>
      <c r="AN584" s="1948">
        <v>500</v>
      </c>
      <c r="AO584" s="1948">
        <v>84.6</v>
      </c>
      <c r="AP584" s="1948">
        <v>400</v>
      </c>
      <c r="AQ584" s="1948">
        <v>0.99150000000000005</v>
      </c>
      <c r="AR584" s="1948">
        <v>58.98</v>
      </c>
      <c r="AS584" s="1948">
        <v>37125</v>
      </c>
      <c r="AT584" s="1948">
        <f t="shared" si="143"/>
        <v>37765</v>
      </c>
      <c r="AU584" s="1948">
        <f t="shared" si="144"/>
        <v>0</v>
      </c>
      <c r="AV584" s="1948">
        <v>500</v>
      </c>
      <c r="AW584" s="1948">
        <v>119.16</v>
      </c>
      <c r="AX584" s="1948">
        <v>400</v>
      </c>
      <c r="AY584" s="1948">
        <v>0.97430000000000005</v>
      </c>
      <c r="AZ584" s="1948">
        <v>50.32</v>
      </c>
      <c r="BA584" s="1948">
        <v>43168</v>
      </c>
      <c r="BB584" s="1948">
        <f t="shared" si="145"/>
        <v>51477</v>
      </c>
      <c r="BC584" s="1948">
        <f t="shared" si="146"/>
        <v>0</v>
      </c>
      <c r="BD584" s="1949">
        <v>500</v>
      </c>
      <c r="BE584" s="1948">
        <v>111.96</v>
      </c>
      <c r="BF584" s="1949">
        <v>400</v>
      </c>
      <c r="BG584" s="1949">
        <v>0.96089999999999998</v>
      </c>
      <c r="BH584" s="1949">
        <v>56.79</v>
      </c>
      <c r="BI584" s="1948">
        <v>47304</v>
      </c>
      <c r="BJ584" s="1948">
        <f t="shared" si="147"/>
        <v>49979</v>
      </c>
      <c r="BK584" s="1948">
        <f t="shared" si="148"/>
        <v>0</v>
      </c>
    </row>
    <row r="585" spans="1:63" ht="15">
      <c r="A585" s="1946">
        <v>622000000178</v>
      </c>
      <c r="B585" s="1947">
        <f t="shared" ref="B585:B648" si="149">+B584+1</f>
        <v>579</v>
      </c>
      <c r="C585" s="1906" t="s">
        <v>587</v>
      </c>
      <c r="D585" s="1907" t="s">
        <v>524</v>
      </c>
      <c r="E585" s="1906" t="s">
        <v>629</v>
      </c>
      <c r="F585" s="1948" t="s">
        <v>259</v>
      </c>
      <c r="G585" s="1949">
        <v>500</v>
      </c>
      <c r="H585" s="1948">
        <v>500</v>
      </c>
      <c r="I585" s="1950">
        <v>166.4</v>
      </c>
      <c r="J585" s="1948">
        <v>500</v>
      </c>
      <c r="K585" s="1948">
        <v>0.95669999999999999</v>
      </c>
      <c r="L585" s="1948">
        <v>0</v>
      </c>
      <c r="M585" s="1948">
        <v>59360</v>
      </c>
      <c r="N585" s="1948">
        <f t="shared" si="135"/>
        <v>71885</v>
      </c>
      <c r="O585" s="1948">
        <f t="shared" si="136"/>
        <v>0</v>
      </c>
      <c r="P585" s="1948">
        <v>500</v>
      </c>
      <c r="Q585" s="1948">
        <v>180.072</v>
      </c>
      <c r="R585" s="1948">
        <v>500</v>
      </c>
      <c r="S585" s="1948">
        <v>0.95520000000000005</v>
      </c>
      <c r="T585" s="1948">
        <v>0</v>
      </c>
      <c r="U585" s="1948">
        <v>71958</v>
      </c>
      <c r="V585" s="1948">
        <f t="shared" si="137"/>
        <v>80384</v>
      </c>
      <c r="W585" s="1948">
        <f t="shared" si="138"/>
        <v>0</v>
      </c>
      <c r="X585" s="1948">
        <v>500</v>
      </c>
      <c r="Y585" s="1948">
        <v>228.42</v>
      </c>
      <c r="Z585" s="1948">
        <v>500</v>
      </c>
      <c r="AA585" s="1948">
        <v>0.96230000000000004</v>
      </c>
      <c r="AB585" s="1948">
        <v>0</v>
      </c>
      <c r="AC585" s="1948">
        <v>78119</v>
      </c>
      <c r="AD585" s="1948">
        <f t="shared" si="139"/>
        <v>98677</v>
      </c>
      <c r="AE585" s="1948">
        <f t="shared" si="140"/>
        <v>0</v>
      </c>
      <c r="AF585" s="1948">
        <v>500</v>
      </c>
      <c r="AG585" s="1948">
        <v>198.28800000000001</v>
      </c>
      <c r="AH585" s="1948">
        <v>500</v>
      </c>
      <c r="AI585" s="1948">
        <v>0.95030000000000003</v>
      </c>
      <c r="AJ585" s="1948">
        <v>0</v>
      </c>
      <c r="AK585" s="1948">
        <v>65719</v>
      </c>
      <c r="AL585" s="1948">
        <f t="shared" si="141"/>
        <v>88516</v>
      </c>
      <c r="AM585" s="1948">
        <f t="shared" si="142"/>
        <v>0</v>
      </c>
      <c r="AN585" s="1948">
        <v>500</v>
      </c>
      <c r="AO585" s="1948">
        <v>174.44800000000001</v>
      </c>
      <c r="AP585" s="1948">
        <v>500</v>
      </c>
      <c r="AQ585" s="1948">
        <v>0.95350000000000001</v>
      </c>
      <c r="AR585" s="1948">
        <v>0</v>
      </c>
      <c r="AS585" s="1948">
        <v>60749</v>
      </c>
      <c r="AT585" s="1948">
        <f t="shared" si="143"/>
        <v>77874</v>
      </c>
      <c r="AU585" s="1948">
        <f t="shared" si="144"/>
        <v>0</v>
      </c>
      <c r="AV585" s="1948">
        <v>500</v>
      </c>
      <c r="AW585" s="1948">
        <v>205.33999999999997</v>
      </c>
      <c r="AX585" s="1948">
        <v>500</v>
      </c>
      <c r="AY585" s="1948">
        <v>0.95050000000000001</v>
      </c>
      <c r="AZ585" s="1948">
        <v>0</v>
      </c>
      <c r="BA585" s="1948">
        <v>62175</v>
      </c>
      <c r="BB585" s="1948">
        <f t="shared" si="145"/>
        <v>88707</v>
      </c>
      <c r="BC585" s="1948">
        <f t="shared" si="146"/>
        <v>0</v>
      </c>
      <c r="BD585" s="1949">
        <v>500</v>
      </c>
      <c r="BE585" s="1948">
        <v>162.28000000000003</v>
      </c>
      <c r="BF585" s="1949">
        <v>500</v>
      </c>
      <c r="BG585" s="1949">
        <v>0.94710000000000005</v>
      </c>
      <c r="BH585" s="1949">
        <v>0</v>
      </c>
      <c r="BI585" s="1948">
        <v>56178</v>
      </c>
      <c r="BJ585" s="1948">
        <f t="shared" si="147"/>
        <v>72442</v>
      </c>
      <c r="BK585" s="1948">
        <f t="shared" si="148"/>
        <v>0</v>
      </c>
    </row>
    <row r="586" spans="1:63" ht="15">
      <c r="A586" s="1946">
        <v>621000000041</v>
      </c>
      <c r="B586" s="1947">
        <f t="shared" si="149"/>
        <v>580</v>
      </c>
      <c r="C586" s="1953" t="s">
        <v>3426</v>
      </c>
      <c r="D586" s="1954" t="s">
        <v>524</v>
      </c>
      <c r="E586" s="1953" t="s">
        <v>636</v>
      </c>
      <c r="F586" s="1948" t="s">
        <v>259</v>
      </c>
      <c r="G586" s="1949">
        <v>500</v>
      </c>
      <c r="H586" s="1948">
        <v>500</v>
      </c>
      <c r="I586" s="1950">
        <v>276.48</v>
      </c>
      <c r="J586" s="1948">
        <v>400</v>
      </c>
      <c r="K586" s="1948">
        <v>0.98199999999999998</v>
      </c>
      <c r="L586" s="1948">
        <v>34.07</v>
      </c>
      <c r="M586" s="1948">
        <v>67830</v>
      </c>
      <c r="N586" s="1948">
        <f t="shared" si="135"/>
        <v>119439</v>
      </c>
      <c r="O586" s="1948">
        <f t="shared" si="136"/>
        <v>0</v>
      </c>
      <c r="P586" s="1948">
        <v>500</v>
      </c>
      <c r="Q586" s="1948">
        <v>275.52</v>
      </c>
      <c r="R586" s="1948">
        <v>400</v>
      </c>
      <c r="S586" s="1948">
        <v>0.98180000000000001</v>
      </c>
      <c r="T586" s="1948">
        <v>35</v>
      </c>
      <c r="U586" s="1948">
        <v>71736</v>
      </c>
      <c r="V586" s="1948">
        <f t="shared" si="137"/>
        <v>122992</v>
      </c>
      <c r="W586" s="1948">
        <f t="shared" si="138"/>
        <v>0</v>
      </c>
      <c r="X586" s="1948">
        <v>500</v>
      </c>
      <c r="Y586" s="1948">
        <v>293.52000000000004</v>
      </c>
      <c r="Z586" s="1948">
        <v>400</v>
      </c>
      <c r="AA586" s="1948">
        <v>0.98240000000000005</v>
      </c>
      <c r="AB586" s="1948">
        <v>33.159999999999997</v>
      </c>
      <c r="AC586" s="1948">
        <v>70074</v>
      </c>
      <c r="AD586" s="1948">
        <f t="shared" si="139"/>
        <v>126801</v>
      </c>
      <c r="AE586" s="1948">
        <f t="shared" si="140"/>
        <v>0</v>
      </c>
      <c r="AF586" s="1948">
        <v>500</v>
      </c>
      <c r="AG586" s="1948">
        <v>212.88</v>
      </c>
      <c r="AH586" s="1948">
        <v>400</v>
      </c>
      <c r="AI586" s="1948">
        <v>0.98250000000000004</v>
      </c>
      <c r="AJ586" s="1948">
        <v>38.32</v>
      </c>
      <c r="AK586" s="1948">
        <v>60687</v>
      </c>
      <c r="AL586" s="1948">
        <f t="shared" si="141"/>
        <v>95030</v>
      </c>
      <c r="AM586" s="1948">
        <f t="shared" si="142"/>
        <v>0</v>
      </c>
      <c r="AN586" s="1948">
        <v>500</v>
      </c>
      <c r="AO586" s="1948">
        <v>216.95999999999998</v>
      </c>
      <c r="AP586" s="1948">
        <v>400</v>
      </c>
      <c r="AQ586" s="1948">
        <v>0.98199999999999998</v>
      </c>
      <c r="AR586" s="1948">
        <v>36.11</v>
      </c>
      <c r="AS586" s="1948">
        <v>58296</v>
      </c>
      <c r="AT586" s="1948">
        <f t="shared" si="143"/>
        <v>96851</v>
      </c>
      <c r="AU586" s="1948">
        <f t="shared" si="144"/>
        <v>0</v>
      </c>
      <c r="AV586" s="1948">
        <v>500</v>
      </c>
      <c r="AW586" s="1948">
        <v>195.6</v>
      </c>
      <c r="AX586" s="1948">
        <v>400</v>
      </c>
      <c r="AY586" s="1948">
        <v>0.98099999999999998</v>
      </c>
      <c r="AZ586" s="1948">
        <v>42.38</v>
      </c>
      <c r="BA586" s="1948">
        <v>59682</v>
      </c>
      <c r="BB586" s="1948">
        <f t="shared" si="145"/>
        <v>84499</v>
      </c>
      <c r="BC586" s="1948">
        <f t="shared" si="146"/>
        <v>0</v>
      </c>
      <c r="BD586" s="1949">
        <v>500</v>
      </c>
      <c r="BE586" s="1948">
        <v>200.16</v>
      </c>
      <c r="BF586" s="1949">
        <v>400</v>
      </c>
      <c r="BG586" s="1949">
        <v>0.98040000000000005</v>
      </c>
      <c r="BH586" s="1949">
        <v>34.5</v>
      </c>
      <c r="BI586" s="1948">
        <v>51384</v>
      </c>
      <c r="BJ586" s="1948">
        <f t="shared" si="147"/>
        <v>89351</v>
      </c>
      <c r="BK586" s="1948">
        <f t="shared" si="148"/>
        <v>0</v>
      </c>
    </row>
    <row r="587" spans="1:63" ht="15">
      <c r="A587" s="1955">
        <v>122000000002</v>
      </c>
      <c r="B587" s="1947">
        <f t="shared" si="149"/>
        <v>581</v>
      </c>
      <c r="C587" s="1953" t="s">
        <v>3421</v>
      </c>
      <c r="D587" s="1954" t="s">
        <v>3661</v>
      </c>
      <c r="E587" s="1953" t="s">
        <v>541</v>
      </c>
      <c r="F587" s="1948" t="s">
        <v>259</v>
      </c>
      <c r="G587" s="1948">
        <v>500</v>
      </c>
      <c r="H587" s="1948">
        <v>500</v>
      </c>
      <c r="I587" s="1950">
        <v>49.919999999999995</v>
      </c>
      <c r="J587" s="1948">
        <v>400</v>
      </c>
      <c r="K587" s="1948">
        <v>0.51859999999999995</v>
      </c>
      <c r="L587" s="1948">
        <v>79.63</v>
      </c>
      <c r="M587" s="1948">
        <v>28620</v>
      </c>
      <c r="N587" s="1948">
        <f t="shared" si="135"/>
        <v>21565</v>
      </c>
      <c r="O587" s="1948">
        <f t="shared" si="136"/>
        <v>7055</v>
      </c>
      <c r="P587" s="1948">
        <v>500</v>
      </c>
      <c r="Q587" s="1948">
        <v>49.919999999999995</v>
      </c>
      <c r="R587" s="1948">
        <v>400</v>
      </c>
      <c r="S587" s="1948">
        <v>0.49399999999999999</v>
      </c>
      <c r="T587" s="1948">
        <v>2.71</v>
      </c>
      <c r="U587" s="1948">
        <v>1008</v>
      </c>
      <c r="V587" s="1948">
        <f t="shared" si="137"/>
        <v>22284</v>
      </c>
      <c r="W587" s="1948">
        <f t="shared" si="138"/>
        <v>0</v>
      </c>
      <c r="X587" s="1948">
        <v>500</v>
      </c>
      <c r="Y587" s="1948">
        <v>60</v>
      </c>
      <c r="Z587" s="1948">
        <v>400</v>
      </c>
      <c r="AA587" s="1948">
        <v>0.58689999999999998</v>
      </c>
      <c r="AB587" s="1948">
        <v>75.510000000000005</v>
      </c>
      <c r="AC587" s="1948">
        <v>32622</v>
      </c>
      <c r="AD587" s="1948">
        <f t="shared" si="139"/>
        <v>25920</v>
      </c>
      <c r="AE587" s="1948">
        <f t="shared" si="140"/>
        <v>6702</v>
      </c>
      <c r="AF587" s="1948">
        <v>500</v>
      </c>
      <c r="AG587" s="1948">
        <v>90</v>
      </c>
      <c r="AH587" s="1948">
        <v>400</v>
      </c>
      <c r="AI587" s="1948">
        <v>1</v>
      </c>
      <c r="AJ587" s="1948">
        <v>99.59</v>
      </c>
      <c r="AK587" s="1948">
        <v>9603</v>
      </c>
      <c r="AL587" s="1948">
        <f t="shared" si="141"/>
        <v>40176</v>
      </c>
      <c r="AM587" s="1948">
        <f t="shared" si="142"/>
        <v>0</v>
      </c>
      <c r="AN587" s="1948">
        <v>500</v>
      </c>
      <c r="AO587" s="1948">
        <v>12</v>
      </c>
      <c r="AP587" s="1948">
        <v>400</v>
      </c>
      <c r="AQ587" s="1948">
        <v>1</v>
      </c>
      <c r="AR587" s="1948">
        <v>59.17</v>
      </c>
      <c r="AS587" s="1948">
        <v>5283</v>
      </c>
      <c r="AT587" s="1948">
        <f t="shared" si="143"/>
        <v>5357</v>
      </c>
      <c r="AU587" s="1948">
        <f t="shared" si="144"/>
        <v>0</v>
      </c>
      <c r="AV587" s="1948">
        <f>+VLOOKUP(A587,'[30]Sept''23'!F:AF,27,0)</f>
        <v>500</v>
      </c>
      <c r="AW587" s="1948">
        <f>+VLOOKUP(A587,'[30]Sept''23'!F:BA,48,0)</f>
        <v>16.8</v>
      </c>
      <c r="AX587" s="1948">
        <f>+VLOOKUP(A587,'[30]Sept''23'!F:Z,21,0)</f>
        <v>400</v>
      </c>
      <c r="AY587" s="1948">
        <f>+VLOOKUP(A587,'[30]Sept''23'!F:AA,22,0)</f>
        <v>1</v>
      </c>
      <c r="AZ587" s="1948">
        <f>+VLOOKUP(A587,'[30]Sept''23'!F:AB,23,0)</f>
        <v>49.11</v>
      </c>
      <c r="BA587" s="1948">
        <f>+VLOOKUP(A587,'[30]Sept''23'!F:AY,46,0)</f>
        <v>5940</v>
      </c>
      <c r="BB587" s="1948">
        <f t="shared" si="145"/>
        <v>7258</v>
      </c>
      <c r="BC587" s="1948">
        <f t="shared" si="146"/>
        <v>0</v>
      </c>
      <c r="BD587" s="1948">
        <v>0</v>
      </c>
      <c r="BE587" s="1948">
        <v>0</v>
      </c>
      <c r="BF587" s="1948">
        <v>0</v>
      </c>
      <c r="BG587" s="1948">
        <v>0</v>
      </c>
      <c r="BH587" s="1948">
        <v>0</v>
      </c>
      <c r="BI587" s="1948">
        <v>0</v>
      </c>
      <c r="BJ587" s="1948">
        <f t="shared" si="147"/>
        <v>0</v>
      </c>
      <c r="BK587" s="1948">
        <f t="shared" si="148"/>
        <v>0</v>
      </c>
    </row>
    <row r="588" spans="1:63" ht="15">
      <c r="A588" s="1946">
        <v>611000000129</v>
      </c>
      <c r="B588" s="1947">
        <f t="shared" si="149"/>
        <v>582</v>
      </c>
      <c r="C588" s="1906" t="s">
        <v>3592</v>
      </c>
      <c r="D588" s="1907" t="s">
        <v>524</v>
      </c>
      <c r="E588" s="1906" t="s">
        <v>730</v>
      </c>
      <c r="F588" s="1948" t="s">
        <v>259</v>
      </c>
      <c r="G588" s="1949">
        <v>502</v>
      </c>
      <c r="H588" s="1948">
        <v>0</v>
      </c>
      <c r="I588" s="1950">
        <v>0</v>
      </c>
      <c r="J588" s="1948">
        <v>0</v>
      </c>
      <c r="K588" s="1948">
        <v>0</v>
      </c>
      <c r="L588" s="1948">
        <v>0</v>
      </c>
      <c r="M588" s="1948">
        <v>0</v>
      </c>
      <c r="N588" s="1948">
        <f t="shared" si="135"/>
        <v>0</v>
      </c>
      <c r="O588" s="1948">
        <f t="shared" si="136"/>
        <v>0</v>
      </c>
      <c r="P588" s="1948">
        <v>0</v>
      </c>
      <c r="Q588" s="1948">
        <v>0</v>
      </c>
      <c r="R588" s="1948">
        <v>0</v>
      </c>
      <c r="S588" s="1948">
        <v>0</v>
      </c>
      <c r="T588" s="1948">
        <v>0</v>
      </c>
      <c r="U588" s="1948">
        <v>0</v>
      </c>
      <c r="V588" s="1948">
        <f t="shared" si="137"/>
        <v>0</v>
      </c>
      <c r="W588" s="1948">
        <f t="shared" si="138"/>
        <v>0</v>
      </c>
      <c r="X588" s="1948">
        <v>0</v>
      </c>
      <c r="Y588" s="1948">
        <v>0</v>
      </c>
      <c r="Z588" s="1948">
        <v>0</v>
      </c>
      <c r="AA588" s="1948">
        <v>0</v>
      </c>
      <c r="AB588" s="1948">
        <v>0</v>
      </c>
      <c r="AC588" s="1948">
        <v>0</v>
      </c>
      <c r="AD588" s="1948">
        <f t="shared" si="139"/>
        <v>0</v>
      </c>
      <c r="AE588" s="1948">
        <f t="shared" si="140"/>
        <v>0</v>
      </c>
      <c r="AF588" s="1948">
        <v>0</v>
      </c>
      <c r="AG588" s="1948">
        <v>0</v>
      </c>
      <c r="AH588" s="1948">
        <v>0</v>
      </c>
      <c r="AI588" s="1948">
        <v>0</v>
      </c>
      <c r="AJ588" s="1948">
        <v>0</v>
      </c>
      <c r="AK588" s="1948">
        <v>0</v>
      </c>
      <c r="AL588" s="1948">
        <f t="shared" si="141"/>
        <v>0</v>
      </c>
      <c r="AM588" s="1948">
        <f t="shared" si="142"/>
        <v>0</v>
      </c>
      <c r="AN588" s="1948">
        <v>0</v>
      </c>
      <c r="AO588" s="1948">
        <v>0</v>
      </c>
      <c r="AP588" s="1948">
        <v>0</v>
      </c>
      <c r="AQ588" s="1948">
        <v>0</v>
      </c>
      <c r="AR588" s="1948">
        <v>0</v>
      </c>
      <c r="AS588" s="1948">
        <v>0</v>
      </c>
      <c r="AT588" s="1948">
        <f t="shared" si="143"/>
        <v>0</v>
      </c>
      <c r="AU588" s="1948">
        <f t="shared" si="144"/>
        <v>0</v>
      </c>
      <c r="AV588" s="1948">
        <v>502</v>
      </c>
      <c r="AW588" s="1948">
        <v>466.32</v>
      </c>
      <c r="AX588" s="1948">
        <v>466.32</v>
      </c>
      <c r="AY588" s="1948">
        <v>0.8468</v>
      </c>
      <c r="AZ588" s="1948">
        <v>18.5</v>
      </c>
      <c r="BA588" s="1948">
        <v>53836</v>
      </c>
      <c r="BB588" s="1948">
        <f t="shared" si="145"/>
        <v>201450</v>
      </c>
      <c r="BC588" s="1948">
        <f t="shared" si="146"/>
        <v>0</v>
      </c>
      <c r="BD588" s="1949">
        <v>502</v>
      </c>
      <c r="BE588" s="1948">
        <v>449.96000000000004</v>
      </c>
      <c r="BF588" s="1949">
        <v>449.96</v>
      </c>
      <c r="BG588" s="1949">
        <v>0.88639999999999997</v>
      </c>
      <c r="BH588" s="1949">
        <v>20.64</v>
      </c>
      <c r="BI588" s="1948">
        <v>69100</v>
      </c>
      <c r="BJ588" s="1948">
        <f t="shared" si="147"/>
        <v>200862</v>
      </c>
      <c r="BK588" s="1948">
        <f t="shared" si="148"/>
        <v>0</v>
      </c>
    </row>
    <row r="589" spans="1:63" ht="15">
      <c r="A589" s="1946">
        <v>123000000090</v>
      </c>
      <c r="B589" s="1947">
        <f t="shared" si="149"/>
        <v>583</v>
      </c>
      <c r="C589" s="1906" t="s">
        <v>3427</v>
      </c>
      <c r="D589" s="1907" t="s">
        <v>524</v>
      </c>
      <c r="E589" s="1906" t="s">
        <v>541</v>
      </c>
      <c r="F589" s="1948" t="s">
        <v>259</v>
      </c>
      <c r="G589" s="1949">
        <v>506</v>
      </c>
      <c r="H589" s="1948">
        <v>506</v>
      </c>
      <c r="I589" s="1950">
        <v>504.48</v>
      </c>
      <c r="J589" s="1948">
        <v>504.48</v>
      </c>
      <c r="K589" s="1948">
        <v>0.99619999999999997</v>
      </c>
      <c r="L589" s="1948">
        <v>72.239999999999995</v>
      </c>
      <c r="M589" s="1948">
        <v>314856</v>
      </c>
      <c r="N589" s="1948">
        <f t="shared" si="135"/>
        <v>217935</v>
      </c>
      <c r="O589" s="1948">
        <f t="shared" si="136"/>
        <v>96921</v>
      </c>
      <c r="P589" s="1948">
        <v>506</v>
      </c>
      <c r="Q589" s="1948">
        <v>527.76</v>
      </c>
      <c r="R589" s="1948">
        <v>527.76</v>
      </c>
      <c r="S589" s="1948">
        <v>0.99539999999999995</v>
      </c>
      <c r="T589" s="1948">
        <v>70.89</v>
      </c>
      <c r="U589" s="1948">
        <v>278361</v>
      </c>
      <c r="V589" s="1948">
        <f t="shared" si="137"/>
        <v>235592</v>
      </c>
      <c r="W589" s="1948">
        <f t="shared" si="138"/>
        <v>42769</v>
      </c>
      <c r="X589" s="1948">
        <v>506</v>
      </c>
      <c r="Y589" s="1948">
        <v>473.28</v>
      </c>
      <c r="Z589" s="1948">
        <v>473.28</v>
      </c>
      <c r="AA589" s="1948">
        <v>0.99260000000000004</v>
      </c>
      <c r="AB589" s="1948">
        <v>66.23</v>
      </c>
      <c r="AC589" s="1948">
        <v>225681</v>
      </c>
      <c r="AD589" s="1948">
        <f t="shared" si="139"/>
        <v>204457</v>
      </c>
      <c r="AE589" s="1948">
        <f t="shared" si="140"/>
        <v>21224</v>
      </c>
      <c r="AF589" s="1948">
        <v>506</v>
      </c>
      <c r="AG589" s="1948">
        <v>472.8</v>
      </c>
      <c r="AH589" s="1948">
        <v>472.8</v>
      </c>
      <c r="AI589" s="1948">
        <v>0.99480000000000002</v>
      </c>
      <c r="AJ589" s="1948">
        <v>74.56</v>
      </c>
      <c r="AK589" s="1948">
        <v>262284</v>
      </c>
      <c r="AL589" s="1948">
        <f t="shared" si="141"/>
        <v>211058</v>
      </c>
      <c r="AM589" s="1948">
        <f t="shared" si="142"/>
        <v>51226</v>
      </c>
      <c r="AN589" s="1948">
        <v>506</v>
      </c>
      <c r="AO589" s="1948">
        <v>447.12</v>
      </c>
      <c r="AP589" s="1948">
        <v>447.12</v>
      </c>
      <c r="AQ589" s="1948">
        <v>0.99429999999999996</v>
      </c>
      <c r="AR589" s="1948">
        <v>66.900000000000006</v>
      </c>
      <c r="AS589" s="1948">
        <v>222540</v>
      </c>
      <c r="AT589" s="1948">
        <f t="shared" si="143"/>
        <v>199594</v>
      </c>
      <c r="AU589" s="1948">
        <f t="shared" si="144"/>
        <v>22946</v>
      </c>
      <c r="AV589" s="1948">
        <v>506</v>
      </c>
      <c r="AW589" s="1948">
        <v>511.68</v>
      </c>
      <c r="AX589" s="1948">
        <v>511.68</v>
      </c>
      <c r="AY589" s="1948">
        <v>0.99370000000000003</v>
      </c>
      <c r="AZ589" s="1948">
        <v>60.82</v>
      </c>
      <c r="BA589" s="1948">
        <v>194199</v>
      </c>
      <c r="BB589" s="1948">
        <f t="shared" si="145"/>
        <v>221046</v>
      </c>
      <c r="BC589" s="1948">
        <f t="shared" si="146"/>
        <v>0</v>
      </c>
      <c r="BD589" s="1949">
        <v>506</v>
      </c>
      <c r="BE589" s="1948">
        <v>523.68000000000006</v>
      </c>
      <c r="BF589" s="1949">
        <v>523.67999999999995</v>
      </c>
      <c r="BG589" s="1949">
        <v>0.99370000000000003</v>
      </c>
      <c r="BH589" s="1949">
        <v>53.02</v>
      </c>
      <c r="BI589" s="1948">
        <v>233223</v>
      </c>
      <c r="BJ589" s="1948">
        <f t="shared" si="147"/>
        <v>233771</v>
      </c>
      <c r="BK589" s="1948">
        <f t="shared" si="148"/>
        <v>0</v>
      </c>
    </row>
    <row r="590" spans="1:63" ht="15">
      <c r="A590" s="1946">
        <v>622000000043</v>
      </c>
      <c r="B590" s="1947">
        <f t="shared" si="149"/>
        <v>584</v>
      </c>
      <c r="C590" s="1906" t="s">
        <v>3428</v>
      </c>
      <c r="D590" s="1907" t="s">
        <v>524</v>
      </c>
      <c r="E590" s="1906" t="s">
        <v>541</v>
      </c>
      <c r="F590" s="1948" t="s">
        <v>259</v>
      </c>
      <c r="G590" s="1949">
        <v>536</v>
      </c>
      <c r="H590" s="1948">
        <v>536</v>
      </c>
      <c r="I590" s="1950">
        <v>71.52</v>
      </c>
      <c r="J590" s="1948">
        <v>428.8</v>
      </c>
      <c r="K590" s="1948">
        <v>0.99639999999999995</v>
      </c>
      <c r="L590" s="1948">
        <v>37.659999999999997</v>
      </c>
      <c r="M590" s="1948">
        <v>19395</v>
      </c>
      <c r="N590" s="1948">
        <f t="shared" si="135"/>
        <v>30897</v>
      </c>
      <c r="O590" s="1948">
        <f t="shared" si="136"/>
        <v>0</v>
      </c>
      <c r="P590" s="1948">
        <v>536</v>
      </c>
      <c r="Q590" s="1948">
        <v>56.879999999999995</v>
      </c>
      <c r="R590" s="1948">
        <v>428.8</v>
      </c>
      <c r="S590" s="1948">
        <v>0.99490000000000001</v>
      </c>
      <c r="T590" s="1948">
        <v>40.61</v>
      </c>
      <c r="U590" s="1948">
        <v>17184</v>
      </c>
      <c r="V590" s="1948">
        <f t="shared" si="137"/>
        <v>25391</v>
      </c>
      <c r="W590" s="1948">
        <f t="shared" si="138"/>
        <v>0</v>
      </c>
      <c r="X590" s="1948">
        <v>536</v>
      </c>
      <c r="Y590" s="1948">
        <v>58.56</v>
      </c>
      <c r="Z590" s="1948">
        <v>428.8</v>
      </c>
      <c r="AA590" s="1948">
        <v>0.98819999999999997</v>
      </c>
      <c r="AB590" s="1948">
        <v>34.54</v>
      </c>
      <c r="AC590" s="1948">
        <v>14565</v>
      </c>
      <c r="AD590" s="1948">
        <f t="shared" si="139"/>
        <v>25298</v>
      </c>
      <c r="AE590" s="1948">
        <f t="shared" si="140"/>
        <v>0</v>
      </c>
      <c r="AF590" s="1948">
        <v>536</v>
      </c>
      <c r="AG590" s="1948">
        <v>56.879999999999995</v>
      </c>
      <c r="AH590" s="1948">
        <v>428.8</v>
      </c>
      <c r="AI590" s="1948">
        <v>0.99650000000000005</v>
      </c>
      <c r="AJ590" s="1948">
        <v>35.299999999999997</v>
      </c>
      <c r="AK590" s="1948">
        <v>14937</v>
      </c>
      <c r="AL590" s="1948">
        <f t="shared" si="141"/>
        <v>25391</v>
      </c>
      <c r="AM590" s="1948">
        <f t="shared" si="142"/>
        <v>0</v>
      </c>
      <c r="AN590" s="1948">
        <v>536</v>
      </c>
      <c r="AO590" s="1948">
        <v>61.199999999999996</v>
      </c>
      <c r="AP590" s="1948">
        <v>428.8</v>
      </c>
      <c r="AQ590" s="1948">
        <v>0.99919999999999998</v>
      </c>
      <c r="AR590" s="1948">
        <v>37.479999999999997</v>
      </c>
      <c r="AS590" s="1948">
        <v>17067</v>
      </c>
      <c r="AT590" s="1948">
        <f t="shared" si="143"/>
        <v>27320</v>
      </c>
      <c r="AU590" s="1948">
        <f t="shared" si="144"/>
        <v>0</v>
      </c>
      <c r="AV590" s="1948">
        <v>536</v>
      </c>
      <c r="AW590" s="1948">
        <v>55.44</v>
      </c>
      <c r="AX590" s="1948">
        <v>428.8</v>
      </c>
      <c r="AY590" s="1948">
        <v>0.99919999999999998</v>
      </c>
      <c r="AZ590" s="1948">
        <v>40.22</v>
      </c>
      <c r="BA590" s="1948">
        <v>16053</v>
      </c>
      <c r="BB590" s="1948">
        <f t="shared" si="145"/>
        <v>23950</v>
      </c>
      <c r="BC590" s="1948">
        <f t="shared" si="146"/>
        <v>0</v>
      </c>
      <c r="BD590" s="1949">
        <v>536</v>
      </c>
      <c r="BE590" s="1948">
        <v>60.24</v>
      </c>
      <c r="BF590" s="1949">
        <v>428.8</v>
      </c>
      <c r="BG590" s="1949">
        <v>0.99770000000000003</v>
      </c>
      <c r="BH590" s="1949">
        <v>41.71</v>
      </c>
      <c r="BI590" s="1948">
        <v>18696</v>
      </c>
      <c r="BJ590" s="1948">
        <f t="shared" si="147"/>
        <v>26891</v>
      </c>
      <c r="BK590" s="1948">
        <f t="shared" si="148"/>
        <v>0</v>
      </c>
    </row>
    <row r="591" spans="1:63" ht="15">
      <c r="A591" s="1946">
        <v>421000000015</v>
      </c>
      <c r="B591" s="1947">
        <f t="shared" si="149"/>
        <v>585</v>
      </c>
      <c r="C591" s="1906" t="s">
        <v>3429</v>
      </c>
      <c r="D591" s="1907" t="s">
        <v>524</v>
      </c>
      <c r="E591" s="1906" t="s">
        <v>730</v>
      </c>
      <c r="F591" s="1948" t="s">
        <v>259</v>
      </c>
      <c r="G591" s="1949">
        <v>554</v>
      </c>
      <c r="H591" s="1948">
        <v>554</v>
      </c>
      <c r="I591" s="1950">
        <v>232</v>
      </c>
      <c r="J591" s="1948">
        <v>443.2</v>
      </c>
      <c r="K591" s="1948">
        <v>0.81320000000000003</v>
      </c>
      <c r="L591" s="1948">
        <v>22.78</v>
      </c>
      <c r="M591" s="1948">
        <v>38045</v>
      </c>
      <c r="N591" s="1948">
        <f t="shared" si="135"/>
        <v>100224</v>
      </c>
      <c r="O591" s="1948">
        <f t="shared" si="136"/>
        <v>0</v>
      </c>
      <c r="P591" s="1948">
        <v>554</v>
      </c>
      <c r="Q591" s="1948">
        <v>219.20000000000002</v>
      </c>
      <c r="R591" s="1948">
        <v>443.2</v>
      </c>
      <c r="S591" s="1948">
        <v>0.83140000000000003</v>
      </c>
      <c r="T591" s="1948">
        <v>16.45</v>
      </c>
      <c r="U591" s="1948">
        <v>26820</v>
      </c>
      <c r="V591" s="1948">
        <f t="shared" si="137"/>
        <v>97851</v>
      </c>
      <c r="W591" s="1948">
        <f t="shared" si="138"/>
        <v>0</v>
      </c>
      <c r="X591" s="1948">
        <v>554</v>
      </c>
      <c r="Y591" s="1948">
        <v>226.39999999999998</v>
      </c>
      <c r="Z591" s="1948">
        <v>443.2</v>
      </c>
      <c r="AA591" s="1948">
        <v>0.82520000000000004</v>
      </c>
      <c r="AB591" s="1948">
        <v>19.670000000000002</v>
      </c>
      <c r="AC591" s="1948">
        <v>32070</v>
      </c>
      <c r="AD591" s="1948">
        <f t="shared" si="139"/>
        <v>97805</v>
      </c>
      <c r="AE591" s="1948">
        <f t="shared" si="140"/>
        <v>0</v>
      </c>
      <c r="AF591" s="1948">
        <v>554</v>
      </c>
      <c r="AG591" s="1948">
        <v>238</v>
      </c>
      <c r="AH591" s="1948">
        <v>443.2</v>
      </c>
      <c r="AI591" s="1948">
        <v>0.8246</v>
      </c>
      <c r="AJ591" s="1948">
        <v>14.18</v>
      </c>
      <c r="AK591" s="1948">
        <v>25115</v>
      </c>
      <c r="AL591" s="1948">
        <f t="shared" si="141"/>
        <v>106243</v>
      </c>
      <c r="AM591" s="1948">
        <f t="shared" si="142"/>
        <v>0</v>
      </c>
      <c r="AN591" s="1948">
        <v>554</v>
      </c>
      <c r="AO591" s="1948">
        <v>253.2</v>
      </c>
      <c r="AP591" s="1948">
        <v>443.2</v>
      </c>
      <c r="AQ591" s="1948">
        <v>0.84360000000000002</v>
      </c>
      <c r="AR591" s="1948">
        <v>13.7</v>
      </c>
      <c r="AS591" s="1948">
        <v>25815</v>
      </c>
      <c r="AT591" s="1948">
        <f t="shared" si="143"/>
        <v>113028</v>
      </c>
      <c r="AU591" s="1948">
        <f t="shared" si="144"/>
        <v>0</v>
      </c>
      <c r="AV591" s="1948">
        <v>554</v>
      </c>
      <c r="AW591" s="1948">
        <v>248.4</v>
      </c>
      <c r="AX591" s="1948">
        <v>443.2</v>
      </c>
      <c r="AY591" s="1948">
        <v>0.84540000000000004</v>
      </c>
      <c r="AZ591" s="1948">
        <v>18.59</v>
      </c>
      <c r="BA591" s="1948">
        <v>33255</v>
      </c>
      <c r="BB591" s="1948">
        <f t="shared" si="145"/>
        <v>107309</v>
      </c>
      <c r="BC591" s="1948">
        <f t="shared" si="146"/>
        <v>0</v>
      </c>
      <c r="BD591" s="1949">
        <v>554</v>
      </c>
      <c r="BE591" s="1948">
        <v>246.79999999999998</v>
      </c>
      <c r="BF591" s="1949">
        <v>443.2</v>
      </c>
      <c r="BG591" s="1949">
        <v>0.8085</v>
      </c>
      <c r="BH591" s="1949">
        <v>22.7</v>
      </c>
      <c r="BI591" s="1948">
        <v>41675</v>
      </c>
      <c r="BJ591" s="1948">
        <f t="shared" si="147"/>
        <v>110172</v>
      </c>
      <c r="BK591" s="1948">
        <f t="shared" si="148"/>
        <v>0</v>
      </c>
    </row>
    <row r="592" spans="1:63" ht="15">
      <c r="A592" s="1946">
        <v>128000000002</v>
      </c>
      <c r="B592" s="1947">
        <f t="shared" si="149"/>
        <v>586</v>
      </c>
      <c r="C592" s="1906" t="s">
        <v>3439</v>
      </c>
      <c r="D592" s="1907" t="s">
        <v>524</v>
      </c>
      <c r="E592" s="1906" t="s">
        <v>541</v>
      </c>
      <c r="F592" s="1948" t="s">
        <v>259</v>
      </c>
      <c r="G592" s="1949">
        <v>555</v>
      </c>
      <c r="H592" s="1948">
        <v>555</v>
      </c>
      <c r="I592" s="1950">
        <v>355.68</v>
      </c>
      <c r="J592" s="1948">
        <v>444</v>
      </c>
      <c r="K592" s="1948">
        <v>0.99829999999999997</v>
      </c>
      <c r="L592" s="1948">
        <v>65.09</v>
      </c>
      <c r="M592" s="1948">
        <v>166692</v>
      </c>
      <c r="N592" s="1948">
        <f t="shared" si="135"/>
        <v>153654</v>
      </c>
      <c r="O592" s="1948">
        <f t="shared" si="136"/>
        <v>13038</v>
      </c>
      <c r="P592" s="1948">
        <v>555</v>
      </c>
      <c r="Q592" s="1948">
        <v>334.08</v>
      </c>
      <c r="R592" s="1948">
        <v>444</v>
      </c>
      <c r="S592" s="1948">
        <v>0.99929999999999997</v>
      </c>
      <c r="T592" s="1948">
        <v>60.16</v>
      </c>
      <c r="U592" s="1948">
        <v>149526</v>
      </c>
      <c r="V592" s="1948">
        <f t="shared" si="137"/>
        <v>149133</v>
      </c>
      <c r="W592" s="1948">
        <f t="shared" si="138"/>
        <v>393</v>
      </c>
      <c r="X592" s="1948">
        <v>555</v>
      </c>
      <c r="Y592" s="1948">
        <v>345.59999999999997</v>
      </c>
      <c r="Z592" s="1948">
        <v>444</v>
      </c>
      <c r="AA592" s="1948">
        <v>0.999</v>
      </c>
      <c r="AB592" s="1948">
        <v>44.91</v>
      </c>
      <c r="AC592" s="1948">
        <v>111756</v>
      </c>
      <c r="AD592" s="1948">
        <f t="shared" si="139"/>
        <v>149299</v>
      </c>
      <c r="AE592" s="1948">
        <f t="shared" si="140"/>
        <v>0</v>
      </c>
      <c r="AF592" s="1948">
        <v>555</v>
      </c>
      <c r="AG592" s="1948">
        <v>356.64000000000004</v>
      </c>
      <c r="AH592" s="1948">
        <v>444</v>
      </c>
      <c r="AI592" s="1948">
        <v>0.999</v>
      </c>
      <c r="AJ592" s="1948">
        <v>41.74</v>
      </c>
      <c r="AK592" s="1948">
        <v>110748</v>
      </c>
      <c r="AL592" s="1948">
        <f t="shared" si="141"/>
        <v>159204</v>
      </c>
      <c r="AM592" s="1948">
        <f t="shared" si="142"/>
        <v>0</v>
      </c>
      <c r="AN592" s="1948">
        <v>555</v>
      </c>
      <c r="AO592" s="1948">
        <v>273.12</v>
      </c>
      <c r="AP592" s="1948">
        <v>444</v>
      </c>
      <c r="AQ592" s="1948">
        <v>0.99480000000000002</v>
      </c>
      <c r="AR592" s="1948">
        <v>36.35</v>
      </c>
      <c r="AS592" s="1948">
        <v>73866</v>
      </c>
      <c r="AT592" s="1948">
        <f t="shared" si="143"/>
        <v>121921</v>
      </c>
      <c r="AU592" s="1948">
        <f t="shared" si="144"/>
        <v>0</v>
      </c>
      <c r="AV592" s="1948">
        <v>555</v>
      </c>
      <c r="AW592" s="1948">
        <v>343.68</v>
      </c>
      <c r="AX592" s="1948">
        <v>444</v>
      </c>
      <c r="AY592" s="1948">
        <v>0.997</v>
      </c>
      <c r="AZ592" s="1948">
        <v>45</v>
      </c>
      <c r="BA592" s="1948">
        <v>111348</v>
      </c>
      <c r="BB592" s="1948">
        <f t="shared" si="145"/>
        <v>148470</v>
      </c>
      <c r="BC592" s="1948">
        <f t="shared" si="146"/>
        <v>0</v>
      </c>
      <c r="BD592" s="1949">
        <v>555</v>
      </c>
      <c r="BE592" s="1948">
        <v>276.95999999999998</v>
      </c>
      <c r="BF592" s="1949">
        <v>444</v>
      </c>
      <c r="BG592" s="1949">
        <v>0.99860000000000004</v>
      </c>
      <c r="BH592" s="1949">
        <v>44.91</v>
      </c>
      <c r="BI592" s="1948">
        <v>92544</v>
      </c>
      <c r="BJ592" s="1948">
        <f t="shared" si="147"/>
        <v>123635</v>
      </c>
      <c r="BK592" s="1948">
        <f t="shared" si="148"/>
        <v>0</v>
      </c>
    </row>
    <row r="593" spans="1:63" ht="15">
      <c r="A593" s="1946">
        <v>128000000005</v>
      </c>
      <c r="B593" s="1947">
        <f t="shared" si="149"/>
        <v>587</v>
      </c>
      <c r="C593" s="1906" t="s">
        <v>3436</v>
      </c>
      <c r="D593" s="1907" t="s">
        <v>524</v>
      </c>
      <c r="E593" s="1906" t="s">
        <v>623</v>
      </c>
      <c r="F593" s="1948" t="s">
        <v>259</v>
      </c>
      <c r="G593" s="1949">
        <v>555</v>
      </c>
      <c r="H593" s="1948">
        <v>555</v>
      </c>
      <c r="I593" s="1950">
        <v>593.28</v>
      </c>
      <c r="J593" s="1948">
        <v>593.28</v>
      </c>
      <c r="K593" s="1948">
        <v>0.79549999999999998</v>
      </c>
      <c r="L593" s="1948">
        <v>0</v>
      </c>
      <c r="M593" s="1948">
        <v>139488</v>
      </c>
      <c r="N593" s="1948">
        <f t="shared" si="135"/>
        <v>256297</v>
      </c>
      <c r="O593" s="1948">
        <f t="shared" si="136"/>
        <v>0</v>
      </c>
      <c r="P593" s="1948">
        <v>555</v>
      </c>
      <c r="Q593" s="1948">
        <v>786.71999999999991</v>
      </c>
      <c r="R593" s="1948">
        <v>786.72</v>
      </c>
      <c r="S593" s="1948">
        <v>0.78359999999999996</v>
      </c>
      <c r="T593" s="1948">
        <v>0</v>
      </c>
      <c r="U593" s="1948">
        <v>303582</v>
      </c>
      <c r="V593" s="1948">
        <f t="shared" si="137"/>
        <v>351192</v>
      </c>
      <c r="W593" s="1948">
        <f t="shared" si="138"/>
        <v>0</v>
      </c>
      <c r="X593" s="1948">
        <v>555</v>
      </c>
      <c r="Y593" s="1948">
        <v>744</v>
      </c>
      <c r="Z593" s="1948">
        <v>744</v>
      </c>
      <c r="AA593" s="1948">
        <v>0.77890000000000004</v>
      </c>
      <c r="AB593" s="1948">
        <v>0</v>
      </c>
      <c r="AC593" s="1948">
        <v>183108</v>
      </c>
      <c r="AD593" s="1948">
        <f t="shared" si="139"/>
        <v>321408</v>
      </c>
      <c r="AE593" s="1948">
        <f t="shared" si="140"/>
        <v>0</v>
      </c>
      <c r="AF593" s="1948">
        <v>555</v>
      </c>
      <c r="AG593" s="1948">
        <v>796.80000000000007</v>
      </c>
      <c r="AH593" s="1948">
        <v>796.8</v>
      </c>
      <c r="AI593" s="1948">
        <v>0.78349999999999997</v>
      </c>
      <c r="AJ593" s="1948">
        <v>0</v>
      </c>
      <c r="AK593" s="1948">
        <v>188328</v>
      </c>
      <c r="AL593" s="1948">
        <f t="shared" si="141"/>
        <v>355692</v>
      </c>
      <c r="AM593" s="1948">
        <f t="shared" si="142"/>
        <v>0</v>
      </c>
      <c r="AN593" s="1948">
        <v>555</v>
      </c>
      <c r="AO593" s="1948">
        <v>828.95999999999992</v>
      </c>
      <c r="AP593" s="1948">
        <v>828.96</v>
      </c>
      <c r="AQ593" s="1948">
        <v>0.79579999999999995</v>
      </c>
      <c r="AR593" s="1948">
        <v>0</v>
      </c>
      <c r="AS593" s="1948">
        <v>195432</v>
      </c>
      <c r="AT593" s="1948">
        <f t="shared" si="143"/>
        <v>370048</v>
      </c>
      <c r="AU593" s="1948">
        <f t="shared" si="144"/>
        <v>0</v>
      </c>
      <c r="AV593" s="1948">
        <v>555</v>
      </c>
      <c r="AW593" s="1948">
        <v>862.08</v>
      </c>
      <c r="AX593" s="1948">
        <v>862.08</v>
      </c>
      <c r="AY593" s="1948">
        <v>0.79239999999999999</v>
      </c>
      <c r="AZ593" s="1948">
        <v>0</v>
      </c>
      <c r="BA593" s="1948">
        <v>214326</v>
      </c>
      <c r="BB593" s="1948">
        <f t="shared" si="145"/>
        <v>372419</v>
      </c>
      <c r="BC593" s="1948">
        <f t="shared" si="146"/>
        <v>0</v>
      </c>
      <c r="BD593" s="1949">
        <v>555</v>
      </c>
      <c r="BE593" s="1948">
        <v>917.28</v>
      </c>
      <c r="BF593" s="1949">
        <v>917.28</v>
      </c>
      <c r="BG593" s="1949">
        <v>0.78769999999999996</v>
      </c>
      <c r="BH593" s="1949">
        <v>0</v>
      </c>
      <c r="BI593" s="1948">
        <v>219393</v>
      </c>
      <c r="BJ593" s="1948">
        <f t="shared" si="147"/>
        <v>409474</v>
      </c>
      <c r="BK593" s="1948">
        <f t="shared" si="148"/>
        <v>0</v>
      </c>
    </row>
    <row r="594" spans="1:63" ht="15">
      <c r="A594" s="1946">
        <v>123000000118</v>
      </c>
      <c r="B594" s="1947">
        <f t="shared" si="149"/>
        <v>588</v>
      </c>
      <c r="C594" s="1906" t="s">
        <v>3437</v>
      </c>
      <c r="D594" s="1907" t="s">
        <v>524</v>
      </c>
      <c r="E594" s="1906" t="s">
        <v>541</v>
      </c>
      <c r="F594" s="1948" t="s">
        <v>259</v>
      </c>
      <c r="G594" s="1949">
        <v>555</v>
      </c>
      <c r="H594" s="1948">
        <v>555</v>
      </c>
      <c r="I594" s="1950">
        <v>320.64</v>
      </c>
      <c r="J594" s="1948">
        <v>444</v>
      </c>
      <c r="K594" s="1948">
        <v>0.95</v>
      </c>
      <c r="L594" s="1948">
        <v>25.15</v>
      </c>
      <c r="M594" s="1948">
        <v>58062</v>
      </c>
      <c r="N594" s="1948">
        <f t="shared" si="135"/>
        <v>138516</v>
      </c>
      <c r="O594" s="1948">
        <f t="shared" si="136"/>
        <v>0</v>
      </c>
      <c r="P594" s="1948">
        <v>555</v>
      </c>
      <c r="Q594" s="1948">
        <v>388.32</v>
      </c>
      <c r="R594" s="1948">
        <v>444</v>
      </c>
      <c r="S594" s="1948">
        <v>0.88780000000000003</v>
      </c>
      <c r="T594" s="1948">
        <v>33.39</v>
      </c>
      <c r="U594" s="1948">
        <v>96474</v>
      </c>
      <c r="V594" s="1948">
        <f t="shared" si="137"/>
        <v>173346</v>
      </c>
      <c r="W594" s="1948">
        <f t="shared" si="138"/>
        <v>0</v>
      </c>
      <c r="X594" s="1948">
        <v>555</v>
      </c>
      <c r="Y594" s="1948">
        <v>319.68</v>
      </c>
      <c r="Z594" s="1948">
        <v>444</v>
      </c>
      <c r="AA594" s="1948">
        <v>0.94359999999999999</v>
      </c>
      <c r="AB594" s="1948">
        <v>29.99</v>
      </c>
      <c r="AC594" s="1948">
        <v>69030</v>
      </c>
      <c r="AD594" s="1948">
        <f t="shared" si="139"/>
        <v>138102</v>
      </c>
      <c r="AE594" s="1948">
        <f t="shared" si="140"/>
        <v>0</v>
      </c>
      <c r="AF594" s="1948">
        <v>555</v>
      </c>
      <c r="AG594" s="1948">
        <v>300.48</v>
      </c>
      <c r="AH594" s="1948">
        <v>444</v>
      </c>
      <c r="AI594" s="1948">
        <v>0.99329999999999996</v>
      </c>
      <c r="AJ594" s="1948">
        <v>30.2</v>
      </c>
      <c r="AK594" s="1948">
        <v>67512</v>
      </c>
      <c r="AL594" s="1948">
        <f t="shared" si="141"/>
        <v>134134</v>
      </c>
      <c r="AM594" s="1948">
        <f t="shared" si="142"/>
        <v>0</v>
      </c>
      <c r="AN594" s="1948">
        <v>555</v>
      </c>
      <c r="AO594" s="1948">
        <v>262.08000000000004</v>
      </c>
      <c r="AP594" s="1948">
        <v>444</v>
      </c>
      <c r="AQ594" s="1948">
        <v>0.99209999999999998</v>
      </c>
      <c r="AR594" s="1948">
        <v>25.98</v>
      </c>
      <c r="AS594" s="1948">
        <v>50658</v>
      </c>
      <c r="AT594" s="1948">
        <f t="shared" si="143"/>
        <v>116993</v>
      </c>
      <c r="AU594" s="1948">
        <f t="shared" si="144"/>
        <v>0</v>
      </c>
      <c r="AV594" s="1948">
        <v>555</v>
      </c>
      <c r="AW594" s="1948">
        <v>287.04000000000002</v>
      </c>
      <c r="AX594" s="1948">
        <v>444</v>
      </c>
      <c r="AY594" s="1948">
        <v>0.99660000000000004</v>
      </c>
      <c r="AZ594" s="1948">
        <v>25.07</v>
      </c>
      <c r="BA594" s="1948">
        <v>51822</v>
      </c>
      <c r="BB594" s="1948">
        <f t="shared" si="145"/>
        <v>124001</v>
      </c>
      <c r="BC594" s="1948">
        <f t="shared" si="146"/>
        <v>0</v>
      </c>
      <c r="BD594" s="1949">
        <v>555</v>
      </c>
      <c r="BE594" s="1948">
        <v>280.32</v>
      </c>
      <c r="BF594" s="1949">
        <v>444</v>
      </c>
      <c r="BG594" s="1949">
        <v>0.99629999999999996</v>
      </c>
      <c r="BH594" s="1949">
        <v>24.26</v>
      </c>
      <c r="BI594" s="1948">
        <v>50598</v>
      </c>
      <c r="BJ594" s="1948">
        <f t="shared" si="147"/>
        <v>125135</v>
      </c>
      <c r="BK594" s="1948">
        <f t="shared" si="148"/>
        <v>0</v>
      </c>
    </row>
    <row r="595" spans="1:63" ht="15">
      <c r="A595" s="1946">
        <v>124000000079</v>
      </c>
      <c r="B595" s="1947">
        <f t="shared" si="149"/>
        <v>589</v>
      </c>
      <c r="C595" s="1906" t="s">
        <v>3593</v>
      </c>
      <c r="D595" s="1907" t="s">
        <v>524</v>
      </c>
      <c r="E595" s="1906" t="s">
        <v>541</v>
      </c>
      <c r="F595" s="1948" t="s">
        <v>259</v>
      </c>
      <c r="G595" s="1949">
        <v>555</v>
      </c>
      <c r="H595" s="1948">
        <v>0</v>
      </c>
      <c r="I595" s="1950">
        <v>0</v>
      </c>
      <c r="J595" s="1948">
        <v>0</v>
      </c>
      <c r="K595" s="1948">
        <v>0</v>
      </c>
      <c r="L595" s="1948">
        <v>0</v>
      </c>
      <c r="M595" s="1948">
        <v>0</v>
      </c>
      <c r="N595" s="1948">
        <f t="shared" si="135"/>
        <v>0</v>
      </c>
      <c r="O595" s="1948">
        <f t="shared" si="136"/>
        <v>0</v>
      </c>
      <c r="P595" s="1948">
        <v>555</v>
      </c>
      <c r="Q595" s="1948">
        <v>83.76</v>
      </c>
      <c r="R595" s="1948">
        <v>444</v>
      </c>
      <c r="S595" s="1948">
        <v>0.93389999999999995</v>
      </c>
      <c r="T595" s="1948">
        <v>5.0199999999999996</v>
      </c>
      <c r="U595" s="1948">
        <v>3633</v>
      </c>
      <c r="V595" s="1948">
        <f t="shared" si="137"/>
        <v>37390</v>
      </c>
      <c r="W595" s="1948">
        <f t="shared" si="138"/>
        <v>0</v>
      </c>
      <c r="X595" s="1948">
        <v>555</v>
      </c>
      <c r="Y595" s="1948">
        <v>372</v>
      </c>
      <c r="Z595" s="1948">
        <v>444</v>
      </c>
      <c r="AA595" s="1948">
        <v>0.95730000000000004</v>
      </c>
      <c r="AB595" s="1948">
        <v>12.4</v>
      </c>
      <c r="AC595" s="1948">
        <v>36522</v>
      </c>
      <c r="AD595" s="1948">
        <f t="shared" si="139"/>
        <v>160704</v>
      </c>
      <c r="AE595" s="1948">
        <f t="shared" si="140"/>
        <v>0</v>
      </c>
      <c r="AF595" s="1948">
        <v>555</v>
      </c>
      <c r="AG595" s="1948">
        <v>429.59999999999997</v>
      </c>
      <c r="AH595" s="1948">
        <v>444</v>
      </c>
      <c r="AI595" s="1948">
        <v>0.97670000000000001</v>
      </c>
      <c r="AJ595" s="1948">
        <v>20.91</v>
      </c>
      <c r="AK595" s="1948">
        <v>75465</v>
      </c>
      <c r="AL595" s="1948">
        <f t="shared" si="141"/>
        <v>191773</v>
      </c>
      <c r="AM595" s="1948">
        <f t="shared" si="142"/>
        <v>0</v>
      </c>
      <c r="AN595" s="1948">
        <v>555</v>
      </c>
      <c r="AO595" s="1948">
        <v>371.28000000000003</v>
      </c>
      <c r="AP595" s="1948">
        <v>444</v>
      </c>
      <c r="AQ595" s="1948">
        <v>0.97809999999999997</v>
      </c>
      <c r="AR595" s="1948">
        <v>18.47</v>
      </c>
      <c r="AS595" s="1948">
        <v>51015</v>
      </c>
      <c r="AT595" s="1948">
        <f t="shared" si="143"/>
        <v>165739</v>
      </c>
      <c r="AU595" s="1948">
        <f t="shared" si="144"/>
        <v>0</v>
      </c>
      <c r="AV595" s="1948">
        <v>555</v>
      </c>
      <c r="AW595" s="1948">
        <v>476.15999999999997</v>
      </c>
      <c r="AX595" s="1948">
        <v>476.16</v>
      </c>
      <c r="AY595" s="1948">
        <v>0.86240000000000006</v>
      </c>
      <c r="AZ595" s="1948">
        <v>22.19</v>
      </c>
      <c r="BA595" s="1948">
        <v>76071</v>
      </c>
      <c r="BB595" s="1948">
        <f t="shared" si="145"/>
        <v>205701</v>
      </c>
      <c r="BC595" s="1948">
        <f t="shared" si="146"/>
        <v>0</v>
      </c>
      <c r="BD595" s="1949">
        <v>555</v>
      </c>
      <c r="BE595" s="1948">
        <v>366.71999999999997</v>
      </c>
      <c r="BF595" s="1949">
        <v>444</v>
      </c>
      <c r="BG595" s="1949">
        <v>0.92859999999999998</v>
      </c>
      <c r="BH595" s="1949">
        <v>13.16</v>
      </c>
      <c r="BI595" s="1948">
        <v>35910</v>
      </c>
      <c r="BJ595" s="1948">
        <f t="shared" si="147"/>
        <v>163704</v>
      </c>
      <c r="BK595" s="1948">
        <f t="shared" si="148"/>
        <v>0</v>
      </c>
    </row>
    <row r="596" spans="1:63" ht="15">
      <c r="A596" s="1946">
        <v>125000000028</v>
      </c>
      <c r="B596" s="1947">
        <f t="shared" si="149"/>
        <v>590</v>
      </c>
      <c r="C596" s="1906" t="s">
        <v>3438</v>
      </c>
      <c r="D596" s="1907" t="s">
        <v>524</v>
      </c>
      <c r="E596" s="1906" t="s">
        <v>541</v>
      </c>
      <c r="F596" s="1948" t="s">
        <v>259</v>
      </c>
      <c r="G596" s="1949">
        <v>555</v>
      </c>
      <c r="H596" s="1948">
        <v>555</v>
      </c>
      <c r="I596" s="1950">
        <v>403.2</v>
      </c>
      <c r="J596" s="1948">
        <v>444</v>
      </c>
      <c r="K596" s="1948">
        <v>0.98480000000000001</v>
      </c>
      <c r="L596" s="1948">
        <v>42.41</v>
      </c>
      <c r="M596" s="1948">
        <v>123120</v>
      </c>
      <c r="N596" s="1948">
        <f t="shared" si="135"/>
        <v>174182</v>
      </c>
      <c r="O596" s="1948">
        <f t="shared" si="136"/>
        <v>0</v>
      </c>
      <c r="P596" s="1948">
        <v>555</v>
      </c>
      <c r="Q596" s="1948">
        <v>425.99999999999994</v>
      </c>
      <c r="R596" s="1948">
        <v>444</v>
      </c>
      <c r="S596" s="1948">
        <v>0.98380000000000001</v>
      </c>
      <c r="T596" s="1948">
        <v>22.59</v>
      </c>
      <c r="U596" s="1948">
        <v>71595</v>
      </c>
      <c r="V596" s="1948">
        <f t="shared" si="137"/>
        <v>190166</v>
      </c>
      <c r="W596" s="1948">
        <f t="shared" si="138"/>
        <v>0</v>
      </c>
      <c r="X596" s="1948">
        <v>555</v>
      </c>
      <c r="Y596" s="1948">
        <v>339.59999999999997</v>
      </c>
      <c r="Z596" s="1948">
        <v>444</v>
      </c>
      <c r="AA596" s="1948">
        <v>0.98529999999999995</v>
      </c>
      <c r="AB596" s="1948">
        <v>12.12</v>
      </c>
      <c r="AC596" s="1948">
        <v>29625</v>
      </c>
      <c r="AD596" s="1948">
        <f t="shared" si="139"/>
        <v>146707</v>
      </c>
      <c r="AE596" s="1948">
        <f t="shared" si="140"/>
        <v>0</v>
      </c>
      <c r="AF596" s="1948">
        <v>555</v>
      </c>
      <c r="AG596" s="1948">
        <v>376.79999999999995</v>
      </c>
      <c r="AH596" s="1948">
        <v>444</v>
      </c>
      <c r="AI596" s="1948">
        <v>0.9869</v>
      </c>
      <c r="AJ596" s="1948">
        <v>25.52</v>
      </c>
      <c r="AK596" s="1948">
        <v>71535</v>
      </c>
      <c r="AL596" s="1948">
        <f t="shared" si="141"/>
        <v>168204</v>
      </c>
      <c r="AM596" s="1948">
        <f t="shared" si="142"/>
        <v>0</v>
      </c>
      <c r="AN596" s="1948">
        <v>555</v>
      </c>
      <c r="AO596" s="1948">
        <v>366</v>
      </c>
      <c r="AP596" s="1948">
        <v>444</v>
      </c>
      <c r="AQ596" s="1948">
        <v>0.9839</v>
      </c>
      <c r="AR596" s="1948">
        <v>22.02</v>
      </c>
      <c r="AS596" s="1948">
        <v>59970</v>
      </c>
      <c r="AT596" s="1948">
        <f t="shared" si="143"/>
        <v>163382</v>
      </c>
      <c r="AU596" s="1948">
        <f t="shared" si="144"/>
        <v>0</v>
      </c>
      <c r="AV596" s="1948">
        <v>555</v>
      </c>
      <c r="AW596" s="1948">
        <v>320.40000000000003</v>
      </c>
      <c r="AX596" s="1948">
        <v>444</v>
      </c>
      <c r="AY596" s="1948">
        <v>0.97899999999999998</v>
      </c>
      <c r="AZ596" s="1948">
        <v>5.29</v>
      </c>
      <c r="BA596" s="1948">
        <v>12195</v>
      </c>
      <c r="BB596" s="1948">
        <f t="shared" si="145"/>
        <v>138413</v>
      </c>
      <c r="BC596" s="1948">
        <f t="shared" si="146"/>
        <v>0</v>
      </c>
      <c r="BD596" s="1949">
        <v>555</v>
      </c>
      <c r="BE596" s="1948">
        <v>153.6</v>
      </c>
      <c r="BF596" s="1949">
        <v>444</v>
      </c>
      <c r="BG596" s="1949">
        <v>0.96579999999999999</v>
      </c>
      <c r="BH596" s="1949">
        <v>7.3</v>
      </c>
      <c r="BI596" s="1948">
        <v>8340</v>
      </c>
      <c r="BJ596" s="1948">
        <f t="shared" si="147"/>
        <v>68567</v>
      </c>
      <c r="BK596" s="1948">
        <f t="shared" si="148"/>
        <v>0</v>
      </c>
    </row>
    <row r="597" spans="1:63" ht="15">
      <c r="A597" s="1946">
        <v>611000000004</v>
      </c>
      <c r="B597" s="1947">
        <f t="shared" si="149"/>
        <v>591</v>
      </c>
      <c r="C597" s="1906" t="s">
        <v>727</v>
      </c>
      <c r="D597" s="1907" t="s">
        <v>524</v>
      </c>
      <c r="E597" s="1906" t="s">
        <v>595</v>
      </c>
      <c r="F597" s="1948" t="s">
        <v>259</v>
      </c>
      <c r="G597" s="1949">
        <v>555</v>
      </c>
      <c r="H597" s="1948">
        <v>555</v>
      </c>
      <c r="I597" s="1950">
        <v>300</v>
      </c>
      <c r="J597" s="1948">
        <v>444</v>
      </c>
      <c r="K597" s="1948">
        <v>0.73819999999999997</v>
      </c>
      <c r="L597" s="1948">
        <v>42.56</v>
      </c>
      <c r="M597" s="1948">
        <v>91920</v>
      </c>
      <c r="N597" s="1948">
        <f t="shared" si="135"/>
        <v>129600</v>
      </c>
      <c r="O597" s="1948">
        <f t="shared" si="136"/>
        <v>0</v>
      </c>
      <c r="P597" s="1948">
        <v>555</v>
      </c>
      <c r="Q597" s="1948">
        <v>264</v>
      </c>
      <c r="R597" s="1948">
        <v>444</v>
      </c>
      <c r="S597" s="1948">
        <v>0.73329999999999995</v>
      </c>
      <c r="T597" s="1948">
        <v>40.44</v>
      </c>
      <c r="U597" s="1948">
        <v>79440</v>
      </c>
      <c r="V597" s="1948">
        <f t="shared" si="137"/>
        <v>117850</v>
      </c>
      <c r="W597" s="1948">
        <f t="shared" si="138"/>
        <v>0</v>
      </c>
      <c r="X597" s="1948">
        <v>555</v>
      </c>
      <c r="Y597" s="1948">
        <v>264</v>
      </c>
      <c r="Z597" s="1948">
        <v>444</v>
      </c>
      <c r="AA597" s="1948">
        <v>0.70150000000000001</v>
      </c>
      <c r="AB597" s="1948">
        <v>45.49</v>
      </c>
      <c r="AC597" s="1948">
        <v>86460</v>
      </c>
      <c r="AD597" s="1948">
        <f t="shared" si="139"/>
        <v>114048</v>
      </c>
      <c r="AE597" s="1948">
        <f t="shared" si="140"/>
        <v>0</v>
      </c>
      <c r="AF597" s="1948">
        <v>555</v>
      </c>
      <c r="AG597" s="1948">
        <v>276</v>
      </c>
      <c r="AH597" s="1948">
        <v>444</v>
      </c>
      <c r="AI597" s="1948">
        <v>0.69430000000000003</v>
      </c>
      <c r="AJ597" s="1948">
        <v>33.46</v>
      </c>
      <c r="AK597" s="1948">
        <v>68700</v>
      </c>
      <c r="AL597" s="1948">
        <f t="shared" si="141"/>
        <v>123206</v>
      </c>
      <c r="AM597" s="1948">
        <f t="shared" si="142"/>
        <v>0</v>
      </c>
      <c r="AN597" s="1948">
        <v>555</v>
      </c>
      <c r="AO597" s="1948">
        <v>240</v>
      </c>
      <c r="AP597" s="1948">
        <v>444</v>
      </c>
      <c r="AQ597" s="1948">
        <v>0.68610000000000004</v>
      </c>
      <c r="AR597" s="1948">
        <v>50.64</v>
      </c>
      <c r="AS597" s="1948">
        <v>90420</v>
      </c>
      <c r="AT597" s="1948">
        <f t="shared" si="143"/>
        <v>107136</v>
      </c>
      <c r="AU597" s="1948">
        <f t="shared" si="144"/>
        <v>0</v>
      </c>
      <c r="AV597" s="1948">
        <v>555</v>
      </c>
      <c r="AW597" s="1948">
        <v>216</v>
      </c>
      <c r="AX597" s="1948">
        <v>444</v>
      </c>
      <c r="AY597" s="1948">
        <v>0.67769999999999997</v>
      </c>
      <c r="AZ597" s="1948">
        <v>68.25</v>
      </c>
      <c r="BA597" s="1948">
        <v>106140</v>
      </c>
      <c r="BB597" s="1948">
        <f t="shared" si="145"/>
        <v>93312</v>
      </c>
      <c r="BC597" s="1948">
        <f t="shared" si="146"/>
        <v>12828</v>
      </c>
      <c r="BD597" s="1949">
        <v>555</v>
      </c>
      <c r="BE597" s="1948">
        <v>216</v>
      </c>
      <c r="BF597" s="1949">
        <v>444</v>
      </c>
      <c r="BG597" s="1949">
        <v>0.6401</v>
      </c>
      <c r="BH597" s="1949">
        <v>69.819999999999993</v>
      </c>
      <c r="BI597" s="1948">
        <v>112200</v>
      </c>
      <c r="BJ597" s="1948">
        <f t="shared" si="147"/>
        <v>96422</v>
      </c>
      <c r="BK597" s="1948">
        <f t="shared" si="148"/>
        <v>15778</v>
      </c>
    </row>
    <row r="598" spans="1:63" ht="15">
      <c r="A598" s="1946">
        <v>611000000069</v>
      </c>
      <c r="B598" s="1947">
        <f t="shared" si="149"/>
        <v>592</v>
      </c>
      <c r="C598" s="1906" t="s">
        <v>3440</v>
      </c>
      <c r="D598" s="1907" t="s">
        <v>524</v>
      </c>
      <c r="E598" s="1906" t="s">
        <v>629</v>
      </c>
      <c r="F598" s="1948" t="s">
        <v>259</v>
      </c>
      <c r="G598" s="1949">
        <v>555</v>
      </c>
      <c r="H598" s="1948">
        <v>555</v>
      </c>
      <c r="I598" s="1950">
        <v>114</v>
      </c>
      <c r="J598" s="1948">
        <v>555</v>
      </c>
      <c r="K598" s="1948">
        <v>0.96830000000000005</v>
      </c>
      <c r="L598" s="1948">
        <v>0</v>
      </c>
      <c r="M598" s="1948">
        <v>29415</v>
      </c>
      <c r="N598" s="1948">
        <f t="shared" si="135"/>
        <v>49248</v>
      </c>
      <c r="O598" s="1948">
        <f t="shared" si="136"/>
        <v>0</v>
      </c>
      <c r="P598" s="1948">
        <v>555</v>
      </c>
      <c r="Q598" s="1948">
        <v>97.2</v>
      </c>
      <c r="R598" s="1948">
        <v>555</v>
      </c>
      <c r="S598" s="1948">
        <v>0.96589999999999998</v>
      </c>
      <c r="T598" s="1948">
        <v>0</v>
      </c>
      <c r="U598" s="1948">
        <v>29475</v>
      </c>
      <c r="V598" s="1948">
        <f t="shared" si="137"/>
        <v>43390</v>
      </c>
      <c r="W598" s="1948">
        <f t="shared" si="138"/>
        <v>0</v>
      </c>
      <c r="X598" s="1948">
        <v>555</v>
      </c>
      <c r="Y598" s="1948">
        <v>109.2</v>
      </c>
      <c r="Z598" s="1948">
        <v>555</v>
      </c>
      <c r="AA598" s="1948">
        <v>0.9728</v>
      </c>
      <c r="AB598" s="1948">
        <v>0</v>
      </c>
      <c r="AC598" s="1948">
        <v>33105</v>
      </c>
      <c r="AD598" s="1948">
        <f t="shared" si="139"/>
        <v>47174</v>
      </c>
      <c r="AE598" s="1948">
        <f t="shared" si="140"/>
        <v>0</v>
      </c>
      <c r="AF598" s="1948">
        <v>555</v>
      </c>
      <c r="AG598" s="1948">
        <v>86.4</v>
      </c>
      <c r="AH598" s="1948">
        <v>555</v>
      </c>
      <c r="AI598" s="1948">
        <v>0.9647</v>
      </c>
      <c r="AJ598" s="1948">
        <v>0</v>
      </c>
      <c r="AK598" s="1948">
        <v>28530</v>
      </c>
      <c r="AL598" s="1948">
        <f t="shared" si="141"/>
        <v>38569</v>
      </c>
      <c r="AM598" s="1948">
        <f t="shared" si="142"/>
        <v>0</v>
      </c>
      <c r="AN598" s="1948">
        <v>555</v>
      </c>
      <c r="AO598" s="1948">
        <v>78</v>
      </c>
      <c r="AP598" s="1948">
        <v>555</v>
      </c>
      <c r="AQ598" s="1948">
        <v>0.95569999999999999</v>
      </c>
      <c r="AR598" s="1948">
        <v>0</v>
      </c>
      <c r="AS598" s="1948">
        <v>25740</v>
      </c>
      <c r="AT598" s="1948">
        <f t="shared" si="143"/>
        <v>34819</v>
      </c>
      <c r="AU598" s="1948">
        <f t="shared" si="144"/>
        <v>0</v>
      </c>
      <c r="AV598" s="1948">
        <v>555</v>
      </c>
      <c r="AW598" s="1948">
        <v>76.8</v>
      </c>
      <c r="AX598" s="1948">
        <v>555</v>
      </c>
      <c r="AY598" s="1948">
        <v>0.95209999999999995</v>
      </c>
      <c r="AZ598" s="1948">
        <v>0</v>
      </c>
      <c r="BA598" s="1948">
        <v>26955</v>
      </c>
      <c r="BB598" s="1948">
        <f t="shared" si="145"/>
        <v>33178</v>
      </c>
      <c r="BC598" s="1948">
        <f t="shared" si="146"/>
        <v>0</v>
      </c>
      <c r="BD598" s="1949">
        <v>555</v>
      </c>
      <c r="BE598" s="1948">
        <v>70.8</v>
      </c>
      <c r="BF598" s="1949">
        <v>555</v>
      </c>
      <c r="BG598" s="1949">
        <v>0.93830000000000002</v>
      </c>
      <c r="BH598" s="1949">
        <v>0</v>
      </c>
      <c r="BI598" s="1948">
        <v>24105</v>
      </c>
      <c r="BJ598" s="1948">
        <f t="shared" si="147"/>
        <v>31605</v>
      </c>
      <c r="BK598" s="1948">
        <f t="shared" si="148"/>
        <v>0</v>
      </c>
    </row>
    <row r="599" spans="1:63" ht="15">
      <c r="A599" s="1946">
        <v>611000000101</v>
      </c>
      <c r="B599" s="1947">
        <f t="shared" si="149"/>
        <v>593</v>
      </c>
      <c r="C599" s="1906" t="s">
        <v>3441</v>
      </c>
      <c r="D599" s="1907" t="s">
        <v>524</v>
      </c>
      <c r="E599" s="1906" t="s">
        <v>636</v>
      </c>
      <c r="F599" s="1948" t="s">
        <v>259</v>
      </c>
      <c r="G599" s="1949">
        <v>555</v>
      </c>
      <c r="H599" s="1948">
        <v>555</v>
      </c>
      <c r="I599" s="1950">
        <v>323.04000000000002</v>
      </c>
      <c r="J599" s="1948">
        <v>444</v>
      </c>
      <c r="K599" s="1948">
        <v>0.99580000000000002</v>
      </c>
      <c r="L599" s="1948">
        <v>37.71</v>
      </c>
      <c r="M599" s="1948">
        <v>87702</v>
      </c>
      <c r="N599" s="1948">
        <f t="shared" si="135"/>
        <v>139553</v>
      </c>
      <c r="O599" s="1948">
        <f t="shared" si="136"/>
        <v>0</v>
      </c>
      <c r="P599" s="1948">
        <v>555</v>
      </c>
      <c r="Q599" s="1948">
        <v>300.48</v>
      </c>
      <c r="R599" s="1948">
        <v>444</v>
      </c>
      <c r="S599" s="1948">
        <v>0.99880000000000002</v>
      </c>
      <c r="T599" s="1948">
        <v>40.51</v>
      </c>
      <c r="U599" s="1948">
        <v>90558</v>
      </c>
      <c r="V599" s="1948">
        <f t="shared" si="137"/>
        <v>134134</v>
      </c>
      <c r="W599" s="1948">
        <f t="shared" si="138"/>
        <v>0</v>
      </c>
      <c r="X599" s="1948">
        <v>555</v>
      </c>
      <c r="Y599" s="1948">
        <v>328.32</v>
      </c>
      <c r="Z599" s="1948">
        <v>444</v>
      </c>
      <c r="AA599" s="1948">
        <v>0.99560000000000004</v>
      </c>
      <c r="AB599" s="1948">
        <v>40.15</v>
      </c>
      <c r="AC599" s="1948">
        <v>94914</v>
      </c>
      <c r="AD599" s="1948">
        <f t="shared" si="139"/>
        <v>141834</v>
      </c>
      <c r="AE599" s="1948">
        <f t="shared" si="140"/>
        <v>0</v>
      </c>
      <c r="AF599" s="1948">
        <v>555</v>
      </c>
      <c r="AG599" s="1948">
        <v>320.15999999999997</v>
      </c>
      <c r="AH599" s="1948">
        <v>444</v>
      </c>
      <c r="AI599" s="1948">
        <v>0.999</v>
      </c>
      <c r="AJ599" s="1948">
        <v>38.07</v>
      </c>
      <c r="AK599" s="1948">
        <v>90684</v>
      </c>
      <c r="AL599" s="1948">
        <f t="shared" si="141"/>
        <v>142919</v>
      </c>
      <c r="AM599" s="1948">
        <f t="shared" si="142"/>
        <v>0</v>
      </c>
      <c r="AN599" s="1948">
        <v>555</v>
      </c>
      <c r="AO599" s="1948">
        <v>327.35999999999996</v>
      </c>
      <c r="AP599" s="1948">
        <v>444</v>
      </c>
      <c r="AQ599" s="1948">
        <v>0.99770000000000003</v>
      </c>
      <c r="AR599" s="1948">
        <v>36.51</v>
      </c>
      <c r="AS599" s="1948">
        <v>88926</v>
      </c>
      <c r="AT599" s="1948">
        <f t="shared" si="143"/>
        <v>146134</v>
      </c>
      <c r="AU599" s="1948">
        <f t="shared" si="144"/>
        <v>0</v>
      </c>
      <c r="AV599" s="1948">
        <v>555</v>
      </c>
      <c r="AW599" s="1948">
        <v>324.95999999999998</v>
      </c>
      <c r="AX599" s="1948">
        <v>444</v>
      </c>
      <c r="AY599" s="1948">
        <v>0.97570000000000001</v>
      </c>
      <c r="AZ599" s="1948">
        <v>37.64</v>
      </c>
      <c r="BA599" s="1948">
        <v>88062</v>
      </c>
      <c r="BB599" s="1948">
        <f t="shared" si="145"/>
        <v>140383</v>
      </c>
      <c r="BC599" s="1948">
        <f t="shared" si="146"/>
        <v>0</v>
      </c>
      <c r="BD599" s="1949">
        <v>555</v>
      </c>
      <c r="BE599" s="1948">
        <v>303.36</v>
      </c>
      <c r="BF599" s="1949">
        <v>444</v>
      </c>
      <c r="BG599" s="1949">
        <v>0.99470000000000003</v>
      </c>
      <c r="BH599" s="1949">
        <v>38.53</v>
      </c>
      <c r="BI599" s="1948">
        <v>86970</v>
      </c>
      <c r="BJ599" s="1948">
        <f t="shared" si="147"/>
        <v>135420</v>
      </c>
      <c r="BK599" s="1948">
        <f t="shared" si="148"/>
        <v>0</v>
      </c>
    </row>
    <row r="600" spans="1:63" ht="15">
      <c r="A600" s="1946">
        <v>611000000105</v>
      </c>
      <c r="B600" s="1947">
        <f t="shared" si="149"/>
        <v>594</v>
      </c>
      <c r="C600" s="1906" t="s">
        <v>3434</v>
      </c>
      <c r="D600" s="1907" t="s">
        <v>524</v>
      </c>
      <c r="E600" s="1906" t="s">
        <v>629</v>
      </c>
      <c r="F600" s="1948" t="s">
        <v>259</v>
      </c>
      <c r="G600" s="1949">
        <v>555</v>
      </c>
      <c r="H600" s="1948">
        <v>555</v>
      </c>
      <c r="I600" s="1950">
        <v>132</v>
      </c>
      <c r="J600" s="1948">
        <v>555</v>
      </c>
      <c r="K600" s="1948">
        <v>0.99960000000000004</v>
      </c>
      <c r="L600" s="1948">
        <v>0</v>
      </c>
      <c r="M600" s="1948">
        <v>33996</v>
      </c>
      <c r="N600" s="1948">
        <f t="shared" si="135"/>
        <v>57024</v>
      </c>
      <c r="O600" s="1948">
        <f t="shared" si="136"/>
        <v>0</v>
      </c>
      <c r="P600" s="1948">
        <v>555</v>
      </c>
      <c r="Q600" s="1948">
        <v>117.60000000000001</v>
      </c>
      <c r="R600" s="1948">
        <v>555</v>
      </c>
      <c r="S600" s="1948">
        <v>0.99929999999999997</v>
      </c>
      <c r="T600" s="1948">
        <v>0</v>
      </c>
      <c r="U600" s="1948">
        <v>36120</v>
      </c>
      <c r="V600" s="1948">
        <f t="shared" si="137"/>
        <v>52497</v>
      </c>
      <c r="W600" s="1948">
        <f t="shared" si="138"/>
        <v>0</v>
      </c>
      <c r="X600" s="1948">
        <v>555</v>
      </c>
      <c r="Y600" s="1948">
        <v>141.6</v>
      </c>
      <c r="Z600" s="1948">
        <v>555</v>
      </c>
      <c r="AA600" s="1948">
        <v>0.999</v>
      </c>
      <c r="AB600" s="1948">
        <v>0</v>
      </c>
      <c r="AC600" s="1948">
        <v>39894</v>
      </c>
      <c r="AD600" s="1948">
        <f t="shared" si="139"/>
        <v>61171</v>
      </c>
      <c r="AE600" s="1948">
        <f t="shared" si="140"/>
        <v>0</v>
      </c>
      <c r="AF600" s="1948">
        <v>555</v>
      </c>
      <c r="AG600" s="1948">
        <v>112.8</v>
      </c>
      <c r="AH600" s="1948">
        <v>555</v>
      </c>
      <c r="AI600" s="1948">
        <v>0.99980000000000002</v>
      </c>
      <c r="AJ600" s="1948">
        <v>0</v>
      </c>
      <c r="AK600" s="1948">
        <v>35760</v>
      </c>
      <c r="AL600" s="1948">
        <f t="shared" si="141"/>
        <v>50354</v>
      </c>
      <c r="AM600" s="1948">
        <f t="shared" si="142"/>
        <v>0</v>
      </c>
      <c r="AN600" s="1948">
        <v>555</v>
      </c>
      <c r="AO600" s="1948">
        <v>104.16</v>
      </c>
      <c r="AP600" s="1948">
        <v>555</v>
      </c>
      <c r="AQ600" s="1948">
        <v>0.99960000000000004</v>
      </c>
      <c r="AR600" s="1948">
        <v>0</v>
      </c>
      <c r="AS600" s="1948">
        <v>33786</v>
      </c>
      <c r="AT600" s="1948">
        <f t="shared" si="143"/>
        <v>46497</v>
      </c>
      <c r="AU600" s="1948">
        <f t="shared" si="144"/>
        <v>0</v>
      </c>
      <c r="AV600" s="1948">
        <v>555</v>
      </c>
      <c r="AW600" s="1948">
        <v>101.28</v>
      </c>
      <c r="AX600" s="1948">
        <v>555</v>
      </c>
      <c r="AY600" s="1948">
        <v>0.99960000000000004</v>
      </c>
      <c r="AZ600" s="1948">
        <v>0</v>
      </c>
      <c r="BA600" s="1948">
        <v>33498</v>
      </c>
      <c r="BB600" s="1948">
        <f t="shared" si="145"/>
        <v>43753</v>
      </c>
      <c r="BC600" s="1948">
        <f t="shared" si="146"/>
        <v>0</v>
      </c>
      <c r="BD600" s="1949">
        <v>555</v>
      </c>
      <c r="BE600" s="1948">
        <v>100.80000000000001</v>
      </c>
      <c r="BF600" s="1949">
        <v>555</v>
      </c>
      <c r="BG600" s="1949">
        <v>0.99970000000000003</v>
      </c>
      <c r="BH600" s="1949">
        <v>0</v>
      </c>
      <c r="BI600" s="1948">
        <v>29220</v>
      </c>
      <c r="BJ600" s="1948">
        <f t="shared" si="147"/>
        <v>44997</v>
      </c>
      <c r="BK600" s="1948">
        <f t="shared" si="148"/>
        <v>0</v>
      </c>
    </row>
    <row r="601" spans="1:63" ht="15">
      <c r="A601" s="1946">
        <v>615000000023</v>
      </c>
      <c r="B601" s="1947">
        <f t="shared" si="149"/>
        <v>595</v>
      </c>
      <c r="C601" s="1906" t="s">
        <v>3442</v>
      </c>
      <c r="D601" s="1907" t="s">
        <v>524</v>
      </c>
      <c r="E601" s="1906" t="s">
        <v>541</v>
      </c>
      <c r="F601" s="1948" t="s">
        <v>259</v>
      </c>
      <c r="G601" s="1949">
        <v>555</v>
      </c>
      <c r="H601" s="1948">
        <v>555</v>
      </c>
      <c r="I601" s="1950">
        <v>269.76</v>
      </c>
      <c r="J601" s="1948">
        <v>444</v>
      </c>
      <c r="K601" s="1948">
        <v>0.9869</v>
      </c>
      <c r="L601" s="1948">
        <v>36.799999999999997</v>
      </c>
      <c r="M601" s="1948">
        <v>71481</v>
      </c>
      <c r="N601" s="1948">
        <f t="shared" si="135"/>
        <v>116536</v>
      </c>
      <c r="O601" s="1948">
        <f t="shared" si="136"/>
        <v>0</v>
      </c>
      <c r="P601" s="1948">
        <v>555</v>
      </c>
      <c r="Q601" s="1948">
        <v>282.96000000000004</v>
      </c>
      <c r="R601" s="1948">
        <v>444</v>
      </c>
      <c r="S601" s="1948">
        <v>0.98760000000000003</v>
      </c>
      <c r="T601" s="1948">
        <v>30.98</v>
      </c>
      <c r="U601" s="1948">
        <v>65214</v>
      </c>
      <c r="V601" s="1948">
        <f t="shared" si="137"/>
        <v>126313</v>
      </c>
      <c r="W601" s="1948">
        <f t="shared" si="138"/>
        <v>0</v>
      </c>
      <c r="X601" s="1948">
        <v>555</v>
      </c>
      <c r="Y601" s="1948">
        <v>294.24</v>
      </c>
      <c r="Z601" s="1948">
        <v>444</v>
      </c>
      <c r="AA601" s="1948">
        <v>0.98619999999999997</v>
      </c>
      <c r="AB601" s="1948">
        <v>23.59</v>
      </c>
      <c r="AC601" s="1948">
        <v>49980</v>
      </c>
      <c r="AD601" s="1948">
        <f t="shared" si="139"/>
        <v>127112</v>
      </c>
      <c r="AE601" s="1948">
        <f t="shared" si="140"/>
        <v>0</v>
      </c>
      <c r="AF601" s="1948">
        <v>555</v>
      </c>
      <c r="AG601" s="1948">
        <v>258.48</v>
      </c>
      <c r="AH601" s="1948">
        <v>444</v>
      </c>
      <c r="AI601" s="1948">
        <v>0.98629999999999995</v>
      </c>
      <c r="AJ601" s="1948">
        <v>25.44</v>
      </c>
      <c r="AK601" s="1948">
        <v>48921</v>
      </c>
      <c r="AL601" s="1948">
        <f t="shared" si="141"/>
        <v>115385</v>
      </c>
      <c r="AM601" s="1948">
        <f t="shared" si="142"/>
        <v>0</v>
      </c>
      <c r="AN601" s="1948">
        <v>555</v>
      </c>
      <c r="AO601" s="1948">
        <v>288</v>
      </c>
      <c r="AP601" s="1948">
        <v>444</v>
      </c>
      <c r="AQ601" s="1948">
        <v>0.98709999999999998</v>
      </c>
      <c r="AR601" s="1948">
        <v>23.73</v>
      </c>
      <c r="AS601" s="1948">
        <v>50847</v>
      </c>
      <c r="AT601" s="1948">
        <f t="shared" si="143"/>
        <v>128563</v>
      </c>
      <c r="AU601" s="1948">
        <f t="shared" si="144"/>
        <v>0</v>
      </c>
      <c r="AV601" s="1948">
        <v>555</v>
      </c>
      <c r="AW601" s="1948">
        <v>290.15999999999997</v>
      </c>
      <c r="AX601" s="1948">
        <v>444</v>
      </c>
      <c r="AY601" s="1948">
        <v>0.98550000000000004</v>
      </c>
      <c r="AZ601" s="1948">
        <v>26.11</v>
      </c>
      <c r="BA601" s="1948">
        <v>54543</v>
      </c>
      <c r="BB601" s="1948">
        <f t="shared" si="145"/>
        <v>125349</v>
      </c>
      <c r="BC601" s="1948">
        <f t="shared" si="146"/>
        <v>0</v>
      </c>
      <c r="BD601" s="1949">
        <v>555</v>
      </c>
      <c r="BE601" s="1948">
        <v>270</v>
      </c>
      <c r="BF601" s="1949">
        <v>444</v>
      </c>
      <c r="BG601" s="1949">
        <v>0.98440000000000005</v>
      </c>
      <c r="BH601" s="1949">
        <v>28.19</v>
      </c>
      <c r="BI601" s="1948">
        <v>56628</v>
      </c>
      <c r="BJ601" s="1948">
        <f t="shared" si="147"/>
        <v>120528</v>
      </c>
      <c r="BK601" s="1948">
        <f t="shared" si="148"/>
        <v>0</v>
      </c>
    </row>
    <row r="602" spans="1:63" ht="15">
      <c r="A602" s="1946">
        <v>615000000030</v>
      </c>
      <c r="B602" s="1947">
        <f t="shared" si="149"/>
        <v>596</v>
      </c>
      <c r="C602" s="1906" t="s">
        <v>3443</v>
      </c>
      <c r="D602" s="1907" t="s">
        <v>524</v>
      </c>
      <c r="E602" s="1906" t="s">
        <v>541</v>
      </c>
      <c r="F602" s="1948" t="s">
        <v>259</v>
      </c>
      <c r="G602" s="1949">
        <v>555</v>
      </c>
      <c r="H602" s="1948">
        <v>555</v>
      </c>
      <c r="I602" s="1950">
        <v>239.04</v>
      </c>
      <c r="J602" s="1948">
        <v>444</v>
      </c>
      <c r="K602" s="1948">
        <v>0.66990000000000005</v>
      </c>
      <c r="L602" s="1948">
        <v>18.8</v>
      </c>
      <c r="M602" s="1948">
        <v>32351</v>
      </c>
      <c r="N602" s="1948">
        <f t="shared" si="135"/>
        <v>103265</v>
      </c>
      <c r="O602" s="1948">
        <f t="shared" si="136"/>
        <v>0</v>
      </c>
      <c r="P602" s="1948">
        <v>555</v>
      </c>
      <c r="Q602" s="1948">
        <v>229.67999999999998</v>
      </c>
      <c r="R602" s="1948">
        <v>444</v>
      </c>
      <c r="S602" s="1948">
        <v>0.64339999999999997</v>
      </c>
      <c r="T602" s="1948">
        <v>18</v>
      </c>
      <c r="U602" s="1948">
        <v>30753</v>
      </c>
      <c r="V602" s="1948">
        <f t="shared" si="137"/>
        <v>102529</v>
      </c>
      <c r="W602" s="1948">
        <f t="shared" si="138"/>
        <v>0</v>
      </c>
      <c r="X602" s="1948">
        <v>555</v>
      </c>
      <c r="Y602" s="1948">
        <v>204.12</v>
      </c>
      <c r="Z602" s="1948">
        <v>444</v>
      </c>
      <c r="AA602" s="1948">
        <v>0.63660000000000005</v>
      </c>
      <c r="AB602" s="1948">
        <v>13.79</v>
      </c>
      <c r="AC602" s="1948">
        <v>20273</v>
      </c>
      <c r="AD602" s="1948">
        <f t="shared" si="139"/>
        <v>88180</v>
      </c>
      <c r="AE602" s="1948">
        <f t="shared" si="140"/>
        <v>0</v>
      </c>
      <c r="AF602" s="1948">
        <v>555</v>
      </c>
      <c r="AG602" s="1948">
        <v>207</v>
      </c>
      <c r="AH602" s="1948">
        <v>444</v>
      </c>
      <c r="AI602" s="1948">
        <v>0.63870000000000005</v>
      </c>
      <c r="AJ602" s="1948">
        <v>16.48</v>
      </c>
      <c r="AK602" s="1948">
        <v>25384</v>
      </c>
      <c r="AL602" s="1948">
        <f t="shared" si="141"/>
        <v>92405</v>
      </c>
      <c r="AM602" s="1948">
        <f t="shared" si="142"/>
        <v>0</v>
      </c>
      <c r="AN602" s="1948">
        <v>555</v>
      </c>
      <c r="AO602" s="1948">
        <v>209.88</v>
      </c>
      <c r="AP602" s="1948">
        <v>444</v>
      </c>
      <c r="AQ602" s="1948">
        <v>0.65229999999999999</v>
      </c>
      <c r="AR602" s="1948">
        <v>20.079999999999998</v>
      </c>
      <c r="AS602" s="1948">
        <v>31361</v>
      </c>
      <c r="AT602" s="1948">
        <f t="shared" si="143"/>
        <v>93690</v>
      </c>
      <c r="AU602" s="1948">
        <f t="shared" si="144"/>
        <v>0</v>
      </c>
      <c r="AV602" s="1948">
        <v>555</v>
      </c>
      <c r="AW602" s="1948">
        <v>217.79999999999998</v>
      </c>
      <c r="AX602" s="1948">
        <v>444</v>
      </c>
      <c r="AY602" s="1948">
        <v>0.67059999999999997</v>
      </c>
      <c r="AZ602" s="1948">
        <v>10.92</v>
      </c>
      <c r="BA602" s="1948">
        <v>17132</v>
      </c>
      <c r="BB602" s="1948">
        <f t="shared" si="145"/>
        <v>94090</v>
      </c>
      <c r="BC602" s="1948">
        <f t="shared" si="146"/>
        <v>0</v>
      </c>
      <c r="BD602" s="1949">
        <v>555</v>
      </c>
      <c r="BE602" s="1948">
        <v>250.55999999999997</v>
      </c>
      <c r="BF602" s="1949">
        <v>444</v>
      </c>
      <c r="BG602" s="1949">
        <v>0.67090000000000005</v>
      </c>
      <c r="BH602" s="1949">
        <v>15.74</v>
      </c>
      <c r="BI602" s="1948">
        <v>29336</v>
      </c>
      <c r="BJ602" s="1948">
        <f t="shared" si="147"/>
        <v>111850</v>
      </c>
      <c r="BK602" s="1948">
        <f t="shared" si="148"/>
        <v>0</v>
      </c>
    </row>
    <row r="603" spans="1:63" ht="15">
      <c r="A603" s="1946">
        <v>615000000031</v>
      </c>
      <c r="B603" s="1947">
        <f t="shared" si="149"/>
        <v>597</v>
      </c>
      <c r="C603" s="1906" t="s">
        <v>3444</v>
      </c>
      <c r="D603" s="1907" t="s">
        <v>524</v>
      </c>
      <c r="E603" s="1906" t="s">
        <v>541</v>
      </c>
      <c r="F603" s="1948" t="s">
        <v>259</v>
      </c>
      <c r="G603" s="1949">
        <v>555</v>
      </c>
      <c r="H603" s="1948">
        <v>555</v>
      </c>
      <c r="I603" s="1950">
        <v>12</v>
      </c>
      <c r="J603" s="1948">
        <v>444</v>
      </c>
      <c r="K603" s="1948">
        <v>0.99070000000000003</v>
      </c>
      <c r="L603" s="1948">
        <v>33.75</v>
      </c>
      <c r="M603" s="1948">
        <v>2916</v>
      </c>
      <c r="N603" s="1948">
        <f t="shared" si="135"/>
        <v>5184</v>
      </c>
      <c r="O603" s="1948">
        <f t="shared" si="136"/>
        <v>0</v>
      </c>
      <c r="P603" s="1948">
        <v>555</v>
      </c>
      <c r="Q603" s="1948">
        <v>17.760000000000002</v>
      </c>
      <c r="R603" s="1948">
        <v>444</v>
      </c>
      <c r="S603" s="1948">
        <v>0.94289999999999996</v>
      </c>
      <c r="T603" s="1948">
        <v>31.45</v>
      </c>
      <c r="U603" s="1948">
        <v>4155</v>
      </c>
      <c r="V603" s="1948">
        <f t="shared" si="137"/>
        <v>7928</v>
      </c>
      <c r="W603" s="1948">
        <f t="shared" si="138"/>
        <v>0</v>
      </c>
      <c r="X603" s="1948">
        <v>555</v>
      </c>
      <c r="Y603" s="1948">
        <v>16.32</v>
      </c>
      <c r="Z603" s="1948">
        <v>444</v>
      </c>
      <c r="AA603" s="1948">
        <v>0.92090000000000005</v>
      </c>
      <c r="AB603" s="1948">
        <v>30.99</v>
      </c>
      <c r="AC603" s="1948">
        <v>3642</v>
      </c>
      <c r="AD603" s="1948">
        <f t="shared" si="139"/>
        <v>7050</v>
      </c>
      <c r="AE603" s="1948">
        <f t="shared" si="140"/>
        <v>0</v>
      </c>
      <c r="AF603" s="1948">
        <v>555</v>
      </c>
      <c r="AG603" s="1948">
        <v>28.32</v>
      </c>
      <c r="AH603" s="1948">
        <v>444</v>
      </c>
      <c r="AI603" s="1948">
        <v>0.60150000000000003</v>
      </c>
      <c r="AJ603" s="1948">
        <v>16.190000000000001</v>
      </c>
      <c r="AK603" s="1948">
        <v>3411</v>
      </c>
      <c r="AL603" s="1948">
        <f t="shared" si="141"/>
        <v>12642</v>
      </c>
      <c r="AM603" s="1948">
        <f t="shared" si="142"/>
        <v>0</v>
      </c>
      <c r="AN603" s="1948">
        <v>555</v>
      </c>
      <c r="AO603" s="1948">
        <v>30.96</v>
      </c>
      <c r="AP603" s="1948">
        <v>444</v>
      </c>
      <c r="AQ603" s="1948">
        <v>0.76970000000000005</v>
      </c>
      <c r="AR603" s="1948">
        <v>8.09</v>
      </c>
      <c r="AS603" s="1948">
        <v>1863</v>
      </c>
      <c r="AT603" s="1948">
        <f t="shared" si="143"/>
        <v>13821</v>
      </c>
      <c r="AU603" s="1948">
        <f t="shared" si="144"/>
        <v>0</v>
      </c>
      <c r="AV603" s="1948">
        <v>555</v>
      </c>
      <c r="AW603" s="1948">
        <v>6.9599999999999991</v>
      </c>
      <c r="AX603" s="1948">
        <v>444</v>
      </c>
      <c r="AY603" s="1948">
        <v>0.99350000000000005</v>
      </c>
      <c r="AZ603" s="1948">
        <v>27.78</v>
      </c>
      <c r="BA603" s="1948">
        <v>1392</v>
      </c>
      <c r="BB603" s="1948">
        <f t="shared" si="145"/>
        <v>3007</v>
      </c>
      <c r="BC603" s="1948">
        <f t="shared" si="146"/>
        <v>0</v>
      </c>
      <c r="BD603" s="1949">
        <v>555</v>
      </c>
      <c r="BE603" s="1948">
        <v>13.68</v>
      </c>
      <c r="BF603" s="1949">
        <v>444</v>
      </c>
      <c r="BG603" s="1949">
        <v>0.91510000000000002</v>
      </c>
      <c r="BH603" s="1949">
        <v>18.07</v>
      </c>
      <c r="BI603" s="1948">
        <v>1839</v>
      </c>
      <c r="BJ603" s="1948">
        <f t="shared" si="147"/>
        <v>6107</v>
      </c>
      <c r="BK603" s="1948">
        <f t="shared" si="148"/>
        <v>0</v>
      </c>
    </row>
    <row r="604" spans="1:63" ht="15">
      <c r="A604" s="1946">
        <v>615000000041</v>
      </c>
      <c r="B604" s="1947">
        <f t="shared" si="149"/>
        <v>598</v>
      </c>
      <c r="C604" s="1906" t="s">
        <v>3435</v>
      </c>
      <c r="D604" s="1907" t="s">
        <v>524</v>
      </c>
      <c r="E604" s="1906" t="s">
        <v>541</v>
      </c>
      <c r="F604" s="1948" t="s">
        <v>259</v>
      </c>
      <c r="G604" s="1949">
        <v>555</v>
      </c>
      <c r="H604" s="1948">
        <v>555</v>
      </c>
      <c r="I604" s="1950">
        <v>308.15999999999997</v>
      </c>
      <c r="J604" s="1948">
        <v>444</v>
      </c>
      <c r="K604" s="1948">
        <v>0.90510000000000002</v>
      </c>
      <c r="L604" s="1948">
        <v>20.45</v>
      </c>
      <c r="M604" s="1948">
        <v>49908</v>
      </c>
      <c r="N604" s="1948">
        <f t="shared" si="135"/>
        <v>133125</v>
      </c>
      <c r="O604" s="1948">
        <f t="shared" si="136"/>
        <v>0</v>
      </c>
      <c r="P604" s="1948">
        <v>555</v>
      </c>
      <c r="Q604" s="1948">
        <v>318.24</v>
      </c>
      <c r="R604" s="1948">
        <v>444</v>
      </c>
      <c r="S604" s="1948">
        <v>0.90710000000000002</v>
      </c>
      <c r="T604" s="1948">
        <v>14.24</v>
      </c>
      <c r="U604" s="1948">
        <v>33714</v>
      </c>
      <c r="V604" s="1948">
        <f t="shared" si="137"/>
        <v>142062</v>
      </c>
      <c r="W604" s="1948">
        <f t="shared" si="138"/>
        <v>0</v>
      </c>
      <c r="X604" s="1948">
        <v>555</v>
      </c>
      <c r="Y604" s="1948">
        <v>313.92</v>
      </c>
      <c r="Z604" s="1948">
        <v>444</v>
      </c>
      <c r="AA604" s="1948">
        <v>0.90400000000000003</v>
      </c>
      <c r="AB604" s="1948">
        <v>13.2</v>
      </c>
      <c r="AC604" s="1948">
        <v>29838</v>
      </c>
      <c r="AD604" s="1948">
        <f t="shared" si="139"/>
        <v>135613</v>
      </c>
      <c r="AE604" s="1948">
        <f t="shared" si="140"/>
        <v>0</v>
      </c>
      <c r="AF604" s="1948">
        <v>555</v>
      </c>
      <c r="AG604" s="1948">
        <v>319.68</v>
      </c>
      <c r="AH604" s="1948">
        <v>444</v>
      </c>
      <c r="AI604" s="1948">
        <v>0.90980000000000005</v>
      </c>
      <c r="AJ604" s="1948">
        <v>15.83</v>
      </c>
      <c r="AK604" s="1948">
        <v>37662</v>
      </c>
      <c r="AL604" s="1948">
        <f t="shared" si="141"/>
        <v>142705</v>
      </c>
      <c r="AM604" s="1948">
        <f t="shared" si="142"/>
        <v>0</v>
      </c>
      <c r="AN604" s="1948">
        <v>555</v>
      </c>
      <c r="AO604" s="1948">
        <v>355.68</v>
      </c>
      <c r="AP604" s="1948">
        <v>444</v>
      </c>
      <c r="AQ604" s="1948">
        <v>0.91390000000000005</v>
      </c>
      <c r="AR604" s="1948">
        <v>16.53</v>
      </c>
      <c r="AS604" s="1948">
        <v>43740</v>
      </c>
      <c r="AT604" s="1948">
        <f t="shared" si="143"/>
        <v>158776</v>
      </c>
      <c r="AU604" s="1948">
        <f t="shared" si="144"/>
        <v>0</v>
      </c>
      <c r="AV604" s="1948">
        <v>555</v>
      </c>
      <c r="AW604" s="1948">
        <v>348</v>
      </c>
      <c r="AX604" s="1948">
        <v>444</v>
      </c>
      <c r="AY604" s="1948">
        <v>0.91080000000000005</v>
      </c>
      <c r="AZ604" s="1948">
        <v>10.86</v>
      </c>
      <c r="BA604" s="1948">
        <v>27204</v>
      </c>
      <c r="BB604" s="1948">
        <f t="shared" si="145"/>
        <v>150336</v>
      </c>
      <c r="BC604" s="1948">
        <f t="shared" si="146"/>
        <v>0</v>
      </c>
      <c r="BD604" s="1949">
        <v>555</v>
      </c>
      <c r="BE604" s="1948">
        <v>289.92</v>
      </c>
      <c r="BF604" s="1949">
        <v>444</v>
      </c>
      <c r="BG604" s="1949">
        <v>0.91120000000000001</v>
      </c>
      <c r="BH604" s="1949">
        <v>14.79</v>
      </c>
      <c r="BI604" s="1948">
        <v>31902</v>
      </c>
      <c r="BJ604" s="1948">
        <f t="shared" si="147"/>
        <v>129420</v>
      </c>
      <c r="BK604" s="1948">
        <f t="shared" si="148"/>
        <v>0</v>
      </c>
    </row>
    <row r="605" spans="1:63" ht="15">
      <c r="A605" s="1946">
        <v>615000000053</v>
      </c>
      <c r="B605" s="1947">
        <f t="shared" si="149"/>
        <v>599</v>
      </c>
      <c r="C605" s="1906" t="s">
        <v>3433</v>
      </c>
      <c r="D605" s="1907" t="s">
        <v>524</v>
      </c>
      <c r="E605" s="1906" t="s">
        <v>541</v>
      </c>
      <c r="F605" s="1948" t="s">
        <v>259</v>
      </c>
      <c r="G605" s="1949">
        <v>555</v>
      </c>
      <c r="H605" s="1948">
        <v>555</v>
      </c>
      <c r="I605" s="1950">
        <v>326.88</v>
      </c>
      <c r="J605" s="1948">
        <v>444</v>
      </c>
      <c r="K605" s="1948">
        <v>0.96299999999999997</v>
      </c>
      <c r="L605" s="1948">
        <v>31.06</v>
      </c>
      <c r="M605" s="1948">
        <v>73110</v>
      </c>
      <c r="N605" s="1948">
        <f t="shared" si="135"/>
        <v>141212</v>
      </c>
      <c r="O605" s="1948">
        <f t="shared" si="136"/>
        <v>0</v>
      </c>
      <c r="P605" s="1948">
        <v>555</v>
      </c>
      <c r="Q605" s="1948">
        <v>392.15999999999997</v>
      </c>
      <c r="R605" s="1948">
        <v>444</v>
      </c>
      <c r="S605" s="1948">
        <v>0.70009999999999994</v>
      </c>
      <c r="T605" s="1948">
        <v>36.65</v>
      </c>
      <c r="U605" s="1948">
        <v>106941</v>
      </c>
      <c r="V605" s="1948">
        <f t="shared" si="137"/>
        <v>175060</v>
      </c>
      <c r="W605" s="1948">
        <f t="shared" si="138"/>
        <v>0</v>
      </c>
      <c r="X605" s="1948">
        <v>555</v>
      </c>
      <c r="Y605" s="1948">
        <v>375.36</v>
      </c>
      <c r="Z605" s="1948">
        <v>444</v>
      </c>
      <c r="AA605" s="1948">
        <v>0.65600000000000003</v>
      </c>
      <c r="AB605" s="1948">
        <v>34.11</v>
      </c>
      <c r="AC605" s="1948">
        <v>92178</v>
      </c>
      <c r="AD605" s="1948">
        <f t="shared" si="139"/>
        <v>162156</v>
      </c>
      <c r="AE605" s="1948">
        <f t="shared" si="140"/>
        <v>0</v>
      </c>
      <c r="AF605" s="1948">
        <v>555</v>
      </c>
      <c r="AG605" s="1948">
        <v>382.08000000000004</v>
      </c>
      <c r="AH605" s="1948">
        <v>444</v>
      </c>
      <c r="AI605" s="1948">
        <v>0.67700000000000005</v>
      </c>
      <c r="AJ605" s="1948">
        <v>46.41</v>
      </c>
      <c r="AK605" s="1948">
        <v>131916</v>
      </c>
      <c r="AL605" s="1948">
        <f t="shared" si="141"/>
        <v>170561</v>
      </c>
      <c r="AM605" s="1948">
        <f t="shared" si="142"/>
        <v>0</v>
      </c>
      <c r="AN605" s="1948">
        <v>555</v>
      </c>
      <c r="AO605" s="1948">
        <v>367.68</v>
      </c>
      <c r="AP605" s="1948">
        <v>444</v>
      </c>
      <c r="AQ605" s="1948">
        <v>0.69489999999999996</v>
      </c>
      <c r="AR605" s="1948">
        <v>34.96</v>
      </c>
      <c r="AS605" s="1948">
        <v>95622</v>
      </c>
      <c r="AT605" s="1948">
        <f t="shared" si="143"/>
        <v>164132</v>
      </c>
      <c r="AU605" s="1948">
        <f t="shared" si="144"/>
        <v>0</v>
      </c>
      <c r="AV605" s="1948">
        <v>555</v>
      </c>
      <c r="AW605" s="1948">
        <v>367.91999999999996</v>
      </c>
      <c r="AX605" s="1948">
        <v>444</v>
      </c>
      <c r="AY605" s="1948">
        <v>0.68440000000000001</v>
      </c>
      <c r="AZ605" s="1948">
        <v>26.38</v>
      </c>
      <c r="BA605" s="1948">
        <v>69891</v>
      </c>
      <c r="BB605" s="1948">
        <f t="shared" si="145"/>
        <v>158941</v>
      </c>
      <c r="BC605" s="1948">
        <f t="shared" si="146"/>
        <v>0</v>
      </c>
      <c r="BD605" s="1949">
        <v>555</v>
      </c>
      <c r="BE605" s="1948">
        <v>384.48</v>
      </c>
      <c r="BF605" s="1949">
        <v>444</v>
      </c>
      <c r="BG605" s="1949">
        <v>0.67100000000000004</v>
      </c>
      <c r="BH605" s="1949">
        <v>31.67</v>
      </c>
      <c r="BI605" s="1948">
        <v>90588</v>
      </c>
      <c r="BJ605" s="1948">
        <f t="shared" si="147"/>
        <v>171632</v>
      </c>
      <c r="BK605" s="1948">
        <f t="shared" si="148"/>
        <v>0</v>
      </c>
    </row>
    <row r="606" spans="1:63" ht="15">
      <c r="A606" s="1946">
        <v>615000000058</v>
      </c>
      <c r="B606" s="1947">
        <f t="shared" si="149"/>
        <v>600</v>
      </c>
      <c r="C606" s="1906" t="s">
        <v>3432</v>
      </c>
      <c r="D606" s="1907" t="s">
        <v>524</v>
      </c>
      <c r="E606" s="1906" t="s">
        <v>541</v>
      </c>
      <c r="F606" s="1948" t="s">
        <v>259</v>
      </c>
      <c r="G606" s="1949">
        <v>555</v>
      </c>
      <c r="H606" s="1948">
        <v>555</v>
      </c>
      <c r="I606" s="1950">
        <v>240.48</v>
      </c>
      <c r="J606" s="1948">
        <v>444</v>
      </c>
      <c r="K606" s="1948">
        <v>0.99680000000000002</v>
      </c>
      <c r="L606" s="1948">
        <v>12.14</v>
      </c>
      <c r="M606" s="1948">
        <v>21018</v>
      </c>
      <c r="N606" s="1948">
        <f t="shared" si="135"/>
        <v>103887</v>
      </c>
      <c r="O606" s="1948">
        <f t="shared" si="136"/>
        <v>0</v>
      </c>
      <c r="P606" s="1948">
        <v>555</v>
      </c>
      <c r="Q606" s="1948">
        <v>248.64</v>
      </c>
      <c r="R606" s="1948">
        <v>444</v>
      </c>
      <c r="S606" s="1948">
        <v>0.998</v>
      </c>
      <c r="T606" s="1948">
        <v>20.47</v>
      </c>
      <c r="U606" s="1948">
        <v>37875</v>
      </c>
      <c r="V606" s="1948">
        <f t="shared" si="137"/>
        <v>110993</v>
      </c>
      <c r="W606" s="1948">
        <f t="shared" si="138"/>
        <v>0</v>
      </c>
      <c r="X606" s="1948">
        <v>555</v>
      </c>
      <c r="Y606" s="1948">
        <v>249.36</v>
      </c>
      <c r="Z606" s="1948">
        <v>444</v>
      </c>
      <c r="AA606" s="1948">
        <v>0.99739999999999995</v>
      </c>
      <c r="AB606" s="1948">
        <v>3.9</v>
      </c>
      <c r="AC606" s="1948">
        <v>7002</v>
      </c>
      <c r="AD606" s="1948">
        <f t="shared" si="139"/>
        <v>107724</v>
      </c>
      <c r="AE606" s="1948">
        <f t="shared" si="140"/>
        <v>0</v>
      </c>
      <c r="AF606" s="1948">
        <v>555</v>
      </c>
      <c r="AG606" s="1948">
        <v>331.92</v>
      </c>
      <c r="AH606" s="1948">
        <v>444</v>
      </c>
      <c r="AI606" s="1948">
        <v>0.68810000000000004</v>
      </c>
      <c r="AJ606" s="1948">
        <v>13.62</v>
      </c>
      <c r="AK606" s="1948">
        <v>33630</v>
      </c>
      <c r="AL606" s="1948">
        <f t="shared" si="141"/>
        <v>148169</v>
      </c>
      <c r="AM606" s="1948">
        <f t="shared" si="142"/>
        <v>0</v>
      </c>
      <c r="AN606" s="1948">
        <v>555</v>
      </c>
      <c r="AO606" s="1948">
        <v>321.12</v>
      </c>
      <c r="AP606" s="1948">
        <v>444</v>
      </c>
      <c r="AQ606" s="1948">
        <v>0.68389999999999995</v>
      </c>
      <c r="AR606" s="1948">
        <v>15.72</v>
      </c>
      <c r="AS606" s="1948">
        <v>37563</v>
      </c>
      <c r="AT606" s="1948">
        <f t="shared" si="143"/>
        <v>143348</v>
      </c>
      <c r="AU606" s="1948">
        <f t="shared" si="144"/>
        <v>0</v>
      </c>
      <c r="AV606" s="1948">
        <v>555</v>
      </c>
      <c r="AW606" s="1948">
        <v>331.20000000000005</v>
      </c>
      <c r="AX606" s="1948">
        <v>444</v>
      </c>
      <c r="AY606" s="1948">
        <v>0.73819999999999997</v>
      </c>
      <c r="AZ606" s="1948">
        <v>5.83</v>
      </c>
      <c r="BA606" s="1948">
        <v>13914</v>
      </c>
      <c r="BB606" s="1948">
        <f t="shared" si="145"/>
        <v>143078</v>
      </c>
      <c r="BC606" s="1948">
        <f t="shared" si="146"/>
        <v>0</v>
      </c>
      <c r="BD606" s="1949">
        <v>555</v>
      </c>
      <c r="BE606" s="1948">
        <v>253.2</v>
      </c>
      <c r="BF606" s="1949">
        <v>444</v>
      </c>
      <c r="BG606" s="1949">
        <v>0.99750000000000005</v>
      </c>
      <c r="BH606" s="1949">
        <v>8.4499999999999993</v>
      </c>
      <c r="BI606" s="1948">
        <v>15909</v>
      </c>
      <c r="BJ606" s="1948">
        <f t="shared" si="147"/>
        <v>113028</v>
      </c>
      <c r="BK606" s="1948">
        <f t="shared" si="148"/>
        <v>0</v>
      </c>
    </row>
    <row r="607" spans="1:63" ht="15">
      <c r="A607" s="1946">
        <v>615000000060</v>
      </c>
      <c r="B607" s="1947">
        <f t="shared" si="149"/>
        <v>601</v>
      </c>
      <c r="C607" s="1906" t="s">
        <v>3594</v>
      </c>
      <c r="D607" s="1907" t="s">
        <v>524</v>
      </c>
      <c r="E607" s="1906" t="s">
        <v>541</v>
      </c>
      <c r="F607" s="1948" t="s">
        <v>259</v>
      </c>
      <c r="G607" s="1949">
        <v>555</v>
      </c>
      <c r="H607" s="1948">
        <v>555</v>
      </c>
      <c r="I607" s="1950">
        <v>388.08000000000004</v>
      </c>
      <c r="J607" s="1948">
        <v>444</v>
      </c>
      <c r="K607" s="1948">
        <v>0.99209999999999998</v>
      </c>
      <c r="L607" s="1948">
        <v>26</v>
      </c>
      <c r="M607" s="1948">
        <v>65376</v>
      </c>
      <c r="N607" s="1948">
        <f t="shared" si="135"/>
        <v>167651</v>
      </c>
      <c r="O607" s="1948">
        <f t="shared" si="136"/>
        <v>0</v>
      </c>
      <c r="P607" s="1948">
        <v>555</v>
      </c>
      <c r="Q607" s="1948">
        <v>382.08000000000004</v>
      </c>
      <c r="R607" s="1948">
        <v>444</v>
      </c>
      <c r="S607" s="1948">
        <v>0.99429999999999996</v>
      </c>
      <c r="T607" s="1948">
        <v>35.200000000000003</v>
      </c>
      <c r="U607" s="1948">
        <v>100053</v>
      </c>
      <c r="V607" s="1948">
        <f t="shared" si="137"/>
        <v>170561</v>
      </c>
      <c r="W607" s="1948">
        <f t="shared" si="138"/>
        <v>0</v>
      </c>
      <c r="X607" s="1948">
        <v>555</v>
      </c>
      <c r="Y607" s="1948">
        <v>397.67999999999995</v>
      </c>
      <c r="Z607" s="1948">
        <v>444</v>
      </c>
      <c r="AA607" s="1948">
        <v>0.99180000000000001</v>
      </c>
      <c r="AB607" s="1948">
        <v>23.87</v>
      </c>
      <c r="AC607" s="1948">
        <v>68343</v>
      </c>
      <c r="AD607" s="1948">
        <f t="shared" si="139"/>
        <v>171798</v>
      </c>
      <c r="AE607" s="1948">
        <f t="shared" si="140"/>
        <v>0</v>
      </c>
      <c r="AF607" s="1948">
        <v>555</v>
      </c>
      <c r="AG607" s="1948">
        <v>428.16</v>
      </c>
      <c r="AH607" s="1948">
        <v>444</v>
      </c>
      <c r="AI607" s="1948">
        <v>0.98729999999999996</v>
      </c>
      <c r="AJ607" s="1948">
        <v>19.03</v>
      </c>
      <c r="AK607" s="1948">
        <v>60630</v>
      </c>
      <c r="AL607" s="1948">
        <f t="shared" si="141"/>
        <v>191131</v>
      </c>
      <c r="AM607" s="1948">
        <f t="shared" si="142"/>
        <v>0</v>
      </c>
      <c r="AN607" s="1948">
        <v>555</v>
      </c>
      <c r="AO607" s="1948">
        <v>429.59999999999997</v>
      </c>
      <c r="AP607" s="1948">
        <v>444</v>
      </c>
      <c r="AQ607" s="1948">
        <v>0.9869</v>
      </c>
      <c r="AR607" s="1948">
        <v>22.45</v>
      </c>
      <c r="AS607" s="1948">
        <v>71757</v>
      </c>
      <c r="AT607" s="1948">
        <f t="shared" si="143"/>
        <v>191773</v>
      </c>
      <c r="AU607" s="1948">
        <f t="shared" si="144"/>
        <v>0</v>
      </c>
      <c r="AV607" s="1948">
        <v>555</v>
      </c>
      <c r="AW607" s="1948">
        <v>453.6</v>
      </c>
      <c r="AX607" s="1948">
        <v>453.6</v>
      </c>
      <c r="AY607" s="1948">
        <v>0.98629999999999995</v>
      </c>
      <c r="AZ607" s="1948">
        <v>22.99</v>
      </c>
      <c r="BA607" s="1948">
        <v>75084</v>
      </c>
      <c r="BB607" s="1948">
        <f t="shared" si="145"/>
        <v>195955</v>
      </c>
      <c r="BC607" s="1948">
        <f t="shared" si="146"/>
        <v>0</v>
      </c>
      <c r="BD607" s="1949">
        <v>555</v>
      </c>
      <c r="BE607" s="1948">
        <v>629.28</v>
      </c>
      <c r="BF607" s="1949">
        <v>629.28</v>
      </c>
      <c r="BG607" s="1949">
        <v>0.59399999999999997</v>
      </c>
      <c r="BH607" s="1949">
        <v>35.229999999999997</v>
      </c>
      <c r="BI607" s="1948">
        <v>164952</v>
      </c>
      <c r="BJ607" s="1948">
        <f t="shared" si="147"/>
        <v>280911</v>
      </c>
      <c r="BK607" s="1948">
        <f t="shared" si="148"/>
        <v>0</v>
      </c>
    </row>
    <row r="608" spans="1:63" ht="15">
      <c r="A608" s="1946">
        <v>615000000061</v>
      </c>
      <c r="B608" s="1947">
        <f t="shared" si="149"/>
        <v>602</v>
      </c>
      <c r="C608" s="1906" t="s">
        <v>3595</v>
      </c>
      <c r="D608" s="1907" t="s">
        <v>524</v>
      </c>
      <c r="E608" s="1906" t="s">
        <v>541</v>
      </c>
      <c r="F608" s="1948" t="s">
        <v>259</v>
      </c>
      <c r="G608" s="1949">
        <v>555</v>
      </c>
      <c r="H608" s="1948">
        <v>555</v>
      </c>
      <c r="I608" s="1950">
        <v>291.36</v>
      </c>
      <c r="J608" s="1948">
        <v>444</v>
      </c>
      <c r="K608" s="1948">
        <v>0.98650000000000004</v>
      </c>
      <c r="L608" s="1948">
        <v>15.84</v>
      </c>
      <c r="M608" s="1948">
        <v>23265</v>
      </c>
      <c r="N608" s="1948">
        <f t="shared" si="135"/>
        <v>125868</v>
      </c>
      <c r="O608" s="1948">
        <f t="shared" si="136"/>
        <v>0</v>
      </c>
      <c r="P608" s="1948">
        <v>555</v>
      </c>
      <c r="Q608" s="1948">
        <v>348.72</v>
      </c>
      <c r="R608" s="1948">
        <v>444</v>
      </c>
      <c r="S608" s="1948">
        <v>0.99280000000000002</v>
      </c>
      <c r="T608" s="1948">
        <v>15.13</v>
      </c>
      <c r="U608" s="1948">
        <v>39261</v>
      </c>
      <c r="V608" s="1948">
        <f t="shared" si="137"/>
        <v>155669</v>
      </c>
      <c r="W608" s="1948">
        <f t="shared" si="138"/>
        <v>0</v>
      </c>
      <c r="X608" s="1948">
        <v>555</v>
      </c>
      <c r="Y608" s="1948">
        <v>338.15999999999997</v>
      </c>
      <c r="Z608" s="1948">
        <v>444</v>
      </c>
      <c r="AA608" s="1948">
        <v>0.95630000000000004</v>
      </c>
      <c r="AB608" s="1948">
        <v>8.98</v>
      </c>
      <c r="AC608" s="1948">
        <v>21855</v>
      </c>
      <c r="AD608" s="1948">
        <f t="shared" si="139"/>
        <v>146085</v>
      </c>
      <c r="AE608" s="1948">
        <f t="shared" si="140"/>
        <v>0</v>
      </c>
      <c r="AF608" s="1948">
        <v>555</v>
      </c>
      <c r="AG608" s="1948">
        <v>211.2</v>
      </c>
      <c r="AH608" s="1948">
        <v>444</v>
      </c>
      <c r="AI608" s="1948">
        <v>0.95930000000000004</v>
      </c>
      <c r="AJ608" s="1948">
        <v>19.34</v>
      </c>
      <c r="AK608" s="1948">
        <v>30396</v>
      </c>
      <c r="AL608" s="1948">
        <f t="shared" si="141"/>
        <v>94280</v>
      </c>
      <c r="AM608" s="1948">
        <f t="shared" si="142"/>
        <v>0</v>
      </c>
      <c r="AN608" s="1948">
        <v>555</v>
      </c>
      <c r="AO608" s="1948">
        <v>262.32</v>
      </c>
      <c r="AP608" s="1948">
        <v>444</v>
      </c>
      <c r="AQ608" s="1948">
        <v>0.95069999999999999</v>
      </c>
      <c r="AR608" s="1948">
        <v>12.37</v>
      </c>
      <c r="AS608" s="1948">
        <v>24141</v>
      </c>
      <c r="AT608" s="1948">
        <f t="shared" si="143"/>
        <v>117100</v>
      </c>
      <c r="AU608" s="1948">
        <f t="shared" si="144"/>
        <v>0</v>
      </c>
      <c r="AV608" s="1948">
        <v>555</v>
      </c>
      <c r="AW608" s="1948">
        <v>253.2</v>
      </c>
      <c r="AX608" s="1948">
        <v>444</v>
      </c>
      <c r="AY608" s="1948">
        <v>0.95020000000000004</v>
      </c>
      <c r="AZ608" s="1948">
        <v>13.78</v>
      </c>
      <c r="BA608" s="1948">
        <v>25128</v>
      </c>
      <c r="BB608" s="1948">
        <f t="shared" si="145"/>
        <v>109382</v>
      </c>
      <c r="BC608" s="1948">
        <f t="shared" si="146"/>
        <v>0</v>
      </c>
      <c r="BD608" s="1949">
        <v>555</v>
      </c>
      <c r="BE608" s="1948">
        <v>259.68</v>
      </c>
      <c r="BF608" s="1949">
        <v>444</v>
      </c>
      <c r="BG608" s="1949">
        <v>0.95809999999999995</v>
      </c>
      <c r="BH608" s="1949">
        <v>17.55</v>
      </c>
      <c r="BI608" s="1948">
        <v>33909</v>
      </c>
      <c r="BJ608" s="1948">
        <f t="shared" si="147"/>
        <v>115921</v>
      </c>
      <c r="BK608" s="1948">
        <f t="shared" si="148"/>
        <v>0</v>
      </c>
    </row>
    <row r="609" spans="1:63" ht="15">
      <c r="A609" s="1946">
        <v>615000000062</v>
      </c>
      <c r="B609" s="1947">
        <f t="shared" si="149"/>
        <v>603</v>
      </c>
      <c r="C609" s="1906" t="s">
        <v>3596</v>
      </c>
      <c r="D609" s="1907" t="s">
        <v>524</v>
      </c>
      <c r="E609" s="1906" t="s">
        <v>541</v>
      </c>
      <c r="F609" s="1948" t="s">
        <v>259</v>
      </c>
      <c r="G609" s="1949">
        <v>555</v>
      </c>
      <c r="H609" s="1948">
        <v>555</v>
      </c>
      <c r="I609" s="1950">
        <v>209.52</v>
      </c>
      <c r="J609" s="1948">
        <v>444</v>
      </c>
      <c r="K609" s="1948">
        <v>0.95109999999999995</v>
      </c>
      <c r="L609" s="1948">
        <v>26.24</v>
      </c>
      <c r="M609" s="1948">
        <v>27714</v>
      </c>
      <c r="N609" s="1948">
        <f t="shared" si="135"/>
        <v>90513</v>
      </c>
      <c r="O609" s="1948">
        <f t="shared" si="136"/>
        <v>0</v>
      </c>
      <c r="P609" s="1948">
        <v>555</v>
      </c>
      <c r="Q609" s="1948">
        <v>270</v>
      </c>
      <c r="R609" s="1948">
        <v>444</v>
      </c>
      <c r="S609" s="1948">
        <v>0.96</v>
      </c>
      <c r="T609" s="1948">
        <v>22.88</v>
      </c>
      <c r="U609" s="1948">
        <v>45963</v>
      </c>
      <c r="V609" s="1948">
        <f t="shared" si="137"/>
        <v>120528</v>
      </c>
      <c r="W609" s="1948">
        <f t="shared" si="138"/>
        <v>0</v>
      </c>
      <c r="X609" s="1948">
        <v>555</v>
      </c>
      <c r="Y609" s="1948">
        <v>292.8</v>
      </c>
      <c r="Z609" s="1948">
        <v>444</v>
      </c>
      <c r="AA609" s="1948">
        <v>0.94989999999999997</v>
      </c>
      <c r="AB609" s="1948">
        <v>15.44</v>
      </c>
      <c r="AC609" s="1948">
        <v>32544</v>
      </c>
      <c r="AD609" s="1948">
        <f t="shared" si="139"/>
        <v>126490</v>
      </c>
      <c r="AE609" s="1948">
        <f t="shared" si="140"/>
        <v>0</v>
      </c>
      <c r="AF609" s="1948">
        <v>555</v>
      </c>
      <c r="AG609" s="1948">
        <v>268.56</v>
      </c>
      <c r="AH609" s="1948">
        <v>444</v>
      </c>
      <c r="AI609" s="1948">
        <v>0.95589999999999997</v>
      </c>
      <c r="AJ609" s="1948">
        <v>24.63</v>
      </c>
      <c r="AK609" s="1948">
        <v>39681</v>
      </c>
      <c r="AL609" s="1948">
        <f t="shared" si="141"/>
        <v>119885</v>
      </c>
      <c r="AM609" s="1948">
        <f t="shared" si="142"/>
        <v>0</v>
      </c>
      <c r="AN609" s="1948">
        <v>555</v>
      </c>
      <c r="AO609" s="1948">
        <v>324.24</v>
      </c>
      <c r="AP609" s="1948">
        <v>444</v>
      </c>
      <c r="AQ609" s="1948">
        <v>0.97119999999999995</v>
      </c>
      <c r="AR609" s="1948">
        <v>26.22</v>
      </c>
      <c r="AS609" s="1948">
        <v>75501</v>
      </c>
      <c r="AT609" s="1948">
        <f t="shared" si="143"/>
        <v>144741</v>
      </c>
      <c r="AU609" s="1948">
        <f t="shared" si="144"/>
        <v>0</v>
      </c>
      <c r="AV609" s="1948">
        <v>555</v>
      </c>
      <c r="AW609" s="1948">
        <v>322.32</v>
      </c>
      <c r="AX609" s="1948">
        <v>444</v>
      </c>
      <c r="AY609" s="1948">
        <v>0.96970000000000001</v>
      </c>
      <c r="AZ609" s="1948">
        <v>31.06</v>
      </c>
      <c r="BA609" s="1948">
        <v>72087</v>
      </c>
      <c r="BB609" s="1948">
        <f t="shared" si="145"/>
        <v>139242</v>
      </c>
      <c r="BC609" s="1948">
        <f t="shared" si="146"/>
        <v>0</v>
      </c>
      <c r="BD609" s="1949">
        <v>555</v>
      </c>
      <c r="BE609" s="1948">
        <v>344.88</v>
      </c>
      <c r="BF609" s="1949">
        <v>444</v>
      </c>
      <c r="BG609" s="1949">
        <v>0.97950000000000004</v>
      </c>
      <c r="BH609" s="1949">
        <v>33.36</v>
      </c>
      <c r="BI609" s="1948">
        <v>85611</v>
      </c>
      <c r="BJ609" s="1948">
        <f t="shared" si="147"/>
        <v>153954</v>
      </c>
      <c r="BK609" s="1948">
        <f t="shared" si="148"/>
        <v>0</v>
      </c>
    </row>
    <row r="610" spans="1:63" ht="15">
      <c r="A610" s="1946">
        <v>615000000063</v>
      </c>
      <c r="B610" s="1947">
        <f t="shared" si="149"/>
        <v>604</v>
      </c>
      <c r="C610" s="1906" t="s">
        <v>3597</v>
      </c>
      <c r="D610" s="1907" t="s">
        <v>524</v>
      </c>
      <c r="E610" s="1906" t="s">
        <v>541</v>
      </c>
      <c r="F610" s="1948" t="s">
        <v>259</v>
      </c>
      <c r="G610" s="1949">
        <v>555</v>
      </c>
      <c r="H610" s="1948">
        <v>555</v>
      </c>
      <c r="I610" s="1950">
        <v>413.76</v>
      </c>
      <c r="J610" s="1948">
        <v>444</v>
      </c>
      <c r="K610" s="1948">
        <v>0.9879</v>
      </c>
      <c r="L610" s="1948">
        <v>32.04</v>
      </c>
      <c r="M610" s="1948">
        <v>57273</v>
      </c>
      <c r="N610" s="1948">
        <f t="shared" si="135"/>
        <v>178744</v>
      </c>
      <c r="O610" s="1948">
        <f t="shared" si="136"/>
        <v>0</v>
      </c>
      <c r="P610" s="1948">
        <v>555</v>
      </c>
      <c r="Q610" s="1948">
        <v>444.71999999999997</v>
      </c>
      <c r="R610" s="1948">
        <v>444.72</v>
      </c>
      <c r="S610" s="1948">
        <v>0.98660000000000003</v>
      </c>
      <c r="T610" s="1948">
        <v>37.71</v>
      </c>
      <c r="U610" s="1948">
        <v>124773</v>
      </c>
      <c r="V610" s="1948">
        <f t="shared" si="137"/>
        <v>198523</v>
      </c>
      <c r="W610" s="1948">
        <f t="shared" si="138"/>
        <v>0</v>
      </c>
      <c r="X610" s="1948">
        <v>555</v>
      </c>
      <c r="Y610" s="1948">
        <v>462</v>
      </c>
      <c r="Z610" s="1948">
        <v>462</v>
      </c>
      <c r="AA610" s="1948">
        <v>0.97789999999999999</v>
      </c>
      <c r="AB610" s="1948">
        <v>23.63</v>
      </c>
      <c r="AC610" s="1948">
        <v>78618</v>
      </c>
      <c r="AD610" s="1948">
        <f t="shared" si="139"/>
        <v>199584</v>
      </c>
      <c r="AE610" s="1948">
        <f t="shared" si="140"/>
        <v>0</v>
      </c>
      <c r="AF610" s="1948">
        <v>555</v>
      </c>
      <c r="AG610" s="1948">
        <v>597.36</v>
      </c>
      <c r="AH610" s="1948">
        <v>597.36</v>
      </c>
      <c r="AI610" s="1948">
        <v>0.76549999999999996</v>
      </c>
      <c r="AJ610" s="1948">
        <v>20.51</v>
      </c>
      <c r="AK610" s="1948">
        <v>91173</v>
      </c>
      <c r="AL610" s="1948">
        <f t="shared" si="141"/>
        <v>266662</v>
      </c>
      <c r="AM610" s="1948">
        <f t="shared" si="142"/>
        <v>0</v>
      </c>
      <c r="AN610" s="1948">
        <v>555</v>
      </c>
      <c r="AO610" s="1948">
        <v>566.4</v>
      </c>
      <c r="AP610" s="1948">
        <v>566.4</v>
      </c>
      <c r="AQ610" s="1948">
        <v>0.68</v>
      </c>
      <c r="AR610" s="1948">
        <v>39.11</v>
      </c>
      <c r="AS610" s="1948">
        <v>164802</v>
      </c>
      <c r="AT610" s="1948">
        <f t="shared" si="143"/>
        <v>252841</v>
      </c>
      <c r="AU610" s="1948">
        <f t="shared" si="144"/>
        <v>0</v>
      </c>
      <c r="AV610" s="1948">
        <v>555</v>
      </c>
      <c r="AW610" s="1948">
        <v>450.71999999999997</v>
      </c>
      <c r="AX610" s="1948">
        <v>450.72</v>
      </c>
      <c r="AY610" s="1948">
        <v>0.98770000000000002</v>
      </c>
      <c r="AZ610" s="1948">
        <v>39.549999999999997</v>
      </c>
      <c r="BA610" s="1948">
        <v>128358</v>
      </c>
      <c r="BB610" s="1948">
        <f t="shared" si="145"/>
        <v>194711</v>
      </c>
      <c r="BC610" s="1948">
        <f t="shared" si="146"/>
        <v>0</v>
      </c>
      <c r="BD610" s="1949">
        <v>555</v>
      </c>
      <c r="BE610" s="1948">
        <v>431.04</v>
      </c>
      <c r="BF610" s="1949">
        <v>444</v>
      </c>
      <c r="BG610" s="1949">
        <v>0.9879</v>
      </c>
      <c r="BH610" s="1949">
        <v>43.84</v>
      </c>
      <c r="BI610" s="1948">
        <v>117918</v>
      </c>
      <c r="BJ610" s="1948">
        <f t="shared" si="147"/>
        <v>192416</v>
      </c>
      <c r="BK610" s="1948">
        <f t="shared" si="148"/>
        <v>0</v>
      </c>
    </row>
    <row r="611" spans="1:63" ht="15">
      <c r="A611" s="1946">
        <v>615000000064</v>
      </c>
      <c r="B611" s="1947">
        <f t="shared" si="149"/>
        <v>605</v>
      </c>
      <c r="C611" s="1906" t="s">
        <v>3598</v>
      </c>
      <c r="D611" s="1907" t="s">
        <v>524</v>
      </c>
      <c r="E611" s="1906" t="s">
        <v>541</v>
      </c>
      <c r="F611" s="1948" t="s">
        <v>259</v>
      </c>
      <c r="G611" s="1949">
        <v>555</v>
      </c>
      <c r="H611" s="1948">
        <v>555</v>
      </c>
      <c r="I611" s="1950">
        <v>229.44</v>
      </c>
      <c r="J611" s="1948">
        <v>444</v>
      </c>
      <c r="K611" s="1948">
        <v>0.89029999999999998</v>
      </c>
      <c r="L611" s="1948">
        <v>19.47</v>
      </c>
      <c r="M611" s="1948">
        <v>19296</v>
      </c>
      <c r="N611" s="1948">
        <f t="shared" si="135"/>
        <v>99118</v>
      </c>
      <c r="O611" s="1948">
        <f t="shared" si="136"/>
        <v>0</v>
      </c>
      <c r="P611" s="1948">
        <v>555</v>
      </c>
      <c r="Q611" s="1948">
        <v>384.71999999999997</v>
      </c>
      <c r="R611" s="1948">
        <v>444</v>
      </c>
      <c r="S611" s="1948">
        <v>0.80179999999999996</v>
      </c>
      <c r="T611" s="1948">
        <v>32.61</v>
      </c>
      <c r="U611" s="1948">
        <v>93333</v>
      </c>
      <c r="V611" s="1948">
        <f t="shared" si="137"/>
        <v>171739</v>
      </c>
      <c r="W611" s="1948">
        <f t="shared" si="138"/>
        <v>0</v>
      </c>
      <c r="X611" s="1948">
        <v>555</v>
      </c>
      <c r="Y611" s="1948">
        <v>377.76000000000005</v>
      </c>
      <c r="Z611" s="1948">
        <v>444</v>
      </c>
      <c r="AA611" s="1948">
        <v>0.80879999999999996</v>
      </c>
      <c r="AB611" s="1948">
        <v>25.49</v>
      </c>
      <c r="AC611" s="1948">
        <v>69336</v>
      </c>
      <c r="AD611" s="1948">
        <f t="shared" si="139"/>
        <v>163192</v>
      </c>
      <c r="AE611" s="1948">
        <f t="shared" si="140"/>
        <v>0</v>
      </c>
      <c r="AF611" s="1948">
        <v>555</v>
      </c>
      <c r="AG611" s="1948">
        <v>359.52</v>
      </c>
      <c r="AH611" s="1948">
        <v>444</v>
      </c>
      <c r="AI611" s="1948">
        <v>0.76119999999999999</v>
      </c>
      <c r="AJ611" s="1948">
        <v>34.53</v>
      </c>
      <c r="AK611" s="1948">
        <v>92358</v>
      </c>
      <c r="AL611" s="1948">
        <f t="shared" si="141"/>
        <v>160490</v>
      </c>
      <c r="AM611" s="1948">
        <f t="shared" si="142"/>
        <v>0</v>
      </c>
      <c r="AN611" s="1948">
        <v>555</v>
      </c>
      <c r="AO611" s="1948">
        <v>389.52</v>
      </c>
      <c r="AP611" s="1948">
        <v>444</v>
      </c>
      <c r="AQ611" s="1948">
        <v>0.76080000000000003</v>
      </c>
      <c r="AR611" s="1948">
        <v>33.18</v>
      </c>
      <c r="AS611" s="1948">
        <v>96144</v>
      </c>
      <c r="AT611" s="1948">
        <f t="shared" si="143"/>
        <v>173882</v>
      </c>
      <c r="AU611" s="1948">
        <f t="shared" si="144"/>
        <v>0</v>
      </c>
      <c r="AV611" s="1948">
        <v>555</v>
      </c>
      <c r="AW611" s="1948">
        <v>303.12</v>
      </c>
      <c r="AX611" s="1948">
        <v>444</v>
      </c>
      <c r="AY611" s="1948">
        <v>0.98580000000000001</v>
      </c>
      <c r="AZ611" s="1948">
        <v>32.96</v>
      </c>
      <c r="BA611" s="1948">
        <v>71931</v>
      </c>
      <c r="BB611" s="1948">
        <f t="shared" si="145"/>
        <v>130948</v>
      </c>
      <c r="BC611" s="1948">
        <f t="shared" si="146"/>
        <v>0</v>
      </c>
      <c r="BD611" s="1949">
        <v>555</v>
      </c>
      <c r="BE611" s="1948">
        <v>289.68</v>
      </c>
      <c r="BF611" s="1949">
        <v>444</v>
      </c>
      <c r="BG611" s="1949">
        <v>0.98429999999999995</v>
      </c>
      <c r="BH611" s="1949">
        <v>27.86</v>
      </c>
      <c r="BI611" s="1948">
        <v>60048</v>
      </c>
      <c r="BJ611" s="1948">
        <f t="shared" si="147"/>
        <v>129313</v>
      </c>
      <c r="BK611" s="1948">
        <f t="shared" si="148"/>
        <v>0</v>
      </c>
    </row>
    <row r="612" spans="1:63" ht="15">
      <c r="A612" s="1946">
        <v>615000000067</v>
      </c>
      <c r="B612" s="1947">
        <f t="shared" si="149"/>
        <v>606</v>
      </c>
      <c r="C612" s="1906" t="s">
        <v>3599</v>
      </c>
      <c r="D612" s="1907" t="s">
        <v>524</v>
      </c>
      <c r="E612" s="1906" t="s">
        <v>541</v>
      </c>
      <c r="F612" s="1948" t="s">
        <v>259</v>
      </c>
      <c r="G612" s="1949">
        <v>555</v>
      </c>
      <c r="H612" s="1948">
        <v>0</v>
      </c>
      <c r="I612" s="1950">
        <v>0</v>
      </c>
      <c r="J612" s="1948">
        <v>0</v>
      </c>
      <c r="K612" s="1948">
        <v>0</v>
      </c>
      <c r="L612" s="1948">
        <v>0</v>
      </c>
      <c r="M612" s="1948">
        <v>0</v>
      </c>
      <c r="N612" s="1948">
        <f t="shared" si="135"/>
        <v>0</v>
      </c>
      <c r="O612" s="1948">
        <f t="shared" si="136"/>
        <v>0</v>
      </c>
      <c r="P612" s="1948">
        <v>0</v>
      </c>
      <c r="Q612" s="1948">
        <v>0</v>
      </c>
      <c r="R612" s="1948">
        <v>0</v>
      </c>
      <c r="S612" s="1948">
        <v>0</v>
      </c>
      <c r="T612" s="1948">
        <v>0</v>
      </c>
      <c r="U612" s="1948">
        <v>0</v>
      </c>
      <c r="V612" s="1948">
        <f t="shared" si="137"/>
        <v>0</v>
      </c>
      <c r="W612" s="1948">
        <f t="shared" si="138"/>
        <v>0</v>
      </c>
      <c r="X612" s="1948">
        <v>555</v>
      </c>
      <c r="Y612" s="1948">
        <v>13.44</v>
      </c>
      <c r="Z612" s="1948">
        <v>444</v>
      </c>
      <c r="AA612" s="1948">
        <v>0.81489999999999996</v>
      </c>
      <c r="AB612" s="1948">
        <v>27.28</v>
      </c>
      <c r="AC612" s="1948">
        <v>1848</v>
      </c>
      <c r="AD612" s="1948">
        <f t="shared" si="139"/>
        <v>5806</v>
      </c>
      <c r="AE612" s="1948">
        <f t="shared" si="140"/>
        <v>0</v>
      </c>
      <c r="AF612" s="1948">
        <v>555</v>
      </c>
      <c r="AG612" s="1948">
        <v>17.28</v>
      </c>
      <c r="AH612" s="1948">
        <v>444</v>
      </c>
      <c r="AI612" s="1948">
        <v>0.84840000000000004</v>
      </c>
      <c r="AJ612" s="1948">
        <v>26.79</v>
      </c>
      <c r="AK612" s="1948">
        <v>3444</v>
      </c>
      <c r="AL612" s="1948">
        <f t="shared" si="141"/>
        <v>7714</v>
      </c>
      <c r="AM612" s="1948">
        <f t="shared" si="142"/>
        <v>0</v>
      </c>
      <c r="AN612" s="1948">
        <v>555</v>
      </c>
      <c r="AO612" s="1948">
        <v>380.64</v>
      </c>
      <c r="AP612" s="1948">
        <v>444</v>
      </c>
      <c r="AQ612" s="1948">
        <v>0.72289999999999999</v>
      </c>
      <c r="AR612" s="1948">
        <v>19.649999999999999</v>
      </c>
      <c r="AS612" s="1948">
        <v>55656</v>
      </c>
      <c r="AT612" s="1948">
        <f t="shared" si="143"/>
        <v>169918</v>
      </c>
      <c r="AU612" s="1948">
        <f t="shared" si="144"/>
        <v>0</v>
      </c>
      <c r="AV612" s="1948">
        <v>555</v>
      </c>
      <c r="AW612" s="1948">
        <v>360.96000000000004</v>
      </c>
      <c r="AX612" s="1948">
        <v>444</v>
      </c>
      <c r="AY612" s="1948">
        <v>0.73470000000000002</v>
      </c>
      <c r="AZ612" s="1948">
        <v>12.51</v>
      </c>
      <c r="BA612" s="1948">
        <v>32508</v>
      </c>
      <c r="BB612" s="1948">
        <f t="shared" si="145"/>
        <v>155935</v>
      </c>
      <c r="BC612" s="1948">
        <f t="shared" si="146"/>
        <v>0</v>
      </c>
      <c r="BD612" s="1949">
        <v>555</v>
      </c>
      <c r="BE612" s="1948">
        <v>410.40000000000003</v>
      </c>
      <c r="BF612" s="1949">
        <v>444</v>
      </c>
      <c r="BG612" s="1949">
        <v>0.7208</v>
      </c>
      <c r="BH612" s="1949">
        <v>14.3</v>
      </c>
      <c r="BI612" s="1948">
        <v>43668</v>
      </c>
      <c r="BJ612" s="1948">
        <f t="shared" si="147"/>
        <v>183203</v>
      </c>
      <c r="BK612" s="1948">
        <f t="shared" si="148"/>
        <v>0</v>
      </c>
    </row>
    <row r="613" spans="1:63" ht="15">
      <c r="A613" s="1946">
        <v>615000000068</v>
      </c>
      <c r="B613" s="1947">
        <f t="shared" si="149"/>
        <v>607</v>
      </c>
      <c r="C613" s="1906" t="s">
        <v>3600</v>
      </c>
      <c r="D613" s="1907" t="s">
        <v>524</v>
      </c>
      <c r="E613" s="1906" t="s">
        <v>541</v>
      </c>
      <c r="F613" s="1948" t="s">
        <v>259</v>
      </c>
      <c r="G613" s="1949">
        <v>555</v>
      </c>
      <c r="H613" s="1948">
        <v>0</v>
      </c>
      <c r="I613" s="1950">
        <v>0</v>
      </c>
      <c r="J613" s="1948">
        <v>0</v>
      </c>
      <c r="K613" s="1948">
        <v>0</v>
      </c>
      <c r="L613" s="1948">
        <v>0</v>
      </c>
      <c r="M613" s="1948">
        <v>0</v>
      </c>
      <c r="N613" s="1948">
        <f t="shared" si="135"/>
        <v>0</v>
      </c>
      <c r="O613" s="1948">
        <f t="shared" si="136"/>
        <v>0</v>
      </c>
      <c r="P613" s="1948">
        <v>0</v>
      </c>
      <c r="Q613" s="1948">
        <v>0</v>
      </c>
      <c r="R613" s="1948">
        <v>0</v>
      </c>
      <c r="S613" s="1948">
        <v>0</v>
      </c>
      <c r="T613" s="1948">
        <v>0</v>
      </c>
      <c r="U613" s="1948">
        <v>0</v>
      </c>
      <c r="V613" s="1948">
        <f t="shared" si="137"/>
        <v>0</v>
      </c>
      <c r="W613" s="1948">
        <f t="shared" si="138"/>
        <v>0</v>
      </c>
      <c r="X613" s="1948">
        <v>555</v>
      </c>
      <c r="Y613" s="1948">
        <v>15.12</v>
      </c>
      <c r="Z613" s="1948">
        <v>444</v>
      </c>
      <c r="AA613" s="1948">
        <v>0.2727</v>
      </c>
      <c r="AB613" s="1948">
        <v>27.28</v>
      </c>
      <c r="AC613" s="1948">
        <v>396</v>
      </c>
      <c r="AD613" s="1948">
        <f t="shared" si="139"/>
        <v>6532</v>
      </c>
      <c r="AE613" s="1948">
        <f t="shared" si="140"/>
        <v>0</v>
      </c>
      <c r="AF613" s="1948">
        <v>555</v>
      </c>
      <c r="AG613" s="1948">
        <v>355.68</v>
      </c>
      <c r="AH613" s="1948">
        <v>444</v>
      </c>
      <c r="AI613" s="1948">
        <v>0.5948</v>
      </c>
      <c r="AJ613" s="1948">
        <v>9.69</v>
      </c>
      <c r="AK613" s="1948">
        <v>25650</v>
      </c>
      <c r="AL613" s="1948">
        <f t="shared" si="141"/>
        <v>158776</v>
      </c>
      <c r="AM613" s="1948">
        <f t="shared" si="142"/>
        <v>0</v>
      </c>
      <c r="AN613" s="1948">
        <v>555</v>
      </c>
      <c r="AO613" s="1948">
        <v>367.92</v>
      </c>
      <c r="AP613" s="1948">
        <v>444</v>
      </c>
      <c r="AQ613" s="1948">
        <v>0.65839999999999999</v>
      </c>
      <c r="AR613" s="1948">
        <v>8.1199999999999992</v>
      </c>
      <c r="AS613" s="1948">
        <v>22225</v>
      </c>
      <c r="AT613" s="1948">
        <f t="shared" si="143"/>
        <v>164239</v>
      </c>
      <c r="AU613" s="1948">
        <f t="shared" si="144"/>
        <v>0</v>
      </c>
      <c r="AV613" s="1948">
        <v>555</v>
      </c>
      <c r="AW613" s="1948">
        <v>370.44</v>
      </c>
      <c r="AX613" s="1948">
        <v>444</v>
      </c>
      <c r="AY613" s="1948">
        <v>0.63039999999999996</v>
      </c>
      <c r="AZ613" s="1948">
        <v>16.239999999999998</v>
      </c>
      <c r="BA613" s="1948">
        <v>43308</v>
      </c>
      <c r="BB613" s="1948">
        <f t="shared" si="145"/>
        <v>160030</v>
      </c>
      <c r="BC613" s="1948">
        <f t="shared" si="146"/>
        <v>0</v>
      </c>
      <c r="BD613" s="1949">
        <v>555</v>
      </c>
      <c r="BE613" s="1948">
        <v>346.32</v>
      </c>
      <c r="BF613" s="1949">
        <v>444</v>
      </c>
      <c r="BG613" s="1949">
        <v>0.60219999999999996</v>
      </c>
      <c r="BH613" s="1949">
        <v>19.489999999999998</v>
      </c>
      <c r="BI613" s="1948">
        <v>50229</v>
      </c>
      <c r="BJ613" s="1948">
        <f t="shared" si="147"/>
        <v>154597</v>
      </c>
      <c r="BK613" s="1948">
        <f t="shared" si="148"/>
        <v>0</v>
      </c>
    </row>
    <row r="614" spans="1:63" ht="15">
      <c r="A614" s="1946">
        <v>615000000070</v>
      </c>
      <c r="B614" s="1947">
        <f t="shared" si="149"/>
        <v>608</v>
      </c>
      <c r="C614" s="1906" t="s">
        <v>3601</v>
      </c>
      <c r="D614" s="1907" t="s">
        <v>524</v>
      </c>
      <c r="E614" s="1906" t="s">
        <v>541</v>
      </c>
      <c r="F614" s="1948" t="s">
        <v>259</v>
      </c>
      <c r="G614" s="1949">
        <v>555</v>
      </c>
      <c r="H614" s="1948">
        <v>0</v>
      </c>
      <c r="I614" s="1950">
        <v>0</v>
      </c>
      <c r="J614" s="1948">
        <v>0</v>
      </c>
      <c r="K614" s="1948">
        <v>0</v>
      </c>
      <c r="L614" s="1948">
        <v>0</v>
      </c>
      <c r="M614" s="1948">
        <v>0</v>
      </c>
      <c r="N614" s="1948">
        <f t="shared" si="135"/>
        <v>0</v>
      </c>
      <c r="O614" s="1948">
        <f t="shared" si="136"/>
        <v>0</v>
      </c>
      <c r="P614" s="1948">
        <v>0</v>
      </c>
      <c r="Q614" s="1948">
        <v>0</v>
      </c>
      <c r="R614" s="1948">
        <v>0</v>
      </c>
      <c r="S614" s="1948">
        <v>0</v>
      </c>
      <c r="T614" s="1948">
        <v>0</v>
      </c>
      <c r="U614" s="1948">
        <v>0</v>
      </c>
      <c r="V614" s="1948">
        <f t="shared" si="137"/>
        <v>0</v>
      </c>
      <c r="W614" s="1948">
        <f t="shared" si="138"/>
        <v>0</v>
      </c>
      <c r="X614" s="1948">
        <v>555</v>
      </c>
      <c r="Y614" s="1948">
        <v>0</v>
      </c>
      <c r="Z614" s="1948">
        <v>0</v>
      </c>
      <c r="AA614" s="1948">
        <v>0</v>
      </c>
      <c r="AB614" s="1948">
        <v>0</v>
      </c>
      <c r="AC614" s="1948">
        <v>0</v>
      </c>
      <c r="AD614" s="1948">
        <f t="shared" si="139"/>
        <v>0</v>
      </c>
      <c r="AE614" s="1948">
        <f t="shared" si="140"/>
        <v>0</v>
      </c>
      <c r="AF614" s="1948">
        <v>555</v>
      </c>
      <c r="AG614" s="1948">
        <v>211.44</v>
      </c>
      <c r="AH614" s="1948">
        <v>444</v>
      </c>
      <c r="AI614" s="1948">
        <v>0.98460000000000003</v>
      </c>
      <c r="AJ614" s="1948">
        <v>8.6</v>
      </c>
      <c r="AK614" s="1948">
        <v>11349</v>
      </c>
      <c r="AL614" s="1948">
        <f t="shared" si="141"/>
        <v>94387</v>
      </c>
      <c r="AM614" s="1948">
        <f t="shared" si="142"/>
        <v>0</v>
      </c>
      <c r="AN614" s="1948">
        <v>555</v>
      </c>
      <c r="AO614" s="1948">
        <v>256.8</v>
      </c>
      <c r="AP614" s="1948">
        <v>444</v>
      </c>
      <c r="AQ614" s="1948">
        <v>0.99250000000000005</v>
      </c>
      <c r="AR614" s="1948">
        <v>8.89</v>
      </c>
      <c r="AS614" s="1948">
        <v>16989</v>
      </c>
      <c r="AT614" s="1948">
        <f t="shared" si="143"/>
        <v>114636</v>
      </c>
      <c r="AU614" s="1948">
        <f t="shared" si="144"/>
        <v>0</v>
      </c>
      <c r="AV614" s="1948">
        <v>555</v>
      </c>
      <c r="AW614" s="1948">
        <v>256.8</v>
      </c>
      <c r="AX614" s="1948">
        <v>444</v>
      </c>
      <c r="AY614" s="1948">
        <v>0.99390000000000001</v>
      </c>
      <c r="AZ614" s="1948">
        <v>11.87</v>
      </c>
      <c r="BA614" s="1948">
        <v>21945</v>
      </c>
      <c r="BB614" s="1948">
        <f t="shared" si="145"/>
        <v>110938</v>
      </c>
      <c r="BC614" s="1948">
        <f t="shared" si="146"/>
        <v>0</v>
      </c>
      <c r="BD614" s="1949">
        <v>555</v>
      </c>
      <c r="BE614" s="1948">
        <v>204.00000000000003</v>
      </c>
      <c r="BF614" s="1949">
        <v>444</v>
      </c>
      <c r="BG614" s="1949">
        <v>0.99309999999999998</v>
      </c>
      <c r="BH614" s="1949">
        <v>11</v>
      </c>
      <c r="BI614" s="1948">
        <v>16692</v>
      </c>
      <c r="BJ614" s="1948">
        <f t="shared" si="147"/>
        <v>91066</v>
      </c>
      <c r="BK614" s="1948">
        <f t="shared" si="148"/>
        <v>0</v>
      </c>
    </row>
    <row r="615" spans="1:63" ht="15">
      <c r="A615" s="1946">
        <v>613000000037</v>
      </c>
      <c r="B615" s="1947">
        <f t="shared" si="149"/>
        <v>609</v>
      </c>
      <c r="C615" s="1906" t="s">
        <v>3431</v>
      </c>
      <c r="D615" s="1907" t="s">
        <v>524</v>
      </c>
      <c r="E615" s="1906" t="s">
        <v>541</v>
      </c>
      <c r="F615" s="1948" t="s">
        <v>259</v>
      </c>
      <c r="G615" s="1949">
        <v>555</v>
      </c>
      <c r="H615" s="1948">
        <v>555</v>
      </c>
      <c r="I615" s="1950">
        <v>114.24000000000001</v>
      </c>
      <c r="J615" s="1948">
        <v>444</v>
      </c>
      <c r="K615" s="1948">
        <v>0.9859</v>
      </c>
      <c r="L615" s="1948">
        <v>5.19</v>
      </c>
      <c r="M615" s="1948">
        <v>4272</v>
      </c>
      <c r="N615" s="1948">
        <f t="shared" si="135"/>
        <v>49352</v>
      </c>
      <c r="O615" s="1948">
        <f t="shared" si="136"/>
        <v>0</v>
      </c>
      <c r="P615" s="1948">
        <v>555</v>
      </c>
      <c r="Q615" s="1948">
        <v>165.60000000000002</v>
      </c>
      <c r="R615" s="1948">
        <v>444</v>
      </c>
      <c r="S615" s="1948">
        <v>0.98560000000000003</v>
      </c>
      <c r="T615" s="1948">
        <v>3.39</v>
      </c>
      <c r="U615" s="1948">
        <v>4176</v>
      </c>
      <c r="V615" s="1948">
        <f t="shared" si="137"/>
        <v>73924</v>
      </c>
      <c r="W615" s="1948">
        <f t="shared" si="138"/>
        <v>0</v>
      </c>
      <c r="X615" s="1948">
        <v>555</v>
      </c>
      <c r="Y615" s="1948">
        <v>205.44</v>
      </c>
      <c r="Z615" s="1948">
        <v>444</v>
      </c>
      <c r="AA615" s="1948">
        <v>0.97819999999999996</v>
      </c>
      <c r="AB615" s="1948">
        <v>2.0499999999999998</v>
      </c>
      <c r="AC615" s="1948">
        <v>3030</v>
      </c>
      <c r="AD615" s="1948">
        <f t="shared" si="139"/>
        <v>88750</v>
      </c>
      <c r="AE615" s="1948">
        <f t="shared" si="140"/>
        <v>0</v>
      </c>
      <c r="AF615" s="1948">
        <v>555</v>
      </c>
      <c r="AG615" s="1948">
        <v>12</v>
      </c>
      <c r="AH615" s="1948">
        <v>444</v>
      </c>
      <c r="AI615" s="1948">
        <v>0.99839999999999995</v>
      </c>
      <c r="AJ615" s="1948">
        <v>44.15</v>
      </c>
      <c r="AK615" s="1948">
        <v>3942</v>
      </c>
      <c r="AL615" s="1948">
        <f t="shared" si="141"/>
        <v>5357</v>
      </c>
      <c r="AM615" s="1948">
        <f t="shared" si="142"/>
        <v>0</v>
      </c>
      <c r="AN615" s="1948">
        <v>555</v>
      </c>
      <c r="AO615" s="1948">
        <v>205.92000000000002</v>
      </c>
      <c r="AP615" s="1948">
        <v>444</v>
      </c>
      <c r="AQ615" s="1948">
        <v>0.97809999999999997</v>
      </c>
      <c r="AR615" s="1948">
        <v>2.33</v>
      </c>
      <c r="AS615" s="1948">
        <v>3576</v>
      </c>
      <c r="AT615" s="1948">
        <f t="shared" si="143"/>
        <v>91923</v>
      </c>
      <c r="AU615" s="1948">
        <f t="shared" si="144"/>
        <v>0</v>
      </c>
      <c r="AV615" s="1948">
        <v>555</v>
      </c>
      <c r="AW615" s="1948">
        <v>191.04000000000002</v>
      </c>
      <c r="AX615" s="1948">
        <v>444</v>
      </c>
      <c r="AY615" s="1948">
        <v>0.98880000000000001</v>
      </c>
      <c r="AZ615" s="1948">
        <v>2.35</v>
      </c>
      <c r="BA615" s="1948">
        <v>2694</v>
      </c>
      <c r="BB615" s="1948">
        <f t="shared" si="145"/>
        <v>82529</v>
      </c>
      <c r="BC615" s="1948">
        <f t="shared" si="146"/>
        <v>0</v>
      </c>
      <c r="BD615" s="1949">
        <v>555</v>
      </c>
      <c r="BE615" s="1948">
        <v>123.36</v>
      </c>
      <c r="BF615" s="1949">
        <v>444</v>
      </c>
      <c r="BG615" s="1949">
        <v>0.99209999999999998</v>
      </c>
      <c r="BH615" s="1949">
        <v>4.29</v>
      </c>
      <c r="BI615" s="1948">
        <v>4572</v>
      </c>
      <c r="BJ615" s="1948">
        <f t="shared" si="147"/>
        <v>55068</v>
      </c>
      <c r="BK615" s="1948">
        <f t="shared" si="148"/>
        <v>0</v>
      </c>
    </row>
    <row r="616" spans="1:63" ht="15">
      <c r="A616" s="1946">
        <v>621000000057</v>
      </c>
      <c r="B616" s="1947">
        <f t="shared" si="149"/>
        <v>610</v>
      </c>
      <c r="C616" s="1906" t="s">
        <v>3430</v>
      </c>
      <c r="D616" s="1907" t="s">
        <v>524</v>
      </c>
      <c r="E616" s="1906" t="s">
        <v>541</v>
      </c>
      <c r="F616" s="1948" t="s">
        <v>259</v>
      </c>
      <c r="G616" s="1949">
        <v>555</v>
      </c>
      <c r="H616" s="1948">
        <v>555</v>
      </c>
      <c r="I616" s="1950">
        <v>301.68</v>
      </c>
      <c r="J616" s="1948">
        <v>444</v>
      </c>
      <c r="K616" s="1948">
        <v>0.74970000000000003</v>
      </c>
      <c r="L616" s="1948">
        <v>9.75</v>
      </c>
      <c r="M616" s="1948">
        <v>21186</v>
      </c>
      <c r="N616" s="1948">
        <f t="shared" si="135"/>
        <v>130326</v>
      </c>
      <c r="O616" s="1948">
        <f t="shared" si="136"/>
        <v>0</v>
      </c>
      <c r="P616" s="1948">
        <v>555</v>
      </c>
      <c r="Q616" s="1948">
        <v>315.36</v>
      </c>
      <c r="R616" s="1948">
        <v>444</v>
      </c>
      <c r="S616" s="1948">
        <v>0.7379</v>
      </c>
      <c r="T616" s="1948">
        <v>9.34</v>
      </c>
      <c r="U616" s="1948">
        <v>21915</v>
      </c>
      <c r="V616" s="1948">
        <f t="shared" si="137"/>
        <v>140777</v>
      </c>
      <c r="W616" s="1948">
        <f t="shared" si="138"/>
        <v>0</v>
      </c>
      <c r="X616" s="1948">
        <v>555</v>
      </c>
      <c r="Y616" s="1948">
        <v>343.44</v>
      </c>
      <c r="Z616" s="1948">
        <v>444</v>
      </c>
      <c r="AA616" s="1948">
        <v>0.73080000000000001</v>
      </c>
      <c r="AB616" s="1948">
        <v>5.94</v>
      </c>
      <c r="AC616" s="1948">
        <v>14679</v>
      </c>
      <c r="AD616" s="1948">
        <f t="shared" si="139"/>
        <v>148366</v>
      </c>
      <c r="AE616" s="1948">
        <f t="shared" si="140"/>
        <v>0</v>
      </c>
      <c r="AF616" s="1948">
        <v>555</v>
      </c>
      <c r="AG616" s="1948">
        <v>454.32000000000005</v>
      </c>
      <c r="AH616" s="1948">
        <v>454.32</v>
      </c>
      <c r="AI616" s="1948">
        <v>0.72160000000000002</v>
      </c>
      <c r="AJ616" s="1948">
        <v>10.45</v>
      </c>
      <c r="AK616" s="1948">
        <v>35307</v>
      </c>
      <c r="AL616" s="1948">
        <f t="shared" si="141"/>
        <v>202808</v>
      </c>
      <c r="AM616" s="1948">
        <f t="shared" si="142"/>
        <v>0</v>
      </c>
      <c r="AN616" s="1948">
        <v>555</v>
      </c>
      <c r="AO616" s="1948">
        <v>470.88</v>
      </c>
      <c r="AP616" s="1948">
        <v>470.88</v>
      </c>
      <c r="AQ616" s="1948">
        <v>0.69330000000000003</v>
      </c>
      <c r="AR616" s="1948">
        <v>6.64</v>
      </c>
      <c r="AS616" s="1948">
        <v>23247</v>
      </c>
      <c r="AT616" s="1948">
        <f t="shared" si="143"/>
        <v>210201</v>
      </c>
      <c r="AU616" s="1948">
        <f t="shared" si="144"/>
        <v>0</v>
      </c>
      <c r="AV616" s="1948">
        <v>555</v>
      </c>
      <c r="AW616" s="1948">
        <v>401.76</v>
      </c>
      <c r="AX616" s="1948">
        <v>444</v>
      </c>
      <c r="AY616" s="1948">
        <v>0.72370000000000001</v>
      </c>
      <c r="AZ616" s="1948">
        <v>5.94</v>
      </c>
      <c r="BA616" s="1948">
        <v>17172</v>
      </c>
      <c r="BB616" s="1948">
        <f t="shared" si="145"/>
        <v>173560</v>
      </c>
      <c r="BC616" s="1948">
        <f t="shared" si="146"/>
        <v>0</v>
      </c>
      <c r="BD616" s="1949">
        <v>555</v>
      </c>
      <c r="BE616" s="1948">
        <v>451.44000000000005</v>
      </c>
      <c r="BF616" s="1949">
        <v>451.44</v>
      </c>
      <c r="BG616" s="1949">
        <v>0.73719999999999997</v>
      </c>
      <c r="BH616" s="1949">
        <v>10.68</v>
      </c>
      <c r="BI616" s="1948">
        <v>35865</v>
      </c>
      <c r="BJ616" s="1948">
        <f t="shared" si="147"/>
        <v>201523</v>
      </c>
      <c r="BK616" s="1948">
        <f t="shared" si="148"/>
        <v>0</v>
      </c>
    </row>
    <row r="617" spans="1:63" ht="15">
      <c r="A617" s="1946">
        <v>622000000009</v>
      </c>
      <c r="B617" s="1947">
        <f t="shared" si="149"/>
        <v>611</v>
      </c>
      <c r="C617" s="1906" t="s">
        <v>3445</v>
      </c>
      <c r="D617" s="1907" t="s">
        <v>524</v>
      </c>
      <c r="E617" s="1906" t="s">
        <v>629</v>
      </c>
      <c r="F617" s="1948" t="s">
        <v>259</v>
      </c>
      <c r="G617" s="1949">
        <v>555.55999999999995</v>
      </c>
      <c r="H617" s="1948">
        <v>555.55999999999995</v>
      </c>
      <c r="I617" s="1950">
        <v>323.76</v>
      </c>
      <c r="J617" s="1948">
        <v>555.55999999999995</v>
      </c>
      <c r="K617" s="1948">
        <v>0.95109999999999995</v>
      </c>
      <c r="L617" s="1948">
        <v>0</v>
      </c>
      <c r="M617" s="1948">
        <v>136782</v>
      </c>
      <c r="N617" s="1948">
        <f t="shared" si="135"/>
        <v>139864</v>
      </c>
      <c r="O617" s="1948">
        <f t="shared" si="136"/>
        <v>0</v>
      </c>
      <c r="P617" s="1948">
        <v>555.55999999999995</v>
      </c>
      <c r="Q617" s="1948">
        <v>319.92</v>
      </c>
      <c r="R617" s="1948">
        <v>555.55999999999995</v>
      </c>
      <c r="S617" s="1948">
        <v>0.95120000000000005</v>
      </c>
      <c r="T617" s="1948">
        <v>0</v>
      </c>
      <c r="U617" s="1948">
        <v>151143</v>
      </c>
      <c r="V617" s="1948">
        <f t="shared" si="137"/>
        <v>142812</v>
      </c>
      <c r="W617" s="1948">
        <f t="shared" si="138"/>
        <v>8331</v>
      </c>
      <c r="X617" s="1948">
        <v>555.55999999999995</v>
      </c>
      <c r="Y617" s="1948">
        <v>342.24</v>
      </c>
      <c r="Z617" s="1948">
        <v>555.55999999999995</v>
      </c>
      <c r="AA617" s="1948">
        <v>0.95089999999999997</v>
      </c>
      <c r="AB617" s="1948">
        <v>0</v>
      </c>
      <c r="AC617" s="1948">
        <v>153378</v>
      </c>
      <c r="AD617" s="1948">
        <f t="shared" si="139"/>
        <v>147848</v>
      </c>
      <c r="AE617" s="1948">
        <f t="shared" si="140"/>
        <v>5530</v>
      </c>
      <c r="AF617" s="1948">
        <v>555.55999999999995</v>
      </c>
      <c r="AG617" s="1948">
        <v>334.8</v>
      </c>
      <c r="AH617" s="1948">
        <v>555.55999999999995</v>
      </c>
      <c r="AI617" s="1948">
        <v>0.94899999999999995</v>
      </c>
      <c r="AJ617" s="1948">
        <v>0</v>
      </c>
      <c r="AK617" s="1948">
        <v>154203</v>
      </c>
      <c r="AL617" s="1948">
        <f t="shared" si="141"/>
        <v>149455</v>
      </c>
      <c r="AM617" s="1948">
        <f t="shared" si="142"/>
        <v>4748</v>
      </c>
      <c r="AN617" s="1948">
        <v>555.55999999999995</v>
      </c>
      <c r="AO617" s="1948">
        <v>343.2</v>
      </c>
      <c r="AP617" s="1948">
        <v>555.55999999999995</v>
      </c>
      <c r="AQ617" s="1948">
        <v>0.94679999999999997</v>
      </c>
      <c r="AR617" s="1948">
        <v>0</v>
      </c>
      <c r="AS617" s="1948">
        <v>146832</v>
      </c>
      <c r="AT617" s="1948">
        <f t="shared" si="143"/>
        <v>153204</v>
      </c>
      <c r="AU617" s="1948">
        <f t="shared" si="144"/>
        <v>0</v>
      </c>
      <c r="AV617" s="1948">
        <v>555.55999999999995</v>
      </c>
      <c r="AW617" s="1948">
        <v>329.04</v>
      </c>
      <c r="AX617" s="1948">
        <v>555.55999999999995</v>
      </c>
      <c r="AY617" s="1948">
        <v>0.94579999999999997</v>
      </c>
      <c r="AZ617" s="1948">
        <v>0</v>
      </c>
      <c r="BA617" s="1948">
        <v>149634</v>
      </c>
      <c r="BB617" s="1948">
        <f t="shared" si="145"/>
        <v>142145</v>
      </c>
      <c r="BC617" s="1948">
        <f t="shared" si="146"/>
        <v>7489</v>
      </c>
      <c r="BD617" s="1949">
        <v>555.55999999999995</v>
      </c>
      <c r="BE617" s="1948">
        <v>309.35999999999996</v>
      </c>
      <c r="BF617" s="1949">
        <v>555.55999999999995</v>
      </c>
      <c r="BG617" s="1949">
        <v>0.9375</v>
      </c>
      <c r="BH617" s="1949">
        <v>0</v>
      </c>
      <c r="BI617" s="1948">
        <v>140331</v>
      </c>
      <c r="BJ617" s="1948">
        <f t="shared" si="147"/>
        <v>138098</v>
      </c>
      <c r="BK617" s="1948">
        <f t="shared" si="148"/>
        <v>2233</v>
      </c>
    </row>
    <row r="618" spans="1:63" ht="15">
      <c r="A618" s="1946">
        <v>123000000137</v>
      </c>
      <c r="B618" s="1947">
        <f t="shared" si="149"/>
        <v>612</v>
      </c>
      <c r="C618" s="1906" t="s">
        <v>3446</v>
      </c>
      <c r="D618" s="1907" t="s">
        <v>524</v>
      </c>
      <c r="E618" s="1906" t="s">
        <v>541</v>
      </c>
      <c r="F618" s="1948" t="s">
        <v>259</v>
      </c>
      <c r="G618" s="1949">
        <v>556</v>
      </c>
      <c r="H618" s="1948">
        <v>556</v>
      </c>
      <c r="I618" s="1950">
        <v>462.8</v>
      </c>
      <c r="J618" s="1948">
        <v>462.8</v>
      </c>
      <c r="K618" s="1948">
        <v>0.88690000000000002</v>
      </c>
      <c r="L618" s="1948">
        <v>17.36</v>
      </c>
      <c r="M618" s="1948">
        <v>57840</v>
      </c>
      <c r="N618" s="1948">
        <f t="shared" si="135"/>
        <v>199930</v>
      </c>
      <c r="O618" s="1948">
        <f t="shared" si="136"/>
        <v>0</v>
      </c>
      <c r="P618" s="1948">
        <v>556</v>
      </c>
      <c r="Q618" s="1948">
        <v>472.4</v>
      </c>
      <c r="R618" s="1948">
        <v>472.4</v>
      </c>
      <c r="S618" s="1948">
        <v>0.87380000000000002</v>
      </c>
      <c r="T618" s="1948">
        <v>15.69</v>
      </c>
      <c r="U618" s="1948">
        <v>55150</v>
      </c>
      <c r="V618" s="1948">
        <f t="shared" si="137"/>
        <v>210879</v>
      </c>
      <c r="W618" s="1948">
        <f t="shared" si="138"/>
        <v>0</v>
      </c>
      <c r="X618" s="1948">
        <v>556</v>
      </c>
      <c r="Y618" s="1948">
        <v>475.2</v>
      </c>
      <c r="Z618" s="1948">
        <v>475.2</v>
      </c>
      <c r="AA618" s="1948">
        <v>0.85609999999999997</v>
      </c>
      <c r="AB618" s="1948">
        <v>15.13</v>
      </c>
      <c r="AC618" s="1948">
        <v>51765</v>
      </c>
      <c r="AD618" s="1948">
        <f t="shared" si="139"/>
        <v>205286</v>
      </c>
      <c r="AE618" s="1948">
        <f t="shared" si="140"/>
        <v>0</v>
      </c>
      <c r="AF618" s="1948">
        <v>556</v>
      </c>
      <c r="AG618" s="1948">
        <v>472.8</v>
      </c>
      <c r="AH618" s="1948">
        <v>472.8</v>
      </c>
      <c r="AI618" s="1948">
        <v>0.86209999999999998</v>
      </c>
      <c r="AJ618" s="1948">
        <v>19.13</v>
      </c>
      <c r="AK618" s="1948">
        <v>67300</v>
      </c>
      <c r="AL618" s="1948">
        <f t="shared" si="141"/>
        <v>211058</v>
      </c>
      <c r="AM618" s="1948">
        <f t="shared" si="142"/>
        <v>0</v>
      </c>
      <c r="AN618" s="1948">
        <v>556</v>
      </c>
      <c r="AO618" s="1948">
        <v>480.8</v>
      </c>
      <c r="AP618" s="1948">
        <v>480.8</v>
      </c>
      <c r="AQ618" s="1948">
        <v>0.85429999999999995</v>
      </c>
      <c r="AR618" s="1948">
        <v>20.61</v>
      </c>
      <c r="AS618" s="1948">
        <v>73715</v>
      </c>
      <c r="AT618" s="1948">
        <f t="shared" si="143"/>
        <v>214629</v>
      </c>
      <c r="AU618" s="1948">
        <f t="shared" si="144"/>
        <v>0</v>
      </c>
      <c r="AV618" s="1948">
        <v>556</v>
      </c>
      <c r="AW618" s="1948">
        <v>476.4</v>
      </c>
      <c r="AX618" s="1948">
        <v>476.4</v>
      </c>
      <c r="AY618" s="1948">
        <v>0.81769999999999998</v>
      </c>
      <c r="AZ618" s="1948">
        <v>17.16</v>
      </c>
      <c r="BA618" s="1948">
        <v>58850</v>
      </c>
      <c r="BB618" s="1948">
        <f t="shared" si="145"/>
        <v>205805</v>
      </c>
      <c r="BC618" s="1948">
        <f t="shared" si="146"/>
        <v>0</v>
      </c>
      <c r="BD618" s="1949">
        <v>556</v>
      </c>
      <c r="BE618" s="1948">
        <v>478.4</v>
      </c>
      <c r="BF618" s="1949">
        <v>478.4</v>
      </c>
      <c r="BG618" s="1949">
        <v>0.83599999999999997</v>
      </c>
      <c r="BH618" s="1949">
        <v>19.739999999999998</v>
      </c>
      <c r="BI618" s="1948">
        <v>70275</v>
      </c>
      <c r="BJ618" s="1948">
        <f t="shared" si="147"/>
        <v>213558</v>
      </c>
      <c r="BK618" s="1948">
        <f t="shared" si="148"/>
        <v>0</v>
      </c>
    </row>
    <row r="619" spans="1:63" ht="15">
      <c r="A619" s="1946">
        <v>126000000050</v>
      </c>
      <c r="B619" s="1947">
        <f t="shared" si="149"/>
        <v>613</v>
      </c>
      <c r="C619" s="1906" t="s">
        <v>3449</v>
      </c>
      <c r="D619" s="1907" t="s">
        <v>524</v>
      </c>
      <c r="E619" s="1906" t="s">
        <v>541</v>
      </c>
      <c r="F619" s="1948" t="s">
        <v>259</v>
      </c>
      <c r="G619" s="1949">
        <v>556</v>
      </c>
      <c r="H619" s="1948">
        <v>556</v>
      </c>
      <c r="I619" s="1950">
        <v>342.72</v>
      </c>
      <c r="J619" s="1948">
        <v>444.8</v>
      </c>
      <c r="K619" s="1948">
        <v>0.94889999999999997</v>
      </c>
      <c r="L619" s="1948">
        <v>39.18</v>
      </c>
      <c r="M619" s="1948">
        <v>96675</v>
      </c>
      <c r="N619" s="1948">
        <f t="shared" si="135"/>
        <v>148055</v>
      </c>
      <c r="O619" s="1948">
        <f t="shared" si="136"/>
        <v>0</v>
      </c>
      <c r="P619" s="1948">
        <v>556</v>
      </c>
      <c r="Q619" s="1948">
        <v>350.88</v>
      </c>
      <c r="R619" s="1948">
        <v>444.8</v>
      </c>
      <c r="S619" s="1948">
        <v>0.95369999999999999</v>
      </c>
      <c r="T619" s="1948">
        <v>34.14</v>
      </c>
      <c r="U619" s="1948">
        <v>89121</v>
      </c>
      <c r="V619" s="1948">
        <f t="shared" si="137"/>
        <v>156633</v>
      </c>
      <c r="W619" s="1948">
        <f t="shared" si="138"/>
        <v>0</v>
      </c>
      <c r="X619" s="1948">
        <v>556</v>
      </c>
      <c r="Y619" s="1948">
        <v>332.40000000000003</v>
      </c>
      <c r="Z619" s="1948">
        <v>444.8</v>
      </c>
      <c r="AA619" s="1948">
        <v>0.95179999999999998</v>
      </c>
      <c r="AB619" s="1948">
        <v>8.84</v>
      </c>
      <c r="AC619" s="1948">
        <v>21168</v>
      </c>
      <c r="AD619" s="1948">
        <f t="shared" si="139"/>
        <v>143597</v>
      </c>
      <c r="AE619" s="1948">
        <f t="shared" si="140"/>
        <v>0</v>
      </c>
      <c r="AF619" s="1948">
        <v>556</v>
      </c>
      <c r="AG619" s="1948">
        <v>312</v>
      </c>
      <c r="AH619" s="1948">
        <v>444.8</v>
      </c>
      <c r="AI619" s="1948">
        <v>0.99009999999999998</v>
      </c>
      <c r="AJ619" s="1948">
        <v>31.23</v>
      </c>
      <c r="AK619" s="1948">
        <v>72495</v>
      </c>
      <c r="AL619" s="1948">
        <f t="shared" si="141"/>
        <v>139277</v>
      </c>
      <c r="AM619" s="1948">
        <f t="shared" si="142"/>
        <v>0</v>
      </c>
      <c r="AN619" s="1948">
        <v>556</v>
      </c>
      <c r="AO619" s="1948">
        <v>296.64</v>
      </c>
      <c r="AP619" s="1948">
        <v>444.8</v>
      </c>
      <c r="AQ619" s="1948">
        <v>0.99180000000000001</v>
      </c>
      <c r="AR619" s="1948">
        <v>14.09</v>
      </c>
      <c r="AS619" s="1948">
        <v>31101</v>
      </c>
      <c r="AT619" s="1948">
        <f t="shared" si="143"/>
        <v>132420</v>
      </c>
      <c r="AU619" s="1948">
        <f t="shared" si="144"/>
        <v>0</v>
      </c>
      <c r="AV619" s="1948">
        <v>556</v>
      </c>
      <c r="AW619" s="1948">
        <v>46.32</v>
      </c>
      <c r="AX619" s="1948">
        <v>444.8</v>
      </c>
      <c r="AY619" s="1948">
        <v>0.99280000000000002</v>
      </c>
      <c r="AZ619" s="1948">
        <v>15.07</v>
      </c>
      <c r="BA619" s="1948">
        <v>5025</v>
      </c>
      <c r="BB619" s="1948">
        <f t="shared" si="145"/>
        <v>20010</v>
      </c>
      <c r="BC619" s="1948">
        <f t="shared" si="146"/>
        <v>0</v>
      </c>
      <c r="BD619" s="1949">
        <v>556</v>
      </c>
      <c r="BE619" s="1948">
        <v>27.36</v>
      </c>
      <c r="BF619" s="1949">
        <v>444.8</v>
      </c>
      <c r="BG619" s="1949">
        <v>0.99919999999999998</v>
      </c>
      <c r="BH619" s="1949">
        <v>18.72</v>
      </c>
      <c r="BI619" s="1948">
        <v>3810</v>
      </c>
      <c r="BJ619" s="1948">
        <f t="shared" si="147"/>
        <v>12214</v>
      </c>
      <c r="BK619" s="1948">
        <f t="shared" si="148"/>
        <v>0</v>
      </c>
    </row>
    <row r="620" spans="1:63" ht="15">
      <c r="A620" s="1946">
        <v>126000000052</v>
      </c>
      <c r="B620" s="1947">
        <f t="shared" si="149"/>
        <v>614</v>
      </c>
      <c r="C620" s="1906" t="s">
        <v>3448</v>
      </c>
      <c r="D620" s="1907" t="s">
        <v>524</v>
      </c>
      <c r="E620" s="1906" t="s">
        <v>541</v>
      </c>
      <c r="F620" s="1948" t="s">
        <v>259</v>
      </c>
      <c r="G620" s="1949">
        <v>556</v>
      </c>
      <c r="H620" s="1948">
        <v>556</v>
      </c>
      <c r="I620" s="1950">
        <v>276.95999999999998</v>
      </c>
      <c r="J620" s="1948">
        <v>444.8</v>
      </c>
      <c r="K620" s="1948">
        <v>0.99960000000000004</v>
      </c>
      <c r="L620" s="1948">
        <v>30.43</v>
      </c>
      <c r="M620" s="1948">
        <v>60684</v>
      </c>
      <c r="N620" s="1948">
        <f t="shared" si="135"/>
        <v>119647</v>
      </c>
      <c r="O620" s="1948">
        <f t="shared" si="136"/>
        <v>0</v>
      </c>
      <c r="P620" s="1948">
        <v>556</v>
      </c>
      <c r="Q620" s="1948">
        <v>241.92000000000002</v>
      </c>
      <c r="R620" s="1948">
        <v>444.8</v>
      </c>
      <c r="S620" s="1948">
        <v>0.99939999999999996</v>
      </c>
      <c r="T620" s="1948">
        <v>40.03</v>
      </c>
      <c r="U620" s="1948">
        <v>58110</v>
      </c>
      <c r="V620" s="1948">
        <f t="shared" si="137"/>
        <v>107993</v>
      </c>
      <c r="W620" s="1948">
        <f t="shared" si="138"/>
        <v>0</v>
      </c>
      <c r="X620" s="1948">
        <v>556</v>
      </c>
      <c r="Y620" s="1948">
        <v>227.04000000000002</v>
      </c>
      <c r="Z620" s="1948">
        <v>444.8</v>
      </c>
      <c r="AA620" s="1948">
        <v>0.99970000000000003</v>
      </c>
      <c r="AB620" s="1948">
        <v>32.799999999999997</v>
      </c>
      <c r="AC620" s="1948">
        <v>64344</v>
      </c>
      <c r="AD620" s="1948">
        <f t="shared" si="139"/>
        <v>98081</v>
      </c>
      <c r="AE620" s="1948">
        <f t="shared" si="140"/>
        <v>0</v>
      </c>
      <c r="AF620" s="1948">
        <v>556</v>
      </c>
      <c r="AG620" s="1948">
        <v>382.08000000000004</v>
      </c>
      <c r="AH620" s="1948">
        <v>444.8</v>
      </c>
      <c r="AI620" s="1948">
        <v>0.99980000000000002</v>
      </c>
      <c r="AJ620" s="1948">
        <v>31.66</v>
      </c>
      <c r="AK620" s="1948">
        <v>90000</v>
      </c>
      <c r="AL620" s="1948">
        <f t="shared" si="141"/>
        <v>170561</v>
      </c>
      <c r="AM620" s="1948">
        <f t="shared" si="142"/>
        <v>0</v>
      </c>
      <c r="AN620" s="1948">
        <v>556</v>
      </c>
      <c r="AO620" s="1948">
        <v>372.48</v>
      </c>
      <c r="AP620" s="1948">
        <v>444.8</v>
      </c>
      <c r="AQ620" s="1948">
        <v>0.99980000000000002</v>
      </c>
      <c r="AR620" s="1948">
        <v>35.090000000000003</v>
      </c>
      <c r="AS620" s="1948">
        <v>97254</v>
      </c>
      <c r="AT620" s="1948">
        <f t="shared" si="143"/>
        <v>166275</v>
      </c>
      <c r="AU620" s="1948">
        <f t="shared" si="144"/>
        <v>0</v>
      </c>
      <c r="AV620" s="1948">
        <v>556</v>
      </c>
      <c r="AW620" s="1948">
        <v>353.28</v>
      </c>
      <c r="AX620" s="1948">
        <v>444.8</v>
      </c>
      <c r="AY620" s="1948">
        <v>0.99970000000000003</v>
      </c>
      <c r="AZ620" s="1948">
        <v>32.47</v>
      </c>
      <c r="BA620" s="1948">
        <v>82596</v>
      </c>
      <c r="BB620" s="1948">
        <f t="shared" si="145"/>
        <v>152617</v>
      </c>
      <c r="BC620" s="1948">
        <f t="shared" si="146"/>
        <v>0</v>
      </c>
      <c r="BD620" s="1949">
        <v>556</v>
      </c>
      <c r="BE620" s="1948">
        <v>347.52000000000004</v>
      </c>
      <c r="BF620" s="1949">
        <v>444.8</v>
      </c>
      <c r="BG620" s="1949">
        <v>0.99970000000000003</v>
      </c>
      <c r="BH620" s="1949">
        <v>32.630000000000003</v>
      </c>
      <c r="BI620" s="1948">
        <v>84360</v>
      </c>
      <c r="BJ620" s="1948">
        <f t="shared" si="147"/>
        <v>155133</v>
      </c>
      <c r="BK620" s="1948">
        <f t="shared" si="148"/>
        <v>0</v>
      </c>
    </row>
    <row r="621" spans="1:63" ht="15">
      <c r="A621" s="1946">
        <v>121000000053</v>
      </c>
      <c r="B621" s="1947">
        <f t="shared" si="149"/>
        <v>615</v>
      </c>
      <c r="C621" s="1906" t="s">
        <v>3450</v>
      </c>
      <c r="D621" s="1907" t="s">
        <v>524</v>
      </c>
      <c r="E621" s="1906" t="s">
        <v>541</v>
      </c>
      <c r="F621" s="1948" t="s">
        <v>259</v>
      </c>
      <c r="G621" s="1949">
        <v>556</v>
      </c>
      <c r="H621" s="1948">
        <v>556</v>
      </c>
      <c r="I621" s="1950">
        <v>507.59999999999997</v>
      </c>
      <c r="J621" s="1948">
        <v>507.6</v>
      </c>
      <c r="K621" s="1948">
        <v>0.92659999999999998</v>
      </c>
      <c r="L621" s="1948">
        <v>57.52</v>
      </c>
      <c r="M621" s="1948">
        <v>210225</v>
      </c>
      <c r="N621" s="1948">
        <f t="shared" si="135"/>
        <v>219283</v>
      </c>
      <c r="O621" s="1948">
        <f t="shared" si="136"/>
        <v>0</v>
      </c>
      <c r="P621" s="1948">
        <v>556</v>
      </c>
      <c r="Q621" s="1948">
        <v>512.64</v>
      </c>
      <c r="R621" s="1948">
        <v>512.64</v>
      </c>
      <c r="S621" s="1948">
        <v>0.94</v>
      </c>
      <c r="T621" s="1948">
        <v>51.3</v>
      </c>
      <c r="U621" s="1948">
        <v>195651</v>
      </c>
      <c r="V621" s="1948">
        <f t="shared" si="137"/>
        <v>228842</v>
      </c>
      <c r="W621" s="1948">
        <f t="shared" si="138"/>
        <v>0</v>
      </c>
      <c r="X621" s="1948">
        <v>556</v>
      </c>
      <c r="Y621" s="1948">
        <v>491.28</v>
      </c>
      <c r="Z621" s="1948">
        <v>491.28</v>
      </c>
      <c r="AA621" s="1948">
        <v>0.96030000000000004</v>
      </c>
      <c r="AB621" s="1948">
        <v>52</v>
      </c>
      <c r="AC621" s="1948">
        <v>183942</v>
      </c>
      <c r="AD621" s="1948">
        <f t="shared" si="139"/>
        <v>212233</v>
      </c>
      <c r="AE621" s="1948">
        <f t="shared" si="140"/>
        <v>0</v>
      </c>
      <c r="AF621" s="1948">
        <v>556</v>
      </c>
      <c r="AG621" s="1948">
        <v>500.16</v>
      </c>
      <c r="AH621" s="1948">
        <v>500.16</v>
      </c>
      <c r="AI621" s="1948">
        <v>0.9738</v>
      </c>
      <c r="AJ621" s="1948">
        <v>50.56</v>
      </c>
      <c r="AK621" s="1948">
        <v>188130</v>
      </c>
      <c r="AL621" s="1948">
        <f t="shared" si="141"/>
        <v>223271</v>
      </c>
      <c r="AM621" s="1948">
        <f t="shared" si="142"/>
        <v>0</v>
      </c>
      <c r="AN621" s="1948">
        <v>556</v>
      </c>
      <c r="AO621" s="1948">
        <v>483.84000000000003</v>
      </c>
      <c r="AP621" s="1948">
        <v>483.84</v>
      </c>
      <c r="AQ621" s="1948">
        <v>0.96050000000000002</v>
      </c>
      <c r="AR621" s="1948">
        <v>49.82</v>
      </c>
      <c r="AS621" s="1948">
        <v>179358</v>
      </c>
      <c r="AT621" s="1948">
        <f t="shared" si="143"/>
        <v>215986</v>
      </c>
      <c r="AU621" s="1948">
        <f t="shared" si="144"/>
        <v>0</v>
      </c>
      <c r="AV621" s="1948">
        <v>556</v>
      </c>
      <c r="AW621" s="1948">
        <v>487.68</v>
      </c>
      <c r="AX621" s="1948">
        <v>487.68</v>
      </c>
      <c r="AY621" s="1948">
        <v>0.94279999999999997</v>
      </c>
      <c r="AZ621" s="1948">
        <v>49.44</v>
      </c>
      <c r="BA621" s="1948">
        <v>173613</v>
      </c>
      <c r="BB621" s="1948">
        <f t="shared" si="145"/>
        <v>210678</v>
      </c>
      <c r="BC621" s="1948">
        <f t="shared" si="146"/>
        <v>0</v>
      </c>
      <c r="BD621" s="1949">
        <v>556</v>
      </c>
      <c r="BE621" s="1948">
        <v>401.04</v>
      </c>
      <c r="BF621" s="1949">
        <v>444.8</v>
      </c>
      <c r="BG621" s="1949">
        <v>0.95909999999999995</v>
      </c>
      <c r="BH621" s="1949">
        <v>15.43</v>
      </c>
      <c r="BI621" s="1948">
        <v>46038</v>
      </c>
      <c r="BJ621" s="1948">
        <f t="shared" si="147"/>
        <v>179024</v>
      </c>
      <c r="BK621" s="1948">
        <f t="shared" si="148"/>
        <v>0</v>
      </c>
    </row>
    <row r="622" spans="1:63" ht="15">
      <c r="A622" s="1946">
        <v>121000000070</v>
      </c>
      <c r="B622" s="1947">
        <f t="shared" si="149"/>
        <v>616</v>
      </c>
      <c r="C622" s="1906" t="s">
        <v>3451</v>
      </c>
      <c r="D622" s="1907" t="s">
        <v>524</v>
      </c>
      <c r="E622" s="1906" t="s">
        <v>636</v>
      </c>
      <c r="F622" s="1948" t="s">
        <v>259</v>
      </c>
      <c r="G622" s="1949">
        <v>556</v>
      </c>
      <c r="H622" s="1948">
        <v>556</v>
      </c>
      <c r="I622" s="1950">
        <v>20.64</v>
      </c>
      <c r="J622" s="1948">
        <v>444.8</v>
      </c>
      <c r="K622" s="1948">
        <v>0.70679999999999998</v>
      </c>
      <c r="L622" s="1948">
        <v>12.74</v>
      </c>
      <c r="M622" s="1948">
        <v>1893</v>
      </c>
      <c r="N622" s="1948">
        <f t="shared" si="135"/>
        <v>8916</v>
      </c>
      <c r="O622" s="1948">
        <f t="shared" si="136"/>
        <v>0</v>
      </c>
      <c r="P622" s="1948">
        <v>556</v>
      </c>
      <c r="Q622" s="1948">
        <v>15.6</v>
      </c>
      <c r="R622" s="1948">
        <v>444.8</v>
      </c>
      <c r="S622" s="1948">
        <v>0.87609999999999999</v>
      </c>
      <c r="T622" s="1948">
        <v>11.06</v>
      </c>
      <c r="U622" s="1948">
        <v>1284</v>
      </c>
      <c r="V622" s="1948">
        <f t="shared" si="137"/>
        <v>6964</v>
      </c>
      <c r="W622" s="1948">
        <f t="shared" si="138"/>
        <v>0</v>
      </c>
      <c r="X622" s="1948">
        <v>556</v>
      </c>
      <c r="Y622" s="1948">
        <v>23.04</v>
      </c>
      <c r="Z622" s="1948">
        <v>444.8</v>
      </c>
      <c r="AA622" s="1948">
        <v>0.54749999999999999</v>
      </c>
      <c r="AB622" s="1948">
        <v>20.71</v>
      </c>
      <c r="AC622" s="1948">
        <v>3435</v>
      </c>
      <c r="AD622" s="1948">
        <f t="shared" si="139"/>
        <v>9953</v>
      </c>
      <c r="AE622" s="1948">
        <f t="shared" si="140"/>
        <v>0</v>
      </c>
      <c r="AF622" s="1948">
        <v>556</v>
      </c>
      <c r="AG622" s="1948">
        <v>21.36</v>
      </c>
      <c r="AH622" s="1948">
        <v>444.8</v>
      </c>
      <c r="AI622" s="1948">
        <v>0.3745</v>
      </c>
      <c r="AJ622" s="1948">
        <v>39.51</v>
      </c>
      <c r="AK622" s="1948">
        <v>6279</v>
      </c>
      <c r="AL622" s="1948">
        <f t="shared" si="141"/>
        <v>9535</v>
      </c>
      <c r="AM622" s="1948">
        <f t="shared" si="142"/>
        <v>0</v>
      </c>
      <c r="AN622" s="1948">
        <v>556</v>
      </c>
      <c r="AO622" s="1948">
        <v>21.599999999999998</v>
      </c>
      <c r="AP622" s="1948">
        <v>444.8</v>
      </c>
      <c r="AQ622" s="1948">
        <v>0.33910000000000001</v>
      </c>
      <c r="AR622" s="1948">
        <v>36.61</v>
      </c>
      <c r="AS622" s="1948">
        <v>5883</v>
      </c>
      <c r="AT622" s="1948">
        <f t="shared" si="143"/>
        <v>9642</v>
      </c>
      <c r="AU622" s="1948">
        <f t="shared" si="144"/>
        <v>0</v>
      </c>
      <c r="AV622" s="1948">
        <v>556</v>
      </c>
      <c r="AW622" s="1948">
        <v>21.12</v>
      </c>
      <c r="AX622" s="1948">
        <v>444.8</v>
      </c>
      <c r="AY622" s="1948">
        <v>0.35730000000000001</v>
      </c>
      <c r="AZ622" s="1948">
        <v>35.39</v>
      </c>
      <c r="BA622" s="1948">
        <v>5382</v>
      </c>
      <c r="BB622" s="1948">
        <f t="shared" si="145"/>
        <v>9124</v>
      </c>
      <c r="BC622" s="1948">
        <f t="shared" si="146"/>
        <v>0</v>
      </c>
      <c r="BD622" s="1949">
        <v>556</v>
      </c>
      <c r="BE622" s="1948">
        <v>20.400000000000002</v>
      </c>
      <c r="BF622" s="1949">
        <v>444.8</v>
      </c>
      <c r="BG622" s="1949">
        <v>0.30819999999999997</v>
      </c>
      <c r="BH622" s="1949">
        <v>39.950000000000003</v>
      </c>
      <c r="BI622" s="1948">
        <v>6063</v>
      </c>
      <c r="BJ622" s="1948">
        <f t="shared" si="147"/>
        <v>9107</v>
      </c>
      <c r="BK622" s="1948">
        <f t="shared" si="148"/>
        <v>0</v>
      </c>
    </row>
    <row r="623" spans="1:63" ht="15">
      <c r="A623" s="1946">
        <v>121000000092</v>
      </c>
      <c r="B623" s="1947">
        <f t="shared" si="149"/>
        <v>617</v>
      </c>
      <c r="C623" s="1906" t="s">
        <v>3447</v>
      </c>
      <c r="D623" s="1907" t="s">
        <v>524</v>
      </c>
      <c r="E623" s="1906" t="s">
        <v>2966</v>
      </c>
      <c r="F623" s="1948" t="s">
        <v>259</v>
      </c>
      <c r="G623" s="1949">
        <v>556</v>
      </c>
      <c r="H623" s="1948">
        <v>556</v>
      </c>
      <c r="I623" s="1950">
        <v>145.91999999999999</v>
      </c>
      <c r="J623" s="1948">
        <v>556</v>
      </c>
      <c r="K623" s="1948">
        <v>0.81920000000000004</v>
      </c>
      <c r="L623" s="1948">
        <v>0</v>
      </c>
      <c r="M623" s="1948">
        <v>31344</v>
      </c>
      <c r="N623" s="1948">
        <f t="shared" si="135"/>
        <v>63037</v>
      </c>
      <c r="O623" s="1948">
        <f t="shared" si="136"/>
        <v>0</v>
      </c>
      <c r="P623" s="1948">
        <v>556</v>
      </c>
      <c r="Q623" s="1948">
        <v>229.44</v>
      </c>
      <c r="R623" s="1948">
        <v>556</v>
      </c>
      <c r="S623" s="1948">
        <v>0.81030000000000002</v>
      </c>
      <c r="T623" s="1948">
        <v>0</v>
      </c>
      <c r="U623" s="1948">
        <v>52212</v>
      </c>
      <c r="V623" s="1948">
        <f t="shared" si="137"/>
        <v>102422</v>
      </c>
      <c r="W623" s="1948">
        <f t="shared" si="138"/>
        <v>0</v>
      </c>
      <c r="X623" s="1948">
        <v>556</v>
      </c>
      <c r="Y623" s="1948">
        <v>289.44</v>
      </c>
      <c r="Z623" s="1948">
        <v>556</v>
      </c>
      <c r="AA623" s="1948">
        <v>0.80930000000000002</v>
      </c>
      <c r="AB623" s="1948">
        <v>0</v>
      </c>
      <c r="AC623" s="1948">
        <v>94410</v>
      </c>
      <c r="AD623" s="1948">
        <f t="shared" si="139"/>
        <v>125038</v>
      </c>
      <c r="AE623" s="1948">
        <f t="shared" si="140"/>
        <v>0</v>
      </c>
      <c r="AF623" s="1948">
        <v>556</v>
      </c>
      <c r="AG623" s="1948">
        <v>341.28</v>
      </c>
      <c r="AH623" s="1948">
        <v>556</v>
      </c>
      <c r="AI623" s="1948">
        <v>0.80730000000000002</v>
      </c>
      <c r="AJ623" s="1948">
        <v>0</v>
      </c>
      <c r="AK623" s="1948">
        <v>119706</v>
      </c>
      <c r="AL623" s="1948">
        <f t="shared" si="141"/>
        <v>152347</v>
      </c>
      <c r="AM623" s="1948">
        <f t="shared" si="142"/>
        <v>0</v>
      </c>
      <c r="AN623" s="1948">
        <v>556</v>
      </c>
      <c r="AO623" s="1948">
        <v>207.36</v>
      </c>
      <c r="AP623" s="1948">
        <v>556</v>
      </c>
      <c r="AQ623" s="1948">
        <v>0.86099999999999999</v>
      </c>
      <c r="AR623" s="1948">
        <v>0</v>
      </c>
      <c r="AS623" s="1948">
        <v>56214</v>
      </c>
      <c r="AT623" s="1948">
        <f t="shared" si="143"/>
        <v>92566</v>
      </c>
      <c r="AU623" s="1948">
        <f t="shared" si="144"/>
        <v>0</v>
      </c>
      <c r="AV623" s="1948">
        <v>556</v>
      </c>
      <c r="AW623" s="1948">
        <v>186.72</v>
      </c>
      <c r="AX623" s="1948">
        <v>556</v>
      </c>
      <c r="AY623" s="1948">
        <v>0.87080000000000002</v>
      </c>
      <c r="AZ623" s="1948">
        <v>0</v>
      </c>
      <c r="BA623" s="1948">
        <v>48954</v>
      </c>
      <c r="BB623" s="1948">
        <f t="shared" si="145"/>
        <v>80663</v>
      </c>
      <c r="BC623" s="1948">
        <f t="shared" si="146"/>
        <v>0</v>
      </c>
      <c r="BD623" s="1949">
        <v>556</v>
      </c>
      <c r="BE623" s="1948">
        <v>176.16000000000003</v>
      </c>
      <c r="BF623" s="1949">
        <v>556</v>
      </c>
      <c r="BG623" s="1949">
        <v>0.87070000000000003</v>
      </c>
      <c r="BH623" s="1949">
        <v>0</v>
      </c>
      <c r="BI623" s="1948">
        <v>56484</v>
      </c>
      <c r="BJ623" s="1948">
        <f t="shared" si="147"/>
        <v>78638</v>
      </c>
      <c r="BK623" s="1948">
        <f t="shared" si="148"/>
        <v>0</v>
      </c>
    </row>
    <row r="624" spans="1:63" ht="15">
      <c r="A624" s="982">
        <v>125000000036</v>
      </c>
      <c r="B624" s="1947">
        <f t="shared" si="149"/>
        <v>618</v>
      </c>
      <c r="C624" s="1895" t="s">
        <v>3452</v>
      </c>
      <c r="D624" s="1907" t="s">
        <v>3661</v>
      </c>
      <c r="E624" s="1895" t="s">
        <v>541</v>
      </c>
      <c r="F624" s="1951" t="s">
        <v>259</v>
      </c>
      <c r="G624" s="1951">
        <v>556</v>
      </c>
      <c r="H624" s="1951">
        <v>556</v>
      </c>
      <c r="I624" s="1952">
        <v>0</v>
      </c>
      <c r="J624" s="1951">
        <v>444.8</v>
      </c>
      <c r="K624" s="1951">
        <v>0</v>
      </c>
      <c r="L624" s="1951">
        <v>0</v>
      </c>
      <c r="M624" s="1951">
        <v>0</v>
      </c>
      <c r="N624" s="1948">
        <f t="shared" si="135"/>
        <v>0</v>
      </c>
      <c r="O624" s="1948">
        <f t="shared" si="136"/>
        <v>0</v>
      </c>
      <c r="P624" s="1948">
        <v>556</v>
      </c>
      <c r="Q624" s="1948">
        <v>0</v>
      </c>
      <c r="R624" s="1948">
        <v>444.8</v>
      </c>
      <c r="S624" s="1948">
        <v>0</v>
      </c>
      <c r="T624" s="1948">
        <v>0</v>
      </c>
      <c r="U624" s="1948">
        <v>0</v>
      </c>
      <c r="V624" s="1948">
        <f t="shared" si="137"/>
        <v>0</v>
      </c>
      <c r="W624" s="1948">
        <f t="shared" si="138"/>
        <v>0</v>
      </c>
      <c r="X624" s="1948">
        <v>556</v>
      </c>
      <c r="Y624" s="1948">
        <v>0</v>
      </c>
      <c r="Z624" s="1948">
        <v>444.8</v>
      </c>
      <c r="AA624" s="1948">
        <v>0</v>
      </c>
      <c r="AB624" s="1948">
        <v>0</v>
      </c>
      <c r="AC624" s="1948">
        <v>0</v>
      </c>
      <c r="AD624" s="1948">
        <f t="shared" si="139"/>
        <v>0</v>
      </c>
      <c r="AE624" s="1948">
        <f t="shared" si="140"/>
        <v>0</v>
      </c>
      <c r="AF624" s="1948">
        <v>556</v>
      </c>
      <c r="AG624" s="1948">
        <v>0</v>
      </c>
      <c r="AH624" s="1948">
        <v>444.8</v>
      </c>
      <c r="AI624" s="1948">
        <v>0</v>
      </c>
      <c r="AJ624" s="1948">
        <v>0</v>
      </c>
      <c r="AK624" s="1948">
        <v>0</v>
      </c>
      <c r="AL624" s="1948">
        <f t="shared" si="141"/>
        <v>0</v>
      </c>
      <c r="AM624" s="1948">
        <f t="shared" si="142"/>
        <v>0</v>
      </c>
      <c r="AN624" s="1948">
        <v>556</v>
      </c>
      <c r="AO624" s="1948">
        <v>0</v>
      </c>
      <c r="AP624" s="1948">
        <v>444.8</v>
      </c>
      <c r="AQ624" s="1948">
        <v>0</v>
      </c>
      <c r="AR624" s="1948">
        <v>0</v>
      </c>
      <c r="AS624" s="1948">
        <v>0</v>
      </c>
      <c r="AT624" s="1948">
        <f t="shared" si="143"/>
        <v>0</v>
      </c>
      <c r="AU624" s="1948">
        <f t="shared" si="144"/>
        <v>0</v>
      </c>
      <c r="AV624" s="1948">
        <v>556</v>
      </c>
      <c r="AW624" s="1948">
        <v>0</v>
      </c>
      <c r="AX624" s="1948">
        <v>444.8</v>
      </c>
      <c r="AY624" s="1948">
        <v>0</v>
      </c>
      <c r="AZ624" s="1948">
        <v>0</v>
      </c>
      <c r="BA624" s="1948">
        <v>0</v>
      </c>
      <c r="BB624" s="1948">
        <f t="shared" si="145"/>
        <v>0</v>
      </c>
      <c r="BC624" s="1948">
        <f t="shared" si="146"/>
        <v>0</v>
      </c>
      <c r="BD624" s="1948">
        <v>0</v>
      </c>
      <c r="BE624" s="1948">
        <v>0</v>
      </c>
      <c r="BF624" s="1948">
        <v>0</v>
      </c>
      <c r="BG624" s="1948">
        <v>0</v>
      </c>
      <c r="BH624" s="1948">
        <v>0</v>
      </c>
      <c r="BI624" s="1948">
        <v>0</v>
      </c>
      <c r="BJ624" s="1948">
        <f t="shared" si="147"/>
        <v>0</v>
      </c>
      <c r="BK624" s="1948">
        <f t="shared" si="148"/>
        <v>0</v>
      </c>
    </row>
    <row r="625" spans="1:63" ht="15">
      <c r="A625" s="1946">
        <v>123000000107</v>
      </c>
      <c r="B625" s="1947">
        <f t="shared" si="149"/>
        <v>619</v>
      </c>
      <c r="C625" s="1906" t="s">
        <v>3455</v>
      </c>
      <c r="D625" s="1907" t="s">
        <v>524</v>
      </c>
      <c r="E625" s="1906" t="s">
        <v>623</v>
      </c>
      <c r="F625" s="1948" t="s">
        <v>259</v>
      </c>
      <c r="G625" s="1949">
        <v>560</v>
      </c>
      <c r="H625" s="1948">
        <v>560</v>
      </c>
      <c r="I625" s="1950">
        <v>284.39999999999998</v>
      </c>
      <c r="J625" s="1948">
        <v>560</v>
      </c>
      <c r="K625" s="1948">
        <v>0.99850000000000005</v>
      </c>
      <c r="L625" s="1948">
        <v>0</v>
      </c>
      <c r="M625" s="1948">
        <v>48834</v>
      </c>
      <c r="N625" s="1948">
        <f t="shared" si="135"/>
        <v>122861</v>
      </c>
      <c r="O625" s="1948">
        <f t="shared" si="136"/>
        <v>0</v>
      </c>
      <c r="P625" s="1948">
        <v>560</v>
      </c>
      <c r="Q625" s="1948">
        <v>245.51999999999998</v>
      </c>
      <c r="R625" s="1948">
        <v>560</v>
      </c>
      <c r="S625" s="1948">
        <v>0.998</v>
      </c>
      <c r="T625" s="1948">
        <v>0</v>
      </c>
      <c r="U625" s="1948">
        <v>46638</v>
      </c>
      <c r="V625" s="1948">
        <f t="shared" si="137"/>
        <v>109600</v>
      </c>
      <c r="W625" s="1948">
        <f t="shared" si="138"/>
        <v>0</v>
      </c>
      <c r="X625" s="1948">
        <v>560</v>
      </c>
      <c r="Y625" s="1948">
        <v>264.24</v>
      </c>
      <c r="Z625" s="1948">
        <v>560</v>
      </c>
      <c r="AA625" s="1948">
        <v>0.99439999999999995</v>
      </c>
      <c r="AB625" s="1948">
        <v>0</v>
      </c>
      <c r="AC625" s="1948">
        <v>39123</v>
      </c>
      <c r="AD625" s="1948">
        <f t="shared" si="139"/>
        <v>114152</v>
      </c>
      <c r="AE625" s="1948">
        <f t="shared" si="140"/>
        <v>0</v>
      </c>
      <c r="AF625" s="1948">
        <v>560</v>
      </c>
      <c r="AG625" s="1948">
        <v>87.6</v>
      </c>
      <c r="AH625" s="1948">
        <v>560</v>
      </c>
      <c r="AI625" s="1948">
        <v>0.99609999999999999</v>
      </c>
      <c r="AJ625" s="1948">
        <v>0</v>
      </c>
      <c r="AK625" s="1948">
        <v>25905</v>
      </c>
      <c r="AL625" s="1948">
        <f t="shared" si="141"/>
        <v>39105</v>
      </c>
      <c r="AM625" s="1948">
        <f t="shared" si="142"/>
        <v>0</v>
      </c>
      <c r="AN625" s="1948">
        <v>560</v>
      </c>
      <c r="AO625" s="1948">
        <v>141.12</v>
      </c>
      <c r="AP625" s="1948">
        <v>560</v>
      </c>
      <c r="AQ625" s="1948">
        <v>0.995</v>
      </c>
      <c r="AR625" s="1948">
        <v>0</v>
      </c>
      <c r="AS625" s="1948">
        <v>28062</v>
      </c>
      <c r="AT625" s="1948">
        <f t="shared" si="143"/>
        <v>62996</v>
      </c>
      <c r="AU625" s="1948">
        <f t="shared" si="144"/>
        <v>0</v>
      </c>
      <c r="AV625" s="1948">
        <v>560</v>
      </c>
      <c r="AW625" s="1948">
        <v>185.76</v>
      </c>
      <c r="AX625" s="1948">
        <v>560</v>
      </c>
      <c r="AY625" s="1948">
        <v>0.99960000000000004</v>
      </c>
      <c r="AZ625" s="1948">
        <v>0</v>
      </c>
      <c r="BA625" s="1948">
        <v>59994</v>
      </c>
      <c r="BB625" s="1948">
        <f t="shared" si="145"/>
        <v>80248</v>
      </c>
      <c r="BC625" s="1948">
        <f t="shared" si="146"/>
        <v>0</v>
      </c>
      <c r="BD625" s="1949">
        <v>560</v>
      </c>
      <c r="BE625" s="1948">
        <v>339.36</v>
      </c>
      <c r="BF625" s="1949">
        <v>560</v>
      </c>
      <c r="BG625" s="1949">
        <v>0.99760000000000004</v>
      </c>
      <c r="BH625" s="1949">
        <v>0</v>
      </c>
      <c r="BI625" s="1948">
        <v>100008</v>
      </c>
      <c r="BJ625" s="1948">
        <f t="shared" si="147"/>
        <v>151490</v>
      </c>
      <c r="BK625" s="1948">
        <f t="shared" si="148"/>
        <v>0</v>
      </c>
    </row>
    <row r="626" spans="1:63" ht="15">
      <c r="A626" s="1946">
        <v>125000000002</v>
      </c>
      <c r="B626" s="1947">
        <f t="shared" si="149"/>
        <v>620</v>
      </c>
      <c r="C626" s="1906" t="s">
        <v>3456</v>
      </c>
      <c r="D626" s="1907" t="s">
        <v>524</v>
      </c>
      <c r="E626" s="1906" t="s">
        <v>636</v>
      </c>
      <c r="F626" s="1948" t="s">
        <v>259</v>
      </c>
      <c r="G626" s="1949">
        <v>560</v>
      </c>
      <c r="H626" s="1948">
        <v>560</v>
      </c>
      <c r="I626" s="1950">
        <v>463.79999999999995</v>
      </c>
      <c r="J626" s="1948">
        <v>463.8</v>
      </c>
      <c r="K626" s="1948">
        <v>0.96379999999999999</v>
      </c>
      <c r="L626" s="1948">
        <v>70.790000000000006</v>
      </c>
      <c r="M626" s="1948">
        <v>236392</v>
      </c>
      <c r="N626" s="1948">
        <f t="shared" si="135"/>
        <v>200362</v>
      </c>
      <c r="O626" s="1948">
        <f t="shared" si="136"/>
        <v>36030</v>
      </c>
      <c r="P626" s="1948">
        <v>560</v>
      </c>
      <c r="Q626" s="1948">
        <v>481.2</v>
      </c>
      <c r="R626" s="1948">
        <v>481.2</v>
      </c>
      <c r="S626" s="1948">
        <v>0.92559999999999998</v>
      </c>
      <c r="T626" s="1948">
        <v>63.95</v>
      </c>
      <c r="U626" s="1948">
        <v>228953</v>
      </c>
      <c r="V626" s="1948">
        <f t="shared" si="137"/>
        <v>214808</v>
      </c>
      <c r="W626" s="1948">
        <f t="shared" si="138"/>
        <v>14145</v>
      </c>
      <c r="X626" s="1948">
        <v>560</v>
      </c>
      <c r="Y626" s="1948">
        <v>456.6</v>
      </c>
      <c r="Z626" s="1948">
        <v>456.6</v>
      </c>
      <c r="AA626" s="1948">
        <v>0.96450000000000002</v>
      </c>
      <c r="AB626" s="1948">
        <v>62.39</v>
      </c>
      <c r="AC626" s="1948">
        <v>205103</v>
      </c>
      <c r="AD626" s="1948">
        <f t="shared" si="139"/>
        <v>197251</v>
      </c>
      <c r="AE626" s="1948">
        <f t="shared" si="140"/>
        <v>7852</v>
      </c>
      <c r="AF626" s="1948">
        <v>560</v>
      </c>
      <c r="AG626" s="1948">
        <v>402</v>
      </c>
      <c r="AH626" s="1948">
        <v>448</v>
      </c>
      <c r="AI626" s="1948">
        <v>0.96120000000000005</v>
      </c>
      <c r="AJ626" s="1948">
        <v>24.36</v>
      </c>
      <c r="AK626" s="1948">
        <v>61102</v>
      </c>
      <c r="AL626" s="1948">
        <f t="shared" si="141"/>
        <v>179453</v>
      </c>
      <c r="AM626" s="1948">
        <f t="shared" si="142"/>
        <v>0</v>
      </c>
      <c r="AN626" s="1948">
        <v>560</v>
      </c>
      <c r="AO626" s="1948">
        <v>424.8</v>
      </c>
      <c r="AP626" s="1948">
        <v>448</v>
      </c>
      <c r="AQ626" s="1948">
        <v>0.95320000000000005</v>
      </c>
      <c r="AR626" s="1948">
        <v>24.13</v>
      </c>
      <c r="AS626" s="1948">
        <v>88575</v>
      </c>
      <c r="AT626" s="1948">
        <f t="shared" si="143"/>
        <v>189631</v>
      </c>
      <c r="AU626" s="1948">
        <f t="shared" si="144"/>
        <v>0</v>
      </c>
      <c r="AV626" s="1948">
        <v>560</v>
      </c>
      <c r="AW626" s="1948">
        <v>425.99999999999994</v>
      </c>
      <c r="AX626" s="1948">
        <v>448</v>
      </c>
      <c r="AY626" s="1948">
        <v>0.90769999999999995</v>
      </c>
      <c r="AZ626" s="1948">
        <v>17.47</v>
      </c>
      <c r="BA626" s="1948">
        <v>53572</v>
      </c>
      <c r="BB626" s="1948">
        <f t="shared" si="145"/>
        <v>184032</v>
      </c>
      <c r="BC626" s="1948">
        <f t="shared" si="146"/>
        <v>0</v>
      </c>
      <c r="BD626" s="1949">
        <v>560</v>
      </c>
      <c r="BE626" s="1948">
        <v>426.59999999999997</v>
      </c>
      <c r="BF626" s="1949">
        <v>448</v>
      </c>
      <c r="BG626" s="1949">
        <v>0.91190000000000004</v>
      </c>
      <c r="BH626" s="1949">
        <v>19.91</v>
      </c>
      <c r="BI626" s="1948">
        <v>63180</v>
      </c>
      <c r="BJ626" s="1948">
        <f t="shared" si="147"/>
        <v>190434</v>
      </c>
      <c r="BK626" s="1948">
        <f t="shared" si="148"/>
        <v>0</v>
      </c>
    </row>
    <row r="627" spans="1:63" ht="15">
      <c r="A627" s="1946">
        <v>121000000044</v>
      </c>
      <c r="B627" s="1947">
        <f t="shared" si="149"/>
        <v>621</v>
      </c>
      <c r="C627" s="1906" t="s">
        <v>3454</v>
      </c>
      <c r="D627" s="1907" t="s">
        <v>524</v>
      </c>
      <c r="E627" s="1906" t="s">
        <v>541</v>
      </c>
      <c r="F627" s="1948" t="s">
        <v>259</v>
      </c>
      <c r="G627" s="1949">
        <v>560</v>
      </c>
      <c r="H627" s="1948">
        <v>560</v>
      </c>
      <c r="I627" s="1950">
        <v>223.92</v>
      </c>
      <c r="J627" s="1948">
        <v>448</v>
      </c>
      <c r="K627" s="1948">
        <v>0.93179999999999996</v>
      </c>
      <c r="L627" s="1948">
        <v>29.3</v>
      </c>
      <c r="M627" s="1948">
        <v>47232</v>
      </c>
      <c r="N627" s="1948">
        <f t="shared" si="135"/>
        <v>96733</v>
      </c>
      <c r="O627" s="1948">
        <f t="shared" si="136"/>
        <v>0</v>
      </c>
      <c r="P627" s="1948">
        <v>560</v>
      </c>
      <c r="Q627" s="1948">
        <v>262.56</v>
      </c>
      <c r="R627" s="1948">
        <v>448</v>
      </c>
      <c r="S627" s="1948">
        <v>0.73580000000000001</v>
      </c>
      <c r="T627" s="1948">
        <v>36.840000000000003</v>
      </c>
      <c r="U627" s="1948">
        <v>71961</v>
      </c>
      <c r="V627" s="1948">
        <f t="shared" si="137"/>
        <v>117207</v>
      </c>
      <c r="W627" s="1948">
        <f t="shared" si="138"/>
        <v>0</v>
      </c>
      <c r="X627" s="1948">
        <v>560</v>
      </c>
      <c r="Y627" s="1948">
        <v>254.64</v>
      </c>
      <c r="Z627" s="1948">
        <v>448</v>
      </c>
      <c r="AA627" s="1948">
        <v>0.97160000000000002</v>
      </c>
      <c r="AB627" s="1948">
        <v>39.409999999999997</v>
      </c>
      <c r="AC627" s="1948">
        <v>72246</v>
      </c>
      <c r="AD627" s="1948">
        <f t="shared" si="139"/>
        <v>110004</v>
      </c>
      <c r="AE627" s="1948">
        <f t="shared" si="140"/>
        <v>0</v>
      </c>
      <c r="AF627" s="1948">
        <v>560</v>
      </c>
      <c r="AG627" s="1948">
        <v>241.92000000000002</v>
      </c>
      <c r="AH627" s="1948">
        <v>448</v>
      </c>
      <c r="AI627" s="1948">
        <v>0.99970000000000003</v>
      </c>
      <c r="AJ627" s="1948">
        <v>33.9</v>
      </c>
      <c r="AK627" s="1948">
        <v>61020</v>
      </c>
      <c r="AL627" s="1948">
        <f t="shared" si="141"/>
        <v>107993</v>
      </c>
      <c r="AM627" s="1948">
        <f t="shared" si="142"/>
        <v>0</v>
      </c>
      <c r="AN627" s="1948">
        <v>560</v>
      </c>
      <c r="AO627" s="1948">
        <v>219.6</v>
      </c>
      <c r="AP627" s="1948">
        <v>448</v>
      </c>
      <c r="AQ627" s="1948">
        <v>0.99960000000000004</v>
      </c>
      <c r="AR627" s="1948">
        <v>51.73</v>
      </c>
      <c r="AS627" s="1948">
        <v>84519</v>
      </c>
      <c r="AT627" s="1948">
        <f t="shared" si="143"/>
        <v>98029</v>
      </c>
      <c r="AU627" s="1948">
        <f t="shared" si="144"/>
        <v>0</v>
      </c>
      <c r="AV627" s="1948">
        <v>560</v>
      </c>
      <c r="AW627" s="1948">
        <v>226.56</v>
      </c>
      <c r="AX627" s="1948">
        <v>448</v>
      </c>
      <c r="AY627" s="1948">
        <v>0.99980000000000002</v>
      </c>
      <c r="AZ627" s="1948">
        <v>56.34</v>
      </c>
      <c r="BA627" s="1948">
        <v>91911</v>
      </c>
      <c r="BB627" s="1948">
        <f t="shared" si="145"/>
        <v>97874</v>
      </c>
      <c r="BC627" s="1948">
        <f t="shared" si="146"/>
        <v>0</v>
      </c>
      <c r="BD627" s="1949">
        <v>560</v>
      </c>
      <c r="BE627" s="1948">
        <v>232.8</v>
      </c>
      <c r="BF627" s="1949">
        <v>448</v>
      </c>
      <c r="BG627" s="1949">
        <v>0.99990000000000001</v>
      </c>
      <c r="BH627" s="1949">
        <v>54.34</v>
      </c>
      <c r="BI627" s="1948">
        <v>94110</v>
      </c>
      <c r="BJ627" s="1948">
        <f t="shared" si="147"/>
        <v>103922</v>
      </c>
      <c r="BK627" s="1948">
        <f t="shared" si="148"/>
        <v>0</v>
      </c>
    </row>
    <row r="628" spans="1:63" ht="15">
      <c r="A628" s="1946">
        <v>121000000101</v>
      </c>
      <c r="B628" s="1947">
        <f t="shared" si="149"/>
        <v>622</v>
      </c>
      <c r="C628" s="1906" t="s">
        <v>3453</v>
      </c>
      <c r="D628" s="1907" t="s">
        <v>524</v>
      </c>
      <c r="E628" s="1906" t="s">
        <v>636</v>
      </c>
      <c r="F628" s="1948" t="s">
        <v>259</v>
      </c>
      <c r="G628" s="1949">
        <v>560</v>
      </c>
      <c r="H628" s="1948">
        <v>560</v>
      </c>
      <c r="I628" s="1950">
        <v>10.08</v>
      </c>
      <c r="J628" s="1948">
        <v>448</v>
      </c>
      <c r="K628" s="1948">
        <v>0.93579999999999997</v>
      </c>
      <c r="L628" s="1948">
        <v>25.79</v>
      </c>
      <c r="M628" s="1948">
        <v>1872</v>
      </c>
      <c r="N628" s="1948">
        <f t="shared" si="135"/>
        <v>4355</v>
      </c>
      <c r="O628" s="1948">
        <f t="shared" si="136"/>
        <v>0</v>
      </c>
      <c r="P628" s="1948">
        <v>560</v>
      </c>
      <c r="Q628" s="1948">
        <v>426.72</v>
      </c>
      <c r="R628" s="1948">
        <v>448</v>
      </c>
      <c r="S628" s="1948">
        <v>0.63670000000000004</v>
      </c>
      <c r="T628" s="1948">
        <v>1.01</v>
      </c>
      <c r="U628" s="1948">
        <v>3204</v>
      </c>
      <c r="V628" s="1948">
        <f t="shared" si="137"/>
        <v>190488</v>
      </c>
      <c r="W628" s="1948">
        <f t="shared" si="138"/>
        <v>0</v>
      </c>
      <c r="X628" s="1948">
        <v>560</v>
      </c>
      <c r="Y628" s="1948">
        <v>677.76</v>
      </c>
      <c r="Z628" s="1948">
        <v>677.76</v>
      </c>
      <c r="AA628" s="1948">
        <v>0.77339999999999998</v>
      </c>
      <c r="AB628" s="1948">
        <v>13.64</v>
      </c>
      <c r="AC628" s="1948">
        <v>66564</v>
      </c>
      <c r="AD628" s="1948">
        <f t="shared" si="139"/>
        <v>292792</v>
      </c>
      <c r="AE628" s="1948">
        <f t="shared" si="140"/>
        <v>0</v>
      </c>
      <c r="AF628" s="1948">
        <v>560</v>
      </c>
      <c r="AG628" s="1948">
        <v>256.32</v>
      </c>
      <c r="AH628" s="1948">
        <v>448</v>
      </c>
      <c r="AI628" s="1948">
        <v>0.79239999999999999</v>
      </c>
      <c r="AJ628" s="1948">
        <v>16.79</v>
      </c>
      <c r="AK628" s="1948">
        <v>32028</v>
      </c>
      <c r="AL628" s="1948">
        <f t="shared" si="141"/>
        <v>114421</v>
      </c>
      <c r="AM628" s="1948">
        <f t="shared" si="142"/>
        <v>0</v>
      </c>
      <c r="AN628" s="1948">
        <v>560</v>
      </c>
      <c r="AO628" s="1948">
        <v>265.92</v>
      </c>
      <c r="AP628" s="1948">
        <v>448</v>
      </c>
      <c r="AQ628" s="1948">
        <v>0.79090000000000005</v>
      </c>
      <c r="AR628" s="1948">
        <v>15.25</v>
      </c>
      <c r="AS628" s="1948">
        <v>30162</v>
      </c>
      <c r="AT628" s="1948">
        <f t="shared" si="143"/>
        <v>118707</v>
      </c>
      <c r="AU628" s="1948">
        <f t="shared" si="144"/>
        <v>0</v>
      </c>
      <c r="AV628" s="1948">
        <v>560</v>
      </c>
      <c r="AW628" s="1948">
        <v>472.8</v>
      </c>
      <c r="AX628" s="1948">
        <v>472.8</v>
      </c>
      <c r="AY628" s="1948">
        <v>0.79569999999999996</v>
      </c>
      <c r="AZ628" s="1948">
        <v>12.05</v>
      </c>
      <c r="BA628" s="1948">
        <v>41016</v>
      </c>
      <c r="BB628" s="1948">
        <f t="shared" si="145"/>
        <v>204250</v>
      </c>
      <c r="BC628" s="1948">
        <f t="shared" si="146"/>
        <v>0</v>
      </c>
      <c r="BD628" s="1949">
        <v>560</v>
      </c>
      <c r="BE628" s="1948">
        <v>501.59999999999997</v>
      </c>
      <c r="BF628" s="1949">
        <v>501.6</v>
      </c>
      <c r="BG628" s="1949">
        <v>0.78580000000000005</v>
      </c>
      <c r="BH628" s="1949">
        <v>19.5</v>
      </c>
      <c r="BI628" s="1948">
        <v>72768</v>
      </c>
      <c r="BJ628" s="1948">
        <f t="shared" si="147"/>
        <v>223914</v>
      </c>
      <c r="BK628" s="1948">
        <f t="shared" si="148"/>
        <v>0</v>
      </c>
    </row>
    <row r="629" spans="1:63" ht="15">
      <c r="A629" s="1946">
        <v>611000000084</v>
      </c>
      <c r="B629" s="1947">
        <f t="shared" si="149"/>
        <v>623</v>
      </c>
      <c r="C629" s="1906" t="s">
        <v>3457</v>
      </c>
      <c r="D629" s="1907" t="s">
        <v>524</v>
      </c>
      <c r="E629" s="1906" t="s">
        <v>541</v>
      </c>
      <c r="F629" s="1948" t="s">
        <v>259</v>
      </c>
      <c r="G629" s="1949">
        <v>560</v>
      </c>
      <c r="H629" s="1948">
        <v>560</v>
      </c>
      <c r="I629" s="1950">
        <v>575.52</v>
      </c>
      <c r="J629" s="1948">
        <v>575.52</v>
      </c>
      <c r="K629" s="1948">
        <v>0.98699999999999999</v>
      </c>
      <c r="L629" s="1948">
        <v>35.340000000000003</v>
      </c>
      <c r="M629" s="1948">
        <v>146460</v>
      </c>
      <c r="N629" s="1948">
        <f t="shared" si="135"/>
        <v>248625</v>
      </c>
      <c r="O629" s="1948">
        <f t="shared" si="136"/>
        <v>0</v>
      </c>
      <c r="P629" s="1948">
        <v>560</v>
      </c>
      <c r="Q629" s="1948">
        <v>653.76</v>
      </c>
      <c r="R629" s="1948">
        <v>653.76</v>
      </c>
      <c r="S629" s="1948">
        <v>0.9415</v>
      </c>
      <c r="T629" s="1948">
        <v>29.35</v>
      </c>
      <c r="U629" s="1948">
        <v>142764</v>
      </c>
      <c r="V629" s="1948">
        <f t="shared" si="137"/>
        <v>291838</v>
      </c>
      <c r="W629" s="1948">
        <f t="shared" si="138"/>
        <v>0</v>
      </c>
      <c r="X629" s="1948">
        <v>560</v>
      </c>
      <c r="Y629" s="1948">
        <v>671.52</v>
      </c>
      <c r="Z629" s="1948">
        <v>671.52</v>
      </c>
      <c r="AA629" s="1948">
        <v>0.98129999999999995</v>
      </c>
      <c r="AB629" s="1948">
        <v>25.43</v>
      </c>
      <c r="AC629" s="1948">
        <v>122952</v>
      </c>
      <c r="AD629" s="1948">
        <f t="shared" si="139"/>
        <v>290097</v>
      </c>
      <c r="AE629" s="1948">
        <f t="shared" si="140"/>
        <v>0</v>
      </c>
      <c r="AF629" s="1948">
        <v>560</v>
      </c>
      <c r="AG629" s="1948">
        <v>417.12</v>
      </c>
      <c r="AH629" s="1948">
        <v>448</v>
      </c>
      <c r="AI629" s="1948">
        <v>0.99050000000000005</v>
      </c>
      <c r="AJ629" s="1948">
        <v>49.12</v>
      </c>
      <c r="AK629" s="1948">
        <v>152436</v>
      </c>
      <c r="AL629" s="1948">
        <f t="shared" si="141"/>
        <v>186202</v>
      </c>
      <c r="AM629" s="1948">
        <f t="shared" si="142"/>
        <v>0</v>
      </c>
      <c r="AN629" s="1948">
        <v>560</v>
      </c>
      <c r="AO629" s="1948">
        <v>724.8</v>
      </c>
      <c r="AP629" s="1948">
        <v>724.8</v>
      </c>
      <c r="AQ629" s="1948">
        <v>0.93959999999999999</v>
      </c>
      <c r="AR629" s="1948">
        <v>28.49</v>
      </c>
      <c r="AS629" s="1948">
        <v>153606</v>
      </c>
      <c r="AT629" s="1948">
        <f t="shared" si="143"/>
        <v>323551</v>
      </c>
      <c r="AU629" s="1948">
        <f t="shared" si="144"/>
        <v>0</v>
      </c>
      <c r="AV629" s="1948">
        <v>560</v>
      </c>
      <c r="AW629" s="1948">
        <v>410.40000000000003</v>
      </c>
      <c r="AX629" s="1948">
        <v>448</v>
      </c>
      <c r="AY629" s="1948">
        <v>0.98980000000000001</v>
      </c>
      <c r="AZ629" s="1948">
        <v>46.83</v>
      </c>
      <c r="BA629" s="1948">
        <v>138384</v>
      </c>
      <c r="BB629" s="1948">
        <f t="shared" si="145"/>
        <v>177293</v>
      </c>
      <c r="BC629" s="1948">
        <f t="shared" si="146"/>
        <v>0</v>
      </c>
      <c r="BD629" s="1949">
        <v>560</v>
      </c>
      <c r="BE629" s="1948">
        <v>384</v>
      </c>
      <c r="BF629" s="1949">
        <v>448</v>
      </c>
      <c r="BG629" s="1949">
        <v>0.99170000000000003</v>
      </c>
      <c r="BH629" s="1949">
        <v>48.94</v>
      </c>
      <c r="BI629" s="1948">
        <v>139818</v>
      </c>
      <c r="BJ629" s="1948">
        <f t="shared" si="147"/>
        <v>171418</v>
      </c>
      <c r="BK629" s="1948">
        <f t="shared" si="148"/>
        <v>0</v>
      </c>
    </row>
    <row r="630" spans="1:63" ht="15">
      <c r="A630" s="1946">
        <v>126000000024</v>
      </c>
      <c r="B630" s="1947">
        <f t="shared" si="149"/>
        <v>624</v>
      </c>
      <c r="C630" s="1906" t="s">
        <v>3458</v>
      </c>
      <c r="D630" s="1907" t="s">
        <v>524</v>
      </c>
      <c r="E630" s="1906" t="s">
        <v>541</v>
      </c>
      <c r="F630" s="1948" t="s">
        <v>259</v>
      </c>
      <c r="G630" s="1949">
        <v>561</v>
      </c>
      <c r="H630" s="1948">
        <v>561</v>
      </c>
      <c r="I630" s="1950">
        <v>282.72000000000003</v>
      </c>
      <c r="J630" s="1948">
        <v>448.8</v>
      </c>
      <c r="K630" s="1948">
        <v>0.98160000000000003</v>
      </c>
      <c r="L630" s="1948">
        <v>49.76</v>
      </c>
      <c r="M630" s="1948">
        <v>101292</v>
      </c>
      <c r="N630" s="1948">
        <f t="shared" si="135"/>
        <v>122135</v>
      </c>
      <c r="O630" s="1948">
        <f t="shared" si="136"/>
        <v>0</v>
      </c>
      <c r="P630" s="1948">
        <v>561</v>
      </c>
      <c r="Q630" s="1948">
        <v>269.76</v>
      </c>
      <c r="R630" s="1948">
        <v>448.8</v>
      </c>
      <c r="S630" s="1948">
        <v>0.97240000000000004</v>
      </c>
      <c r="T630" s="1948">
        <v>54.75</v>
      </c>
      <c r="U630" s="1948">
        <v>109884</v>
      </c>
      <c r="V630" s="1948">
        <f t="shared" si="137"/>
        <v>120421</v>
      </c>
      <c r="W630" s="1948">
        <f t="shared" si="138"/>
        <v>0</v>
      </c>
      <c r="X630" s="1948">
        <v>561</v>
      </c>
      <c r="Y630" s="1948">
        <v>264.48</v>
      </c>
      <c r="Z630" s="1948">
        <v>448.8</v>
      </c>
      <c r="AA630" s="1948">
        <v>0.97260000000000002</v>
      </c>
      <c r="AB630" s="1948">
        <v>40.799999999999997</v>
      </c>
      <c r="AC630" s="1948">
        <v>77688</v>
      </c>
      <c r="AD630" s="1948">
        <f t="shared" si="139"/>
        <v>114255</v>
      </c>
      <c r="AE630" s="1948">
        <f t="shared" si="140"/>
        <v>0</v>
      </c>
      <c r="AF630" s="1948">
        <v>561</v>
      </c>
      <c r="AG630" s="1948">
        <v>280.8</v>
      </c>
      <c r="AH630" s="1948">
        <v>448.8</v>
      </c>
      <c r="AI630" s="1948">
        <v>0.96860000000000002</v>
      </c>
      <c r="AJ630" s="1948">
        <v>42.26</v>
      </c>
      <c r="AK630" s="1948">
        <v>88296</v>
      </c>
      <c r="AL630" s="1948">
        <f t="shared" si="141"/>
        <v>125349</v>
      </c>
      <c r="AM630" s="1948">
        <f t="shared" si="142"/>
        <v>0</v>
      </c>
      <c r="AN630" s="1948">
        <v>561</v>
      </c>
      <c r="AO630" s="1948">
        <v>276.95999999999998</v>
      </c>
      <c r="AP630" s="1948">
        <v>448.8</v>
      </c>
      <c r="AQ630" s="1948">
        <v>0.96230000000000004</v>
      </c>
      <c r="AR630" s="1948">
        <v>42.24</v>
      </c>
      <c r="AS630" s="1948">
        <v>87030</v>
      </c>
      <c r="AT630" s="1948">
        <f t="shared" si="143"/>
        <v>123635</v>
      </c>
      <c r="AU630" s="1948">
        <f t="shared" si="144"/>
        <v>0</v>
      </c>
      <c r="AV630" s="1948">
        <v>561</v>
      </c>
      <c r="AW630" s="1948">
        <v>294.24</v>
      </c>
      <c r="AX630" s="1948">
        <v>448.8</v>
      </c>
      <c r="AY630" s="1948">
        <v>0.95660000000000001</v>
      </c>
      <c r="AZ630" s="1948">
        <v>21.43</v>
      </c>
      <c r="BA630" s="1948">
        <v>45402</v>
      </c>
      <c r="BB630" s="1948">
        <f t="shared" si="145"/>
        <v>127112</v>
      </c>
      <c r="BC630" s="1948">
        <f t="shared" si="146"/>
        <v>0</v>
      </c>
      <c r="BD630" s="1949">
        <v>561</v>
      </c>
      <c r="BE630" s="1948">
        <v>59.04</v>
      </c>
      <c r="BF630" s="1949">
        <v>448.8</v>
      </c>
      <c r="BG630" s="1949">
        <v>0.6179</v>
      </c>
      <c r="BH630" s="1949">
        <v>11.69</v>
      </c>
      <c r="BI630" s="1948">
        <v>5136</v>
      </c>
      <c r="BJ630" s="1948">
        <f t="shared" si="147"/>
        <v>26355</v>
      </c>
      <c r="BK630" s="1948">
        <f t="shared" si="148"/>
        <v>0</v>
      </c>
    </row>
    <row r="631" spans="1:63" ht="15">
      <c r="A631" s="1946">
        <v>123000000142</v>
      </c>
      <c r="B631" s="1947">
        <f t="shared" si="149"/>
        <v>625</v>
      </c>
      <c r="C631" s="1906" t="s">
        <v>3460</v>
      </c>
      <c r="D631" s="1907" t="s">
        <v>524</v>
      </c>
      <c r="E631" s="1906" t="s">
        <v>636</v>
      </c>
      <c r="F631" s="1948" t="s">
        <v>259</v>
      </c>
      <c r="G631" s="1949">
        <v>562</v>
      </c>
      <c r="H631" s="1948">
        <v>562</v>
      </c>
      <c r="I631" s="1950">
        <v>264</v>
      </c>
      <c r="J631" s="1948">
        <v>449.6</v>
      </c>
      <c r="K631" s="1948">
        <v>0.92359999999999998</v>
      </c>
      <c r="L631" s="1948">
        <v>14.99</v>
      </c>
      <c r="M631" s="1948">
        <v>28500</v>
      </c>
      <c r="N631" s="1948">
        <f t="shared" si="135"/>
        <v>114048</v>
      </c>
      <c r="O631" s="1948">
        <f t="shared" si="136"/>
        <v>0</v>
      </c>
      <c r="P631" s="1948">
        <v>562</v>
      </c>
      <c r="Q631" s="1948">
        <v>91.2</v>
      </c>
      <c r="R631" s="1948">
        <v>449.6</v>
      </c>
      <c r="S631" s="1948">
        <v>0.97289999999999999</v>
      </c>
      <c r="T631" s="1948">
        <v>27.01</v>
      </c>
      <c r="U631" s="1948">
        <v>18330</v>
      </c>
      <c r="V631" s="1948">
        <f t="shared" si="137"/>
        <v>40712</v>
      </c>
      <c r="W631" s="1948">
        <f t="shared" si="138"/>
        <v>0</v>
      </c>
      <c r="X631" s="1948">
        <v>562</v>
      </c>
      <c r="Y631" s="1948">
        <v>169.2</v>
      </c>
      <c r="Z631" s="1948">
        <v>449.6</v>
      </c>
      <c r="AA631" s="1948">
        <v>0.96809999999999996</v>
      </c>
      <c r="AB631" s="1948">
        <v>19.739999999999998</v>
      </c>
      <c r="AC631" s="1948">
        <v>24045</v>
      </c>
      <c r="AD631" s="1948">
        <f t="shared" si="139"/>
        <v>73094</v>
      </c>
      <c r="AE631" s="1948">
        <f t="shared" si="140"/>
        <v>0</v>
      </c>
      <c r="AF631" s="1948">
        <v>562</v>
      </c>
      <c r="AG631" s="1948">
        <v>560.4</v>
      </c>
      <c r="AH631" s="1948">
        <v>560.4</v>
      </c>
      <c r="AI631" s="1948">
        <v>0.89880000000000004</v>
      </c>
      <c r="AJ631" s="1948">
        <v>14.34</v>
      </c>
      <c r="AK631" s="1948">
        <v>59775</v>
      </c>
      <c r="AL631" s="1948">
        <f t="shared" si="141"/>
        <v>250163</v>
      </c>
      <c r="AM631" s="1948">
        <f t="shared" si="142"/>
        <v>0</v>
      </c>
      <c r="AN631" s="1948">
        <v>562</v>
      </c>
      <c r="AO631" s="1948">
        <v>740.4</v>
      </c>
      <c r="AP631" s="1948">
        <v>740.4</v>
      </c>
      <c r="AQ631" s="1948">
        <v>0.88929999999999998</v>
      </c>
      <c r="AR631" s="1948">
        <v>37.47</v>
      </c>
      <c r="AS631" s="1948">
        <v>206385</v>
      </c>
      <c r="AT631" s="1948">
        <f t="shared" si="143"/>
        <v>330515</v>
      </c>
      <c r="AU631" s="1948">
        <f t="shared" si="144"/>
        <v>0</v>
      </c>
      <c r="AV631" s="1948">
        <v>562</v>
      </c>
      <c r="AW631" s="1948">
        <v>789.6</v>
      </c>
      <c r="AX631" s="1948">
        <v>789.6</v>
      </c>
      <c r="AY631" s="1948">
        <v>0.8962</v>
      </c>
      <c r="AZ631" s="1948">
        <v>30.31</v>
      </c>
      <c r="BA631" s="1948">
        <v>172305</v>
      </c>
      <c r="BB631" s="1948">
        <f t="shared" si="145"/>
        <v>341107</v>
      </c>
      <c r="BC631" s="1948">
        <f t="shared" si="146"/>
        <v>0</v>
      </c>
      <c r="BD631" s="1949">
        <v>562</v>
      </c>
      <c r="BE631" s="1948">
        <v>817.19999999999993</v>
      </c>
      <c r="BF631" s="1949">
        <v>817.2</v>
      </c>
      <c r="BG631" s="1949">
        <v>0.91510000000000002</v>
      </c>
      <c r="BH631" s="1949">
        <v>46.2</v>
      </c>
      <c r="BI631" s="1948">
        <v>280905</v>
      </c>
      <c r="BJ631" s="1948">
        <f t="shared" si="147"/>
        <v>364798</v>
      </c>
      <c r="BK631" s="1948">
        <f t="shared" si="148"/>
        <v>0</v>
      </c>
    </row>
    <row r="632" spans="1:63" ht="15">
      <c r="A632" s="1946">
        <v>127000000006</v>
      </c>
      <c r="B632" s="1947">
        <f t="shared" si="149"/>
        <v>626</v>
      </c>
      <c r="C632" s="1906" t="s">
        <v>3462</v>
      </c>
      <c r="D632" s="1907" t="s">
        <v>524</v>
      </c>
      <c r="E632" s="1906" t="s">
        <v>2966</v>
      </c>
      <c r="F632" s="1948" t="s">
        <v>259</v>
      </c>
      <c r="G632" s="1949">
        <v>562</v>
      </c>
      <c r="H632" s="1948">
        <v>562</v>
      </c>
      <c r="I632" s="1950">
        <v>48.96</v>
      </c>
      <c r="J632" s="1948">
        <v>562</v>
      </c>
      <c r="K632" s="1948">
        <v>0.73860000000000003</v>
      </c>
      <c r="L632" s="1948">
        <v>0</v>
      </c>
      <c r="M632" s="1948">
        <v>5751</v>
      </c>
      <c r="N632" s="1948">
        <f t="shared" si="135"/>
        <v>21151</v>
      </c>
      <c r="O632" s="1948">
        <f t="shared" si="136"/>
        <v>0</v>
      </c>
      <c r="P632" s="1948">
        <v>562</v>
      </c>
      <c r="Q632" s="1948">
        <v>59.76</v>
      </c>
      <c r="R632" s="1948">
        <v>562</v>
      </c>
      <c r="S632" s="1948">
        <v>0.75770000000000004</v>
      </c>
      <c r="T632" s="1948">
        <v>0</v>
      </c>
      <c r="U632" s="1948">
        <v>7158</v>
      </c>
      <c r="V632" s="1948">
        <f t="shared" si="137"/>
        <v>26677</v>
      </c>
      <c r="W632" s="1948">
        <f t="shared" si="138"/>
        <v>0</v>
      </c>
      <c r="X632" s="1948">
        <v>562</v>
      </c>
      <c r="Y632" s="1948">
        <v>146.16</v>
      </c>
      <c r="Z632" s="1948">
        <v>562</v>
      </c>
      <c r="AA632" s="1948">
        <v>0.74870000000000003</v>
      </c>
      <c r="AB632" s="1948">
        <v>0</v>
      </c>
      <c r="AC632" s="1948">
        <v>15630</v>
      </c>
      <c r="AD632" s="1948">
        <f t="shared" si="139"/>
        <v>63141</v>
      </c>
      <c r="AE632" s="1948">
        <f t="shared" si="140"/>
        <v>0</v>
      </c>
      <c r="AF632" s="1948">
        <v>562</v>
      </c>
      <c r="AG632" s="1948">
        <v>219.84</v>
      </c>
      <c r="AH632" s="1948">
        <v>562</v>
      </c>
      <c r="AI632" s="1948">
        <v>0.67830000000000001</v>
      </c>
      <c r="AJ632" s="1948">
        <v>0</v>
      </c>
      <c r="AK632" s="1948">
        <v>60003</v>
      </c>
      <c r="AL632" s="1948">
        <f t="shared" si="141"/>
        <v>98137</v>
      </c>
      <c r="AM632" s="1948">
        <f t="shared" si="142"/>
        <v>0</v>
      </c>
      <c r="AN632" s="1948">
        <v>562</v>
      </c>
      <c r="AO632" s="1948">
        <v>246.23999999999998</v>
      </c>
      <c r="AP632" s="1948">
        <v>562</v>
      </c>
      <c r="AQ632" s="1948">
        <v>0.70620000000000005</v>
      </c>
      <c r="AR632" s="1948">
        <v>0</v>
      </c>
      <c r="AS632" s="1948">
        <v>72021</v>
      </c>
      <c r="AT632" s="1948">
        <f t="shared" si="143"/>
        <v>109922</v>
      </c>
      <c r="AU632" s="1948">
        <f t="shared" si="144"/>
        <v>0</v>
      </c>
      <c r="AV632" s="1948">
        <v>562</v>
      </c>
      <c r="AW632" s="1948">
        <v>251.76</v>
      </c>
      <c r="AX632" s="1948">
        <v>562</v>
      </c>
      <c r="AY632" s="1948">
        <v>0.66100000000000003</v>
      </c>
      <c r="AZ632" s="1948">
        <v>0</v>
      </c>
      <c r="BA632" s="1948">
        <v>79005</v>
      </c>
      <c r="BB632" s="1948">
        <f t="shared" si="145"/>
        <v>108760</v>
      </c>
      <c r="BC632" s="1948">
        <f t="shared" si="146"/>
        <v>0</v>
      </c>
      <c r="BD632" s="1949">
        <v>562</v>
      </c>
      <c r="BE632" s="1948">
        <v>246.72</v>
      </c>
      <c r="BF632" s="1949">
        <v>562</v>
      </c>
      <c r="BG632" s="1949">
        <v>0.58540000000000003</v>
      </c>
      <c r="BH632" s="1949">
        <v>0</v>
      </c>
      <c r="BI632" s="1948">
        <v>76752</v>
      </c>
      <c r="BJ632" s="1948">
        <f t="shared" si="147"/>
        <v>110136</v>
      </c>
      <c r="BK632" s="1948">
        <f t="shared" si="148"/>
        <v>0</v>
      </c>
    </row>
    <row r="633" spans="1:63" ht="15">
      <c r="A633" s="1946">
        <v>121000000087</v>
      </c>
      <c r="B633" s="1947">
        <f t="shared" si="149"/>
        <v>627</v>
      </c>
      <c r="C633" s="1906" t="s">
        <v>3459</v>
      </c>
      <c r="D633" s="1907" t="s">
        <v>524</v>
      </c>
      <c r="E633" s="1906" t="s">
        <v>541</v>
      </c>
      <c r="F633" s="1948" t="s">
        <v>259</v>
      </c>
      <c r="G633" s="1949">
        <v>562</v>
      </c>
      <c r="H633" s="1948">
        <v>562</v>
      </c>
      <c r="I633" s="1950">
        <v>284.64</v>
      </c>
      <c r="J633" s="1948">
        <v>449.6</v>
      </c>
      <c r="K633" s="1948">
        <v>0.99839999999999995</v>
      </c>
      <c r="L633" s="1948">
        <v>41.73</v>
      </c>
      <c r="M633" s="1948">
        <v>85524</v>
      </c>
      <c r="N633" s="1948">
        <f t="shared" si="135"/>
        <v>122964</v>
      </c>
      <c r="O633" s="1948">
        <f t="shared" si="136"/>
        <v>0</v>
      </c>
      <c r="P633" s="1948">
        <v>562</v>
      </c>
      <c r="Q633" s="1948">
        <v>298.56</v>
      </c>
      <c r="R633" s="1948">
        <v>449.6</v>
      </c>
      <c r="S633" s="1948">
        <v>0.998</v>
      </c>
      <c r="T633" s="1948">
        <v>44.14</v>
      </c>
      <c r="U633" s="1948">
        <v>98052</v>
      </c>
      <c r="V633" s="1948">
        <f t="shared" si="137"/>
        <v>133277</v>
      </c>
      <c r="W633" s="1948">
        <f t="shared" si="138"/>
        <v>0</v>
      </c>
      <c r="X633" s="1948">
        <v>562</v>
      </c>
      <c r="Y633" s="1948">
        <v>324</v>
      </c>
      <c r="Z633" s="1948">
        <v>449.6</v>
      </c>
      <c r="AA633" s="1948">
        <v>0.99880000000000002</v>
      </c>
      <c r="AB633" s="1948">
        <v>44.46</v>
      </c>
      <c r="AC633" s="1948">
        <v>103710</v>
      </c>
      <c r="AD633" s="1948">
        <f t="shared" si="139"/>
        <v>139968</v>
      </c>
      <c r="AE633" s="1948">
        <f t="shared" si="140"/>
        <v>0</v>
      </c>
      <c r="AF633" s="1948">
        <v>562</v>
      </c>
      <c r="AG633" s="1948">
        <v>347.04</v>
      </c>
      <c r="AH633" s="1948">
        <v>449.6</v>
      </c>
      <c r="AI633" s="1948">
        <v>0.99960000000000004</v>
      </c>
      <c r="AJ633" s="1948">
        <v>35.72</v>
      </c>
      <c r="AK633" s="1948">
        <v>92226</v>
      </c>
      <c r="AL633" s="1948">
        <f t="shared" si="141"/>
        <v>154919</v>
      </c>
      <c r="AM633" s="1948">
        <f t="shared" si="142"/>
        <v>0</v>
      </c>
      <c r="AN633" s="1948">
        <v>562</v>
      </c>
      <c r="AO633" s="1948">
        <v>346.08</v>
      </c>
      <c r="AP633" s="1948">
        <v>449.6</v>
      </c>
      <c r="AQ633" s="1948">
        <v>0.99970000000000003</v>
      </c>
      <c r="AR633" s="1948">
        <v>41.59</v>
      </c>
      <c r="AS633" s="1948">
        <v>107100</v>
      </c>
      <c r="AT633" s="1948">
        <f t="shared" si="143"/>
        <v>154490</v>
      </c>
      <c r="AU633" s="1948">
        <f t="shared" si="144"/>
        <v>0</v>
      </c>
      <c r="AV633" s="1948">
        <v>562</v>
      </c>
      <c r="AW633" s="1948">
        <v>370.08</v>
      </c>
      <c r="AX633" s="1948">
        <v>449.6</v>
      </c>
      <c r="AY633" s="1948">
        <v>0.99960000000000004</v>
      </c>
      <c r="AZ633" s="1948">
        <v>42.93</v>
      </c>
      <c r="BA633" s="1948">
        <v>114402</v>
      </c>
      <c r="BB633" s="1948">
        <f t="shared" si="145"/>
        <v>159875</v>
      </c>
      <c r="BC633" s="1948">
        <f t="shared" si="146"/>
        <v>0</v>
      </c>
      <c r="BD633" s="1949">
        <v>562</v>
      </c>
      <c r="BE633" s="1948">
        <v>396</v>
      </c>
      <c r="BF633" s="1949">
        <v>449.6</v>
      </c>
      <c r="BG633" s="1949">
        <v>0.99970000000000003</v>
      </c>
      <c r="BH633" s="1949">
        <v>48.34</v>
      </c>
      <c r="BI633" s="1948">
        <v>142434</v>
      </c>
      <c r="BJ633" s="1948">
        <f t="shared" si="147"/>
        <v>176774</v>
      </c>
      <c r="BK633" s="1948">
        <f t="shared" si="148"/>
        <v>0</v>
      </c>
    </row>
    <row r="634" spans="1:63" ht="15">
      <c r="A634" s="1946">
        <v>615000000051</v>
      </c>
      <c r="B634" s="1947">
        <f t="shared" si="149"/>
        <v>628</v>
      </c>
      <c r="C634" s="1906" t="s">
        <v>3461</v>
      </c>
      <c r="D634" s="1907" t="s">
        <v>524</v>
      </c>
      <c r="E634" s="1906" t="s">
        <v>541</v>
      </c>
      <c r="F634" s="1948" t="s">
        <v>259</v>
      </c>
      <c r="G634" s="1949">
        <v>562</v>
      </c>
      <c r="H634" s="1948">
        <v>562</v>
      </c>
      <c r="I634" s="1950">
        <v>384.48</v>
      </c>
      <c r="J634" s="1948">
        <v>449.6</v>
      </c>
      <c r="K634" s="1948">
        <v>0.66569999999999996</v>
      </c>
      <c r="L634" s="1948">
        <v>5.39</v>
      </c>
      <c r="M634" s="1948">
        <v>14916</v>
      </c>
      <c r="N634" s="1948">
        <f t="shared" si="135"/>
        <v>166095</v>
      </c>
      <c r="O634" s="1948">
        <f t="shared" si="136"/>
        <v>0</v>
      </c>
      <c r="P634" s="1948">
        <v>562</v>
      </c>
      <c r="Q634" s="1948">
        <v>361.44000000000005</v>
      </c>
      <c r="R634" s="1948">
        <v>449.6</v>
      </c>
      <c r="S634" s="1948">
        <v>0.70169999999999999</v>
      </c>
      <c r="T634" s="1948">
        <v>3.37</v>
      </c>
      <c r="U634" s="1948">
        <v>9072</v>
      </c>
      <c r="V634" s="1948">
        <f t="shared" si="137"/>
        <v>161347</v>
      </c>
      <c r="W634" s="1948">
        <f t="shared" si="138"/>
        <v>0</v>
      </c>
      <c r="X634" s="1948">
        <v>562</v>
      </c>
      <c r="Y634" s="1948">
        <v>407.52000000000004</v>
      </c>
      <c r="Z634" s="1948">
        <v>449.6</v>
      </c>
      <c r="AA634" s="1948">
        <v>0.68540000000000001</v>
      </c>
      <c r="AB634" s="1948">
        <v>27.39</v>
      </c>
      <c r="AC634" s="1948">
        <v>80370</v>
      </c>
      <c r="AD634" s="1948">
        <f t="shared" si="139"/>
        <v>176049</v>
      </c>
      <c r="AE634" s="1948">
        <f t="shared" si="140"/>
        <v>0</v>
      </c>
      <c r="AF634" s="1948">
        <v>562</v>
      </c>
      <c r="AG634" s="1948">
        <v>381.12</v>
      </c>
      <c r="AH634" s="1948">
        <v>449.6</v>
      </c>
      <c r="AI634" s="1948">
        <v>0.70589999999999997</v>
      </c>
      <c r="AJ634" s="1948">
        <v>49.1</v>
      </c>
      <c r="AK634" s="1948">
        <v>139218</v>
      </c>
      <c r="AL634" s="1948">
        <f t="shared" si="141"/>
        <v>170132</v>
      </c>
      <c r="AM634" s="1948">
        <f t="shared" si="142"/>
        <v>0</v>
      </c>
      <c r="AN634" s="1948">
        <v>562</v>
      </c>
      <c r="AO634" s="1948">
        <v>354.24</v>
      </c>
      <c r="AP634" s="1948">
        <v>449.6</v>
      </c>
      <c r="AQ634" s="1948">
        <v>0.65880000000000005</v>
      </c>
      <c r="AR634" s="1948">
        <v>21.47</v>
      </c>
      <c r="AS634" s="1948">
        <v>56580</v>
      </c>
      <c r="AT634" s="1948">
        <f t="shared" si="143"/>
        <v>158133</v>
      </c>
      <c r="AU634" s="1948">
        <f t="shared" si="144"/>
        <v>0</v>
      </c>
      <c r="AV634" s="1948">
        <v>562</v>
      </c>
      <c r="AW634" s="1948">
        <v>396.48</v>
      </c>
      <c r="AX634" s="1948">
        <v>449.6</v>
      </c>
      <c r="AY634" s="1948">
        <v>0.67400000000000004</v>
      </c>
      <c r="AZ634" s="1948">
        <v>27.05</v>
      </c>
      <c r="BA634" s="1948">
        <v>77232</v>
      </c>
      <c r="BB634" s="1948">
        <f t="shared" si="145"/>
        <v>171279</v>
      </c>
      <c r="BC634" s="1948">
        <f t="shared" si="146"/>
        <v>0</v>
      </c>
      <c r="BD634" s="1949">
        <v>562</v>
      </c>
      <c r="BE634" s="1948">
        <v>353.28</v>
      </c>
      <c r="BF634" s="1949">
        <v>449.6</v>
      </c>
      <c r="BG634" s="1949">
        <v>0.83550000000000002</v>
      </c>
      <c r="BH634" s="1949">
        <v>17.399999999999999</v>
      </c>
      <c r="BI634" s="1948">
        <v>45726</v>
      </c>
      <c r="BJ634" s="1948">
        <f t="shared" si="147"/>
        <v>157704</v>
      </c>
      <c r="BK634" s="1948">
        <f t="shared" si="148"/>
        <v>0</v>
      </c>
    </row>
    <row r="635" spans="1:63" ht="15">
      <c r="A635" s="1946">
        <v>125000000054</v>
      </c>
      <c r="B635" s="1947">
        <f t="shared" si="149"/>
        <v>629</v>
      </c>
      <c r="C635" s="1906" t="s">
        <v>3602</v>
      </c>
      <c r="D635" s="1907" t="s">
        <v>613</v>
      </c>
      <c r="E635" s="1906" t="s">
        <v>730</v>
      </c>
      <c r="F635" s="1948" t="s">
        <v>259</v>
      </c>
      <c r="G635" s="1949">
        <v>570</v>
      </c>
      <c r="H635" s="1948">
        <v>0</v>
      </c>
      <c r="I635" s="1950">
        <v>0</v>
      </c>
      <c r="J635" s="1948">
        <v>0</v>
      </c>
      <c r="K635" s="1948">
        <v>0</v>
      </c>
      <c r="L635" s="1948">
        <v>0</v>
      </c>
      <c r="M635" s="1948">
        <v>0</v>
      </c>
      <c r="N635" s="1948">
        <f t="shared" si="135"/>
        <v>0</v>
      </c>
      <c r="O635" s="1948">
        <f t="shared" si="136"/>
        <v>0</v>
      </c>
      <c r="P635" s="1948">
        <v>0</v>
      </c>
      <c r="Q635" s="1948">
        <v>0</v>
      </c>
      <c r="R635" s="1948">
        <v>0</v>
      </c>
      <c r="S635" s="1948">
        <v>0</v>
      </c>
      <c r="T635" s="1948">
        <v>0</v>
      </c>
      <c r="U635" s="1948">
        <v>0</v>
      </c>
      <c r="V635" s="1948">
        <f t="shared" si="137"/>
        <v>0</v>
      </c>
      <c r="W635" s="1948">
        <f t="shared" si="138"/>
        <v>0</v>
      </c>
      <c r="X635" s="1948">
        <v>0</v>
      </c>
      <c r="Y635" s="1948">
        <v>0</v>
      </c>
      <c r="Z635" s="1948">
        <v>0</v>
      </c>
      <c r="AA635" s="1948">
        <v>0</v>
      </c>
      <c r="AB635" s="1948">
        <v>0</v>
      </c>
      <c r="AC635" s="1948">
        <v>0</v>
      </c>
      <c r="AD635" s="1948">
        <f t="shared" si="139"/>
        <v>0</v>
      </c>
      <c r="AE635" s="1948">
        <f t="shared" si="140"/>
        <v>0</v>
      </c>
      <c r="AF635" s="1948">
        <v>0</v>
      </c>
      <c r="AG635" s="1948">
        <v>0</v>
      </c>
      <c r="AH635" s="1948">
        <v>0</v>
      </c>
      <c r="AI635" s="1948">
        <v>0</v>
      </c>
      <c r="AJ635" s="1948">
        <v>0</v>
      </c>
      <c r="AK635" s="1948">
        <v>0</v>
      </c>
      <c r="AL635" s="1948">
        <f t="shared" si="141"/>
        <v>0</v>
      </c>
      <c r="AM635" s="1948">
        <f t="shared" si="142"/>
        <v>0</v>
      </c>
      <c r="AN635" s="1948">
        <v>0</v>
      </c>
      <c r="AO635" s="1948">
        <v>0</v>
      </c>
      <c r="AP635" s="1948">
        <v>0</v>
      </c>
      <c r="AQ635" s="1948">
        <v>0</v>
      </c>
      <c r="AR635" s="1948">
        <v>0</v>
      </c>
      <c r="AS635" s="1948">
        <v>0</v>
      </c>
      <c r="AT635" s="1948">
        <f t="shared" si="143"/>
        <v>0</v>
      </c>
      <c r="AU635" s="1948">
        <f t="shared" si="144"/>
        <v>0</v>
      </c>
      <c r="AV635" s="1948">
        <v>0</v>
      </c>
      <c r="AW635" s="1948">
        <v>0</v>
      </c>
      <c r="AX635" s="1948">
        <v>0</v>
      </c>
      <c r="AY635" s="1948">
        <v>0</v>
      </c>
      <c r="AZ635" s="1948">
        <v>0</v>
      </c>
      <c r="BA635" s="1948">
        <v>0</v>
      </c>
      <c r="BB635" s="1948">
        <f t="shared" si="145"/>
        <v>0</v>
      </c>
      <c r="BC635" s="1948">
        <f t="shared" si="146"/>
        <v>0</v>
      </c>
      <c r="BD635" s="1949">
        <v>570</v>
      </c>
      <c r="BE635" s="1948">
        <v>157.68</v>
      </c>
      <c r="BF635" s="1949">
        <v>456</v>
      </c>
      <c r="BG635" s="1949">
        <v>1</v>
      </c>
      <c r="BH635" s="1949">
        <v>6.59</v>
      </c>
      <c r="BI635" s="1948">
        <v>3492</v>
      </c>
      <c r="BJ635" s="1948">
        <f t="shared" si="147"/>
        <v>70388</v>
      </c>
      <c r="BK635" s="1948">
        <f t="shared" si="148"/>
        <v>0</v>
      </c>
    </row>
    <row r="636" spans="1:63" ht="15">
      <c r="A636" s="1946">
        <v>621000000012</v>
      </c>
      <c r="B636" s="1947">
        <f t="shared" si="149"/>
        <v>630</v>
      </c>
      <c r="C636" s="1906" t="s">
        <v>3463</v>
      </c>
      <c r="D636" s="1907" t="s">
        <v>524</v>
      </c>
      <c r="E636" s="1906" t="s">
        <v>541</v>
      </c>
      <c r="F636" s="1948" t="s">
        <v>259</v>
      </c>
      <c r="G636" s="1949">
        <v>570</v>
      </c>
      <c r="H636" s="1948">
        <v>570</v>
      </c>
      <c r="I636" s="1950">
        <v>540.95999999999992</v>
      </c>
      <c r="J636" s="1948">
        <v>540.96</v>
      </c>
      <c r="K636" s="1948">
        <v>0.91049999999999998</v>
      </c>
      <c r="L636" s="1948">
        <v>42.57</v>
      </c>
      <c r="M636" s="1948">
        <v>165795</v>
      </c>
      <c r="N636" s="1948">
        <f t="shared" si="135"/>
        <v>233695</v>
      </c>
      <c r="O636" s="1948">
        <f t="shared" si="136"/>
        <v>0</v>
      </c>
      <c r="P636" s="1948">
        <v>570</v>
      </c>
      <c r="Q636" s="1948">
        <v>571.19999999999993</v>
      </c>
      <c r="R636" s="1948">
        <v>571.20000000000005</v>
      </c>
      <c r="S636" s="1948">
        <v>0.79590000000000005</v>
      </c>
      <c r="T636" s="1948">
        <v>42.59</v>
      </c>
      <c r="U636" s="1948">
        <v>181011</v>
      </c>
      <c r="V636" s="1948">
        <f t="shared" si="137"/>
        <v>254984</v>
      </c>
      <c r="W636" s="1948">
        <f t="shared" si="138"/>
        <v>0</v>
      </c>
      <c r="X636" s="1948">
        <v>570</v>
      </c>
      <c r="Y636" s="1948">
        <v>648.24</v>
      </c>
      <c r="Z636" s="1948">
        <v>648.24</v>
      </c>
      <c r="AA636" s="1948">
        <v>0.77710000000000001</v>
      </c>
      <c r="AB636" s="1948">
        <v>48.58</v>
      </c>
      <c r="AC636" s="1948">
        <v>226731</v>
      </c>
      <c r="AD636" s="1948">
        <f t="shared" si="139"/>
        <v>280040</v>
      </c>
      <c r="AE636" s="1948">
        <f t="shared" si="140"/>
        <v>0</v>
      </c>
      <c r="AF636" s="1948">
        <v>570</v>
      </c>
      <c r="AG636" s="1948">
        <v>573.36</v>
      </c>
      <c r="AH636" s="1948">
        <v>573.36</v>
      </c>
      <c r="AI636" s="1948">
        <v>0.91210000000000002</v>
      </c>
      <c r="AJ636" s="1948">
        <v>42.01</v>
      </c>
      <c r="AK636" s="1948">
        <v>179226</v>
      </c>
      <c r="AL636" s="1948">
        <f t="shared" si="141"/>
        <v>255948</v>
      </c>
      <c r="AM636" s="1948">
        <f t="shared" si="142"/>
        <v>0</v>
      </c>
      <c r="AN636" s="1948">
        <v>570</v>
      </c>
      <c r="AO636" s="1948">
        <v>550.07999999999993</v>
      </c>
      <c r="AP636" s="1948">
        <v>550.08000000000004</v>
      </c>
      <c r="AQ636" s="1948">
        <v>0.98350000000000004</v>
      </c>
      <c r="AR636" s="1948">
        <v>38.79</v>
      </c>
      <c r="AS636" s="1948">
        <v>158751</v>
      </c>
      <c r="AT636" s="1948">
        <f t="shared" si="143"/>
        <v>245556</v>
      </c>
      <c r="AU636" s="1948">
        <f t="shared" si="144"/>
        <v>0</v>
      </c>
      <c r="AV636" s="1948">
        <v>570</v>
      </c>
      <c r="AW636" s="1948">
        <v>567.12</v>
      </c>
      <c r="AX636" s="1948">
        <v>567.12</v>
      </c>
      <c r="AY636" s="1948">
        <v>0.94230000000000003</v>
      </c>
      <c r="AZ636" s="1948">
        <v>39.49</v>
      </c>
      <c r="BA636" s="1948">
        <v>161262</v>
      </c>
      <c r="BB636" s="1948">
        <f t="shared" si="145"/>
        <v>244996</v>
      </c>
      <c r="BC636" s="1948">
        <f t="shared" si="146"/>
        <v>0</v>
      </c>
      <c r="BD636" s="1949">
        <v>570</v>
      </c>
      <c r="BE636" s="1948">
        <v>553.67999999999995</v>
      </c>
      <c r="BF636" s="1949">
        <v>553.67999999999995</v>
      </c>
      <c r="BG636" s="1949">
        <v>0.96250000000000002</v>
      </c>
      <c r="BH636" s="1949">
        <v>23.36</v>
      </c>
      <c r="BI636" s="1948">
        <v>96231</v>
      </c>
      <c r="BJ636" s="1948">
        <f t="shared" si="147"/>
        <v>247163</v>
      </c>
      <c r="BK636" s="1948">
        <f t="shared" si="148"/>
        <v>0</v>
      </c>
    </row>
    <row r="637" spans="1:63" ht="15">
      <c r="A637" s="1946">
        <v>121000000049</v>
      </c>
      <c r="B637" s="1947">
        <f t="shared" si="149"/>
        <v>631</v>
      </c>
      <c r="C637" s="1906" t="s">
        <v>3464</v>
      </c>
      <c r="D637" s="1907" t="s">
        <v>524</v>
      </c>
      <c r="E637" s="1906" t="s">
        <v>2966</v>
      </c>
      <c r="F637" s="1948" t="s">
        <v>259</v>
      </c>
      <c r="G637" s="1949">
        <v>576</v>
      </c>
      <c r="H637" s="1948">
        <v>576</v>
      </c>
      <c r="I637" s="1950">
        <v>45.199999999999996</v>
      </c>
      <c r="J637" s="1948">
        <v>576</v>
      </c>
      <c r="K637" s="1948">
        <v>1</v>
      </c>
      <c r="L637" s="1948">
        <v>0</v>
      </c>
      <c r="M637" s="1948">
        <v>7015</v>
      </c>
      <c r="N637" s="1948">
        <f t="shared" si="135"/>
        <v>19526</v>
      </c>
      <c r="O637" s="1948">
        <f t="shared" si="136"/>
        <v>0</v>
      </c>
      <c r="P637" s="1948">
        <v>576</v>
      </c>
      <c r="Q637" s="1948">
        <v>130.80000000000001</v>
      </c>
      <c r="R637" s="1948">
        <v>576</v>
      </c>
      <c r="S637" s="1948">
        <v>0.99170000000000003</v>
      </c>
      <c r="T637" s="1948">
        <v>0</v>
      </c>
      <c r="U637" s="1948">
        <v>4845</v>
      </c>
      <c r="V637" s="1948">
        <f t="shared" si="137"/>
        <v>58389</v>
      </c>
      <c r="W637" s="1948">
        <f t="shared" si="138"/>
        <v>0</v>
      </c>
      <c r="X637" s="1948">
        <v>576</v>
      </c>
      <c r="Y637" s="1948">
        <v>84.8</v>
      </c>
      <c r="Z637" s="1948">
        <v>576</v>
      </c>
      <c r="AA637" s="1948">
        <v>0.99780000000000002</v>
      </c>
      <c r="AB637" s="1948">
        <v>0</v>
      </c>
      <c r="AC637" s="1948">
        <v>4735</v>
      </c>
      <c r="AD637" s="1948">
        <f t="shared" si="139"/>
        <v>36634</v>
      </c>
      <c r="AE637" s="1948">
        <f t="shared" si="140"/>
        <v>0</v>
      </c>
      <c r="AF637" s="1948">
        <v>576</v>
      </c>
      <c r="AG637" s="1948">
        <v>38</v>
      </c>
      <c r="AH637" s="1948">
        <v>576</v>
      </c>
      <c r="AI637" s="1948">
        <v>1</v>
      </c>
      <c r="AJ637" s="1948">
        <v>0</v>
      </c>
      <c r="AK637" s="1948">
        <v>2845</v>
      </c>
      <c r="AL637" s="1948">
        <f t="shared" si="141"/>
        <v>16963</v>
      </c>
      <c r="AM637" s="1948">
        <f t="shared" si="142"/>
        <v>0</v>
      </c>
      <c r="AN637" s="1948">
        <v>576</v>
      </c>
      <c r="AO637" s="1948">
        <v>8.8000000000000007</v>
      </c>
      <c r="AP637" s="1948">
        <v>576</v>
      </c>
      <c r="AQ637" s="1948">
        <v>0.99670000000000003</v>
      </c>
      <c r="AR637" s="1948">
        <v>0</v>
      </c>
      <c r="AS637" s="1948">
        <v>1520</v>
      </c>
      <c r="AT637" s="1948">
        <f t="shared" si="143"/>
        <v>3928</v>
      </c>
      <c r="AU637" s="1948">
        <f t="shared" si="144"/>
        <v>0</v>
      </c>
      <c r="AV637" s="1948">
        <v>576</v>
      </c>
      <c r="AW637" s="1948">
        <v>6</v>
      </c>
      <c r="AX637" s="1948">
        <v>576</v>
      </c>
      <c r="AY637" s="1948">
        <v>1</v>
      </c>
      <c r="AZ637" s="1948">
        <v>0</v>
      </c>
      <c r="BA637" s="1948">
        <v>1190</v>
      </c>
      <c r="BB637" s="1948">
        <f t="shared" si="145"/>
        <v>2592</v>
      </c>
      <c r="BC637" s="1948">
        <f t="shared" si="146"/>
        <v>0</v>
      </c>
      <c r="BD637" s="1949">
        <v>576</v>
      </c>
      <c r="BE637" s="1948">
        <v>39.6</v>
      </c>
      <c r="BF637" s="1949">
        <v>576</v>
      </c>
      <c r="BG637" s="1949">
        <v>1</v>
      </c>
      <c r="BH637" s="1949">
        <v>0</v>
      </c>
      <c r="BI637" s="1948">
        <v>2515</v>
      </c>
      <c r="BJ637" s="1948">
        <f t="shared" si="147"/>
        <v>17677</v>
      </c>
      <c r="BK637" s="1948">
        <f t="shared" si="148"/>
        <v>0</v>
      </c>
    </row>
    <row r="638" spans="1:63" ht="15">
      <c r="A638" s="1946">
        <v>622000000176</v>
      </c>
      <c r="B638" s="1947">
        <f t="shared" si="149"/>
        <v>632</v>
      </c>
      <c r="C638" s="1906" t="s">
        <v>3465</v>
      </c>
      <c r="D638" s="1907" t="s">
        <v>524</v>
      </c>
      <c r="E638" s="1906" t="s">
        <v>636</v>
      </c>
      <c r="F638" s="1948" t="s">
        <v>259</v>
      </c>
      <c r="G638" s="1949">
        <v>585</v>
      </c>
      <c r="H638" s="1948">
        <v>585</v>
      </c>
      <c r="I638" s="1950">
        <v>362.4</v>
      </c>
      <c r="J638" s="1948">
        <v>468</v>
      </c>
      <c r="K638" s="1948">
        <v>0.88570000000000004</v>
      </c>
      <c r="L638" s="1948">
        <v>21.54</v>
      </c>
      <c r="M638" s="1948">
        <v>56195</v>
      </c>
      <c r="N638" s="1948">
        <f t="shared" si="135"/>
        <v>156557</v>
      </c>
      <c r="O638" s="1948">
        <f t="shared" si="136"/>
        <v>0</v>
      </c>
      <c r="P638" s="1948">
        <v>585</v>
      </c>
      <c r="Q638" s="1948">
        <v>316.40000000000003</v>
      </c>
      <c r="R638" s="1948">
        <v>468</v>
      </c>
      <c r="S638" s="1948">
        <v>0.91820000000000002</v>
      </c>
      <c r="T638" s="1948">
        <v>4.26</v>
      </c>
      <c r="U638" s="1948">
        <v>10025</v>
      </c>
      <c r="V638" s="1948">
        <f t="shared" si="137"/>
        <v>141241</v>
      </c>
      <c r="W638" s="1948">
        <f t="shared" si="138"/>
        <v>0</v>
      </c>
      <c r="X638" s="1948">
        <v>585</v>
      </c>
      <c r="Y638" s="1948">
        <v>369.59999999999997</v>
      </c>
      <c r="Z638" s="1948">
        <v>468</v>
      </c>
      <c r="AA638" s="1948">
        <v>0.8669</v>
      </c>
      <c r="AB638" s="1948">
        <v>26.68</v>
      </c>
      <c r="AC638" s="1948">
        <v>71005</v>
      </c>
      <c r="AD638" s="1948">
        <f t="shared" si="139"/>
        <v>159667</v>
      </c>
      <c r="AE638" s="1948">
        <f t="shared" si="140"/>
        <v>0</v>
      </c>
      <c r="AF638" s="1948">
        <v>585</v>
      </c>
      <c r="AG638" s="1948">
        <v>370.8</v>
      </c>
      <c r="AH638" s="1948">
        <v>468</v>
      </c>
      <c r="AI638" s="1948">
        <v>0.8679</v>
      </c>
      <c r="AJ638" s="1948">
        <v>47.5</v>
      </c>
      <c r="AK638" s="1948">
        <v>131040</v>
      </c>
      <c r="AL638" s="1948">
        <f t="shared" si="141"/>
        <v>165525</v>
      </c>
      <c r="AM638" s="1948">
        <f t="shared" si="142"/>
        <v>0</v>
      </c>
      <c r="AN638" s="1948">
        <v>585</v>
      </c>
      <c r="AO638" s="1948">
        <v>371.59999999999997</v>
      </c>
      <c r="AP638" s="1948">
        <v>468</v>
      </c>
      <c r="AQ638" s="1948">
        <v>0.86560000000000004</v>
      </c>
      <c r="AR638" s="1948">
        <v>40.28</v>
      </c>
      <c r="AS638" s="1948">
        <v>111360</v>
      </c>
      <c r="AT638" s="1948">
        <f t="shared" si="143"/>
        <v>165882</v>
      </c>
      <c r="AU638" s="1948">
        <f t="shared" si="144"/>
        <v>0</v>
      </c>
      <c r="AV638" s="1948">
        <v>585</v>
      </c>
      <c r="AW638" s="1948">
        <v>373.59999999999997</v>
      </c>
      <c r="AX638" s="1948">
        <v>468</v>
      </c>
      <c r="AY638" s="1948">
        <v>0.86419999999999997</v>
      </c>
      <c r="AZ638" s="1948">
        <v>47.43</v>
      </c>
      <c r="BA638" s="1948">
        <v>127575</v>
      </c>
      <c r="BB638" s="1948">
        <f t="shared" si="145"/>
        <v>161395</v>
      </c>
      <c r="BC638" s="1948">
        <f t="shared" si="146"/>
        <v>0</v>
      </c>
      <c r="BD638" s="1949">
        <v>585</v>
      </c>
      <c r="BE638" s="1948">
        <v>362.4</v>
      </c>
      <c r="BF638" s="1949">
        <v>468</v>
      </c>
      <c r="BG638" s="1949">
        <v>0.86470000000000002</v>
      </c>
      <c r="BH638" s="1949">
        <v>32.58</v>
      </c>
      <c r="BI638" s="1948">
        <v>87835</v>
      </c>
      <c r="BJ638" s="1948">
        <f t="shared" si="147"/>
        <v>161775</v>
      </c>
      <c r="BK638" s="1948">
        <f t="shared" si="148"/>
        <v>0</v>
      </c>
    </row>
    <row r="639" spans="1:63" ht="15">
      <c r="A639" s="1946">
        <v>122000000080</v>
      </c>
      <c r="B639" s="1947">
        <f t="shared" si="149"/>
        <v>633</v>
      </c>
      <c r="C639" s="1906" t="s">
        <v>3466</v>
      </c>
      <c r="D639" s="1907" t="s">
        <v>524</v>
      </c>
      <c r="E639" s="1906" t="s">
        <v>737</v>
      </c>
      <c r="F639" s="1948" t="s">
        <v>259</v>
      </c>
      <c r="G639" s="1949">
        <v>589</v>
      </c>
      <c r="H639" s="1948">
        <v>589</v>
      </c>
      <c r="I639" s="1950">
        <v>621.6</v>
      </c>
      <c r="J639" s="1948">
        <v>621.6</v>
      </c>
      <c r="K639" s="1948">
        <v>0.98860000000000003</v>
      </c>
      <c r="L639" s="1948">
        <v>50.75</v>
      </c>
      <c r="M639" s="1948">
        <v>227136</v>
      </c>
      <c r="N639" s="1948">
        <f t="shared" si="135"/>
        <v>268531</v>
      </c>
      <c r="O639" s="1948">
        <f t="shared" si="136"/>
        <v>0</v>
      </c>
      <c r="P639" s="1948">
        <v>589</v>
      </c>
      <c r="Q639" s="1948">
        <v>633.12</v>
      </c>
      <c r="R639" s="1948">
        <v>633.12</v>
      </c>
      <c r="S639" s="1948">
        <v>0.98960000000000004</v>
      </c>
      <c r="T639" s="1948">
        <v>54.66</v>
      </c>
      <c r="U639" s="1948">
        <v>257448</v>
      </c>
      <c r="V639" s="1948">
        <f t="shared" si="137"/>
        <v>282625</v>
      </c>
      <c r="W639" s="1948">
        <f t="shared" si="138"/>
        <v>0</v>
      </c>
      <c r="X639" s="1948">
        <v>589</v>
      </c>
      <c r="Y639" s="1948">
        <v>649.44000000000005</v>
      </c>
      <c r="Z639" s="1948">
        <v>649.44000000000005</v>
      </c>
      <c r="AA639" s="1948">
        <v>0.99009999999999998</v>
      </c>
      <c r="AB639" s="1948">
        <v>56.66</v>
      </c>
      <c r="AC639" s="1948">
        <v>264960</v>
      </c>
      <c r="AD639" s="1948">
        <f t="shared" si="139"/>
        <v>280558</v>
      </c>
      <c r="AE639" s="1948">
        <f t="shared" si="140"/>
        <v>0</v>
      </c>
      <c r="AF639" s="1948">
        <v>589</v>
      </c>
      <c r="AG639" s="1948">
        <v>637.44000000000005</v>
      </c>
      <c r="AH639" s="1948">
        <v>637.44000000000005</v>
      </c>
      <c r="AI639" s="1948">
        <v>0.98970000000000002</v>
      </c>
      <c r="AJ639" s="1948">
        <v>55.94</v>
      </c>
      <c r="AK639" s="1948">
        <v>265296</v>
      </c>
      <c r="AL639" s="1948">
        <f t="shared" si="141"/>
        <v>284553</v>
      </c>
      <c r="AM639" s="1948">
        <f t="shared" si="142"/>
        <v>0</v>
      </c>
      <c r="AN639" s="1948">
        <v>589</v>
      </c>
      <c r="AO639" s="1948">
        <v>578.4</v>
      </c>
      <c r="AP639" s="1948">
        <v>578.4</v>
      </c>
      <c r="AQ639" s="1948">
        <v>0.98819999999999997</v>
      </c>
      <c r="AR639" s="1948">
        <v>57.53</v>
      </c>
      <c r="AS639" s="1948">
        <v>247584</v>
      </c>
      <c r="AT639" s="1948">
        <f t="shared" si="143"/>
        <v>258198</v>
      </c>
      <c r="AU639" s="1948">
        <f t="shared" si="144"/>
        <v>0</v>
      </c>
      <c r="AV639" s="1948">
        <v>589</v>
      </c>
      <c r="AW639" s="1948">
        <v>618.71999999999991</v>
      </c>
      <c r="AX639" s="1948">
        <v>618.72</v>
      </c>
      <c r="AY639" s="1948">
        <v>0.98960000000000004</v>
      </c>
      <c r="AZ639" s="1948">
        <v>54.43</v>
      </c>
      <c r="BA639" s="1948">
        <v>242454</v>
      </c>
      <c r="BB639" s="1948">
        <f t="shared" si="145"/>
        <v>267287</v>
      </c>
      <c r="BC639" s="1948">
        <f t="shared" si="146"/>
        <v>0</v>
      </c>
      <c r="BD639" s="1949">
        <v>589</v>
      </c>
      <c r="BE639" s="1948">
        <v>576</v>
      </c>
      <c r="BF639" s="1949">
        <v>576</v>
      </c>
      <c r="BG639" s="1949">
        <v>0.98870000000000002</v>
      </c>
      <c r="BH639" s="1949">
        <v>55.12</v>
      </c>
      <c r="BI639" s="1948">
        <v>236202</v>
      </c>
      <c r="BJ639" s="1948">
        <f t="shared" si="147"/>
        <v>257126</v>
      </c>
      <c r="BK639" s="1948">
        <f t="shared" si="148"/>
        <v>0</v>
      </c>
    </row>
    <row r="640" spans="1:63" ht="15">
      <c r="A640" s="1946">
        <v>122000000058</v>
      </c>
      <c r="B640" s="1947">
        <f t="shared" si="149"/>
        <v>634</v>
      </c>
      <c r="C640" s="1906" t="s">
        <v>3467</v>
      </c>
      <c r="D640" s="1907" t="s">
        <v>524</v>
      </c>
      <c r="E640" s="1906" t="s">
        <v>541</v>
      </c>
      <c r="F640" s="1948" t="s">
        <v>259</v>
      </c>
      <c r="G640" s="1949">
        <v>600</v>
      </c>
      <c r="H640" s="1948">
        <v>600</v>
      </c>
      <c r="I640" s="1950">
        <v>446</v>
      </c>
      <c r="J640" s="1948">
        <v>480</v>
      </c>
      <c r="K640" s="1948">
        <v>0.99470000000000003</v>
      </c>
      <c r="L640" s="1948">
        <v>41.39</v>
      </c>
      <c r="M640" s="1948">
        <v>132900</v>
      </c>
      <c r="N640" s="1948">
        <f t="shared" si="135"/>
        <v>192672</v>
      </c>
      <c r="O640" s="1948">
        <f t="shared" si="136"/>
        <v>0</v>
      </c>
      <c r="P640" s="1948">
        <v>600</v>
      </c>
      <c r="Q640" s="1948">
        <v>451.2</v>
      </c>
      <c r="R640" s="1948">
        <v>480</v>
      </c>
      <c r="S640" s="1948">
        <v>0.99399999999999999</v>
      </c>
      <c r="T640" s="1948">
        <v>43.24</v>
      </c>
      <c r="U640" s="1948">
        <v>145165</v>
      </c>
      <c r="V640" s="1948">
        <f t="shared" si="137"/>
        <v>201416</v>
      </c>
      <c r="W640" s="1948">
        <f t="shared" si="138"/>
        <v>0</v>
      </c>
      <c r="X640" s="1948">
        <v>600</v>
      </c>
      <c r="Y640" s="1948">
        <v>452.40000000000003</v>
      </c>
      <c r="Z640" s="1948">
        <v>480</v>
      </c>
      <c r="AA640" s="1948">
        <v>0.99550000000000005</v>
      </c>
      <c r="AB640" s="1948">
        <v>42.31</v>
      </c>
      <c r="AC640" s="1948">
        <v>137830</v>
      </c>
      <c r="AD640" s="1948">
        <f t="shared" si="139"/>
        <v>195437</v>
      </c>
      <c r="AE640" s="1948">
        <f t="shared" si="140"/>
        <v>0</v>
      </c>
      <c r="AF640" s="1948">
        <v>600</v>
      </c>
      <c r="AG640" s="1948">
        <v>421.20000000000005</v>
      </c>
      <c r="AH640" s="1948">
        <v>480</v>
      </c>
      <c r="AI640" s="1948">
        <v>0.996</v>
      </c>
      <c r="AJ640" s="1948">
        <v>44.68</v>
      </c>
      <c r="AK640" s="1948">
        <v>140025</v>
      </c>
      <c r="AL640" s="1948">
        <f t="shared" si="141"/>
        <v>188024</v>
      </c>
      <c r="AM640" s="1948">
        <f t="shared" si="142"/>
        <v>0</v>
      </c>
      <c r="AN640" s="1948">
        <v>600</v>
      </c>
      <c r="AO640" s="1948">
        <v>436.8</v>
      </c>
      <c r="AP640" s="1948">
        <v>480</v>
      </c>
      <c r="AQ640" s="1948">
        <v>0.99460000000000004</v>
      </c>
      <c r="AR640" s="1948">
        <v>45</v>
      </c>
      <c r="AS640" s="1948">
        <v>146250</v>
      </c>
      <c r="AT640" s="1948">
        <f t="shared" si="143"/>
        <v>194988</v>
      </c>
      <c r="AU640" s="1948">
        <f t="shared" si="144"/>
        <v>0</v>
      </c>
      <c r="AV640" s="1948">
        <v>600</v>
      </c>
      <c r="AW640" s="1948">
        <v>305.59999999999997</v>
      </c>
      <c r="AX640" s="1948">
        <v>480</v>
      </c>
      <c r="AY640" s="1948">
        <v>0.99339999999999995</v>
      </c>
      <c r="AZ640" s="1948">
        <v>41.69</v>
      </c>
      <c r="BA640" s="1948">
        <v>91735</v>
      </c>
      <c r="BB640" s="1948">
        <f t="shared" si="145"/>
        <v>132019</v>
      </c>
      <c r="BC640" s="1948">
        <f t="shared" si="146"/>
        <v>0</v>
      </c>
      <c r="BD640" s="1949">
        <v>600</v>
      </c>
      <c r="BE640" s="1948">
        <v>360.4</v>
      </c>
      <c r="BF640" s="1949">
        <v>480</v>
      </c>
      <c r="BG640" s="1949">
        <v>0.99180000000000001</v>
      </c>
      <c r="BH640" s="1949">
        <v>38.92</v>
      </c>
      <c r="BI640" s="1948">
        <v>104355</v>
      </c>
      <c r="BJ640" s="1948">
        <f t="shared" si="147"/>
        <v>160883</v>
      </c>
      <c r="BK640" s="1948">
        <f t="shared" si="148"/>
        <v>0</v>
      </c>
    </row>
    <row r="641" spans="1:63" ht="15">
      <c r="A641" s="1946">
        <v>123000000005</v>
      </c>
      <c r="B641" s="1947">
        <f t="shared" si="149"/>
        <v>635</v>
      </c>
      <c r="C641" s="1906" t="s">
        <v>3468</v>
      </c>
      <c r="D641" s="1907" t="s">
        <v>524</v>
      </c>
      <c r="E641" s="1906" t="s">
        <v>541</v>
      </c>
      <c r="F641" s="1948" t="s">
        <v>259</v>
      </c>
      <c r="G641" s="1949">
        <v>600</v>
      </c>
      <c r="H641" s="1948">
        <v>600</v>
      </c>
      <c r="I641" s="1950">
        <v>558.24</v>
      </c>
      <c r="J641" s="1948">
        <v>558.24</v>
      </c>
      <c r="K641" s="1948">
        <v>0.99460000000000004</v>
      </c>
      <c r="L641" s="1948">
        <v>66.64</v>
      </c>
      <c r="M641" s="1948">
        <v>267858</v>
      </c>
      <c r="N641" s="1948">
        <f t="shared" si="135"/>
        <v>241160</v>
      </c>
      <c r="O641" s="1948">
        <f t="shared" si="136"/>
        <v>26698</v>
      </c>
      <c r="P641" s="1948">
        <v>600</v>
      </c>
      <c r="Q641" s="1948">
        <v>559.20000000000005</v>
      </c>
      <c r="R641" s="1948">
        <v>559.20000000000005</v>
      </c>
      <c r="S641" s="1948">
        <v>0.99260000000000004</v>
      </c>
      <c r="T641" s="1948">
        <v>64.94</v>
      </c>
      <c r="U641" s="1948">
        <v>270198</v>
      </c>
      <c r="V641" s="1948">
        <f t="shared" si="137"/>
        <v>249627</v>
      </c>
      <c r="W641" s="1948">
        <f t="shared" si="138"/>
        <v>20571</v>
      </c>
      <c r="X641" s="1948">
        <v>600</v>
      </c>
      <c r="Y641" s="1948">
        <v>575.52</v>
      </c>
      <c r="Z641" s="1948">
        <v>575.52</v>
      </c>
      <c r="AA641" s="1948">
        <v>0.99709999999999999</v>
      </c>
      <c r="AB641" s="1948">
        <v>62.77</v>
      </c>
      <c r="AC641" s="1948">
        <v>260100</v>
      </c>
      <c r="AD641" s="1948">
        <f t="shared" si="139"/>
        <v>248625</v>
      </c>
      <c r="AE641" s="1948">
        <f t="shared" si="140"/>
        <v>11475</v>
      </c>
      <c r="AF641" s="1948">
        <v>600</v>
      </c>
      <c r="AG641" s="1948">
        <v>551.04</v>
      </c>
      <c r="AH641" s="1948">
        <v>551.04</v>
      </c>
      <c r="AI641" s="1948">
        <v>0.99809999999999999</v>
      </c>
      <c r="AJ641" s="1948">
        <v>74.2</v>
      </c>
      <c r="AK641" s="1948">
        <v>304218</v>
      </c>
      <c r="AL641" s="1948">
        <f t="shared" si="141"/>
        <v>245984</v>
      </c>
      <c r="AM641" s="1948">
        <f t="shared" si="142"/>
        <v>58234</v>
      </c>
      <c r="AN641" s="1948">
        <v>600</v>
      </c>
      <c r="AO641" s="1948">
        <v>599.52</v>
      </c>
      <c r="AP641" s="1948">
        <v>599.52</v>
      </c>
      <c r="AQ641" s="1948">
        <v>0.98250000000000004</v>
      </c>
      <c r="AR641" s="1948">
        <v>64.88</v>
      </c>
      <c r="AS641" s="1948">
        <v>289374</v>
      </c>
      <c r="AT641" s="1948">
        <f t="shared" si="143"/>
        <v>267626</v>
      </c>
      <c r="AU641" s="1948">
        <f t="shared" si="144"/>
        <v>21748</v>
      </c>
      <c r="AV641" s="1948">
        <v>600</v>
      </c>
      <c r="AW641" s="1948">
        <v>606.72</v>
      </c>
      <c r="AX641" s="1948">
        <v>606.72</v>
      </c>
      <c r="AY641" s="1948">
        <v>0.9738</v>
      </c>
      <c r="AZ641" s="1948">
        <v>74.34</v>
      </c>
      <c r="BA641" s="1948">
        <v>324744</v>
      </c>
      <c r="BB641" s="1948">
        <f t="shared" si="145"/>
        <v>262103</v>
      </c>
      <c r="BC641" s="1948">
        <f t="shared" si="146"/>
        <v>62641</v>
      </c>
      <c r="BD641" s="1949">
        <v>600</v>
      </c>
      <c r="BE641" s="1948">
        <v>575.52</v>
      </c>
      <c r="BF641" s="1949">
        <v>575.52</v>
      </c>
      <c r="BG641" s="1949">
        <v>0.99429999999999996</v>
      </c>
      <c r="BH641" s="1949">
        <v>74.83</v>
      </c>
      <c r="BI641" s="1948">
        <v>320406</v>
      </c>
      <c r="BJ641" s="1948">
        <f t="shared" si="147"/>
        <v>256912</v>
      </c>
      <c r="BK641" s="1948">
        <f t="shared" si="148"/>
        <v>63494</v>
      </c>
    </row>
    <row r="642" spans="1:63" ht="15">
      <c r="A642" s="1946">
        <v>123000000025</v>
      </c>
      <c r="B642" s="1947">
        <f t="shared" si="149"/>
        <v>636</v>
      </c>
      <c r="C642" s="1906" t="s">
        <v>3469</v>
      </c>
      <c r="D642" s="1907" t="s">
        <v>524</v>
      </c>
      <c r="E642" s="1906" t="s">
        <v>541</v>
      </c>
      <c r="F642" s="1948" t="s">
        <v>259</v>
      </c>
      <c r="G642" s="1949">
        <v>600</v>
      </c>
      <c r="H642" s="1948">
        <v>600</v>
      </c>
      <c r="I642" s="1950">
        <v>534</v>
      </c>
      <c r="J642" s="1948">
        <v>534</v>
      </c>
      <c r="K642" s="1948">
        <v>0.98180000000000001</v>
      </c>
      <c r="L642" s="1948">
        <v>36.26</v>
      </c>
      <c r="M642" s="1948">
        <v>139410</v>
      </c>
      <c r="N642" s="1948">
        <f t="shared" si="135"/>
        <v>230688</v>
      </c>
      <c r="O642" s="1948">
        <f t="shared" si="136"/>
        <v>0</v>
      </c>
      <c r="P642" s="1948">
        <v>600</v>
      </c>
      <c r="Q642" s="1948">
        <v>608.4</v>
      </c>
      <c r="R642" s="1948">
        <v>608.4</v>
      </c>
      <c r="S642" s="1948">
        <v>0.96970000000000001</v>
      </c>
      <c r="T642" s="1948">
        <v>38.94</v>
      </c>
      <c r="U642" s="1948">
        <v>176265</v>
      </c>
      <c r="V642" s="1948">
        <f t="shared" si="137"/>
        <v>271590</v>
      </c>
      <c r="W642" s="1948">
        <f t="shared" si="138"/>
        <v>0</v>
      </c>
      <c r="X642" s="1948">
        <v>600</v>
      </c>
      <c r="Y642" s="1948">
        <v>492</v>
      </c>
      <c r="Z642" s="1948">
        <v>492</v>
      </c>
      <c r="AA642" s="1948">
        <v>0.97740000000000005</v>
      </c>
      <c r="AB642" s="1948">
        <v>39.46</v>
      </c>
      <c r="AC642" s="1948">
        <v>139800</v>
      </c>
      <c r="AD642" s="1948">
        <f t="shared" si="139"/>
        <v>212544</v>
      </c>
      <c r="AE642" s="1948">
        <f t="shared" si="140"/>
        <v>0</v>
      </c>
      <c r="AF642" s="1948">
        <v>600</v>
      </c>
      <c r="AG642" s="1948">
        <v>504.00000000000006</v>
      </c>
      <c r="AH642" s="1948">
        <v>504</v>
      </c>
      <c r="AI642" s="1948">
        <v>0.98370000000000002</v>
      </c>
      <c r="AJ642" s="1948">
        <v>39.71</v>
      </c>
      <c r="AK642" s="1948">
        <v>148905</v>
      </c>
      <c r="AL642" s="1948">
        <f t="shared" si="141"/>
        <v>224986</v>
      </c>
      <c r="AM642" s="1948">
        <f t="shared" si="142"/>
        <v>0</v>
      </c>
      <c r="AN642" s="1948">
        <v>600</v>
      </c>
      <c r="AO642" s="1948">
        <v>354</v>
      </c>
      <c r="AP642" s="1948">
        <v>480</v>
      </c>
      <c r="AQ642" s="1948">
        <v>0.98519999999999996</v>
      </c>
      <c r="AR642" s="1948">
        <v>46.25</v>
      </c>
      <c r="AS642" s="1948">
        <v>121800</v>
      </c>
      <c r="AT642" s="1948">
        <f t="shared" si="143"/>
        <v>158026</v>
      </c>
      <c r="AU642" s="1948">
        <f t="shared" si="144"/>
        <v>0</v>
      </c>
      <c r="AV642" s="1948">
        <v>600</v>
      </c>
      <c r="AW642" s="1948">
        <v>435.59999999999997</v>
      </c>
      <c r="AX642" s="1948">
        <v>480</v>
      </c>
      <c r="AY642" s="1948">
        <v>0.98670000000000002</v>
      </c>
      <c r="AZ642" s="1948">
        <v>45.58</v>
      </c>
      <c r="BA642" s="1948">
        <v>142965</v>
      </c>
      <c r="BB642" s="1948">
        <f t="shared" si="145"/>
        <v>188179</v>
      </c>
      <c r="BC642" s="1948">
        <f t="shared" si="146"/>
        <v>0</v>
      </c>
      <c r="BD642" s="1949">
        <v>600</v>
      </c>
      <c r="BE642" s="1948">
        <v>468</v>
      </c>
      <c r="BF642" s="1949">
        <v>480</v>
      </c>
      <c r="BG642" s="1949">
        <v>0.99760000000000004</v>
      </c>
      <c r="BH642" s="1949">
        <v>35.06</v>
      </c>
      <c r="BI642" s="1948">
        <v>122085</v>
      </c>
      <c r="BJ642" s="1948">
        <f t="shared" si="147"/>
        <v>208915</v>
      </c>
      <c r="BK642" s="1948">
        <f t="shared" si="148"/>
        <v>0</v>
      </c>
    </row>
    <row r="643" spans="1:63" ht="15">
      <c r="A643" s="1946">
        <v>611000000007</v>
      </c>
      <c r="B643" s="1947">
        <f t="shared" si="149"/>
        <v>637</v>
      </c>
      <c r="C643" s="1906" t="s">
        <v>3470</v>
      </c>
      <c r="D643" s="1907" t="s">
        <v>524</v>
      </c>
      <c r="E643" s="1906" t="s">
        <v>629</v>
      </c>
      <c r="F643" s="1948" t="s">
        <v>259</v>
      </c>
      <c r="G643" s="1949">
        <v>600</v>
      </c>
      <c r="H643" s="1948">
        <v>600</v>
      </c>
      <c r="I643" s="1950">
        <v>135.84</v>
      </c>
      <c r="J643" s="1948">
        <v>600</v>
      </c>
      <c r="K643" s="1948">
        <v>0.85919999999999996</v>
      </c>
      <c r="L643" s="1948">
        <v>0</v>
      </c>
      <c r="M643" s="1948">
        <v>19872</v>
      </c>
      <c r="N643" s="1948">
        <f t="shared" si="135"/>
        <v>58683</v>
      </c>
      <c r="O643" s="1948">
        <f t="shared" si="136"/>
        <v>0</v>
      </c>
      <c r="P643" s="1948">
        <v>600</v>
      </c>
      <c r="Q643" s="1948">
        <v>149.28</v>
      </c>
      <c r="R643" s="1948">
        <v>600</v>
      </c>
      <c r="S643" s="1948">
        <v>0.86029999999999995</v>
      </c>
      <c r="T643" s="1948">
        <v>0</v>
      </c>
      <c r="U643" s="1948">
        <v>36696</v>
      </c>
      <c r="V643" s="1948">
        <f t="shared" si="137"/>
        <v>66639</v>
      </c>
      <c r="W643" s="1948">
        <f t="shared" si="138"/>
        <v>0</v>
      </c>
      <c r="X643" s="1948">
        <v>600</v>
      </c>
      <c r="Y643" s="1948">
        <v>133.92000000000002</v>
      </c>
      <c r="Z643" s="1948">
        <v>600</v>
      </c>
      <c r="AA643" s="1948">
        <v>0.87060000000000004</v>
      </c>
      <c r="AB643" s="1948">
        <v>0</v>
      </c>
      <c r="AC643" s="1948">
        <v>27888</v>
      </c>
      <c r="AD643" s="1948">
        <f t="shared" si="139"/>
        <v>57853</v>
      </c>
      <c r="AE643" s="1948">
        <f t="shared" si="140"/>
        <v>0</v>
      </c>
      <c r="AF643" s="1948">
        <v>600</v>
      </c>
      <c r="AG643" s="1948">
        <v>131.04000000000002</v>
      </c>
      <c r="AH643" s="1948">
        <v>600</v>
      </c>
      <c r="AI643" s="1948">
        <v>0.8155</v>
      </c>
      <c r="AJ643" s="1948">
        <v>0</v>
      </c>
      <c r="AK643" s="1948">
        <v>46680</v>
      </c>
      <c r="AL643" s="1948">
        <f t="shared" si="141"/>
        <v>58496</v>
      </c>
      <c r="AM643" s="1948">
        <f t="shared" si="142"/>
        <v>0</v>
      </c>
      <c r="AN643" s="1948">
        <v>600</v>
      </c>
      <c r="AO643" s="1948">
        <v>124.32</v>
      </c>
      <c r="AP643" s="1948">
        <v>600</v>
      </c>
      <c r="AQ643" s="1948">
        <v>0.80520000000000003</v>
      </c>
      <c r="AR643" s="1948">
        <v>0</v>
      </c>
      <c r="AS643" s="1948">
        <v>19656</v>
      </c>
      <c r="AT643" s="1948">
        <f t="shared" si="143"/>
        <v>55496</v>
      </c>
      <c r="AU643" s="1948">
        <f t="shared" si="144"/>
        <v>0</v>
      </c>
      <c r="AV643" s="1948">
        <v>600</v>
      </c>
      <c r="AW643" s="1948">
        <v>0</v>
      </c>
      <c r="AX643" s="1948">
        <v>600</v>
      </c>
      <c r="AY643" s="1948">
        <v>1</v>
      </c>
      <c r="AZ643" s="1948">
        <v>0</v>
      </c>
      <c r="BA643" s="1948">
        <v>0</v>
      </c>
      <c r="BB643" s="1948">
        <f t="shared" si="145"/>
        <v>0</v>
      </c>
      <c r="BC643" s="1948">
        <f t="shared" si="146"/>
        <v>0</v>
      </c>
      <c r="BD643" s="1949">
        <v>600</v>
      </c>
      <c r="BE643" s="1948">
        <v>114.72</v>
      </c>
      <c r="BF643" s="1949">
        <v>600</v>
      </c>
      <c r="BG643" s="1949">
        <v>0.72550000000000003</v>
      </c>
      <c r="BH643" s="1949">
        <v>0</v>
      </c>
      <c r="BI643" s="1948">
        <v>3192</v>
      </c>
      <c r="BJ643" s="1948">
        <f t="shared" si="147"/>
        <v>51211</v>
      </c>
      <c r="BK643" s="1948">
        <f t="shared" si="148"/>
        <v>0</v>
      </c>
    </row>
    <row r="644" spans="1:63" ht="15">
      <c r="A644" s="1946">
        <v>124000000071</v>
      </c>
      <c r="B644" s="1947">
        <f t="shared" si="149"/>
        <v>638</v>
      </c>
      <c r="C644" s="1906" t="s">
        <v>3341</v>
      </c>
      <c r="D644" s="1907" t="s">
        <v>524</v>
      </c>
      <c r="E644" s="1906" t="s">
        <v>541</v>
      </c>
      <c r="F644" s="1948" t="s">
        <v>259</v>
      </c>
      <c r="G644" s="1949">
        <v>611</v>
      </c>
      <c r="H644" s="1948">
        <v>611</v>
      </c>
      <c r="I644" s="1950">
        <v>475.68</v>
      </c>
      <c r="J644" s="1948">
        <v>488.8</v>
      </c>
      <c r="K644" s="1948">
        <v>0.69899999999999995</v>
      </c>
      <c r="L644" s="1948">
        <v>49.63</v>
      </c>
      <c r="M644" s="1948">
        <v>169992</v>
      </c>
      <c r="N644" s="1948">
        <f t="shared" si="135"/>
        <v>205494</v>
      </c>
      <c r="O644" s="1948">
        <f t="shared" si="136"/>
        <v>0</v>
      </c>
      <c r="P644" s="1948">
        <v>611</v>
      </c>
      <c r="Q644" s="1948">
        <v>466.56</v>
      </c>
      <c r="R644" s="1948">
        <v>488.8</v>
      </c>
      <c r="S644" s="1948">
        <v>0.6915</v>
      </c>
      <c r="T644" s="1948">
        <v>46.75</v>
      </c>
      <c r="U644" s="1948">
        <v>162294</v>
      </c>
      <c r="V644" s="1948">
        <f t="shared" si="137"/>
        <v>208272</v>
      </c>
      <c r="W644" s="1948">
        <f t="shared" si="138"/>
        <v>0</v>
      </c>
      <c r="X644" s="1948">
        <v>611</v>
      </c>
      <c r="Y644" s="1948">
        <v>441.12</v>
      </c>
      <c r="Z644" s="1948">
        <v>488.8</v>
      </c>
      <c r="AA644" s="1948">
        <v>0.68230000000000002</v>
      </c>
      <c r="AB644" s="1948">
        <v>44.45</v>
      </c>
      <c r="AC644" s="1948">
        <v>141186</v>
      </c>
      <c r="AD644" s="1948">
        <f t="shared" si="139"/>
        <v>190564</v>
      </c>
      <c r="AE644" s="1948">
        <f t="shared" si="140"/>
        <v>0</v>
      </c>
      <c r="AF644" s="1948">
        <v>611</v>
      </c>
      <c r="AG644" s="1948">
        <v>418.56</v>
      </c>
      <c r="AH644" s="1948">
        <v>488.8</v>
      </c>
      <c r="AI644" s="1948">
        <v>0.68320000000000003</v>
      </c>
      <c r="AJ644" s="1948">
        <v>56.7</v>
      </c>
      <c r="AK644" s="1948">
        <v>176556</v>
      </c>
      <c r="AL644" s="1948">
        <f t="shared" si="141"/>
        <v>186845</v>
      </c>
      <c r="AM644" s="1948">
        <f t="shared" si="142"/>
        <v>0</v>
      </c>
      <c r="AN644" s="1948">
        <v>611</v>
      </c>
      <c r="AO644" s="1948">
        <v>429.12</v>
      </c>
      <c r="AP644" s="1948">
        <v>488.8</v>
      </c>
      <c r="AQ644" s="1948">
        <v>0.68810000000000004</v>
      </c>
      <c r="AR644" s="1948">
        <v>50.35</v>
      </c>
      <c r="AS644" s="1948">
        <v>160740</v>
      </c>
      <c r="AT644" s="1948">
        <f t="shared" si="143"/>
        <v>191559</v>
      </c>
      <c r="AU644" s="1948">
        <f t="shared" si="144"/>
        <v>0</v>
      </c>
      <c r="AV644" s="1948">
        <v>611</v>
      </c>
      <c r="AW644" s="1948">
        <v>435.84</v>
      </c>
      <c r="AX644" s="1948">
        <v>488.8</v>
      </c>
      <c r="AY644" s="1948">
        <v>0.67800000000000005</v>
      </c>
      <c r="AZ644" s="1948">
        <v>47.7</v>
      </c>
      <c r="BA644" s="1948">
        <v>149700</v>
      </c>
      <c r="BB644" s="1948">
        <f t="shared" si="145"/>
        <v>188283</v>
      </c>
      <c r="BC644" s="1948">
        <f t="shared" si="146"/>
        <v>0</v>
      </c>
      <c r="BD644" s="1949">
        <v>611</v>
      </c>
      <c r="BE644" s="1948">
        <v>448.8</v>
      </c>
      <c r="BF644" s="1949">
        <v>488.8</v>
      </c>
      <c r="BG644" s="1949">
        <v>0.69020000000000004</v>
      </c>
      <c r="BH644" s="1949">
        <v>57.7</v>
      </c>
      <c r="BI644" s="1948">
        <v>192666</v>
      </c>
      <c r="BJ644" s="1948">
        <f t="shared" si="147"/>
        <v>200344</v>
      </c>
      <c r="BK644" s="1948">
        <f t="shared" si="148"/>
        <v>0</v>
      </c>
    </row>
    <row r="645" spans="1:63" ht="15">
      <c r="A645" s="1946">
        <v>124000000063</v>
      </c>
      <c r="B645" s="1947">
        <f t="shared" si="149"/>
        <v>639</v>
      </c>
      <c r="C645" s="1906" t="s">
        <v>3473</v>
      </c>
      <c r="D645" s="1907" t="s">
        <v>524</v>
      </c>
      <c r="E645" s="1906" t="s">
        <v>541</v>
      </c>
      <c r="F645" s="1948" t="s">
        <v>259</v>
      </c>
      <c r="G645" s="1949">
        <v>617</v>
      </c>
      <c r="H645" s="1948">
        <v>617</v>
      </c>
      <c r="I645" s="1950">
        <v>309.60000000000002</v>
      </c>
      <c r="J645" s="1948">
        <v>493.6</v>
      </c>
      <c r="K645" s="1948">
        <v>0.99039999999999995</v>
      </c>
      <c r="L645" s="1948">
        <v>23.48</v>
      </c>
      <c r="M645" s="1948">
        <v>52338</v>
      </c>
      <c r="N645" s="1948">
        <f t="shared" si="135"/>
        <v>133747</v>
      </c>
      <c r="O645" s="1948">
        <f t="shared" si="136"/>
        <v>0</v>
      </c>
      <c r="P645" s="1948">
        <v>617</v>
      </c>
      <c r="Q645" s="1948">
        <v>345.59999999999997</v>
      </c>
      <c r="R645" s="1948">
        <v>493.6</v>
      </c>
      <c r="S645" s="1948">
        <v>0.98870000000000002</v>
      </c>
      <c r="T645" s="1948">
        <v>20.56</v>
      </c>
      <c r="U645" s="1948">
        <v>52860</v>
      </c>
      <c r="V645" s="1948">
        <f t="shared" si="137"/>
        <v>154276</v>
      </c>
      <c r="W645" s="1948">
        <f t="shared" si="138"/>
        <v>0</v>
      </c>
      <c r="X645" s="1948">
        <v>617</v>
      </c>
      <c r="Y645" s="1948">
        <v>301.44</v>
      </c>
      <c r="Z645" s="1948">
        <v>493.6</v>
      </c>
      <c r="AA645" s="1948">
        <v>0.98719999999999997</v>
      </c>
      <c r="AB645" s="1948">
        <v>19.149999999999999</v>
      </c>
      <c r="AC645" s="1948">
        <v>41556</v>
      </c>
      <c r="AD645" s="1948">
        <f t="shared" si="139"/>
        <v>130222</v>
      </c>
      <c r="AE645" s="1948">
        <f t="shared" si="140"/>
        <v>0</v>
      </c>
      <c r="AF645" s="1948">
        <v>617</v>
      </c>
      <c r="AG645" s="1948">
        <v>386.88</v>
      </c>
      <c r="AH645" s="1948">
        <v>493.6</v>
      </c>
      <c r="AI645" s="1948">
        <v>0.94430000000000003</v>
      </c>
      <c r="AJ645" s="1948">
        <v>21.94</v>
      </c>
      <c r="AK645" s="1948">
        <v>63138</v>
      </c>
      <c r="AL645" s="1948">
        <f t="shared" si="141"/>
        <v>172703</v>
      </c>
      <c r="AM645" s="1948">
        <f t="shared" si="142"/>
        <v>0</v>
      </c>
      <c r="AN645" s="1948">
        <v>617</v>
      </c>
      <c r="AO645" s="1948">
        <v>43.199999999999996</v>
      </c>
      <c r="AP645" s="1948">
        <v>493.6</v>
      </c>
      <c r="AQ645" s="1948">
        <v>1</v>
      </c>
      <c r="AR645" s="1948">
        <v>12.56</v>
      </c>
      <c r="AS645" s="1948">
        <v>4038</v>
      </c>
      <c r="AT645" s="1948">
        <f t="shared" si="143"/>
        <v>19284</v>
      </c>
      <c r="AU645" s="1948">
        <f t="shared" si="144"/>
        <v>0</v>
      </c>
      <c r="AV645" s="1948">
        <v>617</v>
      </c>
      <c r="AW645" s="1948">
        <v>35.04</v>
      </c>
      <c r="AX645" s="1948">
        <v>493.6</v>
      </c>
      <c r="AY645" s="1948">
        <v>0.93779999999999997</v>
      </c>
      <c r="AZ645" s="1948">
        <v>16.079999999999998</v>
      </c>
      <c r="BA645" s="1948">
        <v>4056</v>
      </c>
      <c r="BB645" s="1948">
        <f t="shared" si="145"/>
        <v>15137</v>
      </c>
      <c r="BC645" s="1948">
        <f t="shared" si="146"/>
        <v>0</v>
      </c>
      <c r="BD645" s="1949">
        <v>617</v>
      </c>
      <c r="BE645" s="1948">
        <v>103.68</v>
      </c>
      <c r="BF645" s="1949">
        <v>493.6</v>
      </c>
      <c r="BG645" s="1949">
        <v>0.96779999999999999</v>
      </c>
      <c r="BH645" s="1949">
        <v>6.54</v>
      </c>
      <c r="BI645" s="1948">
        <v>5046</v>
      </c>
      <c r="BJ645" s="1948">
        <f t="shared" si="147"/>
        <v>46283</v>
      </c>
      <c r="BK645" s="1948">
        <f t="shared" si="148"/>
        <v>0</v>
      </c>
    </row>
    <row r="646" spans="1:63" ht="15">
      <c r="A646" s="1946">
        <v>421000000021</v>
      </c>
      <c r="B646" s="1947">
        <f t="shared" si="149"/>
        <v>640</v>
      </c>
      <c r="C646" s="1906" t="s">
        <v>3474</v>
      </c>
      <c r="D646" s="1907" t="s">
        <v>524</v>
      </c>
      <c r="E646" s="1906" t="s">
        <v>737</v>
      </c>
      <c r="F646" s="1948" t="s">
        <v>259</v>
      </c>
      <c r="G646" s="1949">
        <v>622</v>
      </c>
      <c r="H646" s="1948">
        <v>622</v>
      </c>
      <c r="I646" s="1950">
        <v>9.36</v>
      </c>
      <c r="J646" s="1948">
        <v>497.6</v>
      </c>
      <c r="K646" s="1948">
        <v>0.69089999999999996</v>
      </c>
      <c r="L646" s="1948">
        <v>44.07</v>
      </c>
      <c r="M646" s="1948">
        <v>2970</v>
      </c>
      <c r="N646" s="1948">
        <f t="shared" si="135"/>
        <v>4044</v>
      </c>
      <c r="O646" s="1948">
        <f t="shared" si="136"/>
        <v>0</v>
      </c>
      <c r="P646" s="1948">
        <v>622</v>
      </c>
      <c r="Q646" s="1948">
        <v>35.28</v>
      </c>
      <c r="R646" s="1948">
        <v>497.6</v>
      </c>
      <c r="S646" s="1948">
        <v>0.79349999999999998</v>
      </c>
      <c r="T646" s="1948">
        <v>11.62</v>
      </c>
      <c r="U646" s="1948">
        <v>3051</v>
      </c>
      <c r="V646" s="1948">
        <f t="shared" si="137"/>
        <v>15749</v>
      </c>
      <c r="W646" s="1948">
        <f t="shared" si="138"/>
        <v>0</v>
      </c>
      <c r="X646" s="1948">
        <v>622</v>
      </c>
      <c r="Y646" s="1948">
        <v>95.04</v>
      </c>
      <c r="Z646" s="1948">
        <v>497.6</v>
      </c>
      <c r="AA646" s="1948">
        <v>0.99260000000000004</v>
      </c>
      <c r="AB646" s="1948">
        <v>51.23</v>
      </c>
      <c r="AC646" s="1948">
        <v>29214</v>
      </c>
      <c r="AD646" s="1948">
        <f t="shared" si="139"/>
        <v>41057</v>
      </c>
      <c r="AE646" s="1948">
        <f t="shared" si="140"/>
        <v>0</v>
      </c>
      <c r="AF646" s="1948">
        <v>622</v>
      </c>
      <c r="AG646" s="1948">
        <v>95.759999999999991</v>
      </c>
      <c r="AH646" s="1948">
        <v>497.6</v>
      </c>
      <c r="AI646" s="1948">
        <v>0.98899999999999999</v>
      </c>
      <c r="AJ646" s="1948">
        <v>59.75</v>
      </c>
      <c r="AK646" s="1948">
        <v>49437</v>
      </c>
      <c r="AL646" s="1948">
        <f t="shared" si="141"/>
        <v>42747</v>
      </c>
      <c r="AM646" s="1948">
        <f t="shared" si="142"/>
        <v>6690</v>
      </c>
      <c r="AN646" s="1948">
        <v>622</v>
      </c>
      <c r="AO646" s="1948">
        <v>91.44</v>
      </c>
      <c r="AP646" s="1948">
        <v>497.6</v>
      </c>
      <c r="AQ646" s="1948">
        <v>0.98770000000000002</v>
      </c>
      <c r="AR646" s="1948">
        <v>62.56</v>
      </c>
      <c r="AS646" s="1948">
        <v>42561</v>
      </c>
      <c r="AT646" s="1948">
        <f t="shared" si="143"/>
        <v>40819</v>
      </c>
      <c r="AU646" s="1948">
        <f t="shared" si="144"/>
        <v>1742</v>
      </c>
      <c r="AV646" s="1948">
        <v>622</v>
      </c>
      <c r="AW646" s="1948">
        <v>94.320000000000007</v>
      </c>
      <c r="AX646" s="1948">
        <v>497.6</v>
      </c>
      <c r="AY646" s="1948">
        <v>0.98929999999999996</v>
      </c>
      <c r="AZ646" s="1948">
        <v>63.63</v>
      </c>
      <c r="BA646" s="1948">
        <v>43209</v>
      </c>
      <c r="BB646" s="1948">
        <f t="shared" si="145"/>
        <v>40746</v>
      </c>
      <c r="BC646" s="1948">
        <f t="shared" si="146"/>
        <v>2463</v>
      </c>
      <c r="BD646" s="1949">
        <v>622</v>
      </c>
      <c r="BE646" s="1948">
        <v>93.6</v>
      </c>
      <c r="BF646" s="1949">
        <v>497.6</v>
      </c>
      <c r="BG646" s="1949">
        <v>0.98799999999999999</v>
      </c>
      <c r="BH646" s="1949">
        <v>57.52</v>
      </c>
      <c r="BI646" s="1948">
        <v>40059</v>
      </c>
      <c r="BJ646" s="1948">
        <f t="shared" si="147"/>
        <v>41783</v>
      </c>
      <c r="BK646" s="1948">
        <f t="shared" si="148"/>
        <v>0</v>
      </c>
    </row>
    <row r="647" spans="1:63" ht="15">
      <c r="A647" s="1946">
        <v>615000000046</v>
      </c>
      <c r="B647" s="1947">
        <f t="shared" si="149"/>
        <v>641</v>
      </c>
      <c r="C647" s="1906" t="s">
        <v>3475</v>
      </c>
      <c r="D647" s="1907" t="s">
        <v>524</v>
      </c>
      <c r="E647" s="1906" t="s">
        <v>541</v>
      </c>
      <c r="F647" s="1948" t="s">
        <v>259</v>
      </c>
      <c r="G647" s="1949">
        <v>623</v>
      </c>
      <c r="H647" s="1948">
        <v>623</v>
      </c>
      <c r="I647" s="1950">
        <v>552</v>
      </c>
      <c r="J647" s="1948">
        <v>552</v>
      </c>
      <c r="K647" s="1948">
        <v>0.93089999999999995</v>
      </c>
      <c r="L647" s="1948">
        <v>12.66</v>
      </c>
      <c r="M647" s="1948">
        <v>46956</v>
      </c>
      <c r="N647" s="1948">
        <f t="shared" ref="N647:N700" si="150">+ROUND(24*30*0.6*I647,0)</f>
        <v>238464</v>
      </c>
      <c r="O647" s="1948">
        <f t="shared" ref="O647:O700" si="151">+MAX((M647-N647),0)</f>
        <v>0</v>
      </c>
      <c r="P647" s="1948">
        <v>623</v>
      </c>
      <c r="Q647" s="1948">
        <v>575.04</v>
      </c>
      <c r="R647" s="1948">
        <v>575.04</v>
      </c>
      <c r="S647" s="1948">
        <v>0.93810000000000004</v>
      </c>
      <c r="T647" s="1948">
        <v>14.06</v>
      </c>
      <c r="U647" s="1948">
        <v>69876</v>
      </c>
      <c r="V647" s="1948">
        <f t="shared" ref="V647:V700" si="152">+ROUND(24*31*0.6*Q647,0)</f>
        <v>256698</v>
      </c>
      <c r="W647" s="1948">
        <f t="shared" ref="W647:W700" si="153">+MAX((U647-V647),0)</f>
        <v>0</v>
      </c>
      <c r="X647" s="1948">
        <v>623</v>
      </c>
      <c r="Y647" s="1948">
        <v>578.4</v>
      </c>
      <c r="Z647" s="1948">
        <v>578.4</v>
      </c>
      <c r="AA647" s="1948">
        <v>0.94379999999999997</v>
      </c>
      <c r="AB647" s="1948">
        <v>10.75</v>
      </c>
      <c r="AC647" s="1948">
        <v>40278</v>
      </c>
      <c r="AD647" s="1948">
        <f t="shared" ref="AD647:AD700" si="154">+ROUND(24*30*0.6*Y647,0)</f>
        <v>249869</v>
      </c>
      <c r="AE647" s="1948">
        <f t="shared" ref="AE647:AE700" si="155">+MAX((AC647-AD647),0)</f>
        <v>0</v>
      </c>
      <c r="AF647" s="1948">
        <v>623</v>
      </c>
      <c r="AG647" s="1948">
        <v>567.36</v>
      </c>
      <c r="AH647" s="1948">
        <v>567.36</v>
      </c>
      <c r="AI647" s="1948">
        <v>0.92820000000000003</v>
      </c>
      <c r="AJ647" s="1948">
        <v>10.8</v>
      </c>
      <c r="AK647" s="1948">
        <v>49992</v>
      </c>
      <c r="AL647" s="1948">
        <f t="shared" ref="AL647:AL700" si="156">+ROUND(24*31*0.6*AG647,0)</f>
        <v>253270</v>
      </c>
      <c r="AM647" s="1948">
        <f t="shared" ref="AM647:AM700" si="157">+MAX((AK647-AL647),0)</f>
        <v>0</v>
      </c>
      <c r="AN647" s="1948">
        <v>623</v>
      </c>
      <c r="AO647" s="1948">
        <v>552.96</v>
      </c>
      <c r="AP647" s="1948">
        <v>552.96</v>
      </c>
      <c r="AQ647" s="1948">
        <v>0.93659999999999999</v>
      </c>
      <c r="AR647" s="1948">
        <v>9.1199999999999992</v>
      </c>
      <c r="AS647" s="1948">
        <v>37512</v>
      </c>
      <c r="AT647" s="1948">
        <f t="shared" ref="AT647:AT700" si="158">+ROUND(24*31*0.6*AO647,0)</f>
        <v>246841</v>
      </c>
      <c r="AU647" s="1948">
        <f t="shared" ref="AU647:AU700" si="159">+MAX((AS647-AT647),0)</f>
        <v>0</v>
      </c>
      <c r="AV647" s="1948">
        <v>623</v>
      </c>
      <c r="AW647" s="1948">
        <v>563.52</v>
      </c>
      <c r="AX647" s="1948">
        <v>563.52</v>
      </c>
      <c r="AY647" s="1948">
        <v>0.93720000000000003</v>
      </c>
      <c r="AZ647" s="1948">
        <v>11.75</v>
      </c>
      <c r="BA647" s="1948">
        <v>47676</v>
      </c>
      <c r="BB647" s="1948">
        <f t="shared" ref="BB647:BB700" si="160">+ROUND(24*30*0.6*AW647,0)</f>
        <v>243441</v>
      </c>
      <c r="BC647" s="1948">
        <f t="shared" ref="BC647:BC700" si="161">+MAX((BA647-BB647),0)</f>
        <v>0</v>
      </c>
      <c r="BD647" s="1949">
        <v>623</v>
      </c>
      <c r="BE647" s="1948">
        <v>553.44000000000005</v>
      </c>
      <c r="BF647" s="1949">
        <v>553.44000000000005</v>
      </c>
      <c r="BG647" s="1949">
        <v>0.92869999999999997</v>
      </c>
      <c r="BH647" s="1949">
        <v>9.6</v>
      </c>
      <c r="BI647" s="1948">
        <v>39522</v>
      </c>
      <c r="BJ647" s="1948">
        <f t="shared" ref="BJ647:BJ700" si="162">+ROUND(24*31*0.6*BE647,0)</f>
        <v>247056</v>
      </c>
      <c r="BK647" s="1948">
        <f t="shared" ref="BK647:BK700" si="163">+MAX((BI647-BJ647),0)</f>
        <v>0</v>
      </c>
    </row>
    <row r="648" spans="1:63" ht="15">
      <c r="A648" s="1946">
        <v>125000000020</v>
      </c>
      <c r="B648" s="1947">
        <f t="shared" si="149"/>
        <v>642</v>
      </c>
      <c r="C648" s="1906" t="s">
        <v>3476</v>
      </c>
      <c r="D648" s="1907" t="s">
        <v>524</v>
      </c>
      <c r="E648" s="1906" t="s">
        <v>541</v>
      </c>
      <c r="F648" s="1948" t="s">
        <v>259</v>
      </c>
      <c r="G648" s="1949">
        <v>630</v>
      </c>
      <c r="H648" s="1948">
        <v>630</v>
      </c>
      <c r="I648" s="1950">
        <v>77.28</v>
      </c>
      <c r="J648" s="1948">
        <v>504</v>
      </c>
      <c r="K648" s="1948">
        <v>0.71479999999999999</v>
      </c>
      <c r="L648" s="1948">
        <v>17.809999999999999</v>
      </c>
      <c r="M648" s="1948">
        <v>9912</v>
      </c>
      <c r="N648" s="1948">
        <f t="shared" si="150"/>
        <v>33385</v>
      </c>
      <c r="O648" s="1948">
        <f t="shared" si="151"/>
        <v>0</v>
      </c>
      <c r="P648" s="1948">
        <v>630</v>
      </c>
      <c r="Q648" s="1948">
        <v>106.08000000000001</v>
      </c>
      <c r="R648" s="1948">
        <v>504</v>
      </c>
      <c r="S648" s="1948">
        <v>0.75849999999999995</v>
      </c>
      <c r="T648" s="1948">
        <v>21.22</v>
      </c>
      <c r="U648" s="1948">
        <v>16746</v>
      </c>
      <c r="V648" s="1948">
        <f t="shared" si="152"/>
        <v>47354</v>
      </c>
      <c r="W648" s="1948">
        <f t="shared" si="153"/>
        <v>0</v>
      </c>
      <c r="X648" s="1948">
        <v>630</v>
      </c>
      <c r="Y648" s="1948">
        <v>85.92</v>
      </c>
      <c r="Z648" s="1948">
        <v>504</v>
      </c>
      <c r="AA648" s="1948">
        <v>0.79969999999999997</v>
      </c>
      <c r="AB648" s="1948">
        <v>24.61</v>
      </c>
      <c r="AC648" s="1948">
        <v>15222</v>
      </c>
      <c r="AD648" s="1948">
        <f t="shared" si="154"/>
        <v>37117</v>
      </c>
      <c r="AE648" s="1948">
        <f t="shared" si="155"/>
        <v>0</v>
      </c>
      <c r="AF648" s="1948">
        <v>630</v>
      </c>
      <c r="AG648" s="1948">
        <v>83.52</v>
      </c>
      <c r="AH648" s="1948">
        <v>504</v>
      </c>
      <c r="AI648" s="1948">
        <v>0.83650000000000002</v>
      </c>
      <c r="AJ648" s="1948">
        <v>16.48</v>
      </c>
      <c r="AK648" s="1948">
        <v>10242</v>
      </c>
      <c r="AL648" s="1948">
        <f t="shared" si="156"/>
        <v>37283</v>
      </c>
      <c r="AM648" s="1948">
        <f t="shared" si="157"/>
        <v>0</v>
      </c>
      <c r="AN648" s="1948">
        <v>630</v>
      </c>
      <c r="AO648" s="1948">
        <v>372.96000000000004</v>
      </c>
      <c r="AP648" s="1948">
        <v>504</v>
      </c>
      <c r="AQ648" s="1948">
        <v>0.83069999999999999</v>
      </c>
      <c r="AR648" s="1948">
        <v>14.97</v>
      </c>
      <c r="AS648" s="1948">
        <v>41550</v>
      </c>
      <c r="AT648" s="1948">
        <f t="shared" si="158"/>
        <v>166489</v>
      </c>
      <c r="AU648" s="1948">
        <f t="shared" si="159"/>
        <v>0</v>
      </c>
      <c r="AV648" s="1948">
        <v>630</v>
      </c>
      <c r="AW648" s="1948">
        <v>377.76000000000005</v>
      </c>
      <c r="AX648" s="1948">
        <v>504</v>
      </c>
      <c r="AY648" s="1948">
        <v>0.81059999999999999</v>
      </c>
      <c r="AZ648" s="1948">
        <v>43.83</v>
      </c>
      <c r="BA648" s="1948">
        <v>119208</v>
      </c>
      <c r="BB648" s="1948">
        <f t="shared" si="160"/>
        <v>163192</v>
      </c>
      <c r="BC648" s="1948">
        <f t="shared" si="161"/>
        <v>0</v>
      </c>
      <c r="BD648" s="1949">
        <v>630</v>
      </c>
      <c r="BE648" s="1948">
        <v>44.16</v>
      </c>
      <c r="BF648" s="1949">
        <v>504</v>
      </c>
      <c r="BG648" s="1949">
        <v>0.77249999999999996</v>
      </c>
      <c r="BH648" s="1949">
        <v>34.200000000000003</v>
      </c>
      <c r="BI648" s="1948">
        <v>11238</v>
      </c>
      <c r="BJ648" s="1948">
        <f t="shared" si="162"/>
        <v>19713</v>
      </c>
      <c r="BK648" s="1948">
        <f t="shared" si="163"/>
        <v>0</v>
      </c>
    </row>
    <row r="649" spans="1:63" ht="15">
      <c r="A649" s="1946">
        <v>613000000042</v>
      </c>
      <c r="B649" s="1947">
        <f t="shared" ref="B649:B712" si="164">+B648+1</f>
        <v>643</v>
      </c>
      <c r="C649" s="1906" t="s">
        <v>729</v>
      </c>
      <c r="D649" s="1907" t="s">
        <v>524</v>
      </c>
      <c r="E649" s="1906" t="s">
        <v>730</v>
      </c>
      <c r="F649" s="1948" t="s">
        <v>259</v>
      </c>
      <c r="G649" s="1949">
        <v>648</v>
      </c>
      <c r="H649" s="1948">
        <v>648</v>
      </c>
      <c r="I649" s="1950">
        <v>43.92</v>
      </c>
      <c r="J649" s="1948">
        <v>518.4</v>
      </c>
      <c r="K649" s="1948">
        <v>0.55259999999999998</v>
      </c>
      <c r="L649" s="1948">
        <v>8.5399999999999991</v>
      </c>
      <c r="M649" s="1948">
        <v>1710</v>
      </c>
      <c r="N649" s="1948">
        <f t="shared" si="150"/>
        <v>18973</v>
      </c>
      <c r="O649" s="1948">
        <f t="shared" si="151"/>
        <v>0</v>
      </c>
      <c r="P649" s="1948">
        <v>648</v>
      </c>
      <c r="Q649" s="1948">
        <v>54.72</v>
      </c>
      <c r="R649" s="1948">
        <v>518.4</v>
      </c>
      <c r="S649" s="1948">
        <v>0.77410000000000001</v>
      </c>
      <c r="T649" s="1948">
        <v>1.33</v>
      </c>
      <c r="U649" s="1948">
        <v>558</v>
      </c>
      <c r="V649" s="1948">
        <f t="shared" si="152"/>
        <v>24427</v>
      </c>
      <c r="W649" s="1948">
        <f t="shared" si="153"/>
        <v>0</v>
      </c>
      <c r="X649" s="1948">
        <v>648</v>
      </c>
      <c r="Y649" s="1948">
        <v>140.4</v>
      </c>
      <c r="Z649" s="1948">
        <v>518.4</v>
      </c>
      <c r="AA649" s="1948">
        <v>0.7016</v>
      </c>
      <c r="AB649" s="1948">
        <v>2.63</v>
      </c>
      <c r="AC649" s="1948">
        <v>2655</v>
      </c>
      <c r="AD649" s="1948">
        <f t="shared" si="154"/>
        <v>60653</v>
      </c>
      <c r="AE649" s="1948">
        <f t="shared" si="155"/>
        <v>0</v>
      </c>
      <c r="AF649" s="1948">
        <v>648</v>
      </c>
      <c r="AG649" s="1948">
        <v>185.76</v>
      </c>
      <c r="AH649" s="1948">
        <v>518.4</v>
      </c>
      <c r="AI649" s="1948">
        <v>0.66349999999999998</v>
      </c>
      <c r="AJ649" s="1948">
        <v>6.89</v>
      </c>
      <c r="AK649" s="1948">
        <v>9522</v>
      </c>
      <c r="AL649" s="1948">
        <f t="shared" si="156"/>
        <v>82923</v>
      </c>
      <c r="AM649" s="1948">
        <f t="shared" si="157"/>
        <v>0</v>
      </c>
      <c r="AN649" s="1948">
        <v>648</v>
      </c>
      <c r="AO649" s="1948">
        <v>200.16</v>
      </c>
      <c r="AP649" s="1948">
        <v>518.4</v>
      </c>
      <c r="AQ649" s="1948">
        <v>0.67510000000000003</v>
      </c>
      <c r="AR649" s="1948">
        <v>4.76</v>
      </c>
      <c r="AS649" s="1948">
        <v>7092</v>
      </c>
      <c r="AT649" s="1948">
        <f t="shared" si="158"/>
        <v>89351</v>
      </c>
      <c r="AU649" s="1948">
        <f t="shared" si="159"/>
        <v>0</v>
      </c>
      <c r="AV649" s="1948">
        <v>648</v>
      </c>
      <c r="AW649" s="1948">
        <v>199.44</v>
      </c>
      <c r="AX649" s="1948">
        <v>518.4</v>
      </c>
      <c r="AY649" s="1948">
        <v>0.71540000000000004</v>
      </c>
      <c r="AZ649" s="1948">
        <v>6.98</v>
      </c>
      <c r="BA649" s="1948">
        <v>10026</v>
      </c>
      <c r="BB649" s="1948">
        <f t="shared" si="160"/>
        <v>86158</v>
      </c>
      <c r="BC649" s="1948">
        <f t="shared" si="161"/>
        <v>0</v>
      </c>
      <c r="BD649" s="1949">
        <v>648</v>
      </c>
      <c r="BE649" s="1948">
        <v>252.00000000000003</v>
      </c>
      <c r="BF649" s="1949">
        <v>518.4</v>
      </c>
      <c r="BG649" s="1949">
        <v>0.69650000000000001</v>
      </c>
      <c r="BH649" s="1949">
        <v>3.43</v>
      </c>
      <c r="BI649" s="1948">
        <v>6435</v>
      </c>
      <c r="BJ649" s="1948">
        <f t="shared" si="162"/>
        <v>112493</v>
      </c>
      <c r="BK649" s="1948">
        <f t="shared" si="163"/>
        <v>0</v>
      </c>
    </row>
    <row r="650" spans="1:63" ht="15">
      <c r="A650" s="1946">
        <v>123000000091</v>
      </c>
      <c r="B650" s="1947">
        <f t="shared" si="164"/>
        <v>644</v>
      </c>
      <c r="C650" s="1906" t="s">
        <v>3477</v>
      </c>
      <c r="D650" s="1907" t="s">
        <v>524</v>
      </c>
      <c r="E650" s="1906" t="s">
        <v>541</v>
      </c>
      <c r="F650" s="1948" t="s">
        <v>259</v>
      </c>
      <c r="G650" s="1949">
        <v>650</v>
      </c>
      <c r="H650" s="1948">
        <v>650</v>
      </c>
      <c r="I650" s="1950">
        <v>648.80000000000007</v>
      </c>
      <c r="J650" s="1948">
        <v>648.79999999999995</v>
      </c>
      <c r="K650" s="1948">
        <v>0.99990000000000001</v>
      </c>
      <c r="L650" s="1948">
        <v>58.71</v>
      </c>
      <c r="M650" s="1948">
        <v>283385</v>
      </c>
      <c r="N650" s="1948">
        <f t="shared" si="150"/>
        <v>280282</v>
      </c>
      <c r="O650" s="1948">
        <f t="shared" si="151"/>
        <v>3103</v>
      </c>
      <c r="P650" s="1948">
        <v>650</v>
      </c>
      <c r="Q650" s="1948">
        <v>488.8</v>
      </c>
      <c r="R650" s="1948">
        <v>520</v>
      </c>
      <c r="S650" s="1948">
        <v>0.99960000000000004</v>
      </c>
      <c r="T650" s="1948">
        <v>28.83</v>
      </c>
      <c r="U650" s="1948">
        <v>114975</v>
      </c>
      <c r="V650" s="1948">
        <f t="shared" si="152"/>
        <v>218200</v>
      </c>
      <c r="W650" s="1948">
        <f t="shared" si="153"/>
        <v>0</v>
      </c>
      <c r="X650" s="1948">
        <v>650</v>
      </c>
      <c r="Y650" s="1948">
        <v>368.8</v>
      </c>
      <c r="Z650" s="1948">
        <v>520</v>
      </c>
      <c r="AA650" s="1948">
        <v>0.99990000000000001</v>
      </c>
      <c r="AB650" s="1948">
        <v>35.119999999999997</v>
      </c>
      <c r="AC650" s="1948">
        <v>93265</v>
      </c>
      <c r="AD650" s="1948">
        <f t="shared" si="154"/>
        <v>159322</v>
      </c>
      <c r="AE650" s="1948">
        <f t="shared" si="155"/>
        <v>0</v>
      </c>
      <c r="AF650" s="1948">
        <v>650</v>
      </c>
      <c r="AG650" s="1948">
        <v>305.20000000000005</v>
      </c>
      <c r="AH650" s="1948">
        <v>520</v>
      </c>
      <c r="AI650" s="1948">
        <v>0.99970000000000003</v>
      </c>
      <c r="AJ650" s="1948">
        <v>47.42</v>
      </c>
      <c r="AK650" s="1948">
        <v>107680</v>
      </c>
      <c r="AL650" s="1948">
        <f t="shared" si="156"/>
        <v>136241</v>
      </c>
      <c r="AM650" s="1948">
        <f t="shared" si="157"/>
        <v>0</v>
      </c>
      <c r="AN650" s="1948">
        <v>650</v>
      </c>
      <c r="AO650" s="1948">
        <v>138.80000000000001</v>
      </c>
      <c r="AP650" s="1948">
        <v>520</v>
      </c>
      <c r="AQ650" s="1948">
        <v>0.996</v>
      </c>
      <c r="AR650" s="1948">
        <v>43.4</v>
      </c>
      <c r="AS650" s="1948">
        <v>44820</v>
      </c>
      <c r="AT650" s="1948">
        <f t="shared" si="158"/>
        <v>61960</v>
      </c>
      <c r="AU650" s="1948">
        <f t="shared" si="159"/>
        <v>0</v>
      </c>
      <c r="AV650" s="1948">
        <v>650</v>
      </c>
      <c r="AW650" s="1948">
        <v>143.6</v>
      </c>
      <c r="AX650" s="1948">
        <v>520</v>
      </c>
      <c r="AY650" s="1948">
        <v>0.99670000000000003</v>
      </c>
      <c r="AZ650" s="1948">
        <v>46.84</v>
      </c>
      <c r="BA650" s="1948">
        <v>48430</v>
      </c>
      <c r="BB650" s="1948">
        <f t="shared" si="160"/>
        <v>62035</v>
      </c>
      <c r="BC650" s="1948">
        <f t="shared" si="161"/>
        <v>0</v>
      </c>
      <c r="BD650" s="1949">
        <v>650</v>
      </c>
      <c r="BE650" s="1948">
        <v>192</v>
      </c>
      <c r="BF650" s="1949">
        <v>520</v>
      </c>
      <c r="BG650" s="1949">
        <v>0.99870000000000003</v>
      </c>
      <c r="BH650" s="1949">
        <v>47.4</v>
      </c>
      <c r="BI650" s="1948">
        <v>67705</v>
      </c>
      <c r="BJ650" s="1948">
        <f t="shared" si="162"/>
        <v>85709</v>
      </c>
      <c r="BK650" s="1948">
        <f t="shared" si="163"/>
        <v>0</v>
      </c>
    </row>
    <row r="651" spans="1:63" ht="15">
      <c r="A651" s="1946">
        <v>611000000043</v>
      </c>
      <c r="B651" s="1947">
        <f t="shared" si="164"/>
        <v>645</v>
      </c>
      <c r="C651" s="1906" t="s">
        <v>664</v>
      </c>
      <c r="D651" s="1907" t="s">
        <v>524</v>
      </c>
      <c r="E651" s="1906" t="s">
        <v>629</v>
      </c>
      <c r="F651" s="1948" t="s">
        <v>259</v>
      </c>
      <c r="G651" s="1949">
        <v>666.67</v>
      </c>
      <c r="H651" s="1948">
        <v>666.67</v>
      </c>
      <c r="I651" s="1950">
        <v>249.12</v>
      </c>
      <c r="J651" s="1948">
        <v>666.67</v>
      </c>
      <c r="K651" s="1948">
        <v>0.97689999999999999</v>
      </c>
      <c r="L651" s="1948">
        <v>0</v>
      </c>
      <c r="M651" s="1948">
        <v>67122</v>
      </c>
      <c r="N651" s="1948">
        <f t="shared" si="150"/>
        <v>107620</v>
      </c>
      <c r="O651" s="1948">
        <f t="shared" si="151"/>
        <v>0</v>
      </c>
      <c r="P651" s="1948">
        <v>666.67</v>
      </c>
      <c r="Q651" s="1948">
        <v>249.6</v>
      </c>
      <c r="R651" s="1948">
        <v>666.67</v>
      </c>
      <c r="S651" s="1948">
        <v>0.97719999999999996</v>
      </c>
      <c r="T651" s="1948">
        <v>0</v>
      </c>
      <c r="U651" s="1948">
        <v>75528</v>
      </c>
      <c r="V651" s="1948">
        <f t="shared" si="152"/>
        <v>111421</v>
      </c>
      <c r="W651" s="1948">
        <f t="shared" si="153"/>
        <v>0</v>
      </c>
      <c r="X651" s="1948">
        <v>666.67</v>
      </c>
      <c r="Y651" s="1948">
        <v>270.24</v>
      </c>
      <c r="Z651" s="1948">
        <v>666.67</v>
      </c>
      <c r="AA651" s="1948">
        <v>0.97719999999999996</v>
      </c>
      <c r="AB651" s="1948">
        <v>0</v>
      </c>
      <c r="AC651" s="1948">
        <v>82962</v>
      </c>
      <c r="AD651" s="1948">
        <f t="shared" si="154"/>
        <v>116744</v>
      </c>
      <c r="AE651" s="1948">
        <f t="shared" si="155"/>
        <v>0</v>
      </c>
      <c r="AF651" s="1948">
        <v>666.67</v>
      </c>
      <c r="AG651" s="1948">
        <v>227.51999999999998</v>
      </c>
      <c r="AH651" s="1948">
        <v>666.67</v>
      </c>
      <c r="AI651" s="1948">
        <v>0.97299999999999998</v>
      </c>
      <c r="AJ651" s="1948">
        <v>0</v>
      </c>
      <c r="AK651" s="1948">
        <v>75582</v>
      </c>
      <c r="AL651" s="1948">
        <f t="shared" si="156"/>
        <v>101565</v>
      </c>
      <c r="AM651" s="1948">
        <f t="shared" si="157"/>
        <v>0</v>
      </c>
      <c r="AN651" s="1948">
        <v>666.67</v>
      </c>
      <c r="AO651" s="1948">
        <v>202.56</v>
      </c>
      <c r="AP651" s="1948">
        <v>666.67</v>
      </c>
      <c r="AQ651" s="1948">
        <v>0.97030000000000005</v>
      </c>
      <c r="AR651" s="1948">
        <v>0</v>
      </c>
      <c r="AS651" s="1948">
        <v>66090</v>
      </c>
      <c r="AT651" s="1948">
        <f t="shared" si="158"/>
        <v>90423</v>
      </c>
      <c r="AU651" s="1948">
        <f t="shared" si="159"/>
        <v>0</v>
      </c>
      <c r="AV651" s="1948">
        <v>666.67</v>
      </c>
      <c r="AW651" s="1948">
        <v>180</v>
      </c>
      <c r="AX651" s="1948">
        <v>666.67</v>
      </c>
      <c r="AY651" s="1948">
        <v>0.96970000000000001</v>
      </c>
      <c r="AZ651" s="1948">
        <v>0</v>
      </c>
      <c r="BA651" s="1948">
        <v>61782</v>
      </c>
      <c r="BB651" s="1948">
        <f t="shared" si="160"/>
        <v>77760</v>
      </c>
      <c r="BC651" s="1948">
        <f t="shared" si="161"/>
        <v>0</v>
      </c>
      <c r="BD651" s="1949">
        <v>666.67</v>
      </c>
      <c r="BE651" s="1948">
        <v>170.88</v>
      </c>
      <c r="BF651" s="1949">
        <v>666.67</v>
      </c>
      <c r="BG651" s="1949">
        <v>0.96679999999999999</v>
      </c>
      <c r="BH651" s="1949">
        <v>0</v>
      </c>
      <c r="BI651" s="1948">
        <v>57444</v>
      </c>
      <c r="BJ651" s="1948">
        <f t="shared" si="162"/>
        <v>76281</v>
      </c>
      <c r="BK651" s="1948">
        <f t="shared" si="163"/>
        <v>0</v>
      </c>
    </row>
    <row r="652" spans="1:63" ht="15">
      <c r="A652" s="1946">
        <v>127000000015</v>
      </c>
      <c r="B652" s="1947">
        <f t="shared" si="164"/>
        <v>646</v>
      </c>
      <c r="C652" s="1906" t="s">
        <v>3479</v>
      </c>
      <c r="D652" s="1907" t="s">
        <v>524</v>
      </c>
      <c r="E652" s="1906" t="s">
        <v>730</v>
      </c>
      <c r="F652" s="1948" t="s">
        <v>259</v>
      </c>
      <c r="G652" s="1949">
        <v>667</v>
      </c>
      <c r="H652" s="1948">
        <v>667</v>
      </c>
      <c r="I652" s="1950">
        <v>255.84</v>
      </c>
      <c r="J652" s="1948">
        <v>533.6</v>
      </c>
      <c r="K652" s="1948">
        <v>0.94510000000000005</v>
      </c>
      <c r="L652" s="1948">
        <v>42.13</v>
      </c>
      <c r="M652" s="1948">
        <v>77610</v>
      </c>
      <c r="N652" s="1948">
        <f t="shared" si="150"/>
        <v>110523</v>
      </c>
      <c r="O652" s="1948">
        <f t="shared" si="151"/>
        <v>0</v>
      </c>
      <c r="P652" s="1948">
        <v>667</v>
      </c>
      <c r="Q652" s="1948">
        <v>247.68</v>
      </c>
      <c r="R652" s="1948">
        <v>533.6</v>
      </c>
      <c r="S652" s="1948">
        <v>0.95979999999999999</v>
      </c>
      <c r="T652" s="1948">
        <v>59.2</v>
      </c>
      <c r="U652" s="1948">
        <v>109086</v>
      </c>
      <c r="V652" s="1948">
        <f t="shared" si="152"/>
        <v>110564</v>
      </c>
      <c r="W652" s="1948">
        <f t="shared" si="153"/>
        <v>0</v>
      </c>
      <c r="X652" s="1948">
        <v>667</v>
      </c>
      <c r="Y652" s="1948">
        <v>247.2</v>
      </c>
      <c r="Z652" s="1948">
        <v>533.6</v>
      </c>
      <c r="AA652" s="1948">
        <v>0.97050000000000003</v>
      </c>
      <c r="AB652" s="1948">
        <v>58.05</v>
      </c>
      <c r="AC652" s="1948">
        <v>103326</v>
      </c>
      <c r="AD652" s="1948">
        <f t="shared" si="154"/>
        <v>106790</v>
      </c>
      <c r="AE652" s="1948">
        <f t="shared" si="155"/>
        <v>0</v>
      </c>
      <c r="AF652" s="1948">
        <v>667</v>
      </c>
      <c r="AG652" s="1948">
        <v>249.12</v>
      </c>
      <c r="AH652" s="1948">
        <v>533.6</v>
      </c>
      <c r="AI652" s="1948">
        <v>0.93010000000000004</v>
      </c>
      <c r="AJ652" s="1948">
        <v>60.9</v>
      </c>
      <c r="AK652" s="1948">
        <v>112884</v>
      </c>
      <c r="AL652" s="1948">
        <f t="shared" si="156"/>
        <v>111207</v>
      </c>
      <c r="AM652" s="1948">
        <f t="shared" si="157"/>
        <v>1677</v>
      </c>
      <c r="AN652" s="1948">
        <v>667</v>
      </c>
      <c r="AO652" s="1948">
        <v>248.16000000000003</v>
      </c>
      <c r="AP652" s="1948">
        <v>533.6</v>
      </c>
      <c r="AQ652" s="1948">
        <v>0.89119999999999999</v>
      </c>
      <c r="AR652" s="1948">
        <v>56.36</v>
      </c>
      <c r="AS652" s="1948">
        <v>104052</v>
      </c>
      <c r="AT652" s="1948">
        <f t="shared" si="158"/>
        <v>110779</v>
      </c>
      <c r="AU652" s="1948">
        <f t="shared" si="159"/>
        <v>0</v>
      </c>
      <c r="AV652" s="1948">
        <v>667</v>
      </c>
      <c r="AW652" s="1948">
        <v>252.95999999999998</v>
      </c>
      <c r="AX652" s="1948">
        <v>533.6</v>
      </c>
      <c r="AY652" s="1948">
        <v>0.9224</v>
      </c>
      <c r="AZ652" s="1948">
        <v>59.21</v>
      </c>
      <c r="BA652" s="1948">
        <v>107838</v>
      </c>
      <c r="BB652" s="1948">
        <f t="shared" si="160"/>
        <v>109279</v>
      </c>
      <c r="BC652" s="1948">
        <f t="shared" si="161"/>
        <v>0</v>
      </c>
      <c r="BD652" s="1949">
        <v>667</v>
      </c>
      <c r="BE652" s="1948">
        <v>267.36</v>
      </c>
      <c r="BF652" s="1949">
        <v>533.6</v>
      </c>
      <c r="BG652" s="1949">
        <v>0.93779999999999997</v>
      </c>
      <c r="BH652" s="1949">
        <v>56.87</v>
      </c>
      <c r="BI652" s="1948">
        <v>113124</v>
      </c>
      <c r="BJ652" s="1948">
        <f t="shared" si="162"/>
        <v>119350</v>
      </c>
      <c r="BK652" s="1948">
        <f t="shared" si="163"/>
        <v>0</v>
      </c>
    </row>
    <row r="653" spans="1:63" ht="15">
      <c r="A653" s="1946">
        <v>124000000055</v>
      </c>
      <c r="B653" s="1947">
        <f t="shared" si="164"/>
        <v>647</v>
      </c>
      <c r="C653" s="1906" t="s">
        <v>3478</v>
      </c>
      <c r="D653" s="1907" t="s">
        <v>524</v>
      </c>
      <c r="E653" s="1906" t="s">
        <v>541</v>
      </c>
      <c r="F653" s="1948" t="s">
        <v>259</v>
      </c>
      <c r="G653" s="1949">
        <v>667</v>
      </c>
      <c r="H653" s="1948">
        <v>667</v>
      </c>
      <c r="I653" s="1950">
        <v>0</v>
      </c>
      <c r="J653" s="1948">
        <v>533.6</v>
      </c>
      <c r="K653" s="1948">
        <v>0</v>
      </c>
      <c r="L653" s="1948">
        <v>0</v>
      </c>
      <c r="M653" s="1948">
        <v>0</v>
      </c>
      <c r="N653" s="1948">
        <f t="shared" si="150"/>
        <v>0</v>
      </c>
      <c r="O653" s="1948">
        <f t="shared" si="151"/>
        <v>0</v>
      </c>
      <c r="P653" s="1948">
        <v>667</v>
      </c>
      <c r="Q653" s="1948">
        <v>0</v>
      </c>
      <c r="R653" s="1948">
        <v>533.6</v>
      </c>
      <c r="S653" s="1948">
        <v>0</v>
      </c>
      <c r="T653" s="1948">
        <v>0</v>
      </c>
      <c r="U653" s="1948">
        <v>0</v>
      </c>
      <c r="V653" s="1948">
        <f t="shared" si="152"/>
        <v>0</v>
      </c>
      <c r="W653" s="1948">
        <f t="shared" si="153"/>
        <v>0</v>
      </c>
      <c r="X653" s="1948">
        <v>667</v>
      </c>
      <c r="Y653" s="1948">
        <v>0</v>
      </c>
      <c r="Z653" s="1948">
        <v>533.6</v>
      </c>
      <c r="AA653" s="1948">
        <v>0</v>
      </c>
      <c r="AB653" s="1948">
        <v>0</v>
      </c>
      <c r="AC653" s="1948">
        <v>0</v>
      </c>
      <c r="AD653" s="1948">
        <f t="shared" si="154"/>
        <v>0</v>
      </c>
      <c r="AE653" s="1948">
        <f t="shared" si="155"/>
        <v>0</v>
      </c>
      <c r="AF653" s="1948">
        <v>667</v>
      </c>
      <c r="AG653" s="1948">
        <v>0</v>
      </c>
      <c r="AH653" s="1948">
        <v>533.6</v>
      </c>
      <c r="AI653" s="1948">
        <v>0</v>
      </c>
      <c r="AJ653" s="1948">
        <v>0</v>
      </c>
      <c r="AK653" s="1948">
        <v>0</v>
      </c>
      <c r="AL653" s="1948">
        <f t="shared" si="156"/>
        <v>0</v>
      </c>
      <c r="AM653" s="1948">
        <f t="shared" si="157"/>
        <v>0</v>
      </c>
      <c r="AN653" s="1948">
        <v>667</v>
      </c>
      <c r="AO653" s="1948">
        <v>0</v>
      </c>
      <c r="AP653" s="1948">
        <v>533.6</v>
      </c>
      <c r="AQ653" s="1948">
        <v>0</v>
      </c>
      <c r="AR653" s="1948">
        <v>0</v>
      </c>
      <c r="AS653" s="1948">
        <v>0</v>
      </c>
      <c r="AT653" s="1948">
        <f t="shared" si="158"/>
        <v>0</v>
      </c>
      <c r="AU653" s="1948">
        <f t="shared" si="159"/>
        <v>0</v>
      </c>
      <c r="AV653" s="1948">
        <v>667</v>
      </c>
      <c r="AW653" s="1948">
        <v>0</v>
      </c>
      <c r="AX653" s="1948">
        <v>533.6</v>
      </c>
      <c r="AY653" s="1948">
        <v>0</v>
      </c>
      <c r="AZ653" s="1948">
        <v>0</v>
      </c>
      <c r="BA653" s="1948">
        <v>0</v>
      </c>
      <c r="BB653" s="1948">
        <f t="shared" si="160"/>
        <v>0</v>
      </c>
      <c r="BC653" s="1948">
        <f t="shared" si="161"/>
        <v>0</v>
      </c>
      <c r="BD653" s="1949">
        <v>667</v>
      </c>
      <c r="BE653" s="1948">
        <v>0</v>
      </c>
      <c r="BF653" s="1949">
        <v>533.6</v>
      </c>
      <c r="BG653" s="1949">
        <v>0</v>
      </c>
      <c r="BH653" s="1949">
        <v>0</v>
      </c>
      <c r="BI653" s="1948">
        <v>0</v>
      </c>
      <c r="BJ653" s="1948">
        <f t="shared" si="162"/>
        <v>0</v>
      </c>
      <c r="BK653" s="1948">
        <f t="shared" si="163"/>
        <v>0</v>
      </c>
    </row>
    <row r="654" spans="1:63" ht="15">
      <c r="A654" s="1946">
        <v>611000000041</v>
      </c>
      <c r="B654" s="1947">
        <f t="shared" si="164"/>
        <v>648</v>
      </c>
      <c r="C654" s="1906" t="s">
        <v>3480</v>
      </c>
      <c r="D654" s="1907" t="s">
        <v>524</v>
      </c>
      <c r="E654" s="1906" t="s">
        <v>541</v>
      </c>
      <c r="F654" s="1948" t="s">
        <v>259</v>
      </c>
      <c r="G654" s="1949">
        <v>667</v>
      </c>
      <c r="H654" s="1948">
        <v>667</v>
      </c>
      <c r="I654" s="1950">
        <v>356.64000000000004</v>
      </c>
      <c r="J654" s="1948">
        <v>533.6</v>
      </c>
      <c r="K654" s="1948">
        <v>0.90710000000000002</v>
      </c>
      <c r="L654" s="1948">
        <v>46.49</v>
      </c>
      <c r="M654" s="1948">
        <v>119376</v>
      </c>
      <c r="N654" s="1948">
        <f t="shared" si="150"/>
        <v>154068</v>
      </c>
      <c r="O654" s="1948">
        <f t="shared" si="151"/>
        <v>0</v>
      </c>
      <c r="P654" s="1948">
        <v>667</v>
      </c>
      <c r="Q654" s="1948">
        <v>384.48</v>
      </c>
      <c r="R654" s="1948">
        <v>533.6</v>
      </c>
      <c r="S654" s="1948">
        <v>0.92259999999999998</v>
      </c>
      <c r="T654" s="1948">
        <v>40.76</v>
      </c>
      <c r="U654" s="1948">
        <v>116598</v>
      </c>
      <c r="V654" s="1948">
        <f t="shared" si="152"/>
        <v>171632</v>
      </c>
      <c r="W654" s="1948">
        <f t="shared" si="153"/>
        <v>0</v>
      </c>
      <c r="X654" s="1948">
        <v>667</v>
      </c>
      <c r="Y654" s="1948">
        <v>374.88</v>
      </c>
      <c r="Z654" s="1948">
        <v>533.6</v>
      </c>
      <c r="AA654" s="1948">
        <v>0.91620000000000001</v>
      </c>
      <c r="AB654" s="1948">
        <v>54.14</v>
      </c>
      <c r="AC654" s="1948">
        <v>146142</v>
      </c>
      <c r="AD654" s="1948">
        <f t="shared" si="154"/>
        <v>161948</v>
      </c>
      <c r="AE654" s="1948">
        <f t="shared" si="155"/>
        <v>0</v>
      </c>
      <c r="AF654" s="1948">
        <v>667</v>
      </c>
      <c r="AG654" s="1948">
        <v>342.72</v>
      </c>
      <c r="AH654" s="1948">
        <v>533.6</v>
      </c>
      <c r="AI654" s="1948">
        <v>0.9446</v>
      </c>
      <c r="AJ654" s="1948">
        <v>38.93</v>
      </c>
      <c r="AK654" s="1948">
        <v>99264</v>
      </c>
      <c r="AL654" s="1948">
        <f t="shared" si="156"/>
        <v>152990</v>
      </c>
      <c r="AM654" s="1948">
        <f t="shared" si="157"/>
        <v>0</v>
      </c>
      <c r="AN654" s="1948">
        <v>667</v>
      </c>
      <c r="AO654" s="1948">
        <v>348.96</v>
      </c>
      <c r="AP654" s="1948">
        <v>533.6</v>
      </c>
      <c r="AQ654" s="1948">
        <v>0.96889999999999998</v>
      </c>
      <c r="AR654" s="1948">
        <v>58.66</v>
      </c>
      <c r="AS654" s="1948">
        <v>152298</v>
      </c>
      <c r="AT654" s="1948">
        <f t="shared" si="158"/>
        <v>155776</v>
      </c>
      <c r="AU654" s="1948">
        <f t="shared" si="159"/>
        <v>0</v>
      </c>
      <c r="AV654" s="1948">
        <v>667</v>
      </c>
      <c r="AW654" s="1948">
        <v>302.88</v>
      </c>
      <c r="AX654" s="1948">
        <v>533.6</v>
      </c>
      <c r="AY654" s="1948">
        <v>0.99919999999999998</v>
      </c>
      <c r="AZ654" s="1948">
        <v>45.35</v>
      </c>
      <c r="BA654" s="1948">
        <v>98898</v>
      </c>
      <c r="BB654" s="1948">
        <f t="shared" si="160"/>
        <v>130844</v>
      </c>
      <c r="BC654" s="1948">
        <f t="shared" si="161"/>
        <v>0</v>
      </c>
      <c r="BD654" s="1949">
        <v>667</v>
      </c>
      <c r="BE654" s="1948">
        <v>228.48000000000002</v>
      </c>
      <c r="BF654" s="1949">
        <v>533.6</v>
      </c>
      <c r="BG654" s="1949">
        <v>0.99919999999999998</v>
      </c>
      <c r="BH654" s="1949">
        <v>56.33</v>
      </c>
      <c r="BI654" s="1948">
        <v>95754</v>
      </c>
      <c r="BJ654" s="1948">
        <f t="shared" si="162"/>
        <v>101993</v>
      </c>
      <c r="BK654" s="1948">
        <f t="shared" si="163"/>
        <v>0</v>
      </c>
    </row>
    <row r="655" spans="1:63" ht="15">
      <c r="A655" s="1946">
        <v>614000000010</v>
      </c>
      <c r="B655" s="1947">
        <f t="shared" si="164"/>
        <v>649</v>
      </c>
      <c r="C655" s="1906" t="s">
        <v>3669</v>
      </c>
      <c r="D655" s="1907" t="s">
        <v>613</v>
      </c>
      <c r="E655" s="1906" t="s">
        <v>730</v>
      </c>
      <c r="F655" s="1948" t="s">
        <v>259</v>
      </c>
      <c r="G655" s="1949">
        <v>698</v>
      </c>
      <c r="H655" s="1948">
        <v>0</v>
      </c>
      <c r="I655" s="1950">
        <v>0</v>
      </c>
      <c r="J655" s="1948">
        <v>0</v>
      </c>
      <c r="K655" s="1948">
        <v>0</v>
      </c>
      <c r="L655" s="1948">
        <v>0</v>
      </c>
      <c r="M655" s="1948">
        <v>0</v>
      </c>
      <c r="N655" s="1948">
        <f t="shared" si="150"/>
        <v>0</v>
      </c>
      <c r="O655" s="1948">
        <f t="shared" si="151"/>
        <v>0</v>
      </c>
      <c r="P655" s="1948">
        <v>0</v>
      </c>
      <c r="Q655" s="1948">
        <v>0</v>
      </c>
      <c r="R655" s="1948">
        <v>0</v>
      </c>
      <c r="S655" s="1948">
        <v>0</v>
      </c>
      <c r="T655" s="1948">
        <v>0</v>
      </c>
      <c r="U655" s="1948">
        <v>0</v>
      </c>
      <c r="V655" s="1948">
        <f t="shared" si="152"/>
        <v>0</v>
      </c>
      <c r="W655" s="1948">
        <f t="shared" si="153"/>
        <v>0</v>
      </c>
      <c r="X655" s="1948">
        <v>0</v>
      </c>
      <c r="Y655" s="1948">
        <v>0</v>
      </c>
      <c r="Z655" s="1948">
        <v>0</v>
      </c>
      <c r="AA655" s="1948">
        <v>0</v>
      </c>
      <c r="AB655" s="1948">
        <v>0</v>
      </c>
      <c r="AC655" s="1948">
        <v>0</v>
      </c>
      <c r="AD655" s="1948">
        <f t="shared" si="154"/>
        <v>0</v>
      </c>
      <c r="AE655" s="1948">
        <f t="shared" si="155"/>
        <v>0</v>
      </c>
      <c r="AF655" s="1948">
        <v>0</v>
      </c>
      <c r="AG655" s="1948">
        <v>0</v>
      </c>
      <c r="AH655" s="1948">
        <v>0</v>
      </c>
      <c r="AI655" s="1948">
        <v>0</v>
      </c>
      <c r="AJ655" s="1948">
        <v>0</v>
      </c>
      <c r="AK655" s="1948">
        <v>0</v>
      </c>
      <c r="AL655" s="1948">
        <f t="shared" si="156"/>
        <v>0</v>
      </c>
      <c r="AM655" s="1948">
        <f t="shared" si="157"/>
        <v>0</v>
      </c>
      <c r="AN655" s="1948">
        <v>0</v>
      </c>
      <c r="AO655" s="1948">
        <v>0</v>
      </c>
      <c r="AP655" s="1948">
        <v>0</v>
      </c>
      <c r="AQ655" s="1948">
        <v>0</v>
      </c>
      <c r="AR655" s="1948">
        <v>0</v>
      </c>
      <c r="AS655" s="1948">
        <v>0</v>
      </c>
      <c r="AT655" s="1948">
        <f t="shared" si="158"/>
        <v>0</v>
      </c>
      <c r="AU655" s="1948">
        <f t="shared" si="159"/>
        <v>0</v>
      </c>
      <c r="AV655" s="1948">
        <v>0</v>
      </c>
      <c r="AW655" s="1948">
        <v>0</v>
      </c>
      <c r="AX655" s="1948">
        <v>0</v>
      </c>
      <c r="AY655" s="1948">
        <v>0</v>
      </c>
      <c r="AZ655" s="1948">
        <v>0</v>
      </c>
      <c r="BA655" s="1948">
        <v>0</v>
      </c>
      <c r="BB655" s="1948">
        <f t="shared" si="160"/>
        <v>0</v>
      </c>
      <c r="BC655" s="1948">
        <f t="shared" si="161"/>
        <v>0</v>
      </c>
      <c r="BD655" s="1949">
        <v>698</v>
      </c>
      <c r="BE655" s="1948">
        <v>14.64</v>
      </c>
      <c r="BF655" s="1949">
        <v>558.4</v>
      </c>
      <c r="BG655" s="1949">
        <v>0.68320000000000003</v>
      </c>
      <c r="BH655" s="1949">
        <v>30.51</v>
      </c>
      <c r="BI655" s="1948">
        <v>2251</v>
      </c>
      <c r="BJ655" s="1948">
        <f t="shared" si="162"/>
        <v>6535</v>
      </c>
      <c r="BK655" s="1948">
        <f t="shared" si="163"/>
        <v>0</v>
      </c>
    </row>
    <row r="656" spans="1:63" ht="15">
      <c r="A656" s="1946">
        <v>123000000086</v>
      </c>
      <c r="B656" s="1947">
        <f t="shared" si="164"/>
        <v>650</v>
      </c>
      <c r="C656" s="1906" t="s">
        <v>3482</v>
      </c>
      <c r="D656" s="1907" t="s">
        <v>524</v>
      </c>
      <c r="E656" s="1906" t="s">
        <v>2966</v>
      </c>
      <c r="F656" s="1948" t="s">
        <v>259</v>
      </c>
      <c r="G656" s="1949">
        <v>700</v>
      </c>
      <c r="H656" s="1948">
        <v>700</v>
      </c>
      <c r="I656" s="1950">
        <v>270</v>
      </c>
      <c r="J656" s="1948">
        <v>700</v>
      </c>
      <c r="K656" s="1948">
        <v>0.63949999999999996</v>
      </c>
      <c r="L656" s="1948">
        <v>0</v>
      </c>
      <c r="M656" s="1948">
        <v>51770</v>
      </c>
      <c r="N656" s="1948">
        <f t="shared" si="150"/>
        <v>116640</v>
      </c>
      <c r="O656" s="1948">
        <f t="shared" si="151"/>
        <v>0</v>
      </c>
      <c r="P656" s="1948">
        <v>700</v>
      </c>
      <c r="Q656" s="1948">
        <v>282</v>
      </c>
      <c r="R656" s="1948">
        <v>700</v>
      </c>
      <c r="S656" s="1948">
        <v>0.65790000000000004</v>
      </c>
      <c r="T656" s="1948">
        <v>0</v>
      </c>
      <c r="U656" s="1948">
        <v>83520</v>
      </c>
      <c r="V656" s="1948">
        <f t="shared" si="152"/>
        <v>125885</v>
      </c>
      <c r="W656" s="1948">
        <f t="shared" si="153"/>
        <v>0</v>
      </c>
      <c r="X656" s="1948">
        <v>700</v>
      </c>
      <c r="Y656" s="1948">
        <v>312</v>
      </c>
      <c r="Z656" s="1948">
        <v>700</v>
      </c>
      <c r="AA656" s="1948">
        <v>0.6623</v>
      </c>
      <c r="AB656" s="1948">
        <v>0</v>
      </c>
      <c r="AC656" s="1948">
        <v>73330</v>
      </c>
      <c r="AD656" s="1948">
        <f t="shared" si="154"/>
        <v>134784</v>
      </c>
      <c r="AE656" s="1948">
        <f t="shared" si="155"/>
        <v>0</v>
      </c>
      <c r="AF656" s="1948">
        <v>700</v>
      </c>
      <c r="AG656" s="1948">
        <v>325.2</v>
      </c>
      <c r="AH656" s="1948">
        <v>700</v>
      </c>
      <c r="AI656" s="1948">
        <v>0.54400000000000004</v>
      </c>
      <c r="AJ656" s="1948">
        <v>0</v>
      </c>
      <c r="AK656" s="1948">
        <v>50600</v>
      </c>
      <c r="AL656" s="1948">
        <f t="shared" si="156"/>
        <v>145169</v>
      </c>
      <c r="AM656" s="1948">
        <f t="shared" si="157"/>
        <v>0</v>
      </c>
      <c r="AN656" s="1948">
        <v>700</v>
      </c>
      <c r="AO656" s="1948">
        <v>277.60000000000002</v>
      </c>
      <c r="AP656" s="1948">
        <v>700</v>
      </c>
      <c r="AQ656" s="1948">
        <v>0.55089999999999995</v>
      </c>
      <c r="AR656" s="1948">
        <v>0</v>
      </c>
      <c r="AS656" s="1948">
        <v>46595</v>
      </c>
      <c r="AT656" s="1948">
        <f t="shared" si="158"/>
        <v>123921</v>
      </c>
      <c r="AU656" s="1948">
        <f t="shared" si="159"/>
        <v>0</v>
      </c>
      <c r="AV656" s="1948">
        <v>700</v>
      </c>
      <c r="AW656" s="1948">
        <v>406.4</v>
      </c>
      <c r="AX656" s="1948">
        <v>700</v>
      </c>
      <c r="AY656" s="1948">
        <v>0.59530000000000005</v>
      </c>
      <c r="AZ656" s="1948">
        <v>0</v>
      </c>
      <c r="BA656" s="1948">
        <v>98480</v>
      </c>
      <c r="BB656" s="1948">
        <f t="shared" si="160"/>
        <v>175565</v>
      </c>
      <c r="BC656" s="1948">
        <f t="shared" si="161"/>
        <v>0</v>
      </c>
      <c r="BD656" s="1949">
        <v>700</v>
      </c>
      <c r="BE656" s="1948">
        <v>478</v>
      </c>
      <c r="BF656" s="1949">
        <v>700</v>
      </c>
      <c r="BG656" s="1949">
        <v>0.52949999999999997</v>
      </c>
      <c r="BH656" s="1949">
        <v>0</v>
      </c>
      <c r="BI656" s="1948">
        <v>119545</v>
      </c>
      <c r="BJ656" s="1948">
        <f t="shared" si="162"/>
        <v>213379</v>
      </c>
      <c r="BK656" s="1948">
        <f t="shared" si="163"/>
        <v>0</v>
      </c>
    </row>
    <row r="657" spans="1:63" ht="15">
      <c r="A657" s="1946">
        <v>622000000198</v>
      </c>
      <c r="B657" s="1947">
        <f t="shared" si="164"/>
        <v>651</v>
      </c>
      <c r="C657" s="1906" t="s">
        <v>3175</v>
      </c>
      <c r="D657" s="1907" t="s">
        <v>524</v>
      </c>
      <c r="E657" s="1906" t="s">
        <v>641</v>
      </c>
      <c r="F657" s="1948" t="s">
        <v>259</v>
      </c>
      <c r="G657" s="1949">
        <v>700</v>
      </c>
      <c r="H657" s="1948">
        <v>700</v>
      </c>
      <c r="I657" s="1950">
        <v>516.80000000000007</v>
      </c>
      <c r="J657" s="1948">
        <v>560</v>
      </c>
      <c r="K657" s="1948">
        <v>0.89659999999999995</v>
      </c>
      <c r="L657" s="1948">
        <v>35.44</v>
      </c>
      <c r="M657" s="1948">
        <v>158225</v>
      </c>
      <c r="N657" s="1948">
        <f t="shared" si="150"/>
        <v>223258</v>
      </c>
      <c r="O657" s="1948">
        <f t="shared" si="151"/>
        <v>0</v>
      </c>
      <c r="P657" s="1948">
        <v>700</v>
      </c>
      <c r="Q657" s="1948">
        <v>521.20000000000005</v>
      </c>
      <c r="R657" s="1948">
        <v>560</v>
      </c>
      <c r="S657" s="1948">
        <v>0.89790000000000003</v>
      </c>
      <c r="T657" s="1948">
        <v>41.24</v>
      </c>
      <c r="U657" s="1948">
        <v>123815</v>
      </c>
      <c r="V657" s="1948">
        <f t="shared" si="152"/>
        <v>232664</v>
      </c>
      <c r="W657" s="1948">
        <f t="shared" si="153"/>
        <v>0</v>
      </c>
      <c r="X657" s="1948">
        <v>700</v>
      </c>
      <c r="Y657" s="1948">
        <v>344.8</v>
      </c>
      <c r="Z657" s="1948">
        <v>560</v>
      </c>
      <c r="AA657" s="1948">
        <v>0.96279999999999999</v>
      </c>
      <c r="AB657" s="1948">
        <v>38.15</v>
      </c>
      <c r="AC657" s="1948">
        <v>110505</v>
      </c>
      <c r="AD657" s="1948">
        <f t="shared" si="154"/>
        <v>148954</v>
      </c>
      <c r="AE657" s="1948">
        <f t="shared" si="155"/>
        <v>0</v>
      </c>
      <c r="AF657" s="1948">
        <v>700</v>
      </c>
      <c r="AG657" s="1948">
        <v>347.2</v>
      </c>
      <c r="AH657" s="1948">
        <v>560</v>
      </c>
      <c r="AI657" s="1948">
        <v>0.99199999999999999</v>
      </c>
      <c r="AJ657" s="1948">
        <v>38.630000000000003</v>
      </c>
      <c r="AK657" s="1948">
        <v>109450</v>
      </c>
      <c r="AL657" s="1948">
        <f t="shared" si="156"/>
        <v>154990</v>
      </c>
      <c r="AM657" s="1948">
        <f t="shared" si="157"/>
        <v>0</v>
      </c>
      <c r="AN657" s="1948">
        <v>700</v>
      </c>
      <c r="AO657" s="1948">
        <v>356.4</v>
      </c>
      <c r="AP657" s="1948">
        <v>560</v>
      </c>
      <c r="AQ657" s="1948">
        <v>0.99150000000000005</v>
      </c>
      <c r="AR657" s="1948">
        <v>40.130000000000003</v>
      </c>
      <c r="AS657" s="1948">
        <v>106415</v>
      </c>
      <c r="AT657" s="1948">
        <f t="shared" si="158"/>
        <v>159097</v>
      </c>
      <c r="AU657" s="1948">
        <f t="shared" si="159"/>
        <v>0</v>
      </c>
      <c r="AV657" s="1948">
        <v>700</v>
      </c>
      <c r="AW657" s="1948">
        <v>308.8</v>
      </c>
      <c r="AX657" s="1948">
        <v>560</v>
      </c>
      <c r="AY657" s="1948">
        <v>0.9929</v>
      </c>
      <c r="AZ657" s="1948">
        <v>45.89</v>
      </c>
      <c r="BA657" s="1948">
        <v>102020</v>
      </c>
      <c r="BB657" s="1948">
        <f t="shared" si="160"/>
        <v>133402</v>
      </c>
      <c r="BC657" s="1948">
        <f t="shared" si="161"/>
        <v>0</v>
      </c>
      <c r="BD657" s="1949">
        <v>700</v>
      </c>
      <c r="BE657" s="1948">
        <v>326</v>
      </c>
      <c r="BF657" s="1949">
        <v>560</v>
      </c>
      <c r="BG657" s="1949">
        <v>0.99229999999999996</v>
      </c>
      <c r="BH657" s="1949">
        <v>44.39</v>
      </c>
      <c r="BI657" s="1948">
        <v>107655</v>
      </c>
      <c r="BJ657" s="1948">
        <f t="shared" si="162"/>
        <v>145526</v>
      </c>
      <c r="BK657" s="1948">
        <f t="shared" si="163"/>
        <v>0</v>
      </c>
    </row>
    <row r="658" spans="1:63" ht="15">
      <c r="A658" s="1946">
        <v>622000000201</v>
      </c>
      <c r="B658" s="1947">
        <f t="shared" si="164"/>
        <v>652</v>
      </c>
      <c r="C658" s="1906" t="s">
        <v>3481</v>
      </c>
      <c r="D658" s="1907" t="s">
        <v>524</v>
      </c>
      <c r="E658" s="1906" t="s">
        <v>541</v>
      </c>
      <c r="F658" s="1948" t="s">
        <v>259</v>
      </c>
      <c r="G658" s="1949">
        <v>700</v>
      </c>
      <c r="H658" s="1948">
        <v>700</v>
      </c>
      <c r="I658" s="1950">
        <v>332.4</v>
      </c>
      <c r="J658" s="1948">
        <v>560</v>
      </c>
      <c r="K658" s="1948">
        <v>0.91500000000000004</v>
      </c>
      <c r="L658" s="1948">
        <v>38.64</v>
      </c>
      <c r="M658" s="1948">
        <v>98630</v>
      </c>
      <c r="N658" s="1948">
        <f t="shared" si="150"/>
        <v>143597</v>
      </c>
      <c r="O658" s="1948">
        <f t="shared" si="151"/>
        <v>0</v>
      </c>
      <c r="P658" s="1948">
        <v>700</v>
      </c>
      <c r="Q658" s="1948">
        <v>340.8</v>
      </c>
      <c r="R658" s="1948">
        <v>560</v>
      </c>
      <c r="S658" s="1948">
        <v>0.90459999999999996</v>
      </c>
      <c r="T658" s="1948">
        <v>33.93</v>
      </c>
      <c r="U658" s="1948">
        <v>83255</v>
      </c>
      <c r="V658" s="1948">
        <f t="shared" si="152"/>
        <v>152133</v>
      </c>
      <c r="W658" s="1948">
        <f t="shared" si="153"/>
        <v>0</v>
      </c>
      <c r="X658" s="1948">
        <v>700</v>
      </c>
      <c r="Y658" s="1948">
        <v>412</v>
      </c>
      <c r="Z658" s="1948">
        <v>560</v>
      </c>
      <c r="AA658" s="1948">
        <v>0.89890000000000003</v>
      </c>
      <c r="AB658" s="1948">
        <v>29.48</v>
      </c>
      <c r="AC658" s="1948">
        <v>90360</v>
      </c>
      <c r="AD658" s="1948">
        <f t="shared" si="154"/>
        <v>177984</v>
      </c>
      <c r="AE658" s="1948">
        <f t="shared" si="155"/>
        <v>0</v>
      </c>
      <c r="AF658" s="1948">
        <v>700</v>
      </c>
      <c r="AG658" s="1948">
        <v>412.8</v>
      </c>
      <c r="AH658" s="1948">
        <v>560</v>
      </c>
      <c r="AI658" s="1948">
        <v>0.91620000000000001</v>
      </c>
      <c r="AJ658" s="1948">
        <v>32.07</v>
      </c>
      <c r="AK658" s="1948">
        <v>98505</v>
      </c>
      <c r="AL658" s="1948">
        <f t="shared" si="156"/>
        <v>184274</v>
      </c>
      <c r="AM658" s="1948">
        <f t="shared" si="157"/>
        <v>0</v>
      </c>
      <c r="AN658" s="1948">
        <v>700</v>
      </c>
      <c r="AO658" s="1948">
        <v>482.4</v>
      </c>
      <c r="AP658" s="1948">
        <v>560</v>
      </c>
      <c r="AQ658" s="1948">
        <v>0.92320000000000002</v>
      </c>
      <c r="AR658" s="1948">
        <v>28.64</v>
      </c>
      <c r="AS658" s="1948">
        <v>102780</v>
      </c>
      <c r="AT658" s="1948">
        <f t="shared" si="158"/>
        <v>215343</v>
      </c>
      <c r="AU658" s="1948">
        <f t="shared" si="159"/>
        <v>0</v>
      </c>
      <c r="AV658" s="1948">
        <v>700</v>
      </c>
      <c r="AW658" s="1948">
        <v>475.6</v>
      </c>
      <c r="AX658" s="1948">
        <v>560</v>
      </c>
      <c r="AY658" s="1948">
        <v>0.87729999999999997</v>
      </c>
      <c r="AZ658" s="1948">
        <v>31.51</v>
      </c>
      <c r="BA658" s="1948">
        <v>107900</v>
      </c>
      <c r="BB658" s="1948">
        <f t="shared" si="160"/>
        <v>205459</v>
      </c>
      <c r="BC658" s="1948">
        <f t="shared" si="161"/>
        <v>0</v>
      </c>
      <c r="BD658" s="1949">
        <v>700</v>
      </c>
      <c r="BE658" s="1948">
        <v>446.79999999999995</v>
      </c>
      <c r="BF658" s="1949">
        <v>560</v>
      </c>
      <c r="BG658" s="1949">
        <v>0.91679999999999995</v>
      </c>
      <c r="BH658" s="1949">
        <v>31.29</v>
      </c>
      <c r="BI658" s="1948">
        <v>104025</v>
      </c>
      <c r="BJ658" s="1948">
        <f t="shared" si="162"/>
        <v>199452</v>
      </c>
      <c r="BK658" s="1948">
        <f t="shared" si="163"/>
        <v>0</v>
      </c>
    </row>
    <row r="659" spans="1:63" ht="15">
      <c r="A659" s="1946">
        <v>121000000022</v>
      </c>
      <c r="B659" s="1947">
        <f t="shared" si="164"/>
        <v>653</v>
      </c>
      <c r="C659" s="1906" t="s">
        <v>3483</v>
      </c>
      <c r="D659" s="1907" t="s">
        <v>524</v>
      </c>
      <c r="E659" s="1906" t="s">
        <v>541</v>
      </c>
      <c r="F659" s="1948" t="s">
        <v>259</v>
      </c>
      <c r="G659" s="1949">
        <v>722</v>
      </c>
      <c r="H659" s="1948">
        <v>722</v>
      </c>
      <c r="I659" s="1950">
        <v>664</v>
      </c>
      <c r="J659" s="1948">
        <v>664</v>
      </c>
      <c r="K659" s="1948">
        <v>0.98609999999999998</v>
      </c>
      <c r="L659" s="1948">
        <v>25.37</v>
      </c>
      <c r="M659" s="1948">
        <v>121295</v>
      </c>
      <c r="N659" s="1948">
        <f t="shared" si="150"/>
        <v>286848</v>
      </c>
      <c r="O659" s="1948">
        <f t="shared" si="151"/>
        <v>0</v>
      </c>
      <c r="P659" s="1948">
        <v>722</v>
      </c>
      <c r="Q659" s="1948">
        <v>643.59999999999991</v>
      </c>
      <c r="R659" s="1948">
        <v>643.6</v>
      </c>
      <c r="S659" s="1948">
        <v>0.99219999999999997</v>
      </c>
      <c r="T659" s="1948">
        <v>23.5</v>
      </c>
      <c r="U659" s="1948">
        <v>112525</v>
      </c>
      <c r="V659" s="1948">
        <f t="shared" si="152"/>
        <v>287303</v>
      </c>
      <c r="W659" s="1948">
        <f t="shared" si="153"/>
        <v>0</v>
      </c>
      <c r="X659" s="1948">
        <v>722</v>
      </c>
      <c r="Y659" s="1948">
        <v>658.80000000000007</v>
      </c>
      <c r="Z659" s="1948">
        <v>658.8</v>
      </c>
      <c r="AA659" s="1948">
        <v>0.98540000000000005</v>
      </c>
      <c r="AB659" s="1948">
        <v>19.87</v>
      </c>
      <c r="AC659" s="1948">
        <v>94245</v>
      </c>
      <c r="AD659" s="1948">
        <f t="shared" si="154"/>
        <v>284602</v>
      </c>
      <c r="AE659" s="1948">
        <f t="shared" si="155"/>
        <v>0</v>
      </c>
      <c r="AF659" s="1948">
        <v>722</v>
      </c>
      <c r="AG659" s="1948">
        <v>662.8</v>
      </c>
      <c r="AH659" s="1948">
        <v>662.8</v>
      </c>
      <c r="AI659" s="1948">
        <v>0.9718</v>
      </c>
      <c r="AJ659" s="1948">
        <v>25.26</v>
      </c>
      <c r="AK659" s="1948">
        <v>124560</v>
      </c>
      <c r="AL659" s="1948">
        <f t="shared" si="156"/>
        <v>295874</v>
      </c>
      <c r="AM659" s="1948">
        <f t="shared" si="157"/>
        <v>0</v>
      </c>
      <c r="AN659" s="1948">
        <v>722</v>
      </c>
      <c r="AO659" s="1948">
        <v>666</v>
      </c>
      <c r="AP659" s="1948">
        <v>666</v>
      </c>
      <c r="AQ659" s="1948">
        <v>0.95850000000000002</v>
      </c>
      <c r="AR659" s="1948">
        <v>14.57</v>
      </c>
      <c r="AS659" s="1948">
        <v>72210</v>
      </c>
      <c r="AT659" s="1948">
        <f t="shared" si="158"/>
        <v>297302</v>
      </c>
      <c r="AU659" s="1948">
        <f t="shared" si="159"/>
        <v>0</v>
      </c>
      <c r="AV659" s="1948">
        <v>722</v>
      </c>
      <c r="AW659" s="1948">
        <v>665.2</v>
      </c>
      <c r="AX659" s="1948">
        <v>665.2</v>
      </c>
      <c r="AY659" s="1948">
        <v>0.91900000000000004</v>
      </c>
      <c r="AZ659" s="1948">
        <v>15.22</v>
      </c>
      <c r="BA659" s="1948">
        <v>72895</v>
      </c>
      <c r="BB659" s="1948">
        <f t="shared" si="160"/>
        <v>287366</v>
      </c>
      <c r="BC659" s="1948">
        <f t="shared" si="161"/>
        <v>0</v>
      </c>
      <c r="BD659" s="1949">
        <v>722</v>
      </c>
      <c r="BE659" s="1948">
        <v>696</v>
      </c>
      <c r="BF659" s="1949">
        <v>696</v>
      </c>
      <c r="BG659" s="1949">
        <v>0.90629999999999999</v>
      </c>
      <c r="BH659" s="1949">
        <v>15.25</v>
      </c>
      <c r="BI659" s="1948">
        <v>78980</v>
      </c>
      <c r="BJ659" s="1948">
        <f t="shared" si="162"/>
        <v>310694</v>
      </c>
      <c r="BK659" s="1948">
        <f t="shared" si="163"/>
        <v>0</v>
      </c>
    </row>
    <row r="660" spans="1:63" ht="15">
      <c r="A660" s="1946">
        <v>122000000091</v>
      </c>
      <c r="B660" s="1947">
        <f t="shared" si="164"/>
        <v>654</v>
      </c>
      <c r="C660" s="1906" t="s">
        <v>3484</v>
      </c>
      <c r="D660" s="1907" t="s">
        <v>524</v>
      </c>
      <c r="E660" s="1906" t="s">
        <v>541</v>
      </c>
      <c r="F660" s="1948" t="s">
        <v>259</v>
      </c>
      <c r="G660" s="1949">
        <v>723</v>
      </c>
      <c r="H660" s="1948">
        <v>723</v>
      </c>
      <c r="I660" s="1950">
        <v>333.6</v>
      </c>
      <c r="J660" s="1948">
        <v>578.4</v>
      </c>
      <c r="K660" s="1948">
        <v>0.95079999999999998</v>
      </c>
      <c r="L660" s="1948">
        <v>27.67</v>
      </c>
      <c r="M660" s="1948">
        <v>66470</v>
      </c>
      <c r="N660" s="1948">
        <f t="shared" si="150"/>
        <v>144115</v>
      </c>
      <c r="O660" s="1948">
        <f t="shared" si="151"/>
        <v>0</v>
      </c>
      <c r="P660" s="1948">
        <v>723</v>
      </c>
      <c r="Q660" s="1948">
        <v>347.2</v>
      </c>
      <c r="R660" s="1948">
        <v>578.4</v>
      </c>
      <c r="S660" s="1948">
        <v>0.93469999999999998</v>
      </c>
      <c r="T660" s="1948">
        <v>58.11</v>
      </c>
      <c r="U660" s="1948">
        <v>150100</v>
      </c>
      <c r="V660" s="1948">
        <f t="shared" si="152"/>
        <v>154990</v>
      </c>
      <c r="W660" s="1948">
        <f t="shared" si="153"/>
        <v>0</v>
      </c>
      <c r="X660" s="1948">
        <v>723</v>
      </c>
      <c r="Y660" s="1948">
        <v>339.2</v>
      </c>
      <c r="Z660" s="1948">
        <v>578.4</v>
      </c>
      <c r="AA660" s="1948">
        <v>0.92969999999999997</v>
      </c>
      <c r="AB660" s="1948">
        <v>58.88</v>
      </c>
      <c r="AC660" s="1948">
        <v>143790</v>
      </c>
      <c r="AD660" s="1948">
        <f t="shared" si="154"/>
        <v>146534</v>
      </c>
      <c r="AE660" s="1948">
        <f t="shared" si="155"/>
        <v>0</v>
      </c>
      <c r="AF660" s="1948">
        <v>723</v>
      </c>
      <c r="AG660" s="1948">
        <v>344</v>
      </c>
      <c r="AH660" s="1948">
        <v>578.4</v>
      </c>
      <c r="AI660" s="1948">
        <v>0.92879999999999996</v>
      </c>
      <c r="AJ660" s="1948">
        <v>59.82</v>
      </c>
      <c r="AK660" s="1948">
        <v>153090</v>
      </c>
      <c r="AL660" s="1948">
        <f t="shared" si="156"/>
        <v>153562</v>
      </c>
      <c r="AM660" s="1948">
        <f t="shared" si="157"/>
        <v>0</v>
      </c>
      <c r="AN660" s="1948">
        <v>723</v>
      </c>
      <c r="AO660" s="1948">
        <v>340.8</v>
      </c>
      <c r="AP660" s="1948">
        <v>578.4</v>
      </c>
      <c r="AQ660" s="1948">
        <v>0.92800000000000005</v>
      </c>
      <c r="AR660" s="1948">
        <v>49.91</v>
      </c>
      <c r="AS660" s="1948">
        <v>126560</v>
      </c>
      <c r="AT660" s="1948">
        <f t="shared" si="158"/>
        <v>152133</v>
      </c>
      <c r="AU660" s="1948">
        <f t="shared" si="159"/>
        <v>0</v>
      </c>
      <c r="AV660" s="1948">
        <v>723</v>
      </c>
      <c r="AW660" s="1948">
        <v>354.4</v>
      </c>
      <c r="AX660" s="1948">
        <v>578.4</v>
      </c>
      <c r="AY660" s="1948">
        <v>0.92830000000000001</v>
      </c>
      <c r="AZ660" s="1948">
        <v>46.3</v>
      </c>
      <c r="BA660" s="1948">
        <v>118140</v>
      </c>
      <c r="BB660" s="1948">
        <f t="shared" si="160"/>
        <v>153101</v>
      </c>
      <c r="BC660" s="1948">
        <f t="shared" si="161"/>
        <v>0</v>
      </c>
      <c r="BD660" s="1949">
        <v>723</v>
      </c>
      <c r="BE660" s="1948">
        <v>337.6</v>
      </c>
      <c r="BF660" s="1949">
        <v>578.4</v>
      </c>
      <c r="BG660" s="1949">
        <v>0.93059999999999998</v>
      </c>
      <c r="BH660" s="1949">
        <v>49.81</v>
      </c>
      <c r="BI660" s="1948">
        <v>125100</v>
      </c>
      <c r="BJ660" s="1948">
        <f t="shared" si="162"/>
        <v>150705</v>
      </c>
      <c r="BK660" s="1948">
        <f t="shared" si="163"/>
        <v>0</v>
      </c>
    </row>
    <row r="661" spans="1:63" ht="15">
      <c r="A661" s="1946">
        <v>124000000007</v>
      </c>
      <c r="B661" s="1947">
        <f t="shared" si="164"/>
        <v>655</v>
      </c>
      <c r="C661" s="1906" t="s">
        <v>3485</v>
      </c>
      <c r="D661" s="1907" t="s">
        <v>524</v>
      </c>
      <c r="E661" s="1906" t="s">
        <v>636</v>
      </c>
      <c r="F661" s="1948" t="s">
        <v>259</v>
      </c>
      <c r="G661" s="1949">
        <v>723</v>
      </c>
      <c r="H661" s="1948">
        <v>723</v>
      </c>
      <c r="I661" s="1950">
        <v>351.36</v>
      </c>
      <c r="J661" s="1948">
        <v>578.4</v>
      </c>
      <c r="K661" s="1948">
        <v>0.93620000000000003</v>
      </c>
      <c r="L661" s="1948">
        <v>57.14</v>
      </c>
      <c r="M661" s="1948">
        <v>144558</v>
      </c>
      <c r="N661" s="1948">
        <f t="shared" si="150"/>
        <v>151788</v>
      </c>
      <c r="O661" s="1948">
        <f t="shared" si="151"/>
        <v>0</v>
      </c>
      <c r="P661" s="1948">
        <v>723</v>
      </c>
      <c r="Q661" s="1948">
        <v>335.52000000000004</v>
      </c>
      <c r="R661" s="1948">
        <v>578.4</v>
      </c>
      <c r="S661" s="1948">
        <v>0.93810000000000004</v>
      </c>
      <c r="T661" s="1948">
        <v>63.47</v>
      </c>
      <c r="U661" s="1948">
        <v>158445</v>
      </c>
      <c r="V661" s="1948">
        <f t="shared" si="152"/>
        <v>149776</v>
      </c>
      <c r="W661" s="1948">
        <f t="shared" si="153"/>
        <v>8669</v>
      </c>
      <c r="X661" s="1948">
        <v>723</v>
      </c>
      <c r="Y661" s="1948">
        <v>347.04</v>
      </c>
      <c r="Z661" s="1948">
        <v>578.4</v>
      </c>
      <c r="AA661" s="1948">
        <v>0.94520000000000004</v>
      </c>
      <c r="AB661" s="1948">
        <v>62.85</v>
      </c>
      <c r="AC661" s="1948">
        <v>157041</v>
      </c>
      <c r="AD661" s="1948">
        <f t="shared" si="154"/>
        <v>149921</v>
      </c>
      <c r="AE661" s="1948">
        <f t="shared" si="155"/>
        <v>7120</v>
      </c>
      <c r="AF661" s="1948">
        <v>723</v>
      </c>
      <c r="AG661" s="1948">
        <v>345.6</v>
      </c>
      <c r="AH661" s="1948">
        <v>578.4</v>
      </c>
      <c r="AI661" s="1948">
        <v>0.95409999999999995</v>
      </c>
      <c r="AJ661" s="1948">
        <v>60.35</v>
      </c>
      <c r="AK661" s="1948">
        <v>155187</v>
      </c>
      <c r="AL661" s="1948">
        <f t="shared" si="156"/>
        <v>154276</v>
      </c>
      <c r="AM661" s="1948">
        <f t="shared" si="157"/>
        <v>911</v>
      </c>
      <c r="AN661" s="1948">
        <v>723</v>
      </c>
      <c r="AO661" s="1948">
        <v>345.6</v>
      </c>
      <c r="AP661" s="1948">
        <v>578.4</v>
      </c>
      <c r="AQ661" s="1948">
        <v>0.95089999999999997</v>
      </c>
      <c r="AR661" s="1948">
        <v>60.83</v>
      </c>
      <c r="AS661" s="1948">
        <v>156420</v>
      </c>
      <c r="AT661" s="1948">
        <f t="shared" si="158"/>
        <v>154276</v>
      </c>
      <c r="AU661" s="1948">
        <f t="shared" si="159"/>
        <v>2144</v>
      </c>
      <c r="AV661" s="1948">
        <v>723</v>
      </c>
      <c r="AW661" s="1948">
        <v>366.48</v>
      </c>
      <c r="AX661" s="1948">
        <v>578.4</v>
      </c>
      <c r="AY661" s="1948">
        <v>0.94810000000000005</v>
      </c>
      <c r="AZ661" s="1948">
        <v>57.38</v>
      </c>
      <c r="BA661" s="1948">
        <v>151416</v>
      </c>
      <c r="BB661" s="1948">
        <f t="shared" si="160"/>
        <v>158319</v>
      </c>
      <c r="BC661" s="1948">
        <f t="shared" si="161"/>
        <v>0</v>
      </c>
      <c r="BD661" s="1949">
        <v>723</v>
      </c>
      <c r="BE661" s="1948">
        <v>347.76</v>
      </c>
      <c r="BF661" s="1949">
        <v>578.4</v>
      </c>
      <c r="BG661" s="1949">
        <v>0.93069999999999997</v>
      </c>
      <c r="BH661" s="1949">
        <v>54.18</v>
      </c>
      <c r="BI661" s="1948">
        <v>140175</v>
      </c>
      <c r="BJ661" s="1948">
        <f t="shared" si="162"/>
        <v>155240</v>
      </c>
      <c r="BK661" s="1948">
        <f t="shared" si="163"/>
        <v>0</v>
      </c>
    </row>
    <row r="662" spans="1:63" ht="15">
      <c r="A662" s="1946">
        <v>125000000052</v>
      </c>
      <c r="B662" s="1947">
        <f t="shared" si="164"/>
        <v>656</v>
      </c>
      <c r="C662" s="1906" t="s">
        <v>3602</v>
      </c>
      <c r="D662" s="1907" t="s">
        <v>524</v>
      </c>
      <c r="E662" s="1906" t="s">
        <v>730</v>
      </c>
      <c r="F662" s="1948" t="s">
        <v>259</v>
      </c>
      <c r="G662" s="1949">
        <v>730</v>
      </c>
      <c r="H662" s="1948">
        <v>0</v>
      </c>
      <c r="I662" s="1950">
        <v>0</v>
      </c>
      <c r="J662" s="1948">
        <v>0</v>
      </c>
      <c r="K662" s="1948">
        <v>0</v>
      </c>
      <c r="L662" s="1948">
        <v>0</v>
      </c>
      <c r="M662" s="1948">
        <v>0</v>
      </c>
      <c r="N662" s="1948">
        <f t="shared" si="150"/>
        <v>0</v>
      </c>
      <c r="O662" s="1948">
        <f t="shared" si="151"/>
        <v>0</v>
      </c>
      <c r="P662" s="1948">
        <v>0</v>
      </c>
      <c r="Q662" s="1948">
        <v>0</v>
      </c>
      <c r="R662" s="1948">
        <v>0</v>
      </c>
      <c r="S662" s="1948">
        <v>0</v>
      </c>
      <c r="T662" s="1948">
        <v>0</v>
      </c>
      <c r="U662" s="1948">
        <v>0</v>
      </c>
      <c r="V662" s="1948">
        <f t="shared" si="152"/>
        <v>0</v>
      </c>
      <c r="W662" s="1948">
        <f t="shared" si="153"/>
        <v>0</v>
      </c>
      <c r="X662" s="1948">
        <v>0</v>
      </c>
      <c r="Y662" s="1948">
        <v>0</v>
      </c>
      <c r="Z662" s="1948">
        <v>0</v>
      </c>
      <c r="AA662" s="1948">
        <v>0</v>
      </c>
      <c r="AB662" s="1948">
        <v>0</v>
      </c>
      <c r="AC662" s="1948">
        <v>0</v>
      </c>
      <c r="AD662" s="1948">
        <f t="shared" si="154"/>
        <v>0</v>
      </c>
      <c r="AE662" s="1948">
        <f t="shared" si="155"/>
        <v>0</v>
      </c>
      <c r="AF662" s="1948">
        <v>0</v>
      </c>
      <c r="AG662" s="1948">
        <v>0</v>
      </c>
      <c r="AH662" s="1948">
        <v>0</v>
      </c>
      <c r="AI662" s="1948">
        <v>0</v>
      </c>
      <c r="AJ662" s="1948">
        <v>0</v>
      </c>
      <c r="AK662" s="1948">
        <v>0</v>
      </c>
      <c r="AL662" s="1948">
        <f t="shared" si="156"/>
        <v>0</v>
      </c>
      <c r="AM662" s="1948">
        <f t="shared" si="157"/>
        <v>0</v>
      </c>
      <c r="AN662" s="1948">
        <v>730</v>
      </c>
      <c r="AO662" s="1948">
        <v>116.10000000000001</v>
      </c>
      <c r="AP662" s="1948">
        <v>584</v>
      </c>
      <c r="AQ662" s="1948">
        <v>1</v>
      </c>
      <c r="AR662" s="1948">
        <v>4.84</v>
      </c>
      <c r="AS662" s="1948">
        <v>3236</v>
      </c>
      <c r="AT662" s="1948">
        <f t="shared" si="158"/>
        <v>51827</v>
      </c>
      <c r="AU662" s="1948">
        <f t="shared" si="159"/>
        <v>0</v>
      </c>
      <c r="AV662" s="1948">
        <v>730</v>
      </c>
      <c r="AW662" s="1948">
        <v>225.36</v>
      </c>
      <c r="AX662" s="1948">
        <v>584</v>
      </c>
      <c r="AY662" s="1948">
        <v>1</v>
      </c>
      <c r="AZ662" s="1948">
        <v>3.64</v>
      </c>
      <c r="BA662" s="1948">
        <v>4923</v>
      </c>
      <c r="BB662" s="1948">
        <f t="shared" si="160"/>
        <v>97356</v>
      </c>
      <c r="BC662" s="1948">
        <f t="shared" si="161"/>
        <v>0</v>
      </c>
      <c r="BD662" s="1949">
        <v>730</v>
      </c>
      <c r="BE662" s="1948">
        <v>282.96000000000004</v>
      </c>
      <c r="BF662" s="1949">
        <v>584</v>
      </c>
      <c r="BG662" s="1949">
        <v>1</v>
      </c>
      <c r="BH662" s="1949">
        <v>7.52</v>
      </c>
      <c r="BI662" s="1948">
        <v>18382</v>
      </c>
      <c r="BJ662" s="1948">
        <f t="shared" si="162"/>
        <v>126313</v>
      </c>
      <c r="BK662" s="1948">
        <f t="shared" si="163"/>
        <v>0</v>
      </c>
    </row>
    <row r="663" spans="1:63" ht="15">
      <c r="A663" s="1946">
        <v>621000000044</v>
      </c>
      <c r="B663" s="1947">
        <f t="shared" si="164"/>
        <v>657</v>
      </c>
      <c r="C663" s="1906" t="s">
        <v>3486</v>
      </c>
      <c r="D663" s="1907" t="s">
        <v>524</v>
      </c>
      <c r="E663" s="1906" t="s">
        <v>737</v>
      </c>
      <c r="F663" s="1948" t="s">
        <v>259</v>
      </c>
      <c r="G663" s="1949">
        <v>745</v>
      </c>
      <c r="H663" s="1948">
        <v>745</v>
      </c>
      <c r="I663" s="1950">
        <v>333</v>
      </c>
      <c r="J663" s="1948">
        <v>596</v>
      </c>
      <c r="K663" s="1948">
        <v>0.99970000000000003</v>
      </c>
      <c r="L663" s="1948">
        <v>48.41</v>
      </c>
      <c r="M663" s="1948">
        <v>116070</v>
      </c>
      <c r="N663" s="1948">
        <f t="shared" si="150"/>
        <v>143856</v>
      </c>
      <c r="O663" s="1948">
        <f t="shared" si="151"/>
        <v>0</v>
      </c>
      <c r="P663" s="1948">
        <v>745</v>
      </c>
      <c r="Q663" s="1948">
        <v>351</v>
      </c>
      <c r="R663" s="1948">
        <v>596</v>
      </c>
      <c r="S663" s="1948">
        <v>0.99929999999999997</v>
      </c>
      <c r="T663" s="1948">
        <v>49.83</v>
      </c>
      <c r="U663" s="1948">
        <v>130140</v>
      </c>
      <c r="V663" s="1948">
        <f t="shared" si="152"/>
        <v>156686</v>
      </c>
      <c r="W663" s="1948">
        <f t="shared" si="153"/>
        <v>0</v>
      </c>
      <c r="X663" s="1948">
        <v>745</v>
      </c>
      <c r="Y663" s="1948">
        <v>425.52</v>
      </c>
      <c r="Z663" s="1948">
        <v>596</v>
      </c>
      <c r="AA663" s="1948">
        <v>0.98919999999999997</v>
      </c>
      <c r="AB663" s="1948">
        <v>46.49</v>
      </c>
      <c r="AC663" s="1948">
        <v>142437</v>
      </c>
      <c r="AD663" s="1948">
        <f t="shared" si="154"/>
        <v>183825</v>
      </c>
      <c r="AE663" s="1948">
        <f t="shared" si="155"/>
        <v>0</v>
      </c>
      <c r="AF663" s="1948">
        <v>745</v>
      </c>
      <c r="AG663" s="1948">
        <v>414</v>
      </c>
      <c r="AH663" s="1948">
        <v>596</v>
      </c>
      <c r="AI663" s="1948">
        <v>0.98299999999999998</v>
      </c>
      <c r="AJ663" s="1948">
        <v>59.74</v>
      </c>
      <c r="AK663" s="1948">
        <v>184014</v>
      </c>
      <c r="AL663" s="1948">
        <f t="shared" si="156"/>
        <v>184810</v>
      </c>
      <c r="AM663" s="1948">
        <f t="shared" si="157"/>
        <v>0</v>
      </c>
      <c r="AN663" s="1948">
        <v>745</v>
      </c>
      <c r="AO663" s="1948">
        <v>362.15999999999997</v>
      </c>
      <c r="AP663" s="1948">
        <v>596</v>
      </c>
      <c r="AQ663" s="1948">
        <v>0.98280000000000001</v>
      </c>
      <c r="AR663" s="1948">
        <v>65.66</v>
      </c>
      <c r="AS663" s="1948">
        <v>176922</v>
      </c>
      <c r="AT663" s="1948">
        <f t="shared" si="158"/>
        <v>161668</v>
      </c>
      <c r="AU663" s="1948">
        <f t="shared" si="159"/>
        <v>15254</v>
      </c>
      <c r="AV663" s="1948">
        <v>745</v>
      </c>
      <c r="AW663" s="1948">
        <v>388.44</v>
      </c>
      <c r="AX663" s="1948">
        <v>596</v>
      </c>
      <c r="AY663" s="1948">
        <v>0.98350000000000004</v>
      </c>
      <c r="AZ663" s="1948">
        <v>62.25</v>
      </c>
      <c r="BA663" s="1948">
        <v>174087</v>
      </c>
      <c r="BB663" s="1948">
        <f t="shared" si="160"/>
        <v>167806</v>
      </c>
      <c r="BC663" s="1948">
        <f t="shared" si="161"/>
        <v>6281</v>
      </c>
      <c r="BD663" s="1949">
        <v>745</v>
      </c>
      <c r="BE663" s="1948">
        <v>394.56</v>
      </c>
      <c r="BF663" s="1949">
        <v>596</v>
      </c>
      <c r="BG663" s="1949">
        <v>0.98360000000000003</v>
      </c>
      <c r="BH663" s="1949">
        <v>58.78</v>
      </c>
      <c r="BI663" s="1948">
        <v>172539</v>
      </c>
      <c r="BJ663" s="1948">
        <f t="shared" si="162"/>
        <v>176132</v>
      </c>
      <c r="BK663" s="1948">
        <f t="shared" si="163"/>
        <v>0</v>
      </c>
    </row>
    <row r="664" spans="1:63" ht="15">
      <c r="A664" s="1946">
        <v>123000000065</v>
      </c>
      <c r="B664" s="1947">
        <f t="shared" si="164"/>
        <v>658</v>
      </c>
      <c r="C664" s="1906" t="s">
        <v>3487</v>
      </c>
      <c r="D664" s="1907" t="s">
        <v>524</v>
      </c>
      <c r="E664" s="1906" t="s">
        <v>541</v>
      </c>
      <c r="F664" s="1948" t="s">
        <v>259</v>
      </c>
      <c r="G664" s="1949">
        <v>750</v>
      </c>
      <c r="H664" s="1948">
        <v>750</v>
      </c>
      <c r="I664" s="1950">
        <v>702</v>
      </c>
      <c r="J664" s="1948">
        <v>702</v>
      </c>
      <c r="K664" s="1948">
        <v>0.99490000000000001</v>
      </c>
      <c r="L664" s="1948">
        <v>57.3</v>
      </c>
      <c r="M664" s="1948">
        <v>289620</v>
      </c>
      <c r="N664" s="1948">
        <f t="shared" si="150"/>
        <v>303264</v>
      </c>
      <c r="O664" s="1948">
        <f t="shared" si="151"/>
        <v>0</v>
      </c>
      <c r="P664" s="1948">
        <v>750</v>
      </c>
      <c r="Q664" s="1948">
        <v>734.4</v>
      </c>
      <c r="R664" s="1948">
        <v>734.4</v>
      </c>
      <c r="S664" s="1948">
        <v>0.9899</v>
      </c>
      <c r="T664" s="1948">
        <v>64.069999999999993</v>
      </c>
      <c r="U664" s="1948">
        <v>350055</v>
      </c>
      <c r="V664" s="1948">
        <f t="shared" si="152"/>
        <v>327836</v>
      </c>
      <c r="W664" s="1948">
        <f t="shared" si="153"/>
        <v>22219</v>
      </c>
      <c r="X664" s="1948">
        <v>750</v>
      </c>
      <c r="Y664" s="1948">
        <v>690</v>
      </c>
      <c r="Z664" s="1948">
        <v>690</v>
      </c>
      <c r="AA664" s="1948">
        <v>0.99099999999999999</v>
      </c>
      <c r="AB664" s="1948">
        <v>54.82</v>
      </c>
      <c r="AC664" s="1948">
        <v>272340</v>
      </c>
      <c r="AD664" s="1948">
        <f t="shared" si="154"/>
        <v>298080</v>
      </c>
      <c r="AE664" s="1948">
        <f t="shared" si="155"/>
        <v>0</v>
      </c>
      <c r="AF664" s="1948">
        <v>750</v>
      </c>
      <c r="AG664" s="1948">
        <v>710.4</v>
      </c>
      <c r="AH664" s="1948">
        <v>710.4</v>
      </c>
      <c r="AI664" s="1948">
        <v>0.99660000000000004</v>
      </c>
      <c r="AJ664" s="1948">
        <v>52.68</v>
      </c>
      <c r="AK664" s="1948">
        <v>278415</v>
      </c>
      <c r="AL664" s="1948">
        <f t="shared" si="156"/>
        <v>317123</v>
      </c>
      <c r="AM664" s="1948">
        <f t="shared" si="157"/>
        <v>0</v>
      </c>
      <c r="AN664" s="1948">
        <v>750</v>
      </c>
      <c r="AO664" s="1948">
        <v>649.20000000000005</v>
      </c>
      <c r="AP664" s="1948">
        <v>649.20000000000005</v>
      </c>
      <c r="AQ664" s="1948">
        <v>0.99880000000000002</v>
      </c>
      <c r="AR664" s="1948">
        <v>58.58</v>
      </c>
      <c r="AS664" s="1948">
        <v>282930</v>
      </c>
      <c r="AT664" s="1948">
        <f t="shared" si="158"/>
        <v>289803</v>
      </c>
      <c r="AU664" s="1948">
        <f t="shared" si="159"/>
        <v>0</v>
      </c>
      <c r="AV664" s="1948">
        <v>750</v>
      </c>
      <c r="AW664" s="1948">
        <v>651.6</v>
      </c>
      <c r="AX664" s="1948">
        <v>651.6</v>
      </c>
      <c r="AY664" s="1948">
        <v>0.99850000000000005</v>
      </c>
      <c r="AZ664" s="1948">
        <v>53.46</v>
      </c>
      <c r="BA664" s="1948">
        <v>250800</v>
      </c>
      <c r="BB664" s="1948">
        <f t="shared" si="160"/>
        <v>281491</v>
      </c>
      <c r="BC664" s="1948">
        <f t="shared" si="161"/>
        <v>0</v>
      </c>
      <c r="BD664" s="1949">
        <v>750</v>
      </c>
      <c r="BE664" s="1948">
        <v>649.20000000000005</v>
      </c>
      <c r="BF664" s="1949">
        <v>649.20000000000005</v>
      </c>
      <c r="BG664" s="1949">
        <v>0.99660000000000004</v>
      </c>
      <c r="BH664" s="1949">
        <v>52.84</v>
      </c>
      <c r="BI664" s="1948">
        <v>255240</v>
      </c>
      <c r="BJ664" s="1948">
        <f t="shared" si="162"/>
        <v>289803</v>
      </c>
      <c r="BK664" s="1948">
        <f t="shared" si="163"/>
        <v>0</v>
      </c>
    </row>
    <row r="665" spans="1:63" ht="15">
      <c r="A665" s="1946">
        <v>125000000034</v>
      </c>
      <c r="B665" s="1947">
        <f t="shared" si="164"/>
        <v>659</v>
      </c>
      <c r="C665" s="1906" t="s">
        <v>3488</v>
      </c>
      <c r="D665" s="1907" t="s">
        <v>524</v>
      </c>
      <c r="E665" s="1906" t="s">
        <v>541</v>
      </c>
      <c r="F665" s="1948" t="s">
        <v>259</v>
      </c>
      <c r="G665" s="1949">
        <v>750</v>
      </c>
      <c r="H665" s="1948">
        <v>750</v>
      </c>
      <c r="I665" s="1950">
        <v>530.4</v>
      </c>
      <c r="J665" s="1948">
        <v>600</v>
      </c>
      <c r="K665" s="1948">
        <v>0.6653</v>
      </c>
      <c r="L665" s="1948">
        <v>27.48</v>
      </c>
      <c r="M665" s="1948">
        <v>104960</v>
      </c>
      <c r="N665" s="1948">
        <f t="shared" si="150"/>
        <v>229133</v>
      </c>
      <c r="O665" s="1948">
        <f t="shared" si="151"/>
        <v>0</v>
      </c>
      <c r="P665" s="1948">
        <v>750</v>
      </c>
      <c r="Q665" s="1948">
        <v>597.6</v>
      </c>
      <c r="R665" s="1948">
        <v>600</v>
      </c>
      <c r="S665" s="1948">
        <v>0.72230000000000005</v>
      </c>
      <c r="T665" s="1948">
        <v>24.38</v>
      </c>
      <c r="U665" s="1948">
        <v>108380</v>
      </c>
      <c r="V665" s="1948">
        <f t="shared" si="152"/>
        <v>266769</v>
      </c>
      <c r="W665" s="1948">
        <f t="shared" si="153"/>
        <v>0</v>
      </c>
      <c r="X665" s="1948">
        <v>750</v>
      </c>
      <c r="Y665" s="1948">
        <v>477.6</v>
      </c>
      <c r="Z665" s="1948">
        <v>600</v>
      </c>
      <c r="AA665" s="1948">
        <v>0.74939999999999996</v>
      </c>
      <c r="AB665" s="1948">
        <v>30.05</v>
      </c>
      <c r="AC665" s="1948">
        <v>103330</v>
      </c>
      <c r="AD665" s="1948">
        <f t="shared" si="154"/>
        <v>206323</v>
      </c>
      <c r="AE665" s="1948">
        <f t="shared" si="155"/>
        <v>0</v>
      </c>
      <c r="AF665" s="1948">
        <v>750</v>
      </c>
      <c r="AG665" s="1948">
        <v>464.8</v>
      </c>
      <c r="AH665" s="1948">
        <v>600</v>
      </c>
      <c r="AI665" s="1948">
        <v>0.64039999999999997</v>
      </c>
      <c r="AJ665" s="1948">
        <v>27.33</v>
      </c>
      <c r="AK665" s="1948">
        <v>94500</v>
      </c>
      <c r="AL665" s="1948">
        <f t="shared" si="156"/>
        <v>207487</v>
      </c>
      <c r="AM665" s="1948">
        <f t="shared" si="157"/>
        <v>0</v>
      </c>
      <c r="AN665" s="1948">
        <v>750</v>
      </c>
      <c r="AO665" s="1948">
        <v>379.2</v>
      </c>
      <c r="AP665" s="1948">
        <v>600</v>
      </c>
      <c r="AQ665" s="1948">
        <v>0.59919999999999995</v>
      </c>
      <c r="AR665" s="1948">
        <v>15.29</v>
      </c>
      <c r="AS665" s="1948">
        <v>43140</v>
      </c>
      <c r="AT665" s="1948">
        <f t="shared" si="158"/>
        <v>169275</v>
      </c>
      <c r="AU665" s="1948">
        <f t="shared" si="159"/>
        <v>0</v>
      </c>
      <c r="AV665" s="1948">
        <v>750</v>
      </c>
      <c r="AW665" s="1948">
        <v>397.6</v>
      </c>
      <c r="AX665" s="1948">
        <v>600</v>
      </c>
      <c r="AY665" s="1948">
        <v>0.63970000000000005</v>
      </c>
      <c r="AZ665" s="1948">
        <v>13.13</v>
      </c>
      <c r="BA665" s="1948">
        <v>37590</v>
      </c>
      <c r="BB665" s="1948">
        <f t="shared" si="160"/>
        <v>171763</v>
      </c>
      <c r="BC665" s="1948">
        <f t="shared" si="161"/>
        <v>0</v>
      </c>
      <c r="BD665" s="1949">
        <v>750</v>
      </c>
      <c r="BE665" s="1948">
        <v>433.59999999999997</v>
      </c>
      <c r="BF665" s="1949">
        <v>600</v>
      </c>
      <c r="BG665" s="1949">
        <v>0.59399999999999997</v>
      </c>
      <c r="BH665" s="1949">
        <v>26.48</v>
      </c>
      <c r="BI665" s="1948">
        <v>85430</v>
      </c>
      <c r="BJ665" s="1948">
        <f t="shared" si="162"/>
        <v>193559</v>
      </c>
      <c r="BK665" s="1948">
        <f t="shared" si="163"/>
        <v>0</v>
      </c>
    </row>
    <row r="666" spans="1:63" ht="15">
      <c r="A666" s="1946">
        <v>611000000049</v>
      </c>
      <c r="B666" s="1947">
        <f t="shared" si="164"/>
        <v>660</v>
      </c>
      <c r="C666" s="1906" t="s">
        <v>3603</v>
      </c>
      <c r="D666" s="1907" t="s">
        <v>524</v>
      </c>
      <c r="E666" s="1906" t="s">
        <v>541</v>
      </c>
      <c r="F666" s="1948" t="s">
        <v>259</v>
      </c>
      <c r="G666" s="1949">
        <v>750</v>
      </c>
      <c r="H666" s="1948">
        <v>900</v>
      </c>
      <c r="I666" s="1950">
        <v>610.79999999999995</v>
      </c>
      <c r="J666" s="1948">
        <v>720</v>
      </c>
      <c r="K666" s="1948">
        <v>0.99780000000000002</v>
      </c>
      <c r="L666" s="1948">
        <v>59.09</v>
      </c>
      <c r="M666" s="1948">
        <v>259875</v>
      </c>
      <c r="N666" s="1948">
        <f t="shared" si="150"/>
        <v>263866</v>
      </c>
      <c r="O666" s="1948">
        <f t="shared" si="151"/>
        <v>0</v>
      </c>
      <c r="P666" s="1948">
        <v>900</v>
      </c>
      <c r="Q666" s="1948">
        <v>621.6</v>
      </c>
      <c r="R666" s="1948">
        <v>720</v>
      </c>
      <c r="S666" s="1948">
        <v>0.99639999999999995</v>
      </c>
      <c r="T666" s="1948">
        <v>62.78</v>
      </c>
      <c r="U666" s="1948">
        <v>290325</v>
      </c>
      <c r="V666" s="1948">
        <f t="shared" si="152"/>
        <v>277482</v>
      </c>
      <c r="W666" s="1948">
        <f t="shared" si="153"/>
        <v>12843</v>
      </c>
      <c r="X666" s="1948">
        <v>900</v>
      </c>
      <c r="Y666" s="1948">
        <v>597</v>
      </c>
      <c r="Z666" s="1948">
        <v>720</v>
      </c>
      <c r="AA666" s="1948">
        <v>0.99609999999999999</v>
      </c>
      <c r="AB666" s="1948">
        <v>40.700000000000003</v>
      </c>
      <c r="AC666" s="1948">
        <v>174945</v>
      </c>
      <c r="AD666" s="1948">
        <f t="shared" si="154"/>
        <v>257904</v>
      </c>
      <c r="AE666" s="1948">
        <f t="shared" si="155"/>
        <v>0</v>
      </c>
      <c r="AF666" s="1948">
        <v>900</v>
      </c>
      <c r="AG666" s="1948">
        <v>618.6</v>
      </c>
      <c r="AH666" s="1948">
        <v>720</v>
      </c>
      <c r="AI666" s="1948">
        <v>0.99670000000000003</v>
      </c>
      <c r="AJ666" s="1948">
        <v>67.25</v>
      </c>
      <c r="AK666" s="1948">
        <v>309533</v>
      </c>
      <c r="AL666" s="1948">
        <f t="shared" si="156"/>
        <v>276143</v>
      </c>
      <c r="AM666" s="1948">
        <f t="shared" si="157"/>
        <v>33390</v>
      </c>
      <c r="AN666" s="1948">
        <v>750</v>
      </c>
      <c r="AO666" s="1948">
        <v>619.80000000000007</v>
      </c>
      <c r="AP666" s="1948">
        <v>619.79999999999995</v>
      </c>
      <c r="AQ666" s="1948">
        <v>0.99750000000000005</v>
      </c>
      <c r="AR666" s="1948">
        <v>66.319999999999993</v>
      </c>
      <c r="AS666" s="1948">
        <v>305842</v>
      </c>
      <c r="AT666" s="1948">
        <f t="shared" si="158"/>
        <v>276679</v>
      </c>
      <c r="AU666" s="1948">
        <f t="shared" si="159"/>
        <v>29163</v>
      </c>
      <c r="AV666" s="1948">
        <v>750</v>
      </c>
      <c r="AW666" s="1948">
        <v>635.4</v>
      </c>
      <c r="AX666" s="1948">
        <v>635.4</v>
      </c>
      <c r="AY666" s="1948">
        <v>0.997</v>
      </c>
      <c r="AZ666" s="1948">
        <v>61.86</v>
      </c>
      <c r="BA666" s="1948">
        <v>283020</v>
      </c>
      <c r="BB666" s="1948">
        <f t="shared" si="160"/>
        <v>274493</v>
      </c>
      <c r="BC666" s="1948">
        <f t="shared" si="161"/>
        <v>8527</v>
      </c>
      <c r="BD666" s="1949">
        <v>750</v>
      </c>
      <c r="BE666" s="1948">
        <v>645.6</v>
      </c>
      <c r="BF666" s="1949">
        <v>645.6</v>
      </c>
      <c r="BG666" s="1949">
        <v>0.99750000000000005</v>
      </c>
      <c r="BH666" s="1949">
        <v>62.19</v>
      </c>
      <c r="BI666" s="1948">
        <v>298717</v>
      </c>
      <c r="BJ666" s="1948">
        <f t="shared" si="162"/>
        <v>288196</v>
      </c>
      <c r="BK666" s="1948">
        <f t="shared" si="163"/>
        <v>10521</v>
      </c>
    </row>
    <row r="667" spans="1:63" ht="15">
      <c r="A667" s="1946">
        <v>621000000011</v>
      </c>
      <c r="B667" s="1947">
        <f t="shared" si="164"/>
        <v>661</v>
      </c>
      <c r="C667" s="1906" t="s">
        <v>3489</v>
      </c>
      <c r="D667" s="1907" t="s">
        <v>524</v>
      </c>
      <c r="E667" s="1906" t="s">
        <v>541</v>
      </c>
      <c r="F667" s="1948" t="s">
        <v>259</v>
      </c>
      <c r="G667" s="1949">
        <v>750</v>
      </c>
      <c r="H667" s="1948">
        <v>750</v>
      </c>
      <c r="I667" s="1950">
        <v>662</v>
      </c>
      <c r="J667" s="1948">
        <v>662</v>
      </c>
      <c r="K667" s="1948">
        <v>0.97750000000000004</v>
      </c>
      <c r="L667" s="1948">
        <v>5.71</v>
      </c>
      <c r="M667" s="1948">
        <v>27210</v>
      </c>
      <c r="N667" s="1948">
        <f t="shared" si="150"/>
        <v>285984</v>
      </c>
      <c r="O667" s="1948">
        <f t="shared" si="151"/>
        <v>0</v>
      </c>
      <c r="P667" s="1948">
        <v>750</v>
      </c>
      <c r="Q667" s="1948">
        <v>260</v>
      </c>
      <c r="R667" s="1948">
        <v>600</v>
      </c>
      <c r="S667" s="1948">
        <v>0.98480000000000001</v>
      </c>
      <c r="T667" s="1948">
        <v>13.65</v>
      </c>
      <c r="U667" s="1948">
        <v>26410</v>
      </c>
      <c r="V667" s="1948">
        <f t="shared" si="152"/>
        <v>116064</v>
      </c>
      <c r="W667" s="1948">
        <f t="shared" si="153"/>
        <v>0</v>
      </c>
      <c r="X667" s="1948">
        <v>750</v>
      </c>
      <c r="Y667" s="1948">
        <v>366</v>
      </c>
      <c r="Z667" s="1948">
        <v>600</v>
      </c>
      <c r="AA667" s="1948">
        <v>0.98319999999999996</v>
      </c>
      <c r="AB667" s="1948">
        <v>12.65</v>
      </c>
      <c r="AC667" s="1948">
        <v>33340</v>
      </c>
      <c r="AD667" s="1948">
        <f t="shared" si="154"/>
        <v>158112</v>
      </c>
      <c r="AE667" s="1948">
        <f t="shared" si="155"/>
        <v>0</v>
      </c>
      <c r="AF667" s="1948">
        <v>750</v>
      </c>
      <c r="AG667" s="1948">
        <v>210</v>
      </c>
      <c r="AH667" s="1948">
        <v>600</v>
      </c>
      <c r="AI667" s="1948">
        <v>0.99450000000000005</v>
      </c>
      <c r="AJ667" s="1948">
        <v>15.37</v>
      </c>
      <c r="AK667" s="1948">
        <v>24010</v>
      </c>
      <c r="AL667" s="1948">
        <f t="shared" si="156"/>
        <v>93744</v>
      </c>
      <c r="AM667" s="1948">
        <f t="shared" si="157"/>
        <v>0</v>
      </c>
      <c r="AN667" s="1948">
        <v>750</v>
      </c>
      <c r="AO667" s="1948">
        <v>204</v>
      </c>
      <c r="AP667" s="1948">
        <v>600</v>
      </c>
      <c r="AQ667" s="1948">
        <v>0.98629999999999995</v>
      </c>
      <c r="AR667" s="1948">
        <v>28.52</v>
      </c>
      <c r="AS667" s="1948">
        <v>43290</v>
      </c>
      <c r="AT667" s="1948">
        <f t="shared" si="158"/>
        <v>91066</v>
      </c>
      <c r="AU667" s="1948">
        <f t="shared" si="159"/>
        <v>0</v>
      </c>
      <c r="AV667" s="1948">
        <v>750</v>
      </c>
      <c r="AW667" s="1948">
        <v>218</v>
      </c>
      <c r="AX667" s="1948">
        <v>600</v>
      </c>
      <c r="AY667" s="1948">
        <v>0.97650000000000003</v>
      </c>
      <c r="AZ667" s="1948">
        <v>10.89</v>
      </c>
      <c r="BA667" s="1948">
        <v>17090</v>
      </c>
      <c r="BB667" s="1948">
        <f t="shared" si="160"/>
        <v>94176</v>
      </c>
      <c r="BC667" s="1948">
        <f t="shared" si="161"/>
        <v>0</v>
      </c>
      <c r="BD667" s="1949">
        <v>750</v>
      </c>
      <c r="BE667" s="1948">
        <v>229.01</v>
      </c>
      <c r="BF667" s="1949">
        <v>600</v>
      </c>
      <c r="BG667" s="1949">
        <v>0.98570000000000002</v>
      </c>
      <c r="BH667" s="1949">
        <v>14.49</v>
      </c>
      <c r="BI667" s="1948">
        <v>24685</v>
      </c>
      <c r="BJ667" s="1948">
        <f t="shared" si="162"/>
        <v>102230</v>
      </c>
      <c r="BK667" s="1948">
        <f t="shared" si="163"/>
        <v>0</v>
      </c>
    </row>
    <row r="668" spans="1:63" ht="15">
      <c r="A668" s="1946">
        <v>611000000014</v>
      </c>
      <c r="B668" s="1947">
        <f t="shared" si="164"/>
        <v>662</v>
      </c>
      <c r="C668" s="1906" t="s">
        <v>3604</v>
      </c>
      <c r="D668" s="1907" t="s">
        <v>524</v>
      </c>
      <c r="E668" s="1906" t="s">
        <v>541</v>
      </c>
      <c r="F668" s="1948" t="s">
        <v>259</v>
      </c>
      <c r="G668" s="1949">
        <v>780</v>
      </c>
      <c r="H668" s="1948">
        <v>600</v>
      </c>
      <c r="I668" s="1950">
        <v>796.31999999999994</v>
      </c>
      <c r="J668" s="1948">
        <v>796.32</v>
      </c>
      <c r="K668" s="1948">
        <v>0.9839</v>
      </c>
      <c r="L668" s="1948">
        <v>70.53</v>
      </c>
      <c r="M668" s="1948">
        <v>377418</v>
      </c>
      <c r="N668" s="1948">
        <f t="shared" si="150"/>
        <v>344010</v>
      </c>
      <c r="O668" s="1948">
        <f t="shared" si="151"/>
        <v>33408</v>
      </c>
      <c r="P668" s="1948">
        <v>780</v>
      </c>
      <c r="Q668" s="1948">
        <v>773.28</v>
      </c>
      <c r="R668" s="1948">
        <v>773.28</v>
      </c>
      <c r="S668" s="1948">
        <v>0.99580000000000002</v>
      </c>
      <c r="T668" s="1948">
        <v>66.39</v>
      </c>
      <c r="U668" s="1948">
        <v>345006</v>
      </c>
      <c r="V668" s="1948">
        <f t="shared" si="152"/>
        <v>345192</v>
      </c>
      <c r="W668" s="1948">
        <f t="shared" si="153"/>
        <v>0</v>
      </c>
      <c r="X668" s="1948">
        <v>780</v>
      </c>
      <c r="Y668" s="1948">
        <v>747.36</v>
      </c>
      <c r="Z668" s="1948">
        <v>747.36</v>
      </c>
      <c r="AA668" s="1948">
        <v>0.99680000000000002</v>
      </c>
      <c r="AB668" s="1948">
        <v>60.8</v>
      </c>
      <c r="AC668" s="1948">
        <v>348954</v>
      </c>
      <c r="AD668" s="1948">
        <f t="shared" si="154"/>
        <v>322860</v>
      </c>
      <c r="AE668" s="1948">
        <f t="shared" si="155"/>
        <v>26094</v>
      </c>
      <c r="AF668" s="1948">
        <v>780</v>
      </c>
      <c r="AG668" s="1948">
        <v>762.24</v>
      </c>
      <c r="AH668" s="1948">
        <v>762.24</v>
      </c>
      <c r="AI668" s="1948">
        <v>0.99550000000000005</v>
      </c>
      <c r="AJ668" s="1948">
        <v>82.56</v>
      </c>
      <c r="AK668" s="1948">
        <v>513528</v>
      </c>
      <c r="AL668" s="1948">
        <f t="shared" si="156"/>
        <v>340264</v>
      </c>
      <c r="AM668" s="1948">
        <f t="shared" si="157"/>
        <v>173264</v>
      </c>
      <c r="AN668" s="1948">
        <v>780</v>
      </c>
      <c r="AO668" s="1948">
        <v>734.88000000000011</v>
      </c>
      <c r="AP668" s="1948">
        <v>734.88</v>
      </c>
      <c r="AQ668" s="1948">
        <v>0.997</v>
      </c>
      <c r="AR668" s="1948">
        <v>82.05</v>
      </c>
      <c r="AS668" s="1948">
        <v>448614</v>
      </c>
      <c r="AT668" s="1948">
        <f t="shared" si="158"/>
        <v>328050</v>
      </c>
      <c r="AU668" s="1948">
        <f t="shared" si="159"/>
        <v>120564</v>
      </c>
      <c r="AV668" s="1948">
        <v>780</v>
      </c>
      <c r="AW668" s="1948">
        <v>720</v>
      </c>
      <c r="AX668" s="1948">
        <v>720</v>
      </c>
      <c r="AY668" s="1948">
        <v>0.99839999999999995</v>
      </c>
      <c r="AZ668" s="1948">
        <v>68.819999999999993</v>
      </c>
      <c r="BA668" s="1948">
        <v>356772</v>
      </c>
      <c r="BB668" s="1948">
        <f t="shared" si="160"/>
        <v>311040</v>
      </c>
      <c r="BC668" s="1948">
        <f t="shared" si="161"/>
        <v>45732</v>
      </c>
      <c r="BD668" s="1949">
        <v>780</v>
      </c>
      <c r="BE668" s="1948">
        <v>814.56</v>
      </c>
      <c r="BF668" s="1949">
        <v>814.56</v>
      </c>
      <c r="BG668" s="1949">
        <v>0.99780000000000002</v>
      </c>
      <c r="BH668" s="1949">
        <v>65.63</v>
      </c>
      <c r="BI668" s="1948">
        <v>397746</v>
      </c>
      <c r="BJ668" s="1948">
        <f t="shared" si="162"/>
        <v>363620</v>
      </c>
      <c r="BK668" s="1948">
        <f t="shared" si="163"/>
        <v>34126</v>
      </c>
    </row>
    <row r="669" spans="1:63" ht="15">
      <c r="A669" s="1946">
        <v>622000000144</v>
      </c>
      <c r="B669" s="1947">
        <f t="shared" si="164"/>
        <v>663</v>
      </c>
      <c r="C669" s="1906" t="s">
        <v>3494</v>
      </c>
      <c r="D669" s="1907" t="s">
        <v>524</v>
      </c>
      <c r="E669" s="1906" t="s">
        <v>541</v>
      </c>
      <c r="F669" s="1948" t="s">
        <v>259</v>
      </c>
      <c r="G669" s="1949">
        <v>800</v>
      </c>
      <c r="H669" s="1948">
        <v>800</v>
      </c>
      <c r="I669" s="1950">
        <v>350.4</v>
      </c>
      <c r="J669" s="1948">
        <v>640</v>
      </c>
      <c r="K669" s="1948">
        <v>0.88029999999999997</v>
      </c>
      <c r="L669" s="1948">
        <v>41.75</v>
      </c>
      <c r="M669" s="1948">
        <v>133420</v>
      </c>
      <c r="N669" s="1948">
        <f t="shared" si="150"/>
        <v>151373</v>
      </c>
      <c r="O669" s="1948">
        <f t="shared" si="151"/>
        <v>0</v>
      </c>
      <c r="P669" s="1948">
        <v>800</v>
      </c>
      <c r="Q669" s="1948">
        <v>345.6</v>
      </c>
      <c r="R669" s="1948">
        <v>640</v>
      </c>
      <c r="S669" s="1948">
        <v>0.86319999999999997</v>
      </c>
      <c r="T669" s="1948">
        <v>42.74</v>
      </c>
      <c r="U669" s="1948">
        <v>92160</v>
      </c>
      <c r="V669" s="1948">
        <f t="shared" si="152"/>
        <v>154276</v>
      </c>
      <c r="W669" s="1948">
        <f t="shared" si="153"/>
        <v>0</v>
      </c>
      <c r="X669" s="1948">
        <v>800</v>
      </c>
      <c r="Y669" s="1948">
        <v>361.59999999999997</v>
      </c>
      <c r="Z669" s="1948">
        <v>640</v>
      </c>
      <c r="AA669" s="1948">
        <v>0.85570000000000002</v>
      </c>
      <c r="AB669" s="1948">
        <v>35.01</v>
      </c>
      <c r="AC669" s="1948">
        <v>100260</v>
      </c>
      <c r="AD669" s="1948">
        <f t="shared" si="154"/>
        <v>156211</v>
      </c>
      <c r="AE669" s="1948">
        <f t="shared" si="155"/>
        <v>0</v>
      </c>
      <c r="AF669" s="1948">
        <v>800</v>
      </c>
      <c r="AG669" s="1948">
        <v>315.2</v>
      </c>
      <c r="AH669" s="1948">
        <v>640</v>
      </c>
      <c r="AI669" s="1948">
        <v>0.85089999999999999</v>
      </c>
      <c r="AJ669" s="1948">
        <v>30.9</v>
      </c>
      <c r="AK669" s="1948">
        <v>72460</v>
      </c>
      <c r="AL669" s="1948">
        <f t="shared" si="156"/>
        <v>140705</v>
      </c>
      <c r="AM669" s="1948">
        <f t="shared" si="157"/>
        <v>0</v>
      </c>
      <c r="AN669" s="1948">
        <v>800</v>
      </c>
      <c r="AO669" s="1948">
        <v>201.6</v>
      </c>
      <c r="AP669" s="1948">
        <v>640</v>
      </c>
      <c r="AQ669" s="1948">
        <v>0.93600000000000005</v>
      </c>
      <c r="AR669" s="1948">
        <v>17.600000000000001</v>
      </c>
      <c r="AS669" s="1948">
        <v>24700</v>
      </c>
      <c r="AT669" s="1948">
        <f t="shared" si="158"/>
        <v>89994</v>
      </c>
      <c r="AU669" s="1948">
        <f t="shared" si="159"/>
        <v>0</v>
      </c>
      <c r="AV669" s="1948">
        <v>800</v>
      </c>
      <c r="AW669" s="1948">
        <v>187.20000000000002</v>
      </c>
      <c r="AX669" s="1948">
        <v>640</v>
      </c>
      <c r="AY669" s="1948">
        <v>0.92879999999999996</v>
      </c>
      <c r="AZ669" s="1948">
        <v>17.82</v>
      </c>
      <c r="BA669" s="1948">
        <v>26420</v>
      </c>
      <c r="BB669" s="1948">
        <f t="shared" si="160"/>
        <v>80870</v>
      </c>
      <c r="BC669" s="1948">
        <f t="shared" si="161"/>
        <v>0</v>
      </c>
      <c r="BD669" s="1949">
        <v>800</v>
      </c>
      <c r="BE669" s="1948">
        <v>222.39999999999998</v>
      </c>
      <c r="BF669" s="1949">
        <v>640</v>
      </c>
      <c r="BG669" s="1949">
        <v>0.92469999999999997</v>
      </c>
      <c r="BH669" s="1949">
        <v>20.100000000000001</v>
      </c>
      <c r="BI669" s="1948">
        <v>30040</v>
      </c>
      <c r="BJ669" s="1948">
        <f t="shared" si="162"/>
        <v>99279</v>
      </c>
      <c r="BK669" s="1948">
        <f t="shared" si="163"/>
        <v>0</v>
      </c>
    </row>
    <row r="670" spans="1:63" ht="15">
      <c r="A670" s="1946">
        <v>622000000203</v>
      </c>
      <c r="B670" s="1947">
        <f t="shared" si="164"/>
        <v>664</v>
      </c>
      <c r="C670" s="1906" t="s">
        <v>3490</v>
      </c>
      <c r="D670" s="1907" t="s">
        <v>524</v>
      </c>
      <c r="E670" s="1906" t="s">
        <v>541</v>
      </c>
      <c r="F670" s="1948" t="s">
        <v>259</v>
      </c>
      <c r="G670" s="1949">
        <v>800</v>
      </c>
      <c r="H670" s="1948">
        <v>800</v>
      </c>
      <c r="I670" s="1950">
        <v>552.4</v>
      </c>
      <c r="J670" s="1948">
        <v>640</v>
      </c>
      <c r="K670" s="1948">
        <v>0.98650000000000004</v>
      </c>
      <c r="L670" s="1948">
        <v>54.12</v>
      </c>
      <c r="M670" s="1948">
        <v>215265</v>
      </c>
      <c r="N670" s="1948">
        <f t="shared" si="150"/>
        <v>238637</v>
      </c>
      <c r="O670" s="1948">
        <f t="shared" si="151"/>
        <v>0</v>
      </c>
      <c r="P670" s="1948">
        <v>800</v>
      </c>
      <c r="Q670" s="1948">
        <v>530.4</v>
      </c>
      <c r="R670" s="1948">
        <v>640</v>
      </c>
      <c r="S670" s="1948">
        <v>0.98380000000000001</v>
      </c>
      <c r="T670" s="1948">
        <v>51.5</v>
      </c>
      <c r="U670" s="1948">
        <v>203210</v>
      </c>
      <c r="V670" s="1948">
        <f t="shared" si="152"/>
        <v>236771</v>
      </c>
      <c r="W670" s="1948">
        <f t="shared" si="153"/>
        <v>0</v>
      </c>
      <c r="X670" s="1948">
        <v>800</v>
      </c>
      <c r="Y670" s="1948">
        <v>546.4</v>
      </c>
      <c r="Z670" s="1948">
        <v>640</v>
      </c>
      <c r="AA670" s="1948">
        <v>0.9819</v>
      </c>
      <c r="AB670" s="1948">
        <v>54.35</v>
      </c>
      <c r="AC670" s="1948">
        <v>213820</v>
      </c>
      <c r="AD670" s="1948">
        <f t="shared" si="154"/>
        <v>236045</v>
      </c>
      <c r="AE670" s="1948">
        <f t="shared" si="155"/>
        <v>0</v>
      </c>
      <c r="AF670" s="1948">
        <v>800</v>
      </c>
      <c r="AG670" s="1948">
        <v>576.4</v>
      </c>
      <c r="AH670" s="1948">
        <v>640</v>
      </c>
      <c r="AI670" s="1948">
        <v>0.98</v>
      </c>
      <c r="AJ670" s="1948">
        <v>47.52</v>
      </c>
      <c r="AK670" s="1948">
        <v>203805</v>
      </c>
      <c r="AL670" s="1948">
        <f t="shared" si="156"/>
        <v>257305</v>
      </c>
      <c r="AM670" s="1948">
        <f t="shared" si="157"/>
        <v>0</v>
      </c>
      <c r="AN670" s="1948">
        <v>800</v>
      </c>
      <c r="AO670" s="1948">
        <v>502.8</v>
      </c>
      <c r="AP670" s="1948">
        <v>640</v>
      </c>
      <c r="AQ670" s="1948">
        <v>0.98050000000000004</v>
      </c>
      <c r="AR670" s="1948">
        <v>53.22</v>
      </c>
      <c r="AS670" s="1948">
        <v>199100</v>
      </c>
      <c r="AT670" s="1948">
        <f t="shared" si="158"/>
        <v>224450</v>
      </c>
      <c r="AU670" s="1948">
        <f t="shared" si="159"/>
        <v>0</v>
      </c>
      <c r="AV670" s="1948">
        <v>800</v>
      </c>
      <c r="AW670" s="1948">
        <v>554</v>
      </c>
      <c r="AX670" s="1948">
        <v>640</v>
      </c>
      <c r="AY670" s="1948">
        <v>0.98699999999999999</v>
      </c>
      <c r="AZ670" s="1948">
        <v>53.38</v>
      </c>
      <c r="BA670" s="1948">
        <v>212915</v>
      </c>
      <c r="BB670" s="1948">
        <f t="shared" si="160"/>
        <v>239328</v>
      </c>
      <c r="BC670" s="1948">
        <f t="shared" si="161"/>
        <v>0</v>
      </c>
      <c r="BD670" s="1949">
        <v>800</v>
      </c>
      <c r="BE670" s="1948">
        <v>594.79999999999995</v>
      </c>
      <c r="BF670" s="1949">
        <v>640</v>
      </c>
      <c r="BG670" s="1949">
        <v>0.9859</v>
      </c>
      <c r="BH670" s="1949">
        <v>50.9</v>
      </c>
      <c r="BI670" s="1948">
        <v>225240</v>
      </c>
      <c r="BJ670" s="1948">
        <f t="shared" si="162"/>
        <v>265519</v>
      </c>
      <c r="BK670" s="1948">
        <f t="shared" si="163"/>
        <v>0</v>
      </c>
    </row>
    <row r="671" spans="1:63" ht="15">
      <c r="A671" s="1946">
        <v>621000000021</v>
      </c>
      <c r="B671" s="1947">
        <f t="shared" si="164"/>
        <v>665</v>
      </c>
      <c r="C671" s="1906" t="s">
        <v>3493</v>
      </c>
      <c r="D671" s="1907" t="s">
        <v>524</v>
      </c>
      <c r="E671" s="1906" t="s">
        <v>541</v>
      </c>
      <c r="F671" s="1948" t="s">
        <v>259</v>
      </c>
      <c r="G671" s="1949">
        <v>800</v>
      </c>
      <c r="H671" s="1948">
        <v>800</v>
      </c>
      <c r="I671" s="1950">
        <v>882.72</v>
      </c>
      <c r="J671" s="1948">
        <v>882.72</v>
      </c>
      <c r="K671" s="1948">
        <v>0.99750000000000005</v>
      </c>
      <c r="L671" s="1948">
        <v>56.24</v>
      </c>
      <c r="M671" s="1948">
        <v>357453</v>
      </c>
      <c r="N671" s="1948">
        <f t="shared" si="150"/>
        <v>381335</v>
      </c>
      <c r="O671" s="1948">
        <f t="shared" si="151"/>
        <v>0</v>
      </c>
      <c r="P671" s="1948">
        <v>800</v>
      </c>
      <c r="Q671" s="1948">
        <v>760.32</v>
      </c>
      <c r="R671" s="1948">
        <v>760.32</v>
      </c>
      <c r="S671" s="1948">
        <v>0.98419999999999996</v>
      </c>
      <c r="T671" s="1948">
        <v>62.1</v>
      </c>
      <c r="U671" s="1948">
        <v>351270</v>
      </c>
      <c r="V671" s="1948">
        <f t="shared" si="152"/>
        <v>339407</v>
      </c>
      <c r="W671" s="1948">
        <f t="shared" si="153"/>
        <v>11863</v>
      </c>
      <c r="X671" s="1948">
        <v>800</v>
      </c>
      <c r="Y671" s="1948">
        <v>897.84</v>
      </c>
      <c r="Z671" s="1948">
        <v>897.84</v>
      </c>
      <c r="AA671" s="1948">
        <v>0.99719999999999998</v>
      </c>
      <c r="AB671" s="1948">
        <v>70.77</v>
      </c>
      <c r="AC671" s="1948">
        <v>457479</v>
      </c>
      <c r="AD671" s="1948">
        <f t="shared" si="154"/>
        <v>387867</v>
      </c>
      <c r="AE671" s="1948">
        <f t="shared" si="155"/>
        <v>69612</v>
      </c>
      <c r="AF671" s="1948">
        <v>800</v>
      </c>
      <c r="AG671" s="1948">
        <v>912.95999999999992</v>
      </c>
      <c r="AH671" s="1948">
        <v>912.96</v>
      </c>
      <c r="AI671" s="1948">
        <v>0.99690000000000001</v>
      </c>
      <c r="AJ671" s="1948">
        <v>51.81</v>
      </c>
      <c r="AK671" s="1948">
        <v>351909</v>
      </c>
      <c r="AL671" s="1948">
        <f t="shared" si="156"/>
        <v>407545</v>
      </c>
      <c r="AM671" s="1948">
        <f t="shared" si="157"/>
        <v>0</v>
      </c>
      <c r="AN671" s="1948">
        <v>800</v>
      </c>
      <c r="AO671" s="1948">
        <v>905.04000000000008</v>
      </c>
      <c r="AP671" s="1948">
        <v>905.04</v>
      </c>
      <c r="AQ671" s="1948">
        <v>0.99329999999999996</v>
      </c>
      <c r="AR671" s="1948">
        <v>63.88</v>
      </c>
      <c r="AS671" s="1948">
        <v>430164</v>
      </c>
      <c r="AT671" s="1948">
        <f t="shared" si="158"/>
        <v>404010</v>
      </c>
      <c r="AU671" s="1948">
        <f t="shared" si="159"/>
        <v>26154</v>
      </c>
      <c r="AV671" s="1948">
        <v>800</v>
      </c>
      <c r="AW671" s="1948">
        <v>941.04000000000008</v>
      </c>
      <c r="AX671" s="1948">
        <v>941.04</v>
      </c>
      <c r="AY671" s="1948">
        <v>0.99250000000000005</v>
      </c>
      <c r="AZ671" s="1948">
        <v>65.12</v>
      </c>
      <c r="BA671" s="1948">
        <v>441207</v>
      </c>
      <c r="BB671" s="1948">
        <f t="shared" si="160"/>
        <v>406529</v>
      </c>
      <c r="BC671" s="1948">
        <f t="shared" si="161"/>
        <v>34678</v>
      </c>
      <c r="BD671" s="1949">
        <v>800</v>
      </c>
      <c r="BE671" s="1948">
        <v>1010.88</v>
      </c>
      <c r="BF671" s="1949">
        <v>1010.88</v>
      </c>
      <c r="BG671" s="1949">
        <v>0.9839</v>
      </c>
      <c r="BH671" s="1949">
        <v>75.88</v>
      </c>
      <c r="BI671" s="1948">
        <v>570663</v>
      </c>
      <c r="BJ671" s="1948">
        <f t="shared" si="162"/>
        <v>451257</v>
      </c>
      <c r="BK671" s="1948">
        <f t="shared" si="163"/>
        <v>119406</v>
      </c>
    </row>
    <row r="672" spans="1:63" ht="15">
      <c r="A672" s="1946">
        <v>621000000063</v>
      </c>
      <c r="B672" s="1947">
        <f t="shared" si="164"/>
        <v>666</v>
      </c>
      <c r="C672" s="1906" t="s">
        <v>3491</v>
      </c>
      <c r="D672" s="1907" t="s">
        <v>524</v>
      </c>
      <c r="E672" s="1906" t="s">
        <v>541</v>
      </c>
      <c r="F672" s="1948" t="s">
        <v>259</v>
      </c>
      <c r="G672" s="1949">
        <v>800</v>
      </c>
      <c r="H672" s="1948">
        <v>800</v>
      </c>
      <c r="I672" s="1950">
        <v>765.59999999999991</v>
      </c>
      <c r="J672" s="1948">
        <v>765.6</v>
      </c>
      <c r="K672" s="1948">
        <v>0.99350000000000005</v>
      </c>
      <c r="L672" s="1948">
        <v>30.84</v>
      </c>
      <c r="M672" s="1948">
        <v>170010</v>
      </c>
      <c r="N672" s="1948">
        <f t="shared" si="150"/>
        <v>330739</v>
      </c>
      <c r="O672" s="1948">
        <f t="shared" si="151"/>
        <v>0</v>
      </c>
      <c r="P672" s="1948">
        <v>800</v>
      </c>
      <c r="Q672" s="1948">
        <v>824.4</v>
      </c>
      <c r="R672" s="1948">
        <v>824.4</v>
      </c>
      <c r="S672" s="1948">
        <v>0.99309999999999998</v>
      </c>
      <c r="T672" s="1948">
        <v>38.5</v>
      </c>
      <c r="U672" s="1948">
        <v>236115</v>
      </c>
      <c r="V672" s="1948">
        <f t="shared" si="152"/>
        <v>368012</v>
      </c>
      <c r="W672" s="1948">
        <f t="shared" si="153"/>
        <v>0</v>
      </c>
      <c r="X672" s="1948">
        <v>800</v>
      </c>
      <c r="Y672" s="1948">
        <v>765.59999999999991</v>
      </c>
      <c r="Z672" s="1948">
        <v>765.6</v>
      </c>
      <c r="AA672" s="1948">
        <v>0.99299999999999999</v>
      </c>
      <c r="AB672" s="1948">
        <v>28.56</v>
      </c>
      <c r="AC672" s="1948">
        <v>157455</v>
      </c>
      <c r="AD672" s="1948">
        <f t="shared" si="154"/>
        <v>330739</v>
      </c>
      <c r="AE672" s="1948">
        <f t="shared" si="155"/>
        <v>0</v>
      </c>
      <c r="AF672" s="1948">
        <v>800</v>
      </c>
      <c r="AG672" s="1948">
        <v>789.6</v>
      </c>
      <c r="AH672" s="1948">
        <v>789.6</v>
      </c>
      <c r="AI672" s="1948">
        <v>0.96279999999999999</v>
      </c>
      <c r="AJ672" s="1948">
        <v>29.58</v>
      </c>
      <c r="AK672" s="1948">
        <v>173775</v>
      </c>
      <c r="AL672" s="1948">
        <f t="shared" si="156"/>
        <v>352477</v>
      </c>
      <c r="AM672" s="1948">
        <f t="shared" si="157"/>
        <v>0</v>
      </c>
      <c r="AN672" s="1948">
        <v>800</v>
      </c>
      <c r="AO672" s="1948">
        <v>784.8</v>
      </c>
      <c r="AP672" s="1948">
        <v>784.8</v>
      </c>
      <c r="AQ672" s="1948">
        <v>0.95820000000000005</v>
      </c>
      <c r="AR672" s="1948">
        <v>28.22</v>
      </c>
      <c r="AS672" s="1948">
        <v>164760</v>
      </c>
      <c r="AT672" s="1948">
        <f t="shared" si="158"/>
        <v>350335</v>
      </c>
      <c r="AU672" s="1948">
        <f t="shared" si="159"/>
        <v>0</v>
      </c>
      <c r="AV672" s="1948">
        <v>800</v>
      </c>
      <c r="AW672" s="1948">
        <v>762</v>
      </c>
      <c r="AX672" s="1948">
        <v>762</v>
      </c>
      <c r="AY672" s="1948">
        <v>0.96199999999999997</v>
      </c>
      <c r="AZ672" s="1948">
        <v>38.29</v>
      </c>
      <c r="BA672" s="1948">
        <v>210075</v>
      </c>
      <c r="BB672" s="1948">
        <f t="shared" si="160"/>
        <v>329184</v>
      </c>
      <c r="BC672" s="1948">
        <f t="shared" si="161"/>
        <v>0</v>
      </c>
      <c r="BD672" s="1949">
        <v>800</v>
      </c>
      <c r="BE672" s="1948">
        <v>808.80000000000007</v>
      </c>
      <c r="BF672" s="1949">
        <v>808.8</v>
      </c>
      <c r="BG672" s="1949">
        <v>0.96199999999999997</v>
      </c>
      <c r="BH672" s="1949">
        <v>34.979999999999997</v>
      </c>
      <c r="BI672" s="1948">
        <v>210465</v>
      </c>
      <c r="BJ672" s="1948">
        <f t="shared" si="162"/>
        <v>361048</v>
      </c>
      <c r="BK672" s="1948">
        <f t="shared" si="163"/>
        <v>0</v>
      </c>
    </row>
    <row r="673" spans="1:63" ht="15">
      <c r="A673" s="1946">
        <v>122000000006</v>
      </c>
      <c r="B673" s="1947">
        <f t="shared" si="164"/>
        <v>667</v>
      </c>
      <c r="C673" s="1906" t="s">
        <v>3495</v>
      </c>
      <c r="D673" s="1907" t="s">
        <v>524</v>
      </c>
      <c r="E673" s="1906" t="s">
        <v>629</v>
      </c>
      <c r="F673" s="1948" t="s">
        <v>259</v>
      </c>
      <c r="G673" s="1949">
        <v>810</v>
      </c>
      <c r="H673" s="1948">
        <v>810</v>
      </c>
      <c r="I673" s="1950">
        <v>332</v>
      </c>
      <c r="J673" s="1948">
        <v>810</v>
      </c>
      <c r="K673" s="1948">
        <v>0.98089999999999999</v>
      </c>
      <c r="L673" s="1948">
        <v>0</v>
      </c>
      <c r="M673" s="1948">
        <v>108505</v>
      </c>
      <c r="N673" s="1948">
        <f t="shared" si="150"/>
        <v>143424</v>
      </c>
      <c r="O673" s="1948">
        <f t="shared" si="151"/>
        <v>0</v>
      </c>
      <c r="P673" s="1948">
        <v>810</v>
      </c>
      <c r="Q673" s="1948">
        <v>324.79999999999995</v>
      </c>
      <c r="R673" s="1948">
        <v>810</v>
      </c>
      <c r="S673" s="1948">
        <v>0.98209999999999997</v>
      </c>
      <c r="T673" s="1948">
        <v>0</v>
      </c>
      <c r="U673" s="1948">
        <v>125350</v>
      </c>
      <c r="V673" s="1948">
        <f t="shared" si="152"/>
        <v>144991</v>
      </c>
      <c r="W673" s="1948">
        <f t="shared" si="153"/>
        <v>0</v>
      </c>
      <c r="X673" s="1948">
        <v>810</v>
      </c>
      <c r="Y673" s="1948">
        <v>412</v>
      </c>
      <c r="Z673" s="1948">
        <v>810</v>
      </c>
      <c r="AA673" s="1948">
        <v>0.98350000000000004</v>
      </c>
      <c r="AB673" s="1948">
        <v>0</v>
      </c>
      <c r="AC673" s="1948">
        <v>140395</v>
      </c>
      <c r="AD673" s="1948">
        <f t="shared" si="154"/>
        <v>177984</v>
      </c>
      <c r="AE673" s="1948">
        <f t="shared" si="155"/>
        <v>0</v>
      </c>
      <c r="AF673" s="1948">
        <v>810</v>
      </c>
      <c r="AG673" s="1948">
        <v>336</v>
      </c>
      <c r="AH673" s="1948">
        <v>810</v>
      </c>
      <c r="AI673" s="1948">
        <v>0.97850000000000004</v>
      </c>
      <c r="AJ673" s="1948">
        <v>0</v>
      </c>
      <c r="AK673" s="1948">
        <v>133755</v>
      </c>
      <c r="AL673" s="1948">
        <f t="shared" si="156"/>
        <v>149990</v>
      </c>
      <c r="AM673" s="1948">
        <f t="shared" si="157"/>
        <v>0</v>
      </c>
      <c r="AN673" s="1948">
        <v>810</v>
      </c>
      <c r="AO673" s="1948">
        <v>294</v>
      </c>
      <c r="AP673" s="1948">
        <v>810</v>
      </c>
      <c r="AQ673" s="1948">
        <v>0.97460000000000002</v>
      </c>
      <c r="AR673" s="1948">
        <v>0</v>
      </c>
      <c r="AS673" s="1948">
        <v>120990</v>
      </c>
      <c r="AT673" s="1948">
        <f t="shared" si="158"/>
        <v>131242</v>
      </c>
      <c r="AU673" s="1948">
        <f t="shared" si="159"/>
        <v>0</v>
      </c>
      <c r="AV673" s="1948">
        <v>810</v>
      </c>
      <c r="AW673" s="1948">
        <v>293.60000000000002</v>
      </c>
      <c r="AX673" s="1948">
        <v>810</v>
      </c>
      <c r="AY673" s="1948">
        <v>0.97440000000000004</v>
      </c>
      <c r="AZ673" s="1948">
        <v>0</v>
      </c>
      <c r="BA673" s="1948">
        <v>119435</v>
      </c>
      <c r="BB673" s="1948">
        <f t="shared" si="160"/>
        <v>126835</v>
      </c>
      <c r="BC673" s="1948">
        <f t="shared" si="161"/>
        <v>0</v>
      </c>
      <c r="BD673" s="1949">
        <v>810</v>
      </c>
      <c r="BE673" s="1948">
        <v>305.20000000000005</v>
      </c>
      <c r="BF673" s="1949">
        <v>810</v>
      </c>
      <c r="BG673" s="1949">
        <v>0.9698</v>
      </c>
      <c r="BH673" s="1949">
        <v>0</v>
      </c>
      <c r="BI673" s="1948">
        <v>104695</v>
      </c>
      <c r="BJ673" s="1948">
        <f t="shared" si="162"/>
        <v>136241</v>
      </c>
      <c r="BK673" s="1948">
        <f t="shared" si="163"/>
        <v>0</v>
      </c>
    </row>
    <row r="674" spans="1:63" ht="15">
      <c r="A674" s="1946">
        <v>613000000044</v>
      </c>
      <c r="B674" s="1947">
        <f t="shared" si="164"/>
        <v>668</v>
      </c>
      <c r="C674" s="1906" t="s">
        <v>3605</v>
      </c>
      <c r="D674" s="1907" t="s">
        <v>524</v>
      </c>
      <c r="E674" s="1906" t="s">
        <v>730</v>
      </c>
      <c r="F674" s="1948" t="s">
        <v>259</v>
      </c>
      <c r="G674" s="1949">
        <v>818</v>
      </c>
      <c r="H674" s="1948">
        <v>0</v>
      </c>
      <c r="I674" s="1950">
        <v>0</v>
      </c>
      <c r="J674" s="1948">
        <v>0</v>
      </c>
      <c r="K674" s="1948">
        <v>0</v>
      </c>
      <c r="L674" s="1948">
        <v>0</v>
      </c>
      <c r="M674" s="1948">
        <v>0</v>
      </c>
      <c r="N674" s="1948">
        <f t="shared" si="150"/>
        <v>0</v>
      </c>
      <c r="O674" s="1948">
        <f t="shared" si="151"/>
        <v>0</v>
      </c>
      <c r="P674" s="1948">
        <v>0</v>
      </c>
      <c r="Q674" s="1948">
        <v>0</v>
      </c>
      <c r="R674" s="1948">
        <v>0</v>
      </c>
      <c r="S674" s="1948">
        <v>0</v>
      </c>
      <c r="T674" s="1948">
        <v>0</v>
      </c>
      <c r="U674" s="1948">
        <v>0</v>
      </c>
      <c r="V674" s="1948">
        <f t="shared" si="152"/>
        <v>0</v>
      </c>
      <c r="W674" s="1948">
        <f t="shared" si="153"/>
        <v>0</v>
      </c>
      <c r="X674" s="1948">
        <v>818</v>
      </c>
      <c r="Y674" s="1948">
        <v>0.72000000000000008</v>
      </c>
      <c r="Z674" s="1948">
        <v>654.4</v>
      </c>
      <c r="AA674" s="1948">
        <v>0</v>
      </c>
      <c r="AB674" s="1948">
        <v>0</v>
      </c>
      <c r="AC674" s="1948">
        <v>0</v>
      </c>
      <c r="AD674" s="1948">
        <f t="shared" si="154"/>
        <v>311</v>
      </c>
      <c r="AE674" s="1948">
        <f t="shared" si="155"/>
        <v>0</v>
      </c>
      <c r="AF674" s="1948">
        <v>818</v>
      </c>
      <c r="AG674" s="1948">
        <v>233.28</v>
      </c>
      <c r="AH674" s="1948">
        <v>654.4</v>
      </c>
      <c r="AI674" s="1948">
        <v>0.95309999999999995</v>
      </c>
      <c r="AJ674" s="1948">
        <v>6.08</v>
      </c>
      <c r="AK674" s="1948">
        <v>10557</v>
      </c>
      <c r="AL674" s="1948">
        <f t="shared" si="156"/>
        <v>104136</v>
      </c>
      <c r="AM674" s="1948">
        <f t="shared" si="157"/>
        <v>0</v>
      </c>
      <c r="AN674" s="1948">
        <v>818</v>
      </c>
      <c r="AO674" s="1948">
        <v>288</v>
      </c>
      <c r="AP674" s="1948">
        <v>654.4</v>
      </c>
      <c r="AQ674" s="1948">
        <v>0.93530000000000002</v>
      </c>
      <c r="AR674" s="1948">
        <v>5</v>
      </c>
      <c r="AS674" s="1948">
        <v>10719</v>
      </c>
      <c r="AT674" s="1948">
        <f t="shared" si="158"/>
        <v>128563</v>
      </c>
      <c r="AU674" s="1948">
        <f t="shared" si="159"/>
        <v>0</v>
      </c>
      <c r="AV674" s="1948">
        <v>818</v>
      </c>
      <c r="AW674" s="1948">
        <v>303.12</v>
      </c>
      <c r="AX674" s="1948">
        <v>654.4</v>
      </c>
      <c r="AY674" s="1948">
        <v>0.92230000000000001</v>
      </c>
      <c r="AZ674" s="1948">
        <v>8.76</v>
      </c>
      <c r="BA674" s="1948">
        <v>19125</v>
      </c>
      <c r="BB674" s="1948">
        <f t="shared" si="160"/>
        <v>130948</v>
      </c>
      <c r="BC674" s="1948">
        <f t="shared" si="161"/>
        <v>0</v>
      </c>
      <c r="BD674" s="1949">
        <v>818</v>
      </c>
      <c r="BE674" s="1948">
        <v>288</v>
      </c>
      <c r="BF674" s="1949">
        <v>654.4</v>
      </c>
      <c r="BG674" s="1949">
        <v>0.91379999999999995</v>
      </c>
      <c r="BH674" s="1949">
        <v>3.92</v>
      </c>
      <c r="BI674" s="1948">
        <v>7317</v>
      </c>
      <c r="BJ674" s="1948">
        <f t="shared" si="162"/>
        <v>128563</v>
      </c>
      <c r="BK674" s="1948">
        <f t="shared" si="163"/>
        <v>0</v>
      </c>
    </row>
    <row r="675" spans="1:63" ht="15">
      <c r="A675" s="1946">
        <v>123000000088</v>
      </c>
      <c r="B675" s="1947">
        <f t="shared" si="164"/>
        <v>669</v>
      </c>
      <c r="C675" s="1906" t="s">
        <v>3496</v>
      </c>
      <c r="D675" s="1907" t="s">
        <v>524</v>
      </c>
      <c r="E675" s="1906" t="s">
        <v>623</v>
      </c>
      <c r="F675" s="1948" t="s">
        <v>259</v>
      </c>
      <c r="G675" s="1949">
        <v>825</v>
      </c>
      <c r="H675" s="1948">
        <v>825</v>
      </c>
      <c r="I675" s="1950">
        <v>642</v>
      </c>
      <c r="J675" s="1948">
        <v>825</v>
      </c>
      <c r="K675" s="1948">
        <v>0.97770000000000001</v>
      </c>
      <c r="L675" s="1948">
        <v>0</v>
      </c>
      <c r="M675" s="1948">
        <v>99970</v>
      </c>
      <c r="N675" s="1948">
        <f t="shared" si="150"/>
        <v>277344</v>
      </c>
      <c r="O675" s="1948">
        <f t="shared" si="151"/>
        <v>0</v>
      </c>
      <c r="P675" s="1948">
        <v>825</v>
      </c>
      <c r="Q675" s="1948">
        <v>688.4</v>
      </c>
      <c r="R675" s="1948">
        <v>825</v>
      </c>
      <c r="S675" s="1948">
        <v>0.99029999999999996</v>
      </c>
      <c r="T675" s="1948">
        <v>0</v>
      </c>
      <c r="U675" s="1948">
        <v>268675</v>
      </c>
      <c r="V675" s="1948">
        <f t="shared" si="152"/>
        <v>307302</v>
      </c>
      <c r="W675" s="1948">
        <f t="shared" si="153"/>
        <v>0</v>
      </c>
      <c r="X675" s="1948">
        <v>825</v>
      </c>
      <c r="Y675" s="1948">
        <v>674.8</v>
      </c>
      <c r="Z675" s="1948">
        <v>825</v>
      </c>
      <c r="AA675" s="1948">
        <v>0.95209999999999995</v>
      </c>
      <c r="AB675" s="1948">
        <v>0</v>
      </c>
      <c r="AC675" s="1948">
        <v>363725</v>
      </c>
      <c r="AD675" s="1948">
        <f t="shared" si="154"/>
        <v>291514</v>
      </c>
      <c r="AE675" s="1948">
        <f t="shared" si="155"/>
        <v>72211</v>
      </c>
      <c r="AF675" s="1948">
        <v>825</v>
      </c>
      <c r="AG675" s="1948">
        <v>694.4</v>
      </c>
      <c r="AH675" s="1948">
        <v>825</v>
      </c>
      <c r="AI675" s="1948">
        <v>0.95130000000000003</v>
      </c>
      <c r="AJ675" s="1948">
        <v>0</v>
      </c>
      <c r="AK675" s="1948">
        <v>370585</v>
      </c>
      <c r="AL675" s="1948">
        <f t="shared" si="156"/>
        <v>309980</v>
      </c>
      <c r="AM675" s="1948">
        <f t="shared" si="157"/>
        <v>60605</v>
      </c>
      <c r="AN675" s="1948">
        <v>825</v>
      </c>
      <c r="AO675" s="1948">
        <v>688</v>
      </c>
      <c r="AP675" s="1948">
        <v>825</v>
      </c>
      <c r="AQ675" s="1948">
        <v>0.95499999999999996</v>
      </c>
      <c r="AR675" s="1948">
        <v>0</v>
      </c>
      <c r="AS675" s="1948">
        <v>355510</v>
      </c>
      <c r="AT675" s="1948">
        <f t="shared" si="158"/>
        <v>307123</v>
      </c>
      <c r="AU675" s="1948">
        <f t="shared" si="159"/>
        <v>48387</v>
      </c>
      <c r="AV675" s="1948">
        <v>825</v>
      </c>
      <c r="AW675" s="1948">
        <v>676.8</v>
      </c>
      <c r="AX675" s="1948">
        <v>825</v>
      </c>
      <c r="AY675" s="1948">
        <v>0.96389999999999998</v>
      </c>
      <c r="AZ675" s="1948">
        <v>0</v>
      </c>
      <c r="BA675" s="1948">
        <v>279290</v>
      </c>
      <c r="BB675" s="1948">
        <f t="shared" si="160"/>
        <v>292378</v>
      </c>
      <c r="BC675" s="1948">
        <f t="shared" si="161"/>
        <v>0</v>
      </c>
      <c r="BD675" s="1949">
        <v>825</v>
      </c>
      <c r="BE675" s="1948">
        <v>697.6</v>
      </c>
      <c r="BF675" s="1949">
        <v>825</v>
      </c>
      <c r="BG675" s="1949">
        <v>0.95399999999999996</v>
      </c>
      <c r="BH675" s="1949">
        <v>0</v>
      </c>
      <c r="BI675" s="1948">
        <v>336770</v>
      </c>
      <c r="BJ675" s="1948">
        <f t="shared" si="162"/>
        <v>311409</v>
      </c>
      <c r="BK675" s="1948">
        <f t="shared" si="163"/>
        <v>25361</v>
      </c>
    </row>
    <row r="676" spans="1:63" ht="15">
      <c r="A676" s="1946">
        <v>621000000068</v>
      </c>
      <c r="B676" s="1947">
        <f t="shared" si="164"/>
        <v>670</v>
      </c>
      <c r="C676" s="1906" t="s">
        <v>3497</v>
      </c>
      <c r="D676" s="1907" t="s">
        <v>524</v>
      </c>
      <c r="E676" s="1906" t="s">
        <v>730</v>
      </c>
      <c r="F676" s="1948" t="s">
        <v>259</v>
      </c>
      <c r="G676" s="1949">
        <v>828</v>
      </c>
      <c r="H676" s="1948">
        <v>828</v>
      </c>
      <c r="I676" s="1950">
        <v>394.4</v>
      </c>
      <c r="J676" s="1948">
        <v>662.4</v>
      </c>
      <c r="K676" s="1948">
        <v>0.83140000000000003</v>
      </c>
      <c r="L676" s="1948">
        <v>8.5</v>
      </c>
      <c r="M676" s="1948">
        <v>24140</v>
      </c>
      <c r="N676" s="1948">
        <f t="shared" si="150"/>
        <v>170381</v>
      </c>
      <c r="O676" s="1948">
        <f t="shared" si="151"/>
        <v>0</v>
      </c>
      <c r="P676" s="1948">
        <v>828</v>
      </c>
      <c r="Q676" s="1948">
        <v>370.40000000000003</v>
      </c>
      <c r="R676" s="1948">
        <v>662.4</v>
      </c>
      <c r="S676" s="1948">
        <v>0.82620000000000005</v>
      </c>
      <c r="T676" s="1948">
        <v>8.1</v>
      </c>
      <c r="U676" s="1948">
        <v>22330</v>
      </c>
      <c r="V676" s="1948">
        <f t="shared" si="152"/>
        <v>165347</v>
      </c>
      <c r="W676" s="1948">
        <f t="shared" si="153"/>
        <v>0</v>
      </c>
      <c r="X676" s="1948">
        <v>828</v>
      </c>
      <c r="Y676" s="1948">
        <v>390.40000000000003</v>
      </c>
      <c r="Z676" s="1948">
        <v>662.4</v>
      </c>
      <c r="AA676" s="1948">
        <v>0.85060000000000002</v>
      </c>
      <c r="AB676" s="1948">
        <v>7.95</v>
      </c>
      <c r="AC676" s="1948">
        <v>22360</v>
      </c>
      <c r="AD676" s="1948">
        <f t="shared" si="154"/>
        <v>168653</v>
      </c>
      <c r="AE676" s="1948">
        <f t="shared" si="155"/>
        <v>0</v>
      </c>
      <c r="AF676" s="1948">
        <v>828</v>
      </c>
      <c r="AG676" s="1948">
        <v>395.2</v>
      </c>
      <c r="AH676" s="1948">
        <v>662.4</v>
      </c>
      <c r="AI676" s="1948">
        <v>0.87180000000000002</v>
      </c>
      <c r="AJ676" s="1948">
        <v>8.81</v>
      </c>
      <c r="AK676" s="1948">
        <v>25900</v>
      </c>
      <c r="AL676" s="1948">
        <f t="shared" si="156"/>
        <v>176417</v>
      </c>
      <c r="AM676" s="1948">
        <f t="shared" si="157"/>
        <v>0</v>
      </c>
      <c r="AN676" s="1948">
        <v>828</v>
      </c>
      <c r="AO676" s="1948">
        <v>394.4</v>
      </c>
      <c r="AP676" s="1948">
        <v>662.4</v>
      </c>
      <c r="AQ676" s="1948">
        <v>0.81289999999999996</v>
      </c>
      <c r="AR676" s="1948">
        <v>7.14</v>
      </c>
      <c r="AS676" s="1948">
        <v>20960</v>
      </c>
      <c r="AT676" s="1948">
        <f t="shared" si="158"/>
        <v>176060</v>
      </c>
      <c r="AU676" s="1948">
        <f t="shared" si="159"/>
        <v>0</v>
      </c>
      <c r="AV676" s="1948">
        <v>828</v>
      </c>
      <c r="AW676" s="1948">
        <v>378.40000000000003</v>
      </c>
      <c r="AX676" s="1948">
        <v>662.4</v>
      </c>
      <c r="AY676" s="1948">
        <v>0.78859999999999997</v>
      </c>
      <c r="AZ676" s="1948">
        <v>7.21</v>
      </c>
      <c r="BA676" s="1948">
        <v>19640</v>
      </c>
      <c r="BB676" s="1948">
        <f t="shared" si="160"/>
        <v>163469</v>
      </c>
      <c r="BC676" s="1948">
        <f t="shared" si="161"/>
        <v>0</v>
      </c>
      <c r="BD676" s="1949">
        <v>828</v>
      </c>
      <c r="BE676" s="1948">
        <v>383.2</v>
      </c>
      <c r="BF676" s="1949">
        <v>662.4</v>
      </c>
      <c r="BG676" s="1949">
        <v>0.8216</v>
      </c>
      <c r="BH676" s="1949">
        <v>10.74</v>
      </c>
      <c r="BI676" s="1948">
        <v>30610</v>
      </c>
      <c r="BJ676" s="1948">
        <f t="shared" si="162"/>
        <v>171060</v>
      </c>
      <c r="BK676" s="1948">
        <f t="shared" si="163"/>
        <v>0</v>
      </c>
    </row>
    <row r="677" spans="1:63" ht="15">
      <c r="A677" s="1946">
        <v>123000000097</v>
      </c>
      <c r="B677" s="1947">
        <f t="shared" si="164"/>
        <v>671</v>
      </c>
      <c r="C677" s="1906" t="s">
        <v>3498</v>
      </c>
      <c r="D677" s="1907" t="s">
        <v>524</v>
      </c>
      <c r="E677" s="1906" t="s">
        <v>2966</v>
      </c>
      <c r="F677" s="1948" t="s">
        <v>259</v>
      </c>
      <c r="G677" s="1949">
        <v>833</v>
      </c>
      <c r="H677" s="1948">
        <v>833</v>
      </c>
      <c r="I677" s="1950">
        <v>482.8</v>
      </c>
      <c r="J677" s="1948">
        <v>833</v>
      </c>
      <c r="K677" s="1948">
        <v>0.7853</v>
      </c>
      <c r="L677" s="1948">
        <v>0</v>
      </c>
      <c r="M677" s="1948">
        <v>179545</v>
      </c>
      <c r="N677" s="1948">
        <f t="shared" si="150"/>
        <v>208570</v>
      </c>
      <c r="O677" s="1948">
        <f t="shared" si="151"/>
        <v>0</v>
      </c>
      <c r="P677" s="1948">
        <v>833</v>
      </c>
      <c r="Q677" s="1948">
        <v>627.20000000000005</v>
      </c>
      <c r="R677" s="1948">
        <v>833</v>
      </c>
      <c r="S677" s="1948">
        <v>0.77959999999999996</v>
      </c>
      <c r="T677" s="1948">
        <v>0</v>
      </c>
      <c r="U677" s="1948">
        <v>249540</v>
      </c>
      <c r="V677" s="1948">
        <f t="shared" si="152"/>
        <v>279982</v>
      </c>
      <c r="W677" s="1948">
        <f t="shared" si="153"/>
        <v>0</v>
      </c>
      <c r="X677" s="1948">
        <v>833</v>
      </c>
      <c r="Y677" s="1948">
        <v>477.6</v>
      </c>
      <c r="Z677" s="1948">
        <v>833</v>
      </c>
      <c r="AA677" s="1948">
        <v>0.76959999999999995</v>
      </c>
      <c r="AB677" s="1948">
        <v>0</v>
      </c>
      <c r="AC677" s="1948">
        <v>74500</v>
      </c>
      <c r="AD677" s="1948">
        <f t="shared" si="154"/>
        <v>206323</v>
      </c>
      <c r="AE677" s="1948">
        <f t="shared" si="155"/>
        <v>0</v>
      </c>
      <c r="AF677" s="1948">
        <v>833</v>
      </c>
      <c r="AG677" s="1948">
        <v>385.6</v>
      </c>
      <c r="AH677" s="1948">
        <v>833</v>
      </c>
      <c r="AI677" s="1948">
        <v>0.7782</v>
      </c>
      <c r="AJ677" s="1948">
        <v>0</v>
      </c>
      <c r="AK677" s="1948">
        <v>107470</v>
      </c>
      <c r="AL677" s="1948">
        <f t="shared" si="156"/>
        <v>172132</v>
      </c>
      <c r="AM677" s="1948">
        <f t="shared" si="157"/>
        <v>0</v>
      </c>
      <c r="AN677" s="1948">
        <v>833</v>
      </c>
      <c r="AO677" s="1948">
        <v>498.8</v>
      </c>
      <c r="AP677" s="1948">
        <v>833</v>
      </c>
      <c r="AQ677" s="1948">
        <v>0.76729999999999998</v>
      </c>
      <c r="AR677" s="1948">
        <v>0</v>
      </c>
      <c r="AS677" s="1948">
        <v>195665</v>
      </c>
      <c r="AT677" s="1948">
        <f t="shared" si="158"/>
        <v>222664</v>
      </c>
      <c r="AU677" s="1948">
        <f t="shared" si="159"/>
        <v>0</v>
      </c>
      <c r="AV677" s="1948">
        <v>833</v>
      </c>
      <c r="AW677" s="1948">
        <v>480</v>
      </c>
      <c r="AX677" s="1948">
        <v>833</v>
      </c>
      <c r="AY677" s="1948">
        <v>0.75790000000000002</v>
      </c>
      <c r="AZ677" s="1948">
        <v>0</v>
      </c>
      <c r="BA677" s="1948">
        <v>118110</v>
      </c>
      <c r="BB677" s="1948">
        <f t="shared" si="160"/>
        <v>207360</v>
      </c>
      <c r="BC677" s="1948">
        <f t="shared" si="161"/>
        <v>0</v>
      </c>
      <c r="BD677" s="1949">
        <v>833</v>
      </c>
      <c r="BE677" s="1948">
        <v>211.6</v>
      </c>
      <c r="BF677" s="1949">
        <v>833</v>
      </c>
      <c r="BG677" s="1949">
        <v>0.74750000000000005</v>
      </c>
      <c r="BH677" s="1949">
        <v>0</v>
      </c>
      <c r="BI677" s="1948">
        <v>36205</v>
      </c>
      <c r="BJ677" s="1948">
        <f t="shared" si="162"/>
        <v>94458</v>
      </c>
      <c r="BK677" s="1948">
        <f t="shared" si="163"/>
        <v>0</v>
      </c>
    </row>
    <row r="678" spans="1:63" ht="15">
      <c r="A678" s="1946">
        <v>615000000027</v>
      </c>
      <c r="B678" s="1947">
        <f t="shared" si="164"/>
        <v>672</v>
      </c>
      <c r="C678" s="1906" t="s">
        <v>3499</v>
      </c>
      <c r="D678" s="1907" t="s">
        <v>524</v>
      </c>
      <c r="E678" s="1906" t="s">
        <v>629</v>
      </c>
      <c r="F678" s="1948" t="s">
        <v>259</v>
      </c>
      <c r="G678" s="1949">
        <v>833.33</v>
      </c>
      <c r="H678" s="1948">
        <v>833.33</v>
      </c>
      <c r="I678" s="1950">
        <v>30.240000000000002</v>
      </c>
      <c r="J678" s="1948">
        <v>833.33</v>
      </c>
      <c r="K678" s="1948">
        <v>0.99890000000000001</v>
      </c>
      <c r="L678" s="1948">
        <v>0</v>
      </c>
      <c r="M678" s="1948">
        <v>11550</v>
      </c>
      <c r="N678" s="1948">
        <f t="shared" si="150"/>
        <v>13064</v>
      </c>
      <c r="O678" s="1948">
        <f t="shared" si="151"/>
        <v>0</v>
      </c>
      <c r="P678" s="1948">
        <v>833.33</v>
      </c>
      <c r="Q678" s="1948">
        <v>26.88</v>
      </c>
      <c r="R678" s="1948">
        <v>833.33</v>
      </c>
      <c r="S678" s="1948">
        <v>0.99819999999999998</v>
      </c>
      <c r="T678" s="1948">
        <v>0</v>
      </c>
      <c r="U678" s="1948">
        <v>10542</v>
      </c>
      <c r="V678" s="1948">
        <f t="shared" si="152"/>
        <v>11999</v>
      </c>
      <c r="W678" s="1948">
        <f t="shared" si="153"/>
        <v>0</v>
      </c>
      <c r="X678" s="1948">
        <v>833.33</v>
      </c>
      <c r="Y678" s="1948">
        <v>31.2</v>
      </c>
      <c r="Z678" s="1948">
        <v>833.33</v>
      </c>
      <c r="AA678" s="1948">
        <v>0.99819999999999998</v>
      </c>
      <c r="AB678" s="1948">
        <v>0</v>
      </c>
      <c r="AC678" s="1948">
        <v>10188</v>
      </c>
      <c r="AD678" s="1948">
        <f t="shared" si="154"/>
        <v>13478</v>
      </c>
      <c r="AE678" s="1948">
        <f t="shared" si="155"/>
        <v>0</v>
      </c>
      <c r="AF678" s="1948">
        <v>833.33</v>
      </c>
      <c r="AG678" s="1948">
        <v>29.28</v>
      </c>
      <c r="AH678" s="1948">
        <v>833.33</v>
      </c>
      <c r="AI678" s="1948">
        <v>0.99819999999999998</v>
      </c>
      <c r="AJ678" s="1948">
        <v>0</v>
      </c>
      <c r="AK678" s="1948">
        <v>10272</v>
      </c>
      <c r="AL678" s="1948">
        <f t="shared" si="156"/>
        <v>13071</v>
      </c>
      <c r="AM678" s="1948">
        <f t="shared" si="157"/>
        <v>0</v>
      </c>
      <c r="AN678" s="1948">
        <v>833.33</v>
      </c>
      <c r="AO678" s="1948">
        <v>28.44</v>
      </c>
      <c r="AP678" s="1948">
        <v>833.33</v>
      </c>
      <c r="AQ678" s="1948">
        <v>0.99009999999999998</v>
      </c>
      <c r="AR678" s="1948">
        <v>0</v>
      </c>
      <c r="AS678" s="1948">
        <v>9777</v>
      </c>
      <c r="AT678" s="1948">
        <f t="shared" si="158"/>
        <v>12696</v>
      </c>
      <c r="AU678" s="1948">
        <f t="shared" si="159"/>
        <v>0</v>
      </c>
      <c r="AV678" s="1948">
        <v>833.33</v>
      </c>
      <c r="AW678" s="1948">
        <v>27.720000000000002</v>
      </c>
      <c r="AX678" s="1948">
        <v>833.33</v>
      </c>
      <c r="AY678" s="1948">
        <v>0.97340000000000004</v>
      </c>
      <c r="AZ678" s="1948">
        <v>0</v>
      </c>
      <c r="BA678" s="1948">
        <v>10314</v>
      </c>
      <c r="BB678" s="1948">
        <f t="shared" si="160"/>
        <v>11975</v>
      </c>
      <c r="BC678" s="1948">
        <f t="shared" si="161"/>
        <v>0</v>
      </c>
      <c r="BD678" s="1949">
        <v>833.33</v>
      </c>
      <c r="BE678" s="1948">
        <v>28.08</v>
      </c>
      <c r="BF678" s="1949">
        <v>833.33</v>
      </c>
      <c r="BG678" s="1949">
        <v>0.97389999999999999</v>
      </c>
      <c r="BH678" s="1949">
        <v>0</v>
      </c>
      <c r="BI678" s="1948">
        <v>10017</v>
      </c>
      <c r="BJ678" s="1948">
        <f t="shared" si="162"/>
        <v>12535</v>
      </c>
      <c r="BK678" s="1948">
        <f t="shared" si="163"/>
        <v>0</v>
      </c>
    </row>
    <row r="679" spans="1:63" ht="15">
      <c r="A679" s="1946">
        <v>126000000055</v>
      </c>
      <c r="B679" s="1947">
        <f t="shared" si="164"/>
        <v>673</v>
      </c>
      <c r="C679" s="1906" t="s">
        <v>3500</v>
      </c>
      <c r="D679" s="1907" t="s">
        <v>524</v>
      </c>
      <c r="E679" s="1906" t="s">
        <v>623</v>
      </c>
      <c r="F679" s="1948" t="s">
        <v>259</v>
      </c>
      <c r="G679" s="1949">
        <v>834</v>
      </c>
      <c r="H679" s="1948">
        <v>834</v>
      </c>
      <c r="I679" s="1950">
        <v>325.44</v>
      </c>
      <c r="J679" s="1948">
        <v>667.2</v>
      </c>
      <c r="K679" s="1948">
        <v>0.99839999999999995</v>
      </c>
      <c r="L679" s="1948">
        <v>14.65</v>
      </c>
      <c r="M679" s="1948">
        <v>34338</v>
      </c>
      <c r="N679" s="1948">
        <f t="shared" si="150"/>
        <v>140590</v>
      </c>
      <c r="O679" s="1948">
        <f t="shared" si="151"/>
        <v>0</v>
      </c>
      <c r="P679" s="1948">
        <v>834</v>
      </c>
      <c r="Q679" s="1948">
        <v>356.16</v>
      </c>
      <c r="R679" s="1948">
        <v>667.2</v>
      </c>
      <c r="S679" s="1948">
        <v>0.86380000000000001</v>
      </c>
      <c r="T679" s="1948">
        <v>15.61</v>
      </c>
      <c r="U679" s="1948">
        <v>41370</v>
      </c>
      <c r="V679" s="1948">
        <f t="shared" si="152"/>
        <v>158990</v>
      </c>
      <c r="W679" s="1948">
        <f t="shared" si="153"/>
        <v>0</v>
      </c>
      <c r="X679" s="1948">
        <v>834</v>
      </c>
      <c r="Y679" s="1948">
        <v>614.88</v>
      </c>
      <c r="Z679" s="1948">
        <v>667.2</v>
      </c>
      <c r="AA679" s="1948">
        <v>0.78359999999999996</v>
      </c>
      <c r="AB679" s="1948">
        <v>18.78</v>
      </c>
      <c r="AC679" s="1948">
        <v>83154</v>
      </c>
      <c r="AD679" s="1948">
        <f t="shared" si="154"/>
        <v>265628</v>
      </c>
      <c r="AE679" s="1948">
        <f t="shared" si="155"/>
        <v>0</v>
      </c>
      <c r="AF679" s="1948">
        <v>834</v>
      </c>
      <c r="AG679" s="1948">
        <v>447.36</v>
      </c>
      <c r="AH679" s="1948">
        <v>834</v>
      </c>
      <c r="AI679" s="1948">
        <v>0.79310000000000003</v>
      </c>
      <c r="AJ679" s="1948">
        <v>0</v>
      </c>
      <c r="AK679" s="1948">
        <v>62700</v>
      </c>
      <c r="AL679" s="1948">
        <f t="shared" si="156"/>
        <v>199702</v>
      </c>
      <c r="AM679" s="1948">
        <f t="shared" si="157"/>
        <v>0</v>
      </c>
      <c r="AN679" s="1948">
        <v>834</v>
      </c>
      <c r="AO679" s="1948">
        <v>652.31999999999994</v>
      </c>
      <c r="AP679" s="1948">
        <v>834</v>
      </c>
      <c r="AQ679" s="1948">
        <v>0.80859999999999999</v>
      </c>
      <c r="AR679" s="1948">
        <v>0</v>
      </c>
      <c r="AS679" s="1948">
        <v>74160</v>
      </c>
      <c r="AT679" s="1948">
        <f t="shared" si="158"/>
        <v>291196</v>
      </c>
      <c r="AU679" s="1948">
        <f t="shared" si="159"/>
        <v>0</v>
      </c>
      <c r="AV679" s="1948">
        <v>834</v>
      </c>
      <c r="AW679" s="1948">
        <v>586.56000000000006</v>
      </c>
      <c r="AX679" s="1948">
        <v>834</v>
      </c>
      <c r="AY679" s="1948">
        <v>0.995</v>
      </c>
      <c r="AZ679" s="1948">
        <v>0</v>
      </c>
      <c r="BA679" s="1948">
        <v>100104</v>
      </c>
      <c r="BB679" s="1948">
        <f t="shared" si="160"/>
        <v>253394</v>
      </c>
      <c r="BC679" s="1948">
        <f t="shared" si="161"/>
        <v>0</v>
      </c>
      <c r="BD679" s="1949">
        <v>834</v>
      </c>
      <c r="BE679" s="1948">
        <v>593.28</v>
      </c>
      <c r="BF679" s="1949">
        <v>834</v>
      </c>
      <c r="BG679" s="1949">
        <v>0.96830000000000005</v>
      </c>
      <c r="BH679" s="1949">
        <v>0</v>
      </c>
      <c r="BI679" s="1948">
        <v>99048</v>
      </c>
      <c r="BJ679" s="1948">
        <f t="shared" si="162"/>
        <v>264840</v>
      </c>
      <c r="BK679" s="1948">
        <f t="shared" si="163"/>
        <v>0</v>
      </c>
    </row>
    <row r="680" spans="1:63" ht="15">
      <c r="A680" s="1946">
        <v>622000000048</v>
      </c>
      <c r="B680" s="1947">
        <f t="shared" si="164"/>
        <v>674</v>
      </c>
      <c r="C680" s="1906" t="s">
        <v>3501</v>
      </c>
      <c r="D680" s="1907" t="s">
        <v>524</v>
      </c>
      <c r="E680" s="1906" t="s">
        <v>541</v>
      </c>
      <c r="F680" s="1948" t="s">
        <v>259</v>
      </c>
      <c r="G680" s="1949">
        <v>834</v>
      </c>
      <c r="H680" s="1948">
        <v>834</v>
      </c>
      <c r="I680" s="1950">
        <v>560</v>
      </c>
      <c r="J680" s="1948">
        <v>667.2</v>
      </c>
      <c r="K680" s="1948">
        <v>0.97389999999999999</v>
      </c>
      <c r="L680" s="1948">
        <v>60.11</v>
      </c>
      <c r="M680" s="1948">
        <v>274700</v>
      </c>
      <c r="N680" s="1948">
        <f t="shared" si="150"/>
        <v>241920</v>
      </c>
      <c r="O680" s="1948">
        <f t="shared" si="151"/>
        <v>32780</v>
      </c>
      <c r="P680" s="1948">
        <v>834</v>
      </c>
      <c r="Q680" s="1948">
        <v>525.20000000000005</v>
      </c>
      <c r="R680" s="1948">
        <v>667.2</v>
      </c>
      <c r="S680" s="1948">
        <v>0.96699999999999997</v>
      </c>
      <c r="T680" s="1948">
        <v>63.3</v>
      </c>
      <c r="U680" s="1948">
        <v>207445</v>
      </c>
      <c r="V680" s="1948">
        <f t="shared" si="152"/>
        <v>234449</v>
      </c>
      <c r="W680" s="1948">
        <f t="shared" si="153"/>
        <v>0</v>
      </c>
      <c r="X680" s="1948">
        <v>834</v>
      </c>
      <c r="Y680" s="1948">
        <v>529.20000000000005</v>
      </c>
      <c r="Z680" s="1948">
        <v>667.2</v>
      </c>
      <c r="AA680" s="1948">
        <v>0.96440000000000003</v>
      </c>
      <c r="AB680" s="1948">
        <v>62.64</v>
      </c>
      <c r="AC680" s="1948">
        <v>278460</v>
      </c>
      <c r="AD680" s="1948">
        <f t="shared" si="154"/>
        <v>228614</v>
      </c>
      <c r="AE680" s="1948">
        <f t="shared" si="155"/>
        <v>49846</v>
      </c>
      <c r="AF680" s="1948">
        <v>834</v>
      </c>
      <c r="AG680" s="1948">
        <v>563.20000000000005</v>
      </c>
      <c r="AH680" s="1948">
        <v>667.2</v>
      </c>
      <c r="AI680" s="1948">
        <v>0.96630000000000005</v>
      </c>
      <c r="AJ680" s="1948">
        <v>58.04</v>
      </c>
      <c r="AK680" s="1948">
        <v>266725</v>
      </c>
      <c r="AL680" s="1948">
        <f t="shared" si="156"/>
        <v>251412</v>
      </c>
      <c r="AM680" s="1948">
        <f t="shared" si="157"/>
        <v>15313</v>
      </c>
      <c r="AN680" s="1948">
        <v>834</v>
      </c>
      <c r="AO680" s="1948">
        <v>646.4</v>
      </c>
      <c r="AP680" s="1948">
        <v>667.2</v>
      </c>
      <c r="AQ680" s="1948">
        <v>0.96079999999999999</v>
      </c>
      <c r="AR680" s="1948">
        <v>62.77</v>
      </c>
      <c r="AS680" s="1948">
        <v>301880</v>
      </c>
      <c r="AT680" s="1948">
        <f t="shared" si="158"/>
        <v>288553</v>
      </c>
      <c r="AU680" s="1948">
        <f t="shared" si="159"/>
        <v>13327</v>
      </c>
      <c r="AV680" s="1948">
        <v>834</v>
      </c>
      <c r="AW680" s="1948">
        <v>691.2</v>
      </c>
      <c r="AX680" s="1948">
        <v>691.2</v>
      </c>
      <c r="AY680" s="1948">
        <v>0.95369999999999999</v>
      </c>
      <c r="AZ680" s="1948">
        <v>58.84</v>
      </c>
      <c r="BA680" s="1948">
        <v>292830</v>
      </c>
      <c r="BB680" s="1948">
        <f t="shared" si="160"/>
        <v>298598</v>
      </c>
      <c r="BC680" s="1948">
        <f t="shared" si="161"/>
        <v>0</v>
      </c>
      <c r="BD680" s="1949">
        <v>834</v>
      </c>
      <c r="BE680" s="1948">
        <v>640.4</v>
      </c>
      <c r="BF680" s="1949">
        <v>667.2</v>
      </c>
      <c r="BG680" s="1949">
        <v>0.9647</v>
      </c>
      <c r="BH680" s="1949">
        <v>60.39</v>
      </c>
      <c r="BI680" s="1948">
        <v>287715</v>
      </c>
      <c r="BJ680" s="1948">
        <f t="shared" si="162"/>
        <v>285875</v>
      </c>
      <c r="BK680" s="1948">
        <f t="shared" si="163"/>
        <v>1840</v>
      </c>
    </row>
    <row r="681" spans="1:63" ht="15">
      <c r="A681" s="1946">
        <v>622000000090</v>
      </c>
      <c r="B681" s="1947">
        <f t="shared" si="164"/>
        <v>675</v>
      </c>
      <c r="C681" s="1906" t="s">
        <v>3502</v>
      </c>
      <c r="D681" s="1907" t="s">
        <v>524</v>
      </c>
      <c r="E681" s="1906" t="s">
        <v>541</v>
      </c>
      <c r="F681" s="1948" t="s">
        <v>259</v>
      </c>
      <c r="G681" s="1949">
        <v>850</v>
      </c>
      <c r="H681" s="1948">
        <v>850</v>
      </c>
      <c r="I681" s="1950">
        <v>744</v>
      </c>
      <c r="J681" s="1948">
        <v>744</v>
      </c>
      <c r="K681" s="1948">
        <v>0.99260000000000004</v>
      </c>
      <c r="L681" s="1948">
        <v>65.17</v>
      </c>
      <c r="M681" s="1948">
        <v>349110</v>
      </c>
      <c r="N681" s="1948">
        <f t="shared" si="150"/>
        <v>321408</v>
      </c>
      <c r="O681" s="1948">
        <f t="shared" si="151"/>
        <v>27702</v>
      </c>
      <c r="P681" s="1948">
        <v>850</v>
      </c>
      <c r="Q681" s="1948">
        <v>766.2</v>
      </c>
      <c r="R681" s="1948">
        <v>766.2</v>
      </c>
      <c r="S681" s="1948">
        <v>0.99339999999999995</v>
      </c>
      <c r="T681" s="1948">
        <v>82.56</v>
      </c>
      <c r="U681" s="1948">
        <v>470640</v>
      </c>
      <c r="V681" s="1948">
        <f t="shared" si="152"/>
        <v>342032</v>
      </c>
      <c r="W681" s="1948">
        <f t="shared" si="153"/>
        <v>128608</v>
      </c>
      <c r="X681" s="1948">
        <v>850</v>
      </c>
      <c r="Y681" s="1948">
        <v>767.40000000000009</v>
      </c>
      <c r="Z681" s="1948">
        <v>767.4</v>
      </c>
      <c r="AA681" s="1948">
        <v>0.99150000000000005</v>
      </c>
      <c r="AB681" s="1948">
        <v>84.95</v>
      </c>
      <c r="AC681" s="1948">
        <v>469372</v>
      </c>
      <c r="AD681" s="1948">
        <f t="shared" si="154"/>
        <v>331517</v>
      </c>
      <c r="AE681" s="1948">
        <f t="shared" si="155"/>
        <v>137855</v>
      </c>
      <c r="AF681" s="1948">
        <v>850</v>
      </c>
      <c r="AG681" s="1948">
        <v>746.4</v>
      </c>
      <c r="AH681" s="1948">
        <v>746.4</v>
      </c>
      <c r="AI681" s="1948">
        <v>0.9919</v>
      </c>
      <c r="AJ681" s="1948">
        <v>70.650000000000006</v>
      </c>
      <c r="AK681" s="1948">
        <v>392333</v>
      </c>
      <c r="AL681" s="1948">
        <f t="shared" si="156"/>
        <v>333193</v>
      </c>
      <c r="AM681" s="1948">
        <f t="shared" si="157"/>
        <v>59140</v>
      </c>
      <c r="AN681" s="1948">
        <v>850</v>
      </c>
      <c r="AO681" s="1948">
        <v>730.2</v>
      </c>
      <c r="AP681" s="1948">
        <v>730.2</v>
      </c>
      <c r="AQ681" s="1948">
        <v>0.99370000000000003</v>
      </c>
      <c r="AR681" s="1948">
        <v>87.29</v>
      </c>
      <c r="AS681" s="1948">
        <v>474195</v>
      </c>
      <c r="AT681" s="1948">
        <f t="shared" si="158"/>
        <v>325961</v>
      </c>
      <c r="AU681" s="1948">
        <f t="shared" si="159"/>
        <v>148234</v>
      </c>
      <c r="AV681" s="1948">
        <v>850</v>
      </c>
      <c r="AW681" s="1948">
        <v>718.2</v>
      </c>
      <c r="AX681" s="1948">
        <v>718.2</v>
      </c>
      <c r="AY681" s="1948">
        <v>0.99380000000000002</v>
      </c>
      <c r="AZ681" s="1948">
        <v>77.45</v>
      </c>
      <c r="BA681" s="1948">
        <v>400493</v>
      </c>
      <c r="BB681" s="1948">
        <f t="shared" si="160"/>
        <v>310262</v>
      </c>
      <c r="BC681" s="1948">
        <f t="shared" si="161"/>
        <v>90231</v>
      </c>
      <c r="BD681" s="1949">
        <v>850</v>
      </c>
      <c r="BE681" s="1948">
        <v>770.39999999999986</v>
      </c>
      <c r="BF681" s="1949">
        <v>770.4</v>
      </c>
      <c r="BG681" s="1949">
        <v>0.99139999999999995</v>
      </c>
      <c r="BH681" s="1949">
        <v>81.650000000000006</v>
      </c>
      <c r="BI681" s="1948">
        <v>467985</v>
      </c>
      <c r="BJ681" s="1948">
        <f t="shared" si="162"/>
        <v>343907</v>
      </c>
      <c r="BK681" s="1948">
        <f t="shared" si="163"/>
        <v>124078</v>
      </c>
    </row>
    <row r="682" spans="1:63" ht="15">
      <c r="A682" s="1946">
        <v>122000000011</v>
      </c>
      <c r="B682" s="1947">
        <f t="shared" si="164"/>
        <v>676</v>
      </c>
      <c r="C682" s="1906" t="s">
        <v>3503</v>
      </c>
      <c r="D682" s="1907" t="s">
        <v>524</v>
      </c>
      <c r="E682" s="1906" t="s">
        <v>541</v>
      </c>
      <c r="F682" s="1948" t="s">
        <v>259</v>
      </c>
      <c r="G682" s="1949">
        <v>860</v>
      </c>
      <c r="H682" s="1948">
        <v>860</v>
      </c>
      <c r="I682" s="1950">
        <v>777.59999999999991</v>
      </c>
      <c r="J682" s="1948">
        <v>777.6</v>
      </c>
      <c r="K682" s="1948">
        <v>0.99890000000000001</v>
      </c>
      <c r="L682" s="1948">
        <v>79.099999999999994</v>
      </c>
      <c r="M682" s="1948">
        <v>442860</v>
      </c>
      <c r="N682" s="1948">
        <f t="shared" si="150"/>
        <v>335923</v>
      </c>
      <c r="O682" s="1948">
        <f t="shared" si="151"/>
        <v>106937</v>
      </c>
      <c r="P682" s="1948">
        <v>860</v>
      </c>
      <c r="Q682" s="1948">
        <v>778.80000000000007</v>
      </c>
      <c r="R682" s="1948">
        <v>778.8</v>
      </c>
      <c r="S682" s="1948">
        <v>0.99829999999999997</v>
      </c>
      <c r="T682" s="1948">
        <v>76.849999999999994</v>
      </c>
      <c r="U682" s="1948">
        <v>445270</v>
      </c>
      <c r="V682" s="1948">
        <f t="shared" si="152"/>
        <v>347656</v>
      </c>
      <c r="W682" s="1948">
        <f t="shared" si="153"/>
        <v>97614</v>
      </c>
      <c r="X682" s="1948">
        <v>860</v>
      </c>
      <c r="Y682" s="1948">
        <v>812.8</v>
      </c>
      <c r="Z682" s="1948">
        <v>812.8</v>
      </c>
      <c r="AA682" s="1948">
        <v>0.99850000000000005</v>
      </c>
      <c r="AB682" s="1948">
        <v>74.03</v>
      </c>
      <c r="AC682" s="1948">
        <v>433250</v>
      </c>
      <c r="AD682" s="1948">
        <f t="shared" si="154"/>
        <v>351130</v>
      </c>
      <c r="AE682" s="1948">
        <f t="shared" si="155"/>
        <v>82120</v>
      </c>
      <c r="AF682" s="1948">
        <v>860</v>
      </c>
      <c r="AG682" s="1948">
        <v>826.8</v>
      </c>
      <c r="AH682" s="1948">
        <v>826.8</v>
      </c>
      <c r="AI682" s="1948">
        <v>0.99850000000000005</v>
      </c>
      <c r="AJ682" s="1948">
        <v>78.81</v>
      </c>
      <c r="AK682" s="1948">
        <v>484820</v>
      </c>
      <c r="AL682" s="1948">
        <f t="shared" si="156"/>
        <v>369084</v>
      </c>
      <c r="AM682" s="1948">
        <f t="shared" si="157"/>
        <v>115736</v>
      </c>
      <c r="AN682" s="1948">
        <v>860</v>
      </c>
      <c r="AO682" s="1948">
        <v>818</v>
      </c>
      <c r="AP682" s="1948">
        <v>818</v>
      </c>
      <c r="AQ682" s="1948">
        <v>0.99909999999999999</v>
      </c>
      <c r="AR682" s="1948">
        <v>71.02</v>
      </c>
      <c r="AS682" s="1948">
        <v>432215</v>
      </c>
      <c r="AT682" s="1948">
        <f t="shared" si="158"/>
        <v>365155</v>
      </c>
      <c r="AU682" s="1948">
        <f t="shared" si="159"/>
        <v>67060</v>
      </c>
      <c r="AV682" s="1948">
        <v>860</v>
      </c>
      <c r="AW682" s="1948">
        <v>792</v>
      </c>
      <c r="AX682" s="1948">
        <v>792</v>
      </c>
      <c r="AY682" s="1948">
        <v>0.99909999999999999</v>
      </c>
      <c r="AZ682" s="1948">
        <v>74.48</v>
      </c>
      <c r="BA682" s="1948">
        <v>424735</v>
      </c>
      <c r="BB682" s="1948">
        <f t="shared" si="160"/>
        <v>342144</v>
      </c>
      <c r="BC682" s="1948">
        <f t="shared" si="161"/>
        <v>82591</v>
      </c>
      <c r="BD682" s="1949">
        <v>860</v>
      </c>
      <c r="BE682" s="1948">
        <v>808</v>
      </c>
      <c r="BF682" s="1949">
        <v>808</v>
      </c>
      <c r="BG682" s="1949">
        <v>0.99490000000000001</v>
      </c>
      <c r="BH682" s="1949">
        <v>59</v>
      </c>
      <c r="BI682" s="1948">
        <v>354655</v>
      </c>
      <c r="BJ682" s="1948">
        <f t="shared" si="162"/>
        <v>360691</v>
      </c>
      <c r="BK682" s="1948">
        <f t="shared" si="163"/>
        <v>0</v>
      </c>
    </row>
    <row r="683" spans="1:63" ht="15">
      <c r="A683" s="1946">
        <v>122000000084</v>
      </c>
      <c r="B683" s="1947">
        <f t="shared" si="164"/>
        <v>677</v>
      </c>
      <c r="C683" s="1906" t="s">
        <v>3504</v>
      </c>
      <c r="D683" s="1907" t="s">
        <v>524</v>
      </c>
      <c r="E683" s="1906" t="s">
        <v>737</v>
      </c>
      <c r="F683" s="1948" t="s">
        <v>259</v>
      </c>
      <c r="G683" s="1949">
        <v>860</v>
      </c>
      <c r="H683" s="1948">
        <v>860</v>
      </c>
      <c r="I683" s="1950">
        <v>460.32</v>
      </c>
      <c r="J683" s="1948">
        <v>688</v>
      </c>
      <c r="K683" s="1948">
        <v>0.99719999999999998</v>
      </c>
      <c r="L683" s="1948">
        <v>34.35</v>
      </c>
      <c r="M683" s="1948">
        <v>117648</v>
      </c>
      <c r="N683" s="1948">
        <f t="shared" si="150"/>
        <v>198858</v>
      </c>
      <c r="O683" s="1948">
        <f t="shared" si="151"/>
        <v>0</v>
      </c>
      <c r="P683" s="1948">
        <v>860</v>
      </c>
      <c r="Q683" s="1948">
        <v>413.76</v>
      </c>
      <c r="R683" s="1948">
        <v>688</v>
      </c>
      <c r="S683" s="1948">
        <v>0.99660000000000004</v>
      </c>
      <c r="T683" s="1948">
        <v>44.79</v>
      </c>
      <c r="U683" s="1948">
        <v>151218</v>
      </c>
      <c r="V683" s="1948">
        <f t="shared" si="152"/>
        <v>184702</v>
      </c>
      <c r="W683" s="1948">
        <f t="shared" si="153"/>
        <v>0</v>
      </c>
      <c r="X683" s="1948">
        <v>860</v>
      </c>
      <c r="Y683" s="1948">
        <v>444</v>
      </c>
      <c r="Z683" s="1948">
        <v>688</v>
      </c>
      <c r="AA683" s="1948">
        <v>0.99680000000000002</v>
      </c>
      <c r="AB683" s="1948">
        <v>36.67</v>
      </c>
      <c r="AC683" s="1948">
        <v>113322</v>
      </c>
      <c r="AD683" s="1948">
        <f t="shared" si="154"/>
        <v>191808</v>
      </c>
      <c r="AE683" s="1948">
        <f t="shared" si="155"/>
        <v>0</v>
      </c>
      <c r="AF683" s="1948">
        <v>860</v>
      </c>
      <c r="AG683" s="1948">
        <v>398.88</v>
      </c>
      <c r="AH683" s="1948">
        <v>688</v>
      </c>
      <c r="AI683" s="1948">
        <v>0.99790000000000001</v>
      </c>
      <c r="AJ683" s="1948">
        <v>44.21</v>
      </c>
      <c r="AK683" s="1948">
        <v>143898</v>
      </c>
      <c r="AL683" s="1948">
        <f t="shared" si="156"/>
        <v>178060</v>
      </c>
      <c r="AM683" s="1948">
        <f t="shared" si="157"/>
        <v>0</v>
      </c>
      <c r="AN683" s="1948">
        <v>860</v>
      </c>
      <c r="AO683" s="1948">
        <v>375.84</v>
      </c>
      <c r="AP683" s="1948">
        <v>688</v>
      </c>
      <c r="AQ683" s="1948">
        <v>0.99809999999999999</v>
      </c>
      <c r="AR683" s="1948">
        <v>48.37</v>
      </c>
      <c r="AS683" s="1948">
        <v>135252</v>
      </c>
      <c r="AT683" s="1948">
        <f t="shared" si="158"/>
        <v>167775</v>
      </c>
      <c r="AU683" s="1948">
        <f t="shared" si="159"/>
        <v>0</v>
      </c>
      <c r="AV683" s="1948">
        <v>860</v>
      </c>
      <c r="AW683" s="1948">
        <v>375.36</v>
      </c>
      <c r="AX683" s="1948">
        <v>688</v>
      </c>
      <c r="AY683" s="1948">
        <v>0.99839999999999995</v>
      </c>
      <c r="AZ683" s="1948">
        <v>48.17</v>
      </c>
      <c r="BA683" s="1948">
        <v>130182</v>
      </c>
      <c r="BB683" s="1948">
        <f t="shared" si="160"/>
        <v>162156</v>
      </c>
      <c r="BC683" s="1948">
        <f t="shared" si="161"/>
        <v>0</v>
      </c>
      <c r="BD683" s="1949">
        <v>860</v>
      </c>
      <c r="BE683" s="1948">
        <v>352.32000000000005</v>
      </c>
      <c r="BF683" s="1949">
        <v>688</v>
      </c>
      <c r="BG683" s="1949">
        <v>0.99860000000000004</v>
      </c>
      <c r="BH683" s="1949">
        <v>46.24</v>
      </c>
      <c r="BI683" s="1948">
        <v>121212</v>
      </c>
      <c r="BJ683" s="1948">
        <f t="shared" si="162"/>
        <v>157276</v>
      </c>
      <c r="BK683" s="1948">
        <f t="shared" si="163"/>
        <v>0</v>
      </c>
    </row>
    <row r="684" spans="1:63" ht="15">
      <c r="A684" s="1946">
        <v>121000000093</v>
      </c>
      <c r="B684" s="1947">
        <f t="shared" si="164"/>
        <v>678</v>
      </c>
      <c r="C684" s="1906" t="s">
        <v>3505</v>
      </c>
      <c r="D684" s="1907" t="s">
        <v>524</v>
      </c>
      <c r="E684" s="1906" t="s">
        <v>541</v>
      </c>
      <c r="F684" s="1948" t="s">
        <v>259</v>
      </c>
      <c r="G684" s="1949">
        <v>889</v>
      </c>
      <c r="H684" s="1948">
        <v>889</v>
      </c>
      <c r="I684" s="1950">
        <v>862.56</v>
      </c>
      <c r="J684" s="1948">
        <v>862.56</v>
      </c>
      <c r="K684" s="1948">
        <v>0.78110000000000002</v>
      </c>
      <c r="L684" s="1948">
        <v>38.57</v>
      </c>
      <c r="M684" s="1948">
        <v>247536</v>
      </c>
      <c r="N684" s="1948">
        <f t="shared" si="150"/>
        <v>372626</v>
      </c>
      <c r="O684" s="1948">
        <f t="shared" si="151"/>
        <v>0</v>
      </c>
      <c r="P684" s="1948">
        <v>889</v>
      </c>
      <c r="Q684" s="1948">
        <v>998.88</v>
      </c>
      <c r="R684" s="1948">
        <v>998.88</v>
      </c>
      <c r="S684" s="1948">
        <v>0.80420000000000003</v>
      </c>
      <c r="T684" s="1948">
        <v>37.159999999999997</v>
      </c>
      <c r="U684" s="1948">
        <v>276150</v>
      </c>
      <c r="V684" s="1948">
        <f t="shared" si="152"/>
        <v>445900</v>
      </c>
      <c r="W684" s="1948">
        <f t="shared" si="153"/>
        <v>0</v>
      </c>
      <c r="X684" s="1948">
        <v>889</v>
      </c>
      <c r="Y684" s="1948">
        <v>962.40000000000009</v>
      </c>
      <c r="Z684" s="1948">
        <v>962.4</v>
      </c>
      <c r="AA684" s="1948">
        <v>0.97840000000000005</v>
      </c>
      <c r="AB684" s="1948">
        <v>32.28</v>
      </c>
      <c r="AC684" s="1948">
        <v>223674</v>
      </c>
      <c r="AD684" s="1948">
        <f t="shared" si="154"/>
        <v>415757</v>
      </c>
      <c r="AE684" s="1948">
        <f t="shared" si="155"/>
        <v>0</v>
      </c>
      <c r="AF684" s="1948">
        <v>889</v>
      </c>
      <c r="AG684" s="1948">
        <v>776.64</v>
      </c>
      <c r="AH684" s="1948">
        <v>776.64</v>
      </c>
      <c r="AI684" s="1948">
        <v>0.99670000000000003</v>
      </c>
      <c r="AJ684" s="1948">
        <v>28.11</v>
      </c>
      <c r="AK684" s="1948">
        <v>157170</v>
      </c>
      <c r="AL684" s="1948">
        <f t="shared" si="156"/>
        <v>346692</v>
      </c>
      <c r="AM684" s="1948">
        <f t="shared" si="157"/>
        <v>0</v>
      </c>
      <c r="AN684" s="1948">
        <v>889</v>
      </c>
      <c r="AO684" s="1948">
        <v>637.91999999999996</v>
      </c>
      <c r="AP684" s="1948">
        <v>711.2</v>
      </c>
      <c r="AQ684" s="1948">
        <v>0.99619999999999997</v>
      </c>
      <c r="AR684" s="1948">
        <v>36.729999999999997</v>
      </c>
      <c r="AS684" s="1948">
        <v>168684</v>
      </c>
      <c r="AT684" s="1948">
        <f t="shared" si="158"/>
        <v>284767</v>
      </c>
      <c r="AU684" s="1948">
        <f t="shared" si="159"/>
        <v>0</v>
      </c>
      <c r="AV684" s="1948">
        <v>889</v>
      </c>
      <c r="AW684" s="1948">
        <v>885.12</v>
      </c>
      <c r="AX684" s="1948">
        <v>885.12</v>
      </c>
      <c r="AY684" s="1948">
        <v>0.99450000000000005</v>
      </c>
      <c r="AZ684" s="1948">
        <v>30.52</v>
      </c>
      <c r="BA684" s="1948">
        <v>213924</v>
      </c>
      <c r="BB684" s="1948">
        <f t="shared" si="160"/>
        <v>382372</v>
      </c>
      <c r="BC684" s="1948">
        <f t="shared" si="161"/>
        <v>0</v>
      </c>
      <c r="BD684" s="1949">
        <v>889</v>
      </c>
      <c r="BE684" s="1948">
        <v>1025.76</v>
      </c>
      <c r="BF684" s="1949">
        <v>1025.76</v>
      </c>
      <c r="BG684" s="1949">
        <v>0.99219999999999997</v>
      </c>
      <c r="BH684" s="1949">
        <v>32.75</v>
      </c>
      <c r="BI684" s="1948">
        <v>225726</v>
      </c>
      <c r="BJ684" s="1948">
        <f t="shared" si="162"/>
        <v>457899</v>
      </c>
      <c r="BK684" s="1948">
        <f t="shared" si="163"/>
        <v>0</v>
      </c>
    </row>
    <row r="685" spans="1:63" ht="15">
      <c r="A685" s="1946">
        <v>622000000161</v>
      </c>
      <c r="B685" s="1947">
        <f t="shared" si="164"/>
        <v>679</v>
      </c>
      <c r="C685" s="1906" t="s">
        <v>3465</v>
      </c>
      <c r="D685" s="1907" t="s">
        <v>524</v>
      </c>
      <c r="E685" s="1906" t="s">
        <v>541</v>
      </c>
      <c r="F685" s="1948" t="s">
        <v>259</v>
      </c>
      <c r="G685" s="1949">
        <v>889</v>
      </c>
      <c r="H685" s="1948">
        <v>889</v>
      </c>
      <c r="I685" s="1950">
        <v>836.4</v>
      </c>
      <c r="J685" s="1948">
        <v>836.4</v>
      </c>
      <c r="K685" s="1948">
        <v>0.88780000000000003</v>
      </c>
      <c r="L685" s="1948">
        <v>28.31</v>
      </c>
      <c r="M685" s="1948">
        <v>170505</v>
      </c>
      <c r="N685" s="1948">
        <f t="shared" si="150"/>
        <v>361325</v>
      </c>
      <c r="O685" s="1948">
        <f t="shared" si="151"/>
        <v>0</v>
      </c>
      <c r="P685" s="1948">
        <v>889</v>
      </c>
      <c r="Q685" s="1948">
        <v>830.4</v>
      </c>
      <c r="R685" s="1948">
        <v>830.4</v>
      </c>
      <c r="S685" s="1948">
        <v>0.78010000000000002</v>
      </c>
      <c r="T685" s="1948">
        <v>4.6900000000000004</v>
      </c>
      <c r="U685" s="1948">
        <v>28995</v>
      </c>
      <c r="V685" s="1948">
        <f t="shared" si="152"/>
        <v>370691</v>
      </c>
      <c r="W685" s="1948">
        <f t="shared" si="153"/>
        <v>0</v>
      </c>
      <c r="X685" s="1948">
        <v>889</v>
      </c>
      <c r="Y685" s="1948">
        <v>854.4</v>
      </c>
      <c r="Z685" s="1948">
        <v>854.4</v>
      </c>
      <c r="AA685" s="1948">
        <v>0.89890000000000003</v>
      </c>
      <c r="AB685" s="1948">
        <v>48.86</v>
      </c>
      <c r="AC685" s="1948">
        <v>300547</v>
      </c>
      <c r="AD685" s="1948">
        <f t="shared" si="154"/>
        <v>369101</v>
      </c>
      <c r="AE685" s="1948">
        <f t="shared" si="155"/>
        <v>0</v>
      </c>
      <c r="AF685" s="1948">
        <v>889</v>
      </c>
      <c r="AG685" s="1948">
        <v>880.80000000000007</v>
      </c>
      <c r="AH685" s="1948">
        <v>880.8</v>
      </c>
      <c r="AI685" s="1948">
        <v>0.90169999999999995</v>
      </c>
      <c r="AJ685" s="1948">
        <v>34.53</v>
      </c>
      <c r="AK685" s="1948">
        <v>226298</v>
      </c>
      <c r="AL685" s="1948">
        <f t="shared" si="156"/>
        <v>393189</v>
      </c>
      <c r="AM685" s="1948">
        <f t="shared" si="157"/>
        <v>0</v>
      </c>
      <c r="AN685" s="1948">
        <v>889</v>
      </c>
      <c r="AO685" s="1948">
        <v>835.19999999999993</v>
      </c>
      <c r="AP685" s="1948">
        <v>835.2</v>
      </c>
      <c r="AQ685" s="1948">
        <v>0.90110000000000001</v>
      </c>
      <c r="AR685" s="1948">
        <v>31.18</v>
      </c>
      <c r="AS685" s="1948">
        <v>193740</v>
      </c>
      <c r="AT685" s="1948">
        <f t="shared" si="158"/>
        <v>372833</v>
      </c>
      <c r="AU685" s="1948">
        <f t="shared" si="159"/>
        <v>0</v>
      </c>
      <c r="AV685" s="1948">
        <v>889</v>
      </c>
      <c r="AW685" s="1948">
        <v>871.80000000000007</v>
      </c>
      <c r="AX685" s="1948">
        <v>871.8</v>
      </c>
      <c r="AY685" s="1948">
        <v>0.9032</v>
      </c>
      <c r="AZ685" s="1948">
        <v>34.020000000000003</v>
      </c>
      <c r="BA685" s="1948">
        <v>213555</v>
      </c>
      <c r="BB685" s="1948">
        <f t="shared" si="160"/>
        <v>376618</v>
      </c>
      <c r="BC685" s="1948">
        <f t="shared" si="161"/>
        <v>0</v>
      </c>
      <c r="BD685" s="1949">
        <v>889</v>
      </c>
      <c r="BE685" s="1948">
        <v>822.00000000000011</v>
      </c>
      <c r="BF685" s="1949">
        <v>822</v>
      </c>
      <c r="BG685" s="1949">
        <v>0.90580000000000005</v>
      </c>
      <c r="BH685" s="1949">
        <v>39.24</v>
      </c>
      <c r="BI685" s="1948">
        <v>239978</v>
      </c>
      <c r="BJ685" s="1948">
        <f t="shared" si="162"/>
        <v>366941</v>
      </c>
      <c r="BK685" s="1948">
        <f t="shared" si="163"/>
        <v>0</v>
      </c>
    </row>
    <row r="686" spans="1:63" ht="15">
      <c r="A686" s="1946">
        <v>122000000082</v>
      </c>
      <c r="B686" s="1947">
        <f t="shared" si="164"/>
        <v>680</v>
      </c>
      <c r="C686" s="1906" t="s">
        <v>3507</v>
      </c>
      <c r="D686" s="1907" t="s">
        <v>524</v>
      </c>
      <c r="E686" s="1906" t="s">
        <v>623</v>
      </c>
      <c r="F686" s="1948" t="s">
        <v>259</v>
      </c>
      <c r="G686" s="1949">
        <v>900</v>
      </c>
      <c r="H686" s="1948">
        <v>900</v>
      </c>
      <c r="I686" s="1950">
        <v>817.2</v>
      </c>
      <c r="J686" s="1948">
        <v>900</v>
      </c>
      <c r="K686" s="1948">
        <v>0.98070000000000002</v>
      </c>
      <c r="L686" s="1948">
        <v>0</v>
      </c>
      <c r="M686" s="1948">
        <v>157020</v>
      </c>
      <c r="N686" s="1948">
        <f t="shared" si="150"/>
        <v>353030</v>
      </c>
      <c r="O686" s="1948">
        <f t="shared" si="151"/>
        <v>0</v>
      </c>
      <c r="P686" s="1948">
        <v>900</v>
      </c>
      <c r="Q686" s="1948">
        <v>848.40000000000009</v>
      </c>
      <c r="R686" s="1948">
        <v>900</v>
      </c>
      <c r="S686" s="1948">
        <v>0.95879999999999999</v>
      </c>
      <c r="T686" s="1948">
        <v>0</v>
      </c>
      <c r="U686" s="1948">
        <v>297515</v>
      </c>
      <c r="V686" s="1948">
        <f t="shared" si="152"/>
        <v>378726</v>
      </c>
      <c r="W686" s="1948">
        <f t="shared" si="153"/>
        <v>0</v>
      </c>
      <c r="X686" s="1948">
        <v>900</v>
      </c>
      <c r="Y686" s="1948">
        <v>900.80000000000007</v>
      </c>
      <c r="Z686" s="1948">
        <v>900.8</v>
      </c>
      <c r="AA686" s="1948">
        <v>0.95569999999999999</v>
      </c>
      <c r="AB686" s="1948">
        <v>0</v>
      </c>
      <c r="AC686" s="1948">
        <v>222280</v>
      </c>
      <c r="AD686" s="1948">
        <f t="shared" si="154"/>
        <v>389146</v>
      </c>
      <c r="AE686" s="1948">
        <f t="shared" si="155"/>
        <v>0</v>
      </c>
      <c r="AF686" s="1948">
        <v>900</v>
      </c>
      <c r="AG686" s="1948">
        <v>740.4</v>
      </c>
      <c r="AH686" s="1948">
        <v>900</v>
      </c>
      <c r="AI686" s="1948">
        <v>0.97470000000000001</v>
      </c>
      <c r="AJ686" s="1948">
        <v>0</v>
      </c>
      <c r="AK686" s="1948">
        <v>133495</v>
      </c>
      <c r="AL686" s="1948">
        <f t="shared" si="156"/>
        <v>330515</v>
      </c>
      <c r="AM686" s="1948">
        <f t="shared" si="157"/>
        <v>0</v>
      </c>
      <c r="AN686" s="1948">
        <v>900</v>
      </c>
      <c r="AO686" s="1948">
        <v>630</v>
      </c>
      <c r="AP686" s="1948">
        <v>900</v>
      </c>
      <c r="AQ686" s="1948">
        <v>0.97099999999999997</v>
      </c>
      <c r="AR686" s="1948">
        <v>0</v>
      </c>
      <c r="AS686" s="1948">
        <v>123470</v>
      </c>
      <c r="AT686" s="1948">
        <f t="shared" si="158"/>
        <v>281232</v>
      </c>
      <c r="AU686" s="1948">
        <f t="shared" si="159"/>
        <v>0</v>
      </c>
      <c r="AV686" s="1948">
        <v>900</v>
      </c>
      <c r="AW686" s="1948">
        <v>629.19999999999993</v>
      </c>
      <c r="AX686" s="1948">
        <v>900</v>
      </c>
      <c r="AY686" s="1948">
        <v>0.9698</v>
      </c>
      <c r="AZ686" s="1948">
        <v>0</v>
      </c>
      <c r="BA686" s="1948">
        <v>72980</v>
      </c>
      <c r="BB686" s="1948">
        <f t="shared" si="160"/>
        <v>271814</v>
      </c>
      <c r="BC686" s="1948">
        <f t="shared" si="161"/>
        <v>0</v>
      </c>
      <c r="BD686" s="1949">
        <v>900</v>
      </c>
      <c r="BE686" s="1948">
        <v>688</v>
      </c>
      <c r="BF686" s="1949">
        <v>900</v>
      </c>
      <c r="BG686" s="1949">
        <v>0.9587</v>
      </c>
      <c r="BH686" s="1949">
        <v>0</v>
      </c>
      <c r="BI686" s="1948">
        <v>119840</v>
      </c>
      <c r="BJ686" s="1948">
        <f t="shared" si="162"/>
        <v>307123</v>
      </c>
      <c r="BK686" s="1948">
        <f t="shared" si="163"/>
        <v>0</v>
      </c>
    </row>
    <row r="687" spans="1:63" ht="15">
      <c r="A687" s="1946">
        <v>123000000075</v>
      </c>
      <c r="B687" s="1947">
        <f t="shared" si="164"/>
        <v>681</v>
      </c>
      <c r="C687" s="1906" t="s">
        <v>3508</v>
      </c>
      <c r="D687" s="1907" t="s">
        <v>524</v>
      </c>
      <c r="E687" s="1906" t="s">
        <v>541</v>
      </c>
      <c r="F687" s="1948" t="s">
        <v>259</v>
      </c>
      <c r="G687" s="1949">
        <v>900</v>
      </c>
      <c r="H687" s="1948">
        <v>900</v>
      </c>
      <c r="I687" s="1950">
        <v>722.4</v>
      </c>
      <c r="J687" s="1948">
        <v>722.4</v>
      </c>
      <c r="K687" s="1948">
        <v>0.99550000000000005</v>
      </c>
      <c r="L687" s="1948">
        <v>75.290000000000006</v>
      </c>
      <c r="M687" s="1948">
        <v>391620</v>
      </c>
      <c r="N687" s="1948">
        <f t="shared" si="150"/>
        <v>312077</v>
      </c>
      <c r="O687" s="1948">
        <f t="shared" si="151"/>
        <v>79543</v>
      </c>
      <c r="P687" s="1948">
        <v>900</v>
      </c>
      <c r="Q687" s="1948">
        <v>757.8</v>
      </c>
      <c r="R687" s="1948">
        <v>757.8</v>
      </c>
      <c r="S687" s="1948">
        <v>0.99509999999999998</v>
      </c>
      <c r="T687" s="1948">
        <v>70.349999999999994</v>
      </c>
      <c r="U687" s="1948">
        <v>396652</v>
      </c>
      <c r="V687" s="1948">
        <f t="shared" si="152"/>
        <v>338282</v>
      </c>
      <c r="W687" s="1948">
        <f t="shared" si="153"/>
        <v>58370</v>
      </c>
      <c r="X687" s="1948">
        <v>900</v>
      </c>
      <c r="Y687" s="1948">
        <v>726</v>
      </c>
      <c r="Z687" s="1948">
        <v>726</v>
      </c>
      <c r="AA687" s="1948">
        <v>0.99490000000000001</v>
      </c>
      <c r="AB687" s="1948">
        <v>44.12</v>
      </c>
      <c r="AC687" s="1948">
        <v>230640</v>
      </c>
      <c r="AD687" s="1948">
        <f t="shared" si="154"/>
        <v>313632</v>
      </c>
      <c r="AE687" s="1948">
        <f t="shared" si="155"/>
        <v>0</v>
      </c>
      <c r="AF687" s="1948">
        <v>900</v>
      </c>
      <c r="AG687" s="1948">
        <v>789.6</v>
      </c>
      <c r="AH687" s="1948">
        <v>789.6</v>
      </c>
      <c r="AI687" s="1948">
        <v>0.99519999999999997</v>
      </c>
      <c r="AJ687" s="1948">
        <v>48.48</v>
      </c>
      <c r="AK687" s="1948">
        <v>284820</v>
      </c>
      <c r="AL687" s="1948">
        <f t="shared" si="156"/>
        <v>352477</v>
      </c>
      <c r="AM687" s="1948">
        <f t="shared" si="157"/>
        <v>0</v>
      </c>
      <c r="AN687" s="1948">
        <v>900</v>
      </c>
      <c r="AO687" s="1948">
        <v>741</v>
      </c>
      <c r="AP687" s="1948">
        <v>741</v>
      </c>
      <c r="AQ687" s="1948">
        <v>0.99539999999999995</v>
      </c>
      <c r="AR687" s="1948">
        <v>48.63</v>
      </c>
      <c r="AS687" s="1948">
        <v>268088</v>
      </c>
      <c r="AT687" s="1948">
        <f t="shared" si="158"/>
        <v>330782</v>
      </c>
      <c r="AU687" s="1948">
        <f t="shared" si="159"/>
        <v>0</v>
      </c>
      <c r="AV687" s="1948">
        <v>900</v>
      </c>
      <c r="AW687" s="1948">
        <v>755.40000000000009</v>
      </c>
      <c r="AX687" s="1948">
        <v>755.4</v>
      </c>
      <c r="AY687" s="1948">
        <v>0.99480000000000002</v>
      </c>
      <c r="AZ687" s="1948">
        <v>47.26</v>
      </c>
      <c r="BA687" s="1948">
        <v>257032</v>
      </c>
      <c r="BB687" s="1948">
        <f t="shared" si="160"/>
        <v>326333</v>
      </c>
      <c r="BC687" s="1948">
        <f t="shared" si="161"/>
        <v>0</v>
      </c>
      <c r="BD687" s="1949">
        <v>900</v>
      </c>
      <c r="BE687" s="1948">
        <v>732</v>
      </c>
      <c r="BF687" s="1949">
        <v>732</v>
      </c>
      <c r="BG687" s="1949">
        <v>0.99550000000000005</v>
      </c>
      <c r="BH687" s="1949">
        <v>48.4</v>
      </c>
      <c r="BI687" s="1948">
        <v>263588</v>
      </c>
      <c r="BJ687" s="1948">
        <f t="shared" si="162"/>
        <v>326765</v>
      </c>
      <c r="BK687" s="1948">
        <f t="shared" si="163"/>
        <v>0</v>
      </c>
    </row>
    <row r="688" spans="1:63" ht="15">
      <c r="A688" s="1946">
        <v>621000000066</v>
      </c>
      <c r="B688" s="1947">
        <f t="shared" si="164"/>
        <v>682</v>
      </c>
      <c r="C688" s="1906" t="s">
        <v>3506</v>
      </c>
      <c r="D688" s="1907" t="s">
        <v>524</v>
      </c>
      <c r="E688" s="1906" t="s">
        <v>709</v>
      </c>
      <c r="F688" s="1948" t="s">
        <v>259</v>
      </c>
      <c r="G688" s="1949">
        <v>900</v>
      </c>
      <c r="H688" s="1948">
        <v>900</v>
      </c>
      <c r="I688" s="1950">
        <v>355.68</v>
      </c>
      <c r="J688" s="1948">
        <v>720</v>
      </c>
      <c r="K688" s="1948">
        <v>0.99280000000000002</v>
      </c>
      <c r="L688" s="1948">
        <v>1.22</v>
      </c>
      <c r="M688" s="1948">
        <v>3762</v>
      </c>
      <c r="N688" s="1948">
        <f t="shared" si="150"/>
        <v>153654</v>
      </c>
      <c r="O688" s="1948">
        <f t="shared" si="151"/>
        <v>0</v>
      </c>
      <c r="P688" s="1948">
        <v>900</v>
      </c>
      <c r="Q688" s="1948">
        <v>371.52</v>
      </c>
      <c r="R688" s="1948">
        <v>720</v>
      </c>
      <c r="S688" s="1948">
        <v>0.98580000000000001</v>
      </c>
      <c r="T688" s="1948">
        <v>1.1499999999999999</v>
      </c>
      <c r="U688" s="1948">
        <v>3177</v>
      </c>
      <c r="V688" s="1948">
        <f t="shared" si="152"/>
        <v>165847</v>
      </c>
      <c r="W688" s="1948">
        <f t="shared" si="153"/>
        <v>0</v>
      </c>
      <c r="X688" s="1948">
        <v>900</v>
      </c>
      <c r="Y688" s="1948">
        <v>10.08</v>
      </c>
      <c r="Z688" s="1948">
        <v>720</v>
      </c>
      <c r="AA688" s="1948">
        <v>1</v>
      </c>
      <c r="AB688" s="1948">
        <v>31.99</v>
      </c>
      <c r="AC688" s="1948">
        <v>2322</v>
      </c>
      <c r="AD688" s="1948">
        <f t="shared" si="154"/>
        <v>4355</v>
      </c>
      <c r="AE688" s="1948">
        <f t="shared" si="155"/>
        <v>0</v>
      </c>
      <c r="AF688" s="1948">
        <v>900</v>
      </c>
      <c r="AG688" s="1948">
        <v>375.12</v>
      </c>
      <c r="AH688" s="1948">
        <v>720</v>
      </c>
      <c r="AI688" s="1948">
        <v>0.98380000000000001</v>
      </c>
      <c r="AJ688" s="1948">
        <v>2.59</v>
      </c>
      <c r="AK688" s="1948">
        <v>7236</v>
      </c>
      <c r="AL688" s="1948">
        <f t="shared" si="156"/>
        <v>167454</v>
      </c>
      <c r="AM688" s="1948">
        <f t="shared" si="157"/>
        <v>0</v>
      </c>
      <c r="AN688" s="1948">
        <v>900</v>
      </c>
      <c r="AO688" s="1948">
        <v>514.08000000000004</v>
      </c>
      <c r="AP688" s="1948">
        <v>720</v>
      </c>
      <c r="AQ688" s="1948">
        <v>0.9778</v>
      </c>
      <c r="AR688" s="1948">
        <v>2.97</v>
      </c>
      <c r="AS688" s="1948">
        <v>11352</v>
      </c>
      <c r="AT688" s="1948">
        <f t="shared" si="158"/>
        <v>229485</v>
      </c>
      <c r="AU688" s="1948">
        <f t="shared" si="159"/>
        <v>0</v>
      </c>
      <c r="AV688" s="1948">
        <v>900</v>
      </c>
      <c r="AW688" s="1948">
        <v>716.64</v>
      </c>
      <c r="AX688" s="1948">
        <v>720</v>
      </c>
      <c r="AY688" s="1948">
        <v>0.98729999999999996</v>
      </c>
      <c r="AZ688" s="1948">
        <v>8.66</v>
      </c>
      <c r="BA688" s="1948">
        <v>44700</v>
      </c>
      <c r="BB688" s="1948">
        <f t="shared" si="160"/>
        <v>309588</v>
      </c>
      <c r="BC688" s="1948">
        <f t="shared" si="161"/>
        <v>0</v>
      </c>
      <c r="BD688" s="1949">
        <v>900</v>
      </c>
      <c r="BE688" s="1948">
        <v>578.88</v>
      </c>
      <c r="BF688" s="1949">
        <v>720</v>
      </c>
      <c r="BG688" s="1949">
        <v>0.99670000000000003</v>
      </c>
      <c r="BH688" s="1949">
        <v>2.15</v>
      </c>
      <c r="BI688" s="1948">
        <v>9276</v>
      </c>
      <c r="BJ688" s="1948">
        <f t="shared" si="162"/>
        <v>258412</v>
      </c>
      <c r="BK688" s="1948">
        <f t="shared" si="163"/>
        <v>0</v>
      </c>
    </row>
    <row r="689" spans="1:63" ht="15">
      <c r="A689" s="1946">
        <v>611000000121</v>
      </c>
      <c r="B689" s="1947">
        <f t="shared" si="164"/>
        <v>683</v>
      </c>
      <c r="C689" s="1906" t="s">
        <v>3510</v>
      </c>
      <c r="D689" s="1907" t="s">
        <v>524</v>
      </c>
      <c r="E689" s="1906" t="s">
        <v>636</v>
      </c>
      <c r="F689" s="1948" t="s">
        <v>259</v>
      </c>
      <c r="G689" s="1949">
        <v>950</v>
      </c>
      <c r="H689" s="1948">
        <v>950</v>
      </c>
      <c r="I689" s="1950">
        <v>706.80000000000007</v>
      </c>
      <c r="J689" s="1948">
        <v>760</v>
      </c>
      <c r="K689" s="1948">
        <v>0.86980000000000002</v>
      </c>
      <c r="L689" s="1948">
        <v>37.380000000000003</v>
      </c>
      <c r="M689" s="1948">
        <v>190230</v>
      </c>
      <c r="N689" s="1948">
        <f t="shared" si="150"/>
        <v>305338</v>
      </c>
      <c r="O689" s="1948">
        <f t="shared" si="151"/>
        <v>0</v>
      </c>
      <c r="P689" s="1948">
        <v>950</v>
      </c>
      <c r="Q689" s="1948">
        <v>717.6</v>
      </c>
      <c r="R689" s="1948">
        <v>760</v>
      </c>
      <c r="S689" s="1948">
        <v>0.94169999999999998</v>
      </c>
      <c r="T689" s="1948">
        <v>50.84</v>
      </c>
      <c r="U689" s="1948">
        <v>271455</v>
      </c>
      <c r="V689" s="1948">
        <f t="shared" si="152"/>
        <v>320337</v>
      </c>
      <c r="W689" s="1948">
        <f t="shared" si="153"/>
        <v>0</v>
      </c>
      <c r="X689" s="1948">
        <v>950</v>
      </c>
      <c r="Y689" s="1948">
        <v>796.8</v>
      </c>
      <c r="Z689" s="1948">
        <v>796.8</v>
      </c>
      <c r="AA689" s="1948">
        <v>0.7893</v>
      </c>
      <c r="AB689" s="1948">
        <v>31.35</v>
      </c>
      <c r="AC689" s="1948">
        <v>179835</v>
      </c>
      <c r="AD689" s="1948">
        <f t="shared" si="154"/>
        <v>344218</v>
      </c>
      <c r="AE689" s="1948">
        <f t="shared" si="155"/>
        <v>0</v>
      </c>
      <c r="AF689" s="1948">
        <v>950</v>
      </c>
      <c r="AG689" s="1948">
        <v>698.4</v>
      </c>
      <c r="AH689" s="1948">
        <v>760</v>
      </c>
      <c r="AI689" s="1948">
        <v>0.74660000000000004</v>
      </c>
      <c r="AJ689" s="1948">
        <v>28.76</v>
      </c>
      <c r="AK689" s="1948">
        <v>149430</v>
      </c>
      <c r="AL689" s="1948">
        <f t="shared" si="156"/>
        <v>311766</v>
      </c>
      <c r="AM689" s="1948">
        <f t="shared" si="157"/>
        <v>0</v>
      </c>
      <c r="AN689" s="1948">
        <v>950</v>
      </c>
      <c r="AO689" s="1948">
        <v>721.2</v>
      </c>
      <c r="AP689" s="1948">
        <v>760</v>
      </c>
      <c r="AQ689" s="1948">
        <v>0.63100000000000001</v>
      </c>
      <c r="AR689" s="1948">
        <v>24.73</v>
      </c>
      <c r="AS689" s="1948">
        <v>132705</v>
      </c>
      <c r="AT689" s="1948">
        <f t="shared" si="158"/>
        <v>321944</v>
      </c>
      <c r="AU689" s="1948">
        <f t="shared" si="159"/>
        <v>0</v>
      </c>
      <c r="AV689" s="1948">
        <v>950</v>
      </c>
      <c r="AW689" s="1948">
        <v>606</v>
      </c>
      <c r="AX689" s="1948">
        <v>760</v>
      </c>
      <c r="AY689" s="1948">
        <v>0.70989999999999998</v>
      </c>
      <c r="AZ689" s="1948">
        <v>32.74</v>
      </c>
      <c r="BA689" s="1948">
        <v>142830</v>
      </c>
      <c r="BB689" s="1948">
        <f t="shared" si="160"/>
        <v>261792</v>
      </c>
      <c r="BC689" s="1948">
        <f t="shared" si="161"/>
        <v>0</v>
      </c>
      <c r="BD689" s="1949">
        <v>950</v>
      </c>
      <c r="BE689" s="1948">
        <v>642</v>
      </c>
      <c r="BF689" s="1949">
        <v>760</v>
      </c>
      <c r="BG689" s="1949">
        <v>0.77969999999999995</v>
      </c>
      <c r="BH689" s="1949">
        <v>40.33</v>
      </c>
      <c r="BI689" s="1948">
        <v>192615</v>
      </c>
      <c r="BJ689" s="1948">
        <f t="shared" si="162"/>
        <v>286589</v>
      </c>
      <c r="BK689" s="1948">
        <f t="shared" si="163"/>
        <v>0</v>
      </c>
    </row>
    <row r="690" spans="1:63" ht="15">
      <c r="A690" s="1946">
        <v>622000000220</v>
      </c>
      <c r="B690" s="1947">
        <f t="shared" si="164"/>
        <v>684</v>
      </c>
      <c r="C690" s="1906" t="s">
        <v>3606</v>
      </c>
      <c r="D690" s="1907" t="s">
        <v>524</v>
      </c>
      <c r="E690" s="1906" t="s">
        <v>730</v>
      </c>
      <c r="F690" s="1948" t="s">
        <v>259</v>
      </c>
      <c r="G690" s="1949">
        <v>950</v>
      </c>
      <c r="H690" s="1948">
        <v>0</v>
      </c>
      <c r="I690" s="1950">
        <v>0</v>
      </c>
      <c r="J690" s="1948">
        <v>0</v>
      </c>
      <c r="K690" s="1948">
        <v>0</v>
      </c>
      <c r="L690" s="1948">
        <v>0</v>
      </c>
      <c r="M690" s="1948">
        <v>0</v>
      </c>
      <c r="N690" s="1948">
        <f t="shared" si="150"/>
        <v>0</v>
      </c>
      <c r="O690" s="1948">
        <f t="shared" si="151"/>
        <v>0</v>
      </c>
      <c r="P690" s="1948">
        <v>0</v>
      </c>
      <c r="Q690" s="1948">
        <v>0</v>
      </c>
      <c r="R690" s="1948">
        <v>0</v>
      </c>
      <c r="S690" s="1948">
        <v>0</v>
      </c>
      <c r="T690" s="1948">
        <v>0</v>
      </c>
      <c r="U690" s="1948">
        <v>0</v>
      </c>
      <c r="V690" s="1948">
        <f t="shared" si="152"/>
        <v>0</v>
      </c>
      <c r="W690" s="1948">
        <f t="shared" si="153"/>
        <v>0</v>
      </c>
      <c r="X690" s="1948">
        <v>950</v>
      </c>
      <c r="Y690" s="1948">
        <v>168.48</v>
      </c>
      <c r="Z690" s="1948">
        <v>760</v>
      </c>
      <c r="AA690" s="1948">
        <v>0.69079999999999997</v>
      </c>
      <c r="AB690" s="1948">
        <v>5.49</v>
      </c>
      <c r="AC690" s="1948">
        <v>7104</v>
      </c>
      <c r="AD690" s="1948">
        <f t="shared" si="154"/>
        <v>72783</v>
      </c>
      <c r="AE690" s="1948">
        <f t="shared" si="155"/>
        <v>0</v>
      </c>
      <c r="AF690" s="1948">
        <v>950</v>
      </c>
      <c r="AG690" s="1948">
        <v>329.76</v>
      </c>
      <c r="AH690" s="1948">
        <v>760</v>
      </c>
      <c r="AI690" s="1948">
        <v>0.93540000000000001</v>
      </c>
      <c r="AJ690" s="1948">
        <v>9.59</v>
      </c>
      <c r="AK690" s="1948">
        <v>23526</v>
      </c>
      <c r="AL690" s="1948">
        <f t="shared" si="156"/>
        <v>147205</v>
      </c>
      <c r="AM690" s="1948">
        <f t="shared" si="157"/>
        <v>0</v>
      </c>
      <c r="AN690" s="1948">
        <v>950</v>
      </c>
      <c r="AO690" s="1948">
        <v>305.76000000000005</v>
      </c>
      <c r="AP690" s="1948">
        <v>760</v>
      </c>
      <c r="AQ690" s="1948">
        <v>0.94850000000000001</v>
      </c>
      <c r="AR690" s="1948">
        <v>12.52</v>
      </c>
      <c r="AS690" s="1948">
        <v>28470</v>
      </c>
      <c r="AT690" s="1948">
        <f t="shared" si="158"/>
        <v>136491</v>
      </c>
      <c r="AU690" s="1948">
        <f t="shared" si="159"/>
        <v>0</v>
      </c>
      <c r="AV690" s="1948">
        <v>950</v>
      </c>
      <c r="AW690" s="1948">
        <v>310.08000000000004</v>
      </c>
      <c r="AX690" s="1948">
        <v>760</v>
      </c>
      <c r="AY690" s="1948">
        <v>0.95309999999999995</v>
      </c>
      <c r="AZ690" s="1948">
        <v>18.12</v>
      </c>
      <c r="BA690" s="1948">
        <v>40464</v>
      </c>
      <c r="BB690" s="1948">
        <f t="shared" si="160"/>
        <v>133955</v>
      </c>
      <c r="BC690" s="1948">
        <f t="shared" si="161"/>
        <v>0</v>
      </c>
      <c r="BD690" s="1949">
        <v>950</v>
      </c>
      <c r="BE690" s="1948">
        <v>294.24</v>
      </c>
      <c r="BF690" s="1949">
        <v>760</v>
      </c>
      <c r="BG690" s="1949">
        <v>0.98599999999999999</v>
      </c>
      <c r="BH690" s="1949">
        <v>20.02</v>
      </c>
      <c r="BI690" s="1948">
        <v>43818</v>
      </c>
      <c r="BJ690" s="1948">
        <f t="shared" si="162"/>
        <v>131349</v>
      </c>
      <c r="BK690" s="1948">
        <f t="shared" si="163"/>
        <v>0</v>
      </c>
    </row>
    <row r="691" spans="1:63" ht="15">
      <c r="A691" s="1946">
        <v>622000000222</v>
      </c>
      <c r="B691" s="1947">
        <f t="shared" si="164"/>
        <v>685</v>
      </c>
      <c r="C691" s="1906" t="s">
        <v>3607</v>
      </c>
      <c r="D691" s="1907" t="s">
        <v>524</v>
      </c>
      <c r="E691" s="1906" t="s">
        <v>541</v>
      </c>
      <c r="F691" s="1948" t="s">
        <v>259</v>
      </c>
      <c r="G691" s="1949">
        <v>950</v>
      </c>
      <c r="H691" s="1948">
        <v>0</v>
      </c>
      <c r="I691" s="1950">
        <v>0</v>
      </c>
      <c r="J691" s="1948">
        <v>0</v>
      </c>
      <c r="K691" s="1948">
        <v>0</v>
      </c>
      <c r="L691" s="1948">
        <v>0</v>
      </c>
      <c r="M691" s="1948">
        <v>0</v>
      </c>
      <c r="N691" s="1948">
        <f t="shared" si="150"/>
        <v>0</v>
      </c>
      <c r="O691" s="1948">
        <f t="shared" si="151"/>
        <v>0</v>
      </c>
      <c r="P691" s="1948">
        <v>0</v>
      </c>
      <c r="Q691" s="1948">
        <v>0</v>
      </c>
      <c r="R691" s="1948">
        <v>0</v>
      </c>
      <c r="S691" s="1948">
        <v>0</v>
      </c>
      <c r="T691" s="1948">
        <v>0</v>
      </c>
      <c r="U691" s="1948">
        <v>0</v>
      </c>
      <c r="V691" s="1948">
        <f t="shared" si="152"/>
        <v>0</v>
      </c>
      <c r="W691" s="1948">
        <f t="shared" si="153"/>
        <v>0</v>
      </c>
      <c r="X691" s="1948">
        <v>950</v>
      </c>
      <c r="Y691" s="1948">
        <v>112.8</v>
      </c>
      <c r="Z691" s="1948">
        <v>760</v>
      </c>
      <c r="AA691" s="1948">
        <v>0.96230000000000004</v>
      </c>
      <c r="AB691" s="1948">
        <v>46.77</v>
      </c>
      <c r="AC691" s="1948">
        <v>37981</v>
      </c>
      <c r="AD691" s="1948">
        <f t="shared" si="154"/>
        <v>48730</v>
      </c>
      <c r="AE691" s="1948">
        <f t="shared" si="155"/>
        <v>0</v>
      </c>
      <c r="AF691" s="1948">
        <v>950</v>
      </c>
      <c r="AG691" s="1948">
        <v>207.792</v>
      </c>
      <c r="AH691" s="1948">
        <v>760</v>
      </c>
      <c r="AI691" s="1948">
        <v>0.95930000000000004</v>
      </c>
      <c r="AJ691" s="1948">
        <v>32.71</v>
      </c>
      <c r="AK691" s="1948">
        <v>50567</v>
      </c>
      <c r="AL691" s="1948">
        <f t="shared" si="156"/>
        <v>92758</v>
      </c>
      <c r="AM691" s="1948">
        <f t="shared" si="157"/>
        <v>0</v>
      </c>
      <c r="AN691" s="1948">
        <v>950</v>
      </c>
      <c r="AO691" s="1948">
        <v>252.56799999999998</v>
      </c>
      <c r="AP691" s="1948">
        <v>760</v>
      </c>
      <c r="AQ691" s="1948">
        <v>0.98460000000000003</v>
      </c>
      <c r="AR691" s="1948">
        <v>33.729999999999997</v>
      </c>
      <c r="AS691" s="1948">
        <v>63390</v>
      </c>
      <c r="AT691" s="1948">
        <f t="shared" si="158"/>
        <v>112746</v>
      </c>
      <c r="AU691" s="1948">
        <f t="shared" si="159"/>
        <v>0</v>
      </c>
      <c r="AV691" s="1948">
        <v>950</v>
      </c>
      <c r="AW691" s="1948">
        <v>286.5</v>
      </c>
      <c r="AX691" s="1948">
        <v>760</v>
      </c>
      <c r="AY691" s="1948">
        <v>0.97750000000000004</v>
      </c>
      <c r="AZ691" s="1948">
        <v>38.89</v>
      </c>
      <c r="BA691" s="1948">
        <v>80231</v>
      </c>
      <c r="BB691" s="1948">
        <f t="shared" si="160"/>
        <v>123768</v>
      </c>
      <c r="BC691" s="1948">
        <f t="shared" si="161"/>
        <v>0</v>
      </c>
      <c r="BD691" s="1949">
        <v>950</v>
      </c>
      <c r="BE691" s="1948">
        <v>368.14</v>
      </c>
      <c r="BF691" s="1949">
        <v>760</v>
      </c>
      <c r="BG691" s="1949">
        <v>0.97099999999999997</v>
      </c>
      <c r="BH691" s="1949">
        <v>40.58</v>
      </c>
      <c r="BI691" s="1948">
        <v>111134</v>
      </c>
      <c r="BJ691" s="1948">
        <f t="shared" si="162"/>
        <v>164338</v>
      </c>
      <c r="BK691" s="1948">
        <f t="shared" si="163"/>
        <v>0</v>
      </c>
    </row>
    <row r="692" spans="1:63" ht="15">
      <c r="A692" s="982">
        <v>622000000189</v>
      </c>
      <c r="B692" s="1947">
        <f t="shared" si="164"/>
        <v>686</v>
      </c>
      <c r="C692" s="1895" t="s">
        <v>3019</v>
      </c>
      <c r="D692" s="1907" t="s">
        <v>3661</v>
      </c>
      <c r="E692" s="1895" t="s">
        <v>541</v>
      </c>
      <c r="F692" s="1951" t="s">
        <v>259</v>
      </c>
      <c r="G692" s="1951">
        <v>950</v>
      </c>
      <c r="H692" s="1951">
        <v>950</v>
      </c>
      <c r="I692" s="1952">
        <v>0</v>
      </c>
      <c r="J692" s="1951">
        <v>760</v>
      </c>
      <c r="K692" s="1951">
        <v>0</v>
      </c>
      <c r="L692" s="1951">
        <v>0</v>
      </c>
      <c r="M692" s="1951">
        <v>0</v>
      </c>
      <c r="N692" s="1948">
        <f t="shared" si="150"/>
        <v>0</v>
      </c>
      <c r="O692" s="1948">
        <f t="shared" si="151"/>
        <v>0</v>
      </c>
      <c r="P692" s="1948">
        <v>950</v>
      </c>
      <c r="Q692" s="1948">
        <v>0</v>
      </c>
      <c r="R692" s="1948">
        <v>0</v>
      </c>
      <c r="S692" s="1948">
        <v>0</v>
      </c>
      <c r="T692" s="1948">
        <v>0</v>
      </c>
      <c r="U692" s="1948">
        <v>0</v>
      </c>
      <c r="V692" s="1948">
        <f t="shared" si="152"/>
        <v>0</v>
      </c>
      <c r="W692" s="1948">
        <f t="shared" si="153"/>
        <v>0</v>
      </c>
      <c r="X692" s="1948">
        <v>950</v>
      </c>
      <c r="Y692" s="1948">
        <v>0</v>
      </c>
      <c r="Z692" s="1948">
        <v>0</v>
      </c>
      <c r="AA692" s="1948">
        <v>0</v>
      </c>
      <c r="AB692" s="1948">
        <v>0</v>
      </c>
      <c r="AC692" s="1948">
        <v>0</v>
      </c>
      <c r="AD692" s="1948">
        <f t="shared" si="154"/>
        <v>0</v>
      </c>
      <c r="AE692" s="1948">
        <f t="shared" si="155"/>
        <v>0</v>
      </c>
      <c r="AF692" s="1948">
        <v>0</v>
      </c>
      <c r="AG692" s="1948">
        <v>0</v>
      </c>
      <c r="AH692" s="1948">
        <v>0</v>
      </c>
      <c r="AI692" s="1948">
        <v>0</v>
      </c>
      <c r="AJ692" s="1948">
        <v>0</v>
      </c>
      <c r="AK692" s="1948">
        <v>0</v>
      </c>
      <c r="AL692" s="1948">
        <f t="shared" si="156"/>
        <v>0</v>
      </c>
      <c r="AM692" s="1948">
        <f t="shared" si="157"/>
        <v>0</v>
      </c>
      <c r="AN692" s="1948">
        <v>0</v>
      </c>
      <c r="AO692" s="1948">
        <v>0</v>
      </c>
      <c r="AP692" s="1948">
        <v>0</v>
      </c>
      <c r="AQ692" s="1948">
        <v>0</v>
      </c>
      <c r="AR692" s="1948">
        <v>0</v>
      </c>
      <c r="AS692" s="1948">
        <v>0</v>
      </c>
      <c r="AT692" s="1948">
        <f t="shared" si="158"/>
        <v>0</v>
      </c>
      <c r="AU692" s="1948">
        <f t="shared" si="159"/>
        <v>0</v>
      </c>
      <c r="AV692" s="1948">
        <v>0</v>
      </c>
      <c r="AW692" s="1948">
        <v>0</v>
      </c>
      <c r="AX692" s="1948">
        <v>0</v>
      </c>
      <c r="AY692" s="1948">
        <v>0</v>
      </c>
      <c r="AZ692" s="1948">
        <v>0</v>
      </c>
      <c r="BA692" s="1948">
        <v>0</v>
      </c>
      <c r="BB692" s="1948">
        <f t="shared" si="160"/>
        <v>0</v>
      </c>
      <c r="BC692" s="1948">
        <f t="shared" si="161"/>
        <v>0</v>
      </c>
      <c r="BD692" s="1948">
        <v>0</v>
      </c>
      <c r="BE692" s="1948">
        <v>0</v>
      </c>
      <c r="BF692" s="1948">
        <v>0</v>
      </c>
      <c r="BG692" s="1948">
        <v>0</v>
      </c>
      <c r="BH692" s="1948">
        <v>0</v>
      </c>
      <c r="BI692" s="1948">
        <v>0</v>
      </c>
      <c r="BJ692" s="1948">
        <f t="shared" si="162"/>
        <v>0</v>
      </c>
      <c r="BK692" s="1948">
        <f t="shared" si="163"/>
        <v>0</v>
      </c>
    </row>
    <row r="693" spans="1:63" ht="15">
      <c r="A693" s="1946">
        <v>622000000216</v>
      </c>
      <c r="B693" s="1947">
        <f t="shared" si="164"/>
        <v>687</v>
      </c>
      <c r="C693" s="1906" t="s">
        <v>3608</v>
      </c>
      <c r="D693" s="1907" t="s">
        <v>524</v>
      </c>
      <c r="E693" s="1906" t="s">
        <v>541</v>
      </c>
      <c r="F693" s="1948" t="s">
        <v>259</v>
      </c>
      <c r="G693" s="1949">
        <v>980</v>
      </c>
      <c r="H693" s="1948">
        <v>111</v>
      </c>
      <c r="I693" s="1950">
        <v>77.44</v>
      </c>
      <c r="J693" s="1948">
        <v>88.8</v>
      </c>
      <c r="K693" s="1948">
        <v>0.85160000000000002</v>
      </c>
      <c r="L693" s="1948">
        <v>34.1</v>
      </c>
      <c r="M693" s="1948">
        <v>20278</v>
      </c>
      <c r="N693" s="1948">
        <f t="shared" si="150"/>
        <v>33454</v>
      </c>
      <c r="O693" s="1948">
        <f t="shared" si="151"/>
        <v>0</v>
      </c>
      <c r="P693" s="1948">
        <v>111</v>
      </c>
      <c r="Q693" s="1948">
        <v>113.52</v>
      </c>
      <c r="R693" s="1948">
        <v>113.52</v>
      </c>
      <c r="S693" s="1948">
        <v>0.90369999999999995</v>
      </c>
      <c r="T693" s="1948">
        <v>23.44</v>
      </c>
      <c r="U693" s="1948">
        <v>19801</v>
      </c>
      <c r="V693" s="1948">
        <f t="shared" si="152"/>
        <v>50675</v>
      </c>
      <c r="W693" s="1948">
        <f t="shared" si="153"/>
        <v>0</v>
      </c>
      <c r="X693" s="1948">
        <v>111</v>
      </c>
      <c r="Y693" s="1948">
        <v>89.52</v>
      </c>
      <c r="Z693" s="1948">
        <v>89.52</v>
      </c>
      <c r="AA693" s="1948">
        <v>0.90859999999999996</v>
      </c>
      <c r="AB693" s="1948">
        <v>31.2</v>
      </c>
      <c r="AC693" s="1948">
        <v>20778</v>
      </c>
      <c r="AD693" s="1948">
        <f t="shared" si="154"/>
        <v>38673</v>
      </c>
      <c r="AE693" s="1948">
        <f t="shared" si="155"/>
        <v>0</v>
      </c>
      <c r="AF693" s="1948">
        <v>980</v>
      </c>
      <c r="AG693" s="1948">
        <v>1371.2</v>
      </c>
      <c r="AH693" s="1948">
        <v>784</v>
      </c>
      <c r="AI693" s="1948">
        <v>0.97409999999999997</v>
      </c>
      <c r="AJ693" s="1948">
        <v>40.86</v>
      </c>
      <c r="AK693" s="1948">
        <v>110706</v>
      </c>
      <c r="AL693" s="1948">
        <f t="shared" si="156"/>
        <v>612104</v>
      </c>
      <c r="AM693" s="1948">
        <f t="shared" si="157"/>
        <v>0</v>
      </c>
      <c r="AN693" s="1948">
        <v>980</v>
      </c>
      <c r="AO693" s="1948">
        <v>524</v>
      </c>
      <c r="AP693" s="1948">
        <v>784</v>
      </c>
      <c r="AQ693" s="1948">
        <v>0.98529999999999995</v>
      </c>
      <c r="AR693" s="1948">
        <v>46.2</v>
      </c>
      <c r="AS693" s="1948">
        <v>180120</v>
      </c>
      <c r="AT693" s="1948">
        <f t="shared" si="158"/>
        <v>233914</v>
      </c>
      <c r="AU693" s="1948">
        <f t="shared" si="159"/>
        <v>0</v>
      </c>
      <c r="AV693" s="1948">
        <v>980</v>
      </c>
      <c r="AW693" s="1948">
        <v>565.6</v>
      </c>
      <c r="AX693" s="1948">
        <v>784</v>
      </c>
      <c r="AY693" s="1948">
        <v>0.99629999999999996</v>
      </c>
      <c r="AZ693" s="1948">
        <v>61.47</v>
      </c>
      <c r="BA693" s="1948">
        <v>275350</v>
      </c>
      <c r="BB693" s="1948">
        <f t="shared" si="160"/>
        <v>244339</v>
      </c>
      <c r="BC693" s="1948">
        <f t="shared" si="161"/>
        <v>31011</v>
      </c>
      <c r="BD693" s="1949">
        <v>980</v>
      </c>
      <c r="BE693" s="1948">
        <v>569.6</v>
      </c>
      <c r="BF693" s="1949">
        <v>784</v>
      </c>
      <c r="BG693" s="1949">
        <v>0.99690000000000001</v>
      </c>
      <c r="BH693" s="1949">
        <v>70.2</v>
      </c>
      <c r="BI693" s="1948">
        <v>278320</v>
      </c>
      <c r="BJ693" s="1948">
        <f t="shared" si="162"/>
        <v>254269</v>
      </c>
      <c r="BK693" s="1948">
        <f t="shared" si="163"/>
        <v>24051</v>
      </c>
    </row>
    <row r="694" spans="1:63" ht="15">
      <c r="A694" s="1946">
        <v>126000000049</v>
      </c>
      <c r="B694" s="1947">
        <f t="shared" si="164"/>
        <v>688</v>
      </c>
      <c r="C694" s="1906" t="s">
        <v>3511</v>
      </c>
      <c r="D694" s="1907" t="s">
        <v>524</v>
      </c>
      <c r="E694" s="1906" t="s">
        <v>623</v>
      </c>
      <c r="F694" s="1948" t="s">
        <v>259</v>
      </c>
      <c r="G694" s="1949">
        <v>989</v>
      </c>
      <c r="H694" s="1948">
        <v>989</v>
      </c>
      <c r="I694" s="1950">
        <v>1408.32</v>
      </c>
      <c r="J694" s="1948">
        <v>1408.32</v>
      </c>
      <c r="K694" s="1948">
        <v>0.99990000000000001</v>
      </c>
      <c r="L694" s="1948">
        <v>0</v>
      </c>
      <c r="M694" s="1948">
        <v>499908</v>
      </c>
      <c r="N694" s="1948">
        <f t="shared" si="150"/>
        <v>608394</v>
      </c>
      <c r="O694" s="1948">
        <f t="shared" si="151"/>
        <v>0</v>
      </c>
      <c r="P694" s="1948">
        <v>989</v>
      </c>
      <c r="Q694" s="1948">
        <v>1866.72</v>
      </c>
      <c r="R694" s="1948">
        <v>1866.72</v>
      </c>
      <c r="S694" s="1948">
        <v>0.99719999999999998</v>
      </c>
      <c r="T694" s="1948">
        <v>0</v>
      </c>
      <c r="U694" s="1948">
        <v>877062</v>
      </c>
      <c r="V694" s="1948">
        <f t="shared" si="152"/>
        <v>833304</v>
      </c>
      <c r="W694" s="1948">
        <f t="shared" si="153"/>
        <v>43758</v>
      </c>
      <c r="X694" s="1948">
        <v>989</v>
      </c>
      <c r="Y694" s="1948">
        <v>1900.8000000000002</v>
      </c>
      <c r="Z694" s="1948">
        <v>1900.8</v>
      </c>
      <c r="AA694" s="1948">
        <v>0.99980000000000002</v>
      </c>
      <c r="AB694" s="1948">
        <v>0</v>
      </c>
      <c r="AC694" s="1948">
        <v>864612</v>
      </c>
      <c r="AD694" s="1948">
        <f t="shared" si="154"/>
        <v>821146</v>
      </c>
      <c r="AE694" s="1948">
        <f t="shared" si="155"/>
        <v>43466</v>
      </c>
      <c r="AF694" s="1948">
        <v>989</v>
      </c>
      <c r="AG694" s="1948">
        <v>1983.3600000000001</v>
      </c>
      <c r="AH694" s="1948">
        <v>1983.36</v>
      </c>
      <c r="AI694" s="1948">
        <v>0.99970000000000003</v>
      </c>
      <c r="AJ694" s="1948">
        <v>0</v>
      </c>
      <c r="AK694" s="1948">
        <v>912546</v>
      </c>
      <c r="AL694" s="1948">
        <f t="shared" si="156"/>
        <v>885372</v>
      </c>
      <c r="AM694" s="1948">
        <f t="shared" si="157"/>
        <v>27174</v>
      </c>
      <c r="AN694" s="1948">
        <v>989</v>
      </c>
      <c r="AO694" s="1948">
        <v>1691.52</v>
      </c>
      <c r="AP694" s="1948">
        <v>1691.52</v>
      </c>
      <c r="AQ694" s="1948">
        <v>0.99739999999999995</v>
      </c>
      <c r="AR694" s="1948">
        <v>0</v>
      </c>
      <c r="AS694" s="1948">
        <v>767352</v>
      </c>
      <c r="AT694" s="1948">
        <f t="shared" si="158"/>
        <v>755095</v>
      </c>
      <c r="AU694" s="1948">
        <f t="shared" si="159"/>
        <v>12257</v>
      </c>
      <c r="AV694" s="1948">
        <v>989</v>
      </c>
      <c r="AW694" s="1948">
        <v>1879.2</v>
      </c>
      <c r="AX694" s="1948">
        <v>1879.2</v>
      </c>
      <c r="AY694" s="1948">
        <v>0.99990000000000001</v>
      </c>
      <c r="AZ694" s="1948">
        <v>0</v>
      </c>
      <c r="BA694" s="1948">
        <v>817836</v>
      </c>
      <c r="BB694" s="1948">
        <f t="shared" si="160"/>
        <v>811814</v>
      </c>
      <c r="BC694" s="1948">
        <f t="shared" si="161"/>
        <v>6022</v>
      </c>
      <c r="BD694" s="1949">
        <v>989</v>
      </c>
      <c r="BE694" s="1948">
        <v>1689.6</v>
      </c>
      <c r="BF694" s="1949">
        <v>1689.6</v>
      </c>
      <c r="BG694" s="1949">
        <v>1</v>
      </c>
      <c r="BH694" s="1949">
        <v>0</v>
      </c>
      <c r="BI694" s="1948">
        <v>823020</v>
      </c>
      <c r="BJ694" s="1948">
        <f t="shared" si="162"/>
        <v>754237</v>
      </c>
      <c r="BK694" s="1948">
        <f t="shared" si="163"/>
        <v>68783</v>
      </c>
    </row>
    <row r="695" spans="1:63" ht="15">
      <c r="A695" s="1946">
        <v>123000000055</v>
      </c>
      <c r="B695" s="1947">
        <f t="shared" si="164"/>
        <v>689</v>
      </c>
      <c r="C695" s="1906" t="s">
        <v>3513</v>
      </c>
      <c r="D695" s="1907" t="s">
        <v>524</v>
      </c>
      <c r="E695" s="1906" t="s">
        <v>541</v>
      </c>
      <c r="F695" s="1948" t="s">
        <v>259</v>
      </c>
      <c r="G695" s="1949">
        <v>1000</v>
      </c>
      <c r="H695" s="1948">
        <v>1000</v>
      </c>
      <c r="I695" s="1950">
        <v>772.8</v>
      </c>
      <c r="J695" s="1948">
        <v>800</v>
      </c>
      <c r="K695" s="1948">
        <v>0.99909999999999999</v>
      </c>
      <c r="L695" s="1948">
        <v>77.459999999999994</v>
      </c>
      <c r="M695" s="1948">
        <v>431018</v>
      </c>
      <c r="N695" s="1948">
        <f t="shared" si="150"/>
        <v>333850</v>
      </c>
      <c r="O695" s="1948">
        <f t="shared" si="151"/>
        <v>97168</v>
      </c>
      <c r="P695" s="1948">
        <v>1000</v>
      </c>
      <c r="Q695" s="1948">
        <v>757.8</v>
      </c>
      <c r="R695" s="1948">
        <v>800</v>
      </c>
      <c r="S695" s="1948">
        <v>0.99870000000000003</v>
      </c>
      <c r="T695" s="1948">
        <v>75.099999999999994</v>
      </c>
      <c r="U695" s="1948">
        <v>423435</v>
      </c>
      <c r="V695" s="1948">
        <f t="shared" si="152"/>
        <v>338282</v>
      </c>
      <c r="W695" s="1948">
        <f t="shared" si="153"/>
        <v>85153</v>
      </c>
      <c r="X695" s="1948">
        <v>1000</v>
      </c>
      <c r="Y695" s="1948">
        <v>719.40000000000009</v>
      </c>
      <c r="Z695" s="1948">
        <v>800</v>
      </c>
      <c r="AA695" s="1948">
        <v>0.99950000000000006</v>
      </c>
      <c r="AB695" s="1948">
        <v>79.2</v>
      </c>
      <c r="AC695" s="1948">
        <v>410205</v>
      </c>
      <c r="AD695" s="1948">
        <f t="shared" si="154"/>
        <v>310781</v>
      </c>
      <c r="AE695" s="1948">
        <f t="shared" si="155"/>
        <v>99424</v>
      </c>
      <c r="AF695" s="1948">
        <v>1000</v>
      </c>
      <c r="AG695" s="1948">
        <v>948.59999999999991</v>
      </c>
      <c r="AH695" s="1948">
        <v>948.6</v>
      </c>
      <c r="AI695" s="1948">
        <v>0.99890000000000001</v>
      </c>
      <c r="AJ695" s="1948">
        <v>57.17</v>
      </c>
      <c r="AK695" s="1948">
        <v>403492</v>
      </c>
      <c r="AL695" s="1948">
        <f t="shared" si="156"/>
        <v>423455</v>
      </c>
      <c r="AM695" s="1948">
        <f t="shared" si="157"/>
        <v>0</v>
      </c>
      <c r="AN695" s="1948">
        <v>1000</v>
      </c>
      <c r="AO695" s="1948">
        <v>771.59999999999991</v>
      </c>
      <c r="AP695" s="1948">
        <v>800</v>
      </c>
      <c r="AQ695" s="1948">
        <v>0.99870000000000003</v>
      </c>
      <c r="AR695" s="1948">
        <v>70.14</v>
      </c>
      <c r="AS695" s="1948">
        <v>324720</v>
      </c>
      <c r="AT695" s="1948">
        <f t="shared" si="158"/>
        <v>344442</v>
      </c>
      <c r="AU695" s="1948">
        <f t="shared" si="159"/>
        <v>0</v>
      </c>
      <c r="AV695" s="1948">
        <v>1000</v>
      </c>
      <c r="AW695" s="1948">
        <v>691.8</v>
      </c>
      <c r="AX695" s="1948">
        <v>800</v>
      </c>
      <c r="AY695" s="1948">
        <v>0.999</v>
      </c>
      <c r="AZ695" s="1948">
        <v>51.48</v>
      </c>
      <c r="BA695" s="1948">
        <v>307725</v>
      </c>
      <c r="BB695" s="1948">
        <f t="shared" si="160"/>
        <v>298858</v>
      </c>
      <c r="BC695" s="1948">
        <f t="shared" si="161"/>
        <v>8867</v>
      </c>
      <c r="BD695" s="1949">
        <v>1000</v>
      </c>
      <c r="BE695" s="1948">
        <v>970.2</v>
      </c>
      <c r="BF695" s="1949">
        <v>970.2</v>
      </c>
      <c r="BG695" s="1949">
        <v>0.99239999999999995</v>
      </c>
      <c r="BH695" s="1949">
        <v>51.68</v>
      </c>
      <c r="BI695" s="1948">
        <v>373050</v>
      </c>
      <c r="BJ695" s="1948">
        <f t="shared" si="162"/>
        <v>433097</v>
      </c>
      <c r="BK695" s="1948">
        <f t="shared" si="163"/>
        <v>0</v>
      </c>
    </row>
    <row r="696" spans="1:63" ht="15">
      <c r="A696" s="1946">
        <v>123000000093</v>
      </c>
      <c r="B696" s="1947">
        <f t="shared" si="164"/>
        <v>690</v>
      </c>
      <c r="C696" s="1906" t="s">
        <v>3609</v>
      </c>
      <c r="D696" s="1907" t="s">
        <v>524</v>
      </c>
      <c r="E696" s="1906" t="s">
        <v>541</v>
      </c>
      <c r="F696" s="1948" t="s">
        <v>259</v>
      </c>
      <c r="G696" s="1949">
        <v>1000</v>
      </c>
      <c r="H696" s="1948">
        <v>1000</v>
      </c>
      <c r="I696" s="1950">
        <v>682.19999999999993</v>
      </c>
      <c r="J696" s="1948">
        <v>682.2</v>
      </c>
      <c r="K696" s="1948">
        <v>0.99429999999999996</v>
      </c>
      <c r="L696" s="1948">
        <v>73.75</v>
      </c>
      <c r="M696" s="1948">
        <v>362228</v>
      </c>
      <c r="N696" s="1948">
        <f t="shared" si="150"/>
        <v>294710</v>
      </c>
      <c r="O696" s="1948">
        <f t="shared" si="151"/>
        <v>67518</v>
      </c>
      <c r="P696" s="1948">
        <v>1000</v>
      </c>
      <c r="Q696" s="1948">
        <v>856.80000000000007</v>
      </c>
      <c r="R696" s="1948">
        <v>856.8</v>
      </c>
      <c r="S696" s="1948">
        <v>0.98750000000000004</v>
      </c>
      <c r="T696" s="1948">
        <v>58.51</v>
      </c>
      <c r="U696" s="1948">
        <v>372997</v>
      </c>
      <c r="V696" s="1948">
        <f t="shared" si="152"/>
        <v>382476</v>
      </c>
      <c r="W696" s="1948">
        <f t="shared" si="153"/>
        <v>0</v>
      </c>
      <c r="X696" s="1948">
        <v>1000</v>
      </c>
      <c r="Y696" s="1948">
        <v>670.8</v>
      </c>
      <c r="Z696" s="1948">
        <v>800</v>
      </c>
      <c r="AA696" s="1948">
        <v>0.99239999999999995</v>
      </c>
      <c r="AB696" s="1948">
        <v>70.900000000000006</v>
      </c>
      <c r="AC696" s="1948">
        <v>342427</v>
      </c>
      <c r="AD696" s="1948">
        <f t="shared" si="154"/>
        <v>289786</v>
      </c>
      <c r="AE696" s="1948">
        <f t="shared" si="155"/>
        <v>52641</v>
      </c>
      <c r="AF696" s="1948">
        <v>1000</v>
      </c>
      <c r="AG696" s="1948">
        <v>865.80000000000007</v>
      </c>
      <c r="AH696" s="1948">
        <v>865.8</v>
      </c>
      <c r="AI696" s="1948">
        <v>0.98809999999999998</v>
      </c>
      <c r="AJ696" s="1948">
        <v>54.04</v>
      </c>
      <c r="AK696" s="1948">
        <v>348113</v>
      </c>
      <c r="AL696" s="1948">
        <f t="shared" si="156"/>
        <v>386493</v>
      </c>
      <c r="AM696" s="1948">
        <f t="shared" si="157"/>
        <v>0</v>
      </c>
      <c r="AN696" s="1948">
        <v>1000</v>
      </c>
      <c r="AO696" s="1948">
        <v>775.2</v>
      </c>
      <c r="AP696" s="1948">
        <v>800</v>
      </c>
      <c r="AQ696" s="1948">
        <v>0.98699999999999999</v>
      </c>
      <c r="AR696" s="1948">
        <v>52.47</v>
      </c>
      <c r="AS696" s="1948">
        <v>302647</v>
      </c>
      <c r="AT696" s="1948">
        <f t="shared" si="158"/>
        <v>346049</v>
      </c>
      <c r="AU696" s="1948">
        <f t="shared" si="159"/>
        <v>0</v>
      </c>
      <c r="AV696" s="1948">
        <v>1000</v>
      </c>
      <c r="AW696" s="1948">
        <v>802.2</v>
      </c>
      <c r="AX696" s="1948">
        <v>802.2</v>
      </c>
      <c r="AY696" s="1948">
        <v>0.99350000000000005</v>
      </c>
      <c r="AZ696" s="1948">
        <v>58.93</v>
      </c>
      <c r="BA696" s="1948">
        <v>340358</v>
      </c>
      <c r="BB696" s="1948">
        <f t="shared" si="160"/>
        <v>346550</v>
      </c>
      <c r="BC696" s="1948">
        <f t="shared" si="161"/>
        <v>0</v>
      </c>
      <c r="BD696" s="1949">
        <v>1000</v>
      </c>
      <c r="BE696" s="1948">
        <v>756</v>
      </c>
      <c r="BF696" s="1949">
        <v>800</v>
      </c>
      <c r="BG696" s="1949">
        <v>0.99470000000000003</v>
      </c>
      <c r="BH696" s="1949">
        <v>64.11</v>
      </c>
      <c r="BI696" s="1948">
        <v>360570</v>
      </c>
      <c r="BJ696" s="1948">
        <f t="shared" si="162"/>
        <v>337478</v>
      </c>
      <c r="BK696" s="1948">
        <f t="shared" si="163"/>
        <v>23092</v>
      </c>
    </row>
    <row r="697" spans="1:63" ht="15">
      <c r="A697" s="1946">
        <v>123000000105</v>
      </c>
      <c r="B697" s="1947">
        <f t="shared" si="164"/>
        <v>691</v>
      </c>
      <c r="C697" s="1906" t="s">
        <v>3514</v>
      </c>
      <c r="D697" s="1907" t="s">
        <v>524</v>
      </c>
      <c r="E697" s="1906" t="s">
        <v>623</v>
      </c>
      <c r="F697" s="1948" t="s">
        <v>259</v>
      </c>
      <c r="G697" s="1949">
        <v>1000</v>
      </c>
      <c r="H697" s="1948">
        <v>1000</v>
      </c>
      <c r="I697" s="1950">
        <v>774.72</v>
      </c>
      <c r="J697" s="1948">
        <v>1000</v>
      </c>
      <c r="K697" s="1948">
        <v>0.99629999999999996</v>
      </c>
      <c r="L697" s="1948">
        <v>0</v>
      </c>
      <c r="M697" s="1948">
        <v>257049</v>
      </c>
      <c r="N697" s="1948">
        <f t="shared" si="150"/>
        <v>334679</v>
      </c>
      <c r="O697" s="1948">
        <f t="shared" si="151"/>
        <v>0</v>
      </c>
      <c r="P697" s="1948">
        <v>1000</v>
      </c>
      <c r="Q697" s="1948">
        <v>889.2</v>
      </c>
      <c r="R697" s="1948">
        <v>1000</v>
      </c>
      <c r="S697" s="1948">
        <v>0.99739999999999995</v>
      </c>
      <c r="T697" s="1948">
        <v>0</v>
      </c>
      <c r="U697" s="1948">
        <v>444060</v>
      </c>
      <c r="V697" s="1948">
        <f t="shared" si="152"/>
        <v>396939</v>
      </c>
      <c r="W697" s="1948">
        <f t="shared" si="153"/>
        <v>47121</v>
      </c>
      <c r="X697" s="1948">
        <v>1000</v>
      </c>
      <c r="Y697" s="1948">
        <v>889.92</v>
      </c>
      <c r="Z697" s="1948">
        <v>1000</v>
      </c>
      <c r="AA697" s="1948">
        <v>0.99509999999999998</v>
      </c>
      <c r="AB697" s="1948">
        <v>0</v>
      </c>
      <c r="AC697" s="1948">
        <v>397494</v>
      </c>
      <c r="AD697" s="1948">
        <f t="shared" si="154"/>
        <v>384445</v>
      </c>
      <c r="AE697" s="1948">
        <f t="shared" si="155"/>
        <v>13049</v>
      </c>
      <c r="AF697" s="1948">
        <v>1000</v>
      </c>
      <c r="AG697" s="1948">
        <v>846</v>
      </c>
      <c r="AH697" s="1948">
        <v>1000</v>
      </c>
      <c r="AI697" s="1948">
        <v>0.99570000000000003</v>
      </c>
      <c r="AJ697" s="1948">
        <v>0</v>
      </c>
      <c r="AK697" s="1948">
        <v>364095</v>
      </c>
      <c r="AL697" s="1948">
        <f t="shared" si="156"/>
        <v>377654</v>
      </c>
      <c r="AM697" s="1948">
        <f t="shared" si="157"/>
        <v>0</v>
      </c>
      <c r="AN697" s="1948">
        <v>1000</v>
      </c>
      <c r="AO697" s="1948">
        <v>787.68</v>
      </c>
      <c r="AP697" s="1948">
        <v>1000</v>
      </c>
      <c r="AQ697" s="1948">
        <v>0.99390000000000001</v>
      </c>
      <c r="AR697" s="1948">
        <v>0</v>
      </c>
      <c r="AS697" s="1948">
        <v>280917</v>
      </c>
      <c r="AT697" s="1948">
        <f t="shared" si="158"/>
        <v>351620</v>
      </c>
      <c r="AU697" s="1948">
        <f t="shared" si="159"/>
        <v>0</v>
      </c>
      <c r="AV697" s="1948">
        <v>1000</v>
      </c>
      <c r="AW697" s="1948">
        <v>789.12</v>
      </c>
      <c r="AX697" s="1948">
        <v>1000</v>
      </c>
      <c r="AY697" s="1948">
        <v>0.99619999999999997</v>
      </c>
      <c r="AZ697" s="1948">
        <v>0</v>
      </c>
      <c r="BA697" s="1948">
        <v>297333</v>
      </c>
      <c r="BB697" s="1948">
        <f t="shared" si="160"/>
        <v>340900</v>
      </c>
      <c r="BC697" s="1948">
        <f t="shared" si="161"/>
        <v>0</v>
      </c>
      <c r="BD697" s="1949">
        <v>1000</v>
      </c>
      <c r="BE697" s="1948">
        <v>809.28</v>
      </c>
      <c r="BF697" s="1949">
        <v>1000</v>
      </c>
      <c r="BG697" s="1949">
        <v>0.99570000000000003</v>
      </c>
      <c r="BH697" s="1949">
        <v>0</v>
      </c>
      <c r="BI697" s="1948">
        <v>292986</v>
      </c>
      <c r="BJ697" s="1948">
        <f t="shared" si="162"/>
        <v>361263</v>
      </c>
      <c r="BK697" s="1948">
        <f t="shared" si="163"/>
        <v>0</v>
      </c>
    </row>
    <row r="698" spans="1:63" ht="15">
      <c r="A698" s="1946">
        <v>611000000088</v>
      </c>
      <c r="B698" s="1947">
        <f t="shared" si="164"/>
        <v>692</v>
      </c>
      <c r="C698" s="1906" t="s">
        <v>3515</v>
      </c>
      <c r="D698" s="1907" t="s">
        <v>524</v>
      </c>
      <c r="E698" s="1906" t="s">
        <v>541</v>
      </c>
      <c r="F698" s="1948" t="s">
        <v>259</v>
      </c>
      <c r="G698" s="1949">
        <v>1000</v>
      </c>
      <c r="H698" s="1948">
        <v>1000</v>
      </c>
      <c r="I698" s="1950">
        <v>811.68</v>
      </c>
      <c r="J698" s="1948">
        <v>811.68</v>
      </c>
      <c r="K698" s="1948">
        <v>0.99719999999999998</v>
      </c>
      <c r="L698" s="1948">
        <v>52.72</v>
      </c>
      <c r="M698" s="1948">
        <v>308106</v>
      </c>
      <c r="N698" s="1948">
        <f t="shared" si="150"/>
        <v>350646</v>
      </c>
      <c r="O698" s="1948">
        <f t="shared" si="151"/>
        <v>0</v>
      </c>
      <c r="P698" s="1948">
        <v>1000</v>
      </c>
      <c r="Q698" s="1948">
        <v>815.52</v>
      </c>
      <c r="R698" s="1948">
        <v>815.52</v>
      </c>
      <c r="S698" s="1948">
        <v>0.99750000000000005</v>
      </c>
      <c r="T698" s="1948">
        <v>45.41</v>
      </c>
      <c r="U698" s="1948">
        <v>275520</v>
      </c>
      <c r="V698" s="1948">
        <f t="shared" si="152"/>
        <v>364048</v>
      </c>
      <c r="W698" s="1948">
        <f t="shared" si="153"/>
        <v>0</v>
      </c>
      <c r="X698" s="1948">
        <v>1000</v>
      </c>
      <c r="Y698" s="1948">
        <v>814.08</v>
      </c>
      <c r="Z698" s="1948">
        <v>814.08</v>
      </c>
      <c r="AA698" s="1948">
        <v>0.997</v>
      </c>
      <c r="AB698" s="1948">
        <v>42.72</v>
      </c>
      <c r="AC698" s="1948">
        <v>250404</v>
      </c>
      <c r="AD698" s="1948">
        <f t="shared" si="154"/>
        <v>351683</v>
      </c>
      <c r="AE698" s="1948">
        <f t="shared" si="155"/>
        <v>0</v>
      </c>
      <c r="AF698" s="1948">
        <v>1000</v>
      </c>
      <c r="AG698" s="1948">
        <v>913.43999999999994</v>
      </c>
      <c r="AH698" s="1948">
        <v>913.44</v>
      </c>
      <c r="AI698" s="1948">
        <v>0.99660000000000004</v>
      </c>
      <c r="AJ698" s="1948">
        <v>41.74</v>
      </c>
      <c r="AK698" s="1948">
        <v>283686</v>
      </c>
      <c r="AL698" s="1948">
        <f t="shared" si="156"/>
        <v>407760</v>
      </c>
      <c r="AM698" s="1948">
        <f t="shared" si="157"/>
        <v>0</v>
      </c>
      <c r="AN698" s="1948">
        <v>1000</v>
      </c>
      <c r="AO698" s="1948">
        <v>935.52</v>
      </c>
      <c r="AP698" s="1948">
        <v>935.52</v>
      </c>
      <c r="AQ698" s="1948">
        <v>0.99329999999999996</v>
      </c>
      <c r="AR698" s="1948">
        <v>55.27</v>
      </c>
      <c r="AS698" s="1948">
        <v>384666</v>
      </c>
      <c r="AT698" s="1948">
        <f t="shared" si="158"/>
        <v>417616</v>
      </c>
      <c r="AU698" s="1948">
        <f t="shared" si="159"/>
        <v>0</v>
      </c>
      <c r="AV698" s="1948">
        <v>1000</v>
      </c>
      <c r="AW698" s="1948">
        <v>980.6400000000001</v>
      </c>
      <c r="AX698" s="1948">
        <v>980.64</v>
      </c>
      <c r="AY698" s="1948">
        <v>0.99580000000000002</v>
      </c>
      <c r="AZ698" s="1948">
        <v>53.24</v>
      </c>
      <c r="BA698" s="1948">
        <v>375894</v>
      </c>
      <c r="BB698" s="1948">
        <f t="shared" si="160"/>
        <v>423636</v>
      </c>
      <c r="BC698" s="1948">
        <f t="shared" si="161"/>
        <v>0</v>
      </c>
      <c r="BD698" s="1949">
        <v>1000</v>
      </c>
      <c r="BE698" s="1948">
        <v>1025.76</v>
      </c>
      <c r="BF698" s="1949">
        <v>1025.76</v>
      </c>
      <c r="BG698" s="1949">
        <v>0.99239999999999995</v>
      </c>
      <c r="BH698" s="1949">
        <v>49.22</v>
      </c>
      <c r="BI698" s="1948">
        <v>375666</v>
      </c>
      <c r="BJ698" s="1948">
        <f t="shared" si="162"/>
        <v>457899</v>
      </c>
      <c r="BK698" s="1948">
        <f t="shared" si="163"/>
        <v>0</v>
      </c>
    </row>
    <row r="699" spans="1:63" ht="15">
      <c r="A699" s="1946">
        <v>622000000129</v>
      </c>
      <c r="B699" s="1947">
        <f t="shared" si="164"/>
        <v>693</v>
      </c>
      <c r="C699" s="1906" t="s">
        <v>3424</v>
      </c>
      <c r="D699" s="1907" t="s">
        <v>524</v>
      </c>
      <c r="E699" s="1906" t="s">
        <v>541</v>
      </c>
      <c r="F699" s="1948" t="s">
        <v>259</v>
      </c>
      <c r="G699" s="1949">
        <v>1000</v>
      </c>
      <c r="H699" s="1948">
        <v>1000</v>
      </c>
      <c r="I699" s="1950">
        <v>853.19999999999993</v>
      </c>
      <c r="J699" s="1948">
        <v>853.2</v>
      </c>
      <c r="K699" s="1948">
        <v>0.97640000000000005</v>
      </c>
      <c r="L699" s="1948">
        <v>57.02</v>
      </c>
      <c r="M699" s="1948">
        <v>420330</v>
      </c>
      <c r="N699" s="1948">
        <f t="shared" si="150"/>
        <v>368582</v>
      </c>
      <c r="O699" s="1948">
        <f t="shared" si="151"/>
        <v>51748</v>
      </c>
      <c r="P699" s="1948">
        <v>1000</v>
      </c>
      <c r="Q699" s="1948">
        <v>869.4</v>
      </c>
      <c r="R699" s="1948">
        <v>869.4</v>
      </c>
      <c r="S699" s="1948">
        <v>0.93759999999999999</v>
      </c>
      <c r="T699" s="1948">
        <v>58.7</v>
      </c>
      <c r="U699" s="1948">
        <v>293948</v>
      </c>
      <c r="V699" s="1948">
        <f t="shared" si="152"/>
        <v>388100</v>
      </c>
      <c r="W699" s="1948">
        <f t="shared" si="153"/>
        <v>0</v>
      </c>
      <c r="X699" s="1948">
        <v>1000</v>
      </c>
      <c r="Y699" s="1948">
        <v>984.6</v>
      </c>
      <c r="Z699" s="1948">
        <v>984.6</v>
      </c>
      <c r="AA699" s="1948">
        <v>0.91930000000000001</v>
      </c>
      <c r="AB699" s="1948">
        <v>50.31</v>
      </c>
      <c r="AC699" s="1948">
        <v>416055</v>
      </c>
      <c r="AD699" s="1948">
        <f t="shared" si="154"/>
        <v>425347</v>
      </c>
      <c r="AE699" s="1948">
        <f t="shared" si="155"/>
        <v>0</v>
      </c>
      <c r="AF699" s="1948">
        <v>1000</v>
      </c>
      <c r="AG699" s="1948">
        <v>906.6</v>
      </c>
      <c r="AH699" s="1948">
        <v>906.6</v>
      </c>
      <c r="AI699" s="1948">
        <v>0.93600000000000005</v>
      </c>
      <c r="AJ699" s="1948">
        <v>49.45</v>
      </c>
      <c r="AK699" s="1948">
        <v>365835</v>
      </c>
      <c r="AL699" s="1948">
        <f t="shared" si="156"/>
        <v>404706</v>
      </c>
      <c r="AM699" s="1948">
        <f t="shared" si="157"/>
        <v>0</v>
      </c>
      <c r="AN699" s="1948">
        <v>1000</v>
      </c>
      <c r="AO699" s="1948">
        <v>919.2</v>
      </c>
      <c r="AP699" s="1948">
        <v>919.2</v>
      </c>
      <c r="AQ699" s="1948">
        <v>0.93689999999999996</v>
      </c>
      <c r="AR699" s="1948">
        <v>56.23</v>
      </c>
      <c r="AS699" s="1948">
        <v>384570</v>
      </c>
      <c r="AT699" s="1948">
        <f t="shared" si="158"/>
        <v>410331</v>
      </c>
      <c r="AU699" s="1948">
        <f t="shared" si="159"/>
        <v>0</v>
      </c>
      <c r="AV699" s="1948">
        <v>1000</v>
      </c>
      <c r="AW699" s="1948">
        <v>954.59999999999991</v>
      </c>
      <c r="AX699" s="1948">
        <v>954.6</v>
      </c>
      <c r="AY699" s="1948">
        <v>0.94310000000000005</v>
      </c>
      <c r="AZ699" s="1948">
        <v>54.07</v>
      </c>
      <c r="BA699" s="1948">
        <v>371617</v>
      </c>
      <c r="BB699" s="1948">
        <f t="shared" si="160"/>
        <v>412387</v>
      </c>
      <c r="BC699" s="1948">
        <f t="shared" si="161"/>
        <v>0</v>
      </c>
      <c r="BD699" s="1949">
        <v>1000</v>
      </c>
      <c r="BE699" s="1948">
        <v>1035</v>
      </c>
      <c r="BF699" s="1949">
        <v>1035</v>
      </c>
      <c r="BG699" s="1949">
        <v>0.92949999999999999</v>
      </c>
      <c r="BH699" s="1949">
        <v>55.9</v>
      </c>
      <c r="BI699" s="1948">
        <v>430425</v>
      </c>
      <c r="BJ699" s="1948">
        <f t="shared" si="162"/>
        <v>462024</v>
      </c>
      <c r="BK699" s="1948">
        <f t="shared" si="163"/>
        <v>0</v>
      </c>
    </row>
    <row r="700" spans="1:63" ht="15">
      <c r="A700" s="1946">
        <v>622000000209</v>
      </c>
      <c r="B700" s="1947">
        <f t="shared" si="164"/>
        <v>694</v>
      </c>
      <c r="C700" s="1906" t="s">
        <v>3512</v>
      </c>
      <c r="D700" s="1907" t="s">
        <v>524</v>
      </c>
      <c r="E700" s="1906" t="s">
        <v>541</v>
      </c>
      <c r="F700" s="1948" t="s">
        <v>259</v>
      </c>
      <c r="G700" s="1949">
        <v>1000</v>
      </c>
      <c r="H700" s="1948">
        <v>1000</v>
      </c>
      <c r="I700" s="1950">
        <v>90</v>
      </c>
      <c r="J700" s="1948">
        <v>800</v>
      </c>
      <c r="K700" s="1948">
        <v>0.74909999999999999</v>
      </c>
      <c r="L700" s="1948">
        <v>0.61</v>
      </c>
      <c r="M700" s="1948">
        <v>4365</v>
      </c>
      <c r="N700" s="1948">
        <f t="shared" si="150"/>
        <v>38880</v>
      </c>
      <c r="O700" s="1948">
        <f t="shared" si="151"/>
        <v>0</v>
      </c>
      <c r="P700" s="1948">
        <v>1000</v>
      </c>
      <c r="Q700" s="1948">
        <v>136.80000000000001</v>
      </c>
      <c r="R700" s="1948">
        <v>800</v>
      </c>
      <c r="S700" s="1948">
        <v>0.72609999999999997</v>
      </c>
      <c r="T700" s="1948">
        <v>44.65</v>
      </c>
      <c r="U700" s="1948">
        <v>36645</v>
      </c>
      <c r="V700" s="1948">
        <f t="shared" si="152"/>
        <v>61068</v>
      </c>
      <c r="W700" s="1948">
        <f t="shared" si="153"/>
        <v>0</v>
      </c>
      <c r="X700" s="1948">
        <v>1000</v>
      </c>
      <c r="Y700" s="1948">
        <v>231.11999999999998</v>
      </c>
      <c r="Z700" s="1948">
        <v>800</v>
      </c>
      <c r="AA700" s="1948">
        <v>0.88229999999999997</v>
      </c>
      <c r="AB700" s="1948">
        <v>36.299999999999997</v>
      </c>
      <c r="AC700" s="1948">
        <v>72480</v>
      </c>
      <c r="AD700" s="1948">
        <f t="shared" si="154"/>
        <v>99844</v>
      </c>
      <c r="AE700" s="1948">
        <f t="shared" si="155"/>
        <v>0</v>
      </c>
      <c r="AF700" s="1948">
        <v>1000</v>
      </c>
      <c r="AG700" s="1948">
        <v>538.56000000000006</v>
      </c>
      <c r="AH700" s="1948">
        <v>800</v>
      </c>
      <c r="AI700" s="1948">
        <v>0.86480000000000001</v>
      </c>
      <c r="AJ700" s="1948">
        <v>13.86</v>
      </c>
      <c r="AK700" s="1948">
        <v>55521</v>
      </c>
      <c r="AL700" s="1948">
        <f t="shared" si="156"/>
        <v>240413</v>
      </c>
      <c r="AM700" s="1948">
        <f t="shared" si="157"/>
        <v>0</v>
      </c>
      <c r="AN700" s="1948">
        <v>1000</v>
      </c>
      <c r="AO700" s="1948">
        <v>803.52</v>
      </c>
      <c r="AP700" s="1948">
        <v>803.52</v>
      </c>
      <c r="AQ700" s="1948">
        <v>0.79259999999999997</v>
      </c>
      <c r="AR700" s="1948">
        <v>10.4</v>
      </c>
      <c r="AS700" s="1948">
        <v>62145</v>
      </c>
      <c r="AT700" s="1948">
        <f t="shared" si="158"/>
        <v>358691</v>
      </c>
      <c r="AU700" s="1948">
        <f t="shared" si="159"/>
        <v>0</v>
      </c>
      <c r="AV700" s="1948">
        <v>1000</v>
      </c>
      <c r="AW700" s="1948">
        <v>149.76</v>
      </c>
      <c r="AX700" s="1948">
        <v>800</v>
      </c>
      <c r="AY700" s="1948">
        <v>0.78600000000000003</v>
      </c>
      <c r="AZ700" s="1948">
        <v>48.3</v>
      </c>
      <c r="BA700" s="1948">
        <v>52083</v>
      </c>
      <c r="BB700" s="1948">
        <f t="shared" si="160"/>
        <v>64696</v>
      </c>
      <c r="BC700" s="1948">
        <f t="shared" si="161"/>
        <v>0</v>
      </c>
      <c r="BD700" s="1949">
        <v>1000</v>
      </c>
      <c r="BE700" s="1948">
        <v>498.96</v>
      </c>
      <c r="BF700" s="1949">
        <v>800</v>
      </c>
      <c r="BG700" s="1949">
        <v>0.79600000000000004</v>
      </c>
      <c r="BH700" s="1949">
        <v>15.05</v>
      </c>
      <c r="BI700" s="1948">
        <v>55872</v>
      </c>
      <c r="BJ700" s="1948">
        <f t="shared" si="162"/>
        <v>222736</v>
      </c>
      <c r="BK700" s="1948">
        <f t="shared" si="163"/>
        <v>0</v>
      </c>
    </row>
    <row r="701" spans="1:63" ht="15">
      <c r="A701" s="1946"/>
      <c r="B701" s="1899">
        <f>+B700</f>
        <v>694</v>
      </c>
      <c r="C701" s="1900" t="s">
        <v>3516</v>
      </c>
      <c r="D701" s="1956"/>
      <c r="E701" s="1957"/>
      <c r="F701" s="1958"/>
      <c r="G701" s="1959">
        <f>ROUND(SUM(G7:G700),0)</f>
        <v>208761</v>
      </c>
      <c r="H701" s="1959">
        <f t="shared" ref="H701:O701" si="165">ROUND(SUM(H7:H700),0)</f>
        <v>190684</v>
      </c>
      <c r="I701" s="1960">
        <f t="shared" si="165"/>
        <v>114362</v>
      </c>
      <c r="J701" s="1959">
        <f t="shared" si="165"/>
        <v>171234</v>
      </c>
      <c r="K701" s="1959">
        <f>ROUND(AVERAGE(K7:K700),4)</f>
        <v>0.80279999999999996</v>
      </c>
      <c r="L701" s="1959">
        <f>ROUND(AVERAGE(L7:L700),2)</f>
        <v>24.23</v>
      </c>
      <c r="M701" s="1959">
        <f t="shared" si="165"/>
        <v>30755956</v>
      </c>
      <c r="N701" s="1959">
        <f t="shared" si="165"/>
        <v>49404172</v>
      </c>
      <c r="O701" s="1959">
        <f t="shared" si="165"/>
        <v>1115670</v>
      </c>
      <c r="P701" s="1959">
        <f t="shared" ref="P701" si="166">ROUND(SUM(P7:P700),0)</f>
        <v>193099</v>
      </c>
      <c r="Q701" s="1959">
        <f t="shared" ref="Q701:R701" si="167">ROUND(SUM(Q7:Q700),0)</f>
        <v>121397</v>
      </c>
      <c r="R701" s="1959">
        <f t="shared" si="167"/>
        <v>173961</v>
      </c>
      <c r="S701" s="1959">
        <f>ROUND(AVERAGE(S7:S700),4)</f>
        <v>0.80940000000000001</v>
      </c>
      <c r="T701" s="1959">
        <f>ROUND(AVERAGE(T7:T700),2)</f>
        <v>25.38</v>
      </c>
      <c r="U701" s="1959">
        <f t="shared" ref="U701" si="168">ROUND(SUM(U7:U700),0)</f>
        <v>34988971</v>
      </c>
      <c r="V701" s="1959">
        <f t="shared" ref="V701:Z701" si="169">ROUND(SUM(V7:V700),0)</f>
        <v>54191641</v>
      </c>
      <c r="W701" s="1959">
        <f t="shared" si="169"/>
        <v>928800</v>
      </c>
      <c r="X701" s="1959">
        <f t="shared" si="169"/>
        <v>199304</v>
      </c>
      <c r="Y701" s="1959">
        <f t="shared" si="169"/>
        <v>120443</v>
      </c>
      <c r="Z701" s="1959">
        <f t="shared" si="169"/>
        <v>177643</v>
      </c>
      <c r="AA701" s="1959">
        <f>ROUND(AVERAGE(AA7:AA700),4)</f>
        <v>0.80979999999999996</v>
      </c>
      <c r="AB701" s="1959">
        <f>ROUND(AVERAGE(AB7:AB700),2)</f>
        <v>24.01</v>
      </c>
      <c r="AC701" s="1959">
        <f t="shared" ref="AC701" si="170">ROUND(SUM(AC7:AC700),0)</f>
        <v>32233953</v>
      </c>
      <c r="AD701" s="1959">
        <f t="shared" ref="AD701:AH701" si="171">ROUND(SUM(AD7:AD700),0)</f>
        <v>52031331</v>
      </c>
      <c r="AE701" s="1959">
        <f t="shared" si="171"/>
        <v>1249855</v>
      </c>
      <c r="AF701" s="1959">
        <f t="shared" si="171"/>
        <v>199765</v>
      </c>
      <c r="AG701" s="1959">
        <f t="shared" si="171"/>
        <v>121541</v>
      </c>
      <c r="AH701" s="1959">
        <f t="shared" si="171"/>
        <v>179387</v>
      </c>
      <c r="AI701" s="1959">
        <f>ROUND(AVERAGE(AI7:AI700),4)</f>
        <v>0.81579999999999997</v>
      </c>
      <c r="AJ701" s="1959">
        <f>ROUND(AVERAGE(AJ7:AJ700),2)</f>
        <v>25.45</v>
      </c>
      <c r="AK701" s="1959">
        <f t="shared" ref="AK701" si="172">ROUND(SUM(AK7:AK700),0)</f>
        <v>32849077</v>
      </c>
      <c r="AL701" s="1959">
        <f t="shared" ref="AL701:AP701" si="173">ROUND(SUM(AL7:AL700),0)</f>
        <v>54255684</v>
      </c>
      <c r="AM701" s="1959">
        <f t="shared" si="173"/>
        <v>1011934</v>
      </c>
      <c r="AN701" s="1959">
        <f t="shared" si="173"/>
        <v>201430</v>
      </c>
      <c r="AO701" s="1959">
        <f t="shared" si="173"/>
        <v>119008</v>
      </c>
      <c r="AP701" s="1959">
        <f t="shared" si="173"/>
        <v>179807</v>
      </c>
      <c r="AQ701" s="1959">
        <f>ROUND(AVERAGE(AQ7:AQ700),4)</f>
        <v>0.81799999999999995</v>
      </c>
      <c r="AR701" s="1959">
        <f>ROUND(AVERAGE(AR7:AR700),2)</f>
        <v>25.35</v>
      </c>
      <c r="AS701" s="1959">
        <f t="shared" ref="AS701" si="174">ROUND(SUM(AS7:AS700),0)</f>
        <v>32070365</v>
      </c>
      <c r="AT701" s="1959">
        <f t="shared" ref="AT701:AX701" si="175">ROUND(SUM(AT7:AT700),0)</f>
        <v>53124969</v>
      </c>
      <c r="AU701" s="1959">
        <f t="shared" si="175"/>
        <v>827344</v>
      </c>
      <c r="AV701" s="1959">
        <f t="shared" si="175"/>
        <v>203158</v>
      </c>
      <c r="AW701" s="1959">
        <f t="shared" si="175"/>
        <v>115992</v>
      </c>
      <c r="AX701" s="1959">
        <f t="shared" si="175"/>
        <v>181179</v>
      </c>
      <c r="AY701" s="1959">
        <f>ROUND(AVERAGE(AY7:AY700),4)</f>
        <v>0.82279999999999998</v>
      </c>
      <c r="AZ701" s="1959">
        <f>ROUND(AVERAGE(AZ7:AZ700),2)</f>
        <v>25.89</v>
      </c>
      <c r="BA701" s="1959">
        <f t="shared" ref="BA701" si="176">ROUND(SUM(BA7:BA700),0)</f>
        <v>30758175</v>
      </c>
      <c r="BB701" s="1959">
        <f t="shared" ref="BB701:BF701" si="177">ROUND(SUM(BB7:BB700),0)</f>
        <v>50108690</v>
      </c>
      <c r="BC701" s="1959">
        <f t="shared" si="177"/>
        <v>744421</v>
      </c>
      <c r="BD701" s="1959">
        <f t="shared" si="177"/>
        <v>204619</v>
      </c>
      <c r="BE701" s="1959">
        <f t="shared" si="177"/>
        <v>114288</v>
      </c>
      <c r="BF701" s="1959">
        <f t="shared" si="177"/>
        <v>182422</v>
      </c>
      <c r="BG701" s="1959">
        <f>ROUND(AVERAGE(BG7:BG700),4)</f>
        <v>0.81930000000000003</v>
      </c>
      <c r="BH701" s="1959">
        <f>ROUND(AVERAGE(BH7:BH700),2)</f>
        <v>24.8</v>
      </c>
      <c r="BI701" s="1959">
        <f t="shared" ref="BI701" si="178">ROUND(SUM(BI7:BI700),0)</f>
        <v>30087162</v>
      </c>
      <c r="BJ701" s="1959">
        <f t="shared" ref="BJ701:BK701" si="179">ROUND(SUM(BJ7:BJ700),0)</f>
        <v>51018272</v>
      </c>
      <c r="BK701" s="1959">
        <f t="shared" si="179"/>
        <v>880318</v>
      </c>
    </row>
    <row r="702" spans="1:63" ht="30">
      <c r="A702" s="1946"/>
      <c r="B702" s="1928"/>
      <c r="C702" s="1891" t="s">
        <v>3517</v>
      </c>
      <c r="D702" s="1956"/>
      <c r="E702" s="1957"/>
      <c r="F702" s="1958"/>
      <c r="G702" s="1961"/>
      <c r="H702" s="1958"/>
      <c r="I702" s="1962"/>
      <c r="J702" s="1958"/>
      <c r="K702" s="1958"/>
      <c r="L702" s="1958"/>
      <c r="M702" s="1958"/>
      <c r="N702" s="1958"/>
      <c r="O702" s="1958"/>
      <c r="P702" s="1958"/>
      <c r="Q702" s="1958"/>
      <c r="R702" s="1958"/>
      <c r="S702" s="1958"/>
      <c r="T702" s="1958"/>
      <c r="U702" s="1958"/>
      <c r="V702" s="1958"/>
      <c r="W702" s="1958"/>
      <c r="X702" s="1958"/>
      <c r="Y702" s="1958"/>
      <c r="Z702" s="1958"/>
      <c r="AA702" s="1958"/>
      <c r="AB702" s="1958"/>
      <c r="AC702" s="1958"/>
      <c r="AD702" s="1958"/>
      <c r="AE702" s="1958"/>
      <c r="AF702" s="1958"/>
      <c r="AG702" s="1958"/>
      <c r="AH702" s="1958"/>
      <c r="AI702" s="1958"/>
      <c r="AJ702" s="1958"/>
      <c r="AK702" s="1958"/>
      <c r="AL702" s="1958"/>
      <c r="AM702" s="1958"/>
      <c r="AN702" s="1958"/>
      <c r="AO702" s="1958"/>
      <c r="AP702" s="1958"/>
      <c r="AQ702" s="1958"/>
      <c r="AR702" s="1958"/>
      <c r="AS702" s="1958"/>
      <c r="AT702" s="1958"/>
      <c r="AU702" s="1958"/>
      <c r="AV702" s="1958"/>
      <c r="AW702" s="1958"/>
      <c r="AX702" s="1958"/>
      <c r="AY702" s="1958"/>
      <c r="AZ702" s="1958"/>
      <c r="BA702" s="1958"/>
      <c r="BB702" s="1958"/>
      <c r="BC702" s="1958"/>
      <c r="BD702" s="1961"/>
      <c r="BE702" s="1958"/>
      <c r="BF702" s="1961"/>
      <c r="BG702" s="1961"/>
      <c r="BH702" s="1961"/>
      <c r="BI702" s="1958"/>
      <c r="BJ702" s="1958"/>
      <c r="BK702" s="1958"/>
    </row>
    <row r="703" spans="1:63" ht="15">
      <c r="A703" s="1946">
        <v>622000000184</v>
      </c>
      <c r="B703" s="1947">
        <v>1</v>
      </c>
      <c r="C703" s="1906" t="s">
        <v>732</v>
      </c>
      <c r="D703" s="1907" t="s">
        <v>524</v>
      </c>
      <c r="E703" s="1906" t="s">
        <v>730</v>
      </c>
      <c r="F703" s="1948" t="s">
        <v>259</v>
      </c>
      <c r="G703" s="1949">
        <v>1150</v>
      </c>
      <c r="H703" s="1948">
        <v>1150</v>
      </c>
      <c r="I703" s="1950">
        <v>408.24</v>
      </c>
      <c r="J703" s="1948">
        <v>920</v>
      </c>
      <c r="K703" s="1948">
        <v>0.81399999999999995</v>
      </c>
      <c r="L703" s="1948">
        <v>34.31</v>
      </c>
      <c r="M703" s="1948">
        <v>100854</v>
      </c>
      <c r="N703" s="1948">
        <f t="shared" ref="N703:N746" si="180">+ROUND(24*30*0.6*I703,0)</f>
        <v>176360</v>
      </c>
      <c r="O703" s="1948">
        <f t="shared" ref="O703:O746" si="181">+MAX((M703-N703),0)</f>
        <v>0</v>
      </c>
      <c r="P703" s="1948">
        <v>1150</v>
      </c>
      <c r="Q703" s="1948">
        <v>455.76</v>
      </c>
      <c r="R703" s="1948">
        <v>920</v>
      </c>
      <c r="S703" s="1948">
        <v>0.80759999999999998</v>
      </c>
      <c r="T703" s="1948">
        <v>31.63</v>
      </c>
      <c r="U703" s="1948">
        <v>107253</v>
      </c>
      <c r="V703" s="1948">
        <f t="shared" ref="V703:V746" si="182">+ROUND(24*31*0.6*Q703,0)</f>
        <v>203451</v>
      </c>
      <c r="W703" s="1948">
        <f t="shared" ref="W703:W746" si="183">+MAX((U703-V703),0)</f>
        <v>0</v>
      </c>
      <c r="X703" s="1948">
        <v>1150</v>
      </c>
      <c r="Y703" s="1948">
        <v>411.84000000000003</v>
      </c>
      <c r="Z703" s="1948">
        <v>920</v>
      </c>
      <c r="AA703" s="1948">
        <v>0.80400000000000005</v>
      </c>
      <c r="AB703" s="1948">
        <v>41.48</v>
      </c>
      <c r="AC703" s="1948">
        <v>123012</v>
      </c>
      <c r="AD703" s="1948">
        <f t="shared" ref="AD703:AD746" si="184">+ROUND(24*30*0.6*Y703,0)</f>
        <v>177915</v>
      </c>
      <c r="AE703" s="1948">
        <f t="shared" ref="AE703:AE746" si="185">+MAX((AC703-AD703),0)</f>
        <v>0</v>
      </c>
      <c r="AF703" s="1948">
        <v>1150</v>
      </c>
      <c r="AG703" s="1948">
        <v>432.72</v>
      </c>
      <c r="AH703" s="1948">
        <v>920</v>
      </c>
      <c r="AI703" s="1948">
        <v>0.79720000000000002</v>
      </c>
      <c r="AJ703" s="1948">
        <v>36.69</v>
      </c>
      <c r="AK703" s="1948">
        <v>118134</v>
      </c>
      <c r="AL703" s="1948">
        <f t="shared" ref="AL703:AL746" si="186">+ROUND(24*31*0.6*AG703,0)</f>
        <v>193166</v>
      </c>
      <c r="AM703" s="1948">
        <f t="shared" ref="AM703:AM746" si="187">+MAX((AK703-AL703),0)</f>
        <v>0</v>
      </c>
      <c r="AN703" s="1948">
        <v>1150</v>
      </c>
      <c r="AO703" s="1948">
        <v>412.56</v>
      </c>
      <c r="AP703" s="1948">
        <v>920</v>
      </c>
      <c r="AQ703" s="1948">
        <v>0.79630000000000001</v>
      </c>
      <c r="AR703" s="1948">
        <v>35.57</v>
      </c>
      <c r="AS703" s="1948">
        <v>109179</v>
      </c>
      <c r="AT703" s="1948">
        <f t="shared" ref="AT703:AT746" si="188">+ROUND(24*31*0.6*AO703,0)</f>
        <v>184167</v>
      </c>
      <c r="AU703" s="1948">
        <f t="shared" ref="AU703:AU746" si="189">+MAX((AS703-AT703),0)</f>
        <v>0</v>
      </c>
      <c r="AV703" s="1948">
        <v>1150</v>
      </c>
      <c r="AW703" s="1948">
        <v>424.79999999999995</v>
      </c>
      <c r="AX703" s="1948">
        <v>920</v>
      </c>
      <c r="AY703" s="1948">
        <v>0.78820000000000001</v>
      </c>
      <c r="AZ703" s="1948">
        <v>32.82</v>
      </c>
      <c r="BA703" s="1948">
        <v>100395</v>
      </c>
      <c r="BB703" s="1948">
        <f t="shared" ref="BB703:BB746" si="190">+ROUND(24*30*0.6*AW703,0)</f>
        <v>183514</v>
      </c>
      <c r="BC703" s="1948">
        <f t="shared" ref="BC703:BC746" si="191">+MAX((BA703-BB703),0)</f>
        <v>0</v>
      </c>
      <c r="BD703" s="1949">
        <v>1150</v>
      </c>
      <c r="BE703" s="1948">
        <v>433.44</v>
      </c>
      <c r="BF703" s="1949">
        <v>920</v>
      </c>
      <c r="BG703" s="1949">
        <v>0.78359999999999996</v>
      </c>
      <c r="BH703" s="1949">
        <v>37.99</v>
      </c>
      <c r="BI703" s="1948">
        <v>122499</v>
      </c>
      <c r="BJ703" s="1948">
        <f t="shared" ref="BJ703:BJ746" si="192">+ROUND(24*31*0.6*BE703,0)</f>
        <v>193488</v>
      </c>
      <c r="BK703" s="1948">
        <f t="shared" ref="BK703:BK746" si="193">+MAX((BI703-BJ703),0)</f>
        <v>0</v>
      </c>
    </row>
    <row r="704" spans="1:63" ht="15">
      <c r="A704" s="1946">
        <v>123000000049</v>
      </c>
      <c r="B704" s="1947">
        <f t="shared" si="164"/>
        <v>2</v>
      </c>
      <c r="C704" s="1906" t="s">
        <v>654</v>
      </c>
      <c r="D704" s="1907" t="s">
        <v>524</v>
      </c>
      <c r="E704" s="1906" t="s">
        <v>541</v>
      </c>
      <c r="F704" s="1948" t="s">
        <v>259</v>
      </c>
      <c r="G704" s="1949">
        <v>1200</v>
      </c>
      <c r="H704" s="1948">
        <v>1200</v>
      </c>
      <c r="I704" s="1950">
        <v>818.64</v>
      </c>
      <c r="J704" s="1948">
        <v>960</v>
      </c>
      <c r="K704" s="1948">
        <v>0.98919999999999997</v>
      </c>
      <c r="L704" s="1948">
        <v>55.45</v>
      </c>
      <c r="M704" s="1948">
        <v>326853</v>
      </c>
      <c r="N704" s="1948">
        <f t="shared" si="180"/>
        <v>353652</v>
      </c>
      <c r="O704" s="1948">
        <f t="shared" si="181"/>
        <v>0</v>
      </c>
      <c r="P704" s="1948">
        <v>1200</v>
      </c>
      <c r="Q704" s="1948">
        <v>840.96</v>
      </c>
      <c r="R704" s="1948">
        <v>960</v>
      </c>
      <c r="S704" s="1948">
        <v>0.98440000000000005</v>
      </c>
      <c r="T704" s="1948">
        <v>66.459999999999994</v>
      </c>
      <c r="U704" s="1948">
        <v>415836</v>
      </c>
      <c r="V704" s="1948">
        <f t="shared" si="182"/>
        <v>375405</v>
      </c>
      <c r="W704" s="1948">
        <f t="shared" si="183"/>
        <v>40431</v>
      </c>
      <c r="X704" s="1948">
        <v>1200</v>
      </c>
      <c r="Y704" s="1948">
        <v>676.8</v>
      </c>
      <c r="Z704" s="1948">
        <v>960</v>
      </c>
      <c r="AA704" s="1948">
        <v>0.98799999999999999</v>
      </c>
      <c r="AB704" s="1948">
        <v>58.34</v>
      </c>
      <c r="AC704" s="1948">
        <v>284292</v>
      </c>
      <c r="AD704" s="1948">
        <f t="shared" si="184"/>
        <v>292378</v>
      </c>
      <c r="AE704" s="1948">
        <f t="shared" si="185"/>
        <v>0</v>
      </c>
      <c r="AF704" s="1948">
        <v>1200</v>
      </c>
      <c r="AG704" s="1948">
        <v>689.04</v>
      </c>
      <c r="AH704" s="1948">
        <v>960</v>
      </c>
      <c r="AI704" s="1948">
        <v>0.99309999999999998</v>
      </c>
      <c r="AJ704" s="1948">
        <v>45.66</v>
      </c>
      <c r="AK704" s="1948">
        <v>234063</v>
      </c>
      <c r="AL704" s="1948">
        <f t="shared" si="186"/>
        <v>307587</v>
      </c>
      <c r="AM704" s="1948">
        <f t="shared" si="187"/>
        <v>0</v>
      </c>
      <c r="AN704" s="1948">
        <v>1200</v>
      </c>
      <c r="AO704" s="1948">
        <v>584.64</v>
      </c>
      <c r="AP704" s="1948">
        <v>960</v>
      </c>
      <c r="AQ704" s="1948">
        <v>0.99399999999999999</v>
      </c>
      <c r="AR704" s="1948">
        <v>60.62</v>
      </c>
      <c r="AS704" s="1948">
        <v>263691</v>
      </c>
      <c r="AT704" s="1948">
        <f t="shared" si="188"/>
        <v>260983</v>
      </c>
      <c r="AU704" s="1948">
        <f t="shared" si="189"/>
        <v>2708</v>
      </c>
      <c r="AV704" s="1948">
        <v>1200</v>
      </c>
      <c r="AW704" s="1948">
        <v>599.76</v>
      </c>
      <c r="AX704" s="1948">
        <v>960</v>
      </c>
      <c r="AY704" s="1948">
        <v>0.99560000000000004</v>
      </c>
      <c r="AZ704" s="1948">
        <v>58.3</v>
      </c>
      <c r="BA704" s="1948">
        <v>251757</v>
      </c>
      <c r="BB704" s="1948">
        <f t="shared" si="190"/>
        <v>259096</v>
      </c>
      <c r="BC704" s="1948">
        <f t="shared" si="191"/>
        <v>0</v>
      </c>
      <c r="BD704" s="1949">
        <v>1200</v>
      </c>
      <c r="BE704" s="1948">
        <v>671.04000000000008</v>
      </c>
      <c r="BF704" s="1949">
        <v>960</v>
      </c>
      <c r="BG704" s="1949">
        <v>0.99119999999999997</v>
      </c>
      <c r="BH704" s="1949">
        <v>57.59</v>
      </c>
      <c r="BI704" s="1948">
        <v>287496</v>
      </c>
      <c r="BJ704" s="1948">
        <f t="shared" si="192"/>
        <v>299552</v>
      </c>
      <c r="BK704" s="1948">
        <f t="shared" si="193"/>
        <v>0</v>
      </c>
    </row>
    <row r="705" spans="1:63" ht="15">
      <c r="A705" s="1946">
        <v>611000000017</v>
      </c>
      <c r="B705" s="1947">
        <f t="shared" si="164"/>
        <v>3</v>
      </c>
      <c r="C705" s="1906" t="s">
        <v>638</v>
      </c>
      <c r="D705" s="1907" t="s">
        <v>524</v>
      </c>
      <c r="E705" s="1906" t="s">
        <v>636</v>
      </c>
      <c r="F705" s="1948" t="s">
        <v>259</v>
      </c>
      <c r="G705" s="1949">
        <v>1200</v>
      </c>
      <c r="H705" s="1948">
        <v>1200</v>
      </c>
      <c r="I705" s="1950">
        <v>1381.68</v>
      </c>
      <c r="J705" s="1948">
        <v>1381.68</v>
      </c>
      <c r="K705" s="1948">
        <v>0.94120000000000004</v>
      </c>
      <c r="L705" s="1948">
        <v>68.319999999999993</v>
      </c>
      <c r="M705" s="1948">
        <v>679644</v>
      </c>
      <c r="N705" s="1948">
        <f t="shared" si="180"/>
        <v>596886</v>
      </c>
      <c r="O705" s="1948">
        <f t="shared" si="181"/>
        <v>82758</v>
      </c>
      <c r="P705" s="1948">
        <v>1200</v>
      </c>
      <c r="Q705" s="1948">
        <v>1378.08</v>
      </c>
      <c r="R705" s="1948">
        <v>1378.08</v>
      </c>
      <c r="S705" s="1948">
        <v>0.92859999999999998</v>
      </c>
      <c r="T705" s="1948">
        <v>71.239999999999995</v>
      </c>
      <c r="U705" s="1948">
        <v>730467</v>
      </c>
      <c r="V705" s="1948">
        <f t="shared" si="182"/>
        <v>615175</v>
      </c>
      <c r="W705" s="1948">
        <f t="shared" si="183"/>
        <v>115292</v>
      </c>
      <c r="X705" s="1948">
        <v>1200</v>
      </c>
      <c r="Y705" s="1948">
        <v>1374.48</v>
      </c>
      <c r="Z705" s="1948">
        <v>1374.48</v>
      </c>
      <c r="AA705" s="1948">
        <v>0.92759999999999998</v>
      </c>
      <c r="AB705" s="1948">
        <v>78.489999999999995</v>
      </c>
      <c r="AC705" s="1948">
        <v>776772</v>
      </c>
      <c r="AD705" s="1948">
        <f t="shared" si="184"/>
        <v>593775</v>
      </c>
      <c r="AE705" s="1948">
        <f t="shared" si="185"/>
        <v>182997</v>
      </c>
      <c r="AF705" s="1948">
        <v>1200</v>
      </c>
      <c r="AG705" s="1948">
        <v>1478.88</v>
      </c>
      <c r="AH705" s="1948">
        <v>1478.88</v>
      </c>
      <c r="AI705" s="1948">
        <v>0.8841</v>
      </c>
      <c r="AJ705" s="1948">
        <v>67.290000000000006</v>
      </c>
      <c r="AK705" s="1948">
        <v>740376</v>
      </c>
      <c r="AL705" s="1948">
        <f t="shared" si="186"/>
        <v>660172</v>
      </c>
      <c r="AM705" s="1948">
        <f t="shared" si="187"/>
        <v>80204</v>
      </c>
      <c r="AN705" s="1948">
        <v>1200</v>
      </c>
      <c r="AO705" s="1948">
        <v>1496.88</v>
      </c>
      <c r="AP705" s="1948">
        <v>1496.88</v>
      </c>
      <c r="AQ705" s="1948">
        <v>0.86539999999999995</v>
      </c>
      <c r="AR705" s="1948">
        <v>65.849999999999994</v>
      </c>
      <c r="AS705" s="1948">
        <v>733347</v>
      </c>
      <c r="AT705" s="1948">
        <f t="shared" si="188"/>
        <v>668207</v>
      </c>
      <c r="AU705" s="1948">
        <f t="shared" si="189"/>
        <v>65140</v>
      </c>
      <c r="AV705" s="1948">
        <v>1200</v>
      </c>
      <c r="AW705" s="1948">
        <v>1500.48</v>
      </c>
      <c r="AX705" s="1948">
        <v>1500.48</v>
      </c>
      <c r="AY705" s="1948">
        <v>0.84370000000000001</v>
      </c>
      <c r="AZ705" s="1948">
        <v>68.180000000000007</v>
      </c>
      <c r="BA705" s="1948">
        <v>736614</v>
      </c>
      <c r="BB705" s="1948">
        <f t="shared" si="190"/>
        <v>648207</v>
      </c>
      <c r="BC705" s="1948">
        <f t="shared" si="191"/>
        <v>88407</v>
      </c>
      <c r="BD705" s="1949">
        <v>1200</v>
      </c>
      <c r="BE705" s="1949">
        <v>1495.44</v>
      </c>
      <c r="BF705" s="1949">
        <v>1495.44</v>
      </c>
      <c r="BG705" s="1949">
        <v>0.84099999999999997</v>
      </c>
      <c r="BH705" s="1949">
        <v>73.22</v>
      </c>
      <c r="BI705" s="1948">
        <v>814599</v>
      </c>
      <c r="BJ705" s="1948">
        <f t="shared" si="192"/>
        <v>667564</v>
      </c>
      <c r="BK705" s="1948">
        <f t="shared" si="193"/>
        <v>147035</v>
      </c>
    </row>
    <row r="706" spans="1:63" ht="15">
      <c r="A706" s="1946">
        <v>622000000194</v>
      </c>
      <c r="B706" s="1947">
        <f t="shared" si="164"/>
        <v>4</v>
      </c>
      <c r="C706" s="1906" t="s">
        <v>690</v>
      </c>
      <c r="D706" s="1907" t="s">
        <v>524</v>
      </c>
      <c r="E706" s="1906" t="s">
        <v>541</v>
      </c>
      <c r="F706" s="1948" t="s">
        <v>259</v>
      </c>
      <c r="G706" s="1949">
        <v>1200</v>
      </c>
      <c r="H706" s="1948">
        <v>1200</v>
      </c>
      <c r="I706" s="1950">
        <v>1142.4000000000001</v>
      </c>
      <c r="J706" s="1948">
        <v>1142.4000000000001</v>
      </c>
      <c r="K706" s="1948">
        <v>0.83109999999999995</v>
      </c>
      <c r="L706" s="1948">
        <v>47.16</v>
      </c>
      <c r="M706" s="1948">
        <v>387930</v>
      </c>
      <c r="N706" s="1948">
        <f t="shared" si="180"/>
        <v>493517</v>
      </c>
      <c r="O706" s="1948">
        <f t="shared" si="181"/>
        <v>0</v>
      </c>
      <c r="P706" s="1948">
        <v>1200</v>
      </c>
      <c r="Q706" s="1948">
        <v>1080</v>
      </c>
      <c r="R706" s="1948">
        <v>1080</v>
      </c>
      <c r="S706" s="1948">
        <v>0.82799999999999996</v>
      </c>
      <c r="T706" s="1948">
        <v>53.99</v>
      </c>
      <c r="U706" s="1948">
        <v>433830</v>
      </c>
      <c r="V706" s="1948">
        <f t="shared" si="182"/>
        <v>482112</v>
      </c>
      <c r="W706" s="1948">
        <f t="shared" si="183"/>
        <v>0</v>
      </c>
      <c r="X706" s="1948">
        <v>1200</v>
      </c>
      <c r="Y706" s="1948">
        <v>948</v>
      </c>
      <c r="Z706" s="1948">
        <v>960</v>
      </c>
      <c r="AA706" s="1948">
        <v>0.92920000000000003</v>
      </c>
      <c r="AB706" s="1948">
        <v>39.76</v>
      </c>
      <c r="AC706" s="1948">
        <v>271410</v>
      </c>
      <c r="AD706" s="1948">
        <f t="shared" si="184"/>
        <v>409536</v>
      </c>
      <c r="AE706" s="1948">
        <f t="shared" si="185"/>
        <v>0</v>
      </c>
      <c r="AF706" s="1948">
        <v>1200</v>
      </c>
      <c r="AG706" s="1948">
        <v>628.80000000000007</v>
      </c>
      <c r="AH706" s="1948">
        <v>960</v>
      </c>
      <c r="AI706" s="1948">
        <v>0.97270000000000001</v>
      </c>
      <c r="AJ706" s="1948">
        <v>46.99</v>
      </c>
      <c r="AK706" s="1948">
        <v>219840</v>
      </c>
      <c r="AL706" s="1948">
        <f t="shared" si="186"/>
        <v>280696</v>
      </c>
      <c r="AM706" s="1948">
        <f t="shared" si="187"/>
        <v>0</v>
      </c>
      <c r="AN706" s="1948">
        <v>1200</v>
      </c>
      <c r="AO706" s="1948">
        <v>710.4</v>
      </c>
      <c r="AP706" s="1948">
        <v>960</v>
      </c>
      <c r="AQ706" s="1948">
        <v>0.97040000000000004</v>
      </c>
      <c r="AR706" s="1948">
        <v>41.81</v>
      </c>
      <c r="AS706" s="1948">
        <v>220980</v>
      </c>
      <c r="AT706" s="1948">
        <f t="shared" si="188"/>
        <v>317123</v>
      </c>
      <c r="AU706" s="1948">
        <f t="shared" si="189"/>
        <v>0</v>
      </c>
      <c r="AV706" s="1948">
        <v>1200</v>
      </c>
      <c r="AW706" s="1948">
        <v>1010.4</v>
      </c>
      <c r="AX706" s="1948">
        <v>1010.4</v>
      </c>
      <c r="AY706" s="1948">
        <v>0.93289999999999995</v>
      </c>
      <c r="AZ706" s="1948">
        <v>42.69</v>
      </c>
      <c r="BA706" s="1948">
        <v>310560</v>
      </c>
      <c r="BB706" s="1948">
        <f t="shared" si="190"/>
        <v>436493</v>
      </c>
      <c r="BC706" s="1948">
        <f t="shared" si="191"/>
        <v>0</v>
      </c>
      <c r="BD706" s="1949">
        <v>1200</v>
      </c>
      <c r="BE706" s="1948">
        <v>1123.2</v>
      </c>
      <c r="BF706" s="1949">
        <v>1123.2</v>
      </c>
      <c r="BG706" s="1949">
        <v>0.92459999999999998</v>
      </c>
      <c r="BH706" s="1949">
        <v>45.23</v>
      </c>
      <c r="BI706" s="1948">
        <v>378000</v>
      </c>
      <c r="BJ706" s="1948">
        <f t="shared" si="192"/>
        <v>501396</v>
      </c>
      <c r="BK706" s="1948">
        <f t="shared" si="193"/>
        <v>0</v>
      </c>
    </row>
    <row r="707" spans="1:63" ht="15">
      <c r="A707" s="1946">
        <v>611000000015</v>
      </c>
      <c r="B707" s="1947">
        <f t="shared" si="164"/>
        <v>5</v>
      </c>
      <c r="C707" s="1906" t="s">
        <v>628</v>
      </c>
      <c r="D707" s="1907" t="s">
        <v>524</v>
      </c>
      <c r="E707" s="1906" t="s">
        <v>629</v>
      </c>
      <c r="F707" s="1948" t="s">
        <v>259</v>
      </c>
      <c r="G707" s="1949">
        <v>1236</v>
      </c>
      <c r="H707" s="1948">
        <v>1236</v>
      </c>
      <c r="I707" s="1950">
        <v>1002</v>
      </c>
      <c r="J707" s="1948">
        <v>1236</v>
      </c>
      <c r="K707" s="1948">
        <v>0.97599999999999998</v>
      </c>
      <c r="L707" s="1948">
        <v>0</v>
      </c>
      <c r="M707" s="1948">
        <v>400290</v>
      </c>
      <c r="N707" s="1948">
        <f t="shared" si="180"/>
        <v>432864</v>
      </c>
      <c r="O707" s="1948">
        <f t="shared" si="181"/>
        <v>0</v>
      </c>
      <c r="P707" s="1948">
        <v>1236</v>
      </c>
      <c r="Q707" s="1948">
        <v>972</v>
      </c>
      <c r="R707" s="1948">
        <v>1236</v>
      </c>
      <c r="S707" s="1948">
        <v>0.9748</v>
      </c>
      <c r="T707" s="1948">
        <v>0</v>
      </c>
      <c r="U707" s="1948">
        <v>424095</v>
      </c>
      <c r="V707" s="1948">
        <f t="shared" si="182"/>
        <v>433901</v>
      </c>
      <c r="W707" s="1948">
        <f t="shared" si="183"/>
        <v>0</v>
      </c>
      <c r="X707" s="1948">
        <v>1236</v>
      </c>
      <c r="Y707" s="1948">
        <v>918</v>
      </c>
      <c r="Z707" s="1948">
        <v>1236</v>
      </c>
      <c r="AA707" s="1948">
        <v>0.9748</v>
      </c>
      <c r="AB707" s="1948">
        <v>0</v>
      </c>
      <c r="AC707" s="1948">
        <v>397380</v>
      </c>
      <c r="AD707" s="1948">
        <f t="shared" si="184"/>
        <v>396576</v>
      </c>
      <c r="AE707" s="1948">
        <f t="shared" si="185"/>
        <v>804</v>
      </c>
      <c r="AF707" s="1948">
        <v>1236</v>
      </c>
      <c r="AG707" s="1948">
        <v>1065</v>
      </c>
      <c r="AH707" s="1948">
        <v>1236</v>
      </c>
      <c r="AI707" s="1948">
        <v>0.9778</v>
      </c>
      <c r="AJ707" s="1948">
        <v>0</v>
      </c>
      <c r="AK707" s="1948">
        <v>440355</v>
      </c>
      <c r="AL707" s="1948">
        <f t="shared" si="186"/>
        <v>475416</v>
      </c>
      <c r="AM707" s="1948">
        <f t="shared" si="187"/>
        <v>0</v>
      </c>
      <c r="AN707" s="1948">
        <v>1236</v>
      </c>
      <c r="AO707" s="1948">
        <v>1020.0000000000001</v>
      </c>
      <c r="AP707" s="1948">
        <v>1236</v>
      </c>
      <c r="AQ707" s="1948">
        <v>0.97699999999999998</v>
      </c>
      <c r="AR707" s="1948">
        <v>0</v>
      </c>
      <c r="AS707" s="1948">
        <v>420600</v>
      </c>
      <c r="AT707" s="1948">
        <f t="shared" si="188"/>
        <v>455328</v>
      </c>
      <c r="AU707" s="1948">
        <f t="shared" si="189"/>
        <v>0</v>
      </c>
      <c r="AV707" s="1948">
        <v>1236</v>
      </c>
      <c r="AW707" s="1948">
        <v>977.99999999999989</v>
      </c>
      <c r="AX707" s="1948">
        <v>1236</v>
      </c>
      <c r="AY707" s="1948">
        <v>0.97829999999999995</v>
      </c>
      <c r="AZ707" s="1948">
        <v>0</v>
      </c>
      <c r="BA707" s="1948">
        <v>432555</v>
      </c>
      <c r="BB707" s="1948">
        <f t="shared" si="190"/>
        <v>422496</v>
      </c>
      <c r="BC707" s="1948">
        <f t="shared" si="191"/>
        <v>10059</v>
      </c>
      <c r="BD707" s="1949">
        <v>1236</v>
      </c>
      <c r="BE707" s="1948">
        <v>930</v>
      </c>
      <c r="BF707" s="1949">
        <v>1236</v>
      </c>
      <c r="BG707" s="1949">
        <v>0.97670000000000001</v>
      </c>
      <c r="BH707" s="1949">
        <v>0</v>
      </c>
      <c r="BI707" s="1948">
        <v>437640</v>
      </c>
      <c r="BJ707" s="1948">
        <f t="shared" si="192"/>
        <v>415152</v>
      </c>
      <c r="BK707" s="1948">
        <f t="shared" si="193"/>
        <v>22488</v>
      </c>
    </row>
    <row r="708" spans="1:63" ht="15">
      <c r="A708" s="1946">
        <v>622000000028</v>
      </c>
      <c r="B708" s="1947">
        <f t="shared" si="164"/>
        <v>6</v>
      </c>
      <c r="C708" s="1906" t="s">
        <v>694</v>
      </c>
      <c r="D708" s="1907" t="s">
        <v>524</v>
      </c>
      <c r="E708" s="1906" t="s">
        <v>541</v>
      </c>
      <c r="F708" s="1948" t="s">
        <v>259</v>
      </c>
      <c r="G708" s="1949">
        <v>1300</v>
      </c>
      <c r="H708" s="1948">
        <v>1300</v>
      </c>
      <c r="I708" s="1950">
        <v>1208.8000000000002</v>
      </c>
      <c r="J708" s="1948">
        <v>1208.8</v>
      </c>
      <c r="K708" s="1948">
        <v>0.95750000000000002</v>
      </c>
      <c r="L708" s="1948">
        <v>63.1</v>
      </c>
      <c r="M708" s="1948">
        <v>549150</v>
      </c>
      <c r="N708" s="1948">
        <f t="shared" si="180"/>
        <v>522202</v>
      </c>
      <c r="O708" s="1948">
        <f t="shared" si="181"/>
        <v>26948</v>
      </c>
      <c r="P708" s="1948">
        <v>1300</v>
      </c>
      <c r="Q708" s="1948">
        <v>1208</v>
      </c>
      <c r="R708" s="1948">
        <v>1208</v>
      </c>
      <c r="S708" s="1948">
        <v>0.95569999999999999</v>
      </c>
      <c r="T708" s="1948">
        <v>65.5</v>
      </c>
      <c r="U708" s="1948">
        <v>531700</v>
      </c>
      <c r="V708" s="1948">
        <f t="shared" si="182"/>
        <v>539251</v>
      </c>
      <c r="W708" s="1948">
        <f t="shared" si="183"/>
        <v>0</v>
      </c>
      <c r="X708" s="1948">
        <v>1300</v>
      </c>
      <c r="Y708" s="1948">
        <v>1262.3999999999999</v>
      </c>
      <c r="Z708" s="1948">
        <v>1262.4000000000001</v>
      </c>
      <c r="AA708" s="1948">
        <v>0.91739999999999999</v>
      </c>
      <c r="AB708" s="1948">
        <v>71.09</v>
      </c>
      <c r="AC708" s="1948">
        <v>753900</v>
      </c>
      <c r="AD708" s="1948">
        <f t="shared" si="184"/>
        <v>545357</v>
      </c>
      <c r="AE708" s="1948">
        <f t="shared" si="185"/>
        <v>208543</v>
      </c>
      <c r="AF708" s="1948">
        <v>1300</v>
      </c>
      <c r="AG708" s="1948">
        <v>1298.4000000000001</v>
      </c>
      <c r="AH708" s="1948">
        <v>1298.4000000000001</v>
      </c>
      <c r="AI708" s="1948">
        <v>0.90100000000000002</v>
      </c>
      <c r="AJ708" s="1948">
        <v>61.85</v>
      </c>
      <c r="AK708" s="1948">
        <v>616800</v>
      </c>
      <c r="AL708" s="1948">
        <f t="shared" si="186"/>
        <v>579606</v>
      </c>
      <c r="AM708" s="1948">
        <f t="shared" si="187"/>
        <v>37194</v>
      </c>
      <c r="AN708" s="1948">
        <v>1300</v>
      </c>
      <c r="AO708" s="1948">
        <v>1344.8</v>
      </c>
      <c r="AP708" s="1948">
        <v>1344.8</v>
      </c>
      <c r="AQ708" s="1948">
        <v>0.9032</v>
      </c>
      <c r="AR708" s="1948">
        <v>67.97</v>
      </c>
      <c r="AS708" s="1948">
        <v>680040</v>
      </c>
      <c r="AT708" s="1948">
        <f t="shared" si="188"/>
        <v>600319</v>
      </c>
      <c r="AU708" s="1948">
        <f t="shared" si="189"/>
        <v>79721</v>
      </c>
      <c r="AV708" s="1948">
        <v>1300</v>
      </c>
      <c r="AW708" s="1948">
        <v>1324.8</v>
      </c>
      <c r="AX708" s="1948">
        <v>1324.8</v>
      </c>
      <c r="AY708" s="1948">
        <v>0.89929999999999999</v>
      </c>
      <c r="AZ708" s="1948">
        <v>73.91</v>
      </c>
      <c r="BA708" s="1948">
        <v>704970</v>
      </c>
      <c r="BB708" s="1948">
        <f t="shared" si="190"/>
        <v>572314</v>
      </c>
      <c r="BC708" s="1948">
        <f t="shared" si="191"/>
        <v>132656</v>
      </c>
      <c r="BD708" s="1949">
        <v>1300</v>
      </c>
      <c r="BE708" s="1948">
        <v>1312.8</v>
      </c>
      <c r="BF708" s="1949">
        <v>1312.8</v>
      </c>
      <c r="BG708" s="1949">
        <v>0.89659999999999995</v>
      </c>
      <c r="BH708" s="1949">
        <v>75.790000000000006</v>
      </c>
      <c r="BI708" s="1948">
        <v>740210</v>
      </c>
      <c r="BJ708" s="1948">
        <f t="shared" si="192"/>
        <v>586034</v>
      </c>
      <c r="BK708" s="1948">
        <f t="shared" si="193"/>
        <v>154176</v>
      </c>
    </row>
    <row r="709" spans="1:63" ht="15">
      <c r="A709" s="1946">
        <v>122000000012</v>
      </c>
      <c r="B709" s="1947">
        <f t="shared" si="164"/>
        <v>7</v>
      </c>
      <c r="C709" s="1906" t="s">
        <v>650</v>
      </c>
      <c r="D709" s="1907" t="s">
        <v>524</v>
      </c>
      <c r="E709" s="1906" t="s">
        <v>541</v>
      </c>
      <c r="F709" s="1948" t="s">
        <v>259</v>
      </c>
      <c r="G709" s="1949">
        <v>1350</v>
      </c>
      <c r="H709" s="1948">
        <v>1350</v>
      </c>
      <c r="I709" s="1950">
        <v>1489.68</v>
      </c>
      <c r="J709" s="1948">
        <v>1489.68</v>
      </c>
      <c r="K709" s="1948">
        <v>0.96</v>
      </c>
      <c r="L709" s="1948">
        <v>55.38</v>
      </c>
      <c r="M709" s="1948">
        <v>594027</v>
      </c>
      <c r="N709" s="1948">
        <f t="shared" si="180"/>
        <v>643542</v>
      </c>
      <c r="O709" s="1948">
        <f t="shared" si="181"/>
        <v>0</v>
      </c>
      <c r="P709" s="1948">
        <v>1350</v>
      </c>
      <c r="Q709" s="1948">
        <v>1491.84</v>
      </c>
      <c r="R709" s="1948">
        <v>1491.84</v>
      </c>
      <c r="S709" s="1948">
        <v>0.97170000000000001</v>
      </c>
      <c r="T709" s="1948">
        <v>53.46</v>
      </c>
      <c r="U709" s="1948">
        <v>593388</v>
      </c>
      <c r="V709" s="1948">
        <f t="shared" si="182"/>
        <v>665957</v>
      </c>
      <c r="W709" s="1948">
        <f t="shared" si="183"/>
        <v>0</v>
      </c>
      <c r="X709" s="1948">
        <v>1350</v>
      </c>
      <c r="Y709" s="1948">
        <v>1363.68</v>
      </c>
      <c r="Z709" s="1948">
        <v>1363.68</v>
      </c>
      <c r="AA709" s="1948">
        <v>0.98260000000000003</v>
      </c>
      <c r="AB709" s="1948">
        <v>56.47</v>
      </c>
      <c r="AC709" s="1948">
        <v>554454</v>
      </c>
      <c r="AD709" s="1948">
        <f t="shared" si="184"/>
        <v>589110</v>
      </c>
      <c r="AE709" s="1948">
        <f t="shared" si="185"/>
        <v>0</v>
      </c>
      <c r="AF709" s="1948">
        <v>1350</v>
      </c>
      <c r="AG709" s="1948">
        <v>1476.72</v>
      </c>
      <c r="AH709" s="1948">
        <v>1476.72</v>
      </c>
      <c r="AI709" s="1948">
        <v>0.97970000000000002</v>
      </c>
      <c r="AJ709" s="1948">
        <v>52.78</v>
      </c>
      <c r="AK709" s="1948">
        <v>579843</v>
      </c>
      <c r="AL709" s="1948">
        <f t="shared" si="186"/>
        <v>659208</v>
      </c>
      <c r="AM709" s="1948">
        <f t="shared" si="187"/>
        <v>0</v>
      </c>
      <c r="AN709" s="1948">
        <v>1350</v>
      </c>
      <c r="AO709" s="1948">
        <v>1432.8</v>
      </c>
      <c r="AP709" s="1948">
        <v>1432.8</v>
      </c>
      <c r="AQ709" s="1948">
        <v>0.98109999999999997</v>
      </c>
      <c r="AR709" s="1948">
        <v>47.23</v>
      </c>
      <c r="AS709" s="1948">
        <v>503460</v>
      </c>
      <c r="AT709" s="1948">
        <f t="shared" si="188"/>
        <v>639602</v>
      </c>
      <c r="AU709" s="1948">
        <f t="shared" si="189"/>
        <v>0</v>
      </c>
      <c r="AV709" s="1948">
        <v>1350</v>
      </c>
      <c r="AW709" s="1948">
        <v>1468.8</v>
      </c>
      <c r="AX709" s="1948">
        <v>1468.8</v>
      </c>
      <c r="AY709" s="1948">
        <v>0.97789999999999999</v>
      </c>
      <c r="AZ709" s="1948">
        <v>54.02</v>
      </c>
      <c r="BA709" s="1948">
        <v>571329</v>
      </c>
      <c r="BB709" s="1948">
        <f t="shared" si="190"/>
        <v>634522</v>
      </c>
      <c r="BC709" s="1948">
        <f t="shared" si="191"/>
        <v>0</v>
      </c>
      <c r="BD709" s="1949">
        <v>1350</v>
      </c>
      <c r="BE709" s="1949">
        <v>1480.32</v>
      </c>
      <c r="BF709" s="1949">
        <v>1480.32</v>
      </c>
      <c r="BG709" s="1949">
        <v>0.97829999999999995</v>
      </c>
      <c r="BH709" s="1949">
        <v>48.09</v>
      </c>
      <c r="BI709" s="1948">
        <v>529659</v>
      </c>
      <c r="BJ709" s="1948">
        <f t="shared" si="192"/>
        <v>660815</v>
      </c>
      <c r="BK709" s="1948">
        <f t="shared" si="193"/>
        <v>0</v>
      </c>
    </row>
    <row r="710" spans="1:63" ht="15">
      <c r="A710" s="1946">
        <v>123000000144</v>
      </c>
      <c r="B710" s="1947">
        <f t="shared" si="164"/>
        <v>8</v>
      </c>
      <c r="C710" s="1906" t="s">
        <v>622</v>
      </c>
      <c r="D710" s="1907" t="s">
        <v>524</v>
      </c>
      <c r="E710" s="1906" t="s">
        <v>623</v>
      </c>
      <c r="F710" s="1948" t="s">
        <v>259</v>
      </c>
      <c r="G710" s="1949">
        <v>1430</v>
      </c>
      <c r="H710" s="1948">
        <v>1430</v>
      </c>
      <c r="I710" s="1950">
        <v>56.88</v>
      </c>
      <c r="J710" s="1948">
        <v>1430</v>
      </c>
      <c r="K710" s="1948">
        <v>0.99880000000000002</v>
      </c>
      <c r="L710" s="1948">
        <v>0</v>
      </c>
      <c r="M710" s="1948">
        <v>7893</v>
      </c>
      <c r="N710" s="1948">
        <f t="shared" si="180"/>
        <v>24572</v>
      </c>
      <c r="O710" s="1948">
        <f t="shared" si="181"/>
        <v>0</v>
      </c>
      <c r="P710" s="1948">
        <v>1430</v>
      </c>
      <c r="Q710" s="1948">
        <v>725.04</v>
      </c>
      <c r="R710" s="1948">
        <v>1430</v>
      </c>
      <c r="S710" s="1948">
        <v>0.97370000000000001</v>
      </c>
      <c r="T710" s="1948">
        <v>0</v>
      </c>
      <c r="U710" s="1948">
        <v>116307</v>
      </c>
      <c r="V710" s="1948">
        <f t="shared" si="182"/>
        <v>323658</v>
      </c>
      <c r="W710" s="1948">
        <f t="shared" si="183"/>
        <v>0</v>
      </c>
      <c r="X710" s="1948">
        <v>1430</v>
      </c>
      <c r="Y710" s="1948">
        <v>1392.48</v>
      </c>
      <c r="Z710" s="1948">
        <v>1430</v>
      </c>
      <c r="AA710" s="1948">
        <v>0.96760000000000002</v>
      </c>
      <c r="AB710" s="1948">
        <v>0</v>
      </c>
      <c r="AC710" s="1948">
        <v>361980</v>
      </c>
      <c r="AD710" s="1948">
        <f t="shared" si="184"/>
        <v>601551</v>
      </c>
      <c r="AE710" s="1948">
        <f t="shared" si="185"/>
        <v>0</v>
      </c>
      <c r="AF710" s="1948">
        <v>1430</v>
      </c>
      <c r="AG710" s="1948">
        <v>1493.28</v>
      </c>
      <c r="AH710" s="1948">
        <v>1493.28</v>
      </c>
      <c r="AI710" s="1948">
        <v>0.97260000000000002</v>
      </c>
      <c r="AJ710" s="1948">
        <v>0</v>
      </c>
      <c r="AK710" s="1948">
        <v>527112</v>
      </c>
      <c r="AL710" s="1948">
        <f t="shared" si="186"/>
        <v>666600</v>
      </c>
      <c r="AM710" s="1948">
        <f t="shared" si="187"/>
        <v>0</v>
      </c>
      <c r="AN710" s="1948">
        <v>1430</v>
      </c>
      <c r="AO710" s="1948">
        <v>1346.4</v>
      </c>
      <c r="AP710" s="1948">
        <v>1430</v>
      </c>
      <c r="AQ710" s="1948">
        <v>0.97450000000000003</v>
      </c>
      <c r="AR710" s="1948">
        <v>0</v>
      </c>
      <c r="AS710" s="1948">
        <v>474957</v>
      </c>
      <c r="AT710" s="1948">
        <f t="shared" si="188"/>
        <v>601033</v>
      </c>
      <c r="AU710" s="1948">
        <f t="shared" si="189"/>
        <v>0</v>
      </c>
      <c r="AV710" s="1948">
        <v>1430</v>
      </c>
      <c r="AW710" s="1948">
        <v>1271.52</v>
      </c>
      <c r="AX710" s="1948">
        <v>1430</v>
      </c>
      <c r="AY710" s="1948">
        <v>0.98250000000000004</v>
      </c>
      <c r="AZ710" s="1948">
        <v>0</v>
      </c>
      <c r="BA710" s="1948">
        <v>407052</v>
      </c>
      <c r="BB710" s="1948">
        <f t="shared" si="190"/>
        <v>549297</v>
      </c>
      <c r="BC710" s="1948">
        <f t="shared" si="191"/>
        <v>0</v>
      </c>
      <c r="BD710" s="1949">
        <v>1430</v>
      </c>
      <c r="BE710" s="1948">
        <v>1274.3999999999999</v>
      </c>
      <c r="BF710" s="1949">
        <v>1430</v>
      </c>
      <c r="BG710" s="1949">
        <v>0.99690000000000001</v>
      </c>
      <c r="BH710" s="1949">
        <v>0</v>
      </c>
      <c r="BI710" s="1948">
        <v>427338</v>
      </c>
      <c r="BJ710" s="1948">
        <f t="shared" si="192"/>
        <v>568892</v>
      </c>
      <c r="BK710" s="1948">
        <f t="shared" si="193"/>
        <v>0</v>
      </c>
    </row>
    <row r="711" spans="1:63" ht="15">
      <c r="A711" s="1946">
        <v>611000000086</v>
      </c>
      <c r="B711" s="1947">
        <f t="shared" si="164"/>
        <v>9</v>
      </c>
      <c r="C711" s="1906" t="s">
        <v>666</v>
      </c>
      <c r="D711" s="1907" t="s">
        <v>524</v>
      </c>
      <c r="E711" s="1906" t="s">
        <v>541</v>
      </c>
      <c r="F711" s="1948" t="s">
        <v>259</v>
      </c>
      <c r="G711" s="1949">
        <v>1450</v>
      </c>
      <c r="H711" s="1948">
        <v>1450</v>
      </c>
      <c r="I711" s="1950">
        <v>1303.2</v>
      </c>
      <c r="J711" s="1948">
        <v>1303.2</v>
      </c>
      <c r="K711" s="1948">
        <v>0.98060000000000003</v>
      </c>
      <c r="L711" s="1948">
        <v>71.83</v>
      </c>
      <c r="M711" s="1948">
        <v>673983</v>
      </c>
      <c r="N711" s="1948">
        <f t="shared" si="180"/>
        <v>562982</v>
      </c>
      <c r="O711" s="1948">
        <f t="shared" si="181"/>
        <v>111001</v>
      </c>
      <c r="P711" s="1948">
        <v>1450</v>
      </c>
      <c r="Q711" s="1948">
        <v>1278.72</v>
      </c>
      <c r="R711" s="1948">
        <v>1278.72</v>
      </c>
      <c r="S711" s="1948">
        <v>0.98319999999999996</v>
      </c>
      <c r="T711" s="1948">
        <v>58.34</v>
      </c>
      <c r="U711" s="1948">
        <v>555003</v>
      </c>
      <c r="V711" s="1948">
        <f t="shared" si="182"/>
        <v>570821</v>
      </c>
      <c r="W711" s="1948">
        <f t="shared" si="183"/>
        <v>0</v>
      </c>
      <c r="X711" s="1948">
        <v>1450</v>
      </c>
      <c r="Y711" s="1948">
        <v>1261.44</v>
      </c>
      <c r="Z711" s="1948">
        <v>1261.44</v>
      </c>
      <c r="AA711" s="1948">
        <v>0.9819</v>
      </c>
      <c r="AB711" s="1948">
        <v>64.86</v>
      </c>
      <c r="AC711" s="1948">
        <v>589122</v>
      </c>
      <c r="AD711" s="1948">
        <f t="shared" si="184"/>
        <v>544942</v>
      </c>
      <c r="AE711" s="1948">
        <f t="shared" si="185"/>
        <v>44180</v>
      </c>
      <c r="AF711" s="1948">
        <v>1450</v>
      </c>
      <c r="AG711" s="1948">
        <v>1280.1600000000001</v>
      </c>
      <c r="AH711" s="1948">
        <v>1280.1600000000001</v>
      </c>
      <c r="AI711" s="1948">
        <v>0.97489999999999999</v>
      </c>
      <c r="AJ711" s="1948">
        <v>73.2</v>
      </c>
      <c r="AK711" s="1948">
        <v>697221</v>
      </c>
      <c r="AL711" s="1948">
        <f t="shared" si="186"/>
        <v>571463</v>
      </c>
      <c r="AM711" s="1948">
        <f t="shared" si="187"/>
        <v>125758</v>
      </c>
      <c r="AN711" s="1948">
        <v>1450</v>
      </c>
      <c r="AO711" s="1948">
        <v>1298.1600000000001</v>
      </c>
      <c r="AP711" s="1948">
        <v>1298.1600000000001</v>
      </c>
      <c r="AQ711" s="1948">
        <v>0.97550000000000003</v>
      </c>
      <c r="AR711" s="1948">
        <v>74.319999999999993</v>
      </c>
      <c r="AS711" s="1948">
        <v>717813</v>
      </c>
      <c r="AT711" s="1948">
        <f t="shared" si="188"/>
        <v>579499</v>
      </c>
      <c r="AU711" s="1948">
        <f t="shared" si="189"/>
        <v>138314</v>
      </c>
      <c r="AV711" s="1948">
        <v>1450</v>
      </c>
      <c r="AW711" s="1948">
        <v>1154.1600000000001</v>
      </c>
      <c r="AX711" s="1948">
        <v>1160</v>
      </c>
      <c r="AY711" s="1948">
        <v>0.97629999999999995</v>
      </c>
      <c r="AZ711" s="1948">
        <v>34.92</v>
      </c>
      <c r="BA711" s="1948">
        <v>290142</v>
      </c>
      <c r="BB711" s="1948">
        <f t="shared" si="190"/>
        <v>498597</v>
      </c>
      <c r="BC711" s="1948">
        <f t="shared" si="191"/>
        <v>0</v>
      </c>
      <c r="BD711" s="1949">
        <v>1450</v>
      </c>
      <c r="BE711" s="1949">
        <v>1275.1199999999999</v>
      </c>
      <c r="BF711" s="1949">
        <v>1275.1199999999999</v>
      </c>
      <c r="BG711" s="1949">
        <v>0.97660000000000002</v>
      </c>
      <c r="BH711" s="1949">
        <v>58.43</v>
      </c>
      <c r="BI711" s="1948">
        <v>554328</v>
      </c>
      <c r="BJ711" s="1948">
        <f t="shared" si="192"/>
        <v>569214</v>
      </c>
      <c r="BK711" s="1948">
        <f t="shared" si="193"/>
        <v>0</v>
      </c>
    </row>
    <row r="712" spans="1:63" ht="15">
      <c r="A712" s="1946">
        <v>622000000111</v>
      </c>
      <c r="B712" s="1947">
        <f t="shared" si="164"/>
        <v>10</v>
      </c>
      <c r="C712" s="1906" t="s">
        <v>633</v>
      </c>
      <c r="D712" s="1907" t="s">
        <v>524</v>
      </c>
      <c r="E712" s="1906" t="s">
        <v>525</v>
      </c>
      <c r="F712" s="1948" t="s">
        <v>259</v>
      </c>
      <c r="G712" s="1949">
        <v>1500</v>
      </c>
      <c r="H712" s="1948">
        <v>1500</v>
      </c>
      <c r="I712" s="1950">
        <v>9.6</v>
      </c>
      <c r="J712" s="1948">
        <v>1200</v>
      </c>
      <c r="K712" s="1948">
        <v>0</v>
      </c>
      <c r="L712" s="1948">
        <v>0</v>
      </c>
      <c r="M712" s="1948">
        <v>0</v>
      </c>
      <c r="N712" s="1948">
        <f t="shared" si="180"/>
        <v>4147</v>
      </c>
      <c r="O712" s="1948">
        <f t="shared" si="181"/>
        <v>0</v>
      </c>
      <c r="P712" s="1948">
        <v>1500</v>
      </c>
      <c r="Q712" s="1948">
        <v>19.2</v>
      </c>
      <c r="R712" s="1948">
        <v>19.2</v>
      </c>
      <c r="S712" s="1948">
        <v>0</v>
      </c>
      <c r="T712" s="1948">
        <v>0</v>
      </c>
      <c r="U712" s="1948">
        <v>0</v>
      </c>
      <c r="V712" s="1948">
        <f t="shared" si="182"/>
        <v>8571</v>
      </c>
      <c r="W712" s="1948">
        <f t="shared" si="183"/>
        <v>0</v>
      </c>
      <c r="X712" s="1948">
        <v>1500</v>
      </c>
      <c r="Y712" s="1948">
        <v>1564.8</v>
      </c>
      <c r="Z712" s="1948">
        <v>1564.8</v>
      </c>
      <c r="AA712" s="1948">
        <v>0.91930000000000001</v>
      </c>
      <c r="AB712" s="1948">
        <v>0.66</v>
      </c>
      <c r="AC712" s="1948">
        <v>7440</v>
      </c>
      <c r="AD712" s="1948">
        <f t="shared" si="184"/>
        <v>675994</v>
      </c>
      <c r="AE712" s="1948">
        <f t="shared" si="185"/>
        <v>0</v>
      </c>
      <c r="AF712" s="1948">
        <v>1500</v>
      </c>
      <c r="AG712" s="1948">
        <v>1612.8</v>
      </c>
      <c r="AH712" s="1948">
        <v>1612.8</v>
      </c>
      <c r="AI712" s="1948">
        <v>0.96209999999999996</v>
      </c>
      <c r="AJ712" s="1948">
        <v>17.96</v>
      </c>
      <c r="AK712" s="1948">
        <v>215520</v>
      </c>
      <c r="AL712" s="1948">
        <f t="shared" si="186"/>
        <v>719954</v>
      </c>
      <c r="AM712" s="1948">
        <f t="shared" si="187"/>
        <v>0</v>
      </c>
      <c r="AN712" s="1948">
        <v>1500</v>
      </c>
      <c r="AO712" s="1948">
        <v>1584</v>
      </c>
      <c r="AP712" s="1948">
        <v>1584</v>
      </c>
      <c r="AQ712" s="1948">
        <v>0.97570000000000001</v>
      </c>
      <c r="AR712" s="1948">
        <v>11.35</v>
      </c>
      <c r="AS712" s="1948">
        <v>133800</v>
      </c>
      <c r="AT712" s="1948">
        <f t="shared" si="188"/>
        <v>707098</v>
      </c>
      <c r="AU712" s="1948">
        <f t="shared" si="189"/>
        <v>0</v>
      </c>
      <c r="AV712" s="1948">
        <v>1500</v>
      </c>
      <c r="AW712" s="1948">
        <v>9.6</v>
      </c>
      <c r="AX712" s="1948">
        <v>1200</v>
      </c>
      <c r="AY712" s="1948">
        <v>0</v>
      </c>
      <c r="AZ712" s="1948">
        <v>0</v>
      </c>
      <c r="BA712" s="1948">
        <v>0</v>
      </c>
      <c r="BB712" s="1948">
        <f t="shared" si="190"/>
        <v>4147</v>
      </c>
      <c r="BC712" s="1948">
        <f t="shared" si="191"/>
        <v>0</v>
      </c>
      <c r="BD712" s="1949">
        <v>1500</v>
      </c>
      <c r="BE712" s="1948">
        <v>9.6</v>
      </c>
      <c r="BF712" s="1949">
        <v>1200</v>
      </c>
      <c r="BG712" s="1949">
        <v>0</v>
      </c>
      <c r="BH712" s="1949">
        <v>0</v>
      </c>
      <c r="BI712" s="1948">
        <v>0</v>
      </c>
      <c r="BJ712" s="1948">
        <f t="shared" si="192"/>
        <v>4285</v>
      </c>
      <c r="BK712" s="1948">
        <f t="shared" si="193"/>
        <v>0</v>
      </c>
    </row>
    <row r="713" spans="1:63" ht="15">
      <c r="A713" s="1946">
        <v>622000000171</v>
      </c>
      <c r="B713" s="1947">
        <f t="shared" ref="B713:B776" si="194">+B712+1</f>
        <v>11</v>
      </c>
      <c r="C713" s="1906" t="s">
        <v>696</v>
      </c>
      <c r="D713" s="1907" t="s">
        <v>524</v>
      </c>
      <c r="E713" s="1906" t="s">
        <v>541</v>
      </c>
      <c r="F713" s="1948" t="s">
        <v>259</v>
      </c>
      <c r="G713" s="1949">
        <v>1500</v>
      </c>
      <c r="H713" s="1948">
        <v>1500</v>
      </c>
      <c r="I713" s="1950">
        <v>79.2</v>
      </c>
      <c r="J713" s="1948">
        <v>1200</v>
      </c>
      <c r="K713" s="1948">
        <v>0.89680000000000004</v>
      </c>
      <c r="L713" s="1948">
        <v>44.14</v>
      </c>
      <c r="M713" s="1948">
        <v>31880</v>
      </c>
      <c r="N713" s="1948">
        <f t="shared" si="180"/>
        <v>34214</v>
      </c>
      <c r="O713" s="1948">
        <f t="shared" si="181"/>
        <v>0</v>
      </c>
      <c r="P713" s="1948">
        <v>1500</v>
      </c>
      <c r="Q713" s="1948">
        <v>88</v>
      </c>
      <c r="R713" s="1948">
        <v>1200</v>
      </c>
      <c r="S713" s="1948">
        <v>0.87219999999999998</v>
      </c>
      <c r="T713" s="1948">
        <v>46.18</v>
      </c>
      <c r="U713" s="1948">
        <v>25360</v>
      </c>
      <c r="V713" s="1948">
        <f t="shared" si="182"/>
        <v>39283</v>
      </c>
      <c r="W713" s="1948">
        <f t="shared" si="183"/>
        <v>0</v>
      </c>
      <c r="X713" s="1948">
        <v>1500</v>
      </c>
      <c r="Y713" s="1948">
        <v>88.8</v>
      </c>
      <c r="Z713" s="1948">
        <v>1200</v>
      </c>
      <c r="AA713" s="1948">
        <v>0.9022</v>
      </c>
      <c r="AB713" s="1948">
        <v>37.369999999999997</v>
      </c>
      <c r="AC713" s="1948">
        <v>26280</v>
      </c>
      <c r="AD713" s="1948">
        <f t="shared" si="184"/>
        <v>38362</v>
      </c>
      <c r="AE713" s="1948">
        <f t="shared" si="185"/>
        <v>0</v>
      </c>
      <c r="AF713" s="1948">
        <v>1500</v>
      </c>
      <c r="AG713" s="1948">
        <v>105.6</v>
      </c>
      <c r="AH713" s="1948">
        <v>1200</v>
      </c>
      <c r="AI713" s="1948">
        <v>0.99750000000000005</v>
      </c>
      <c r="AJ713" s="1948">
        <v>29.57</v>
      </c>
      <c r="AK713" s="1948">
        <v>24730</v>
      </c>
      <c r="AL713" s="1948">
        <f t="shared" si="186"/>
        <v>47140</v>
      </c>
      <c r="AM713" s="1948">
        <f t="shared" si="187"/>
        <v>0</v>
      </c>
      <c r="AN713" s="1948">
        <v>1500</v>
      </c>
      <c r="AO713" s="1948">
        <v>74.399999999999991</v>
      </c>
      <c r="AP713" s="1948">
        <v>1200</v>
      </c>
      <c r="AQ713" s="1948">
        <v>0.998</v>
      </c>
      <c r="AR713" s="1948">
        <v>46.56</v>
      </c>
      <c r="AS713" s="1948">
        <v>25770</v>
      </c>
      <c r="AT713" s="1948">
        <f t="shared" si="188"/>
        <v>33212</v>
      </c>
      <c r="AU713" s="1948">
        <f t="shared" si="189"/>
        <v>0</v>
      </c>
      <c r="AV713" s="1948">
        <v>1500</v>
      </c>
      <c r="AW713" s="1948">
        <v>79.2</v>
      </c>
      <c r="AX713" s="1948">
        <v>1200</v>
      </c>
      <c r="AY713" s="1948">
        <v>0.94869999999999999</v>
      </c>
      <c r="AZ713" s="1948">
        <v>43.79</v>
      </c>
      <c r="BA713" s="1948">
        <v>24970</v>
      </c>
      <c r="BB713" s="1948">
        <f t="shared" si="190"/>
        <v>34214</v>
      </c>
      <c r="BC713" s="1948">
        <f t="shared" si="191"/>
        <v>0</v>
      </c>
      <c r="BD713" s="1949">
        <v>1500</v>
      </c>
      <c r="BE713" s="1948">
        <v>76.8</v>
      </c>
      <c r="BF713" s="1949">
        <v>1200</v>
      </c>
      <c r="BG713" s="1949">
        <v>0.98550000000000004</v>
      </c>
      <c r="BH713" s="1949">
        <v>50.89</v>
      </c>
      <c r="BI713" s="1948">
        <v>29080</v>
      </c>
      <c r="BJ713" s="1948">
        <f t="shared" si="192"/>
        <v>34284</v>
      </c>
      <c r="BK713" s="1948">
        <f t="shared" si="193"/>
        <v>0</v>
      </c>
    </row>
    <row r="714" spans="1:63" ht="15">
      <c r="A714" s="1946">
        <v>121000000102</v>
      </c>
      <c r="B714" s="1947">
        <f t="shared" si="194"/>
        <v>12</v>
      </c>
      <c r="C714" s="1906" t="s">
        <v>729</v>
      </c>
      <c r="D714" s="1907" t="s">
        <v>524</v>
      </c>
      <c r="E714" s="1906" t="s">
        <v>730</v>
      </c>
      <c r="F714" s="1948" t="s">
        <v>259</v>
      </c>
      <c r="G714" s="1949">
        <v>1600</v>
      </c>
      <c r="H714" s="1948">
        <v>1600</v>
      </c>
      <c r="I714" s="1950">
        <v>256.32</v>
      </c>
      <c r="J714" s="1948">
        <v>1280</v>
      </c>
      <c r="K714" s="1948">
        <v>0.94479999999999997</v>
      </c>
      <c r="L714" s="1948">
        <v>4.8600000000000003</v>
      </c>
      <c r="M714" s="1948">
        <v>7182</v>
      </c>
      <c r="N714" s="1948">
        <f t="shared" si="180"/>
        <v>110730</v>
      </c>
      <c r="O714" s="1948">
        <f t="shared" si="181"/>
        <v>0</v>
      </c>
      <c r="P714" s="1948">
        <v>1600</v>
      </c>
      <c r="Q714" s="1948">
        <v>245.51999999999998</v>
      </c>
      <c r="R714" s="1948">
        <v>1280</v>
      </c>
      <c r="S714" s="1948">
        <v>0.97450000000000003</v>
      </c>
      <c r="T714" s="1948">
        <v>4.8099999999999996</v>
      </c>
      <c r="U714" s="1948">
        <v>8496</v>
      </c>
      <c r="V714" s="1948">
        <f t="shared" si="182"/>
        <v>109600</v>
      </c>
      <c r="W714" s="1948">
        <f t="shared" si="183"/>
        <v>0</v>
      </c>
      <c r="X714" s="1948">
        <v>1600</v>
      </c>
      <c r="Y714" s="1948">
        <v>241.20000000000002</v>
      </c>
      <c r="Z714" s="1948">
        <v>1280</v>
      </c>
      <c r="AA714" s="1948">
        <v>0.97319999999999995</v>
      </c>
      <c r="AB714" s="1948">
        <v>5.81</v>
      </c>
      <c r="AC714" s="1948">
        <v>10098</v>
      </c>
      <c r="AD714" s="1948">
        <f t="shared" si="184"/>
        <v>104198</v>
      </c>
      <c r="AE714" s="1948">
        <f t="shared" si="185"/>
        <v>0</v>
      </c>
      <c r="AF714" s="1948">
        <v>1600</v>
      </c>
      <c r="AG714" s="1948">
        <v>228.23999999999998</v>
      </c>
      <c r="AH714" s="1948">
        <v>1280</v>
      </c>
      <c r="AI714" s="1948">
        <v>0.98360000000000003</v>
      </c>
      <c r="AJ714" s="1948">
        <v>6.57</v>
      </c>
      <c r="AK714" s="1948">
        <v>10440</v>
      </c>
      <c r="AL714" s="1948">
        <f t="shared" si="186"/>
        <v>101886</v>
      </c>
      <c r="AM714" s="1948">
        <f t="shared" si="187"/>
        <v>0</v>
      </c>
      <c r="AN714" s="1948">
        <v>1600</v>
      </c>
      <c r="AO714" s="1948">
        <v>493.20000000000005</v>
      </c>
      <c r="AP714" s="1948">
        <v>1280</v>
      </c>
      <c r="AQ714" s="1948">
        <v>0.97729999999999995</v>
      </c>
      <c r="AR714" s="1948">
        <v>6.72</v>
      </c>
      <c r="AS714" s="1948">
        <v>27063</v>
      </c>
      <c r="AT714" s="1948">
        <f t="shared" si="188"/>
        <v>220164</v>
      </c>
      <c r="AU714" s="1948">
        <f t="shared" si="189"/>
        <v>0</v>
      </c>
      <c r="AV714" s="1948">
        <v>1600</v>
      </c>
      <c r="AW714" s="1948">
        <v>265.68</v>
      </c>
      <c r="AX714" s="1948">
        <v>1280</v>
      </c>
      <c r="AY714" s="1948">
        <v>0.99390000000000001</v>
      </c>
      <c r="AZ714" s="1948">
        <v>6.62</v>
      </c>
      <c r="BA714" s="1948">
        <v>11826</v>
      </c>
      <c r="BB714" s="1948">
        <f t="shared" si="190"/>
        <v>114774</v>
      </c>
      <c r="BC714" s="1948">
        <f t="shared" si="191"/>
        <v>0</v>
      </c>
      <c r="BD714" s="1949">
        <v>1600</v>
      </c>
      <c r="BE714" s="1948">
        <v>285.12</v>
      </c>
      <c r="BF714" s="1949">
        <v>1280</v>
      </c>
      <c r="BG714" s="1949">
        <v>0.98429999999999995</v>
      </c>
      <c r="BH714" s="1949">
        <v>7.93</v>
      </c>
      <c r="BI714" s="1948">
        <v>18990</v>
      </c>
      <c r="BJ714" s="1948">
        <f t="shared" si="192"/>
        <v>127278</v>
      </c>
      <c r="BK714" s="1948">
        <f t="shared" si="193"/>
        <v>0</v>
      </c>
    </row>
    <row r="715" spans="1:63" ht="15">
      <c r="A715" s="1946">
        <v>622000000084</v>
      </c>
      <c r="B715" s="1947">
        <f t="shared" si="194"/>
        <v>13</v>
      </c>
      <c r="C715" s="1906" t="s">
        <v>631</v>
      </c>
      <c r="D715" s="1907" t="s">
        <v>524</v>
      </c>
      <c r="E715" s="1906" t="s">
        <v>525</v>
      </c>
      <c r="F715" s="1948" t="s">
        <v>259</v>
      </c>
      <c r="G715" s="1949">
        <v>1600</v>
      </c>
      <c r="H715" s="1948">
        <v>1600</v>
      </c>
      <c r="I715" s="1950">
        <v>24</v>
      </c>
      <c r="J715" s="1948">
        <v>1280</v>
      </c>
      <c r="K715" s="1948">
        <v>0.5</v>
      </c>
      <c r="L715" s="1948">
        <v>0.69</v>
      </c>
      <c r="M715" s="1948">
        <v>120</v>
      </c>
      <c r="N715" s="1948">
        <f t="shared" si="180"/>
        <v>10368</v>
      </c>
      <c r="O715" s="1948">
        <f t="shared" si="181"/>
        <v>0</v>
      </c>
      <c r="P715" s="1948">
        <v>1600</v>
      </c>
      <c r="Q715" s="1948">
        <v>2568</v>
      </c>
      <c r="R715" s="1948">
        <v>2568</v>
      </c>
      <c r="S715" s="1948">
        <v>0.84609999999999996</v>
      </c>
      <c r="T715" s="1948">
        <v>0.08</v>
      </c>
      <c r="U715" s="1948">
        <v>1560</v>
      </c>
      <c r="V715" s="1948">
        <f t="shared" si="182"/>
        <v>1146355</v>
      </c>
      <c r="W715" s="1948">
        <f t="shared" si="183"/>
        <v>0</v>
      </c>
      <c r="X715" s="1948">
        <v>1600</v>
      </c>
      <c r="Y715" s="1948">
        <v>129.6</v>
      </c>
      <c r="Z715" s="1948">
        <v>1280</v>
      </c>
      <c r="AA715" s="1948">
        <v>1</v>
      </c>
      <c r="AB715" s="1948">
        <v>0.19</v>
      </c>
      <c r="AC715" s="1948">
        <v>180</v>
      </c>
      <c r="AD715" s="1948">
        <f t="shared" si="184"/>
        <v>55987</v>
      </c>
      <c r="AE715" s="1948">
        <f t="shared" si="185"/>
        <v>0</v>
      </c>
      <c r="AF715" s="1948">
        <v>1600</v>
      </c>
      <c r="AG715" s="1948">
        <v>48</v>
      </c>
      <c r="AH715" s="1948">
        <v>1280</v>
      </c>
      <c r="AI715" s="1948">
        <v>0.83330000000000004</v>
      </c>
      <c r="AJ715" s="1948">
        <v>1.01</v>
      </c>
      <c r="AK715" s="1948">
        <v>360</v>
      </c>
      <c r="AL715" s="1948">
        <f t="shared" si="186"/>
        <v>21427</v>
      </c>
      <c r="AM715" s="1948">
        <f t="shared" si="187"/>
        <v>0</v>
      </c>
      <c r="AN715" s="1948">
        <v>1600</v>
      </c>
      <c r="AO715" s="1948">
        <v>3110.3999999999996</v>
      </c>
      <c r="AP715" s="1948">
        <v>3110.4</v>
      </c>
      <c r="AQ715" s="1948">
        <v>0.86</v>
      </c>
      <c r="AR715" s="1948">
        <v>0.13</v>
      </c>
      <c r="AS715" s="1948">
        <v>3000</v>
      </c>
      <c r="AT715" s="1948">
        <f t="shared" si="188"/>
        <v>1388483</v>
      </c>
      <c r="AU715" s="1948">
        <f t="shared" si="189"/>
        <v>0</v>
      </c>
      <c r="AV715" s="1948">
        <v>1600</v>
      </c>
      <c r="AW715" s="1948">
        <v>2841.6</v>
      </c>
      <c r="AX715" s="1948">
        <v>2841.6</v>
      </c>
      <c r="AY715" s="1948">
        <v>0.81969999999999998</v>
      </c>
      <c r="AZ715" s="1948">
        <v>0.83</v>
      </c>
      <c r="BA715" s="1948">
        <v>16980</v>
      </c>
      <c r="BB715" s="1948">
        <f t="shared" si="190"/>
        <v>1227571</v>
      </c>
      <c r="BC715" s="1948">
        <f t="shared" si="191"/>
        <v>0</v>
      </c>
      <c r="BD715" s="1949">
        <v>1600</v>
      </c>
      <c r="BE715" s="1948">
        <v>19.2</v>
      </c>
      <c r="BF715" s="1949">
        <v>1280</v>
      </c>
      <c r="BG715" s="1949">
        <v>0.75</v>
      </c>
      <c r="BH715" s="1949">
        <v>1.93</v>
      </c>
      <c r="BI715" s="1948">
        <v>240</v>
      </c>
      <c r="BJ715" s="1948">
        <f t="shared" si="192"/>
        <v>8571</v>
      </c>
      <c r="BK715" s="1948">
        <f t="shared" si="193"/>
        <v>0</v>
      </c>
    </row>
    <row r="716" spans="1:63" ht="15">
      <c r="A716" s="1946">
        <v>122000000009</v>
      </c>
      <c r="B716" s="1947">
        <f t="shared" si="194"/>
        <v>14</v>
      </c>
      <c r="C716" s="1906" t="s">
        <v>648</v>
      </c>
      <c r="D716" s="1907" t="s">
        <v>524</v>
      </c>
      <c r="E716" s="1906" t="s">
        <v>541</v>
      </c>
      <c r="F716" s="1948" t="s">
        <v>259</v>
      </c>
      <c r="G716" s="1949">
        <v>1650</v>
      </c>
      <c r="H716" s="1948">
        <v>1450</v>
      </c>
      <c r="I716" s="1950">
        <v>1486.08</v>
      </c>
      <c r="J716" s="1948">
        <v>1486.08</v>
      </c>
      <c r="K716" s="1948">
        <v>0.99319999999999997</v>
      </c>
      <c r="L716" s="1948">
        <v>72.150000000000006</v>
      </c>
      <c r="M716" s="1948">
        <v>772020</v>
      </c>
      <c r="N716" s="1948">
        <f t="shared" si="180"/>
        <v>641987</v>
      </c>
      <c r="O716" s="1948">
        <f t="shared" si="181"/>
        <v>130033</v>
      </c>
      <c r="P716" s="1948">
        <v>1450</v>
      </c>
      <c r="Q716" s="1948">
        <v>1598.4</v>
      </c>
      <c r="R716" s="1948">
        <v>1598.4</v>
      </c>
      <c r="S716" s="1948">
        <v>0.99370000000000003</v>
      </c>
      <c r="T716" s="1948">
        <v>72.03</v>
      </c>
      <c r="U716" s="1948">
        <v>856557</v>
      </c>
      <c r="V716" s="1948">
        <f t="shared" si="182"/>
        <v>713526</v>
      </c>
      <c r="W716" s="1948">
        <f t="shared" si="183"/>
        <v>143031</v>
      </c>
      <c r="X716" s="1948">
        <v>1650</v>
      </c>
      <c r="Y716" s="1948">
        <v>1543.68</v>
      </c>
      <c r="Z716" s="1948">
        <v>1543.68</v>
      </c>
      <c r="AA716" s="1948">
        <v>0.99029999999999996</v>
      </c>
      <c r="AB716" s="1948">
        <v>74.680000000000007</v>
      </c>
      <c r="AC716" s="1948">
        <v>829998</v>
      </c>
      <c r="AD716" s="1948">
        <f t="shared" si="184"/>
        <v>666870</v>
      </c>
      <c r="AE716" s="1948">
        <f t="shared" si="185"/>
        <v>163128</v>
      </c>
      <c r="AF716" s="1948">
        <v>1650</v>
      </c>
      <c r="AG716" s="1948">
        <v>1530</v>
      </c>
      <c r="AH716" s="1948">
        <v>1530</v>
      </c>
      <c r="AI716" s="1948">
        <v>0.99019999999999997</v>
      </c>
      <c r="AJ716" s="1948">
        <v>74.97</v>
      </c>
      <c r="AK716" s="1948">
        <v>853425</v>
      </c>
      <c r="AL716" s="1948">
        <f t="shared" si="186"/>
        <v>682992</v>
      </c>
      <c r="AM716" s="1948">
        <f t="shared" si="187"/>
        <v>170433</v>
      </c>
      <c r="AN716" s="1948">
        <v>1650</v>
      </c>
      <c r="AO716" s="1948">
        <v>1360.8</v>
      </c>
      <c r="AP716" s="1948">
        <v>1360.8</v>
      </c>
      <c r="AQ716" s="1948">
        <v>0.99280000000000002</v>
      </c>
      <c r="AR716" s="1948">
        <v>64.31</v>
      </c>
      <c r="AS716" s="1948">
        <v>651075</v>
      </c>
      <c r="AT716" s="1948">
        <f t="shared" si="188"/>
        <v>607461</v>
      </c>
      <c r="AU716" s="1948">
        <f t="shared" si="189"/>
        <v>43614</v>
      </c>
      <c r="AV716" s="1948">
        <v>1650</v>
      </c>
      <c r="AW716" s="1948">
        <v>1450.8</v>
      </c>
      <c r="AX716" s="1948">
        <v>1450.8</v>
      </c>
      <c r="AY716" s="1948">
        <v>0.99209999999999998</v>
      </c>
      <c r="AZ716" s="1948">
        <v>61.8</v>
      </c>
      <c r="BA716" s="1948">
        <v>645570</v>
      </c>
      <c r="BB716" s="1948">
        <f t="shared" si="190"/>
        <v>626746</v>
      </c>
      <c r="BC716" s="1948">
        <f t="shared" si="191"/>
        <v>18824</v>
      </c>
      <c r="BD716" s="1949">
        <v>1650</v>
      </c>
      <c r="BE716" s="1948">
        <v>1573.1999999999998</v>
      </c>
      <c r="BF716" s="1949">
        <v>1573.2</v>
      </c>
      <c r="BG716" s="1949">
        <v>0.99119999999999997</v>
      </c>
      <c r="BH716" s="1949">
        <v>53.07</v>
      </c>
      <c r="BI716" s="1948">
        <v>621120</v>
      </c>
      <c r="BJ716" s="1948">
        <f t="shared" si="192"/>
        <v>702276</v>
      </c>
      <c r="BK716" s="1948">
        <f t="shared" si="193"/>
        <v>0</v>
      </c>
    </row>
    <row r="717" spans="1:63" ht="15">
      <c r="A717" s="1946">
        <v>615000000049</v>
      </c>
      <c r="B717" s="1947">
        <f t="shared" si="194"/>
        <v>15</v>
      </c>
      <c r="C717" s="1906" t="s">
        <v>720</v>
      </c>
      <c r="D717" s="1907" t="s">
        <v>524</v>
      </c>
      <c r="E717" s="1906" t="s">
        <v>709</v>
      </c>
      <c r="F717" s="1948" t="s">
        <v>259</v>
      </c>
      <c r="G717" s="1949">
        <v>1689</v>
      </c>
      <c r="H717" s="1948">
        <v>1689</v>
      </c>
      <c r="I717" s="1950">
        <v>40.799999999999997</v>
      </c>
      <c r="J717" s="1948">
        <v>1351.2</v>
      </c>
      <c r="K717" s="1948">
        <v>1</v>
      </c>
      <c r="L717" s="1948">
        <v>14.76</v>
      </c>
      <c r="M717" s="1948">
        <v>4335</v>
      </c>
      <c r="N717" s="1948">
        <f t="shared" si="180"/>
        <v>17626</v>
      </c>
      <c r="O717" s="1948">
        <f t="shared" si="181"/>
        <v>0</v>
      </c>
      <c r="P717" s="1948">
        <v>1689</v>
      </c>
      <c r="Q717" s="1948">
        <v>14.399999999999999</v>
      </c>
      <c r="R717" s="1948">
        <v>1351.2</v>
      </c>
      <c r="S717" s="1948">
        <v>1</v>
      </c>
      <c r="T717" s="1948">
        <v>29.26</v>
      </c>
      <c r="U717" s="1948">
        <v>3135</v>
      </c>
      <c r="V717" s="1948">
        <f t="shared" si="182"/>
        <v>6428</v>
      </c>
      <c r="W717" s="1948">
        <f t="shared" si="183"/>
        <v>0</v>
      </c>
      <c r="X717" s="1948">
        <v>1689</v>
      </c>
      <c r="Y717" s="1948">
        <v>13.200000000000001</v>
      </c>
      <c r="Z717" s="1948">
        <v>1351.2</v>
      </c>
      <c r="AA717" s="1948">
        <v>1</v>
      </c>
      <c r="AB717" s="1948">
        <v>48.3</v>
      </c>
      <c r="AC717" s="1948">
        <v>4590</v>
      </c>
      <c r="AD717" s="1948">
        <f t="shared" si="184"/>
        <v>5702</v>
      </c>
      <c r="AE717" s="1948">
        <f t="shared" si="185"/>
        <v>0</v>
      </c>
      <c r="AF717" s="1948">
        <v>1689</v>
      </c>
      <c r="AG717" s="1948">
        <v>624</v>
      </c>
      <c r="AH717" s="1948">
        <v>1351.2</v>
      </c>
      <c r="AI717" s="1948">
        <v>0.99539999999999995</v>
      </c>
      <c r="AJ717" s="1948">
        <v>8.4700000000000006</v>
      </c>
      <c r="AK717" s="1948">
        <v>39315</v>
      </c>
      <c r="AL717" s="1948">
        <f t="shared" si="186"/>
        <v>278554</v>
      </c>
      <c r="AM717" s="1948">
        <f t="shared" si="187"/>
        <v>0</v>
      </c>
      <c r="AN717" s="1948">
        <v>1689</v>
      </c>
      <c r="AO717" s="1948">
        <v>567.6</v>
      </c>
      <c r="AP717" s="1948">
        <v>1351.2</v>
      </c>
      <c r="AQ717" s="1948">
        <v>0.99450000000000005</v>
      </c>
      <c r="AR717" s="1948">
        <v>11.63</v>
      </c>
      <c r="AS717" s="1948">
        <v>49110</v>
      </c>
      <c r="AT717" s="1948">
        <f t="shared" si="188"/>
        <v>253377</v>
      </c>
      <c r="AU717" s="1948">
        <f t="shared" si="189"/>
        <v>0</v>
      </c>
      <c r="AV717" s="1948">
        <v>1689</v>
      </c>
      <c r="AW717" s="1948">
        <v>854.4</v>
      </c>
      <c r="AX717" s="1948">
        <v>1351.2</v>
      </c>
      <c r="AY717" s="1948">
        <v>0.99329999999999996</v>
      </c>
      <c r="AZ717" s="1948">
        <v>6.61</v>
      </c>
      <c r="BA717" s="1948">
        <v>40665</v>
      </c>
      <c r="BB717" s="1948">
        <f t="shared" si="190"/>
        <v>369101</v>
      </c>
      <c r="BC717" s="1948">
        <f t="shared" si="191"/>
        <v>0</v>
      </c>
      <c r="BD717" s="1949">
        <v>1689</v>
      </c>
      <c r="BE717" s="1948">
        <v>368.40000000000003</v>
      </c>
      <c r="BF717" s="1949">
        <v>1351.2</v>
      </c>
      <c r="BG717" s="1949">
        <v>0.99429999999999996</v>
      </c>
      <c r="BH717" s="1949">
        <v>11.54</v>
      </c>
      <c r="BI717" s="1948">
        <v>31620</v>
      </c>
      <c r="BJ717" s="1948">
        <f t="shared" si="192"/>
        <v>164454</v>
      </c>
      <c r="BK717" s="1948">
        <f t="shared" si="193"/>
        <v>0</v>
      </c>
    </row>
    <row r="718" spans="1:63" ht="15">
      <c r="A718" s="1946">
        <v>611000000061</v>
      </c>
      <c r="B718" s="1947">
        <f t="shared" si="194"/>
        <v>16</v>
      </c>
      <c r="C718" s="1906" t="s">
        <v>664</v>
      </c>
      <c r="D718" s="1907" t="s">
        <v>524</v>
      </c>
      <c r="E718" s="1906" t="s">
        <v>541</v>
      </c>
      <c r="F718" s="1948" t="s">
        <v>259</v>
      </c>
      <c r="G718" s="1949">
        <v>1750</v>
      </c>
      <c r="H718" s="1948">
        <v>1750</v>
      </c>
      <c r="I718" s="1950">
        <v>1269.6000000000001</v>
      </c>
      <c r="J718" s="1948">
        <v>1400</v>
      </c>
      <c r="K718" s="1948">
        <v>0.99860000000000004</v>
      </c>
      <c r="L718" s="1948">
        <v>37.340000000000003</v>
      </c>
      <c r="M718" s="1948">
        <v>341310</v>
      </c>
      <c r="N718" s="1948">
        <f t="shared" si="180"/>
        <v>548467</v>
      </c>
      <c r="O718" s="1948">
        <f t="shared" si="181"/>
        <v>0</v>
      </c>
      <c r="P718" s="1948">
        <v>1750</v>
      </c>
      <c r="Q718" s="1948">
        <v>1267.2</v>
      </c>
      <c r="R718" s="1948">
        <v>1400</v>
      </c>
      <c r="S718" s="1948">
        <v>0.99829999999999997</v>
      </c>
      <c r="T718" s="1948">
        <v>39.69</v>
      </c>
      <c r="U718" s="1948">
        <v>374160</v>
      </c>
      <c r="V718" s="1948">
        <f t="shared" si="182"/>
        <v>565678</v>
      </c>
      <c r="W718" s="1948">
        <f t="shared" si="183"/>
        <v>0</v>
      </c>
      <c r="X718" s="1948">
        <v>1750</v>
      </c>
      <c r="Y718" s="1948">
        <v>1279.2</v>
      </c>
      <c r="Z718" s="1948">
        <v>1400</v>
      </c>
      <c r="AA718" s="1948">
        <v>0.998</v>
      </c>
      <c r="AB718" s="1948">
        <v>37.56</v>
      </c>
      <c r="AC718" s="1948">
        <v>345900</v>
      </c>
      <c r="AD718" s="1948">
        <f t="shared" si="184"/>
        <v>552614</v>
      </c>
      <c r="AE718" s="1948">
        <f t="shared" si="185"/>
        <v>0</v>
      </c>
      <c r="AF718" s="1948">
        <v>1750</v>
      </c>
      <c r="AG718" s="1948">
        <v>1279.2</v>
      </c>
      <c r="AH718" s="1948">
        <v>1400</v>
      </c>
      <c r="AI718" s="1948">
        <v>0.99790000000000001</v>
      </c>
      <c r="AJ718" s="1948">
        <v>37.67</v>
      </c>
      <c r="AK718" s="1948">
        <v>358560</v>
      </c>
      <c r="AL718" s="1948">
        <f t="shared" si="186"/>
        <v>571035</v>
      </c>
      <c r="AM718" s="1948">
        <f t="shared" si="187"/>
        <v>0</v>
      </c>
      <c r="AN718" s="1948">
        <v>1750</v>
      </c>
      <c r="AO718" s="1948">
        <v>1257.6000000000001</v>
      </c>
      <c r="AP718" s="1948">
        <v>1400</v>
      </c>
      <c r="AQ718" s="1948">
        <v>0.99819999999999998</v>
      </c>
      <c r="AR718" s="1948">
        <v>36.39</v>
      </c>
      <c r="AS718" s="1948">
        <v>340530</v>
      </c>
      <c r="AT718" s="1948">
        <f t="shared" si="188"/>
        <v>561393</v>
      </c>
      <c r="AU718" s="1948">
        <f t="shared" si="189"/>
        <v>0</v>
      </c>
      <c r="AV718" s="1948">
        <v>1750</v>
      </c>
      <c r="AW718" s="1948">
        <v>1260</v>
      </c>
      <c r="AX718" s="1948">
        <v>1400</v>
      </c>
      <c r="AY718" s="1948">
        <v>0.99890000000000001</v>
      </c>
      <c r="AZ718" s="1948">
        <v>29.53</v>
      </c>
      <c r="BA718" s="1948">
        <v>267870</v>
      </c>
      <c r="BB718" s="1948">
        <f t="shared" si="190"/>
        <v>544320</v>
      </c>
      <c r="BC718" s="1948">
        <f t="shared" si="191"/>
        <v>0</v>
      </c>
      <c r="BD718" s="1949">
        <v>1750</v>
      </c>
      <c r="BE718" s="1948">
        <v>1257.6000000000001</v>
      </c>
      <c r="BF718" s="1949">
        <v>1400</v>
      </c>
      <c r="BG718" s="1949">
        <v>0.99890000000000001</v>
      </c>
      <c r="BH718" s="1949">
        <v>40.21</v>
      </c>
      <c r="BI718" s="1948">
        <v>376200</v>
      </c>
      <c r="BJ718" s="1948">
        <f t="shared" si="192"/>
        <v>561393</v>
      </c>
      <c r="BK718" s="1948">
        <f t="shared" si="193"/>
        <v>0</v>
      </c>
    </row>
    <row r="719" spans="1:63" ht="15">
      <c r="A719" s="1946">
        <v>124000000081</v>
      </c>
      <c r="B719" s="1947">
        <f t="shared" si="194"/>
        <v>17</v>
      </c>
      <c r="C719" s="1906" t="s">
        <v>656</v>
      </c>
      <c r="D719" s="1907" t="s">
        <v>524</v>
      </c>
      <c r="E719" s="1906" t="s">
        <v>541</v>
      </c>
      <c r="F719" s="1948" t="s">
        <v>259</v>
      </c>
      <c r="G719" s="1949">
        <v>1800</v>
      </c>
      <c r="H719" s="1948">
        <v>0</v>
      </c>
      <c r="I719" s="1950">
        <v>0</v>
      </c>
      <c r="J719" s="1948">
        <v>0</v>
      </c>
      <c r="K719" s="1948">
        <v>0</v>
      </c>
      <c r="L719" s="1948">
        <v>0</v>
      </c>
      <c r="M719" s="1948">
        <v>0</v>
      </c>
      <c r="N719" s="1948">
        <f t="shared" si="180"/>
        <v>0</v>
      </c>
      <c r="O719" s="1948">
        <f t="shared" si="181"/>
        <v>0</v>
      </c>
      <c r="P719" s="1948">
        <v>0</v>
      </c>
      <c r="Q719" s="1948">
        <v>0</v>
      </c>
      <c r="R719" s="1948">
        <v>0</v>
      </c>
      <c r="S719" s="1948">
        <v>0</v>
      </c>
      <c r="T719" s="1948">
        <v>0</v>
      </c>
      <c r="U719" s="1948">
        <v>0</v>
      </c>
      <c r="V719" s="1948">
        <f t="shared" si="182"/>
        <v>0</v>
      </c>
      <c r="W719" s="1948">
        <f t="shared" si="183"/>
        <v>0</v>
      </c>
      <c r="X719" s="1948">
        <v>0</v>
      </c>
      <c r="Y719" s="1948">
        <v>0</v>
      </c>
      <c r="Z719" s="1948">
        <v>0</v>
      </c>
      <c r="AA719" s="1948">
        <v>0</v>
      </c>
      <c r="AB719" s="1948">
        <v>0</v>
      </c>
      <c r="AC719" s="1948">
        <v>0</v>
      </c>
      <c r="AD719" s="1948">
        <f t="shared" si="184"/>
        <v>0</v>
      </c>
      <c r="AE719" s="1948">
        <f t="shared" si="185"/>
        <v>0</v>
      </c>
      <c r="AF719" s="1948">
        <v>0</v>
      </c>
      <c r="AG719" s="1948">
        <v>0</v>
      </c>
      <c r="AH719" s="1948">
        <v>0</v>
      </c>
      <c r="AI719" s="1948">
        <v>0</v>
      </c>
      <c r="AJ719" s="1948">
        <v>0</v>
      </c>
      <c r="AK719" s="1948">
        <v>0</v>
      </c>
      <c r="AL719" s="1948">
        <f t="shared" si="186"/>
        <v>0</v>
      </c>
      <c r="AM719" s="1948">
        <f t="shared" si="187"/>
        <v>0</v>
      </c>
      <c r="AN719" s="1948">
        <v>0</v>
      </c>
      <c r="AO719" s="1948">
        <v>0</v>
      </c>
      <c r="AP719" s="1948">
        <v>0</v>
      </c>
      <c r="AQ719" s="1948">
        <v>0</v>
      </c>
      <c r="AR719" s="1948">
        <v>0</v>
      </c>
      <c r="AS719" s="1948">
        <v>0</v>
      </c>
      <c r="AT719" s="1948">
        <f t="shared" si="188"/>
        <v>0</v>
      </c>
      <c r="AU719" s="1948">
        <f t="shared" si="189"/>
        <v>0</v>
      </c>
      <c r="AV719" s="1948">
        <v>1800</v>
      </c>
      <c r="AW719" s="1948">
        <v>4.8</v>
      </c>
      <c r="AX719" s="1948">
        <v>1440</v>
      </c>
      <c r="AY719" s="1948">
        <v>1</v>
      </c>
      <c r="AZ719" s="1948">
        <v>6.51</v>
      </c>
      <c r="BA719" s="1948">
        <v>30</v>
      </c>
      <c r="BB719" s="1948">
        <f t="shared" si="190"/>
        <v>2074</v>
      </c>
      <c r="BC719" s="1948">
        <f t="shared" si="191"/>
        <v>0</v>
      </c>
      <c r="BD719" s="1949">
        <v>1800</v>
      </c>
      <c r="BE719" s="1948">
        <v>796.8</v>
      </c>
      <c r="BF719" s="1949">
        <v>1440</v>
      </c>
      <c r="BG719" s="1949">
        <v>0.98670000000000002</v>
      </c>
      <c r="BH719" s="1949">
        <v>1.6</v>
      </c>
      <c r="BI719" s="1948">
        <v>7935</v>
      </c>
      <c r="BJ719" s="1948">
        <f t="shared" si="192"/>
        <v>355692</v>
      </c>
      <c r="BK719" s="1948">
        <f t="shared" si="193"/>
        <v>0</v>
      </c>
    </row>
    <row r="720" spans="1:63" ht="15">
      <c r="A720" s="1946">
        <v>622000000038</v>
      </c>
      <c r="B720" s="1947">
        <f t="shared" si="194"/>
        <v>18</v>
      </c>
      <c r="C720" s="1906" t="s">
        <v>680</v>
      </c>
      <c r="D720" s="1907" t="s">
        <v>524</v>
      </c>
      <c r="E720" s="1906" t="s">
        <v>541</v>
      </c>
      <c r="F720" s="1948" t="s">
        <v>259</v>
      </c>
      <c r="G720" s="1949">
        <v>1800</v>
      </c>
      <c r="H720" s="1948">
        <v>1800</v>
      </c>
      <c r="I720" s="1950">
        <v>1479.6000000000001</v>
      </c>
      <c r="J720" s="1948">
        <v>1479.6</v>
      </c>
      <c r="K720" s="1948">
        <v>0.98080000000000001</v>
      </c>
      <c r="L720" s="1948">
        <v>75.099999999999994</v>
      </c>
      <c r="M720" s="1948">
        <v>800010</v>
      </c>
      <c r="N720" s="1948">
        <f t="shared" si="180"/>
        <v>639187</v>
      </c>
      <c r="O720" s="1948">
        <f t="shared" si="181"/>
        <v>160823</v>
      </c>
      <c r="P720" s="1948">
        <v>1800</v>
      </c>
      <c r="Q720" s="1948">
        <v>1703.9999999999998</v>
      </c>
      <c r="R720" s="1948">
        <v>1704</v>
      </c>
      <c r="S720" s="1948">
        <v>0.96560000000000001</v>
      </c>
      <c r="T720" s="1948">
        <v>74.87</v>
      </c>
      <c r="U720" s="1948">
        <v>949170</v>
      </c>
      <c r="V720" s="1948">
        <f t="shared" si="182"/>
        <v>760666</v>
      </c>
      <c r="W720" s="1948">
        <f t="shared" si="183"/>
        <v>188504</v>
      </c>
      <c r="X720" s="1948">
        <v>1800</v>
      </c>
      <c r="Y720" s="1948">
        <v>1572</v>
      </c>
      <c r="Z720" s="1948">
        <v>1572</v>
      </c>
      <c r="AA720" s="1948">
        <v>0.97399999999999998</v>
      </c>
      <c r="AB720" s="1948">
        <v>76.39</v>
      </c>
      <c r="AC720" s="1948">
        <v>864600</v>
      </c>
      <c r="AD720" s="1948">
        <f t="shared" si="184"/>
        <v>679104</v>
      </c>
      <c r="AE720" s="1948">
        <f t="shared" si="185"/>
        <v>185496</v>
      </c>
      <c r="AF720" s="1948">
        <v>1800</v>
      </c>
      <c r="AG720" s="1948">
        <v>1596</v>
      </c>
      <c r="AH720" s="1948">
        <v>1596</v>
      </c>
      <c r="AI720" s="1948">
        <v>0.9738</v>
      </c>
      <c r="AJ720" s="1948">
        <v>72.97</v>
      </c>
      <c r="AK720" s="1948">
        <v>866490</v>
      </c>
      <c r="AL720" s="1948">
        <f t="shared" si="186"/>
        <v>712454</v>
      </c>
      <c r="AM720" s="1948">
        <f t="shared" si="187"/>
        <v>154036</v>
      </c>
      <c r="AN720" s="1948">
        <v>1800</v>
      </c>
      <c r="AO720" s="1948">
        <v>1492.8</v>
      </c>
      <c r="AP720" s="1948">
        <v>1492.8</v>
      </c>
      <c r="AQ720" s="1948">
        <v>0.98660000000000003</v>
      </c>
      <c r="AR720" s="1948">
        <v>71</v>
      </c>
      <c r="AS720" s="1948">
        <v>788610</v>
      </c>
      <c r="AT720" s="1948">
        <f t="shared" si="188"/>
        <v>666386</v>
      </c>
      <c r="AU720" s="1948">
        <f t="shared" si="189"/>
        <v>122224</v>
      </c>
      <c r="AV720" s="1948">
        <v>1800</v>
      </c>
      <c r="AW720" s="1948">
        <v>1518</v>
      </c>
      <c r="AX720" s="1948">
        <v>1518</v>
      </c>
      <c r="AY720" s="1948">
        <v>0.98519999999999996</v>
      </c>
      <c r="AZ720" s="1948">
        <v>79.84</v>
      </c>
      <c r="BA720" s="1948">
        <v>872565</v>
      </c>
      <c r="BB720" s="1948">
        <f t="shared" si="190"/>
        <v>655776</v>
      </c>
      <c r="BC720" s="1948">
        <f t="shared" si="191"/>
        <v>216789</v>
      </c>
      <c r="BD720" s="1949">
        <v>1800</v>
      </c>
      <c r="BE720" s="1948">
        <v>1459.2</v>
      </c>
      <c r="BF720" s="1949">
        <v>1459.2</v>
      </c>
      <c r="BG720" s="1949">
        <v>0.98199999999999998</v>
      </c>
      <c r="BH720" s="1949">
        <v>65.88</v>
      </c>
      <c r="BI720" s="1948">
        <v>715170</v>
      </c>
      <c r="BJ720" s="1948">
        <f t="shared" si="192"/>
        <v>651387</v>
      </c>
      <c r="BK720" s="1948">
        <f t="shared" si="193"/>
        <v>63783</v>
      </c>
    </row>
    <row r="721" spans="1:63" ht="15">
      <c r="A721" s="1946">
        <v>123000000012</v>
      </c>
      <c r="B721" s="1947">
        <f t="shared" si="194"/>
        <v>19</v>
      </c>
      <c r="C721" s="1906" t="s">
        <v>556</v>
      </c>
      <c r="D721" s="1907" t="s">
        <v>524</v>
      </c>
      <c r="E721" s="1906" t="s">
        <v>541</v>
      </c>
      <c r="F721" s="1948" t="s">
        <v>271</v>
      </c>
      <c r="G721" s="1949">
        <v>2000</v>
      </c>
      <c r="H721" s="1948">
        <v>2000</v>
      </c>
      <c r="I721" s="1950">
        <v>280</v>
      </c>
      <c r="J721" s="1948">
        <v>1600</v>
      </c>
      <c r="K721" s="1948">
        <v>1.0006999999999999</v>
      </c>
      <c r="L721" s="1948">
        <v>68.2</v>
      </c>
      <c r="M721" s="1948">
        <v>137500</v>
      </c>
      <c r="N721" s="1948">
        <f t="shared" si="180"/>
        <v>120960</v>
      </c>
      <c r="O721" s="1948">
        <f t="shared" si="181"/>
        <v>16540</v>
      </c>
      <c r="P721" s="1948">
        <v>2000</v>
      </c>
      <c r="Q721" s="1948">
        <v>280</v>
      </c>
      <c r="R721" s="1948">
        <v>1600</v>
      </c>
      <c r="S721" s="1948">
        <v>1</v>
      </c>
      <c r="T721" s="1948">
        <v>73.400000000000006</v>
      </c>
      <c r="U721" s="1948">
        <v>152900</v>
      </c>
      <c r="V721" s="1948">
        <f t="shared" si="182"/>
        <v>124992</v>
      </c>
      <c r="W721" s="1948">
        <f t="shared" si="183"/>
        <v>27908</v>
      </c>
      <c r="X721" s="1948">
        <v>2000</v>
      </c>
      <c r="Y721" s="1948">
        <v>360</v>
      </c>
      <c r="Z721" s="1948">
        <v>1600</v>
      </c>
      <c r="AA721" s="1948">
        <v>0.99860000000000004</v>
      </c>
      <c r="AB721" s="1948">
        <v>58.26</v>
      </c>
      <c r="AC721" s="1948">
        <v>151000</v>
      </c>
      <c r="AD721" s="1948">
        <f t="shared" si="184"/>
        <v>155520</v>
      </c>
      <c r="AE721" s="1948">
        <f t="shared" si="185"/>
        <v>0</v>
      </c>
      <c r="AF721" s="1948">
        <v>2000</v>
      </c>
      <c r="AG721" s="1948">
        <v>240</v>
      </c>
      <c r="AH721" s="1948">
        <v>1600</v>
      </c>
      <c r="AI721" s="1948">
        <v>1</v>
      </c>
      <c r="AJ721" s="1948">
        <v>85.35</v>
      </c>
      <c r="AK721" s="1948">
        <v>152400</v>
      </c>
      <c r="AL721" s="1948">
        <f t="shared" si="186"/>
        <v>107136</v>
      </c>
      <c r="AM721" s="1948">
        <f t="shared" si="187"/>
        <v>45264</v>
      </c>
      <c r="AN721" s="1948">
        <v>2000</v>
      </c>
      <c r="AO721" s="1948">
        <v>240</v>
      </c>
      <c r="AP721" s="1948">
        <v>1600</v>
      </c>
      <c r="AQ721" s="1948">
        <v>1</v>
      </c>
      <c r="AR721" s="1948">
        <v>86.36</v>
      </c>
      <c r="AS721" s="1948">
        <v>154200</v>
      </c>
      <c r="AT721" s="1948">
        <f t="shared" si="188"/>
        <v>107136</v>
      </c>
      <c r="AU721" s="1948">
        <f t="shared" si="189"/>
        <v>47064</v>
      </c>
      <c r="AV721" s="1948">
        <v>2000</v>
      </c>
      <c r="AW721" s="1948">
        <v>240</v>
      </c>
      <c r="AX721" s="1948">
        <v>1600</v>
      </c>
      <c r="AY721" s="1948">
        <v>1</v>
      </c>
      <c r="AZ721" s="1948">
        <v>87.09</v>
      </c>
      <c r="BA721" s="1948">
        <v>150500</v>
      </c>
      <c r="BB721" s="1948">
        <f t="shared" si="190"/>
        <v>103680</v>
      </c>
      <c r="BC721" s="1948">
        <f t="shared" si="191"/>
        <v>46820</v>
      </c>
      <c r="BD721" s="1949">
        <v>2000</v>
      </c>
      <c r="BE721" s="1948">
        <v>240</v>
      </c>
      <c r="BF721" s="1949">
        <v>1600</v>
      </c>
      <c r="BG721" s="1949">
        <v>1</v>
      </c>
      <c r="BH721" s="1949">
        <v>83.33</v>
      </c>
      <c r="BI721" s="1948">
        <v>148800</v>
      </c>
      <c r="BJ721" s="1948">
        <f t="shared" si="192"/>
        <v>107136</v>
      </c>
      <c r="BK721" s="1948">
        <f t="shared" si="193"/>
        <v>41664</v>
      </c>
    </row>
    <row r="722" spans="1:63" ht="15">
      <c r="A722" s="1946">
        <v>126000000047</v>
      </c>
      <c r="B722" s="1947">
        <f t="shared" si="194"/>
        <v>20</v>
      </c>
      <c r="C722" s="1906" t="s">
        <v>640</v>
      </c>
      <c r="D722" s="1907" t="s">
        <v>524</v>
      </c>
      <c r="E722" s="1906" t="s">
        <v>641</v>
      </c>
      <c r="F722" s="1948" t="s">
        <v>259</v>
      </c>
      <c r="G722" s="1949">
        <v>2000</v>
      </c>
      <c r="H722" s="1948">
        <v>2000</v>
      </c>
      <c r="I722" s="1950">
        <v>466.79999999999995</v>
      </c>
      <c r="J722" s="1948">
        <v>1600</v>
      </c>
      <c r="K722" s="1948">
        <v>0.82050000000000001</v>
      </c>
      <c r="L722" s="1948">
        <v>13.43</v>
      </c>
      <c r="M722" s="1948">
        <v>45150</v>
      </c>
      <c r="N722" s="1948">
        <f t="shared" si="180"/>
        <v>201658</v>
      </c>
      <c r="O722" s="1948">
        <f t="shared" si="181"/>
        <v>0</v>
      </c>
      <c r="P722" s="1948">
        <v>2000</v>
      </c>
      <c r="Q722" s="1948">
        <v>406.8</v>
      </c>
      <c r="R722" s="1948">
        <v>1600</v>
      </c>
      <c r="S722" s="1948">
        <v>0.86339999999999995</v>
      </c>
      <c r="T722" s="1948">
        <v>11.69</v>
      </c>
      <c r="U722" s="1948">
        <v>35370</v>
      </c>
      <c r="V722" s="1948">
        <f t="shared" si="182"/>
        <v>181596</v>
      </c>
      <c r="W722" s="1948">
        <f t="shared" si="183"/>
        <v>0</v>
      </c>
      <c r="X722" s="1948">
        <v>2000</v>
      </c>
      <c r="Y722" s="1948">
        <v>385.19999999999993</v>
      </c>
      <c r="Z722" s="1948">
        <v>1600</v>
      </c>
      <c r="AA722" s="1948">
        <v>0.89349999999999996</v>
      </c>
      <c r="AB722" s="1948">
        <v>12.19</v>
      </c>
      <c r="AC722" s="1948">
        <v>33810</v>
      </c>
      <c r="AD722" s="1948">
        <f t="shared" si="184"/>
        <v>166406</v>
      </c>
      <c r="AE722" s="1948">
        <f t="shared" si="185"/>
        <v>0</v>
      </c>
      <c r="AF722" s="1948">
        <v>2000</v>
      </c>
      <c r="AG722" s="1948">
        <v>116.4</v>
      </c>
      <c r="AH722" s="1948">
        <v>1600</v>
      </c>
      <c r="AI722" s="1948">
        <v>0.94040000000000001</v>
      </c>
      <c r="AJ722" s="1948">
        <v>36.340000000000003</v>
      </c>
      <c r="AK722" s="1948">
        <v>31470</v>
      </c>
      <c r="AL722" s="1948">
        <f t="shared" si="186"/>
        <v>51961</v>
      </c>
      <c r="AM722" s="1948">
        <f t="shared" si="187"/>
        <v>0</v>
      </c>
      <c r="AN722" s="1948">
        <v>2000</v>
      </c>
      <c r="AO722" s="1948">
        <v>118.80000000000001</v>
      </c>
      <c r="AP722" s="1948">
        <v>1600</v>
      </c>
      <c r="AQ722" s="1948">
        <v>0.94779999999999998</v>
      </c>
      <c r="AR722" s="1948">
        <v>32.549999999999997</v>
      </c>
      <c r="AS722" s="1948">
        <v>28770</v>
      </c>
      <c r="AT722" s="1948">
        <f t="shared" si="188"/>
        <v>53032</v>
      </c>
      <c r="AU722" s="1948">
        <f t="shared" si="189"/>
        <v>0</v>
      </c>
      <c r="AV722" s="1948">
        <v>2000</v>
      </c>
      <c r="AW722" s="1948">
        <v>114</v>
      </c>
      <c r="AX722" s="1948">
        <v>1600</v>
      </c>
      <c r="AY722" s="1948">
        <v>0.93940000000000001</v>
      </c>
      <c r="AZ722" s="1948">
        <v>39.51</v>
      </c>
      <c r="BA722" s="1948">
        <v>32430</v>
      </c>
      <c r="BB722" s="1948">
        <f t="shared" si="190"/>
        <v>49248</v>
      </c>
      <c r="BC722" s="1948">
        <f t="shared" si="191"/>
        <v>0</v>
      </c>
      <c r="BD722" s="1949">
        <v>2000</v>
      </c>
      <c r="BE722" s="1948">
        <v>104.39999999999999</v>
      </c>
      <c r="BF722" s="1949">
        <v>1600</v>
      </c>
      <c r="BG722" s="1949">
        <v>0.91359999999999997</v>
      </c>
      <c r="BH722" s="1949">
        <v>31.09</v>
      </c>
      <c r="BI722" s="1948">
        <v>24150</v>
      </c>
      <c r="BJ722" s="1948">
        <f t="shared" si="192"/>
        <v>46604</v>
      </c>
      <c r="BK722" s="1948">
        <f t="shared" si="193"/>
        <v>0</v>
      </c>
    </row>
    <row r="723" spans="1:63" ht="15">
      <c r="A723" s="1946">
        <v>611000000006</v>
      </c>
      <c r="B723" s="1947">
        <f t="shared" si="194"/>
        <v>21</v>
      </c>
      <c r="C723" s="1906" t="s">
        <v>660</v>
      </c>
      <c r="D723" s="1907" t="s">
        <v>524</v>
      </c>
      <c r="E723" s="1906" t="s">
        <v>541</v>
      </c>
      <c r="F723" s="1948" t="s">
        <v>259</v>
      </c>
      <c r="G723" s="1949">
        <v>2000</v>
      </c>
      <c r="H723" s="1948">
        <v>2000</v>
      </c>
      <c r="I723" s="1950">
        <v>1104</v>
      </c>
      <c r="J723" s="1948">
        <v>1600</v>
      </c>
      <c r="K723" s="1948">
        <v>0.74770000000000003</v>
      </c>
      <c r="L723" s="1948">
        <v>39.99</v>
      </c>
      <c r="M723" s="1948">
        <v>317895</v>
      </c>
      <c r="N723" s="1948">
        <f t="shared" si="180"/>
        <v>476928</v>
      </c>
      <c r="O723" s="1948">
        <f t="shared" si="181"/>
        <v>0</v>
      </c>
      <c r="P723" s="1948">
        <v>2000</v>
      </c>
      <c r="Q723" s="1948">
        <v>987</v>
      </c>
      <c r="R723" s="1948">
        <v>1600</v>
      </c>
      <c r="S723" s="1948">
        <v>0.73419999999999996</v>
      </c>
      <c r="T723" s="1948">
        <v>43.21</v>
      </c>
      <c r="U723" s="1948">
        <v>317325</v>
      </c>
      <c r="V723" s="1948">
        <f t="shared" si="182"/>
        <v>440597</v>
      </c>
      <c r="W723" s="1948">
        <f t="shared" si="183"/>
        <v>0</v>
      </c>
      <c r="X723" s="1948">
        <v>2000</v>
      </c>
      <c r="Y723" s="1948">
        <v>972</v>
      </c>
      <c r="Z723" s="1948">
        <v>1600</v>
      </c>
      <c r="AA723" s="1948">
        <v>0.76929999999999998</v>
      </c>
      <c r="AB723" s="1948">
        <v>43.84</v>
      </c>
      <c r="AC723" s="1948">
        <v>306810</v>
      </c>
      <c r="AD723" s="1948">
        <f t="shared" si="184"/>
        <v>419904</v>
      </c>
      <c r="AE723" s="1948">
        <f t="shared" si="185"/>
        <v>0</v>
      </c>
      <c r="AF723" s="1948">
        <v>2000</v>
      </c>
      <c r="AG723" s="1948">
        <v>1092</v>
      </c>
      <c r="AH723" s="1948">
        <v>1600</v>
      </c>
      <c r="AI723" s="1948">
        <v>0.81789999999999996</v>
      </c>
      <c r="AJ723" s="1948">
        <v>39.6</v>
      </c>
      <c r="AK723" s="1948">
        <v>321765</v>
      </c>
      <c r="AL723" s="1948">
        <f t="shared" si="186"/>
        <v>487469</v>
      </c>
      <c r="AM723" s="1948">
        <f t="shared" si="187"/>
        <v>0</v>
      </c>
      <c r="AN723" s="1948">
        <v>2000</v>
      </c>
      <c r="AO723" s="1948">
        <v>1101</v>
      </c>
      <c r="AP723" s="1948">
        <v>1600</v>
      </c>
      <c r="AQ723" s="1948">
        <v>0.78300000000000003</v>
      </c>
      <c r="AR723" s="1948">
        <v>41.78</v>
      </c>
      <c r="AS723" s="1948">
        <v>342240</v>
      </c>
      <c r="AT723" s="1948">
        <f t="shared" si="188"/>
        <v>491486</v>
      </c>
      <c r="AU723" s="1948">
        <f t="shared" si="189"/>
        <v>0</v>
      </c>
      <c r="AV723" s="1948">
        <v>2000</v>
      </c>
      <c r="AW723" s="1948">
        <v>1092</v>
      </c>
      <c r="AX723" s="1948">
        <v>1600</v>
      </c>
      <c r="AY723" s="1948">
        <v>0.7732</v>
      </c>
      <c r="AZ723" s="1948">
        <v>48.36</v>
      </c>
      <c r="BA723" s="1948">
        <v>380250</v>
      </c>
      <c r="BB723" s="1948">
        <f t="shared" si="190"/>
        <v>471744</v>
      </c>
      <c r="BC723" s="1948">
        <f t="shared" si="191"/>
        <v>0</v>
      </c>
      <c r="BD723" s="1949">
        <v>2000</v>
      </c>
      <c r="BE723" s="1948">
        <v>1013.9999999999999</v>
      </c>
      <c r="BF723" s="1949">
        <v>1600</v>
      </c>
      <c r="BG723" s="1949">
        <v>0.75939999999999996</v>
      </c>
      <c r="BH723" s="1949">
        <v>49.77</v>
      </c>
      <c r="BI723" s="1948">
        <v>375465</v>
      </c>
      <c r="BJ723" s="1948">
        <f t="shared" si="192"/>
        <v>452650</v>
      </c>
      <c r="BK723" s="1948">
        <f t="shared" si="193"/>
        <v>0</v>
      </c>
    </row>
    <row r="724" spans="1:63" ht="15">
      <c r="A724" s="1946">
        <v>611000000016</v>
      </c>
      <c r="B724" s="1947">
        <f t="shared" si="194"/>
        <v>22</v>
      </c>
      <c r="C724" s="1906" t="s">
        <v>662</v>
      </c>
      <c r="D724" s="1907" t="s">
        <v>524</v>
      </c>
      <c r="E724" s="1906" t="s">
        <v>541</v>
      </c>
      <c r="F724" s="1948" t="s">
        <v>259</v>
      </c>
      <c r="G724" s="1949">
        <v>2000</v>
      </c>
      <c r="H724" s="1948">
        <v>2000</v>
      </c>
      <c r="I724" s="1950">
        <v>952</v>
      </c>
      <c r="J724" s="1948">
        <v>1600</v>
      </c>
      <c r="K724" s="1948">
        <v>0.97750000000000004</v>
      </c>
      <c r="L724" s="1948">
        <v>53.59</v>
      </c>
      <c r="M724" s="1948">
        <v>367350</v>
      </c>
      <c r="N724" s="1948">
        <f t="shared" si="180"/>
        <v>411264</v>
      </c>
      <c r="O724" s="1948">
        <f t="shared" si="181"/>
        <v>0</v>
      </c>
      <c r="P724" s="1948">
        <v>2000</v>
      </c>
      <c r="Q724" s="1948">
        <v>1100</v>
      </c>
      <c r="R724" s="1948">
        <v>1600</v>
      </c>
      <c r="S724" s="1948">
        <v>0.95320000000000005</v>
      </c>
      <c r="T724" s="1948">
        <v>66.709999999999994</v>
      </c>
      <c r="U724" s="1948">
        <v>545950</v>
      </c>
      <c r="V724" s="1948">
        <f t="shared" si="182"/>
        <v>491040</v>
      </c>
      <c r="W724" s="1948">
        <f t="shared" si="183"/>
        <v>54910</v>
      </c>
      <c r="X724" s="1948">
        <v>2000</v>
      </c>
      <c r="Y724" s="1948">
        <v>956</v>
      </c>
      <c r="Z724" s="1948">
        <v>1600</v>
      </c>
      <c r="AA724" s="1948">
        <v>0.95589999999999997</v>
      </c>
      <c r="AB724" s="1948">
        <v>68.62</v>
      </c>
      <c r="AC724" s="1948">
        <v>472350</v>
      </c>
      <c r="AD724" s="1948">
        <f t="shared" si="184"/>
        <v>412992</v>
      </c>
      <c r="AE724" s="1948">
        <f t="shared" si="185"/>
        <v>59358</v>
      </c>
      <c r="AF724" s="1948">
        <v>2000</v>
      </c>
      <c r="AG724" s="1948">
        <v>972</v>
      </c>
      <c r="AH724" s="1948">
        <v>1600</v>
      </c>
      <c r="AI724" s="1948">
        <v>0.96240000000000003</v>
      </c>
      <c r="AJ724" s="1948">
        <v>73.900000000000006</v>
      </c>
      <c r="AK724" s="1948">
        <v>534400</v>
      </c>
      <c r="AL724" s="1948">
        <f t="shared" si="186"/>
        <v>433901</v>
      </c>
      <c r="AM724" s="1948">
        <f t="shared" si="187"/>
        <v>100499</v>
      </c>
      <c r="AN724" s="1948">
        <v>2000</v>
      </c>
      <c r="AO724" s="1948">
        <v>1012</v>
      </c>
      <c r="AP724" s="1948">
        <v>1600</v>
      </c>
      <c r="AQ724" s="1948">
        <v>0.96740000000000004</v>
      </c>
      <c r="AR724" s="1948">
        <v>48.56</v>
      </c>
      <c r="AS724" s="1948">
        <v>365650</v>
      </c>
      <c r="AT724" s="1948">
        <f t="shared" si="188"/>
        <v>451757</v>
      </c>
      <c r="AU724" s="1948">
        <f t="shared" si="189"/>
        <v>0</v>
      </c>
      <c r="AV724" s="1948">
        <v>2000</v>
      </c>
      <c r="AW724" s="1948">
        <v>696</v>
      </c>
      <c r="AX724" s="1948">
        <v>1600</v>
      </c>
      <c r="AY724" s="1948">
        <v>0.98670000000000002</v>
      </c>
      <c r="AZ724" s="1948">
        <v>15.05</v>
      </c>
      <c r="BA724" s="1948">
        <v>75400</v>
      </c>
      <c r="BB724" s="1948">
        <f t="shared" si="190"/>
        <v>300672</v>
      </c>
      <c r="BC724" s="1948">
        <f t="shared" si="191"/>
        <v>0</v>
      </c>
      <c r="BD724" s="1949">
        <v>2000</v>
      </c>
      <c r="BE724" s="1948">
        <v>180</v>
      </c>
      <c r="BF724" s="1949">
        <v>1600</v>
      </c>
      <c r="BG724" s="1949">
        <v>1</v>
      </c>
      <c r="BH724" s="1949">
        <v>42.71</v>
      </c>
      <c r="BI724" s="1948">
        <v>57200</v>
      </c>
      <c r="BJ724" s="1948">
        <f t="shared" si="192"/>
        <v>80352</v>
      </c>
      <c r="BK724" s="1948">
        <f t="shared" si="193"/>
        <v>0</v>
      </c>
    </row>
    <row r="725" spans="1:63" ht="15">
      <c r="A725" s="1946">
        <v>622000000057</v>
      </c>
      <c r="B725" s="1947">
        <f t="shared" si="194"/>
        <v>23</v>
      </c>
      <c r="C725" s="1906" t="s">
        <v>682</v>
      </c>
      <c r="D725" s="1907" t="s">
        <v>524</v>
      </c>
      <c r="E725" s="1906" t="s">
        <v>541</v>
      </c>
      <c r="F725" s="1948" t="s">
        <v>259</v>
      </c>
      <c r="G725" s="1949">
        <v>2000</v>
      </c>
      <c r="H725" s="1948">
        <v>2000</v>
      </c>
      <c r="I725" s="1950">
        <v>593.4</v>
      </c>
      <c r="J725" s="1948">
        <v>1600</v>
      </c>
      <c r="K725" s="1948">
        <v>0.99939999999999996</v>
      </c>
      <c r="L725" s="1948">
        <v>66.81</v>
      </c>
      <c r="M725" s="1948">
        <v>289950</v>
      </c>
      <c r="N725" s="1948">
        <f t="shared" si="180"/>
        <v>256349</v>
      </c>
      <c r="O725" s="1948">
        <f t="shared" si="181"/>
        <v>33601</v>
      </c>
      <c r="P725" s="1948">
        <v>2000</v>
      </c>
      <c r="Q725" s="1948">
        <v>651</v>
      </c>
      <c r="R725" s="1948">
        <v>1600</v>
      </c>
      <c r="S725" s="1948">
        <v>1</v>
      </c>
      <c r="T725" s="1948">
        <v>63.87</v>
      </c>
      <c r="U725" s="1948">
        <v>359790</v>
      </c>
      <c r="V725" s="1948">
        <f t="shared" si="182"/>
        <v>290606</v>
      </c>
      <c r="W725" s="1948">
        <f t="shared" si="183"/>
        <v>69184</v>
      </c>
      <c r="X725" s="1948">
        <v>2000</v>
      </c>
      <c r="Y725" s="1948">
        <v>708.6</v>
      </c>
      <c r="Z725" s="1948">
        <v>1600</v>
      </c>
      <c r="AA725" s="1948">
        <v>0.99629999999999996</v>
      </c>
      <c r="AB725" s="1948">
        <v>56.94</v>
      </c>
      <c r="AC725" s="1948">
        <v>316710</v>
      </c>
      <c r="AD725" s="1948">
        <f t="shared" si="184"/>
        <v>306115</v>
      </c>
      <c r="AE725" s="1948">
        <f t="shared" si="185"/>
        <v>10595</v>
      </c>
      <c r="AF725" s="1948">
        <v>2000</v>
      </c>
      <c r="AG725" s="1948">
        <v>603</v>
      </c>
      <c r="AH725" s="1948">
        <v>1600</v>
      </c>
      <c r="AI725" s="1948">
        <v>1</v>
      </c>
      <c r="AJ725" s="1948">
        <v>65.290000000000006</v>
      </c>
      <c r="AK725" s="1948">
        <v>319350</v>
      </c>
      <c r="AL725" s="1948">
        <f t="shared" si="186"/>
        <v>269179</v>
      </c>
      <c r="AM725" s="1948">
        <f t="shared" si="187"/>
        <v>50171</v>
      </c>
      <c r="AN725" s="1948">
        <v>2000</v>
      </c>
      <c r="AO725" s="1948">
        <v>641.4</v>
      </c>
      <c r="AP725" s="1948">
        <v>1600</v>
      </c>
      <c r="AQ725" s="1948">
        <v>1</v>
      </c>
      <c r="AR725" s="1948">
        <v>60.18</v>
      </c>
      <c r="AS725" s="1948">
        <v>312990</v>
      </c>
      <c r="AT725" s="1948">
        <f t="shared" si="188"/>
        <v>286321</v>
      </c>
      <c r="AU725" s="1948">
        <f t="shared" si="189"/>
        <v>26669</v>
      </c>
      <c r="AV725" s="1948">
        <v>2000</v>
      </c>
      <c r="AW725" s="1948">
        <v>622.20000000000005</v>
      </c>
      <c r="AX725" s="1948">
        <v>1600</v>
      </c>
      <c r="AY725" s="1948">
        <v>1</v>
      </c>
      <c r="AZ725" s="1948">
        <v>62.82</v>
      </c>
      <c r="BA725" s="1948">
        <v>306630</v>
      </c>
      <c r="BB725" s="1948">
        <f t="shared" si="190"/>
        <v>268790</v>
      </c>
      <c r="BC725" s="1948">
        <f t="shared" si="191"/>
        <v>37840</v>
      </c>
      <c r="BD725" s="1949">
        <v>2000</v>
      </c>
      <c r="BE725" s="1948">
        <v>555</v>
      </c>
      <c r="BF725" s="1949">
        <v>1600</v>
      </c>
      <c r="BG725" s="1949">
        <v>1</v>
      </c>
      <c r="BH725" s="1949">
        <v>67.37</v>
      </c>
      <c r="BI725" s="1948">
        <v>303030</v>
      </c>
      <c r="BJ725" s="1948">
        <f t="shared" si="192"/>
        <v>247752</v>
      </c>
      <c r="BK725" s="1948">
        <f t="shared" si="193"/>
        <v>55278</v>
      </c>
    </row>
    <row r="726" spans="1:63" ht="15">
      <c r="A726" s="1946">
        <v>125000000044</v>
      </c>
      <c r="B726" s="1947">
        <f t="shared" si="194"/>
        <v>24</v>
      </c>
      <c r="C726" s="1906" t="s">
        <v>711</v>
      </c>
      <c r="D726" s="1907" t="s">
        <v>524</v>
      </c>
      <c r="E726" s="1906" t="s">
        <v>709</v>
      </c>
      <c r="F726" s="1948" t="s">
        <v>259</v>
      </c>
      <c r="G726" s="1949">
        <v>2033.49</v>
      </c>
      <c r="H726" s="1948">
        <v>2033.49</v>
      </c>
      <c r="I726" s="1950">
        <v>7.9200000000000008</v>
      </c>
      <c r="J726" s="1948">
        <v>1626.7919999999999</v>
      </c>
      <c r="K726" s="1948">
        <v>1</v>
      </c>
      <c r="L726" s="1948">
        <v>38.67</v>
      </c>
      <c r="M726" s="1948">
        <v>2205</v>
      </c>
      <c r="N726" s="1948">
        <f t="shared" si="180"/>
        <v>3421</v>
      </c>
      <c r="O726" s="1948">
        <f t="shared" si="181"/>
        <v>0</v>
      </c>
      <c r="P726" s="1948">
        <v>2033.49</v>
      </c>
      <c r="Q726" s="1948">
        <v>3.6</v>
      </c>
      <c r="R726" s="1948">
        <v>1626.7919999999999</v>
      </c>
      <c r="S726" s="1948">
        <v>1</v>
      </c>
      <c r="T726" s="1948">
        <v>70.900000000000006</v>
      </c>
      <c r="U726" s="1948">
        <v>1899</v>
      </c>
      <c r="V726" s="1948">
        <f t="shared" si="182"/>
        <v>1607</v>
      </c>
      <c r="W726" s="1948">
        <f t="shared" si="183"/>
        <v>292</v>
      </c>
      <c r="X726" s="1948">
        <v>2033.49</v>
      </c>
      <c r="Y726" s="1948">
        <v>601.20000000000005</v>
      </c>
      <c r="Z726" s="1948">
        <v>1626.7919999999999</v>
      </c>
      <c r="AA726" s="1948">
        <v>0.98150000000000004</v>
      </c>
      <c r="AB726" s="1948">
        <v>0.79</v>
      </c>
      <c r="AC726" s="1948">
        <v>3420</v>
      </c>
      <c r="AD726" s="1948">
        <f t="shared" si="184"/>
        <v>259718</v>
      </c>
      <c r="AE726" s="1948">
        <f t="shared" si="185"/>
        <v>0</v>
      </c>
      <c r="AF726" s="1948">
        <v>2033.49</v>
      </c>
      <c r="AG726" s="1948">
        <v>1212.48</v>
      </c>
      <c r="AH726" s="1948">
        <v>1626.7919999999999</v>
      </c>
      <c r="AI726" s="1948">
        <v>0.92210000000000003</v>
      </c>
      <c r="AJ726" s="1948">
        <v>9.43</v>
      </c>
      <c r="AK726" s="1948">
        <v>85086</v>
      </c>
      <c r="AL726" s="1948">
        <f t="shared" si="186"/>
        <v>541251</v>
      </c>
      <c r="AM726" s="1948">
        <f t="shared" si="187"/>
        <v>0</v>
      </c>
      <c r="AN726" s="1948">
        <v>2033.49</v>
      </c>
      <c r="AO726" s="1948">
        <v>1198.08</v>
      </c>
      <c r="AP726" s="1948">
        <v>1626.7919999999999</v>
      </c>
      <c r="AQ726" s="1948">
        <v>0.95150000000000001</v>
      </c>
      <c r="AR726" s="1948">
        <v>4.21</v>
      </c>
      <c r="AS726" s="1948">
        <v>37485</v>
      </c>
      <c r="AT726" s="1948">
        <f t="shared" si="188"/>
        <v>534823</v>
      </c>
      <c r="AU726" s="1948">
        <f t="shared" si="189"/>
        <v>0</v>
      </c>
      <c r="AV726" s="1948">
        <v>2033.49</v>
      </c>
      <c r="AW726" s="1948">
        <v>1206</v>
      </c>
      <c r="AX726" s="1948">
        <v>1626.7919999999999</v>
      </c>
      <c r="AY726" s="1948">
        <v>0.93820000000000003</v>
      </c>
      <c r="AZ726" s="1948">
        <v>21.52</v>
      </c>
      <c r="BA726" s="1948">
        <v>186885</v>
      </c>
      <c r="BB726" s="1948">
        <f t="shared" si="190"/>
        <v>520992</v>
      </c>
      <c r="BC726" s="1948">
        <f t="shared" si="191"/>
        <v>0</v>
      </c>
      <c r="BD726" s="1949">
        <v>2033.49</v>
      </c>
      <c r="BE726" s="1948">
        <v>1198.08</v>
      </c>
      <c r="BF726" s="1949">
        <v>1626.7919999999999</v>
      </c>
      <c r="BG726" s="1949">
        <v>0.94010000000000005</v>
      </c>
      <c r="BH726" s="1949">
        <v>16.8</v>
      </c>
      <c r="BI726" s="1948">
        <v>149724</v>
      </c>
      <c r="BJ726" s="1948">
        <f t="shared" si="192"/>
        <v>534823</v>
      </c>
      <c r="BK726" s="1948">
        <f t="shared" si="193"/>
        <v>0</v>
      </c>
    </row>
    <row r="727" spans="1:63" ht="15">
      <c r="A727" s="982">
        <v>621000000050</v>
      </c>
      <c r="B727" s="1947">
        <f t="shared" si="194"/>
        <v>25</v>
      </c>
      <c r="C727" s="1895" t="s">
        <v>3019</v>
      </c>
      <c r="D727" s="1907" t="s">
        <v>3661</v>
      </c>
      <c r="E727" s="1895" t="s">
        <v>541</v>
      </c>
      <c r="F727" s="1951" t="s">
        <v>259</v>
      </c>
      <c r="G727" s="1951">
        <v>2039</v>
      </c>
      <c r="H727" s="1951">
        <v>2039</v>
      </c>
      <c r="I727" s="1952">
        <v>0</v>
      </c>
      <c r="J727" s="1951">
        <v>1631.2</v>
      </c>
      <c r="K727" s="1951">
        <v>0</v>
      </c>
      <c r="L727" s="1951">
        <v>0</v>
      </c>
      <c r="M727" s="1951">
        <v>0</v>
      </c>
      <c r="N727" s="1948">
        <f t="shared" si="180"/>
        <v>0</v>
      </c>
      <c r="O727" s="1948">
        <f t="shared" si="181"/>
        <v>0</v>
      </c>
      <c r="P727" s="1948">
        <v>2039</v>
      </c>
      <c r="Q727" s="1948">
        <v>0</v>
      </c>
      <c r="R727" s="1948">
        <v>0</v>
      </c>
      <c r="S727" s="1948">
        <v>0</v>
      </c>
      <c r="T727" s="1948">
        <v>0</v>
      </c>
      <c r="U727" s="1948">
        <v>0</v>
      </c>
      <c r="V727" s="1948">
        <f t="shared" si="182"/>
        <v>0</v>
      </c>
      <c r="W727" s="1948">
        <f t="shared" si="183"/>
        <v>0</v>
      </c>
      <c r="X727" s="1948">
        <v>2039</v>
      </c>
      <c r="Y727" s="1948">
        <v>0</v>
      </c>
      <c r="Z727" s="1948">
        <v>0</v>
      </c>
      <c r="AA727" s="1948">
        <v>0</v>
      </c>
      <c r="AB727" s="1948">
        <v>0</v>
      </c>
      <c r="AC727" s="1948">
        <v>0</v>
      </c>
      <c r="AD727" s="1948">
        <f t="shared" si="184"/>
        <v>0</v>
      </c>
      <c r="AE727" s="1948">
        <f t="shared" si="185"/>
        <v>0</v>
      </c>
      <c r="AF727" s="1948">
        <v>0</v>
      </c>
      <c r="AG727" s="1948">
        <v>0</v>
      </c>
      <c r="AH727" s="1948">
        <v>0</v>
      </c>
      <c r="AI727" s="1948">
        <v>0</v>
      </c>
      <c r="AJ727" s="1948">
        <v>0</v>
      </c>
      <c r="AK727" s="1948">
        <v>0</v>
      </c>
      <c r="AL727" s="1948">
        <f t="shared" si="186"/>
        <v>0</v>
      </c>
      <c r="AM727" s="1948">
        <f t="shared" si="187"/>
        <v>0</v>
      </c>
      <c r="AN727" s="1948">
        <v>0</v>
      </c>
      <c r="AO727" s="1948">
        <v>0</v>
      </c>
      <c r="AP727" s="1948">
        <v>0</v>
      </c>
      <c r="AQ727" s="1948">
        <v>0</v>
      </c>
      <c r="AR727" s="1948">
        <v>0</v>
      </c>
      <c r="AS727" s="1948">
        <v>0</v>
      </c>
      <c r="AT727" s="1948">
        <f t="shared" si="188"/>
        <v>0</v>
      </c>
      <c r="AU727" s="1948">
        <f t="shared" si="189"/>
        <v>0</v>
      </c>
      <c r="AV727" s="1948">
        <v>0</v>
      </c>
      <c r="AW727" s="1948">
        <v>0</v>
      </c>
      <c r="AX727" s="1948">
        <v>0</v>
      </c>
      <c r="AY727" s="1948">
        <v>0</v>
      </c>
      <c r="AZ727" s="1948">
        <v>0</v>
      </c>
      <c r="BA727" s="1948">
        <v>0</v>
      </c>
      <c r="BB727" s="1948">
        <f t="shared" si="190"/>
        <v>0</v>
      </c>
      <c r="BC727" s="1948">
        <f t="shared" si="191"/>
        <v>0</v>
      </c>
      <c r="BD727" s="1948">
        <v>0</v>
      </c>
      <c r="BE727" s="1948">
        <v>0</v>
      </c>
      <c r="BF727" s="1948">
        <v>0</v>
      </c>
      <c r="BG727" s="1948">
        <v>0</v>
      </c>
      <c r="BH727" s="1948">
        <v>0</v>
      </c>
      <c r="BI727" s="1948">
        <v>0</v>
      </c>
      <c r="BJ727" s="1948">
        <f t="shared" si="192"/>
        <v>0</v>
      </c>
      <c r="BK727" s="1948">
        <f t="shared" si="193"/>
        <v>0</v>
      </c>
    </row>
    <row r="728" spans="1:63" ht="15">
      <c r="A728" s="1946">
        <v>622000000196</v>
      </c>
      <c r="B728" s="1947">
        <f t="shared" si="194"/>
        <v>26</v>
      </c>
      <c r="C728" s="1906" t="s">
        <v>692</v>
      </c>
      <c r="D728" s="1907" t="s">
        <v>524</v>
      </c>
      <c r="E728" s="1906" t="s">
        <v>541</v>
      </c>
      <c r="F728" s="1948" t="s">
        <v>259</v>
      </c>
      <c r="G728" s="1949">
        <v>2200</v>
      </c>
      <c r="H728" s="1948">
        <v>2200</v>
      </c>
      <c r="I728" s="1950">
        <v>1359.6</v>
      </c>
      <c r="J728" s="1948">
        <v>1760</v>
      </c>
      <c r="K728" s="1948">
        <v>0.94079999999999997</v>
      </c>
      <c r="L728" s="1948">
        <v>45.75</v>
      </c>
      <c r="M728" s="1948">
        <v>373215</v>
      </c>
      <c r="N728" s="1948">
        <f t="shared" si="180"/>
        <v>587347</v>
      </c>
      <c r="O728" s="1948">
        <f t="shared" si="181"/>
        <v>0</v>
      </c>
      <c r="P728" s="1948">
        <v>2200</v>
      </c>
      <c r="Q728" s="1948">
        <v>1269.6000000000001</v>
      </c>
      <c r="R728" s="1948">
        <v>1760</v>
      </c>
      <c r="S728" s="1948">
        <v>0.9546</v>
      </c>
      <c r="T728" s="1948">
        <v>48.4</v>
      </c>
      <c r="U728" s="1948">
        <v>530865</v>
      </c>
      <c r="V728" s="1948">
        <f t="shared" si="182"/>
        <v>566749</v>
      </c>
      <c r="W728" s="1948">
        <f t="shared" si="183"/>
        <v>0</v>
      </c>
      <c r="X728" s="1948">
        <v>2200</v>
      </c>
      <c r="Y728" s="1948">
        <v>759.59999999999991</v>
      </c>
      <c r="Z728" s="1948">
        <v>1760</v>
      </c>
      <c r="AA728" s="1948">
        <v>0.96560000000000001</v>
      </c>
      <c r="AB728" s="1948">
        <v>33.97</v>
      </c>
      <c r="AC728" s="1948">
        <v>185790</v>
      </c>
      <c r="AD728" s="1948">
        <f t="shared" si="184"/>
        <v>328147</v>
      </c>
      <c r="AE728" s="1948">
        <f t="shared" si="185"/>
        <v>0</v>
      </c>
      <c r="AF728" s="1948">
        <v>2200</v>
      </c>
      <c r="AG728" s="1948">
        <v>656.4</v>
      </c>
      <c r="AH728" s="1948">
        <v>1760</v>
      </c>
      <c r="AI728" s="1948">
        <v>0.95799999999999996</v>
      </c>
      <c r="AJ728" s="1948">
        <v>40.47</v>
      </c>
      <c r="AK728" s="1948">
        <v>197625</v>
      </c>
      <c r="AL728" s="1948">
        <f t="shared" si="186"/>
        <v>293017</v>
      </c>
      <c r="AM728" s="1948">
        <f t="shared" si="187"/>
        <v>0</v>
      </c>
      <c r="AN728" s="1948">
        <v>2200</v>
      </c>
      <c r="AO728" s="1948">
        <v>1291.2</v>
      </c>
      <c r="AP728" s="1948">
        <v>1760</v>
      </c>
      <c r="AQ728" s="1948">
        <v>0.95350000000000001</v>
      </c>
      <c r="AR728" s="1948">
        <v>34.770000000000003</v>
      </c>
      <c r="AS728" s="1948">
        <v>333975</v>
      </c>
      <c r="AT728" s="1948">
        <f t="shared" si="188"/>
        <v>576392</v>
      </c>
      <c r="AU728" s="1948">
        <f t="shared" si="189"/>
        <v>0</v>
      </c>
      <c r="AV728" s="1948">
        <v>2200</v>
      </c>
      <c r="AW728" s="1948">
        <v>1350</v>
      </c>
      <c r="AX728" s="1948">
        <v>1760</v>
      </c>
      <c r="AY728" s="1948">
        <v>0.93859999999999999</v>
      </c>
      <c r="AZ728" s="1948">
        <v>40.4</v>
      </c>
      <c r="BA728" s="1948">
        <v>392715</v>
      </c>
      <c r="BB728" s="1948">
        <f t="shared" si="190"/>
        <v>583200</v>
      </c>
      <c r="BC728" s="1948">
        <f t="shared" si="191"/>
        <v>0</v>
      </c>
      <c r="BD728" s="1949">
        <v>2200</v>
      </c>
      <c r="BE728" s="1948">
        <v>998.4</v>
      </c>
      <c r="BF728" s="1949">
        <v>1760</v>
      </c>
      <c r="BG728" s="1949">
        <v>0.92290000000000005</v>
      </c>
      <c r="BH728" s="1949">
        <v>50.88</v>
      </c>
      <c r="BI728" s="1948">
        <v>377925</v>
      </c>
      <c r="BJ728" s="1948">
        <f t="shared" si="192"/>
        <v>445686</v>
      </c>
      <c r="BK728" s="1948">
        <f t="shared" si="193"/>
        <v>0</v>
      </c>
    </row>
    <row r="729" spans="1:63" ht="15">
      <c r="A729" s="1946">
        <v>622000000172</v>
      </c>
      <c r="B729" s="1947">
        <f t="shared" si="194"/>
        <v>27</v>
      </c>
      <c r="C729" s="1906" t="s">
        <v>684</v>
      </c>
      <c r="D729" s="1907" t="s">
        <v>524</v>
      </c>
      <c r="E729" s="1906" t="s">
        <v>541</v>
      </c>
      <c r="F729" s="1948" t="s">
        <v>259</v>
      </c>
      <c r="G729" s="1949">
        <v>2222</v>
      </c>
      <c r="H729" s="1948">
        <v>2222</v>
      </c>
      <c r="I729" s="1950">
        <v>854.4</v>
      </c>
      <c r="J729" s="1948">
        <v>1777.6</v>
      </c>
      <c r="K729" s="1948">
        <v>0.96740000000000004</v>
      </c>
      <c r="L729" s="1948">
        <v>42.35</v>
      </c>
      <c r="M729" s="1948">
        <v>260550</v>
      </c>
      <c r="N729" s="1948">
        <f t="shared" si="180"/>
        <v>369101</v>
      </c>
      <c r="O729" s="1948">
        <f t="shared" si="181"/>
        <v>0</v>
      </c>
      <c r="P729" s="1948">
        <v>2222</v>
      </c>
      <c r="Q729" s="1948">
        <v>933.59999999999991</v>
      </c>
      <c r="R729" s="1948">
        <v>1777.6</v>
      </c>
      <c r="S729" s="1948">
        <v>0.96479999999999999</v>
      </c>
      <c r="T729" s="1948">
        <v>41.1</v>
      </c>
      <c r="U729" s="1948">
        <v>230220</v>
      </c>
      <c r="V729" s="1948">
        <f t="shared" si="182"/>
        <v>416759</v>
      </c>
      <c r="W729" s="1948">
        <f t="shared" si="183"/>
        <v>0</v>
      </c>
      <c r="X729" s="1948">
        <v>2222</v>
      </c>
      <c r="Y729" s="1948">
        <v>1015.1999999999999</v>
      </c>
      <c r="Z729" s="1948">
        <v>1777.6</v>
      </c>
      <c r="AA729" s="1948">
        <v>0.86409999999999998</v>
      </c>
      <c r="AB729" s="1948">
        <v>43.2</v>
      </c>
      <c r="AC729" s="1948">
        <v>378930</v>
      </c>
      <c r="AD729" s="1948">
        <f t="shared" si="184"/>
        <v>438566</v>
      </c>
      <c r="AE729" s="1948">
        <f t="shared" si="185"/>
        <v>0</v>
      </c>
      <c r="AF729" s="1948">
        <v>2222</v>
      </c>
      <c r="AG729" s="1948">
        <v>1550.4</v>
      </c>
      <c r="AH729" s="1948">
        <v>1777.6</v>
      </c>
      <c r="AI729" s="1948">
        <v>0.78080000000000005</v>
      </c>
      <c r="AJ729" s="1948">
        <v>36.07</v>
      </c>
      <c r="AK729" s="1948">
        <v>416040</v>
      </c>
      <c r="AL729" s="1948">
        <f t="shared" si="186"/>
        <v>692099</v>
      </c>
      <c r="AM729" s="1948">
        <f t="shared" si="187"/>
        <v>0</v>
      </c>
      <c r="AN729" s="1948">
        <v>2222</v>
      </c>
      <c r="AO729" s="1948">
        <v>1442.4</v>
      </c>
      <c r="AP729" s="1948">
        <v>1777.6</v>
      </c>
      <c r="AQ729" s="1948">
        <v>0.74939999999999996</v>
      </c>
      <c r="AR729" s="1948">
        <v>38.700000000000003</v>
      </c>
      <c r="AS729" s="1948">
        <v>415320</v>
      </c>
      <c r="AT729" s="1948">
        <f t="shared" si="188"/>
        <v>643887</v>
      </c>
      <c r="AU729" s="1948">
        <f t="shared" si="189"/>
        <v>0</v>
      </c>
      <c r="AV729" s="1948">
        <v>2222</v>
      </c>
      <c r="AW729" s="1948">
        <v>1670.3999999999999</v>
      </c>
      <c r="AX729" s="1948">
        <v>1777.6</v>
      </c>
      <c r="AY729" s="1948">
        <v>0.74099999999999999</v>
      </c>
      <c r="AZ729" s="1948">
        <v>37.630000000000003</v>
      </c>
      <c r="BA729" s="1948">
        <v>452520</v>
      </c>
      <c r="BB729" s="1948">
        <f t="shared" si="190"/>
        <v>721613</v>
      </c>
      <c r="BC729" s="1948">
        <f t="shared" si="191"/>
        <v>0</v>
      </c>
      <c r="BD729" s="1949">
        <v>2222</v>
      </c>
      <c r="BE729" s="1948">
        <v>1819.2</v>
      </c>
      <c r="BF729" s="1949">
        <v>1819.2</v>
      </c>
      <c r="BG729" s="1949">
        <v>0.71379999999999999</v>
      </c>
      <c r="BH729" s="1949">
        <v>41.84</v>
      </c>
      <c r="BI729" s="1948">
        <v>566340</v>
      </c>
      <c r="BJ729" s="1948">
        <f t="shared" si="192"/>
        <v>812091</v>
      </c>
      <c r="BK729" s="1948">
        <f t="shared" si="193"/>
        <v>0</v>
      </c>
    </row>
    <row r="730" spans="1:63" ht="15">
      <c r="A730" s="1946">
        <v>611000000096</v>
      </c>
      <c r="B730" s="1947">
        <f t="shared" si="194"/>
        <v>28</v>
      </c>
      <c r="C730" s="1906" t="s">
        <v>668</v>
      </c>
      <c r="D730" s="1907" t="s">
        <v>524</v>
      </c>
      <c r="E730" s="1906" t="s">
        <v>541</v>
      </c>
      <c r="F730" s="1948" t="s">
        <v>259</v>
      </c>
      <c r="G730" s="1949">
        <v>2223</v>
      </c>
      <c r="H730" s="1948">
        <v>2223</v>
      </c>
      <c r="I730" s="1950">
        <v>1906.8000000000002</v>
      </c>
      <c r="J730" s="1948">
        <v>1906.8</v>
      </c>
      <c r="K730" s="1948">
        <v>0.99280000000000002</v>
      </c>
      <c r="L730" s="1948">
        <v>55.17</v>
      </c>
      <c r="M730" s="1948">
        <v>757440</v>
      </c>
      <c r="N730" s="1948">
        <f t="shared" si="180"/>
        <v>823738</v>
      </c>
      <c r="O730" s="1948">
        <f t="shared" si="181"/>
        <v>0</v>
      </c>
      <c r="P730" s="1948">
        <v>2223</v>
      </c>
      <c r="Q730" s="1948">
        <v>1934.4</v>
      </c>
      <c r="R730" s="1948">
        <v>1934.4</v>
      </c>
      <c r="S730" s="1948">
        <v>0.99060000000000004</v>
      </c>
      <c r="T730" s="1948">
        <v>54.94</v>
      </c>
      <c r="U730" s="1948">
        <v>790635</v>
      </c>
      <c r="V730" s="1948">
        <f t="shared" si="182"/>
        <v>863516</v>
      </c>
      <c r="W730" s="1948">
        <f t="shared" si="183"/>
        <v>0</v>
      </c>
      <c r="X730" s="1948">
        <v>2223</v>
      </c>
      <c r="Y730" s="1948">
        <v>1890</v>
      </c>
      <c r="Z730" s="1948">
        <v>1890</v>
      </c>
      <c r="AA730" s="1948">
        <v>0.99160000000000004</v>
      </c>
      <c r="AB730" s="1948">
        <v>55.69</v>
      </c>
      <c r="AC730" s="1948">
        <v>757830</v>
      </c>
      <c r="AD730" s="1948">
        <f t="shared" si="184"/>
        <v>816480</v>
      </c>
      <c r="AE730" s="1948">
        <f t="shared" si="185"/>
        <v>0</v>
      </c>
      <c r="AF730" s="1948">
        <v>2223</v>
      </c>
      <c r="AG730" s="1948">
        <v>1812</v>
      </c>
      <c r="AH730" s="1948">
        <v>1812</v>
      </c>
      <c r="AI730" s="1948">
        <v>0.98699999999999999</v>
      </c>
      <c r="AJ730" s="1948">
        <v>59.36</v>
      </c>
      <c r="AK730" s="1948">
        <v>800310</v>
      </c>
      <c r="AL730" s="1948">
        <f t="shared" si="186"/>
        <v>808877</v>
      </c>
      <c r="AM730" s="1948">
        <f t="shared" si="187"/>
        <v>0</v>
      </c>
      <c r="AN730" s="1948">
        <v>2223</v>
      </c>
      <c r="AO730" s="1948">
        <v>1945.1999999999998</v>
      </c>
      <c r="AP730" s="1948">
        <v>1945.2</v>
      </c>
      <c r="AQ730" s="1948">
        <v>0.98550000000000004</v>
      </c>
      <c r="AR730" s="1948">
        <v>53.6</v>
      </c>
      <c r="AS730" s="1948">
        <v>775665</v>
      </c>
      <c r="AT730" s="1948">
        <f t="shared" si="188"/>
        <v>868337</v>
      </c>
      <c r="AU730" s="1948">
        <f t="shared" si="189"/>
        <v>0</v>
      </c>
      <c r="AV730" s="1948">
        <v>2223</v>
      </c>
      <c r="AW730" s="1948">
        <v>2018.3999999999999</v>
      </c>
      <c r="AX730" s="1948">
        <v>2018.4</v>
      </c>
      <c r="AY730" s="1948">
        <v>0.9768</v>
      </c>
      <c r="AZ730" s="1948">
        <v>56.02</v>
      </c>
      <c r="BA730" s="1948">
        <v>814110</v>
      </c>
      <c r="BB730" s="1948">
        <f t="shared" si="190"/>
        <v>871949</v>
      </c>
      <c r="BC730" s="1948">
        <f t="shared" si="191"/>
        <v>0</v>
      </c>
      <c r="BD730" s="1949">
        <v>2223</v>
      </c>
      <c r="BE730" s="1948">
        <v>1993.2</v>
      </c>
      <c r="BF730" s="1949">
        <v>1993.2</v>
      </c>
      <c r="BG730" s="1949">
        <v>0.97729999999999995</v>
      </c>
      <c r="BH730" s="1949">
        <v>56.74</v>
      </c>
      <c r="BI730" s="1948">
        <v>841410</v>
      </c>
      <c r="BJ730" s="1948">
        <f t="shared" si="192"/>
        <v>889764</v>
      </c>
      <c r="BK730" s="1948">
        <f t="shared" si="193"/>
        <v>0</v>
      </c>
    </row>
    <row r="731" spans="1:63" ht="15">
      <c r="A731" s="1946">
        <v>622000000080</v>
      </c>
      <c r="B731" s="1947">
        <f t="shared" si="194"/>
        <v>29</v>
      </c>
      <c r="C731" s="1906" t="s">
        <v>583</v>
      </c>
      <c r="D731" s="1907" t="s">
        <v>524</v>
      </c>
      <c r="E731" s="1906" t="s">
        <v>541</v>
      </c>
      <c r="F731" s="1948" t="s">
        <v>271</v>
      </c>
      <c r="G731" s="1949">
        <v>2500</v>
      </c>
      <c r="H731" s="1948">
        <v>2500</v>
      </c>
      <c r="I731" s="1950">
        <v>7104</v>
      </c>
      <c r="J731" s="1948">
        <v>7416</v>
      </c>
      <c r="K731" s="1948">
        <v>0.84819999999999995</v>
      </c>
      <c r="L731" s="1948">
        <v>7.76</v>
      </c>
      <c r="M731" s="1948">
        <v>418320</v>
      </c>
      <c r="N731" s="1948">
        <f t="shared" si="180"/>
        <v>3068928</v>
      </c>
      <c r="O731" s="1948">
        <f t="shared" si="181"/>
        <v>0</v>
      </c>
      <c r="P731" s="1948">
        <v>2500</v>
      </c>
      <c r="Q731" s="1948">
        <v>3024</v>
      </c>
      <c r="R731" s="1948">
        <v>3024</v>
      </c>
      <c r="S731" s="1948">
        <v>0.92720000000000002</v>
      </c>
      <c r="T731" s="1948">
        <v>0.28999999999999998</v>
      </c>
      <c r="U731" s="1948">
        <v>6600</v>
      </c>
      <c r="V731" s="1948">
        <f t="shared" si="182"/>
        <v>1349914</v>
      </c>
      <c r="W731" s="1948">
        <f t="shared" si="183"/>
        <v>0</v>
      </c>
      <c r="X731" s="1948">
        <v>2500</v>
      </c>
      <c r="Y731" s="1948">
        <v>1440</v>
      </c>
      <c r="Z731" s="1948">
        <v>2000</v>
      </c>
      <c r="AA731" s="1948">
        <v>0.84730000000000005</v>
      </c>
      <c r="AB731" s="1948">
        <v>1.52</v>
      </c>
      <c r="AC731" s="1948">
        <v>15720</v>
      </c>
      <c r="AD731" s="1948">
        <f t="shared" si="184"/>
        <v>622080</v>
      </c>
      <c r="AE731" s="1948">
        <f t="shared" si="185"/>
        <v>0</v>
      </c>
      <c r="AF731" s="1948">
        <v>2500</v>
      </c>
      <c r="AG731" s="1948">
        <v>10656</v>
      </c>
      <c r="AH731" s="1948">
        <v>10656</v>
      </c>
      <c r="AI731" s="1948">
        <v>0.90369999999999995</v>
      </c>
      <c r="AJ731" s="1948">
        <v>24.68</v>
      </c>
      <c r="AK731" s="1948">
        <v>2621520</v>
      </c>
      <c r="AL731" s="1948">
        <f t="shared" si="186"/>
        <v>4756838</v>
      </c>
      <c r="AM731" s="1948">
        <f t="shared" si="187"/>
        <v>0</v>
      </c>
      <c r="AN731" s="1948">
        <v>2500</v>
      </c>
      <c r="AO731" s="1948">
        <v>6192</v>
      </c>
      <c r="AP731" s="1948">
        <v>6192</v>
      </c>
      <c r="AQ731" s="1948">
        <v>0.89610000000000001</v>
      </c>
      <c r="AR731" s="1948">
        <v>0.4</v>
      </c>
      <c r="AS731" s="1948">
        <v>18480</v>
      </c>
      <c r="AT731" s="1948">
        <f t="shared" si="188"/>
        <v>2764109</v>
      </c>
      <c r="AU731" s="1948">
        <f t="shared" si="189"/>
        <v>0</v>
      </c>
      <c r="AV731" s="1948">
        <v>2500</v>
      </c>
      <c r="AW731" s="1948">
        <v>4848</v>
      </c>
      <c r="AX731" s="1948">
        <v>4848</v>
      </c>
      <c r="AY731" s="1948">
        <v>0.90429999999999999</v>
      </c>
      <c r="AZ731" s="1948">
        <v>0.4</v>
      </c>
      <c r="BA731" s="1948">
        <v>13800</v>
      </c>
      <c r="BB731" s="1948">
        <f t="shared" si="190"/>
        <v>2094336</v>
      </c>
      <c r="BC731" s="1948">
        <f t="shared" si="191"/>
        <v>0</v>
      </c>
      <c r="BD731" s="1949">
        <v>2500</v>
      </c>
      <c r="BE731" s="1948">
        <v>4608</v>
      </c>
      <c r="BF731" s="1949">
        <v>4608</v>
      </c>
      <c r="BG731" s="1949">
        <v>0.87170000000000003</v>
      </c>
      <c r="BH731" s="1949">
        <v>0.14000000000000001</v>
      </c>
      <c r="BI731" s="1948">
        <v>4680</v>
      </c>
      <c r="BJ731" s="1948">
        <f t="shared" si="192"/>
        <v>2057011</v>
      </c>
      <c r="BK731" s="1948">
        <f t="shared" si="193"/>
        <v>0</v>
      </c>
    </row>
    <row r="732" spans="1:63" ht="15">
      <c r="A732" s="1946">
        <v>611000000123</v>
      </c>
      <c r="B732" s="1947">
        <f t="shared" si="194"/>
        <v>30</v>
      </c>
      <c r="C732" s="1906" t="s">
        <v>716</v>
      </c>
      <c r="D732" s="1907" t="s">
        <v>524</v>
      </c>
      <c r="E732" s="1906" t="s">
        <v>709</v>
      </c>
      <c r="F732" s="1948" t="s">
        <v>259</v>
      </c>
      <c r="G732" s="1949">
        <v>2913</v>
      </c>
      <c r="H732" s="1948">
        <v>2913</v>
      </c>
      <c r="I732" s="1950">
        <v>499.2</v>
      </c>
      <c r="J732" s="1948">
        <v>2330.4</v>
      </c>
      <c r="K732" s="1948">
        <v>0.99409999999999998</v>
      </c>
      <c r="L732" s="1948">
        <v>2.86</v>
      </c>
      <c r="M732" s="1948">
        <v>10290</v>
      </c>
      <c r="N732" s="1948">
        <f t="shared" si="180"/>
        <v>215654</v>
      </c>
      <c r="O732" s="1948">
        <f t="shared" si="181"/>
        <v>0</v>
      </c>
      <c r="P732" s="1948">
        <v>2913</v>
      </c>
      <c r="Q732" s="1948">
        <v>496.8</v>
      </c>
      <c r="R732" s="1948">
        <v>2330.4</v>
      </c>
      <c r="S732" s="1948">
        <v>1</v>
      </c>
      <c r="T732" s="1948">
        <v>3.03</v>
      </c>
      <c r="U732" s="1948">
        <v>11190</v>
      </c>
      <c r="V732" s="1948">
        <f t="shared" si="182"/>
        <v>221772</v>
      </c>
      <c r="W732" s="1948">
        <f t="shared" si="183"/>
        <v>0</v>
      </c>
      <c r="X732" s="1948">
        <v>2913</v>
      </c>
      <c r="Y732" s="1948">
        <v>26.400000000000002</v>
      </c>
      <c r="Z732" s="1948">
        <v>2330.4</v>
      </c>
      <c r="AA732" s="1948">
        <v>1</v>
      </c>
      <c r="AB732" s="1948">
        <v>41.67</v>
      </c>
      <c r="AC732" s="1948">
        <v>7920</v>
      </c>
      <c r="AD732" s="1948">
        <f t="shared" si="184"/>
        <v>11405</v>
      </c>
      <c r="AE732" s="1948">
        <f t="shared" si="185"/>
        <v>0</v>
      </c>
      <c r="AF732" s="1948">
        <v>2913</v>
      </c>
      <c r="AG732" s="1948">
        <v>1060.8000000000002</v>
      </c>
      <c r="AH732" s="1948">
        <v>2330.4</v>
      </c>
      <c r="AI732" s="1948">
        <v>0.95330000000000004</v>
      </c>
      <c r="AJ732" s="1948">
        <v>1.47</v>
      </c>
      <c r="AK732" s="1948">
        <v>11580</v>
      </c>
      <c r="AL732" s="1948">
        <f t="shared" si="186"/>
        <v>473541</v>
      </c>
      <c r="AM732" s="1948">
        <f t="shared" si="187"/>
        <v>0</v>
      </c>
      <c r="AN732" s="1948">
        <v>2913</v>
      </c>
      <c r="AO732" s="1948">
        <v>1113.5999999999999</v>
      </c>
      <c r="AP732" s="1948">
        <v>2330.4</v>
      </c>
      <c r="AQ732" s="1948">
        <v>0.98660000000000003</v>
      </c>
      <c r="AR732" s="1948">
        <v>2.44</v>
      </c>
      <c r="AS732" s="1948">
        <v>20190</v>
      </c>
      <c r="AT732" s="1948">
        <f t="shared" si="188"/>
        <v>497111</v>
      </c>
      <c r="AU732" s="1948">
        <f t="shared" si="189"/>
        <v>0</v>
      </c>
      <c r="AV732" s="1948">
        <v>2913</v>
      </c>
      <c r="AW732" s="1948">
        <v>974.4</v>
      </c>
      <c r="AX732" s="1948">
        <v>2330.4</v>
      </c>
      <c r="AY732" s="1948">
        <v>0.98619999999999997</v>
      </c>
      <c r="AZ732" s="1948">
        <v>3.1</v>
      </c>
      <c r="BA732" s="1948">
        <v>21750</v>
      </c>
      <c r="BB732" s="1948">
        <f t="shared" si="190"/>
        <v>420941</v>
      </c>
      <c r="BC732" s="1948">
        <f t="shared" si="191"/>
        <v>0</v>
      </c>
      <c r="BD732" s="1949">
        <v>2913</v>
      </c>
      <c r="BE732" s="1948">
        <v>1120.8</v>
      </c>
      <c r="BF732" s="1949">
        <v>2330.4</v>
      </c>
      <c r="BG732" s="1949">
        <v>0.97750000000000004</v>
      </c>
      <c r="BH732" s="1949">
        <v>16.010000000000002</v>
      </c>
      <c r="BI732" s="1948">
        <v>133530</v>
      </c>
      <c r="BJ732" s="1948">
        <f t="shared" si="192"/>
        <v>500325</v>
      </c>
      <c r="BK732" s="1948">
        <f t="shared" si="193"/>
        <v>0</v>
      </c>
    </row>
    <row r="733" spans="1:63" ht="15">
      <c r="A733" s="1946">
        <v>122000000005</v>
      </c>
      <c r="B733" s="1947">
        <f t="shared" si="194"/>
        <v>31</v>
      </c>
      <c r="C733" s="1906" t="s">
        <v>635</v>
      </c>
      <c r="D733" s="1907" t="s">
        <v>524</v>
      </c>
      <c r="E733" s="1906" t="s">
        <v>636</v>
      </c>
      <c r="F733" s="1948" t="s">
        <v>259</v>
      </c>
      <c r="G733" s="1949">
        <v>3000</v>
      </c>
      <c r="H733" s="1948">
        <v>3000</v>
      </c>
      <c r="I733" s="1950">
        <v>3160.8</v>
      </c>
      <c r="J733" s="1948">
        <v>3160.8</v>
      </c>
      <c r="K733" s="1948">
        <v>0.98960000000000004</v>
      </c>
      <c r="L733" s="1948">
        <v>33.43</v>
      </c>
      <c r="M733" s="1948">
        <v>760710</v>
      </c>
      <c r="N733" s="1948">
        <f t="shared" si="180"/>
        <v>1365466</v>
      </c>
      <c r="O733" s="1948">
        <f t="shared" si="181"/>
        <v>0</v>
      </c>
      <c r="P733" s="1948">
        <v>3000</v>
      </c>
      <c r="Q733" s="1948">
        <v>3266.4</v>
      </c>
      <c r="R733" s="1948">
        <v>3266.4</v>
      </c>
      <c r="S733" s="1948">
        <v>0.98540000000000005</v>
      </c>
      <c r="T733" s="1948">
        <v>40.049999999999997</v>
      </c>
      <c r="U733" s="1948">
        <v>973410</v>
      </c>
      <c r="V733" s="1948">
        <f t="shared" si="182"/>
        <v>1458121</v>
      </c>
      <c r="W733" s="1948">
        <f t="shared" si="183"/>
        <v>0</v>
      </c>
      <c r="X733" s="1948">
        <v>3000</v>
      </c>
      <c r="Y733" s="1948">
        <v>3372.0000000000005</v>
      </c>
      <c r="Z733" s="1948">
        <v>3372</v>
      </c>
      <c r="AA733" s="1948">
        <v>0.98309999999999997</v>
      </c>
      <c r="AB733" s="1948">
        <v>40.21</v>
      </c>
      <c r="AC733" s="1948">
        <v>976230</v>
      </c>
      <c r="AD733" s="1948">
        <f t="shared" si="184"/>
        <v>1456704</v>
      </c>
      <c r="AE733" s="1948">
        <f t="shared" si="185"/>
        <v>0</v>
      </c>
      <c r="AF733" s="1948">
        <v>3000</v>
      </c>
      <c r="AG733" s="1948">
        <v>3271.2000000000003</v>
      </c>
      <c r="AH733" s="1948">
        <v>3271.2</v>
      </c>
      <c r="AI733" s="1948">
        <v>0.98160000000000003</v>
      </c>
      <c r="AJ733" s="1948">
        <v>41.85</v>
      </c>
      <c r="AK733" s="1948">
        <v>1018620</v>
      </c>
      <c r="AL733" s="1948">
        <f t="shared" si="186"/>
        <v>1460264</v>
      </c>
      <c r="AM733" s="1948">
        <f t="shared" si="187"/>
        <v>0</v>
      </c>
      <c r="AN733" s="1948">
        <v>3000</v>
      </c>
      <c r="AO733" s="1948">
        <v>3288.0000000000005</v>
      </c>
      <c r="AP733" s="1948">
        <v>3288</v>
      </c>
      <c r="AQ733" s="1948">
        <v>0.98019999999999996</v>
      </c>
      <c r="AR733" s="1948">
        <v>38.39</v>
      </c>
      <c r="AS733" s="1948">
        <v>939210</v>
      </c>
      <c r="AT733" s="1948">
        <f t="shared" si="188"/>
        <v>1467763</v>
      </c>
      <c r="AU733" s="1948">
        <f t="shared" si="189"/>
        <v>0</v>
      </c>
      <c r="AV733" s="1948">
        <v>3000</v>
      </c>
      <c r="AW733" s="1948">
        <v>3326.4</v>
      </c>
      <c r="AX733" s="1948">
        <v>3326.4</v>
      </c>
      <c r="AY733" s="1948">
        <v>0.98080000000000001</v>
      </c>
      <c r="AZ733" s="1948">
        <v>32.17</v>
      </c>
      <c r="BA733" s="1948">
        <v>770430</v>
      </c>
      <c r="BB733" s="1948">
        <f t="shared" si="190"/>
        <v>1437005</v>
      </c>
      <c r="BC733" s="1948">
        <f t="shared" si="191"/>
        <v>0</v>
      </c>
      <c r="BD733" s="1949">
        <v>3000</v>
      </c>
      <c r="BE733" s="1948">
        <v>3093.6</v>
      </c>
      <c r="BF733" s="1949">
        <v>3093.6</v>
      </c>
      <c r="BG733" s="1949">
        <v>0.98299999999999998</v>
      </c>
      <c r="BH733" s="1949">
        <v>34.04</v>
      </c>
      <c r="BI733" s="1948">
        <v>783420</v>
      </c>
      <c r="BJ733" s="1948">
        <f t="shared" si="192"/>
        <v>1380983</v>
      </c>
      <c r="BK733" s="1948">
        <f t="shared" si="193"/>
        <v>0</v>
      </c>
    </row>
    <row r="734" spans="1:63" ht="15">
      <c r="A734" s="1946">
        <v>126000000034</v>
      </c>
      <c r="B734" s="1947">
        <f t="shared" si="194"/>
        <v>32</v>
      </c>
      <c r="C734" s="1906" t="s">
        <v>626</v>
      </c>
      <c r="D734" s="1907" t="s">
        <v>524</v>
      </c>
      <c r="E734" s="1906" t="s">
        <v>623</v>
      </c>
      <c r="F734" s="1948" t="s">
        <v>259</v>
      </c>
      <c r="G734" s="1949">
        <v>3000</v>
      </c>
      <c r="H734" s="1948">
        <v>3000</v>
      </c>
      <c r="I734" s="1950">
        <v>1855.1999999999998</v>
      </c>
      <c r="J734" s="1948">
        <v>3000</v>
      </c>
      <c r="K734" s="1948">
        <v>0.99770000000000003</v>
      </c>
      <c r="L734" s="1948">
        <v>0</v>
      </c>
      <c r="M734" s="1948">
        <v>646590</v>
      </c>
      <c r="N734" s="1948">
        <f t="shared" si="180"/>
        <v>801446</v>
      </c>
      <c r="O734" s="1948">
        <f t="shared" si="181"/>
        <v>0</v>
      </c>
      <c r="P734" s="1948">
        <v>3000</v>
      </c>
      <c r="Q734" s="1948">
        <v>2524.8000000000002</v>
      </c>
      <c r="R734" s="1948">
        <v>3000</v>
      </c>
      <c r="S734" s="1948">
        <v>0.98350000000000004</v>
      </c>
      <c r="T734" s="1948">
        <v>0</v>
      </c>
      <c r="U734" s="1948">
        <v>1176420</v>
      </c>
      <c r="V734" s="1948">
        <f t="shared" si="182"/>
        <v>1127071</v>
      </c>
      <c r="W734" s="1948">
        <f t="shared" si="183"/>
        <v>49349</v>
      </c>
      <c r="X734" s="1948">
        <v>3000</v>
      </c>
      <c r="Y734" s="1948">
        <v>2452.8000000000002</v>
      </c>
      <c r="Z734" s="1948">
        <v>3000</v>
      </c>
      <c r="AA734" s="1948">
        <v>0.98560000000000003</v>
      </c>
      <c r="AB734" s="1948">
        <v>0</v>
      </c>
      <c r="AC734" s="1948">
        <v>1158810</v>
      </c>
      <c r="AD734" s="1948">
        <f t="shared" si="184"/>
        <v>1059610</v>
      </c>
      <c r="AE734" s="1948">
        <f t="shared" si="185"/>
        <v>99200</v>
      </c>
      <c r="AF734" s="1948">
        <v>3000</v>
      </c>
      <c r="AG734" s="1948">
        <v>2484</v>
      </c>
      <c r="AH734" s="1948">
        <v>3000</v>
      </c>
      <c r="AI734" s="1948">
        <v>0.99019999999999997</v>
      </c>
      <c r="AJ734" s="1948">
        <v>0</v>
      </c>
      <c r="AK734" s="1948">
        <v>1303740</v>
      </c>
      <c r="AL734" s="1948">
        <f t="shared" si="186"/>
        <v>1108858</v>
      </c>
      <c r="AM734" s="1948">
        <f t="shared" si="187"/>
        <v>194882</v>
      </c>
      <c r="AN734" s="1948">
        <v>3000</v>
      </c>
      <c r="AO734" s="1948">
        <v>2395.1999999999998</v>
      </c>
      <c r="AP734" s="1948">
        <v>3000</v>
      </c>
      <c r="AQ734" s="1948">
        <v>0.99309999999999998</v>
      </c>
      <c r="AR734" s="1948">
        <v>0</v>
      </c>
      <c r="AS734" s="1948">
        <v>1106160</v>
      </c>
      <c r="AT734" s="1948">
        <f t="shared" si="188"/>
        <v>1069217</v>
      </c>
      <c r="AU734" s="1948">
        <f t="shared" si="189"/>
        <v>36943</v>
      </c>
      <c r="AV734" s="1948">
        <v>3000</v>
      </c>
      <c r="AW734" s="1948">
        <v>2092.8000000000002</v>
      </c>
      <c r="AX734" s="1948">
        <v>3000</v>
      </c>
      <c r="AY734" s="1948">
        <v>0.99650000000000005</v>
      </c>
      <c r="AZ734" s="1948">
        <v>0</v>
      </c>
      <c r="BA734" s="1948">
        <v>850830</v>
      </c>
      <c r="BB734" s="1948">
        <f t="shared" si="190"/>
        <v>904090</v>
      </c>
      <c r="BC734" s="1948">
        <f t="shared" si="191"/>
        <v>0</v>
      </c>
      <c r="BD734" s="1949">
        <v>3000</v>
      </c>
      <c r="BE734" s="1948">
        <v>1836</v>
      </c>
      <c r="BF734" s="1949">
        <v>3000</v>
      </c>
      <c r="BG734" s="1949">
        <v>0.99560000000000004</v>
      </c>
      <c r="BH734" s="1949">
        <v>0</v>
      </c>
      <c r="BI734" s="1948">
        <v>762060</v>
      </c>
      <c r="BJ734" s="1948">
        <f t="shared" si="192"/>
        <v>819590</v>
      </c>
      <c r="BK734" s="1948">
        <f t="shared" si="193"/>
        <v>0</v>
      </c>
    </row>
    <row r="735" spans="1:63" ht="15">
      <c r="A735" s="1946">
        <v>125000000048</v>
      </c>
      <c r="B735" s="1947">
        <f t="shared" si="194"/>
        <v>33</v>
      </c>
      <c r="C735" s="1906" t="s">
        <v>658</v>
      </c>
      <c r="D735" s="1907" t="s">
        <v>524</v>
      </c>
      <c r="E735" s="1906" t="s">
        <v>541</v>
      </c>
      <c r="F735" s="1948" t="s">
        <v>259</v>
      </c>
      <c r="G735" s="1949">
        <v>3500</v>
      </c>
      <c r="H735" s="1948">
        <v>3500</v>
      </c>
      <c r="I735" s="1950">
        <v>1272</v>
      </c>
      <c r="J735" s="1948">
        <v>2800</v>
      </c>
      <c r="K735" s="1948">
        <v>0.76659999999999995</v>
      </c>
      <c r="L735" s="1948">
        <v>12.47</v>
      </c>
      <c r="M735" s="1948">
        <v>133200</v>
      </c>
      <c r="N735" s="1948">
        <f t="shared" si="180"/>
        <v>549504</v>
      </c>
      <c r="O735" s="1948">
        <f t="shared" si="181"/>
        <v>0</v>
      </c>
      <c r="P735" s="1948">
        <v>3500</v>
      </c>
      <c r="Q735" s="1948">
        <v>1032</v>
      </c>
      <c r="R735" s="1948">
        <v>2800</v>
      </c>
      <c r="S735" s="1948">
        <v>0.6593</v>
      </c>
      <c r="T735" s="1948">
        <v>13.7</v>
      </c>
      <c r="U735" s="1948">
        <v>91590</v>
      </c>
      <c r="V735" s="1948">
        <f t="shared" si="182"/>
        <v>460685</v>
      </c>
      <c r="W735" s="1948">
        <f t="shared" si="183"/>
        <v>0</v>
      </c>
      <c r="X735" s="1948">
        <v>3500</v>
      </c>
      <c r="Y735" s="1948">
        <v>1269.6000000000001</v>
      </c>
      <c r="Z735" s="1948">
        <v>2800</v>
      </c>
      <c r="AA735" s="1948">
        <v>0.76849999999999996</v>
      </c>
      <c r="AB735" s="1948">
        <v>20.43</v>
      </c>
      <c r="AC735" s="1948">
        <v>192960</v>
      </c>
      <c r="AD735" s="1948">
        <f t="shared" si="184"/>
        <v>548467</v>
      </c>
      <c r="AE735" s="1948">
        <f t="shared" si="185"/>
        <v>0</v>
      </c>
      <c r="AF735" s="1948">
        <v>3500</v>
      </c>
      <c r="AG735" s="1948">
        <v>1231.2</v>
      </c>
      <c r="AH735" s="1948">
        <v>2800</v>
      </c>
      <c r="AI735" s="1948">
        <v>0.77569999999999995</v>
      </c>
      <c r="AJ735" s="1948">
        <v>28.71</v>
      </c>
      <c r="AK735" s="1948">
        <v>288390</v>
      </c>
      <c r="AL735" s="1948">
        <f t="shared" si="186"/>
        <v>549608</v>
      </c>
      <c r="AM735" s="1948">
        <f t="shared" si="187"/>
        <v>0</v>
      </c>
      <c r="AN735" s="1948">
        <v>3500</v>
      </c>
      <c r="AO735" s="1948">
        <v>1252.8000000000002</v>
      </c>
      <c r="AP735" s="1948">
        <v>2800</v>
      </c>
      <c r="AQ735" s="1948">
        <v>0.91249999999999998</v>
      </c>
      <c r="AR735" s="1948">
        <v>21.41</v>
      </c>
      <c r="AS735" s="1948">
        <v>212430</v>
      </c>
      <c r="AT735" s="1948">
        <f t="shared" si="188"/>
        <v>559250</v>
      </c>
      <c r="AU735" s="1948">
        <f t="shared" si="189"/>
        <v>0</v>
      </c>
      <c r="AV735" s="1948">
        <v>3500</v>
      </c>
      <c r="AW735" s="1948">
        <v>1036.8</v>
      </c>
      <c r="AX735" s="1948">
        <v>2800</v>
      </c>
      <c r="AY735" s="1948">
        <v>0.92879999999999996</v>
      </c>
      <c r="AZ735" s="1948">
        <v>8.52</v>
      </c>
      <c r="BA735" s="1948">
        <v>63630</v>
      </c>
      <c r="BB735" s="1948">
        <f t="shared" si="190"/>
        <v>447898</v>
      </c>
      <c r="BC735" s="1948">
        <f t="shared" si="191"/>
        <v>0</v>
      </c>
      <c r="BD735" s="1949">
        <v>3500</v>
      </c>
      <c r="BE735" s="1948">
        <v>1125.5999999999999</v>
      </c>
      <c r="BF735" s="1949">
        <v>2800</v>
      </c>
      <c r="BG735" s="1949">
        <v>0.93640000000000001</v>
      </c>
      <c r="BH735" s="1949">
        <v>20.23</v>
      </c>
      <c r="BI735" s="1948">
        <v>169410</v>
      </c>
      <c r="BJ735" s="1948">
        <f t="shared" si="192"/>
        <v>502468</v>
      </c>
      <c r="BK735" s="1948">
        <f t="shared" si="193"/>
        <v>0</v>
      </c>
    </row>
    <row r="736" spans="1:63" ht="15">
      <c r="A736" s="1946">
        <v>621000000070</v>
      </c>
      <c r="B736" s="1947">
        <f t="shared" si="194"/>
        <v>34</v>
      </c>
      <c r="C736" s="1906" t="s">
        <v>736</v>
      </c>
      <c r="D736" s="1907" t="s">
        <v>524</v>
      </c>
      <c r="E736" s="1906" t="s">
        <v>737</v>
      </c>
      <c r="F736" s="1948" t="s">
        <v>259</v>
      </c>
      <c r="G736" s="1949">
        <v>3500</v>
      </c>
      <c r="H736" s="1948">
        <v>3500</v>
      </c>
      <c r="I736" s="1950">
        <v>751.2</v>
      </c>
      <c r="J736" s="1948">
        <v>2800</v>
      </c>
      <c r="K736" s="1948">
        <v>0.90359999999999996</v>
      </c>
      <c r="L736" s="1948">
        <v>6.91</v>
      </c>
      <c r="M736" s="1948">
        <v>7470</v>
      </c>
      <c r="N736" s="1948">
        <f t="shared" si="180"/>
        <v>324518</v>
      </c>
      <c r="O736" s="1948">
        <f t="shared" si="181"/>
        <v>0</v>
      </c>
      <c r="P736" s="1948">
        <v>3500</v>
      </c>
      <c r="Q736" s="1948">
        <v>465.6</v>
      </c>
      <c r="R736" s="1948">
        <v>2800</v>
      </c>
      <c r="S736" s="1948">
        <v>0.97230000000000005</v>
      </c>
      <c r="T736" s="1948">
        <v>17.18</v>
      </c>
      <c r="U736" s="1948">
        <v>57600</v>
      </c>
      <c r="V736" s="1948">
        <f t="shared" si="182"/>
        <v>207844</v>
      </c>
      <c r="W736" s="1948">
        <f t="shared" si="183"/>
        <v>0</v>
      </c>
      <c r="X736" s="1948">
        <v>3500</v>
      </c>
      <c r="Y736" s="1948">
        <v>504.00000000000006</v>
      </c>
      <c r="Z736" s="1948">
        <v>2800</v>
      </c>
      <c r="AA736" s="1948">
        <v>0.95779999999999998</v>
      </c>
      <c r="AB736" s="1948">
        <v>19.61</v>
      </c>
      <c r="AC736" s="1948">
        <v>71160</v>
      </c>
      <c r="AD736" s="1948">
        <f t="shared" si="184"/>
        <v>217728</v>
      </c>
      <c r="AE736" s="1948">
        <f t="shared" si="185"/>
        <v>0</v>
      </c>
      <c r="AF736" s="1948">
        <v>3500</v>
      </c>
      <c r="AG736" s="1948">
        <v>506.40000000000003</v>
      </c>
      <c r="AH736" s="1948">
        <v>2800</v>
      </c>
      <c r="AI736" s="1948">
        <v>0.96289999999999998</v>
      </c>
      <c r="AJ736" s="1948">
        <v>18.62</v>
      </c>
      <c r="AK736" s="1948">
        <v>76950</v>
      </c>
      <c r="AL736" s="1948">
        <f t="shared" si="186"/>
        <v>226057</v>
      </c>
      <c r="AM736" s="1948">
        <f t="shared" si="187"/>
        <v>0</v>
      </c>
      <c r="AN736" s="1948">
        <v>3500</v>
      </c>
      <c r="AO736" s="1948">
        <v>530.40000000000009</v>
      </c>
      <c r="AP736" s="1948">
        <v>2800</v>
      </c>
      <c r="AQ736" s="1948">
        <v>0.97719999999999996</v>
      </c>
      <c r="AR736" s="1948">
        <v>17.02</v>
      </c>
      <c r="AS736" s="1948">
        <v>67170</v>
      </c>
      <c r="AT736" s="1948">
        <f t="shared" si="188"/>
        <v>236771</v>
      </c>
      <c r="AU736" s="1948">
        <f t="shared" si="189"/>
        <v>0</v>
      </c>
      <c r="AV736" s="1948">
        <v>3500</v>
      </c>
      <c r="AW736" s="1948">
        <v>494.40000000000003</v>
      </c>
      <c r="AX736" s="1948">
        <v>2800</v>
      </c>
      <c r="AY736" s="1948">
        <v>0.97460000000000002</v>
      </c>
      <c r="AZ736" s="1948">
        <v>16.93</v>
      </c>
      <c r="BA736" s="1948">
        <v>60270</v>
      </c>
      <c r="BB736" s="1948">
        <f t="shared" si="190"/>
        <v>213581</v>
      </c>
      <c r="BC736" s="1948">
        <f t="shared" si="191"/>
        <v>0</v>
      </c>
      <c r="BD736" s="1949">
        <v>3500</v>
      </c>
      <c r="BE736" s="1948">
        <v>523.20000000000005</v>
      </c>
      <c r="BF736" s="1949">
        <v>2800</v>
      </c>
      <c r="BG736" s="1949">
        <v>0.97599999999999998</v>
      </c>
      <c r="BH736" s="1949">
        <v>17.37</v>
      </c>
      <c r="BI736" s="1948">
        <v>67620</v>
      </c>
      <c r="BJ736" s="1948">
        <f t="shared" si="192"/>
        <v>233556</v>
      </c>
      <c r="BK736" s="1948">
        <f t="shared" si="193"/>
        <v>0</v>
      </c>
    </row>
    <row r="737" spans="1:63" ht="15">
      <c r="A737" s="1946">
        <v>124000000075</v>
      </c>
      <c r="B737" s="1947">
        <f t="shared" si="194"/>
        <v>35</v>
      </c>
      <c r="C737" s="1906" t="s">
        <v>708</v>
      </c>
      <c r="D737" s="1907" t="s">
        <v>524</v>
      </c>
      <c r="E737" s="1906" t="s">
        <v>709</v>
      </c>
      <c r="F737" s="1948" t="s">
        <v>259</v>
      </c>
      <c r="G737" s="1949">
        <v>3629</v>
      </c>
      <c r="H737" s="1948">
        <v>3629</v>
      </c>
      <c r="I737" s="1950">
        <v>432</v>
      </c>
      <c r="J737" s="1948">
        <v>2903.2</v>
      </c>
      <c r="K737" s="1948">
        <v>0.95199999999999996</v>
      </c>
      <c r="L737" s="1948">
        <v>7.04</v>
      </c>
      <c r="M737" s="1948">
        <v>21900</v>
      </c>
      <c r="N737" s="1948">
        <f t="shared" si="180"/>
        <v>186624</v>
      </c>
      <c r="O737" s="1948">
        <f t="shared" si="181"/>
        <v>0</v>
      </c>
      <c r="P737" s="1948">
        <v>3629</v>
      </c>
      <c r="Q737" s="1948">
        <v>426</v>
      </c>
      <c r="R737" s="1948">
        <v>2903.2</v>
      </c>
      <c r="S737" s="1948">
        <v>0.98950000000000005</v>
      </c>
      <c r="T737" s="1948">
        <v>2.73</v>
      </c>
      <c r="U737" s="1948">
        <v>8640</v>
      </c>
      <c r="V737" s="1948">
        <f t="shared" si="182"/>
        <v>190166</v>
      </c>
      <c r="W737" s="1948">
        <f t="shared" si="183"/>
        <v>0</v>
      </c>
      <c r="X737" s="1948">
        <v>3629</v>
      </c>
      <c r="Y737" s="1948">
        <v>546</v>
      </c>
      <c r="Z737" s="1948">
        <v>2903.2</v>
      </c>
      <c r="AA737" s="1948">
        <v>0.97</v>
      </c>
      <c r="AB737" s="1948">
        <v>2.04</v>
      </c>
      <c r="AC737" s="1948">
        <v>8010</v>
      </c>
      <c r="AD737" s="1948">
        <f t="shared" si="184"/>
        <v>235872</v>
      </c>
      <c r="AE737" s="1948">
        <f t="shared" si="185"/>
        <v>0</v>
      </c>
      <c r="AF737" s="1948">
        <v>3629</v>
      </c>
      <c r="AG737" s="1948">
        <v>1758</v>
      </c>
      <c r="AH737" s="1948">
        <v>2903.2</v>
      </c>
      <c r="AI737" s="1948">
        <v>0.99539999999999995</v>
      </c>
      <c r="AJ737" s="1948">
        <v>4.01</v>
      </c>
      <c r="AK737" s="1948">
        <v>52440</v>
      </c>
      <c r="AL737" s="1948">
        <f t="shared" si="186"/>
        <v>784771</v>
      </c>
      <c r="AM737" s="1948">
        <f t="shared" si="187"/>
        <v>0</v>
      </c>
      <c r="AN737" s="1948">
        <v>3629</v>
      </c>
      <c r="AO737" s="1948">
        <v>1308</v>
      </c>
      <c r="AP737" s="1948">
        <v>2903.2</v>
      </c>
      <c r="AQ737" s="1948">
        <v>0.99909999999999999</v>
      </c>
      <c r="AR737" s="1948">
        <v>7.19</v>
      </c>
      <c r="AS737" s="1948">
        <v>69990</v>
      </c>
      <c r="AT737" s="1948">
        <f t="shared" si="188"/>
        <v>583891</v>
      </c>
      <c r="AU737" s="1948">
        <f t="shared" si="189"/>
        <v>0</v>
      </c>
      <c r="AV737" s="1948">
        <v>3629</v>
      </c>
      <c r="AW737" s="1948">
        <v>936</v>
      </c>
      <c r="AX737" s="1948">
        <v>2903.2</v>
      </c>
      <c r="AY737" s="1948">
        <v>0.99870000000000003</v>
      </c>
      <c r="AZ737" s="1948">
        <v>7.4</v>
      </c>
      <c r="BA737" s="1948">
        <v>49860</v>
      </c>
      <c r="BB737" s="1948">
        <f t="shared" si="190"/>
        <v>404352</v>
      </c>
      <c r="BC737" s="1948">
        <f t="shared" si="191"/>
        <v>0</v>
      </c>
      <c r="BD737" s="1949">
        <v>3629</v>
      </c>
      <c r="BE737" s="1948">
        <v>396</v>
      </c>
      <c r="BF737" s="1949">
        <v>2903.2</v>
      </c>
      <c r="BG737" s="1949">
        <v>1</v>
      </c>
      <c r="BH737" s="1949">
        <v>13.6</v>
      </c>
      <c r="BI737" s="1948">
        <v>40080</v>
      </c>
      <c r="BJ737" s="1948">
        <f t="shared" si="192"/>
        <v>176774</v>
      </c>
      <c r="BK737" s="1948">
        <f t="shared" si="193"/>
        <v>0</v>
      </c>
    </row>
    <row r="738" spans="1:63" ht="15">
      <c r="A738" s="1946">
        <v>125000000047</v>
      </c>
      <c r="B738" s="1947">
        <f t="shared" si="194"/>
        <v>36</v>
      </c>
      <c r="C738" s="1906" t="s">
        <v>708</v>
      </c>
      <c r="D738" s="1907" t="s">
        <v>524</v>
      </c>
      <c r="E738" s="1906" t="s">
        <v>709</v>
      </c>
      <c r="F738" s="1948" t="s">
        <v>259</v>
      </c>
      <c r="G738" s="1949">
        <v>3928</v>
      </c>
      <c r="H738" s="1948">
        <v>3928</v>
      </c>
      <c r="I738" s="1950">
        <v>33.6</v>
      </c>
      <c r="J738" s="1948">
        <v>3142.4</v>
      </c>
      <c r="K738" s="1948">
        <v>1</v>
      </c>
      <c r="L738" s="1948">
        <v>11.78</v>
      </c>
      <c r="M738" s="1948">
        <v>2850</v>
      </c>
      <c r="N738" s="1948">
        <f t="shared" si="180"/>
        <v>14515</v>
      </c>
      <c r="O738" s="1948">
        <f t="shared" si="181"/>
        <v>0</v>
      </c>
      <c r="P738" s="1948">
        <v>3928</v>
      </c>
      <c r="Q738" s="1948">
        <v>12</v>
      </c>
      <c r="R738" s="1948">
        <v>3142.4</v>
      </c>
      <c r="S738" s="1948">
        <v>1</v>
      </c>
      <c r="T738" s="1948">
        <v>31.59</v>
      </c>
      <c r="U738" s="1948">
        <v>2820</v>
      </c>
      <c r="V738" s="1948">
        <f t="shared" si="182"/>
        <v>5357</v>
      </c>
      <c r="W738" s="1948">
        <f t="shared" si="183"/>
        <v>0</v>
      </c>
      <c r="X738" s="1948">
        <v>3928</v>
      </c>
      <c r="Y738" s="1948">
        <v>9.6</v>
      </c>
      <c r="Z738" s="1948">
        <v>3142.4</v>
      </c>
      <c r="AA738" s="1948">
        <v>1</v>
      </c>
      <c r="AB738" s="1948">
        <v>56.42</v>
      </c>
      <c r="AC738" s="1948">
        <v>3900</v>
      </c>
      <c r="AD738" s="1948">
        <f t="shared" si="184"/>
        <v>4147</v>
      </c>
      <c r="AE738" s="1948">
        <f t="shared" si="185"/>
        <v>0</v>
      </c>
      <c r="AF738" s="1948">
        <v>3928</v>
      </c>
      <c r="AG738" s="1948">
        <v>405.59999999999997</v>
      </c>
      <c r="AH738" s="1948">
        <v>3142.4</v>
      </c>
      <c r="AI738" s="1948">
        <v>0.98750000000000004</v>
      </c>
      <c r="AJ738" s="1948">
        <v>2.4</v>
      </c>
      <c r="AK738" s="1948">
        <v>7230</v>
      </c>
      <c r="AL738" s="1948">
        <f t="shared" si="186"/>
        <v>181060</v>
      </c>
      <c r="AM738" s="1948">
        <f t="shared" si="187"/>
        <v>0</v>
      </c>
      <c r="AN738" s="1948">
        <v>3928</v>
      </c>
      <c r="AO738" s="1948">
        <v>607.20000000000005</v>
      </c>
      <c r="AP738" s="1948">
        <v>3142.4</v>
      </c>
      <c r="AQ738" s="1948">
        <v>0.98740000000000006</v>
      </c>
      <c r="AR738" s="1948">
        <v>2.64</v>
      </c>
      <c r="AS738" s="1948">
        <v>11910</v>
      </c>
      <c r="AT738" s="1948">
        <f t="shared" si="188"/>
        <v>271054</v>
      </c>
      <c r="AU738" s="1948">
        <f t="shared" si="189"/>
        <v>0</v>
      </c>
      <c r="AV738" s="1948">
        <v>3928</v>
      </c>
      <c r="AW738" s="1948">
        <v>1101.6000000000001</v>
      </c>
      <c r="AX738" s="1948">
        <v>3142.4</v>
      </c>
      <c r="AY738" s="1948">
        <v>0.99390000000000001</v>
      </c>
      <c r="AZ738" s="1948">
        <v>5.59</v>
      </c>
      <c r="BA738" s="1948">
        <v>44340</v>
      </c>
      <c r="BB738" s="1948">
        <f t="shared" si="190"/>
        <v>475891</v>
      </c>
      <c r="BC738" s="1948">
        <f t="shared" si="191"/>
        <v>0</v>
      </c>
      <c r="BD738" s="1949">
        <v>3928</v>
      </c>
      <c r="BE738" s="1948">
        <v>976.8</v>
      </c>
      <c r="BF738" s="1949">
        <v>3142.4</v>
      </c>
      <c r="BG738" s="1949">
        <v>0.99639999999999995</v>
      </c>
      <c r="BH738" s="1949">
        <v>1.1499999999999999</v>
      </c>
      <c r="BI738" s="1948">
        <v>8370</v>
      </c>
      <c r="BJ738" s="1948">
        <f t="shared" si="192"/>
        <v>436044</v>
      </c>
      <c r="BK738" s="1948">
        <f t="shared" si="193"/>
        <v>0</v>
      </c>
    </row>
    <row r="739" spans="1:63" ht="15">
      <c r="A739" s="1946">
        <v>611000000113</v>
      </c>
      <c r="B739" s="1947">
        <f t="shared" si="194"/>
        <v>37</v>
      </c>
      <c r="C739" s="1906" t="s">
        <v>550</v>
      </c>
      <c r="D739" s="1907" t="s">
        <v>524</v>
      </c>
      <c r="E739" s="1906" t="s">
        <v>541</v>
      </c>
      <c r="F739" s="1948" t="s">
        <v>271</v>
      </c>
      <c r="G739" s="1949">
        <v>4000</v>
      </c>
      <c r="H739" s="1948">
        <v>4000</v>
      </c>
      <c r="I739" s="1950">
        <v>4140</v>
      </c>
      <c r="J739" s="1948">
        <v>4140</v>
      </c>
      <c r="K739" s="1948">
        <v>0.91949999999999998</v>
      </c>
      <c r="L739" s="1948">
        <v>4.01</v>
      </c>
      <c r="M739" s="1948">
        <v>119400</v>
      </c>
      <c r="N739" s="1948">
        <f t="shared" si="180"/>
        <v>1788480</v>
      </c>
      <c r="O739" s="1948">
        <f t="shared" si="181"/>
        <v>0</v>
      </c>
      <c r="P739" s="1948">
        <v>4000</v>
      </c>
      <c r="Q739" s="1948">
        <v>1140</v>
      </c>
      <c r="R739" s="1948">
        <v>3200</v>
      </c>
      <c r="S739" s="1948">
        <v>0.85929999999999995</v>
      </c>
      <c r="T739" s="1948">
        <v>2.2599999999999998</v>
      </c>
      <c r="U739" s="1948">
        <v>19200</v>
      </c>
      <c r="V739" s="1948">
        <f t="shared" si="182"/>
        <v>508896</v>
      </c>
      <c r="W739" s="1948">
        <f t="shared" si="183"/>
        <v>0</v>
      </c>
      <c r="X739" s="1948">
        <v>4000</v>
      </c>
      <c r="Y739" s="1948">
        <v>3960</v>
      </c>
      <c r="Z739" s="1948">
        <v>3960</v>
      </c>
      <c r="AA739" s="1948">
        <v>0.82140000000000002</v>
      </c>
      <c r="AB739" s="1948">
        <v>2.06</v>
      </c>
      <c r="AC739" s="1948">
        <v>58800</v>
      </c>
      <c r="AD739" s="1948">
        <f t="shared" si="184"/>
        <v>1710720</v>
      </c>
      <c r="AE739" s="1948">
        <f t="shared" si="185"/>
        <v>0</v>
      </c>
      <c r="AF739" s="1948">
        <v>4000</v>
      </c>
      <c r="AG739" s="1948">
        <v>4800</v>
      </c>
      <c r="AH739" s="1948">
        <v>4800</v>
      </c>
      <c r="AI739" s="1948">
        <v>0.92</v>
      </c>
      <c r="AJ739" s="1948">
        <v>0.21</v>
      </c>
      <c r="AK739" s="1948">
        <v>7500</v>
      </c>
      <c r="AL739" s="1948">
        <f t="shared" si="186"/>
        <v>2142720</v>
      </c>
      <c r="AM739" s="1948">
        <f t="shared" si="187"/>
        <v>0</v>
      </c>
      <c r="AN739" s="1948">
        <v>4000</v>
      </c>
      <c r="AO739" s="1948">
        <v>3480</v>
      </c>
      <c r="AP739" s="1948">
        <v>3480</v>
      </c>
      <c r="AQ739" s="1948">
        <v>0.92849999999999999</v>
      </c>
      <c r="AR739" s="1948">
        <v>0.49</v>
      </c>
      <c r="AS739" s="1948">
        <v>12600</v>
      </c>
      <c r="AT739" s="1948">
        <f t="shared" si="188"/>
        <v>1553472</v>
      </c>
      <c r="AU739" s="1948">
        <f t="shared" si="189"/>
        <v>0</v>
      </c>
      <c r="AV739" s="1948">
        <v>4000</v>
      </c>
      <c r="AW739" s="1948">
        <v>3060</v>
      </c>
      <c r="AX739" s="1948">
        <v>3200</v>
      </c>
      <c r="AY739" s="1948">
        <v>0.88229999999999997</v>
      </c>
      <c r="AZ739" s="1948">
        <v>0.23</v>
      </c>
      <c r="BA739" s="1948">
        <v>5100</v>
      </c>
      <c r="BB739" s="1948">
        <f t="shared" si="190"/>
        <v>1321920</v>
      </c>
      <c r="BC739" s="1948">
        <f t="shared" si="191"/>
        <v>0</v>
      </c>
      <c r="BD739" s="1949">
        <v>4000</v>
      </c>
      <c r="BE739" s="1948">
        <v>3060</v>
      </c>
      <c r="BF739" s="1949">
        <v>3200</v>
      </c>
      <c r="BG739" s="1949">
        <v>1</v>
      </c>
      <c r="BH739" s="1949">
        <v>0.08</v>
      </c>
      <c r="BI739" s="1948">
        <v>1800</v>
      </c>
      <c r="BJ739" s="1948">
        <f t="shared" si="192"/>
        <v>1365984</v>
      </c>
      <c r="BK739" s="1948">
        <f t="shared" si="193"/>
        <v>0</v>
      </c>
    </row>
    <row r="740" spans="1:63" ht="15">
      <c r="A740" s="1946">
        <v>621000000005</v>
      </c>
      <c r="B740" s="1947">
        <f t="shared" si="194"/>
        <v>38</v>
      </c>
      <c r="C740" s="1906" t="s">
        <v>676</v>
      </c>
      <c r="D740" s="1907" t="s">
        <v>524</v>
      </c>
      <c r="E740" s="1906" t="s">
        <v>541</v>
      </c>
      <c r="F740" s="1948" t="s">
        <v>259</v>
      </c>
      <c r="G740" s="1949">
        <v>4000</v>
      </c>
      <c r="H740" s="1948">
        <v>4000</v>
      </c>
      <c r="I740" s="1950">
        <v>3407.9999999999995</v>
      </c>
      <c r="J740" s="1948">
        <v>3408</v>
      </c>
      <c r="K740" s="1948">
        <v>0.94569999999999999</v>
      </c>
      <c r="L740" s="1948">
        <v>5.05</v>
      </c>
      <c r="M740" s="1948">
        <v>123960</v>
      </c>
      <c r="N740" s="1948">
        <f t="shared" si="180"/>
        <v>1472256</v>
      </c>
      <c r="O740" s="1948">
        <f t="shared" si="181"/>
        <v>0</v>
      </c>
      <c r="P740" s="1948">
        <v>4000</v>
      </c>
      <c r="Q740" s="1948">
        <v>1574.4</v>
      </c>
      <c r="R740" s="1948">
        <v>3200</v>
      </c>
      <c r="S740" s="1948">
        <v>0.99060000000000004</v>
      </c>
      <c r="T740" s="1948">
        <v>31.77</v>
      </c>
      <c r="U740" s="1948">
        <v>372120</v>
      </c>
      <c r="V740" s="1948">
        <f t="shared" si="182"/>
        <v>702812</v>
      </c>
      <c r="W740" s="1948">
        <f t="shared" si="183"/>
        <v>0</v>
      </c>
      <c r="X740" s="1948">
        <v>4000</v>
      </c>
      <c r="Y740" s="1948">
        <v>3244.7999999999997</v>
      </c>
      <c r="Z740" s="1948">
        <v>3244.8</v>
      </c>
      <c r="AA740" s="1948">
        <v>0.93310000000000004</v>
      </c>
      <c r="AB740" s="1948">
        <v>5</v>
      </c>
      <c r="AC740" s="1948">
        <v>116760</v>
      </c>
      <c r="AD740" s="1948">
        <f t="shared" si="184"/>
        <v>1401754</v>
      </c>
      <c r="AE740" s="1948">
        <f t="shared" si="185"/>
        <v>0</v>
      </c>
      <c r="AF740" s="1948">
        <v>4000</v>
      </c>
      <c r="AG740" s="1948">
        <v>3350.4</v>
      </c>
      <c r="AH740" s="1948">
        <v>3350.4</v>
      </c>
      <c r="AI740" s="1948">
        <v>0.9284</v>
      </c>
      <c r="AJ740" s="1948">
        <v>2.29</v>
      </c>
      <c r="AK740" s="1948">
        <v>57000</v>
      </c>
      <c r="AL740" s="1948">
        <f t="shared" si="186"/>
        <v>1495619</v>
      </c>
      <c r="AM740" s="1948">
        <f t="shared" si="187"/>
        <v>0</v>
      </c>
      <c r="AN740" s="1948">
        <v>4000</v>
      </c>
      <c r="AO740" s="1948">
        <v>3657.6000000000004</v>
      </c>
      <c r="AP740" s="1948">
        <v>3657.6</v>
      </c>
      <c r="AQ740" s="1948">
        <v>0.92120000000000002</v>
      </c>
      <c r="AR740" s="1948">
        <v>6.05</v>
      </c>
      <c r="AS740" s="1948">
        <v>164640</v>
      </c>
      <c r="AT740" s="1948">
        <f t="shared" si="188"/>
        <v>1632753</v>
      </c>
      <c r="AU740" s="1948">
        <f t="shared" si="189"/>
        <v>0</v>
      </c>
      <c r="AV740" s="1948">
        <v>4000</v>
      </c>
      <c r="AW740" s="1948">
        <v>3552</v>
      </c>
      <c r="AX740" s="1948">
        <v>3552</v>
      </c>
      <c r="AY740" s="1948">
        <v>0.93330000000000002</v>
      </c>
      <c r="AZ740" s="1948">
        <v>15.27</v>
      </c>
      <c r="BA740" s="1948">
        <v>390600</v>
      </c>
      <c r="BB740" s="1948">
        <f t="shared" si="190"/>
        <v>1534464</v>
      </c>
      <c r="BC740" s="1948">
        <f t="shared" si="191"/>
        <v>0</v>
      </c>
      <c r="BD740" s="1949">
        <v>4000</v>
      </c>
      <c r="BE740" s="1948">
        <v>3225.6</v>
      </c>
      <c r="BF740" s="1949">
        <v>3225.6</v>
      </c>
      <c r="BG740" s="1949">
        <v>0.92569999999999997</v>
      </c>
      <c r="BH740" s="1949">
        <v>2.56</v>
      </c>
      <c r="BI740" s="1948">
        <v>61440</v>
      </c>
      <c r="BJ740" s="1948">
        <f t="shared" si="192"/>
        <v>1439908</v>
      </c>
      <c r="BK740" s="1948">
        <f t="shared" si="193"/>
        <v>0</v>
      </c>
    </row>
    <row r="741" spans="1:63" ht="15">
      <c r="A741" s="1946">
        <v>621000000071</v>
      </c>
      <c r="B741" s="1947">
        <f t="shared" si="194"/>
        <v>39</v>
      </c>
      <c r="C741" s="1906" t="s">
        <v>722</v>
      </c>
      <c r="D741" s="1907" t="s">
        <v>524</v>
      </c>
      <c r="E741" s="1906" t="s">
        <v>709</v>
      </c>
      <c r="F741" s="1948" t="s">
        <v>259</v>
      </c>
      <c r="G741" s="1949">
        <v>4206</v>
      </c>
      <c r="H741" s="1948">
        <v>4206</v>
      </c>
      <c r="I741" s="1950">
        <v>0</v>
      </c>
      <c r="J741" s="1948">
        <v>3364.8</v>
      </c>
      <c r="K741" s="1948">
        <v>0</v>
      </c>
      <c r="L741" s="1948">
        <v>0</v>
      </c>
      <c r="M741" s="1948">
        <v>0</v>
      </c>
      <c r="N741" s="1948">
        <f t="shared" si="180"/>
        <v>0</v>
      </c>
      <c r="O741" s="1948">
        <f t="shared" si="181"/>
        <v>0</v>
      </c>
      <c r="P741" s="1948">
        <v>4206</v>
      </c>
      <c r="Q741" s="1948">
        <v>62.4</v>
      </c>
      <c r="R741" s="1948">
        <v>3364.8</v>
      </c>
      <c r="S741" s="1948">
        <v>0.98299999999999998</v>
      </c>
      <c r="T741" s="1948">
        <v>4.22</v>
      </c>
      <c r="U741" s="1948">
        <v>1770</v>
      </c>
      <c r="V741" s="1948">
        <f t="shared" si="182"/>
        <v>27855</v>
      </c>
      <c r="W741" s="1948">
        <f t="shared" si="183"/>
        <v>0</v>
      </c>
      <c r="X741" s="1948">
        <v>4206</v>
      </c>
      <c r="Y741" s="1948">
        <v>76.8</v>
      </c>
      <c r="Z741" s="1948">
        <v>3364.8</v>
      </c>
      <c r="AA741" s="1948">
        <v>1</v>
      </c>
      <c r="AB741" s="1948">
        <v>6.9</v>
      </c>
      <c r="AC741" s="1948">
        <v>4200</v>
      </c>
      <c r="AD741" s="1948">
        <f t="shared" si="184"/>
        <v>33178</v>
      </c>
      <c r="AE741" s="1948">
        <f t="shared" si="185"/>
        <v>0</v>
      </c>
      <c r="AF741" s="1948">
        <v>4206</v>
      </c>
      <c r="AG741" s="1948">
        <v>768</v>
      </c>
      <c r="AH741" s="1948">
        <v>3364.8</v>
      </c>
      <c r="AI741" s="1948">
        <v>0.97589999999999999</v>
      </c>
      <c r="AJ741" s="1948">
        <v>4.37</v>
      </c>
      <c r="AK741" s="1948">
        <v>2490</v>
      </c>
      <c r="AL741" s="1948">
        <f t="shared" si="186"/>
        <v>342835</v>
      </c>
      <c r="AM741" s="1948">
        <f t="shared" si="187"/>
        <v>0</v>
      </c>
      <c r="AN741" s="1948">
        <v>4206</v>
      </c>
      <c r="AO741" s="1948">
        <v>302.39999999999998</v>
      </c>
      <c r="AP741" s="1948">
        <v>3364.8</v>
      </c>
      <c r="AQ741" s="1948">
        <v>0.9909</v>
      </c>
      <c r="AR741" s="1948">
        <v>2.93</v>
      </c>
      <c r="AS741" s="1948">
        <v>6600</v>
      </c>
      <c r="AT741" s="1948">
        <f t="shared" si="188"/>
        <v>134991</v>
      </c>
      <c r="AU741" s="1948">
        <f t="shared" si="189"/>
        <v>0</v>
      </c>
      <c r="AV741" s="1948">
        <v>4206</v>
      </c>
      <c r="AW741" s="1948">
        <v>504.00000000000006</v>
      </c>
      <c r="AX741" s="1948">
        <v>3364.8</v>
      </c>
      <c r="AY741" s="1948">
        <v>0.99739999999999995</v>
      </c>
      <c r="AZ741" s="1948">
        <v>6.46</v>
      </c>
      <c r="BA741" s="1948">
        <v>23460</v>
      </c>
      <c r="BB741" s="1948">
        <f t="shared" si="190"/>
        <v>217728</v>
      </c>
      <c r="BC741" s="1948">
        <f t="shared" si="191"/>
        <v>0</v>
      </c>
      <c r="BD741" s="1949">
        <v>4206</v>
      </c>
      <c r="BE741" s="1948">
        <v>465.6</v>
      </c>
      <c r="BF741" s="1949">
        <v>3364.8</v>
      </c>
      <c r="BG741" s="1949">
        <v>1</v>
      </c>
      <c r="BH741" s="1949">
        <v>3.55</v>
      </c>
      <c r="BI741" s="1948">
        <v>12300</v>
      </c>
      <c r="BJ741" s="1948">
        <f t="shared" si="192"/>
        <v>207844</v>
      </c>
      <c r="BK741" s="1948">
        <f t="shared" si="193"/>
        <v>0</v>
      </c>
    </row>
    <row r="742" spans="1:63" ht="15">
      <c r="A742" s="1946">
        <v>615000000009</v>
      </c>
      <c r="B742" s="1947">
        <f t="shared" si="194"/>
        <v>40</v>
      </c>
      <c r="C742" s="1906" t="s">
        <v>672</v>
      </c>
      <c r="D742" s="1907" t="s">
        <v>524</v>
      </c>
      <c r="E742" s="1906" t="s">
        <v>541</v>
      </c>
      <c r="F742" s="1948" t="s">
        <v>259</v>
      </c>
      <c r="G742" s="1949">
        <v>4400</v>
      </c>
      <c r="H742" s="1948">
        <v>4400</v>
      </c>
      <c r="I742" s="1950">
        <v>4190.4000000000005</v>
      </c>
      <c r="J742" s="1948">
        <v>4190.3999999999996</v>
      </c>
      <c r="K742" s="1948">
        <v>0.99480000000000002</v>
      </c>
      <c r="L742" s="1948">
        <v>13.22</v>
      </c>
      <c r="M742" s="1948">
        <v>385620</v>
      </c>
      <c r="N742" s="1948">
        <f t="shared" si="180"/>
        <v>1810253</v>
      </c>
      <c r="O742" s="1948">
        <f t="shared" si="181"/>
        <v>0</v>
      </c>
      <c r="P742" s="1948">
        <v>4400</v>
      </c>
      <c r="Q742" s="1948">
        <v>0</v>
      </c>
      <c r="R742" s="1948">
        <v>3520</v>
      </c>
      <c r="S742" s="1948">
        <v>0</v>
      </c>
      <c r="T742" s="1948">
        <v>0</v>
      </c>
      <c r="U742" s="1948">
        <v>0</v>
      </c>
      <c r="V742" s="1948">
        <f t="shared" si="182"/>
        <v>0</v>
      </c>
      <c r="W742" s="1948">
        <f t="shared" si="183"/>
        <v>0</v>
      </c>
      <c r="X742" s="1948">
        <v>4400</v>
      </c>
      <c r="Y742" s="1948">
        <v>0</v>
      </c>
      <c r="Z742" s="1948">
        <v>3520</v>
      </c>
      <c r="AA742" s="1948">
        <v>0</v>
      </c>
      <c r="AB742" s="1948">
        <v>0</v>
      </c>
      <c r="AC742" s="1948">
        <v>0</v>
      </c>
      <c r="AD742" s="1948">
        <f t="shared" si="184"/>
        <v>0</v>
      </c>
      <c r="AE742" s="1948">
        <f t="shared" si="185"/>
        <v>0</v>
      </c>
      <c r="AF742" s="1948">
        <v>4400</v>
      </c>
      <c r="AG742" s="1948">
        <v>0</v>
      </c>
      <c r="AH742" s="1948">
        <v>3520</v>
      </c>
      <c r="AI742" s="1948">
        <v>0</v>
      </c>
      <c r="AJ742" s="1948">
        <v>0</v>
      </c>
      <c r="AK742" s="1948">
        <v>0</v>
      </c>
      <c r="AL742" s="1948">
        <f t="shared" si="186"/>
        <v>0</v>
      </c>
      <c r="AM742" s="1948">
        <f t="shared" si="187"/>
        <v>0</v>
      </c>
      <c r="AN742" s="1948">
        <v>4400</v>
      </c>
      <c r="AO742" s="1948">
        <v>4238.4000000000005</v>
      </c>
      <c r="AP742" s="1948">
        <v>4238.3999999999996</v>
      </c>
      <c r="AQ742" s="1948">
        <v>0.99370000000000003</v>
      </c>
      <c r="AR742" s="1948">
        <v>73.61</v>
      </c>
      <c r="AS742" s="1948">
        <v>2321310</v>
      </c>
      <c r="AT742" s="1948">
        <f t="shared" si="188"/>
        <v>1892022</v>
      </c>
      <c r="AU742" s="1948">
        <f t="shared" si="189"/>
        <v>429288</v>
      </c>
      <c r="AV742" s="1948">
        <v>4400</v>
      </c>
      <c r="AW742" s="1948">
        <v>4435.2</v>
      </c>
      <c r="AX742" s="1948">
        <v>4435.2</v>
      </c>
      <c r="AY742" s="1948">
        <v>0.99360000000000004</v>
      </c>
      <c r="AZ742" s="1948">
        <v>72.5</v>
      </c>
      <c r="BA742" s="1948">
        <v>2315070</v>
      </c>
      <c r="BB742" s="1948">
        <f t="shared" si="190"/>
        <v>1916006</v>
      </c>
      <c r="BC742" s="1948">
        <f t="shared" si="191"/>
        <v>399064</v>
      </c>
      <c r="BD742" s="1949">
        <v>4400</v>
      </c>
      <c r="BE742" s="1948">
        <v>4176</v>
      </c>
      <c r="BF742" s="1949">
        <v>4176</v>
      </c>
      <c r="BG742" s="1949">
        <v>0.98209999999999997</v>
      </c>
      <c r="BH742" s="1949">
        <v>34.03</v>
      </c>
      <c r="BI742" s="1948">
        <v>1057140</v>
      </c>
      <c r="BJ742" s="1948">
        <f t="shared" si="192"/>
        <v>1864166</v>
      </c>
      <c r="BK742" s="1948">
        <f t="shared" si="193"/>
        <v>0</v>
      </c>
    </row>
    <row r="743" spans="1:63" ht="15">
      <c r="A743" s="1946">
        <v>622000000200</v>
      </c>
      <c r="B743" s="1947">
        <f t="shared" si="194"/>
        <v>41</v>
      </c>
      <c r="C743" s="1906" t="s">
        <v>587</v>
      </c>
      <c r="D743" s="1907" t="s">
        <v>524</v>
      </c>
      <c r="E743" s="1906" t="s">
        <v>541</v>
      </c>
      <c r="F743" s="1948" t="s">
        <v>271</v>
      </c>
      <c r="G743" s="1949">
        <v>4445</v>
      </c>
      <c r="H743" s="1948">
        <v>4445</v>
      </c>
      <c r="I743" s="1950">
        <v>3984</v>
      </c>
      <c r="J743" s="1948">
        <v>3979.2</v>
      </c>
      <c r="K743" s="1948">
        <v>0.90349999999999997</v>
      </c>
      <c r="L743" s="1948">
        <v>28.58</v>
      </c>
      <c r="M743" s="1948">
        <v>818940</v>
      </c>
      <c r="N743" s="1948">
        <f t="shared" si="180"/>
        <v>1721088</v>
      </c>
      <c r="O743" s="1948">
        <f t="shared" si="181"/>
        <v>0</v>
      </c>
      <c r="P743" s="1948">
        <v>4445</v>
      </c>
      <c r="Q743" s="1948">
        <v>3936.0000000000005</v>
      </c>
      <c r="R743" s="1948">
        <v>3936</v>
      </c>
      <c r="S743" s="1948">
        <v>0.91</v>
      </c>
      <c r="T743" s="1948">
        <v>63.2</v>
      </c>
      <c r="U743" s="1948">
        <v>1850760</v>
      </c>
      <c r="V743" s="1948">
        <f t="shared" si="182"/>
        <v>1757030</v>
      </c>
      <c r="W743" s="1948">
        <f t="shared" si="183"/>
        <v>93730</v>
      </c>
      <c r="X743" s="1948">
        <v>4445</v>
      </c>
      <c r="Y743" s="1948">
        <v>3960</v>
      </c>
      <c r="Z743" s="1948">
        <v>3960</v>
      </c>
      <c r="AA743" s="1948">
        <v>0.76659999999999995</v>
      </c>
      <c r="AB743" s="1948">
        <v>45.4</v>
      </c>
      <c r="AC743" s="1948">
        <v>1294380</v>
      </c>
      <c r="AD743" s="1948">
        <f t="shared" si="184"/>
        <v>1710720</v>
      </c>
      <c r="AE743" s="1948">
        <f t="shared" si="185"/>
        <v>0</v>
      </c>
      <c r="AF743" s="1948">
        <v>4445</v>
      </c>
      <c r="AG743" s="1948">
        <v>3264</v>
      </c>
      <c r="AH743" s="1948">
        <v>3556</v>
      </c>
      <c r="AI743" s="1948">
        <v>0.58899999999999997</v>
      </c>
      <c r="AJ743" s="1948">
        <v>3.02</v>
      </c>
      <c r="AK743" s="1948">
        <v>73440</v>
      </c>
      <c r="AL743" s="1948">
        <f t="shared" si="186"/>
        <v>1457050</v>
      </c>
      <c r="AM743" s="1948">
        <f t="shared" si="187"/>
        <v>0</v>
      </c>
      <c r="AN743" s="1948">
        <v>4445</v>
      </c>
      <c r="AO743" s="1948">
        <v>3840</v>
      </c>
      <c r="AP743" s="1948">
        <v>3840</v>
      </c>
      <c r="AQ743" s="1948">
        <v>0.7389</v>
      </c>
      <c r="AR743" s="1948">
        <v>15.63</v>
      </c>
      <c r="AS743" s="1948">
        <v>446640</v>
      </c>
      <c r="AT743" s="1948">
        <f t="shared" si="188"/>
        <v>1714176</v>
      </c>
      <c r="AU743" s="1948">
        <f t="shared" si="189"/>
        <v>0</v>
      </c>
      <c r="AV743" s="1948">
        <v>4445</v>
      </c>
      <c r="AW743" s="1948">
        <v>2592</v>
      </c>
      <c r="AX743" s="1948">
        <v>3556</v>
      </c>
      <c r="AY743" s="1948">
        <v>0.3821</v>
      </c>
      <c r="AZ743" s="1948">
        <v>5.76</v>
      </c>
      <c r="BA743" s="1948">
        <v>115920</v>
      </c>
      <c r="BB743" s="1948">
        <f t="shared" si="190"/>
        <v>1119744</v>
      </c>
      <c r="BC743" s="1948">
        <f t="shared" si="191"/>
        <v>0</v>
      </c>
      <c r="BD743" s="1949">
        <v>4445</v>
      </c>
      <c r="BE743" s="1948">
        <v>3720</v>
      </c>
      <c r="BF743" s="1949">
        <v>3720</v>
      </c>
      <c r="BG743" s="1949">
        <v>0.70950000000000002</v>
      </c>
      <c r="BH743" s="1949">
        <v>8.69</v>
      </c>
      <c r="BI743" s="1948">
        <v>240480</v>
      </c>
      <c r="BJ743" s="1948">
        <f t="shared" si="192"/>
        <v>1660608</v>
      </c>
      <c r="BK743" s="1948">
        <f t="shared" si="193"/>
        <v>0</v>
      </c>
    </row>
    <row r="744" spans="1:63" ht="15">
      <c r="A744" s="1946">
        <v>615000000035</v>
      </c>
      <c r="B744" s="1947">
        <f t="shared" si="194"/>
        <v>42</v>
      </c>
      <c r="C744" s="1906" t="s">
        <v>718</v>
      </c>
      <c r="D744" s="1907" t="s">
        <v>524</v>
      </c>
      <c r="E744" s="1906" t="s">
        <v>709</v>
      </c>
      <c r="F744" s="1948" t="s">
        <v>259</v>
      </c>
      <c r="G744" s="1949">
        <v>5092</v>
      </c>
      <c r="H744" s="1948">
        <v>5092</v>
      </c>
      <c r="I744" s="1950">
        <v>42</v>
      </c>
      <c r="J744" s="1948">
        <v>4073.6</v>
      </c>
      <c r="K744" s="1948">
        <v>0.99770000000000003</v>
      </c>
      <c r="L744" s="1948">
        <v>45.04</v>
      </c>
      <c r="M744" s="1948">
        <v>13620</v>
      </c>
      <c r="N744" s="1948">
        <f t="shared" si="180"/>
        <v>18144</v>
      </c>
      <c r="O744" s="1948">
        <f t="shared" si="181"/>
        <v>0</v>
      </c>
      <c r="P744" s="1948">
        <v>5092</v>
      </c>
      <c r="Q744" s="1948">
        <v>48</v>
      </c>
      <c r="R744" s="1948">
        <v>4073.6</v>
      </c>
      <c r="S744" s="1948">
        <v>1</v>
      </c>
      <c r="T744" s="1948">
        <v>27.97</v>
      </c>
      <c r="U744" s="1948">
        <v>9990</v>
      </c>
      <c r="V744" s="1948">
        <f t="shared" si="182"/>
        <v>21427</v>
      </c>
      <c r="W744" s="1948">
        <f t="shared" si="183"/>
        <v>0</v>
      </c>
      <c r="X744" s="1948">
        <v>5092</v>
      </c>
      <c r="Y744" s="1948">
        <v>276</v>
      </c>
      <c r="Z744" s="1948">
        <v>4073.6</v>
      </c>
      <c r="AA744" s="1948">
        <v>1</v>
      </c>
      <c r="AB744" s="1948">
        <v>8.1999999999999993</v>
      </c>
      <c r="AC744" s="1948">
        <v>16290</v>
      </c>
      <c r="AD744" s="1948">
        <f t="shared" si="184"/>
        <v>119232</v>
      </c>
      <c r="AE744" s="1948">
        <f t="shared" si="185"/>
        <v>0</v>
      </c>
      <c r="AF744" s="1948">
        <v>5092</v>
      </c>
      <c r="AG744" s="1948">
        <v>1140</v>
      </c>
      <c r="AH744" s="1948">
        <v>4073.6</v>
      </c>
      <c r="AI744" s="1948">
        <v>0.97089999999999999</v>
      </c>
      <c r="AJ744" s="1948">
        <v>17.420000000000002</v>
      </c>
      <c r="AK744" s="1948">
        <v>147780</v>
      </c>
      <c r="AL744" s="1948">
        <f t="shared" si="186"/>
        <v>508896</v>
      </c>
      <c r="AM744" s="1948">
        <f t="shared" si="187"/>
        <v>0</v>
      </c>
      <c r="AN744" s="1948">
        <v>5092</v>
      </c>
      <c r="AO744" s="1948">
        <v>1266</v>
      </c>
      <c r="AP744" s="1948">
        <v>4073.6</v>
      </c>
      <c r="AQ744" s="1948">
        <v>0.96619999999999995</v>
      </c>
      <c r="AR744" s="1948">
        <v>24.74</v>
      </c>
      <c r="AS744" s="1948">
        <v>233010</v>
      </c>
      <c r="AT744" s="1948">
        <f t="shared" si="188"/>
        <v>565142</v>
      </c>
      <c r="AU744" s="1948">
        <f t="shared" si="189"/>
        <v>0</v>
      </c>
      <c r="AV744" s="1948">
        <v>5092</v>
      </c>
      <c r="AW744" s="1948">
        <v>1320</v>
      </c>
      <c r="AX744" s="1948">
        <v>4073.6</v>
      </c>
      <c r="AY744" s="1948">
        <v>0.96750000000000003</v>
      </c>
      <c r="AZ744" s="1948">
        <v>14.59</v>
      </c>
      <c r="BA744" s="1948">
        <v>138690</v>
      </c>
      <c r="BB744" s="1948">
        <f t="shared" si="190"/>
        <v>570240</v>
      </c>
      <c r="BC744" s="1948">
        <f t="shared" si="191"/>
        <v>0</v>
      </c>
      <c r="BD744" s="1949">
        <v>5092</v>
      </c>
      <c r="BE744" s="1948">
        <v>774</v>
      </c>
      <c r="BF744" s="1949">
        <v>4073.6</v>
      </c>
      <c r="BG744" s="1949">
        <v>0.98650000000000004</v>
      </c>
      <c r="BH744" s="1949">
        <v>15.1</v>
      </c>
      <c r="BI744" s="1948">
        <v>86940</v>
      </c>
      <c r="BJ744" s="1948">
        <f t="shared" si="192"/>
        <v>345514</v>
      </c>
      <c r="BK744" s="1948">
        <f t="shared" si="193"/>
        <v>0</v>
      </c>
    </row>
    <row r="745" spans="1:63" ht="15">
      <c r="A745" s="1946">
        <v>622000000004</v>
      </c>
      <c r="B745" s="1947">
        <f t="shared" si="194"/>
        <v>43</v>
      </c>
      <c r="C745" s="1906" t="s">
        <v>578</v>
      </c>
      <c r="D745" s="1907" t="s">
        <v>524</v>
      </c>
      <c r="E745" s="1906" t="s">
        <v>541</v>
      </c>
      <c r="F745" s="1948" t="s">
        <v>271</v>
      </c>
      <c r="G745" s="1949">
        <v>5500</v>
      </c>
      <c r="H745" s="1948">
        <v>5500</v>
      </c>
      <c r="I745" s="1950">
        <v>4896</v>
      </c>
      <c r="J745" s="1948">
        <v>4896</v>
      </c>
      <c r="K745" s="1948">
        <v>0.95040000000000002</v>
      </c>
      <c r="L745" s="1948">
        <v>49.18</v>
      </c>
      <c r="M745" s="1948">
        <v>1926240</v>
      </c>
      <c r="N745" s="1948">
        <f t="shared" si="180"/>
        <v>2115072</v>
      </c>
      <c r="O745" s="1948">
        <f t="shared" si="181"/>
        <v>0</v>
      </c>
      <c r="P745" s="1948">
        <v>5500</v>
      </c>
      <c r="Q745" s="1948">
        <v>4752</v>
      </c>
      <c r="R745" s="1948">
        <v>4752</v>
      </c>
      <c r="S745" s="1948">
        <v>0.92759999999999998</v>
      </c>
      <c r="T745" s="1948">
        <v>49.24</v>
      </c>
      <c r="U745" s="1948">
        <v>1934400</v>
      </c>
      <c r="V745" s="1948">
        <f t="shared" si="182"/>
        <v>2121293</v>
      </c>
      <c r="W745" s="1948">
        <f t="shared" si="183"/>
        <v>0</v>
      </c>
      <c r="X745" s="1948">
        <v>5500</v>
      </c>
      <c r="Y745" s="1948">
        <v>4519.92</v>
      </c>
      <c r="Z745" s="1948">
        <v>4519.92</v>
      </c>
      <c r="AA745" s="1948">
        <v>0.92600000000000005</v>
      </c>
      <c r="AB745" s="1948">
        <v>52.5</v>
      </c>
      <c r="AC745" s="1948">
        <v>1898544</v>
      </c>
      <c r="AD745" s="1948">
        <f t="shared" si="184"/>
        <v>1952605</v>
      </c>
      <c r="AE745" s="1948">
        <f t="shared" si="185"/>
        <v>0</v>
      </c>
      <c r="AF745" s="1948">
        <v>5500</v>
      </c>
      <c r="AG745" s="1948">
        <v>4896</v>
      </c>
      <c r="AH745" s="1948">
        <v>4896</v>
      </c>
      <c r="AI745" s="1948">
        <v>0.94550000000000001</v>
      </c>
      <c r="AJ745" s="1948">
        <v>51.96</v>
      </c>
      <c r="AK745" s="1948">
        <v>1909532</v>
      </c>
      <c r="AL745" s="1948">
        <f t="shared" si="186"/>
        <v>2185574</v>
      </c>
      <c r="AM745" s="1948">
        <f t="shared" si="187"/>
        <v>0</v>
      </c>
      <c r="AN745" s="1948">
        <v>5500</v>
      </c>
      <c r="AO745" s="1948">
        <v>4704</v>
      </c>
      <c r="AP745" s="1948">
        <v>4704</v>
      </c>
      <c r="AQ745" s="1948">
        <v>0.94389999999999996</v>
      </c>
      <c r="AR745" s="1948">
        <v>51</v>
      </c>
      <c r="AS745" s="1948">
        <v>1983360</v>
      </c>
      <c r="AT745" s="1948">
        <f t="shared" si="188"/>
        <v>2099866</v>
      </c>
      <c r="AU745" s="1948">
        <f t="shared" si="189"/>
        <v>0</v>
      </c>
      <c r="AV745" s="1948">
        <v>5500</v>
      </c>
      <c r="AW745" s="1948">
        <v>4656</v>
      </c>
      <c r="AX745" s="1948">
        <v>4656</v>
      </c>
      <c r="AY745" s="1948">
        <v>0.93389999999999995</v>
      </c>
      <c r="AZ745" s="1948">
        <v>52.6</v>
      </c>
      <c r="BA745" s="1948">
        <v>1959120</v>
      </c>
      <c r="BB745" s="1948">
        <f t="shared" si="190"/>
        <v>2011392</v>
      </c>
      <c r="BC745" s="1948">
        <f t="shared" si="191"/>
        <v>0</v>
      </c>
      <c r="BD745" s="1949">
        <v>5500</v>
      </c>
      <c r="BE745" s="1948">
        <v>5040</v>
      </c>
      <c r="BF745" s="1949">
        <v>5040</v>
      </c>
      <c r="BG745" s="1949">
        <v>0.93320000000000003</v>
      </c>
      <c r="BH745" s="1949">
        <v>47.47</v>
      </c>
      <c r="BI745" s="1948">
        <v>1977960</v>
      </c>
      <c r="BJ745" s="1948">
        <f t="shared" si="192"/>
        <v>2249856</v>
      </c>
      <c r="BK745" s="1948">
        <f t="shared" si="193"/>
        <v>0</v>
      </c>
    </row>
    <row r="746" spans="1:63" ht="15">
      <c r="A746" s="1946">
        <v>621000000004</v>
      </c>
      <c r="B746" s="1947">
        <f t="shared" si="194"/>
        <v>44</v>
      </c>
      <c r="C746" s="1906" t="s">
        <v>674</v>
      </c>
      <c r="D746" s="1907" t="s">
        <v>524</v>
      </c>
      <c r="E746" s="1906" t="s">
        <v>541</v>
      </c>
      <c r="F746" s="1948" t="s">
        <v>259</v>
      </c>
      <c r="G746" s="1949">
        <v>5500</v>
      </c>
      <c r="H746" s="1948">
        <v>5500</v>
      </c>
      <c r="I746" s="1950">
        <v>4041.6</v>
      </c>
      <c r="J746" s="1948">
        <v>4400</v>
      </c>
      <c r="K746" s="1948">
        <v>0.99490000000000001</v>
      </c>
      <c r="L746" s="1948">
        <v>83.35</v>
      </c>
      <c r="M746" s="1948">
        <v>2344500</v>
      </c>
      <c r="N746" s="1948">
        <f t="shared" si="180"/>
        <v>1745971</v>
      </c>
      <c r="O746" s="1948">
        <f t="shared" si="181"/>
        <v>598529</v>
      </c>
      <c r="P746" s="1948">
        <v>5500</v>
      </c>
      <c r="Q746" s="1948">
        <v>4161.6000000000004</v>
      </c>
      <c r="R746" s="1948">
        <v>4400</v>
      </c>
      <c r="S746" s="1948">
        <v>0.99260000000000004</v>
      </c>
      <c r="T746" s="1948">
        <v>84.86</v>
      </c>
      <c r="U746" s="1948">
        <v>2712210</v>
      </c>
      <c r="V746" s="1948">
        <f t="shared" si="182"/>
        <v>1857738</v>
      </c>
      <c r="W746" s="1948">
        <f t="shared" si="183"/>
        <v>854472</v>
      </c>
      <c r="X746" s="1948">
        <v>5500</v>
      </c>
      <c r="Y746" s="1948">
        <v>4238.4000000000005</v>
      </c>
      <c r="Z746" s="1948">
        <v>4400</v>
      </c>
      <c r="AA746" s="1948">
        <v>0.99590000000000001</v>
      </c>
      <c r="AB746" s="1948">
        <v>72.48</v>
      </c>
      <c r="AC746" s="1948">
        <v>2211780</v>
      </c>
      <c r="AD746" s="1948">
        <f t="shared" si="184"/>
        <v>1830989</v>
      </c>
      <c r="AE746" s="1948">
        <f t="shared" si="185"/>
        <v>380791</v>
      </c>
      <c r="AF746" s="1948">
        <v>5500</v>
      </c>
      <c r="AG746" s="1948">
        <v>4185.6000000000004</v>
      </c>
      <c r="AH746" s="1948">
        <v>4400</v>
      </c>
      <c r="AI746" s="1948">
        <v>0.98450000000000004</v>
      </c>
      <c r="AJ746" s="1948">
        <v>90.89</v>
      </c>
      <c r="AK746" s="1948">
        <v>2830530</v>
      </c>
      <c r="AL746" s="1948">
        <f t="shared" si="186"/>
        <v>1868452</v>
      </c>
      <c r="AM746" s="1948">
        <f t="shared" si="187"/>
        <v>962078</v>
      </c>
      <c r="AN746" s="1948">
        <v>5500</v>
      </c>
      <c r="AO746" s="1948">
        <v>4075.2000000000003</v>
      </c>
      <c r="AP746" s="1948">
        <v>4400</v>
      </c>
      <c r="AQ746" s="1948">
        <v>0.97470000000000001</v>
      </c>
      <c r="AR746" s="1948">
        <v>92.9</v>
      </c>
      <c r="AS746" s="1948">
        <v>2816730</v>
      </c>
      <c r="AT746" s="1948">
        <f t="shared" si="188"/>
        <v>1819169</v>
      </c>
      <c r="AU746" s="1948">
        <f t="shared" si="189"/>
        <v>997561</v>
      </c>
      <c r="AV746" s="1948">
        <v>5500</v>
      </c>
      <c r="AW746" s="1948">
        <v>4300.8</v>
      </c>
      <c r="AX746" s="1948">
        <v>4400</v>
      </c>
      <c r="AY746" s="1948">
        <v>0.97670000000000001</v>
      </c>
      <c r="AZ746" s="1948">
        <v>79</v>
      </c>
      <c r="BA746" s="1948">
        <v>2446260</v>
      </c>
      <c r="BB746" s="1948">
        <f t="shared" si="190"/>
        <v>1857946</v>
      </c>
      <c r="BC746" s="1948">
        <f t="shared" si="191"/>
        <v>588314</v>
      </c>
      <c r="BD746" s="1949">
        <v>5500</v>
      </c>
      <c r="BE746" s="1948">
        <v>4296</v>
      </c>
      <c r="BF746" s="1949">
        <v>4400</v>
      </c>
      <c r="BG746" s="1949">
        <v>0.99560000000000004</v>
      </c>
      <c r="BH746" s="1949">
        <v>89.95</v>
      </c>
      <c r="BI746" s="1948">
        <v>2874990</v>
      </c>
      <c r="BJ746" s="1948">
        <f t="shared" si="192"/>
        <v>1917734</v>
      </c>
      <c r="BK746" s="1948">
        <f t="shared" si="193"/>
        <v>957256</v>
      </c>
    </row>
    <row r="747" spans="1:63" ht="15">
      <c r="A747" s="1946"/>
      <c r="B747" s="1899">
        <f>+B746</f>
        <v>44</v>
      </c>
      <c r="C747" s="1900" t="s">
        <v>3523</v>
      </c>
      <c r="D747" s="1956"/>
      <c r="E747" s="1957"/>
      <c r="F747" s="1958"/>
      <c r="G747" s="1959">
        <f>ROUND(SUM(G703:G746),0)</f>
        <v>110235</v>
      </c>
      <c r="H747" s="1959">
        <f t="shared" ref="H747:O747" si="195">ROUND(SUM(H703:H746),0)</f>
        <v>108235</v>
      </c>
      <c r="I747" s="1960">
        <f t="shared" si="195"/>
        <v>60792</v>
      </c>
      <c r="J747" s="1959">
        <f t="shared" si="195"/>
        <v>98456</v>
      </c>
      <c r="K747" s="1959">
        <f>ROUND(AVERAGE(K703:K746),4)</f>
        <v>0.84930000000000005</v>
      </c>
      <c r="L747" s="1959">
        <f>ROUND(AVERAGE(L703:L746),2)</f>
        <v>31.35</v>
      </c>
      <c r="M747" s="1959">
        <f t="shared" si="195"/>
        <v>15962346</v>
      </c>
      <c r="N747" s="1959">
        <f t="shared" si="195"/>
        <v>26261988</v>
      </c>
      <c r="O747" s="1959">
        <f t="shared" si="195"/>
        <v>1160233</v>
      </c>
      <c r="P747" s="1959">
        <f t="shared" ref="P747" si="196">ROUND(SUM(P703:P746),0)</f>
        <v>108235</v>
      </c>
      <c r="Q747" s="1959">
        <f t="shared" ref="Q747:R747" si="197">ROUND(SUM(Q703:Q746),0)</f>
        <v>51423</v>
      </c>
      <c r="R747" s="1959">
        <f t="shared" si="197"/>
        <v>90915</v>
      </c>
      <c r="S747" s="1959">
        <f>ROUND(AVERAGE(S703:S746),4)</f>
        <v>0.85680000000000001</v>
      </c>
      <c r="T747" s="1959">
        <f>ROUND(AVERAGE(T703:T746),2)</f>
        <v>34.409999999999997</v>
      </c>
      <c r="U747" s="1959">
        <f t="shared" ref="U747" si="198">ROUND(SUM(U703:U746),0)</f>
        <v>18319991</v>
      </c>
      <c r="V747" s="1959">
        <f t="shared" ref="V747:Z747" si="199">ROUND(SUM(V703:V746),0)</f>
        <v>22955281</v>
      </c>
      <c r="W747" s="1959">
        <f t="shared" si="199"/>
        <v>1637103</v>
      </c>
      <c r="X747" s="1959">
        <f t="shared" si="199"/>
        <v>108435</v>
      </c>
      <c r="Y747" s="1959">
        <f t="shared" si="199"/>
        <v>53586</v>
      </c>
      <c r="Z747" s="1959">
        <f t="shared" si="199"/>
        <v>90405</v>
      </c>
      <c r="AA747" s="1959">
        <f>ROUND(AVERAGE(AA703:AA746),4)</f>
        <v>0.87729999999999997</v>
      </c>
      <c r="AB747" s="1959">
        <f>ROUND(AVERAGE(AB703:AB746),2)</f>
        <v>32.71</v>
      </c>
      <c r="AC747" s="1959">
        <f t="shared" ref="AC747" si="200">ROUND(SUM(AC703:AC746),0)</f>
        <v>16843522</v>
      </c>
      <c r="AD747" s="1959">
        <f t="shared" ref="AD747:AH747" si="201">ROUND(SUM(AD703:AD746),0)</f>
        <v>23149030</v>
      </c>
      <c r="AE747" s="1959">
        <f t="shared" si="201"/>
        <v>1335092</v>
      </c>
      <c r="AF747" s="1959">
        <f t="shared" si="201"/>
        <v>106396</v>
      </c>
      <c r="AG747" s="1959">
        <f t="shared" si="201"/>
        <v>68899</v>
      </c>
      <c r="AH747" s="1959">
        <f t="shared" si="201"/>
        <v>100194</v>
      </c>
      <c r="AI747" s="1959">
        <f>ROUND(AVERAGE(AI703:AI746),4)</f>
        <v>0.87319999999999998</v>
      </c>
      <c r="AJ747" s="1959">
        <f>ROUND(AVERAGE(AJ703:AJ746),2)</f>
        <v>31.17</v>
      </c>
      <c r="AK747" s="1959">
        <f t="shared" ref="AK747" si="202">ROUND(SUM(AK703:AK746),0)</f>
        <v>19809772</v>
      </c>
      <c r="AL747" s="1959">
        <f t="shared" ref="AL747:AP747" si="203">ROUND(SUM(AL703:AL746),0)</f>
        <v>30756389</v>
      </c>
      <c r="AM747" s="1959">
        <f t="shared" si="203"/>
        <v>1920519</v>
      </c>
      <c r="AN747" s="1959">
        <f t="shared" si="203"/>
        <v>106396</v>
      </c>
      <c r="AO747" s="1959">
        <f t="shared" si="203"/>
        <v>70828</v>
      </c>
      <c r="AP747" s="1959">
        <f t="shared" si="203"/>
        <v>97182</v>
      </c>
      <c r="AQ747" s="1959">
        <f>ROUND(AVERAGE(AQ703:AQ746),4)</f>
        <v>0.90339999999999998</v>
      </c>
      <c r="AR747" s="1959">
        <f>ROUND(AVERAGE(AR703:AR746),2)</f>
        <v>31.8</v>
      </c>
      <c r="AS747" s="1959">
        <f t="shared" ref="AS747" si="204">ROUND(SUM(AS703:AS746),0)</f>
        <v>19339750</v>
      </c>
      <c r="AT747" s="1959">
        <f t="shared" ref="AT747:AX747" si="205">ROUND(SUM(AT703:AT746),0)</f>
        <v>31617763</v>
      </c>
      <c r="AU747" s="1959">
        <f t="shared" si="205"/>
        <v>1989246</v>
      </c>
      <c r="AV747" s="1959">
        <f t="shared" si="205"/>
        <v>108196</v>
      </c>
      <c r="AW747" s="1959">
        <f t="shared" si="205"/>
        <v>66256</v>
      </c>
      <c r="AX747" s="1959">
        <f t="shared" si="205"/>
        <v>96263</v>
      </c>
      <c r="AY747" s="1959">
        <f>ROUND(AVERAGE(AY703:AY746),4)</f>
        <v>0.89159999999999995</v>
      </c>
      <c r="AZ747" s="1959">
        <f>ROUND(AVERAGE(AZ703:AZ746),2)</f>
        <v>30.21</v>
      </c>
      <c r="BA747" s="1959">
        <f t="shared" ref="BA747" si="206">ROUND(SUM(BA703:BA746),0)</f>
        <v>17746420</v>
      </c>
      <c r="BB747" s="1959">
        <f t="shared" ref="BB747:BF747" si="207">ROUND(SUM(BB703:BB746),0)</f>
        <v>28622681</v>
      </c>
      <c r="BC747" s="1959">
        <f t="shared" si="207"/>
        <v>1538773</v>
      </c>
      <c r="BD747" s="1959">
        <f t="shared" si="207"/>
        <v>108196</v>
      </c>
      <c r="BE747" s="1959">
        <f t="shared" si="207"/>
        <v>62381</v>
      </c>
      <c r="BF747" s="1959">
        <f t="shared" si="207"/>
        <v>94493</v>
      </c>
      <c r="BG747" s="1959">
        <f>ROUND(AVERAGE(BG703:BG746),4)</f>
        <v>0.89849999999999997</v>
      </c>
      <c r="BH747" s="1959">
        <f>ROUND(AVERAGE(BH703:BH746),2)</f>
        <v>31.22</v>
      </c>
      <c r="BI747" s="1959">
        <f t="shared" ref="BI747" si="208">ROUND(SUM(BI703:BI746),0)</f>
        <v>17218388</v>
      </c>
      <c r="BJ747" s="1959">
        <f t="shared" ref="BJ747:BK747" si="209">ROUND(SUM(BJ703:BJ746),0)</f>
        <v>27846950</v>
      </c>
      <c r="BK747" s="1959">
        <f t="shared" si="209"/>
        <v>1441680</v>
      </c>
    </row>
    <row r="748" spans="1:63" ht="15">
      <c r="A748" s="1946"/>
      <c r="B748" s="1928"/>
      <c r="C748" s="1891" t="s">
        <v>3524</v>
      </c>
      <c r="D748" s="1956"/>
      <c r="E748" s="1957"/>
      <c r="F748" s="1958"/>
      <c r="G748" s="1961"/>
      <c r="H748" s="1958"/>
      <c r="I748" s="1962"/>
      <c r="J748" s="1958"/>
      <c r="K748" s="1958"/>
      <c r="L748" s="1958"/>
      <c r="M748" s="1958"/>
      <c r="N748" s="1958"/>
      <c r="O748" s="1958"/>
      <c r="P748" s="1958"/>
      <c r="Q748" s="1958"/>
      <c r="R748" s="1958"/>
      <c r="S748" s="1958"/>
      <c r="T748" s="1958"/>
      <c r="U748" s="1958"/>
      <c r="V748" s="1958"/>
      <c r="W748" s="1958"/>
      <c r="X748" s="1958"/>
      <c r="Y748" s="1958"/>
      <c r="Z748" s="1958"/>
      <c r="AA748" s="1958"/>
      <c r="AB748" s="1958"/>
      <c r="AC748" s="1958"/>
      <c r="AD748" s="1958"/>
      <c r="AE748" s="1958"/>
      <c r="AF748" s="1958"/>
      <c r="AG748" s="1958"/>
      <c r="AH748" s="1958"/>
      <c r="AI748" s="1958"/>
      <c r="AJ748" s="1958"/>
      <c r="AK748" s="1958"/>
      <c r="AL748" s="1958"/>
      <c r="AM748" s="1958"/>
      <c r="AN748" s="1958"/>
      <c r="AO748" s="1958"/>
      <c r="AP748" s="1958"/>
      <c r="AQ748" s="1958"/>
      <c r="AR748" s="1958"/>
      <c r="AS748" s="1958"/>
      <c r="AT748" s="1958"/>
      <c r="AU748" s="1958"/>
      <c r="AV748" s="1958"/>
      <c r="AW748" s="1958"/>
      <c r="AX748" s="1958"/>
      <c r="AY748" s="1958"/>
      <c r="AZ748" s="1958"/>
      <c r="BA748" s="1958"/>
      <c r="BB748" s="1958"/>
      <c r="BC748" s="1958"/>
      <c r="BD748" s="1961"/>
      <c r="BE748" s="1958"/>
      <c r="BF748" s="1961"/>
      <c r="BG748" s="1961"/>
      <c r="BH748" s="1961"/>
      <c r="BI748" s="1958"/>
      <c r="BJ748" s="1958"/>
      <c r="BK748" s="1958"/>
    </row>
    <row r="749" spans="1:63" ht="15">
      <c r="A749" s="1946">
        <v>421000000006</v>
      </c>
      <c r="B749" s="1947">
        <v>1</v>
      </c>
      <c r="C749" s="1906" t="s">
        <v>528</v>
      </c>
      <c r="D749" s="1907" t="s">
        <v>524</v>
      </c>
      <c r="E749" s="1906" t="s">
        <v>525</v>
      </c>
      <c r="F749" s="1948" t="s">
        <v>271</v>
      </c>
      <c r="G749" s="1949">
        <v>5555</v>
      </c>
      <c r="H749" s="1948">
        <v>5555</v>
      </c>
      <c r="I749" s="1950">
        <v>2400</v>
      </c>
      <c r="J749" s="1948">
        <v>4444</v>
      </c>
      <c r="K749" s="1948">
        <v>0.96960000000000002</v>
      </c>
      <c r="L749" s="1948">
        <v>6.42</v>
      </c>
      <c r="M749" s="1948">
        <v>110880</v>
      </c>
      <c r="N749" s="1948">
        <f t="shared" ref="N749:N792" si="210">+ROUND(24*30*0.6*I749,0)</f>
        <v>1036800</v>
      </c>
      <c r="O749" s="1948">
        <f t="shared" ref="O749:O792" si="211">+MAX((M749-N749),0)</f>
        <v>0</v>
      </c>
      <c r="P749" s="1948">
        <v>5555</v>
      </c>
      <c r="Q749" s="1948">
        <v>2736</v>
      </c>
      <c r="R749" s="1948">
        <v>2736</v>
      </c>
      <c r="S749" s="1948">
        <v>0.98609999999999998</v>
      </c>
      <c r="T749" s="1948">
        <v>4.26</v>
      </c>
      <c r="U749" s="1948">
        <v>86640</v>
      </c>
      <c r="V749" s="1948">
        <f t="shared" ref="V749:V792" si="212">+ROUND(24*31*0.6*Q749,0)</f>
        <v>1221350</v>
      </c>
      <c r="W749" s="1948">
        <f t="shared" ref="W749:W792" si="213">+MAX((U749-V749),0)</f>
        <v>0</v>
      </c>
      <c r="X749" s="1948">
        <v>5555</v>
      </c>
      <c r="Y749" s="1948">
        <v>3552</v>
      </c>
      <c r="Z749" s="1948">
        <v>3552</v>
      </c>
      <c r="AA749" s="1948">
        <v>0.89700000000000002</v>
      </c>
      <c r="AB749" s="1948">
        <v>3.46</v>
      </c>
      <c r="AC749" s="1948">
        <v>88560</v>
      </c>
      <c r="AD749" s="1948">
        <f t="shared" ref="AD749:AD792" si="214">+ROUND(24*30*0.6*Y749,0)</f>
        <v>1534464</v>
      </c>
      <c r="AE749" s="1948">
        <f t="shared" ref="AE749:AE792" si="215">+MAX((AC749-AD749),0)</f>
        <v>0</v>
      </c>
      <c r="AF749" s="1948">
        <v>5555</v>
      </c>
      <c r="AG749" s="1948">
        <v>3792.0000000000005</v>
      </c>
      <c r="AH749" s="1948">
        <v>4444</v>
      </c>
      <c r="AI749" s="1948">
        <v>0.89280000000000004</v>
      </c>
      <c r="AJ749" s="1948">
        <v>0.71</v>
      </c>
      <c r="AK749" s="1948">
        <v>20160</v>
      </c>
      <c r="AL749" s="1948">
        <f t="shared" ref="AL749:AL792" si="216">+ROUND(24*31*0.6*AG749,0)</f>
        <v>1692749</v>
      </c>
      <c r="AM749" s="1948">
        <f t="shared" ref="AM749:AM792" si="217">+MAX((AK749-AL749),0)</f>
        <v>0</v>
      </c>
      <c r="AN749" s="1948">
        <v>5555</v>
      </c>
      <c r="AO749" s="1948">
        <v>3792.0000000000005</v>
      </c>
      <c r="AP749" s="1948">
        <v>4444</v>
      </c>
      <c r="AQ749" s="1948">
        <v>0.86970000000000003</v>
      </c>
      <c r="AR749" s="1948">
        <v>2.02</v>
      </c>
      <c r="AS749" s="1948">
        <v>57120</v>
      </c>
      <c r="AT749" s="1948">
        <f t="shared" ref="AT749:AT792" si="218">+ROUND(24*31*0.6*AO749,0)</f>
        <v>1692749</v>
      </c>
      <c r="AU749" s="1948">
        <f t="shared" ref="AU749:AU792" si="219">+MAX((AS749-AT749),0)</f>
        <v>0</v>
      </c>
      <c r="AV749" s="1948">
        <v>5555</v>
      </c>
      <c r="AW749" s="1948">
        <v>48</v>
      </c>
      <c r="AX749" s="1948">
        <v>4444</v>
      </c>
      <c r="AY749" s="1948">
        <v>1</v>
      </c>
      <c r="AZ749" s="1948">
        <v>4.17</v>
      </c>
      <c r="BA749" s="1948">
        <v>1440</v>
      </c>
      <c r="BB749" s="1948">
        <f t="shared" ref="BB749:BB792" si="220">+ROUND(24*30*0.6*AW749,0)</f>
        <v>20736</v>
      </c>
      <c r="BC749" s="1948">
        <f t="shared" ref="BC749:BC792" si="221">+MAX((BA749-BB749),0)</f>
        <v>0</v>
      </c>
      <c r="BD749" s="1949">
        <v>5555</v>
      </c>
      <c r="BE749" s="1948">
        <v>48</v>
      </c>
      <c r="BF749" s="1949">
        <v>4444</v>
      </c>
      <c r="BG749" s="1949">
        <v>1</v>
      </c>
      <c r="BH749" s="1949">
        <v>3.36</v>
      </c>
      <c r="BI749" s="1948">
        <v>1200</v>
      </c>
      <c r="BJ749" s="1948">
        <f t="shared" ref="BJ749:BJ792" si="222">+ROUND(24*31*0.6*BE749,0)</f>
        <v>21427</v>
      </c>
      <c r="BK749" s="1948">
        <f t="shared" ref="BK749:BK792" si="223">+MAX((BI749-BJ749),0)</f>
        <v>0</v>
      </c>
    </row>
    <row r="750" spans="1:63" ht="15">
      <c r="A750" s="1946">
        <v>122000000076</v>
      </c>
      <c r="B750" s="1947">
        <f t="shared" si="194"/>
        <v>2</v>
      </c>
      <c r="C750" s="1906" t="s">
        <v>652</v>
      </c>
      <c r="D750" s="1907" t="s">
        <v>524</v>
      </c>
      <c r="E750" s="1906" t="s">
        <v>541</v>
      </c>
      <c r="F750" s="1948" t="s">
        <v>259</v>
      </c>
      <c r="G750" s="1949">
        <v>5911</v>
      </c>
      <c r="H750" s="1948">
        <v>5911</v>
      </c>
      <c r="I750" s="1950">
        <v>3324</v>
      </c>
      <c r="J750" s="1948">
        <v>4728.8</v>
      </c>
      <c r="K750" s="1948">
        <v>0.73719999999999997</v>
      </c>
      <c r="L750" s="1948">
        <v>47.83</v>
      </c>
      <c r="M750" s="1948">
        <v>1144680</v>
      </c>
      <c r="N750" s="1948">
        <f t="shared" si="210"/>
        <v>1435968</v>
      </c>
      <c r="O750" s="1948">
        <f t="shared" si="211"/>
        <v>0</v>
      </c>
      <c r="P750" s="1948">
        <v>5911</v>
      </c>
      <c r="Q750" s="1948">
        <v>3324</v>
      </c>
      <c r="R750" s="1948">
        <v>4728.8</v>
      </c>
      <c r="S750" s="1948">
        <v>0.31890000000000002</v>
      </c>
      <c r="T750" s="1948">
        <v>28.24</v>
      </c>
      <c r="U750" s="1948">
        <v>698400</v>
      </c>
      <c r="V750" s="1948">
        <f t="shared" si="212"/>
        <v>1483834</v>
      </c>
      <c r="W750" s="1948">
        <f t="shared" si="213"/>
        <v>0</v>
      </c>
      <c r="X750" s="1948">
        <v>5911</v>
      </c>
      <c r="Y750" s="1948">
        <v>3216</v>
      </c>
      <c r="Z750" s="1948">
        <v>4728.8</v>
      </c>
      <c r="AA750" s="1948">
        <v>0.68310000000000004</v>
      </c>
      <c r="AB750" s="1948">
        <v>51</v>
      </c>
      <c r="AC750" s="1948">
        <v>1180800</v>
      </c>
      <c r="AD750" s="1948">
        <f t="shared" si="214"/>
        <v>1389312</v>
      </c>
      <c r="AE750" s="1948">
        <f t="shared" si="215"/>
        <v>0</v>
      </c>
      <c r="AF750" s="1948">
        <v>5911</v>
      </c>
      <c r="AG750" s="1948">
        <v>3288</v>
      </c>
      <c r="AH750" s="1948">
        <v>4728.8</v>
      </c>
      <c r="AI750" s="1948">
        <v>0.88229999999999997</v>
      </c>
      <c r="AJ750" s="1948">
        <v>69.900000000000006</v>
      </c>
      <c r="AK750" s="1948">
        <v>1712520</v>
      </c>
      <c r="AL750" s="1948">
        <f t="shared" si="216"/>
        <v>1467763</v>
      </c>
      <c r="AM750" s="1948">
        <f t="shared" si="217"/>
        <v>244757</v>
      </c>
      <c r="AN750" s="1948">
        <v>5911</v>
      </c>
      <c r="AO750" s="1948">
        <v>3156</v>
      </c>
      <c r="AP750" s="1948">
        <v>4728.8</v>
      </c>
      <c r="AQ750" s="1948">
        <v>0.34749999999999998</v>
      </c>
      <c r="AR750" s="1948">
        <v>14.53</v>
      </c>
      <c r="AS750" s="1948">
        <v>341160</v>
      </c>
      <c r="AT750" s="1948">
        <f t="shared" si="218"/>
        <v>1408838</v>
      </c>
      <c r="AU750" s="1948">
        <f t="shared" si="219"/>
        <v>0</v>
      </c>
      <c r="AV750" s="1948">
        <v>5911</v>
      </c>
      <c r="AW750" s="1948">
        <v>624</v>
      </c>
      <c r="AX750" s="1948">
        <v>4728.8</v>
      </c>
      <c r="AY750" s="1948">
        <v>9.1999999999999998E-2</v>
      </c>
      <c r="AZ750" s="1948">
        <v>67.599999999999994</v>
      </c>
      <c r="BA750" s="1948">
        <v>303720</v>
      </c>
      <c r="BB750" s="1948">
        <f t="shared" si="220"/>
        <v>269568</v>
      </c>
      <c r="BC750" s="1948">
        <f t="shared" si="221"/>
        <v>34152</v>
      </c>
      <c r="BD750" s="1949">
        <v>5911</v>
      </c>
      <c r="BE750" s="1948">
        <v>384</v>
      </c>
      <c r="BF750" s="1949">
        <v>4728.8</v>
      </c>
      <c r="BG750" s="1949">
        <v>0.12039999999999999</v>
      </c>
      <c r="BH750" s="1949">
        <v>93.71</v>
      </c>
      <c r="BI750" s="1948">
        <v>271080</v>
      </c>
      <c r="BJ750" s="1948">
        <f t="shared" si="222"/>
        <v>171418</v>
      </c>
      <c r="BK750" s="1948">
        <f t="shared" si="223"/>
        <v>99662</v>
      </c>
    </row>
    <row r="751" spans="1:63" ht="15">
      <c r="A751" s="1946">
        <v>611000000131</v>
      </c>
      <c r="B751" s="1947">
        <f t="shared" si="194"/>
        <v>3</v>
      </c>
      <c r="C751" s="1906" t="s">
        <v>612</v>
      </c>
      <c r="D751" s="1907" t="s">
        <v>613</v>
      </c>
      <c r="E751" s="1906" t="s">
        <v>602</v>
      </c>
      <c r="F751" s="1948" t="s">
        <v>271</v>
      </c>
      <c r="G751" s="1949">
        <v>6000</v>
      </c>
      <c r="H751" s="1948">
        <v>0</v>
      </c>
      <c r="I751" s="1950">
        <v>0</v>
      </c>
      <c r="J751" s="1948">
        <v>0</v>
      </c>
      <c r="K751" s="1948">
        <v>0</v>
      </c>
      <c r="L751" s="1948">
        <v>0</v>
      </c>
      <c r="M751" s="1948">
        <v>0</v>
      </c>
      <c r="N751" s="1948">
        <f t="shared" si="210"/>
        <v>0</v>
      </c>
      <c r="O751" s="1948">
        <f t="shared" si="211"/>
        <v>0</v>
      </c>
      <c r="P751" s="1948">
        <v>0</v>
      </c>
      <c r="Q751" s="1948">
        <v>0</v>
      </c>
      <c r="R751" s="1948">
        <v>0</v>
      </c>
      <c r="S751" s="1948">
        <v>0</v>
      </c>
      <c r="T751" s="1948">
        <v>0</v>
      </c>
      <c r="U751" s="1948">
        <v>0</v>
      </c>
      <c r="V751" s="1948">
        <f t="shared" si="212"/>
        <v>0</v>
      </c>
      <c r="W751" s="1948">
        <f t="shared" si="213"/>
        <v>0</v>
      </c>
      <c r="X751" s="1948">
        <v>0</v>
      </c>
      <c r="Y751" s="1948">
        <v>0</v>
      </c>
      <c r="Z751" s="1948">
        <v>0</v>
      </c>
      <c r="AA751" s="1948">
        <v>0</v>
      </c>
      <c r="AB751" s="1948">
        <v>0</v>
      </c>
      <c r="AC751" s="1948">
        <v>0</v>
      </c>
      <c r="AD751" s="1948">
        <f t="shared" si="214"/>
        <v>0</v>
      </c>
      <c r="AE751" s="1948">
        <f t="shared" si="215"/>
        <v>0</v>
      </c>
      <c r="AF751" s="1948">
        <v>0</v>
      </c>
      <c r="AG751" s="1948">
        <v>0</v>
      </c>
      <c r="AH751" s="1948">
        <v>0</v>
      </c>
      <c r="AI751" s="1948">
        <v>0</v>
      </c>
      <c r="AJ751" s="1948">
        <v>0</v>
      </c>
      <c r="AK751" s="1948">
        <v>0</v>
      </c>
      <c r="AL751" s="1948">
        <f t="shared" si="216"/>
        <v>0</v>
      </c>
      <c r="AM751" s="1948">
        <f t="shared" si="217"/>
        <v>0</v>
      </c>
      <c r="AN751" s="1948">
        <v>0</v>
      </c>
      <c r="AO751" s="1948">
        <v>0</v>
      </c>
      <c r="AP751" s="1948">
        <v>0</v>
      </c>
      <c r="AQ751" s="1948">
        <v>0</v>
      </c>
      <c r="AR751" s="1948">
        <v>0</v>
      </c>
      <c r="AS751" s="1948">
        <v>0</v>
      </c>
      <c r="AT751" s="1948">
        <f t="shared" si="218"/>
        <v>0</v>
      </c>
      <c r="AU751" s="1948">
        <f t="shared" si="219"/>
        <v>0</v>
      </c>
      <c r="AV751" s="1948">
        <v>0</v>
      </c>
      <c r="AW751" s="1948">
        <v>0</v>
      </c>
      <c r="AX751" s="1948">
        <v>0</v>
      </c>
      <c r="AY751" s="1948">
        <v>0</v>
      </c>
      <c r="AZ751" s="1948">
        <v>0</v>
      </c>
      <c r="BA751" s="1948">
        <v>0</v>
      </c>
      <c r="BB751" s="1948">
        <f t="shared" si="220"/>
        <v>0</v>
      </c>
      <c r="BC751" s="1948">
        <f t="shared" si="221"/>
        <v>0</v>
      </c>
      <c r="BD751" s="1949">
        <v>6000</v>
      </c>
      <c r="BE751" s="1948">
        <v>2784</v>
      </c>
      <c r="BF751" s="1949">
        <v>4800</v>
      </c>
      <c r="BG751" s="1949">
        <v>0.95830000000000004</v>
      </c>
      <c r="BH751" s="1949">
        <v>3.45</v>
      </c>
      <c r="BI751" s="1948">
        <v>11520</v>
      </c>
      <c r="BJ751" s="1948">
        <f t="shared" si="222"/>
        <v>1242778</v>
      </c>
      <c r="BK751" s="1948">
        <f t="shared" si="223"/>
        <v>0</v>
      </c>
    </row>
    <row r="752" spans="1:63" ht="15">
      <c r="A752" s="1946">
        <v>622000000204</v>
      </c>
      <c r="B752" s="1947">
        <f t="shared" si="194"/>
        <v>4</v>
      </c>
      <c r="C752" s="1906" t="s">
        <v>589</v>
      </c>
      <c r="D752" s="1907" t="s">
        <v>524</v>
      </c>
      <c r="E752" s="1906" t="s">
        <v>541</v>
      </c>
      <c r="F752" s="1948" t="s">
        <v>271</v>
      </c>
      <c r="G752" s="1949">
        <v>6500</v>
      </c>
      <c r="H752" s="1948">
        <v>6500</v>
      </c>
      <c r="I752" s="1950">
        <v>2577.6</v>
      </c>
      <c r="J752" s="1948">
        <v>5200</v>
      </c>
      <c r="K752" s="1948">
        <v>0.99470000000000003</v>
      </c>
      <c r="L752" s="1948">
        <v>30.99</v>
      </c>
      <c r="M752" s="1948">
        <v>575100</v>
      </c>
      <c r="N752" s="1948">
        <f t="shared" si="210"/>
        <v>1113523</v>
      </c>
      <c r="O752" s="1948">
        <f t="shared" si="211"/>
        <v>0</v>
      </c>
      <c r="P752" s="1948">
        <v>6500</v>
      </c>
      <c r="Q752" s="1948">
        <v>2460</v>
      </c>
      <c r="R752" s="1948">
        <v>5200</v>
      </c>
      <c r="S752" s="1948">
        <v>0.99299999999999999</v>
      </c>
      <c r="T752" s="1948">
        <v>12.73</v>
      </c>
      <c r="U752" s="1948">
        <v>232980</v>
      </c>
      <c r="V752" s="1948">
        <f t="shared" si="212"/>
        <v>1098144</v>
      </c>
      <c r="W752" s="1948">
        <f t="shared" si="213"/>
        <v>0</v>
      </c>
      <c r="X752" s="1948">
        <v>6500</v>
      </c>
      <c r="Y752" s="1948">
        <v>2592</v>
      </c>
      <c r="Z752" s="1948">
        <v>5200</v>
      </c>
      <c r="AA752" s="1948">
        <v>0.99160000000000004</v>
      </c>
      <c r="AB752" s="1948">
        <v>14.96</v>
      </c>
      <c r="AC752" s="1948">
        <v>279120</v>
      </c>
      <c r="AD752" s="1948">
        <f t="shared" si="214"/>
        <v>1119744</v>
      </c>
      <c r="AE752" s="1948">
        <f t="shared" si="215"/>
        <v>0</v>
      </c>
      <c r="AF752" s="1948">
        <v>6500</v>
      </c>
      <c r="AG752" s="1948">
        <v>2628</v>
      </c>
      <c r="AH752" s="1948">
        <v>5200</v>
      </c>
      <c r="AI752" s="1948">
        <v>0.99309999999999998</v>
      </c>
      <c r="AJ752" s="1948">
        <v>30.97</v>
      </c>
      <c r="AK752" s="1948">
        <v>605460</v>
      </c>
      <c r="AL752" s="1948">
        <f t="shared" si="216"/>
        <v>1173139</v>
      </c>
      <c r="AM752" s="1948">
        <f t="shared" si="217"/>
        <v>0</v>
      </c>
      <c r="AN752" s="1948">
        <v>6500</v>
      </c>
      <c r="AO752" s="1948">
        <v>2652</v>
      </c>
      <c r="AP752" s="1948">
        <v>5200</v>
      </c>
      <c r="AQ752" s="1948">
        <v>0.99019999999999997</v>
      </c>
      <c r="AR752" s="1948">
        <v>30.33</v>
      </c>
      <c r="AS752" s="1948">
        <v>598440</v>
      </c>
      <c r="AT752" s="1948">
        <f t="shared" si="218"/>
        <v>1183853</v>
      </c>
      <c r="AU752" s="1948">
        <f t="shared" si="219"/>
        <v>0</v>
      </c>
      <c r="AV752" s="1948">
        <v>6500</v>
      </c>
      <c r="AW752" s="1948">
        <v>2496</v>
      </c>
      <c r="AX752" s="1948">
        <v>5200</v>
      </c>
      <c r="AY752" s="1948">
        <v>0.99019999999999997</v>
      </c>
      <c r="AZ752" s="1948">
        <v>13.65</v>
      </c>
      <c r="BA752" s="1948">
        <v>245280</v>
      </c>
      <c r="BB752" s="1948">
        <f t="shared" si="220"/>
        <v>1078272</v>
      </c>
      <c r="BC752" s="1948">
        <f t="shared" si="221"/>
        <v>0</v>
      </c>
      <c r="BD752" s="1949">
        <v>6500</v>
      </c>
      <c r="BE752" s="1948">
        <v>2472</v>
      </c>
      <c r="BF752" s="1949">
        <v>5200</v>
      </c>
      <c r="BG752" s="1949">
        <v>0.99399999999999999</v>
      </c>
      <c r="BH752" s="1949">
        <v>10.4</v>
      </c>
      <c r="BI752" s="1948">
        <v>191280</v>
      </c>
      <c r="BJ752" s="1948">
        <f t="shared" si="222"/>
        <v>1103501</v>
      </c>
      <c r="BK752" s="1948">
        <f t="shared" si="223"/>
        <v>0</v>
      </c>
    </row>
    <row r="753" spans="1:63" ht="15">
      <c r="A753" s="1946">
        <v>622000000211</v>
      </c>
      <c r="B753" s="1947">
        <f t="shared" si="194"/>
        <v>5</v>
      </c>
      <c r="C753" s="1906" t="s">
        <v>724</v>
      </c>
      <c r="D753" s="1907" t="s">
        <v>524</v>
      </c>
      <c r="E753" s="1906" t="s">
        <v>709</v>
      </c>
      <c r="F753" s="1948" t="s">
        <v>259</v>
      </c>
      <c r="G753" s="1949">
        <v>7021</v>
      </c>
      <c r="H753" s="1948">
        <v>7021</v>
      </c>
      <c r="I753" s="1950">
        <v>451.20000000000005</v>
      </c>
      <c r="J753" s="1948">
        <v>5616.8</v>
      </c>
      <c r="K753" s="1948">
        <v>0.9032</v>
      </c>
      <c r="L753" s="1948">
        <v>2.86</v>
      </c>
      <c r="M753" s="1948">
        <v>9300</v>
      </c>
      <c r="N753" s="1948">
        <f t="shared" si="210"/>
        <v>194918</v>
      </c>
      <c r="O753" s="1948">
        <f t="shared" si="211"/>
        <v>0</v>
      </c>
      <c r="P753" s="1948">
        <v>7021</v>
      </c>
      <c r="Q753" s="1948">
        <v>681.6</v>
      </c>
      <c r="R753" s="1948">
        <v>5616.8</v>
      </c>
      <c r="S753" s="1948">
        <v>0.94230000000000003</v>
      </c>
      <c r="T753" s="1948">
        <v>1.85</v>
      </c>
      <c r="U753" s="1948">
        <v>9360</v>
      </c>
      <c r="V753" s="1948">
        <f t="shared" si="212"/>
        <v>304266</v>
      </c>
      <c r="W753" s="1948">
        <f t="shared" si="213"/>
        <v>0</v>
      </c>
      <c r="X753" s="1948">
        <v>7021</v>
      </c>
      <c r="Y753" s="1948">
        <v>561.6</v>
      </c>
      <c r="Z753" s="1948">
        <v>5616.8</v>
      </c>
      <c r="AA753" s="1948">
        <v>0.90790000000000004</v>
      </c>
      <c r="AB753" s="1948">
        <v>2.42</v>
      </c>
      <c r="AC753" s="1948">
        <v>9780</v>
      </c>
      <c r="AD753" s="1948">
        <f t="shared" si="214"/>
        <v>242611</v>
      </c>
      <c r="AE753" s="1948">
        <f t="shared" si="215"/>
        <v>0</v>
      </c>
      <c r="AF753" s="1948">
        <v>7021</v>
      </c>
      <c r="AG753" s="1948">
        <v>1272</v>
      </c>
      <c r="AH753" s="1948">
        <v>5616.8</v>
      </c>
      <c r="AI753" s="1948">
        <v>0.82920000000000005</v>
      </c>
      <c r="AJ753" s="1948">
        <v>1.04</v>
      </c>
      <c r="AK753" s="1948">
        <v>9840</v>
      </c>
      <c r="AL753" s="1948">
        <f t="shared" si="216"/>
        <v>567821</v>
      </c>
      <c r="AM753" s="1948">
        <f t="shared" si="217"/>
        <v>0</v>
      </c>
      <c r="AN753" s="1948">
        <v>7021</v>
      </c>
      <c r="AO753" s="1948">
        <v>1483.2</v>
      </c>
      <c r="AP753" s="1948">
        <v>5616.8</v>
      </c>
      <c r="AQ753" s="1948">
        <v>0.76359999999999995</v>
      </c>
      <c r="AR753" s="1948">
        <v>0.9</v>
      </c>
      <c r="AS753" s="1948">
        <v>9900</v>
      </c>
      <c r="AT753" s="1948">
        <f t="shared" si="218"/>
        <v>662100</v>
      </c>
      <c r="AU753" s="1948">
        <f t="shared" si="219"/>
        <v>0</v>
      </c>
      <c r="AV753" s="1948">
        <v>7021</v>
      </c>
      <c r="AW753" s="1948">
        <v>24</v>
      </c>
      <c r="AX753" s="1948">
        <v>5616.8</v>
      </c>
      <c r="AY753" s="1948">
        <v>1</v>
      </c>
      <c r="AZ753" s="1948">
        <v>34.03</v>
      </c>
      <c r="BA753" s="1948">
        <v>5880</v>
      </c>
      <c r="BB753" s="1948">
        <f t="shared" si="220"/>
        <v>10368</v>
      </c>
      <c r="BC753" s="1948">
        <f t="shared" si="221"/>
        <v>0</v>
      </c>
      <c r="BD753" s="1949">
        <v>7021</v>
      </c>
      <c r="BE753" s="1948">
        <v>1190.3999999999999</v>
      </c>
      <c r="BF753" s="1949">
        <v>5616.8</v>
      </c>
      <c r="BG753" s="1949">
        <v>0.82450000000000001</v>
      </c>
      <c r="BH753" s="1949">
        <v>0.77</v>
      </c>
      <c r="BI753" s="1948">
        <v>6840</v>
      </c>
      <c r="BJ753" s="1948">
        <f t="shared" si="222"/>
        <v>531395</v>
      </c>
      <c r="BK753" s="1948">
        <f t="shared" si="223"/>
        <v>0</v>
      </c>
    </row>
    <row r="754" spans="1:63" ht="15">
      <c r="A754" s="1946">
        <v>611000000119</v>
      </c>
      <c r="B754" s="1947">
        <f t="shared" si="194"/>
        <v>6</v>
      </c>
      <c r="C754" s="1906" t="s">
        <v>572</v>
      </c>
      <c r="D754" s="1907" t="s">
        <v>524</v>
      </c>
      <c r="E754" s="1906" t="s">
        <v>541</v>
      </c>
      <c r="F754" s="1948" t="s">
        <v>271</v>
      </c>
      <c r="G754" s="1949">
        <v>7500</v>
      </c>
      <c r="H754" s="1948">
        <v>7500</v>
      </c>
      <c r="I754" s="1950">
        <v>7656</v>
      </c>
      <c r="J754" s="1948">
        <v>7656</v>
      </c>
      <c r="K754" s="1948">
        <v>0.99280000000000002</v>
      </c>
      <c r="L754" s="1948">
        <v>80.400000000000006</v>
      </c>
      <c r="M754" s="1948">
        <v>4431780</v>
      </c>
      <c r="N754" s="1948">
        <f t="shared" si="210"/>
        <v>3307392</v>
      </c>
      <c r="O754" s="1948">
        <f t="shared" si="211"/>
        <v>1124388</v>
      </c>
      <c r="P754" s="1948">
        <v>7500</v>
      </c>
      <c r="Q754" s="1948">
        <v>7620</v>
      </c>
      <c r="R754" s="1948">
        <v>7620</v>
      </c>
      <c r="S754" s="1948">
        <v>0.99519999999999997</v>
      </c>
      <c r="T754" s="1948">
        <v>83.22</v>
      </c>
      <c r="U754" s="1948">
        <v>4717980</v>
      </c>
      <c r="V754" s="1948">
        <f t="shared" si="212"/>
        <v>3401568</v>
      </c>
      <c r="W754" s="1948">
        <f t="shared" si="213"/>
        <v>1316412</v>
      </c>
      <c r="X754" s="1948">
        <v>7500</v>
      </c>
      <c r="Y754" s="1948">
        <v>7512</v>
      </c>
      <c r="Z754" s="1948">
        <v>7512</v>
      </c>
      <c r="AA754" s="1948">
        <v>0.99380000000000002</v>
      </c>
      <c r="AB754" s="1948">
        <v>82.73</v>
      </c>
      <c r="AC754" s="1948">
        <v>4474560</v>
      </c>
      <c r="AD754" s="1948">
        <f t="shared" si="214"/>
        <v>3245184</v>
      </c>
      <c r="AE754" s="1948">
        <f t="shared" si="215"/>
        <v>1229376</v>
      </c>
      <c r="AF754" s="1948">
        <v>7500</v>
      </c>
      <c r="AG754" s="1948">
        <v>7716</v>
      </c>
      <c r="AH754" s="1948">
        <v>7716</v>
      </c>
      <c r="AI754" s="1948">
        <v>0.98729999999999996</v>
      </c>
      <c r="AJ754" s="1948">
        <v>65.09</v>
      </c>
      <c r="AK754" s="1948">
        <v>3736860</v>
      </c>
      <c r="AL754" s="1948">
        <f t="shared" si="216"/>
        <v>3444422</v>
      </c>
      <c r="AM754" s="1948">
        <f t="shared" si="217"/>
        <v>292438</v>
      </c>
      <c r="AN754" s="1948">
        <v>7500</v>
      </c>
      <c r="AO754" s="1948">
        <v>7488</v>
      </c>
      <c r="AP754" s="1948">
        <v>7488</v>
      </c>
      <c r="AQ754" s="1948">
        <v>0.97240000000000004</v>
      </c>
      <c r="AR754" s="1948">
        <v>45.37</v>
      </c>
      <c r="AS754" s="1948">
        <v>2527560</v>
      </c>
      <c r="AT754" s="1948">
        <f t="shared" si="218"/>
        <v>3342643</v>
      </c>
      <c r="AU754" s="1948">
        <f t="shared" si="219"/>
        <v>0</v>
      </c>
      <c r="AV754" s="1948">
        <v>7500</v>
      </c>
      <c r="AW754" s="1948">
        <v>7931.9999999999991</v>
      </c>
      <c r="AX754" s="1948">
        <v>7932</v>
      </c>
      <c r="AY754" s="1948">
        <v>0.97840000000000005</v>
      </c>
      <c r="AZ754" s="1948">
        <v>62.66</v>
      </c>
      <c r="BA754" s="1948">
        <v>3578760</v>
      </c>
      <c r="BB754" s="1948">
        <f t="shared" si="220"/>
        <v>3426624</v>
      </c>
      <c r="BC754" s="1948">
        <f t="shared" si="221"/>
        <v>152136</v>
      </c>
      <c r="BD754" s="1949">
        <v>7500</v>
      </c>
      <c r="BE754" s="1948">
        <v>7968.0000000000009</v>
      </c>
      <c r="BF754" s="1949">
        <v>7968</v>
      </c>
      <c r="BG754" s="1949">
        <v>0.99329999999999996</v>
      </c>
      <c r="BH754" s="1949">
        <v>86.61</v>
      </c>
      <c r="BI754" s="1948">
        <v>5134620</v>
      </c>
      <c r="BJ754" s="1948">
        <f t="shared" si="222"/>
        <v>3556915</v>
      </c>
      <c r="BK754" s="1948">
        <f t="shared" si="223"/>
        <v>1577705</v>
      </c>
    </row>
    <row r="755" spans="1:63" ht="15">
      <c r="A755" s="1946">
        <v>615000000040</v>
      </c>
      <c r="B755" s="1947">
        <f t="shared" si="194"/>
        <v>7</v>
      </c>
      <c r="C755" s="1906" t="s">
        <v>574</v>
      </c>
      <c r="D755" s="1907" t="s">
        <v>524</v>
      </c>
      <c r="E755" s="1906" t="s">
        <v>541</v>
      </c>
      <c r="F755" s="1948" t="s">
        <v>271</v>
      </c>
      <c r="G755" s="1949">
        <v>7500</v>
      </c>
      <c r="H755" s="1948">
        <v>7500</v>
      </c>
      <c r="I755" s="1950">
        <v>6760</v>
      </c>
      <c r="J755" s="1948">
        <v>6760</v>
      </c>
      <c r="K755" s="1948">
        <v>0.99919999999999998</v>
      </c>
      <c r="L755" s="1948">
        <v>73.66</v>
      </c>
      <c r="M755" s="1948">
        <v>3585400</v>
      </c>
      <c r="N755" s="1948">
        <f t="shared" si="210"/>
        <v>2920320</v>
      </c>
      <c r="O755" s="1948">
        <f t="shared" si="211"/>
        <v>665080</v>
      </c>
      <c r="P755" s="1948">
        <v>7500</v>
      </c>
      <c r="Q755" s="1948">
        <v>6760</v>
      </c>
      <c r="R755" s="1948">
        <v>6760</v>
      </c>
      <c r="S755" s="1948">
        <v>0.99929999999999997</v>
      </c>
      <c r="T755" s="1948">
        <v>78.150000000000006</v>
      </c>
      <c r="U755" s="1948">
        <v>3930400</v>
      </c>
      <c r="V755" s="1948">
        <f t="shared" si="212"/>
        <v>3017664</v>
      </c>
      <c r="W755" s="1948">
        <f t="shared" si="213"/>
        <v>912736</v>
      </c>
      <c r="X755" s="1948">
        <v>7500</v>
      </c>
      <c r="Y755" s="1948">
        <v>6680</v>
      </c>
      <c r="Z755" s="1948">
        <v>6680</v>
      </c>
      <c r="AA755" s="1948">
        <v>0.99929999999999997</v>
      </c>
      <c r="AB755" s="1948">
        <v>66.12</v>
      </c>
      <c r="AC755" s="1948">
        <v>3180200</v>
      </c>
      <c r="AD755" s="1948">
        <f t="shared" si="214"/>
        <v>2885760</v>
      </c>
      <c r="AE755" s="1948">
        <f t="shared" si="215"/>
        <v>294440</v>
      </c>
      <c r="AF755" s="1948">
        <v>7500</v>
      </c>
      <c r="AG755" s="1948">
        <v>6600</v>
      </c>
      <c r="AH755" s="1948">
        <v>6600</v>
      </c>
      <c r="AI755" s="1948">
        <v>0.99839999999999995</v>
      </c>
      <c r="AJ755" s="1948">
        <v>76.11</v>
      </c>
      <c r="AK755" s="1948">
        <v>3737400</v>
      </c>
      <c r="AL755" s="1948">
        <f t="shared" si="216"/>
        <v>2946240</v>
      </c>
      <c r="AM755" s="1948">
        <f t="shared" si="217"/>
        <v>791160</v>
      </c>
      <c r="AN755" s="1948">
        <v>7500</v>
      </c>
      <c r="AO755" s="1948">
        <v>6880</v>
      </c>
      <c r="AP755" s="1948">
        <v>6880</v>
      </c>
      <c r="AQ755" s="1948">
        <v>0.99860000000000004</v>
      </c>
      <c r="AR755" s="1948">
        <v>74.47</v>
      </c>
      <c r="AS755" s="1948">
        <v>3812000</v>
      </c>
      <c r="AT755" s="1948">
        <f t="shared" si="218"/>
        <v>3071232</v>
      </c>
      <c r="AU755" s="1948">
        <f t="shared" si="219"/>
        <v>740768</v>
      </c>
      <c r="AV755" s="1948">
        <v>7500</v>
      </c>
      <c r="AW755" s="1948">
        <v>6760</v>
      </c>
      <c r="AX755" s="1948">
        <v>6760</v>
      </c>
      <c r="AY755" s="1948">
        <v>0.99819999999999998</v>
      </c>
      <c r="AZ755" s="1948">
        <v>69.66</v>
      </c>
      <c r="BA755" s="1948">
        <v>3390400</v>
      </c>
      <c r="BB755" s="1948">
        <f t="shared" si="220"/>
        <v>2920320</v>
      </c>
      <c r="BC755" s="1948">
        <f t="shared" si="221"/>
        <v>470080</v>
      </c>
      <c r="BD755" s="1949">
        <v>7500</v>
      </c>
      <c r="BE755" s="1948">
        <v>6800</v>
      </c>
      <c r="BF755" s="1949">
        <v>6800</v>
      </c>
      <c r="BG755" s="1949">
        <v>0.99939999999999996</v>
      </c>
      <c r="BH755" s="1949">
        <v>57.18</v>
      </c>
      <c r="BI755" s="1948">
        <v>2892800</v>
      </c>
      <c r="BJ755" s="1948">
        <f t="shared" si="222"/>
        <v>3035520</v>
      </c>
      <c r="BK755" s="1948">
        <f t="shared" si="223"/>
        <v>0</v>
      </c>
    </row>
    <row r="756" spans="1:63" ht="15">
      <c r="A756" s="1946">
        <v>622000000005</v>
      </c>
      <c r="B756" s="1947">
        <f t="shared" si="194"/>
        <v>8</v>
      </c>
      <c r="C756" s="1906" t="s">
        <v>523</v>
      </c>
      <c r="D756" s="1907" t="s">
        <v>524</v>
      </c>
      <c r="E756" s="1906" t="s">
        <v>525</v>
      </c>
      <c r="F756" s="1948" t="s">
        <v>271</v>
      </c>
      <c r="G756" s="1949">
        <v>7778</v>
      </c>
      <c r="H756" s="1948">
        <v>7778</v>
      </c>
      <c r="I756" s="1950">
        <v>120</v>
      </c>
      <c r="J756" s="1948">
        <v>6222.4</v>
      </c>
      <c r="K756" s="1948">
        <v>0</v>
      </c>
      <c r="L756" s="1948">
        <v>0</v>
      </c>
      <c r="M756" s="1948">
        <v>0</v>
      </c>
      <c r="N756" s="1948">
        <f t="shared" si="210"/>
        <v>51840</v>
      </c>
      <c r="O756" s="1948">
        <f t="shared" si="211"/>
        <v>0</v>
      </c>
      <c r="P756" s="1948">
        <v>7778</v>
      </c>
      <c r="Q756" s="1948">
        <v>6.0000000000000005E-2</v>
      </c>
      <c r="R756" s="1948">
        <v>6222.4</v>
      </c>
      <c r="S756" s="1948">
        <v>0</v>
      </c>
      <c r="T756" s="1948">
        <v>0</v>
      </c>
      <c r="U756" s="1948">
        <v>0</v>
      </c>
      <c r="V756" s="1948">
        <f t="shared" si="212"/>
        <v>27</v>
      </c>
      <c r="W756" s="1948">
        <f t="shared" si="213"/>
        <v>0</v>
      </c>
      <c r="X756" s="1948">
        <v>7778</v>
      </c>
      <c r="Y756" s="1948">
        <v>60</v>
      </c>
      <c r="Z756" s="1948">
        <v>6222.4</v>
      </c>
      <c r="AA756" s="1948">
        <v>1</v>
      </c>
      <c r="AB756" s="1948">
        <v>0.69</v>
      </c>
      <c r="AC756" s="1948">
        <v>300</v>
      </c>
      <c r="AD756" s="1948">
        <f t="shared" si="214"/>
        <v>25920</v>
      </c>
      <c r="AE756" s="1948">
        <f t="shared" si="215"/>
        <v>0</v>
      </c>
      <c r="AF756" s="1948">
        <v>7778</v>
      </c>
      <c r="AG756" s="1948">
        <v>480</v>
      </c>
      <c r="AH756" s="1948">
        <v>6222.4</v>
      </c>
      <c r="AI756" s="1948">
        <v>1</v>
      </c>
      <c r="AJ756" s="1948">
        <v>0.17</v>
      </c>
      <c r="AK756" s="1948">
        <v>600</v>
      </c>
      <c r="AL756" s="1948">
        <f t="shared" si="216"/>
        <v>214272</v>
      </c>
      <c r="AM756" s="1948">
        <f t="shared" si="217"/>
        <v>0</v>
      </c>
      <c r="AN756" s="1948">
        <v>7778</v>
      </c>
      <c r="AO756" s="1948">
        <v>4860</v>
      </c>
      <c r="AP756" s="1948">
        <v>4860</v>
      </c>
      <c r="AQ756" s="1948">
        <v>0.63629999999999998</v>
      </c>
      <c r="AR756" s="1948">
        <v>0.27</v>
      </c>
      <c r="AS756" s="1948">
        <v>9900</v>
      </c>
      <c r="AT756" s="1948">
        <f t="shared" si="218"/>
        <v>2169504</v>
      </c>
      <c r="AU756" s="1948">
        <f t="shared" si="219"/>
        <v>0</v>
      </c>
      <c r="AV756" s="1948">
        <v>7778</v>
      </c>
      <c r="AW756" s="1948">
        <v>60</v>
      </c>
      <c r="AX756" s="1948">
        <v>6222.4</v>
      </c>
      <c r="AY756" s="1948">
        <v>0</v>
      </c>
      <c r="AZ756" s="1948">
        <v>0</v>
      </c>
      <c r="BA756" s="1948">
        <v>0</v>
      </c>
      <c r="BB756" s="1948">
        <f t="shared" si="220"/>
        <v>25920</v>
      </c>
      <c r="BC756" s="1948">
        <f t="shared" si="221"/>
        <v>0</v>
      </c>
      <c r="BD756" s="1949">
        <v>7778</v>
      </c>
      <c r="BE756" s="1948">
        <v>1260</v>
      </c>
      <c r="BF756" s="1949">
        <v>6222.4</v>
      </c>
      <c r="BG756" s="1949">
        <v>1</v>
      </c>
      <c r="BH756" s="1949">
        <v>0.35</v>
      </c>
      <c r="BI756" s="1948">
        <v>3300</v>
      </c>
      <c r="BJ756" s="1948">
        <f t="shared" si="222"/>
        <v>562464</v>
      </c>
      <c r="BK756" s="1948">
        <f t="shared" si="223"/>
        <v>0</v>
      </c>
    </row>
    <row r="757" spans="1:63" ht="15">
      <c r="A757" s="1946">
        <v>611000000100</v>
      </c>
      <c r="B757" s="1947">
        <f t="shared" si="194"/>
        <v>9</v>
      </c>
      <c r="C757" s="1906" t="s">
        <v>570</v>
      </c>
      <c r="D757" s="1907" t="s">
        <v>524</v>
      </c>
      <c r="E757" s="1906" t="s">
        <v>541</v>
      </c>
      <c r="F757" s="1948" t="s">
        <v>271</v>
      </c>
      <c r="G757" s="1949">
        <v>8000</v>
      </c>
      <c r="H757" s="1948">
        <v>8000</v>
      </c>
      <c r="I757" s="1950">
        <v>6456</v>
      </c>
      <c r="J757" s="1948">
        <v>6400</v>
      </c>
      <c r="K757" s="1948">
        <v>0.9929</v>
      </c>
      <c r="L757" s="1948">
        <v>67.180000000000007</v>
      </c>
      <c r="M757" s="1948">
        <v>2317440</v>
      </c>
      <c r="N757" s="1948">
        <f t="shared" si="210"/>
        <v>2788992</v>
      </c>
      <c r="O757" s="1948">
        <f t="shared" si="211"/>
        <v>0</v>
      </c>
      <c r="P757" s="1948">
        <v>8000</v>
      </c>
      <c r="Q757" s="1948">
        <v>4598.3999999999996</v>
      </c>
      <c r="R757" s="1948">
        <v>6400</v>
      </c>
      <c r="S757" s="1948">
        <v>0.99309999999999998</v>
      </c>
      <c r="T757" s="1948">
        <v>59.52</v>
      </c>
      <c r="U757" s="1948">
        <v>2283360</v>
      </c>
      <c r="V757" s="1948">
        <f t="shared" si="212"/>
        <v>2052726</v>
      </c>
      <c r="W757" s="1948">
        <f t="shared" si="213"/>
        <v>230634</v>
      </c>
      <c r="X757" s="1948">
        <v>8000</v>
      </c>
      <c r="Y757" s="1948">
        <v>7008</v>
      </c>
      <c r="Z757" s="1948">
        <v>6604.8</v>
      </c>
      <c r="AA757" s="1948">
        <v>0.98939999999999995</v>
      </c>
      <c r="AB757" s="1948">
        <v>37.4</v>
      </c>
      <c r="AC757" s="1948">
        <v>1910880</v>
      </c>
      <c r="AD757" s="1948">
        <f t="shared" si="214"/>
        <v>3027456</v>
      </c>
      <c r="AE757" s="1948">
        <f t="shared" si="215"/>
        <v>0</v>
      </c>
      <c r="AF757" s="1948">
        <v>8000</v>
      </c>
      <c r="AG757" s="1948">
        <v>7176</v>
      </c>
      <c r="AH757" s="1948">
        <v>6400</v>
      </c>
      <c r="AI757" s="1948">
        <v>0.98080000000000001</v>
      </c>
      <c r="AJ757" s="1948">
        <v>47.57</v>
      </c>
      <c r="AK757" s="1948">
        <v>1844280</v>
      </c>
      <c r="AL757" s="1948">
        <f t="shared" si="216"/>
        <v>3203366</v>
      </c>
      <c r="AM757" s="1948">
        <f t="shared" si="217"/>
        <v>0</v>
      </c>
      <c r="AN757" s="1948">
        <v>8000</v>
      </c>
      <c r="AO757" s="1948">
        <v>6624</v>
      </c>
      <c r="AP757" s="1948">
        <v>6400</v>
      </c>
      <c r="AQ757" s="1948">
        <v>0.99180000000000001</v>
      </c>
      <c r="AR757" s="1948">
        <v>42.76</v>
      </c>
      <c r="AS757" s="1948">
        <v>1509840</v>
      </c>
      <c r="AT757" s="1948">
        <f t="shared" si="218"/>
        <v>2956954</v>
      </c>
      <c r="AU757" s="1948">
        <f t="shared" si="219"/>
        <v>0</v>
      </c>
      <c r="AV757" s="1948">
        <v>8000</v>
      </c>
      <c r="AW757" s="1948">
        <v>4320</v>
      </c>
      <c r="AX757" s="1948">
        <v>6400</v>
      </c>
      <c r="AY757" s="1948">
        <v>0.99019999999999997</v>
      </c>
      <c r="AZ757" s="1948">
        <v>50.83</v>
      </c>
      <c r="BA757" s="1948">
        <v>1594080</v>
      </c>
      <c r="BB757" s="1948">
        <f t="shared" si="220"/>
        <v>1866240</v>
      </c>
      <c r="BC757" s="1948">
        <f t="shared" si="221"/>
        <v>0</v>
      </c>
      <c r="BD757" s="1949">
        <v>8000</v>
      </c>
      <c r="BE757" s="1948">
        <v>6576</v>
      </c>
      <c r="BF757" s="1949">
        <v>6576</v>
      </c>
      <c r="BG757" s="1949">
        <v>0.98980000000000001</v>
      </c>
      <c r="BH757" s="1949">
        <v>40.5</v>
      </c>
      <c r="BI757" s="1948">
        <v>1981680</v>
      </c>
      <c r="BJ757" s="1948">
        <f t="shared" si="222"/>
        <v>2935526</v>
      </c>
      <c r="BK757" s="1948">
        <f t="shared" si="223"/>
        <v>0</v>
      </c>
    </row>
    <row r="758" spans="1:63" ht="15">
      <c r="A758" s="1946">
        <v>611000000103</v>
      </c>
      <c r="B758" s="1947">
        <f t="shared" si="194"/>
        <v>10</v>
      </c>
      <c r="C758" s="1906" t="s">
        <v>670</v>
      </c>
      <c r="D758" s="1907" t="s">
        <v>524</v>
      </c>
      <c r="E758" s="1906" t="s">
        <v>541</v>
      </c>
      <c r="F758" s="1948" t="s">
        <v>259</v>
      </c>
      <c r="G758" s="1949">
        <v>8000</v>
      </c>
      <c r="H758" s="1948">
        <v>8000</v>
      </c>
      <c r="I758" s="1950">
        <v>6124.7999999999993</v>
      </c>
      <c r="J758" s="1948">
        <v>6400</v>
      </c>
      <c r="K758" s="1948">
        <v>0.99460000000000004</v>
      </c>
      <c r="L758" s="1948">
        <v>12.01</v>
      </c>
      <c r="M758" s="1948">
        <v>529500</v>
      </c>
      <c r="N758" s="1948">
        <f t="shared" si="210"/>
        <v>2645914</v>
      </c>
      <c r="O758" s="1948">
        <f t="shared" si="211"/>
        <v>0</v>
      </c>
      <c r="P758" s="1948">
        <v>8000</v>
      </c>
      <c r="Q758" s="1948">
        <v>6628.8</v>
      </c>
      <c r="R758" s="1948">
        <v>6628.8</v>
      </c>
      <c r="S758" s="1948">
        <v>0.99480000000000002</v>
      </c>
      <c r="T758" s="1948">
        <v>19.309999999999999</v>
      </c>
      <c r="U758" s="1948">
        <v>952380</v>
      </c>
      <c r="V758" s="1948">
        <f t="shared" si="212"/>
        <v>2959096</v>
      </c>
      <c r="W758" s="1948">
        <f t="shared" si="213"/>
        <v>0</v>
      </c>
      <c r="X758" s="1948">
        <v>8000</v>
      </c>
      <c r="Y758" s="1948">
        <v>6110.4</v>
      </c>
      <c r="Z758" s="1948">
        <v>6400</v>
      </c>
      <c r="AA758" s="1948">
        <v>0.99339999999999995</v>
      </c>
      <c r="AB758" s="1948">
        <v>20.49</v>
      </c>
      <c r="AC758" s="1948">
        <v>901380</v>
      </c>
      <c r="AD758" s="1948">
        <f t="shared" si="214"/>
        <v>2639693</v>
      </c>
      <c r="AE758" s="1948">
        <f t="shared" si="215"/>
        <v>0</v>
      </c>
      <c r="AF758" s="1948">
        <v>8000</v>
      </c>
      <c r="AG758" s="1948">
        <v>6561.5999999999995</v>
      </c>
      <c r="AH758" s="1948">
        <v>6561.6</v>
      </c>
      <c r="AI758" s="1948">
        <v>0.99250000000000005</v>
      </c>
      <c r="AJ758" s="1948">
        <v>27.26</v>
      </c>
      <c r="AK758" s="1948">
        <v>1330740</v>
      </c>
      <c r="AL758" s="1948">
        <f t="shared" si="216"/>
        <v>2929098</v>
      </c>
      <c r="AM758" s="1948">
        <f t="shared" si="217"/>
        <v>0</v>
      </c>
      <c r="AN758" s="1948">
        <v>8000</v>
      </c>
      <c r="AO758" s="1948">
        <v>6412.8</v>
      </c>
      <c r="AP758" s="1948">
        <v>6412.8</v>
      </c>
      <c r="AQ758" s="1948">
        <v>0.99519999999999997</v>
      </c>
      <c r="AR758" s="1948">
        <v>30.72</v>
      </c>
      <c r="AS758" s="1948">
        <v>1465620</v>
      </c>
      <c r="AT758" s="1948">
        <f t="shared" si="218"/>
        <v>2862674</v>
      </c>
      <c r="AU758" s="1948">
        <f t="shared" si="219"/>
        <v>0</v>
      </c>
      <c r="AV758" s="1948">
        <v>8000</v>
      </c>
      <c r="AW758" s="1948">
        <v>6547.2</v>
      </c>
      <c r="AX758" s="1948">
        <v>6547.2</v>
      </c>
      <c r="AY758" s="1948">
        <v>0.99639999999999995</v>
      </c>
      <c r="AZ758" s="1948">
        <v>31.21</v>
      </c>
      <c r="BA758" s="1948">
        <v>1471200</v>
      </c>
      <c r="BB758" s="1948">
        <f t="shared" si="220"/>
        <v>2828390</v>
      </c>
      <c r="BC758" s="1948">
        <f t="shared" si="221"/>
        <v>0</v>
      </c>
      <c r="BD758" s="1949">
        <v>8000</v>
      </c>
      <c r="BE758" s="1948">
        <v>6398.4</v>
      </c>
      <c r="BF758" s="1949">
        <v>6400</v>
      </c>
      <c r="BG758" s="1949">
        <v>0.99580000000000002</v>
      </c>
      <c r="BH758" s="1949">
        <v>29.27</v>
      </c>
      <c r="BI758" s="1948">
        <v>1393560</v>
      </c>
      <c r="BJ758" s="1948">
        <f t="shared" si="222"/>
        <v>2856246</v>
      </c>
      <c r="BK758" s="1948">
        <f t="shared" si="223"/>
        <v>0</v>
      </c>
    </row>
    <row r="759" spans="1:63" ht="15">
      <c r="A759" s="1946">
        <v>129000000006</v>
      </c>
      <c r="B759" s="1947">
        <f t="shared" si="194"/>
        <v>11</v>
      </c>
      <c r="C759" s="1906" t="s">
        <v>714</v>
      </c>
      <c r="D759" s="1907" t="s">
        <v>524</v>
      </c>
      <c r="E759" s="1906" t="s">
        <v>709</v>
      </c>
      <c r="F759" s="1948" t="s">
        <v>259</v>
      </c>
      <c r="G759" s="1949">
        <v>8319</v>
      </c>
      <c r="H759" s="1948">
        <v>8319</v>
      </c>
      <c r="I759" s="1950">
        <v>27</v>
      </c>
      <c r="J759" s="1948">
        <v>6655.2</v>
      </c>
      <c r="K759" s="1948">
        <v>1.0073000000000001</v>
      </c>
      <c r="L759" s="1948">
        <v>31.48</v>
      </c>
      <c r="M759" s="1948">
        <v>6120</v>
      </c>
      <c r="N759" s="1948">
        <f t="shared" si="210"/>
        <v>11664</v>
      </c>
      <c r="O759" s="1948">
        <f t="shared" si="211"/>
        <v>0</v>
      </c>
      <c r="P759" s="1948">
        <v>8319</v>
      </c>
      <c r="Q759" s="1948">
        <v>18</v>
      </c>
      <c r="R759" s="1948">
        <v>6655.2</v>
      </c>
      <c r="S759" s="1948">
        <v>0.98209999999999997</v>
      </c>
      <c r="T759" s="1948">
        <v>18.82</v>
      </c>
      <c r="U759" s="1948">
        <v>2520</v>
      </c>
      <c r="V759" s="1948">
        <f t="shared" si="212"/>
        <v>8035</v>
      </c>
      <c r="W759" s="1948">
        <f t="shared" si="213"/>
        <v>0</v>
      </c>
      <c r="X759" s="1948">
        <v>8319</v>
      </c>
      <c r="Y759" s="1948">
        <v>18</v>
      </c>
      <c r="Z759" s="1948">
        <v>6655.2</v>
      </c>
      <c r="AA759" s="1948">
        <v>1</v>
      </c>
      <c r="AB759" s="1948">
        <v>16.670000000000002</v>
      </c>
      <c r="AC759" s="1948">
        <v>2160</v>
      </c>
      <c r="AD759" s="1948">
        <f t="shared" si="214"/>
        <v>7776</v>
      </c>
      <c r="AE759" s="1948">
        <f t="shared" si="215"/>
        <v>0</v>
      </c>
      <c r="AF759" s="1948">
        <v>8319</v>
      </c>
      <c r="AG759" s="1948">
        <v>458.99999999999994</v>
      </c>
      <c r="AH759" s="1948">
        <v>6655.2</v>
      </c>
      <c r="AI759" s="1948">
        <v>1</v>
      </c>
      <c r="AJ759" s="1948">
        <v>2.15</v>
      </c>
      <c r="AK759" s="1948">
        <v>7335</v>
      </c>
      <c r="AL759" s="1948">
        <f t="shared" si="216"/>
        <v>204898</v>
      </c>
      <c r="AM759" s="1948">
        <f t="shared" si="217"/>
        <v>0</v>
      </c>
      <c r="AN759" s="1948">
        <v>8319</v>
      </c>
      <c r="AO759" s="1948">
        <v>585</v>
      </c>
      <c r="AP759" s="1948">
        <v>6655.2</v>
      </c>
      <c r="AQ759" s="1948">
        <v>0.98429999999999995</v>
      </c>
      <c r="AR759" s="1948">
        <v>2.65</v>
      </c>
      <c r="AS759" s="1948">
        <v>11520</v>
      </c>
      <c r="AT759" s="1948">
        <f t="shared" si="218"/>
        <v>261144</v>
      </c>
      <c r="AU759" s="1948">
        <f t="shared" si="219"/>
        <v>0</v>
      </c>
      <c r="AV759" s="1948">
        <v>8319</v>
      </c>
      <c r="AW759" s="1948">
        <v>882.00000000000011</v>
      </c>
      <c r="AX759" s="1948">
        <v>6655.2</v>
      </c>
      <c r="AY759" s="1948">
        <v>0.98450000000000004</v>
      </c>
      <c r="AZ759" s="1948">
        <v>2.75</v>
      </c>
      <c r="BA759" s="1948">
        <v>17460</v>
      </c>
      <c r="BB759" s="1948">
        <f t="shared" si="220"/>
        <v>381024</v>
      </c>
      <c r="BC759" s="1948">
        <f t="shared" si="221"/>
        <v>0</v>
      </c>
      <c r="BD759" s="1949">
        <v>8319</v>
      </c>
      <c r="BE759" s="1948">
        <v>567</v>
      </c>
      <c r="BF759" s="1949">
        <v>6655.2</v>
      </c>
      <c r="BG759" s="1949">
        <v>0.99709999999999999</v>
      </c>
      <c r="BH759" s="1949">
        <v>3.74</v>
      </c>
      <c r="BI759" s="1948">
        <v>15795</v>
      </c>
      <c r="BJ759" s="1948">
        <f t="shared" si="222"/>
        <v>253109</v>
      </c>
      <c r="BK759" s="1948">
        <f t="shared" si="223"/>
        <v>0</v>
      </c>
    </row>
    <row r="760" spans="1:63" ht="15">
      <c r="A760" s="1946">
        <v>123000000054</v>
      </c>
      <c r="B760" s="1947">
        <f t="shared" si="194"/>
        <v>12</v>
      </c>
      <c r="C760" s="1906" t="s">
        <v>558</v>
      </c>
      <c r="D760" s="1907" t="s">
        <v>524</v>
      </c>
      <c r="E760" s="1906" t="s">
        <v>541</v>
      </c>
      <c r="F760" s="1948" t="s">
        <v>271</v>
      </c>
      <c r="G760" s="1949">
        <v>10000</v>
      </c>
      <c r="H760" s="1948">
        <v>10000</v>
      </c>
      <c r="I760" s="1950">
        <v>9150</v>
      </c>
      <c r="J760" s="1948">
        <v>9150</v>
      </c>
      <c r="K760" s="1948">
        <v>0.97540000000000004</v>
      </c>
      <c r="L760" s="1948">
        <v>76.400000000000006</v>
      </c>
      <c r="M760" s="1948">
        <v>5033040</v>
      </c>
      <c r="N760" s="1948">
        <f t="shared" si="210"/>
        <v>3952800</v>
      </c>
      <c r="O760" s="1948">
        <f t="shared" si="211"/>
        <v>1080240</v>
      </c>
      <c r="P760" s="1948">
        <v>10000</v>
      </c>
      <c r="Q760" s="1948">
        <v>9720</v>
      </c>
      <c r="R760" s="1948">
        <v>9720</v>
      </c>
      <c r="S760" s="1948">
        <v>0.98870000000000002</v>
      </c>
      <c r="T760" s="1948">
        <v>40.090000000000003</v>
      </c>
      <c r="U760" s="1948">
        <v>2899440</v>
      </c>
      <c r="V760" s="1948">
        <f t="shared" si="212"/>
        <v>4339008</v>
      </c>
      <c r="W760" s="1948">
        <f t="shared" si="213"/>
        <v>0</v>
      </c>
      <c r="X760" s="1948">
        <v>10000</v>
      </c>
      <c r="Y760" s="1948">
        <v>6060</v>
      </c>
      <c r="Z760" s="1948">
        <v>8000</v>
      </c>
      <c r="AA760" s="1948">
        <v>0.99150000000000005</v>
      </c>
      <c r="AB760" s="1948">
        <v>44.9</v>
      </c>
      <c r="AC760" s="1948">
        <v>1958940</v>
      </c>
      <c r="AD760" s="1948">
        <f t="shared" si="214"/>
        <v>2617920</v>
      </c>
      <c r="AE760" s="1948">
        <f t="shared" si="215"/>
        <v>0</v>
      </c>
      <c r="AF760" s="1948">
        <v>10000</v>
      </c>
      <c r="AG760" s="1948">
        <v>6252</v>
      </c>
      <c r="AH760" s="1948">
        <v>8000</v>
      </c>
      <c r="AI760" s="1948">
        <v>0.99339999999999995</v>
      </c>
      <c r="AJ760" s="1948">
        <v>46.3</v>
      </c>
      <c r="AK760" s="1948">
        <v>2153640</v>
      </c>
      <c r="AL760" s="1948">
        <f t="shared" si="216"/>
        <v>2790893</v>
      </c>
      <c r="AM760" s="1948">
        <f t="shared" si="217"/>
        <v>0</v>
      </c>
      <c r="AN760" s="1948">
        <v>10000</v>
      </c>
      <c r="AO760" s="1948">
        <v>11928</v>
      </c>
      <c r="AP760" s="1948">
        <v>11928</v>
      </c>
      <c r="AQ760" s="1948">
        <v>0.99019999999999997</v>
      </c>
      <c r="AR760" s="1948">
        <v>34.35</v>
      </c>
      <c r="AS760" s="1948">
        <v>3048540</v>
      </c>
      <c r="AT760" s="1948">
        <f t="shared" si="218"/>
        <v>5324659</v>
      </c>
      <c r="AU760" s="1948">
        <f t="shared" si="219"/>
        <v>0</v>
      </c>
      <c r="AV760" s="1948">
        <v>10000</v>
      </c>
      <c r="AW760" s="1948">
        <v>6408</v>
      </c>
      <c r="AX760" s="1948">
        <v>8000</v>
      </c>
      <c r="AY760" s="1948">
        <v>0.99439999999999995</v>
      </c>
      <c r="AZ760" s="1948">
        <v>52.94</v>
      </c>
      <c r="BA760" s="1948">
        <v>2442600</v>
      </c>
      <c r="BB760" s="1948">
        <f t="shared" si="220"/>
        <v>2768256</v>
      </c>
      <c r="BC760" s="1948">
        <f t="shared" si="221"/>
        <v>0</v>
      </c>
      <c r="BD760" s="1949">
        <v>10000</v>
      </c>
      <c r="BE760" s="1948">
        <v>6048</v>
      </c>
      <c r="BF760" s="1949">
        <v>8000</v>
      </c>
      <c r="BG760" s="1949">
        <v>0.99439999999999995</v>
      </c>
      <c r="BH760" s="1949">
        <v>48.81</v>
      </c>
      <c r="BI760" s="1948">
        <v>2196300</v>
      </c>
      <c r="BJ760" s="1948">
        <f t="shared" si="222"/>
        <v>2699827</v>
      </c>
      <c r="BK760" s="1948">
        <f t="shared" si="223"/>
        <v>0</v>
      </c>
    </row>
    <row r="761" spans="1:63" ht="15">
      <c r="A761" s="1946">
        <v>611000000021</v>
      </c>
      <c r="B761" s="1947">
        <f t="shared" si="194"/>
        <v>13</v>
      </c>
      <c r="C761" s="1906" t="s">
        <v>564</v>
      </c>
      <c r="D761" s="1907" t="s">
        <v>524</v>
      </c>
      <c r="E761" s="1906" t="s">
        <v>541</v>
      </c>
      <c r="F761" s="1948" t="s">
        <v>271</v>
      </c>
      <c r="G761" s="1949">
        <v>10000</v>
      </c>
      <c r="H761" s="1948">
        <v>10000</v>
      </c>
      <c r="I761" s="1950">
        <v>9880</v>
      </c>
      <c r="J761" s="1948">
        <v>9880</v>
      </c>
      <c r="K761" s="1948">
        <v>0.99819999999999998</v>
      </c>
      <c r="L761" s="1948">
        <v>82.96</v>
      </c>
      <c r="M761" s="1948">
        <v>5901200</v>
      </c>
      <c r="N761" s="1948">
        <f t="shared" si="210"/>
        <v>4268160</v>
      </c>
      <c r="O761" s="1948">
        <f t="shared" si="211"/>
        <v>1633040</v>
      </c>
      <c r="P761" s="1948">
        <v>10000</v>
      </c>
      <c r="Q761" s="1948">
        <v>10320</v>
      </c>
      <c r="R761" s="1948">
        <v>10320</v>
      </c>
      <c r="S761" s="1948">
        <v>0.99850000000000005</v>
      </c>
      <c r="T761" s="1948">
        <v>86.67</v>
      </c>
      <c r="U761" s="1948">
        <v>6654300</v>
      </c>
      <c r="V761" s="1948">
        <f t="shared" si="212"/>
        <v>4606848</v>
      </c>
      <c r="W761" s="1948">
        <f t="shared" si="213"/>
        <v>2047452</v>
      </c>
      <c r="X761" s="1948">
        <v>10000</v>
      </c>
      <c r="Y761" s="1948">
        <v>10080</v>
      </c>
      <c r="Z761" s="1948">
        <v>10080</v>
      </c>
      <c r="AA761" s="1948">
        <v>0.99790000000000001</v>
      </c>
      <c r="AB761" s="1948">
        <v>84.95</v>
      </c>
      <c r="AC761" s="1948">
        <v>6165100</v>
      </c>
      <c r="AD761" s="1948">
        <f t="shared" si="214"/>
        <v>4354560</v>
      </c>
      <c r="AE761" s="1948">
        <f t="shared" si="215"/>
        <v>1810540</v>
      </c>
      <c r="AF761" s="1948">
        <v>10000</v>
      </c>
      <c r="AG761" s="1948">
        <v>9560</v>
      </c>
      <c r="AH761" s="1948">
        <v>9560</v>
      </c>
      <c r="AI761" s="1948">
        <v>0.99850000000000005</v>
      </c>
      <c r="AJ761" s="1948">
        <v>91.37</v>
      </c>
      <c r="AK761" s="1948">
        <v>6498700</v>
      </c>
      <c r="AL761" s="1948">
        <f t="shared" si="216"/>
        <v>4267584</v>
      </c>
      <c r="AM761" s="1948">
        <f t="shared" si="217"/>
        <v>2231116</v>
      </c>
      <c r="AN761" s="1948">
        <v>10000</v>
      </c>
      <c r="AO761" s="1948">
        <v>9640</v>
      </c>
      <c r="AP761" s="1948">
        <v>9640</v>
      </c>
      <c r="AQ761" s="1948">
        <v>0.99650000000000005</v>
      </c>
      <c r="AR761" s="1948">
        <v>89.87</v>
      </c>
      <c r="AS761" s="1948">
        <v>6445700</v>
      </c>
      <c r="AT761" s="1948">
        <f t="shared" si="218"/>
        <v>4303296</v>
      </c>
      <c r="AU761" s="1948">
        <f t="shared" si="219"/>
        <v>2142404</v>
      </c>
      <c r="AV761" s="1948">
        <v>10000</v>
      </c>
      <c r="AW761" s="1948">
        <v>9720</v>
      </c>
      <c r="AX761" s="1948">
        <v>9720</v>
      </c>
      <c r="AY761" s="1948">
        <v>0.99529999999999996</v>
      </c>
      <c r="AZ761" s="1948">
        <v>91.81</v>
      </c>
      <c r="BA761" s="1948">
        <v>6425400</v>
      </c>
      <c r="BB761" s="1948">
        <f t="shared" si="220"/>
        <v>4199040</v>
      </c>
      <c r="BC761" s="1948">
        <f t="shared" si="221"/>
        <v>2226360</v>
      </c>
      <c r="BD761" s="1949">
        <v>10000</v>
      </c>
      <c r="BE761" s="1948">
        <v>9640</v>
      </c>
      <c r="BF761" s="1949">
        <v>9640</v>
      </c>
      <c r="BG761" s="1949">
        <v>0.995</v>
      </c>
      <c r="BH761" s="1949">
        <v>90.04</v>
      </c>
      <c r="BI761" s="1948">
        <v>6458000</v>
      </c>
      <c r="BJ761" s="1948">
        <f t="shared" si="222"/>
        <v>4303296</v>
      </c>
      <c r="BK761" s="1948">
        <f t="shared" si="223"/>
        <v>2154704</v>
      </c>
    </row>
    <row r="762" spans="1:63" ht="15">
      <c r="A762" s="1946">
        <v>622000000003</v>
      </c>
      <c r="B762" s="1947">
        <f t="shared" si="194"/>
        <v>14</v>
      </c>
      <c r="C762" s="1906" t="s">
        <v>599</v>
      </c>
      <c r="D762" s="1907" t="s">
        <v>524</v>
      </c>
      <c r="E762" s="1906" t="s">
        <v>595</v>
      </c>
      <c r="F762" s="1948" t="s">
        <v>271</v>
      </c>
      <c r="G762" s="1949">
        <v>10000</v>
      </c>
      <c r="H762" s="1948">
        <v>10000</v>
      </c>
      <c r="I762" s="1950">
        <v>19488</v>
      </c>
      <c r="J762" s="1948">
        <v>16032</v>
      </c>
      <c r="K762" s="1948">
        <v>0.90500000000000003</v>
      </c>
      <c r="L762" s="1948">
        <v>28.99</v>
      </c>
      <c r="M762" s="1948">
        <v>9013860</v>
      </c>
      <c r="N762" s="1948">
        <f t="shared" si="210"/>
        <v>8418816</v>
      </c>
      <c r="O762" s="1948">
        <f t="shared" si="211"/>
        <v>595044</v>
      </c>
      <c r="P762" s="1948">
        <v>10000</v>
      </c>
      <c r="Q762" s="1948">
        <v>19588.800000000003</v>
      </c>
      <c r="R762" s="1948">
        <v>9490.4</v>
      </c>
      <c r="S762" s="1948">
        <v>0.99639999999999995</v>
      </c>
      <c r="T762" s="1948">
        <v>32.01</v>
      </c>
      <c r="U762" s="1948">
        <v>13365180</v>
      </c>
      <c r="V762" s="1948">
        <f t="shared" si="212"/>
        <v>8744440</v>
      </c>
      <c r="W762" s="1948">
        <f t="shared" si="213"/>
        <v>4620740</v>
      </c>
      <c r="X762" s="1948">
        <v>10000</v>
      </c>
      <c r="Y762" s="1948">
        <v>19296</v>
      </c>
      <c r="Z762" s="1948">
        <v>13757.83</v>
      </c>
      <c r="AA762" s="1948">
        <v>0.99570000000000003</v>
      </c>
      <c r="AB762" s="1948">
        <v>57.01</v>
      </c>
      <c r="AC762" s="1948">
        <v>12432600</v>
      </c>
      <c r="AD762" s="1948">
        <f t="shared" si="214"/>
        <v>8335872</v>
      </c>
      <c r="AE762" s="1948">
        <f t="shared" si="215"/>
        <v>4096728</v>
      </c>
      <c r="AF762" s="1948">
        <v>10000</v>
      </c>
      <c r="AG762" s="1948">
        <v>19260</v>
      </c>
      <c r="AH762" s="1948">
        <v>11621.3</v>
      </c>
      <c r="AI762" s="1948">
        <v>0.99560000000000004</v>
      </c>
      <c r="AJ762" s="1948">
        <v>33.880000000000003</v>
      </c>
      <c r="AK762" s="1948">
        <v>12751740</v>
      </c>
      <c r="AL762" s="1948">
        <f t="shared" si="216"/>
        <v>8597664</v>
      </c>
      <c r="AM762" s="1948">
        <f t="shared" si="217"/>
        <v>4154076</v>
      </c>
      <c r="AN762" s="1948">
        <v>10000</v>
      </c>
      <c r="AO762" s="1948">
        <v>18984</v>
      </c>
      <c r="AP762" s="1948">
        <v>16448.8</v>
      </c>
      <c r="AQ762" s="1948">
        <v>0.99360000000000004</v>
      </c>
      <c r="AR762" s="1948">
        <v>42.17</v>
      </c>
      <c r="AS762" s="1948">
        <v>12782520</v>
      </c>
      <c r="AT762" s="1948">
        <f t="shared" si="218"/>
        <v>8474458</v>
      </c>
      <c r="AU762" s="1948">
        <f t="shared" si="219"/>
        <v>4308062</v>
      </c>
      <c r="AV762" s="1948">
        <v>10000</v>
      </c>
      <c r="AW762" s="1948">
        <v>19464</v>
      </c>
      <c r="AX762" s="1948">
        <v>14726.6</v>
      </c>
      <c r="AY762" s="1948">
        <v>0.995</v>
      </c>
      <c r="AZ762" s="1948">
        <v>33.5</v>
      </c>
      <c r="BA762" s="1948">
        <v>12398880</v>
      </c>
      <c r="BB762" s="1948">
        <f t="shared" si="220"/>
        <v>8408448</v>
      </c>
      <c r="BC762" s="1948">
        <f t="shared" si="221"/>
        <v>3990432</v>
      </c>
      <c r="BD762" s="1949">
        <v>10000</v>
      </c>
      <c r="BE762" s="1948">
        <v>19224</v>
      </c>
      <c r="BF762" s="1949">
        <v>11076</v>
      </c>
      <c r="BG762" s="1949">
        <v>0.99639999999999995</v>
      </c>
      <c r="BH762" s="1949">
        <v>32.29</v>
      </c>
      <c r="BI762" s="1948">
        <v>13186740</v>
      </c>
      <c r="BJ762" s="1948">
        <f t="shared" si="222"/>
        <v>8581594</v>
      </c>
      <c r="BK762" s="1948">
        <f t="shared" si="223"/>
        <v>4605146</v>
      </c>
    </row>
    <row r="763" spans="1:63" ht="15">
      <c r="A763" s="1946">
        <v>622000000181</v>
      </c>
      <c r="B763" s="1947">
        <f t="shared" si="194"/>
        <v>15</v>
      </c>
      <c r="C763" s="1906" t="s">
        <v>554</v>
      </c>
      <c r="D763" s="1907" t="s">
        <v>524</v>
      </c>
      <c r="E763" s="1906" t="s">
        <v>541</v>
      </c>
      <c r="F763" s="1948" t="s">
        <v>271</v>
      </c>
      <c r="G763" s="1949">
        <v>10000</v>
      </c>
      <c r="H763" s="1948">
        <v>10000</v>
      </c>
      <c r="I763" s="1950">
        <v>10680</v>
      </c>
      <c r="J763" s="1948">
        <v>10680</v>
      </c>
      <c r="K763" s="1948">
        <v>0.98319999999999996</v>
      </c>
      <c r="L763" s="1948">
        <v>60.5</v>
      </c>
      <c r="M763" s="1948">
        <v>4993500</v>
      </c>
      <c r="N763" s="1948">
        <f t="shared" si="210"/>
        <v>4613760</v>
      </c>
      <c r="O763" s="1948">
        <f t="shared" si="211"/>
        <v>379740</v>
      </c>
      <c r="P763" s="1948">
        <v>10000</v>
      </c>
      <c r="Q763" s="1948">
        <v>10860</v>
      </c>
      <c r="R763" s="1948">
        <v>10860</v>
      </c>
      <c r="S763" s="1948">
        <v>0.98660000000000003</v>
      </c>
      <c r="T763" s="1948">
        <v>65.12</v>
      </c>
      <c r="U763" s="1948">
        <v>5646000</v>
      </c>
      <c r="V763" s="1948">
        <f t="shared" si="212"/>
        <v>4847904</v>
      </c>
      <c r="W763" s="1948">
        <f t="shared" si="213"/>
        <v>798096</v>
      </c>
      <c r="X763" s="1948">
        <v>10000</v>
      </c>
      <c r="Y763" s="1948">
        <v>9960</v>
      </c>
      <c r="Z763" s="1948">
        <v>9960</v>
      </c>
      <c r="AA763" s="1948">
        <v>0.98750000000000004</v>
      </c>
      <c r="AB763" s="1948">
        <v>61.17</v>
      </c>
      <c r="AC763" s="1948">
        <v>4784400</v>
      </c>
      <c r="AD763" s="1948">
        <f t="shared" si="214"/>
        <v>4302720</v>
      </c>
      <c r="AE763" s="1948">
        <f t="shared" si="215"/>
        <v>481680</v>
      </c>
      <c r="AF763" s="1948">
        <v>10000</v>
      </c>
      <c r="AG763" s="1948">
        <v>9660</v>
      </c>
      <c r="AH763" s="1948">
        <v>9660</v>
      </c>
      <c r="AI763" s="1948">
        <v>0.98660000000000003</v>
      </c>
      <c r="AJ763" s="1948">
        <v>65.94</v>
      </c>
      <c r="AK763" s="1948">
        <v>5102700</v>
      </c>
      <c r="AL763" s="1948">
        <f t="shared" si="216"/>
        <v>4312224</v>
      </c>
      <c r="AM763" s="1948">
        <f t="shared" si="217"/>
        <v>790476</v>
      </c>
      <c r="AN763" s="1948">
        <v>10000</v>
      </c>
      <c r="AO763" s="1948">
        <v>9720</v>
      </c>
      <c r="AP763" s="1948">
        <v>9720</v>
      </c>
      <c r="AQ763" s="1948">
        <v>0.99</v>
      </c>
      <c r="AR763" s="1948">
        <v>64.180000000000007</v>
      </c>
      <c r="AS763" s="1948">
        <v>4988400</v>
      </c>
      <c r="AT763" s="1948">
        <f t="shared" si="218"/>
        <v>4339008</v>
      </c>
      <c r="AU763" s="1948">
        <f t="shared" si="219"/>
        <v>649392</v>
      </c>
      <c r="AV763" s="1948">
        <v>10000</v>
      </c>
      <c r="AW763" s="1948">
        <v>9840</v>
      </c>
      <c r="AX763" s="1948">
        <v>9840</v>
      </c>
      <c r="AY763" s="1948">
        <v>0.96599999999999997</v>
      </c>
      <c r="AZ763" s="1948">
        <v>65.62</v>
      </c>
      <c r="BA763" s="1948">
        <v>4989000</v>
      </c>
      <c r="BB763" s="1948">
        <f t="shared" si="220"/>
        <v>4250880</v>
      </c>
      <c r="BC763" s="1948">
        <f t="shared" si="221"/>
        <v>738120</v>
      </c>
      <c r="BD763" s="1949">
        <v>10000</v>
      </c>
      <c r="BE763" s="1948">
        <v>10080</v>
      </c>
      <c r="BF763" s="1949">
        <v>10080</v>
      </c>
      <c r="BG763" s="1949">
        <v>0.97699999999999998</v>
      </c>
      <c r="BH763" s="1949">
        <v>61.96</v>
      </c>
      <c r="BI763" s="1948">
        <v>4965900</v>
      </c>
      <c r="BJ763" s="1948">
        <f t="shared" si="222"/>
        <v>4499712</v>
      </c>
      <c r="BK763" s="1948">
        <f t="shared" si="223"/>
        <v>466188</v>
      </c>
    </row>
    <row r="764" spans="1:63" ht="15">
      <c r="A764" s="1946">
        <v>621000000048</v>
      </c>
      <c r="B764" s="1947">
        <f t="shared" si="194"/>
        <v>16</v>
      </c>
      <c r="C764" s="1906" t="s">
        <v>678</v>
      </c>
      <c r="D764" s="1907" t="s">
        <v>524</v>
      </c>
      <c r="E764" s="1906" t="s">
        <v>541</v>
      </c>
      <c r="F764" s="1948" t="s">
        <v>259</v>
      </c>
      <c r="G764" s="1949">
        <v>10000</v>
      </c>
      <c r="H764" s="1948">
        <v>4500</v>
      </c>
      <c r="I764" s="1950">
        <v>4819.2</v>
      </c>
      <c r="J764" s="1948">
        <v>4819.2</v>
      </c>
      <c r="K764" s="1948">
        <v>0.97829999999999995</v>
      </c>
      <c r="L764" s="1948">
        <v>74.84</v>
      </c>
      <c r="M764" s="1948">
        <v>2596680</v>
      </c>
      <c r="N764" s="1948">
        <f t="shared" si="210"/>
        <v>2081894</v>
      </c>
      <c r="O764" s="1948">
        <f t="shared" si="211"/>
        <v>514786</v>
      </c>
      <c r="P764" s="1948">
        <v>4500</v>
      </c>
      <c r="Q764" s="1948">
        <v>4713.5999999999995</v>
      </c>
      <c r="R764" s="1948">
        <v>4713.6000000000004</v>
      </c>
      <c r="S764" s="1948">
        <v>0.98809999999999998</v>
      </c>
      <c r="T764" s="1948">
        <v>42.71</v>
      </c>
      <c r="U764" s="1948">
        <v>1497660</v>
      </c>
      <c r="V764" s="1948">
        <f t="shared" si="212"/>
        <v>2104151</v>
      </c>
      <c r="W764" s="1948">
        <f t="shared" si="213"/>
        <v>0</v>
      </c>
      <c r="X764" s="1948">
        <v>7500</v>
      </c>
      <c r="Y764" s="1948">
        <v>4742.3999999999996</v>
      </c>
      <c r="Z764" s="1948">
        <v>4742.3999999999996</v>
      </c>
      <c r="AA764" s="1948">
        <v>0.96860000000000002</v>
      </c>
      <c r="AB764" s="1948">
        <v>39.47</v>
      </c>
      <c r="AC764" s="1948">
        <v>1347780</v>
      </c>
      <c r="AD764" s="1948">
        <f t="shared" si="214"/>
        <v>2048717</v>
      </c>
      <c r="AE764" s="1948">
        <f t="shared" si="215"/>
        <v>0</v>
      </c>
      <c r="AF764" s="1948">
        <v>7500</v>
      </c>
      <c r="AG764" s="1948">
        <v>5640</v>
      </c>
      <c r="AH764" s="1948">
        <v>6000</v>
      </c>
      <c r="AI764" s="1948">
        <v>0.98060000000000003</v>
      </c>
      <c r="AJ764" s="1948">
        <v>75.72</v>
      </c>
      <c r="AK764" s="1948">
        <v>3177360</v>
      </c>
      <c r="AL764" s="1948">
        <f t="shared" si="216"/>
        <v>2517696</v>
      </c>
      <c r="AM764" s="1948">
        <f t="shared" si="217"/>
        <v>659664</v>
      </c>
      <c r="AN764" s="1948">
        <v>7500</v>
      </c>
      <c r="AO764" s="1948">
        <v>7560</v>
      </c>
      <c r="AP764" s="1948">
        <v>7560</v>
      </c>
      <c r="AQ764" s="1948">
        <v>0.9677</v>
      </c>
      <c r="AR764" s="1948">
        <v>82.38</v>
      </c>
      <c r="AS764" s="1948">
        <v>4633740</v>
      </c>
      <c r="AT764" s="1948">
        <f t="shared" si="218"/>
        <v>3374784</v>
      </c>
      <c r="AU764" s="1948">
        <f t="shared" si="219"/>
        <v>1258956</v>
      </c>
      <c r="AV764" s="1948">
        <v>7500</v>
      </c>
      <c r="AW764" s="1948">
        <v>7339.2000000000007</v>
      </c>
      <c r="AX764" s="1948">
        <v>7339.2</v>
      </c>
      <c r="AY764" s="1948">
        <v>0.96640000000000004</v>
      </c>
      <c r="AZ764" s="1948">
        <v>82.34</v>
      </c>
      <c r="BA764" s="1948">
        <v>4350960</v>
      </c>
      <c r="BB764" s="1948">
        <f t="shared" si="220"/>
        <v>3170534</v>
      </c>
      <c r="BC764" s="1948">
        <f t="shared" si="221"/>
        <v>1180426</v>
      </c>
      <c r="BD764" s="1949">
        <v>10000</v>
      </c>
      <c r="BE764" s="1948">
        <v>7828.8</v>
      </c>
      <c r="BF764" s="1949">
        <v>8000</v>
      </c>
      <c r="BG764" s="1949">
        <v>0.97609999999999997</v>
      </c>
      <c r="BH764" s="1949">
        <v>79.94</v>
      </c>
      <c r="BI764" s="1948">
        <v>4656240</v>
      </c>
      <c r="BJ764" s="1948">
        <f t="shared" si="222"/>
        <v>3494776</v>
      </c>
      <c r="BK764" s="1948">
        <f t="shared" si="223"/>
        <v>1161464</v>
      </c>
    </row>
    <row r="765" spans="1:63" ht="15">
      <c r="A765" s="1946">
        <v>611000000002</v>
      </c>
      <c r="B765" s="1947">
        <f t="shared" si="194"/>
        <v>17</v>
      </c>
      <c r="C765" s="1906" t="s">
        <v>597</v>
      </c>
      <c r="D765" s="1907" t="s">
        <v>524</v>
      </c>
      <c r="E765" s="1906" t="s">
        <v>595</v>
      </c>
      <c r="F765" s="1948" t="s">
        <v>271</v>
      </c>
      <c r="G765" s="1949">
        <v>12000</v>
      </c>
      <c r="H765" s="1948">
        <v>12000</v>
      </c>
      <c r="I765" s="1950">
        <v>22480</v>
      </c>
      <c r="J765" s="1948">
        <v>11100</v>
      </c>
      <c r="K765" s="1948">
        <v>1.0236000000000001</v>
      </c>
      <c r="L765" s="1948">
        <v>17.329999999999998</v>
      </c>
      <c r="M765" s="1948">
        <v>13257600</v>
      </c>
      <c r="N765" s="1948">
        <f t="shared" si="210"/>
        <v>9711360</v>
      </c>
      <c r="O765" s="1948">
        <f t="shared" si="211"/>
        <v>3546240</v>
      </c>
      <c r="P765" s="1948">
        <v>12000</v>
      </c>
      <c r="Q765" s="1948">
        <v>23000</v>
      </c>
      <c r="R765" s="1948">
        <v>19270</v>
      </c>
      <c r="S765" s="1948">
        <v>1.0288999999999999</v>
      </c>
      <c r="T765" s="1948">
        <v>14.84</v>
      </c>
      <c r="U765" s="1948">
        <v>11850800</v>
      </c>
      <c r="V765" s="1948">
        <f t="shared" si="212"/>
        <v>10267200</v>
      </c>
      <c r="W765" s="1948">
        <f t="shared" si="213"/>
        <v>1583600</v>
      </c>
      <c r="X765" s="1948">
        <v>12000</v>
      </c>
      <c r="Y765" s="1948">
        <v>22720</v>
      </c>
      <c r="Z765" s="1948">
        <v>13310</v>
      </c>
      <c r="AA765" s="1948">
        <v>1.0089999999999999</v>
      </c>
      <c r="AB765" s="1948">
        <v>67.89</v>
      </c>
      <c r="AC765" s="1948">
        <v>13413200</v>
      </c>
      <c r="AD765" s="1948">
        <f t="shared" si="214"/>
        <v>9815040</v>
      </c>
      <c r="AE765" s="1948">
        <f t="shared" si="215"/>
        <v>3598160</v>
      </c>
      <c r="AF765" s="1948">
        <v>12000</v>
      </c>
      <c r="AG765" s="1948">
        <v>22720</v>
      </c>
      <c r="AH765" s="1948">
        <v>13990</v>
      </c>
      <c r="AI765" s="1948">
        <v>1.0137</v>
      </c>
      <c r="AJ765" s="1948">
        <v>43.02</v>
      </c>
      <c r="AK765" s="1948">
        <v>9095400</v>
      </c>
      <c r="AL765" s="1948">
        <f t="shared" si="216"/>
        <v>10142208</v>
      </c>
      <c r="AM765" s="1948">
        <f t="shared" si="217"/>
        <v>0</v>
      </c>
      <c r="AN765" s="1948">
        <v>12000</v>
      </c>
      <c r="AO765" s="1948">
        <v>23520</v>
      </c>
      <c r="AP765" s="1948">
        <v>13820</v>
      </c>
      <c r="AQ765" s="1948">
        <v>1.0112000000000001</v>
      </c>
      <c r="AR765" s="1948">
        <v>50.83</v>
      </c>
      <c r="AS765" s="1948">
        <v>12900600</v>
      </c>
      <c r="AT765" s="1948">
        <f t="shared" si="218"/>
        <v>10499328</v>
      </c>
      <c r="AU765" s="1948">
        <f t="shared" si="219"/>
        <v>2401272</v>
      </c>
      <c r="AV765" s="1948">
        <v>12000</v>
      </c>
      <c r="AW765" s="1948">
        <v>21640</v>
      </c>
      <c r="AX765" s="1948">
        <v>11260</v>
      </c>
      <c r="AY765" s="1948">
        <v>1.0367999999999999</v>
      </c>
      <c r="AZ765" s="1948">
        <v>42.2</v>
      </c>
      <c r="BA765" s="1948">
        <v>11714600</v>
      </c>
      <c r="BB765" s="1948">
        <f t="shared" si="220"/>
        <v>9348480</v>
      </c>
      <c r="BC765" s="1948">
        <f t="shared" si="221"/>
        <v>2366120</v>
      </c>
      <c r="BD765" s="1949">
        <v>12000</v>
      </c>
      <c r="BE765" s="1948">
        <v>21000</v>
      </c>
      <c r="BF765" s="1949">
        <v>10690</v>
      </c>
      <c r="BG765" s="1949">
        <v>1.0662</v>
      </c>
      <c r="BH765" s="1949">
        <v>30.62</v>
      </c>
      <c r="BI765" s="1948">
        <v>7072000</v>
      </c>
      <c r="BJ765" s="1948">
        <f t="shared" si="222"/>
        <v>9374400</v>
      </c>
      <c r="BK765" s="1948">
        <f t="shared" si="223"/>
        <v>0</v>
      </c>
    </row>
    <row r="766" spans="1:63" ht="15">
      <c r="A766" s="1946">
        <v>622000000175</v>
      </c>
      <c r="B766" s="1947">
        <f t="shared" si="194"/>
        <v>18</v>
      </c>
      <c r="C766" s="1906" t="s">
        <v>686</v>
      </c>
      <c r="D766" s="1907" t="s">
        <v>524</v>
      </c>
      <c r="E766" s="1906" t="s">
        <v>541</v>
      </c>
      <c r="F766" s="1948" t="s">
        <v>259</v>
      </c>
      <c r="G766" s="1949">
        <v>12000</v>
      </c>
      <c r="H766" s="1948">
        <v>12000</v>
      </c>
      <c r="I766" s="1950">
        <v>9744</v>
      </c>
      <c r="J766" s="1948">
        <v>9744</v>
      </c>
      <c r="K766" s="1948">
        <v>0.93700000000000006</v>
      </c>
      <c r="L766" s="1948">
        <v>63.79</v>
      </c>
      <c r="M766" s="1948">
        <v>4475160</v>
      </c>
      <c r="N766" s="1948">
        <f t="shared" si="210"/>
        <v>4209408</v>
      </c>
      <c r="O766" s="1948">
        <f t="shared" si="211"/>
        <v>265752</v>
      </c>
      <c r="P766" s="1948">
        <v>12000</v>
      </c>
      <c r="Q766" s="1948">
        <v>7910.4000000000005</v>
      </c>
      <c r="R766" s="1948">
        <v>9600</v>
      </c>
      <c r="S766" s="1948">
        <v>0.96589999999999998</v>
      </c>
      <c r="T766" s="1948">
        <v>20.41</v>
      </c>
      <c r="U766" s="1948">
        <v>1201200</v>
      </c>
      <c r="V766" s="1948">
        <f t="shared" si="212"/>
        <v>3531203</v>
      </c>
      <c r="W766" s="1948">
        <f t="shared" si="213"/>
        <v>0</v>
      </c>
      <c r="X766" s="1948">
        <v>12000</v>
      </c>
      <c r="Y766" s="1948">
        <v>9312</v>
      </c>
      <c r="Z766" s="1948">
        <v>9600</v>
      </c>
      <c r="AA766" s="1948">
        <v>0.96930000000000005</v>
      </c>
      <c r="AB766" s="1948">
        <v>57.96</v>
      </c>
      <c r="AC766" s="1948">
        <v>3886320</v>
      </c>
      <c r="AD766" s="1948">
        <f t="shared" si="214"/>
        <v>4022784</v>
      </c>
      <c r="AE766" s="1948">
        <f t="shared" si="215"/>
        <v>0</v>
      </c>
      <c r="AF766" s="1948">
        <v>12000</v>
      </c>
      <c r="AG766" s="1948">
        <v>8534.4000000000015</v>
      </c>
      <c r="AH766" s="1948">
        <v>9600</v>
      </c>
      <c r="AI766" s="1948">
        <v>0.97170000000000001</v>
      </c>
      <c r="AJ766" s="1948">
        <v>47.83</v>
      </c>
      <c r="AK766" s="1948">
        <v>3037320</v>
      </c>
      <c r="AL766" s="1948">
        <f t="shared" si="216"/>
        <v>3809756</v>
      </c>
      <c r="AM766" s="1948">
        <f t="shared" si="217"/>
        <v>0</v>
      </c>
      <c r="AN766" s="1948">
        <v>12000</v>
      </c>
      <c r="AO766" s="1948">
        <v>8304</v>
      </c>
      <c r="AP766" s="1948">
        <v>9600</v>
      </c>
      <c r="AQ766" s="1948">
        <v>0.97870000000000001</v>
      </c>
      <c r="AR766" s="1948">
        <v>60.44</v>
      </c>
      <c r="AS766" s="1948">
        <v>3734201</v>
      </c>
      <c r="AT766" s="1948">
        <f t="shared" si="218"/>
        <v>3706906</v>
      </c>
      <c r="AU766" s="1948">
        <f t="shared" si="219"/>
        <v>27295</v>
      </c>
      <c r="AV766" s="1948">
        <v>12000</v>
      </c>
      <c r="AW766" s="1948">
        <v>8160.0000000000009</v>
      </c>
      <c r="AX766" s="1948">
        <v>9600</v>
      </c>
      <c r="AY766" s="1948">
        <v>0.97840000000000005</v>
      </c>
      <c r="AZ766" s="1948">
        <v>66.91</v>
      </c>
      <c r="BA766" s="1948">
        <v>3931200</v>
      </c>
      <c r="BB766" s="1948">
        <f t="shared" si="220"/>
        <v>3525120</v>
      </c>
      <c r="BC766" s="1948">
        <f t="shared" si="221"/>
        <v>406080</v>
      </c>
      <c r="BD766" s="1949">
        <v>12000</v>
      </c>
      <c r="BE766" s="1948">
        <v>9100.7999999999993</v>
      </c>
      <c r="BF766" s="1949">
        <v>9600</v>
      </c>
      <c r="BG766" s="1949">
        <v>0.97109999999999996</v>
      </c>
      <c r="BH766" s="1949">
        <v>57</v>
      </c>
      <c r="BI766" s="1948">
        <v>3859200</v>
      </c>
      <c r="BJ766" s="1948">
        <f t="shared" si="222"/>
        <v>4062597</v>
      </c>
      <c r="BK766" s="1948">
        <f t="shared" si="223"/>
        <v>0</v>
      </c>
    </row>
    <row r="767" spans="1:63" ht="15">
      <c r="A767" s="1946">
        <v>622000000191</v>
      </c>
      <c r="B767" s="1947">
        <f t="shared" si="194"/>
        <v>19</v>
      </c>
      <c r="C767" s="1906" t="s">
        <v>688</v>
      </c>
      <c r="D767" s="1907" t="s">
        <v>524</v>
      </c>
      <c r="E767" s="1906" t="s">
        <v>541</v>
      </c>
      <c r="F767" s="1948" t="s">
        <v>259</v>
      </c>
      <c r="G767" s="1949">
        <v>12000</v>
      </c>
      <c r="H767" s="1948">
        <v>9500</v>
      </c>
      <c r="I767" s="1950">
        <v>10507.2</v>
      </c>
      <c r="J767" s="1948">
        <v>10507.2</v>
      </c>
      <c r="K767" s="1948">
        <v>0.98350000000000004</v>
      </c>
      <c r="L767" s="1948">
        <v>42.31</v>
      </c>
      <c r="M767" s="1948">
        <v>3201000</v>
      </c>
      <c r="N767" s="1948">
        <f t="shared" si="210"/>
        <v>4539110</v>
      </c>
      <c r="O767" s="1948">
        <f t="shared" si="211"/>
        <v>0</v>
      </c>
      <c r="P767" s="1948">
        <v>9500</v>
      </c>
      <c r="Q767" s="1948">
        <v>10718.4</v>
      </c>
      <c r="R767" s="1948">
        <v>10718.4</v>
      </c>
      <c r="S767" s="1948">
        <v>0.9546</v>
      </c>
      <c r="T767" s="1948">
        <v>52.75</v>
      </c>
      <c r="U767" s="1948">
        <v>4206180</v>
      </c>
      <c r="V767" s="1948">
        <f t="shared" si="212"/>
        <v>4784694</v>
      </c>
      <c r="W767" s="1948">
        <f t="shared" si="213"/>
        <v>0</v>
      </c>
      <c r="X767" s="1948">
        <v>9500</v>
      </c>
      <c r="Y767" s="1948">
        <v>10161.6</v>
      </c>
      <c r="Z767" s="1948">
        <v>10161.6</v>
      </c>
      <c r="AA767" s="1948">
        <v>0.9919</v>
      </c>
      <c r="AB767" s="1948">
        <v>57.85</v>
      </c>
      <c r="AC767" s="1948">
        <v>4232700</v>
      </c>
      <c r="AD767" s="1948">
        <f t="shared" si="214"/>
        <v>4389811</v>
      </c>
      <c r="AE767" s="1948">
        <f t="shared" si="215"/>
        <v>0</v>
      </c>
      <c r="AF767" s="1948">
        <v>9500</v>
      </c>
      <c r="AG767" s="1948">
        <v>8884.7999999999993</v>
      </c>
      <c r="AH767" s="1948">
        <v>8884.7999999999993</v>
      </c>
      <c r="AI767" s="1948">
        <v>0.99370000000000003</v>
      </c>
      <c r="AJ767" s="1948">
        <v>55.92</v>
      </c>
      <c r="AK767" s="1948">
        <v>3696600</v>
      </c>
      <c r="AL767" s="1948">
        <f t="shared" si="216"/>
        <v>3966175</v>
      </c>
      <c r="AM767" s="1948">
        <f t="shared" si="217"/>
        <v>0</v>
      </c>
      <c r="AN767" s="1948">
        <v>9500</v>
      </c>
      <c r="AO767" s="1948">
        <v>8980.7999999999993</v>
      </c>
      <c r="AP767" s="1948">
        <v>8980.7999999999993</v>
      </c>
      <c r="AQ767" s="1948">
        <v>0.9929</v>
      </c>
      <c r="AR767" s="1948">
        <v>51.12</v>
      </c>
      <c r="AS767" s="1948">
        <v>3415980</v>
      </c>
      <c r="AT767" s="1948">
        <f t="shared" si="218"/>
        <v>4009029</v>
      </c>
      <c r="AU767" s="1948">
        <f t="shared" si="219"/>
        <v>0</v>
      </c>
      <c r="AV767" s="1948">
        <v>12000</v>
      </c>
      <c r="AW767" s="1948">
        <v>20966.400000000001</v>
      </c>
      <c r="AX767" s="1948">
        <v>11040</v>
      </c>
      <c r="AY767" s="1948">
        <v>0.99009999999999998</v>
      </c>
      <c r="AZ767" s="1948">
        <v>47.05</v>
      </c>
      <c r="BA767" s="1948">
        <v>3834360</v>
      </c>
      <c r="BB767" s="1948">
        <f t="shared" si="220"/>
        <v>9057485</v>
      </c>
      <c r="BC767" s="1948">
        <f t="shared" si="221"/>
        <v>0</v>
      </c>
      <c r="BD767" s="1949">
        <v>12000</v>
      </c>
      <c r="BE767" s="1948">
        <v>11788.800000000001</v>
      </c>
      <c r="BF767" s="1949">
        <v>11788.8</v>
      </c>
      <c r="BG767" s="1949">
        <v>0.99429999999999996</v>
      </c>
      <c r="BH767" s="1949">
        <v>45.07</v>
      </c>
      <c r="BI767" s="1948">
        <v>4070280</v>
      </c>
      <c r="BJ767" s="1948">
        <f t="shared" si="222"/>
        <v>5262520</v>
      </c>
      <c r="BK767" s="1948">
        <f t="shared" si="223"/>
        <v>0</v>
      </c>
    </row>
    <row r="768" spans="1:63" ht="15">
      <c r="A768" s="1946">
        <v>622000000006</v>
      </c>
      <c r="B768" s="1947">
        <f t="shared" si="194"/>
        <v>20</v>
      </c>
      <c r="C768" s="1906" t="s">
        <v>580</v>
      </c>
      <c r="D768" s="1907" t="s">
        <v>524</v>
      </c>
      <c r="E768" s="1906" t="s">
        <v>541</v>
      </c>
      <c r="F768" s="1948" t="s">
        <v>271</v>
      </c>
      <c r="G768" s="1949">
        <v>12500</v>
      </c>
      <c r="H768" s="1948">
        <v>12500</v>
      </c>
      <c r="I768" s="1950">
        <v>10740</v>
      </c>
      <c r="J768" s="1948">
        <v>10740</v>
      </c>
      <c r="K768" s="1948">
        <v>0.98960000000000004</v>
      </c>
      <c r="L768" s="1948">
        <v>72.25</v>
      </c>
      <c r="M768" s="1948">
        <v>5631120</v>
      </c>
      <c r="N768" s="1948">
        <f t="shared" si="210"/>
        <v>4639680</v>
      </c>
      <c r="O768" s="1948">
        <f t="shared" si="211"/>
        <v>991440</v>
      </c>
      <c r="P768" s="1948">
        <v>12500</v>
      </c>
      <c r="Q768" s="1948">
        <v>9888</v>
      </c>
      <c r="R768" s="1948">
        <v>10000</v>
      </c>
      <c r="S768" s="1948">
        <v>0.98780000000000001</v>
      </c>
      <c r="T768" s="1948">
        <v>37.119999999999997</v>
      </c>
      <c r="U768" s="1948">
        <v>2786040</v>
      </c>
      <c r="V768" s="1948">
        <f t="shared" si="212"/>
        <v>4414003</v>
      </c>
      <c r="W768" s="1948">
        <f t="shared" si="213"/>
        <v>0</v>
      </c>
      <c r="X768" s="1948">
        <v>12500</v>
      </c>
      <c r="Y768" s="1948">
        <v>9852</v>
      </c>
      <c r="Z768" s="1948">
        <v>10000</v>
      </c>
      <c r="AA768" s="1948">
        <v>0.98860000000000003</v>
      </c>
      <c r="AB768" s="1948">
        <v>19</v>
      </c>
      <c r="AC768" s="1948">
        <v>1404540</v>
      </c>
      <c r="AD768" s="1948">
        <f t="shared" si="214"/>
        <v>4256064</v>
      </c>
      <c r="AE768" s="1948">
        <f t="shared" si="215"/>
        <v>0</v>
      </c>
      <c r="AF768" s="1948">
        <v>12500</v>
      </c>
      <c r="AG768" s="1948">
        <v>10104</v>
      </c>
      <c r="AH768" s="1948">
        <v>10104</v>
      </c>
      <c r="AI768" s="1948">
        <v>0.99909999999999999</v>
      </c>
      <c r="AJ768" s="1948">
        <v>72.680000000000007</v>
      </c>
      <c r="AK768" s="1948">
        <v>5512740</v>
      </c>
      <c r="AL768" s="1948">
        <f t="shared" si="216"/>
        <v>4510426</v>
      </c>
      <c r="AM768" s="1948">
        <f t="shared" si="217"/>
        <v>1002314</v>
      </c>
      <c r="AN768" s="1948">
        <v>12500</v>
      </c>
      <c r="AO768" s="1948">
        <v>9912</v>
      </c>
      <c r="AP768" s="1948">
        <v>10000</v>
      </c>
      <c r="AQ768" s="1948">
        <v>0.999</v>
      </c>
      <c r="AR768" s="1948">
        <v>72.92</v>
      </c>
      <c r="AS768" s="1948">
        <v>5422020</v>
      </c>
      <c r="AT768" s="1948">
        <f t="shared" si="218"/>
        <v>4424717</v>
      </c>
      <c r="AU768" s="1948">
        <f t="shared" si="219"/>
        <v>997303</v>
      </c>
      <c r="AV768" s="1948">
        <v>12500</v>
      </c>
      <c r="AW768" s="1948">
        <v>10284</v>
      </c>
      <c r="AX768" s="1948">
        <v>10284</v>
      </c>
      <c r="AY768" s="1948">
        <v>0.999</v>
      </c>
      <c r="AZ768" s="1948">
        <v>70.239999999999995</v>
      </c>
      <c r="BA768" s="1948">
        <v>5244600</v>
      </c>
      <c r="BB768" s="1948">
        <f t="shared" si="220"/>
        <v>4442688</v>
      </c>
      <c r="BC768" s="1948">
        <f t="shared" si="221"/>
        <v>801912</v>
      </c>
      <c r="BD768" s="1949">
        <v>12500</v>
      </c>
      <c r="BE768" s="1948">
        <v>10176</v>
      </c>
      <c r="BF768" s="1949">
        <v>10176</v>
      </c>
      <c r="BG768" s="1949">
        <v>0.99719999999999998</v>
      </c>
      <c r="BH768" s="1949">
        <v>70.239999999999995</v>
      </c>
      <c r="BI768" s="1948">
        <v>5357580</v>
      </c>
      <c r="BJ768" s="1948">
        <f t="shared" si="222"/>
        <v>4542566</v>
      </c>
      <c r="BK768" s="1948">
        <f t="shared" si="223"/>
        <v>815014</v>
      </c>
    </row>
    <row r="769" spans="1:63" ht="15">
      <c r="A769" s="1946">
        <v>611000000094</v>
      </c>
      <c r="B769" s="1947">
        <f t="shared" si="194"/>
        <v>21</v>
      </c>
      <c r="C769" s="1906" t="s">
        <v>548</v>
      </c>
      <c r="D769" s="1907" t="s">
        <v>524</v>
      </c>
      <c r="E769" s="1906" t="s">
        <v>541</v>
      </c>
      <c r="F769" s="1948" t="s">
        <v>271</v>
      </c>
      <c r="G769" s="1949">
        <v>13000</v>
      </c>
      <c r="H769" s="1948">
        <v>13000</v>
      </c>
      <c r="I769" s="1950">
        <v>11520</v>
      </c>
      <c r="J769" s="1948">
        <v>11520</v>
      </c>
      <c r="K769" s="1948">
        <v>0.99590000000000001</v>
      </c>
      <c r="L769" s="1948">
        <v>36.58</v>
      </c>
      <c r="M769" s="1948">
        <v>3033900</v>
      </c>
      <c r="N769" s="1948">
        <f t="shared" si="210"/>
        <v>4976640</v>
      </c>
      <c r="O769" s="1948">
        <f t="shared" si="211"/>
        <v>0</v>
      </c>
      <c r="P769" s="1948">
        <v>13000</v>
      </c>
      <c r="Q769" s="1948">
        <v>11352.000000000002</v>
      </c>
      <c r="R769" s="1948">
        <v>11352</v>
      </c>
      <c r="S769" s="1948">
        <v>0.99390000000000001</v>
      </c>
      <c r="T769" s="1948">
        <v>33.08</v>
      </c>
      <c r="U769" s="1948">
        <v>2909400</v>
      </c>
      <c r="V769" s="1948">
        <f t="shared" si="212"/>
        <v>5067533</v>
      </c>
      <c r="W769" s="1948">
        <f t="shared" si="213"/>
        <v>0</v>
      </c>
      <c r="X769" s="1948">
        <v>13000</v>
      </c>
      <c r="Y769" s="1948">
        <v>11460</v>
      </c>
      <c r="Z769" s="1948">
        <v>11460</v>
      </c>
      <c r="AA769" s="1948">
        <v>0.99109999999999998</v>
      </c>
      <c r="AB769" s="1948">
        <v>30.28</v>
      </c>
      <c r="AC769" s="1948">
        <v>2545800</v>
      </c>
      <c r="AD769" s="1948">
        <f t="shared" si="214"/>
        <v>4950720</v>
      </c>
      <c r="AE769" s="1948">
        <f t="shared" si="215"/>
        <v>0</v>
      </c>
      <c r="AF769" s="1948">
        <v>13000</v>
      </c>
      <c r="AG769" s="1948">
        <v>11820</v>
      </c>
      <c r="AH769" s="1948">
        <v>11820</v>
      </c>
      <c r="AI769" s="1948">
        <v>0.99560000000000004</v>
      </c>
      <c r="AJ769" s="1948">
        <v>25.21</v>
      </c>
      <c r="AK769" s="1948">
        <v>2220900</v>
      </c>
      <c r="AL769" s="1948">
        <f t="shared" si="216"/>
        <v>5276448</v>
      </c>
      <c r="AM769" s="1948">
        <f t="shared" si="217"/>
        <v>0</v>
      </c>
      <c r="AN769" s="1948">
        <v>13000</v>
      </c>
      <c r="AO769" s="1948">
        <v>11640</v>
      </c>
      <c r="AP769" s="1948">
        <v>11640</v>
      </c>
      <c r="AQ769" s="1948">
        <v>0.99509999999999998</v>
      </c>
      <c r="AR769" s="1948">
        <v>28.45</v>
      </c>
      <c r="AS769" s="1948">
        <v>2464200</v>
      </c>
      <c r="AT769" s="1948">
        <f t="shared" si="218"/>
        <v>5196096</v>
      </c>
      <c r="AU769" s="1948">
        <f t="shared" si="219"/>
        <v>0</v>
      </c>
      <c r="AV769" s="1948">
        <v>13000</v>
      </c>
      <c r="AW769" s="1948">
        <v>11340</v>
      </c>
      <c r="AX769" s="1948">
        <v>11340</v>
      </c>
      <c r="AY769" s="1948">
        <v>0.99809999999999999</v>
      </c>
      <c r="AZ769" s="1948">
        <v>28.57</v>
      </c>
      <c r="BA769" s="1948">
        <v>2332500</v>
      </c>
      <c r="BB769" s="1948">
        <f t="shared" si="220"/>
        <v>4898880</v>
      </c>
      <c r="BC769" s="1948">
        <f t="shared" si="221"/>
        <v>0</v>
      </c>
      <c r="BD769" s="1949">
        <v>13000</v>
      </c>
      <c r="BE769" s="1948">
        <v>11280</v>
      </c>
      <c r="BF769" s="1949">
        <v>11280</v>
      </c>
      <c r="BG769" s="1949">
        <v>0.999</v>
      </c>
      <c r="BH769" s="1949">
        <v>26.32</v>
      </c>
      <c r="BI769" s="1948">
        <v>2209200</v>
      </c>
      <c r="BJ769" s="1948">
        <f t="shared" si="222"/>
        <v>5035392</v>
      </c>
      <c r="BK769" s="1948">
        <f t="shared" si="223"/>
        <v>0</v>
      </c>
    </row>
    <row r="770" spans="1:63" ht="15">
      <c r="A770" s="1946">
        <v>622000000026</v>
      </c>
      <c r="B770" s="1947">
        <f t="shared" si="194"/>
        <v>22</v>
      </c>
      <c r="C770" s="1906" t="s">
        <v>568</v>
      </c>
      <c r="D770" s="1907" t="s">
        <v>524</v>
      </c>
      <c r="E770" s="1906" t="s">
        <v>541</v>
      </c>
      <c r="F770" s="1948" t="s">
        <v>271</v>
      </c>
      <c r="G770" s="1949">
        <v>13000</v>
      </c>
      <c r="H770" s="1948">
        <v>13000</v>
      </c>
      <c r="I770" s="1950">
        <v>10473.6</v>
      </c>
      <c r="J770" s="1948">
        <v>10473.6</v>
      </c>
      <c r="K770" s="1948">
        <v>0.996</v>
      </c>
      <c r="L770" s="1948">
        <v>45</v>
      </c>
      <c r="M770" s="1948">
        <v>3393360</v>
      </c>
      <c r="N770" s="1948">
        <f t="shared" si="210"/>
        <v>4524595</v>
      </c>
      <c r="O770" s="1948">
        <f t="shared" si="211"/>
        <v>0</v>
      </c>
      <c r="P770" s="1948">
        <v>13000</v>
      </c>
      <c r="Q770" s="1948">
        <v>2520</v>
      </c>
      <c r="R770" s="1948">
        <v>10400</v>
      </c>
      <c r="S770" s="1948">
        <v>1</v>
      </c>
      <c r="T770" s="1948">
        <v>12.73</v>
      </c>
      <c r="U770" s="1948">
        <v>238680</v>
      </c>
      <c r="V770" s="1948">
        <f t="shared" si="212"/>
        <v>1124928</v>
      </c>
      <c r="W770" s="1948">
        <f t="shared" si="213"/>
        <v>0</v>
      </c>
      <c r="X770" s="1948">
        <v>13000</v>
      </c>
      <c r="Y770" s="1948">
        <v>10560</v>
      </c>
      <c r="Z770" s="1948">
        <v>10560</v>
      </c>
      <c r="AA770" s="1948">
        <v>0.99399999999999999</v>
      </c>
      <c r="AB770" s="1948">
        <v>65.38</v>
      </c>
      <c r="AC770" s="1948">
        <v>4971120</v>
      </c>
      <c r="AD770" s="1948">
        <f t="shared" si="214"/>
        <v>4561920</v>
      </c>
      <c r="AE770" s="1948">
        <f t="shared" si="215"/>
        <v>409200</v>
      </c>
      <c r="AF770" s="1948">
        <v>13000</v>
      </c>
      <c r="AG770" s="1948">
        <v>10272</v>
      </c>
      <c r="AH770" s="1948">
        <v>10400</v>
      </c>
      <c r="AI770" s="1948">
        <v>0.99629999999999996</v>
      </c>
      <c r="AJ770" s="1948">
        <v>81.2</v>
      </c>
      <c r="AK770" s="1948">
        <v>6205560</v>
      </c>
      <c r="AL770" s="1948">
        <f t="shared" si="216"/>
        <v>4585421</v>
      </c>
      <c r="AM770" s="1948">
        <f t="shared" si="217"/>
        <v>1620139</v>
      </c>
      <c r="AN770" s="1948">
        <v>13000</v>
      </c>
      <c r="AO770" s="1948">
        <v>10368</v>
      </c>
      <c r="AP770" s="1948">
        <v>10400</v>
      </c>
      <c r="AQ770" s="1948">
        <v>0.99639999999999995</v>
      </c>
      <c r="AR770" s="1948">
        <v>68.56</v>
      </c>
      <c r="AS770" s="1948">
        <v>5288760</v>
      </c>
      <c r="AT770" s="1948">
        <f t="shared" si="218"/>
        <v>4628275</v>
      </c>
      <c r="AU770" s="1948">
        <f t="shared" si="219"/>
        <v>660485</v>
      </c>
      <c r="AV770" s="1948">
        <v>13000</v>
      </c>
      <c r="AW770" s="1948">
        <v>10416</v>
      </c>
      <c r="AX770" s="1948">
        <v>10416</v>
      </c>
      <c r="AY770" s="1948">
        <v>0.99639999999999995</v>
      </c>
      <c r="AZ770" s="1948">
        <v>80.349999999999994</v>
      </c>
      <c r="BA770" s="1948">
        <v>6026160</v>
      </c>
      <c r="BB770" s="1948">
        <f t="shared" si="220"/>
        <v>4499712</v>
      </c>
      <c r="BC770" s="1948">
        <f t="shared" si="221"/>
        <v>1526448</v>
      </c>
      <c r="BD770" s="1949">
        <v>13000</v>
      </c>
      <c r="BE770" s="1948">
        <v>10512</v>
      </c>
      <c r="BF770" s="1949">
        <v>10512</v>
      </c>
      <c r="BG770" s="1949">
        <v>0.99460000000000004</v>
      </c>
      <c r="BH770" s="1949">
        <v>83.01</v>
      </c>
      <c r="BI770" s="1948">
        <v>6492360</v>
      </c>
      <c r="BJ770" s="1948">
        <f t="shared" si="222"/>
        <v>4692557</v>
      </c>
      <c r="BK770" s="1948">
        <f t="shared" si="223"/>
        <v>1799803</v>
      </c>
    </row>
    <row r="771" spans="1:63" ht="15">
      <c r="A771" s="1946">
        <v>621000000006</v>
      </c>
      <c r="B771" s="1947">
        <f t="shared" si="194"/>
        <v>23</v>
      </c>
      <c r="C771" s="1906" t="s">
        <v>576</v>
      </c>
      <c r="D771" s="1907" t="s">
        <v>524</v>
      </c>
      <c r="E771" s="1906" t="s">
        <v>541</v>
      </c>
      <c r="F771" s="1948" t="s">
        <v>271</v>
      </c>
      <c r="G771" s="1949">
        <v>14000</v>
      </c>
      <c r="H771" s="1948">
        <v>14000</v>
      </c>
      <c r="I771" s="1950">
        <v>8280</v>
      </c>
      <c r="J771" s="1948">
        <v>11200</v>
      </c>
      <c r="K771" s="1948">
        <v>0.94889999999999997</v>
      </c>
      <c r="L771" s="1948">
        <v>66.290000000000006</v>
      </c>
      <c r="M771" s="1948">
        <v>3951840</v>
      </c>
      <c r="N771" s="1948">
        <f t="shared" si="210"/>
        <v>3576960</v>
      </c>
      <c r="O771" s="1948">
        <f t="shared" si="211"/>
        <v>374880</v>
      </c>
      <c r="P771" s="1948">
        <v>14000</v>
      </c>
      <c r="Q771" s="1948">
        <v>8352</v>
      </c>
      <c r="R771" s="1948">
        <v>11200</v>
      </c>
      <c r="S771" s="1948">
        <v>0.95020000000000004</v>
      </c>
      <c r="T771" s="1948">
        <v>67.319999999999993</v>
      </c>
      <c r="U771" s="1948">
        <v>4183200</v>
      </c>
      <c r="V771" s="1948">
        <f t="shared" si="212"/>
        <v>3728333</v>
      </c>
      <c r="W771" s="1948">
        <f t="shared" si="213"/>
        <v>454867</v>
      </c>
      <c r="X771" s="1948">
        <v>14000</v>
      </c>
      <c r="Y771" s="1948">
        <v>8568</v>
      </c>
      <c r="Z771" s="1948">
        <v>11200</v>
      </c>
      <c r="AA771" s="1948">
        <v>0.95009999999999994</v>
      </c>
      <c r="AB771" s="1948">
        <v>66.67</v>
      </c>
      <c r="AC771" s="1948">
        <v>4112700</v>
      </c>
      <c r="AD771" s="1948">
        <f t="shared" si="214"/>
        <v>3701376</v>
      </c>
      <c r="AE771" s="1948">
        <f t="shared" si="215"/>
        <v>411324</v>
      </c>
      <c r="AF771" s="1948">
        <v>14000</v>
      </c>
      <c r="AG771" s="1948">
        <v>13524</v>
      </c>
      <c r="AH771" s="1948">
        <v>13524</v>
      </c>
      <c r="AI771" s="1948">
        <v>0.9405</v>
      </c>
      <c r="AJ771" s="1948">
        <v>50.05</v>
      </c>
      <c r="AK771" s="1948">
        <v>5035500</v>
      </c>
      <c r="AL771" s="1948">
        <f t="shared" si="216"/>
        <v>6037114</v>
      </c>
      <c r="AM771" s="1948">
        <f t="shared" si="217"/>
        <v>0</v>
      </c>
      <c r="AN771" s="1948">
        <v>14000</v>
      </c>
      <c r="AO771" s="1948">
        <v>13224</v>
      </c>
      <c r="AP771" s="1948">
        <v>13224</v>
      </c>
      <c r="AQ771" s="1948">
        <v>0.95</v>
      </c>
      <c r="AR771" s="1948">
        <v>83.56</v>
      </c>
      <c r="AS771" s="1948">
        <v>8220780</v>
      </c>
      <c r="AT771" s="1948">
        <f t="shared" si="218"/>
        <v>5903194</v>
      </c>
      <c r="AU771" s="1948">
        <f t="shared" si="219"/>
        <v>2317586</v>
      </c>
      <c r="AV771" s="1948">
        <v>14000</v>
      </c>
      <c r="AW771" s="1948">
        <v>13344</v>
      </c>
      <c r="AX771" s="1948">
        <v>13344</v>
      </c>
      <c r="AY771" s="1948">
        <v>0.96689999999999998</v>
      </c>
      <c r="AZ771" s="1948">
        <v>84.08</v>
      </c>
      <c r="BA771" s="1948">
        <v>8078400</v>
      </c>
      <c r="BB771" s="1948">
        <f t="shared" si="220"/>
        <v>5764608</v>
      </c>
      <c r="BC771" s="1948">
        <f t="shared" si="221"/>
        <v>2313792</v>
      </c>
      <c r="BD771" s="1949">
        <v>14000</v>
      </c>
      <c r="BE771" s="1948">
        <v>13752</v>
      </c>
      <c r="BF771" s="1949">
        <v>13752</v>
      </c>
      <c r="BG771" s="1949">
        <v>0.98019999999999996</v>
      </c>
      <c r="BH771" s="1949">
        <v>81.62</v>
      </c>
      <c r="BI771" s="1948">
        <v>8350440</v>
      </c>
      <c r="BJ771" s="1948">
        <f t="shared" si="222"/>
        <v>6138893</v>
      </c>
      <c r="BK771" s="1948">
        <f t="shared" si="223"/>
        <v>2211547</v>
      </c>
    </row>
    <row r="772" spans="1:63" ht="15">
      <c r="A772" s="1946">
        <v>123000000136</v>
      </c>
      <c r="B772" s="1947">
        <f t="shared" si="194"/>
        <v>24</v>
      </c>
      <c r="C772" s="1906" t="s">
        <v>560</v>
      </c>
      <c r="D772" s="1907" t="s">
        <v>524</v>
      </c>
      <c r="E772" s="1906" t="s">
        <v>538</v>
      </c>
      <c r="F772" s="1948" t="s">
        <v>271</v>
      </c>
      <c r="G772" s="1949">
        <v>15000</v>
      </c>
      <c r="H772" s="1948">
        <v>15000</v>
      </c>
      <c r="I772" s="1950">
        <v>24360</v>
      </c>
      <c r="J772" s="1948">
        <v>15000</v>
      </c>
      <c r="K772" s="1948">
        <v>0.98260000000000003</v>
      </c>
      <c r="L772" s="1948">
        <v>146.94999999999999</v>
      </c>
      <c r="M772" s="1948">
        <v>15870480</v>
      </c>
      <c r="N772" s="1948">
        <f t="shared" si="210"/>
        <v>10523520</v>
      </c>
      <c r="O772" s="1948">
        <f t="shared" si="211"/>
        <v>5346960</v>
      </c>
      <c r="P772" s="1948">
        <v>15000</v>
      </c>
      <c r="Q772" s="1948">
        <v>24072</v>
      </c>
      <c r="R772" s="1948">
        <v>15000</v>
      </c>
      <c r="S772" s="1948">
        <v>0.97929999999999995</v>
      </c>
      <c r="T772" s="1948">
        <v>125.12</v>
      </c>
      <c r="U772" s="1948">
        <v>13963440</v>
      </c>
      <c r="V772" s="1948">
        <f t="shared" si="212"/>
        <v>10745741</v>
      </c>
      <c r="W772" s="1948">
        <f t="shared" si="213"/>
        <v>3217699</v>
      </c>
      <c r="X772" s="1948">
        <v>15000</v>
      </c>
      <c r="Y772" s="1948">
        <v>23208</v>
      </c>
      <c r="Z772" s="1948">
        <v>14859.2</v>
      </c>
      <c r="AA772" s="1948">
        <v>0.99119999999999997</v>
      </c>
      <c r="AB772" s="1948">
        <v>66.349999999999994</v>
      </c>
      <c r="AC772" s="1948">
        <v>11848920</v>
      </c>
      <c r="AD772" s="1948">
        <f t="shared" si="214"/>
        <v>10025856</v>
      </c>
      <c r="AE772" s="1948">
        <f t="shared" si="215"/>
        <v>1823064</v>
      </c>
      <c r="AF772" s="1948">
        <v>15000</v>
      </c>
      <c r="AG772" s="1948">
        <v>14592</v>
      </c>
      <c r="AH772" s="1948">
        <v>14592</v>
      </c>
      <c r="AI772" s="1948">
        <v>0.99470000000000003</v>
      </c>
      <c r="AJ772" s="1948">
        <v>73.36</v>
      </c>
      <c r="AK772" s="1948">
        <v>10509480</v>
      </c>
      <c r="AL772" s="1948">
        <f t="shared" si="216"/>
        <v>6513869</v>
      </c>
      <c r="AM772" s="1948">
        <f t="shared" si="217"/>
        <v>3995611</v>
      </c>
      <c r="AN772" s="1948">
        <v>15000</v>
      </c>
      <c r="AO772" s="1948">
        <v>14712</v>
      </c>
      <c r="AP772" s="1948">
        <v>14712</v>
      </c>
      <c r="AQ772" s="1948">
        <v>0.99750000000000005</v>
      </c>
      <c r="AR772" s="1948">
        <v>29.68</v>
      </c>
      <c r="AS772" s="1948">
        <v>4237560</v>
      </c>
      <c r="AT772" s="1948">
        <f t="shared" si="218"/>
        <v>6567437</v>
      </c>
      <c r="AU772" s="1948">
        <f t="shared" si="219"/>
        <v>0</v>
      </c>
      <c r="AV772" s="1948">
        <v>15000</v>
      </c>
      <c r="AW772" s="1948">
        <v>14760</v>
      </c>
      <c r="AX772" s="1948">
        <v>14760</v>
      </c>
      <c r="AY772" s="1948">
        <v>0.97599999999999998</v>
      </c>
      <c r="AZ772" s="1948">
        <v>42</v>
      </c>
      <c r="BA772" s="1948">
        <v>4463880</v>
      </c>
      <c r="BB772" s="1948">
        <f t="shared" si="220"/>
        <v>6376320</v>
      </c>
      <c r="BC772" s="1948">
        <f t="shared" si="221"/>
        <v>0</v>
      </c>
      <c r="BD772" s="1949">
        <v>15000</v>
      </c>
      <c r="BE772" s="1948">
        <v>23304</v>
      </c>
      <c r="BF772" s="1949">
        <v>15000</v>
      </c>
      <c r="BG772" s="1949">
        <v>0.99339999999999995</v>
      </c>
      <c r="BH772" s="1949">
        <v>123.71</v>
      </c>
      <c r="BI772" s="1948">
        <v>14243400</v>
      </c>
      <c r="BJ772" s="1948">
        <f t="shared" si="222"/>
        <v>10402906</v>
      </c>
      <c r="BK772" s="1948">
        <f t="shared" si="223"/>
        <v>3840494</v>
      </c>
    </row>
    <row r="773" spans="1:63" ht="15">
      <c r="A773" s="1946">
        <v>611000000056</v>
      </c>
      <c r="B773" s="1947">
        <f t="shared" si="194"/>
        <v>25</v>
      </c>
      <c r="C773" s="1906" t="s">
        <v>566</v>
      </c>
      <c r="D773" s="1907" t="s">
        <v>524</v>
      </c>
      <c r="E773" s="1906" t="s">
        <v>541</v>
      </c>
      <c r="F773" s="1948" t="s">
        <v>271</v>
      </c>
      <c r="G773" s="1949">
        <v>16000</v>
      </c>
      <c r="H773" s="1948">
        <v>16000</v>
      </c>
      <c r="I773" s="1950">
        <v>13896</v>
      </c>
      <c r="J773" s="1948">
        <v>13896</v>
      </c>
      <c r="K773" s="1948">
        <v>0.99890000000000001</v>
      </c>
      <c r="L773" s="1948">
        <v>93.48</v>
      </c>
      <c r="M773" s="1948">
        <v>9353160</v>
      </c>
      <c r="N773" s="1948">
        <f t="shared" si="210"/>
        <v>6003072</v>
      </c>
      <c r="O773" s="1948">
        <f t="shared" si="211"/>
        <v>3350088</v>
      </c>
      <c r="P773" s="1948">
        <v>16000</v>
      </c>
      <c r="Q773" s="1948">
        <v>13967.999999999998</v>
      </c>
      <c r="R773" s="1948">
        <v>13968</v>
      </c>
      <c r="S773" s="1948">
        <v>0.999</v>
      </c>
      <c r="T773" s="1948">
        <v>91.21</v>
      </c>
      <c r="U773" s="1948">
        <v>9478980</v>
      </c>
      <c r="V773" s="1948">
        <f t="shared" si="212"/>
        <v>6235315</v>
      </c>
      <c r="W773" s="1948">
        <f t="shared" si="213"/>
        <v>3243665</v>
      </c>
      <c r="X773" s="1948">
        <v>16000</v>
      </c>
      <c r="Y773" s="1948">
        <v>13860</v>
      </c>
      <c r="Z773" s="1948">
        <v>13860</v>
      </c>
      <c r="AA773" s="1948">
        <v>0.99550000000000005</v>
      </c>
      <c r="AB773" s="1948">
        <v>74.75</v>
      </c>
      <c r="AC773" s="1948">
        <v>7459740</v>
      </c>
      <c r="AD773" s="1948">
        <f t="shared" si="214"/>
        <v>5987520</v>
      </c>
      <c r="AE773" s="1948">
        <f t="shared" si="215"/>
        <v>1472220</v>
      </c>
      <c r="AF773" s="1948">
        <v>16000</v>
      </c>
      <c r="AG773" s="1948">
        <v>13967.999999999998</v>
      </c>
      <c r="AH773" s="1948">
        <v>13968</v>
      </c>
      <c r="AI773" s="1948">
        <v>0.99750000000000005</v>
      </c>
      <c r="AJ773" s="1948">
        <v>92.29</v>
      </c>
      <c r="AK773" s="1948">
        <v>9590580</v>
      </c>
      <c r="AL773" s="1948">
        <f t="shared" si="216"/>
        <v>6235315</v>
      </c>
      <c r="AM773" s="1948">
        <f t="shared" si="217"/>
        <v>3355265</v>
      </c>
      <c r="AN773" s="1948">
        <v>16000</v>
      </c>
      <c r="AO773" s="1948">
        <v>14112.000000000002</v>
      </c>
      <c r="AP773" s="1948">
        <v>14112</v>
      </c>
      <c r="AQ773" s="1948">
        <v>0.99919999999999998</v>
      </c>
      <c r="AR773" s="1948">
        <v>90.33</v>
      </c>
      <c r="AS773" s="1948">
        <v>9483840</v>
      </c>
      <c r="AT773" s="1948">
        <f t="shared" si="218"/>
        <v>6299597</v>
      </c>
      <c r="AU773" s="1948">
        <f t="shared" si="219"/>
        <v>3184243</v>
      </c>
      <c r="AV773" s="1948">
        <v>16000</v>
      </c>
      <c r="AW773" s="1948">
        <v>14184</v>
      </c>
      <c r="AX773" s="1948">
        <v>14184</v>
      </c>
      <c r="AY773" s="1948">
        <v>0.99970000000000003</v>
      </c>
      <c r="AZ773" s="1948">
        <v>91.27</v>
      </c>
      <c r="BA773" s="1948">
        <v>9320760</v>
      </c>
      <c r="BB773" s="1948">
        <f t="shared" si="220"/>
        <v>6127488</v>
      </c>
      <c r="BC773" s="1948">
        <f t="shared" si="221"/>
        <v>3193272</v>
      </c>
      <c r="BD773" s="1949">
        <v>16000</v>
      </c>
      <c r="BE773" s="1948">
        <v>12600</v>
      </c>
      <c r="BF773" s="1949">
        <v>12800</v>
      </c>
      <c r="BG773" s="1949">
        <v>0.999</v>
      </c>
      <c r="BH773" s="1949">
        <v>89.64</v>
      </c>
      <c r="BI773" s="1948">
        <v>8403300</v>
      </c>
      <c r="BJ773" s="1948">
        <f t="shared" si="222"/>
        <v>5624640</v>
      </c>
      <c r="BK773" s="1948">
        <f t="shared" si="223"/>
        <v>2778660</v>
      </c>
    </row>
    <row r="774" spans="1:63" ht="15">
      <c r="A774" s="1946">
        <v>127000000001</v>
      </c>
      <c r="B774" s="1947">
        <f t="shared" si="194"/>
        <v>26</v>
      </c>
      <c r="C774" s="1906" t="s">
        <v>606</v>
      </c>
      <c r="D774" s="1907" t="s">
        <v>524</v>
      </c>
      <c r="E774" s="1906" t="s">
        <v>602</v>
      </c>
      <c r="F774" s="1948" t="s">
        <v>271</v>
      </c>
      <c r="G774" s="1949">
        <v>16500</v>
      </c>
      <c r="H774" s="1948">
        <v>16500</v>
      </c>
      <c r="I774" s="1950">
        <v>17280</v>
      </c>
      <c r="J774" s="1948">
        <v>17280</v>
      </c>
      <c r="K774" s="1948">
        <v>0.97550000000000003</v>
      </c>
      <c r="L774" s="1948">
        <v>42.82</v>
      </c>
      <c r="M774" s="1948">
        <v>5327880</v>
      </c>
      <c r="N774" s="1948">
        <f t="shared" si="210"/>
        <v>7464960</v>
      </c>
      <c r="O774" s="1948">
        <f t="shared" si="211"/>
        <v>0</v>
      </c>
      <c r="P774" s="1948">
        <v>16500</v>
      </c>
      <c r="Q774" s="1948">
        <v>19392</v>
      </c>
      <c r="R774" s="1948">
        <v>19392</v>
      </c>
      <c r="S774" s="1948">
        <v>0.97570000000000001</v>
      </c>
      <c r="T774" s="1948">
        <v>38.979999999999997</v>
      </c>
      <c r="U774" s="1948">
        <v>5623800</v>
      </c>
      <c r="V774" s="1948">
        <f t="shared" si="212"/>
        <v>8656589</v>
      </c>
      <c r="W774" s="1948">
        <f t="shared" si="213"/>
        <v>0</v>
      </c>
      <c r="X774" s="1948">
        <v>16500</v>
      </c>
      <c r="Y774" s="1948">
        <v>14256</v>
      </c>
      <c r="Z774" s="1948">
        <v>14256</v>
      </c>
      <c r="AA774" s="1948">
        <v>0.92520000000000002</v>
      </c>
      <c r="AB774" s="1948">
        <v>34.1</v>
      </c>
      <c r="AC774" s="1948">
        <v>3500280</v>
      </c>
      <c r="AD774" s="1948">
        <f t="shared" si="214"/>
        <v>6158592</v>
      </c>
      <c r="AE774" s="1948">
        <f t="shared" si="215"/>
        <v>0</v>
      </c>
      <c r="AF774" s="1948">
        <v>16500</v>
      </c>
      <c r="AG774" s="1948">
        <v>15983.999999999998</v>
      </c>
      <c r="AH774" s="1948">
        <v>15984</v>
      </c>
      <c r="AI774" s="1948">
        <v>0.97499999999999998</v>
      </c>
      <c r="AJ774" s="1948">
        <v>43.42</v>
      </c>
      <c r="AK774" s="1948">
        <v>5163360</v>
      </c>
      <c r="AL774" s="1948">
        <f t="shared" si="216"/>
        <v>7135258</v>
      </c>
      <c r="AM774" s="1948">
        <f t="shared" si="217"/>
        <v>0</v>
      </c>
      <c r="AN774" s="1948">
        <v>16500</v>
      </c>
      <c r="AO774" s="1948">
        <v>18840</v>
      </c>
      <c r="AP774" s="1948">
        <v>18840</v>
      </c>
      <c r="AQ774" s="1948">
        <v>0.97550000000000003</v>
      </c>
      <c r="AR774" s="1948">
        <v>36.46</v>
      </c>
      <c r="AS774" s="1948">
        <v>5111040</v>
      </c>
      <c r="AT774" s="1948">
        <f t="shared" si="218"/>
        <v>8410176</v>
      </c>
      <c r="AU774" s="1948">
        <f t="shared" si="219"/>
        <v>0</v>
      </c>
      <c r="AV774" s="1948">
        <v>16500</v>
      </c>
      <c r="AW774" s="1948">
        <v>17064</v>
      </c>
      <c r="AX774" s="1948">
        <v>17064</v>
      </c>
      <c r="AY774" s="1948">
        <v>0.97889999999999999</v>
      </c>
      <c r="AZ774" s="1948">
        <v>42.65</v>
      </c>
      <c r="BA774" s="1948">
        <v>5239680</v>
      </c>
      <c r="BB774" s="1948">
        <f t="shared" si="220"/>
        <v>7371648</v>
      </c>
      <c r="BC774" s="1948">
        <f t="shared" si="221"/>
        <v>0</v>
      </c>
      <c r="BD774" s="1949">
        <v>16500</v>
      </c>
      <c r="BE774" s="1948">
        <v>16464</v>
      </c>
      <c r="BF774" s="1949">
        <v>16464</v>
      </c>
      <c r="BG774" s="1949">
        <v>0.97650000000000003</v>
      </c>
      <c r="BH774" s="1949">
        <v>43.38</v>
      </c>
      <c r="BI774" s="1948">
        <v>5313480</v>
      </c>
      <c r="BJ774" s="1948">
        <f t="shared" si="222"/>
        <v>7349530</v>
      </c>
      <c r="BK774" s="1948">
        <f t="shared" si="223"/>
        <v>0</v>
      </c>
    </row>
    <row r="775" spans="1:63" ht="15">
      <c r="A775" s="1946">
        <v>622000000007</v>
      </c>
      <c r="B775" s="1947">
        <f t="shared" si="194"/>
        <v>27</v>
      </c>
      <c r="C775" s="1906" t="s">
        <v>537</v>
      </c>
      <c r="D775" s="1907" t="s">
        <v>524</v>
      </c>
      <c r="E775" s="1906" t="s">
        <v>538</v>
      </c>
      <c r="F775" s="1948" t="s">
        <v>271</v>
      </c>
      <c r="G775" s="1949">
        <v>16667</v>
      </c>
      <c r="H775" s="1948">
        <v>16667</v>
      </c>
      <c r="I775" s="1950">
        <v>54840</v>
      </c>
      <c r="J775" s="1948">
        <v>16667</v>
      </c>
      <c r="K775" s="1948">
        <v>0.97729999999999995</v>
      </c>
      <c r="L775" s="1948">
        <v>110.69</v>
      </c>
      <c r="M775" s="1948">
        <v>35090400</v>
      </c>
      <c r="N775" s="1948">
        <f t="shared" si="210"/>
        <v>23690880</v>
      </c>
      <c r="O775" s="1948">
        <f t="shared" si="211"/>
        <v>11399520</v>
      </c>
      <c r="P775" s="1948">
        <v>16667</v>
      </c>
      <c r="Q775" s="1948">
        <v>54144</v>
      </c>
      <c r="R775" s="1948">
        <v>16667</v>
      </c>
      <c r="S775" s="1948">
        <v>0.98099999999999998</v>
      </c>
      <c r="T775" s="1948">
        <v>90.58</v>
      </c>
      <c r="U775" s="1948">
        <v>30285600</v>
      </c>
      <c r="V775" s="1948">
        <f t="shared" si="212"/>
        <v>24169882</v>
      </c>
      <c r="W775" s="1948">
        <f t="shared" si="213"/>
        <v>6115718</v>
      </c>
      <c r="X775" s="1948">
        <v>16667</v>
      </c>
      <c r="Y775" s="1948">
        <v>53880</v>
      </c>
      <c r="Z775" s="1948">
        <v>15107.4</v>
      </c>
      <c r="AA775" s="1948">
        <v>0.97350000000000003</v>
      </c>
      <c r="AB775" s="1948">
        <v>39.229999999999997</v>
      </c>
      <c r="AC775" s="1948">
        <v>32760600</v>
      </c>
      <c r="AD775" s="1948">
        <f t="shared" si="214"/>
        <v>23276160</v>
      </c>
      <c r="AE775" s="1948">
        <f t="shared" si="215"/>
        <v>9484440</v>
      </c>
      <c r="AF775" s="1948">
        <v>16667</v>
      </c>
      <c r="AG775" s="1948">
        <v>54480</v>
      </c>
      <c r="AH775" s="1948">
        <v>16667</v>
      </c>
      <c r="AI775" s="1948">
        <v>1.0355000000000001</v>
      </c>
      <c r="AJ775" s="1948">
        <v>117.71</v>
      </c>
      <c r="AK775" s="1948">
        <v>37287000</v>
      </c>
      <c r="AL775" s="1948">
        <f t="shared" si="216"/>
        <v>24319872</v>
      </c>
      <c r="AM775" s="1948">
        <f t="shared" si="217"/>
        <v>12967128</v>
      </c>
      <c r="AN775" s="1948">
        <v>16667</v>
      </c>
      <c r="AO775" s="1948">
        <v>55680</v>
      </c>
      <c r="AP775" s="1948">
        <v>16667</v>
      </c>
      <c r="AQ775" s="1948">
        <v>1.0246999999999999</v>
      </c>
      <c r="AR775" s="1948">
        <v>126.47</v>
      </c>
      <c r="AS775" s="1948">
        <v>35343000</v>
      </c>
      <c r="AT775" s="1948">
        <f t="shared" si="218"/>
        <v>24855552</v>
      </c>
      <c r="AU775" s="1948">
        <f t="shared" si="219"/>
        <v>10487448</v>
      </c>
      <c r="AV775" s="1948">
        <v>16667</v>
      </c>
      <c r="AW775" s="1948">
        <v>57240</v>
      </c>
      <c r="AX775" s="1948">
        <v>16667</v>
      </c>
      <c r="AY775" s="1948">
        <v>1.0362</v>
      </c>
      <c r="AZ775" s="1948">
        <v>104.36</v>
      </c>
      <c r="BA775" s="1948">
        <v>35584800</v>
      </c>
      <c r="BB775" s="1948">
        <f t="shared" si="220"/>
        <v>24727680</v>
      </c>
      <c r="BC775" s="1948">
        <f t="shared" si="221"/>
        <v>10857120</v>
      </c>
      <c r="BD775" s="1949">
        <v>16667</v>
      </c>
      <c r="BE775" s="1948">
        <v>56880</v>
      </c>
      <c r="BF775" s="1949">
        <v>16667</v>
      </c>
      <c r="BG775" s="1949">
        <v>1.0396000000000001</v>
      </c>
      <c r="BH775" s="1949">
        <v>104.16</v>
      </c>
      <c r="BI775" s="1948">
        <v>37855800</v>
      </c>
      <c r="BJ775" s="1948">
        <f t="shared" si="222"/>
        <v>25391232</v>
      </c>
      <c r="BK775" s="1948">
        <f t="shared" si="223"/>
        <v>12464568</v>
      </c>
    </row>
    <row r="776" spans="1:63" ht="15">
      <c r="A776" s="1946">
        <v>121000000007</v>
      </c>
      <c r="B776" s="1947">
        <f t="shared" si="194"/>
        <v>28</v>
      </c>
      <c r="C776" s="1906" t="s">
        <v>601</v>
      </c>
      <c r="D776" s="1907" t="s">
        <v>524</v>
      </c>
      <c r="E776" s="1906" t="s">
        <v>602</v>
      </c>
      <c r="F776" s="1948" t="s">
        <v>271</v>
      </c>
      <c r="G776" s="1949">
        <v>17000</v>
      </c>
      <c r="H776" s="1948">
        <v>15000</v>
      </c>
      <c r="I776" s="1950">
        <v>15840</v>
      </c>
      <c r="J776" s="1948">
        <v>15840</v>
      </c>
      <c r="K776" s="1948">
        <v>0.98580000000000001</v>
      </c>
      <c r="L776" s="1948">
        <v>48.95</v>
      </c>
      <c r="M776" s="1948">
        <v>5582400</v>
      </c>
      <c r="N776" s="1948">
        <f t="shared" si="210"/>
        <v>6842880</v>
      </c>
      <c r="O776" s="1948">
        <f t="shared" si="211"/>
        <v>0</v>
      </c>
      <c r="P776" s="1948">
        <v>15000</v>
      </c>
      <c r="Q776" s="1948">
        <v>15840</v>
      </c>
      <c r="R776" s="1948">
        <v>15840</v>
      </c>
      <c r="S776" s="1948">
        <v>0.9879</v>
      </c>
      <c r="T776" s="1948">
        <v>50.75</v>
      </c>
      <c r="U776" s="1948">
        <v>5980800</v>
      </c>
      <c r="V776" s="1948">
        <f t="shared" si="212"/>
        <v>7070976</v>
      </c>
      <c r="W776" s="1948">
        <f t="shared" si="213"/>
        <v>0</v>
      </c>
      <c r="X776" s="1948">
        <v>17000</v>
      </c>
      <c r="Y776" s="1948">
        <v>13920</v>
      </c>
      <c r="Z776" s="1948">
        <v>13920</v>
      </c>
      <c r="AA776" s="1948">
        <v>0.99270000000000003</v>
      </c>
      <c r="AB776" s="1948">
        <v>36.49</v>
      </c>
      <c r="AC776" s="1948">
        <v>3657600</v>
      </c>
      <c r="AD776" s="1948">
        <f t="shared" si="214"/>
        <v>6013440</v>
      </c>
      <c r="AE776" s="1948">
        <f t="shared" si="215"/>
        <v>0</v>
      </c>
      <c r="AF776" s="1948">
        <v>17000</v>
      </c>
      <c r="AG776" s="1948">
        <v>14880</v>
      </c>
      <c r="AH776" s="1948">
        <v>14880</v>
      </c>
      <c r="AI776" s="1948">
        <v>0.99229999999999996</v>
      </c>
      <c r="AJ776" s="1948">
        <v>34.21</v>
      </c>
      <c r="AK776" s="1948">
        <v>3787200</v>
      </c>
      <c r="AL776" s="1948">
        <f t="shared" si="216"/>
        <v>6642432</v>
      </c>
      <c r="AM776" s="1948">
        <f t="shared" si="217"/>
        <v>0</v>
      </c>
      <c r="AN776" s="1948">
        <v>17000</v>
      </c>
      <c r="AO776" s="1948">
        <v>14880</v>
      </c>
      <c r="AP776" s="1948">
        <v>14880</v>
      </c>
      <c r="AQ776" s="1948">
        <v>0.99139999999999995</v>
      </c>
      <c r="AR776" s="1948">
        <v>48.37</v>
      </c>
      <c r="AS776" s="1948">
        <v>5354400</v>
      </c>
      <c r="AT776" s="1948">
        <f t="shared" si="218"/>
        <v>6642432</v>
      </c>
      <c r="AU776" s="1948">
        <f t="shared" si="219"/>
        <v>0</v>
      </c>
      <c r="AV776" s="1948">
        <v>17000</v>
      </c>
      <c r="AW776" s="1948">
        <v>15360</v>
      </c>
      <c r="AX776" s="1948">
        <v>15360</v>
      </c>
      <c r="AY776" s="1948">
        <v>0.99080000000000001</v>
      </c>
      <c r="AZ776" s="1948">
        <v>49.76</v>
      </c>
      <c r="BA776" s="1948">
        <v>5503200</v>
      </c>
      <c r="BB776" s="1948">
        <f t="shared" si="220"/>
        <v>6635520</v>
      </c>
      <c r="BC776" s="1948">
        <f t="shared" si="221"/>
        <v>0</v>
      </c>
      <c r="BD776" s="1949">
        <v>17000</v>
      </c>
      <c r="BE776" s="1948">
        <v>15840</v>
      </c>
      <c r="BF776" s="1949">
        <v>15840</v>
      </c>
      <c r="BG776" s="1949">
        <v>0.99209999999999998</v>
      </c>
      <c r="BH776" s="1949">
        <v>46.74</v>
      </c>
      <c r="BI776" s="1948">
        <v>5508000</v>
      </c>
      <c r="BJ776" s="1948">
        <f t="shared" si="222"/>
        <v>7070976</v>
      </c>
      <c r="BK776" s="1948">
        <f t="shared" si="223"/>
        <v>0</v>
      </c>
    </row>
    <row r="777" spans="1:63" ht="15">
      <c r="A777" s="1946">
        <v>611000000075</v>
      </c>
      <c r="B777" s="1947">
        <f t="shared" ref="B777:B792" si="224">+B776+1</f>
        <v>29</v>
      </c>
      <c r="C777" s="1906" t="s">
        <v>610</v>
      </c>
      <c r="D777" s="1907" t="s">
        <v>524</v>
      </c>
      <c r="E777" s="1906" t="s">
        <v>602</v>
      </c>
      <c r="F777" s="1948" t="s">
        <v>271</v>
      </c>
      <c r="G777" s="1949">
        <v>17500</v>
      </c>
      <c r="H777" s="1948">
        <v>17500</v>
      </c>
      <c r="I777" s="1950">
        <v>14736</v>
      </c>
      <c r="J777" s="1948">
        <v>14736</v>
      </c>
      <c r="K777" s="1948">
        <v>0.97840000000000005</v>
      </c>
      <c r="L777" s="1948">
        <v>29.13</v>
      </c>
      <c r="M777" s="1948">
        <v>3091200</v>
      </c>
      <c r="N777" s="1948">
        <f t="shared" si="210"/>
        <v>6365952</v>
      </c>
      <c r="O777" s="1948">
        <f t="shared" si="211"/>
        <v>0</v>
      </c>
      <c r="P777" s="1948">
        <v>17500</v>
      </c>
      <c r="Q777" s="1948">
        <v>15216</v>
      </c>
      <c r="R777" s="1948">
        <v>15216</v>
      </c>
      <c r="S777" s="1948">
        <v>0.97589999999999999</v>
      </c>
      <c r="T777" s="1948">
        <v>26.79</v>
      </c>
      <c r="U777" s="1948">
        <v>3033360</v>
      </c>
      <c r="V777" s="1948">
        <f t="shared" si="212"/>
        <v>6792422</v>
      </c>
      <c r="W777" s="1948">
        <f t="shared" si="213"/>
        <v>0</v>
      </c>
      <c r="X777" s="1948">
        <v>17500</v>
      </c>
      <c r="Y777" s="1948">
        <v>18048</v>
      </c>
      <c r="Z777" s="1948">
        <v>18048</v>
      </c>
      <c r="AA777" s="1948">
        <v>0.95840000000000003</v>
      </c>
      <c r="AB777" s="1948">
        <v>25.29</v>
      </c>
      <c r="AC777" s="1948">
        <v>3286320</v>
      </c>
      <c r="AD777" s="1948">
        <f t="shared" si="214"/>
        <v>7796736</v>
      </c>
      <c r="AE777" s="1948">
        <f t="shared" si="215"/>
        <v>0</v>
      </c>
      <c r="AF777" s="1948">
        <v>17500</v>
      </c>
      <c r="AG777" s="1948">
        <v>17712</v>
      </c>
      <c r="AH777" s="1948">
        <v>17712</v>
      </c>
      <c r="AI777" s="1948">
        <v>0.97850000000000004</v>
      </c>
      <c r="AJ777" s="1948">
        <v>22.73</v>
      </c>
      <c r="AK777" s="1948">
        <v>2995680</v>
      </c>
      <c r="AL777" s="1948">
        <f t="shared" si="216"/>
        <v>7906637</v>
      </c>
      <c r="AM777" s="1948">
        <f t="shared" si="217"/>
        <v>0</v>
      </c>
      <c r="AN777" s="1948">
        <v>17500</v>
      </c>
      <c r="AO777" s="1948">
        <v>16416</v>
      </c>
      <c r="AP777" s="1948">
        <v>16416</v>
      </c>
      <c r="AQ777" s="1948">
        <v>0.9788</v>
      </c>
      <c r="AR777" s="1948">
        <v>25.38</v>
      </c>
      <c r="AS777" s="1948">
        <v>3100320</v>
      </c>
      <c r="AT777" s="1948">
        <f t="shared" si="218"/>
        <v>7328102</v>
      </c>
      <c r="AU777" s="1948">
        <f t="shared" si="219"/>
        <v>0</v>
      </c>
      <c r="AV777" s="1948">
        <v>17500</v>
      </c>
      <c r="AW777" s="1948">
        <v>14640</v>
      </c>
      <c r="AX777" s="1948">
        <v>14640</v>
      </c>
      <c r="AY777" s="1948">
        <v>0.99070000000000003</v>
      </c>
      <c r="AZ777" s="1948">
        <v>24.28</v>
      </c>
      <c r="BA777" s="1948">
        <v>2558880</v>
      </c>
      <c r="BB777" s="1948">
        <f t="shared" si="220"/>
        <v>6324480</v>
      </c>
      <c r="BC777" s="1948">
        <f t="shared" si="221"/>
        <v>0</v>
      </c>
      <c r="BD777" s="1949">
        <v>17500</v>
      </c>
      <c r="BE777" s="1948">
        <v>15503.999999999998</v>
      </c>
      <c r="BF777" s="1949">
        <v>15504</v>
      </c>
      <c r="BG777" s="1949">
        <v>0.96599999999999997</v>
      </c>
      <c r="BH777" s="1949">
        <v>27.85</v>
      </c>
      <c r="BI777" s="1948">
        <v>3212880</v>
      </c>
      <c r="BJ777" s="1948">
        <f t="shared" si="222"/>
        <v>6920986</v>
      </c>
      <c r="BK777" s="1948">
        <f t="shared" si="223"/>
        <v>0</v>
      </c>
    </row>
    <row r="778" spans="1:63" ht="15">
      <c r="A778" s="1946">
        <v>122000000039</v>
      </c>
      <c r="B778" s="1947">
        <f t="shared" si="224"/>
        <v>30</v>
      </c>
      <c r="C778" s="1906" t="s">
        <v>604</v>
      </c>
      <c r="D778" s="1907" t="s">
        <v>524</v>
      </c>
      <c r="E778" s="1906" t="s">
        <v>602</v>
      </c>
      <c r="F778" s="1948" t="s">
        <v>271</v>
      </c>
      <c r="G778" s="1949">
        <v>18000</v>
      </c>
      <c r="H778" s="1948">
        <v>18000</v>
      </c>
      <c r="I778" s="1950">
        <v>17880</v>
      </c>
      <c r="J778" s="1948">
        <v>17880</v>
      </c>
      <c r="K778" s="1948">
        <v>0.97140000000000004</v>
      </c>
      <c r="L778" s="1948">
        <v>43.57</v>
      </c>
      <c r="M778" s="1948">
        <v>5608400</v>
      </c>
      <c r="N778" s="1948">
        <f t="shared" si="210"/>
        <v>7724160</v>
      </c>
      <c r="O778" s="1948">
        <f t="shared" si="211"/>
        <v>0</v>
      </c>
      <c r="P778" s="1948">
        <v>18000</v>
      </c>
      <c r="Q778" s="1948">
        <v>17840</v>
      </c>
      <c r="R778" s="1948">
        <v>17840</v>
      </c>
      <c r="S778" s="1948">
        <v>0.97119999999999995</v>
      </c>
      <c r="T778" s="1948">
        <v>46.81</v>
      </c>
      <c r="U778" s="1948">
        <v>6212750</v>
      </c>
      <c r="V778" s="1948">
        <f t="shared" si="212"/>
        <v>7963776</v>
      </c>
      <c r="W778" s="1948">
        <f t="shared" si="213"/>
        <v>0</v>
      </c>
      <c r="X778" s="1948">
        <v>18000</v>
      </c>
      <c r="Y778" s="1948">
        <v>15760</v>
      </c>
      <c r="Z778" s="1948">
        <v>15760</v>
      </c>
      <c r="AA778" s="1948">
        <v>0.93559999999999999</v>
      </c>
      <c r="AB778" s="1948">
        <v>35.81</v>
      </c>
      <c r="AC778" s="1948">
        <v>4063510</v>
      </c>
      <c r="AD778" s="1948">
        <f t="shared" si="214"/>
        <v>6808320</v>
      </c>
      <c r="AE778" s="1948">
        <f t="shared" si="215"/>
        <v>0</v>
      </c>
      <c r="AF778" s="1948">
        <v>18000</v>
      </c>
      <c r="AG778" s="1948">
        <v>16520</v>
      </c>
      <c r="AH778" s="1948">
        <v>16520</v>
      </c>
      <c r="AI778" s="1948">
        <v>0.96830000000000005</v>
      </c>
      <c r="AJ778" s="1948">
        <v>48.54</v>
      </c>
      <c r="AK778" s="1948">
        <v>5965820</v>
      </c>
      <c r="AL778" s="1948">
        <f t="shared" si="216"/>
        <v>7374528</v>
      </c>
      <c r="AM778" s="1948">
        <f t="shared" si="217"/>
        <v>0</v>
      </c>
      <c r="AN778" s="1948">
        <v>18000</v>
      </c>
      <c r="AO778" s="1948">
        <v>14960</v>
      </c>
      <c r="AP778" s="1948">
        <v>14960</v>
      </c>
      <c r="AQ778" s="1948">
        <v>0.97060000000000002</v>
      </c>
      <c r="AR778" s="1948">
        <v>51.49</v>
      </c>
      <c r="AS778" s="1948">
        <v>5731180</v>
      </c>
      <c r="AT778" s="1948">
        <f t="shared" si="218"/>
        <v>6678144</v>
      </c>
      <c r="AU778" s="1948">
        <f t="shared" si="219"/>
        <v>0</v>
      </c>
      <c r="AV778" s="1948">
        <v>18000</v>
      </c>
      <c r="AW778" s="1948">
        <v>16720</v>
      </c>
      <c r="AX778" s="1948">
        <v>16720</v>
      </c>
      <c r="AY778" s="1948">
        <v>0.97130000000000005</v>
      </c>
      <c r="AZ778" s="1948">
        <v>51.68</v>
      </c>
      <c r="BA778" s="1948">
        <v>6220980</v>
      </c>
      <c r="BB778" s="1948">
        <f t="shared" si="220"/>
        <v>7223040</v>
      </c>
      <c r="BC778" s="1948">
        <f t="shared" si="221"/>
        <v>0</v>
      </c>
      <c r="BD778" s="1949">
        <v>18000</v>
      </c>
      <c r="BE778" s="1948">
        <v>18280</v>
      </c>
      <c r="BF778" s="1949">
        <v>18280</v>
      </c>
      <c r="BG778" s="1949">
        <v>0.97289999999999999</v>
      </c>
      <c r="BH778" s="1949">
        <v>45.12</v>
      </c>
      <c r="BI778" s="1948">
        <v>6137100</v>
      </c>
      <c r="BJ778" s="1948">
        <f t="shared" si="222"/>
        <v>8160192</v>
      </c>
      <c r="BK778" s="1948">
        <f t="shared" si="223"/>
        <v>0</v>
      </c>
    </row>
    <row r="779" spans="1:63" ht="15">
      <c r="A779" s="1946">
        <v>611000000035</v>
      </c>
      <c r="B779" s="1947">
        <f t="shared" si="224"/>
        <v>31</v>
      </c>
      <c r="C779" s="1906" t="s">
        <v>546</v>
      </c>
      <c r="D779" s="1907" t="s">
        <v>524</v>
      </c>
      <c r="E779" s="1906" t="s">
        <v>541</v>
      </c>
      <c r="F779" s="1948" t="s">
        <v>271</v>
      </c>
      <c r="G779" s="1949">
        <v>18000</v>
      </c>
      <c r="H779" s="1948">
        <v>18000</v>
      </c>
      <c r="I779" s="1950">
        <v>20460</v>
      </c>
      <c r="J779" s="1948">
        <v>20460</v>
      </c>
      <c r="K779" s="1948">
        <v>0.99980000000000002</v>
      </c>
      <c r="L779" s="1948">
        <v>82.54</v>
      </c>
      <c r="M779" s="1948">
        <v>12159600</v>
      </c>
      <c r="N779" s="1948">
        <f t="shared" si="210"/>
        <v>8838720</v>
      </c>
      <c r="O779" s="1948">
        <f t="shared" si="211"/>
        <v>3320880</v>
      </c>
      <c r="P779" s="1948">
        <v>18000</v>
      </c>
      <c r="Q779" s="1948">
        <v>17100</v>
      </c>
      <c r="R779" s="1948">
        <v>17100</v>
      </c>
      <c r="S779" s="1948">
        <v>0.99780000000000002</v>
      </c>
      <c r="T779" s="1948">
        <v>56.54</v>
      </c>
      <c r="U779" s="1948">
        <v>7192800</v>
      </c>
      <c r="V779" s="1948">
        <f t="shared" si="212"/>
        <v>7633440</v>
      </c>
      <c r="W779" s="1948">
        <f t="shared" si="213"/>
        <v>0</v>
      </c>
      <c r="X779" s="1948">
        <v>18000</v>
      </c>
      <c r="Y779" s="1948">
        <v>20280</v>
      </c>
      <c r="Z779" s="1948">
        <v>20280</v>
      </c>
      <c r="AA779" s="1948">
        <v>0.99629999999999996</v>
      </c>
      <c r="AB779" s="1948">
        <v>59.67</v>
      </c>
      <c r="AC779" s="1948">
        <v>8713500</v>
      </c>
      <c r="AD779" s="1948">
        <f t="shared" si="214"/>
        <v>8760960</v>
      </c>
      <c r="AE779" s="1948">
        <f t="shared" si="215"/>
        <v>0</v>
      </c>
      <c r="AF779" s="1948">
        <v>18000</v>
      </c>
      <c r="AG779" s="1948">
        <v>33840</v>
      </c>
      <c r="AH779" s="1948">
        <v>19380</v>
      </c>
      <c r="AI779" s="1948">
        <v>0.99590000000000001</v>
      </c>
      <c r="AJ779" s="1948">
        <v>43.2</v>
      </c>
      <c r="AK779" s="1948">
        <v>7332900</v>
      </c>
      <c r="AL779" s="1948">
        <f t="shared" si="216"/>
        <v>15106176</v>
      </c>
      <c r="AM779" s="1948">
        <f t="shared" si="217"/>
        <v>0</v>
      </c>
      <c r="AN779" s="1948">
        <v>18000</v>
      </c>
      <c r="AO779" s="1948">
        <v>16200</v>
      </c>
      <c r="AP779" s="1948">
        <v>16200</v>
      </c>
      <c r="AQ779" s="1948">
        <v>0.99780000000000002</v>
      </c>
      <c r="AR779" s="1948">
        <v>22.64</v>
      </c>
      <c r="AS779" s="1948">
        <v>2728800</v>
      </c>
      <c r="AT779" s="1948">
        <f t="shared" si="218"/>
        <v>7231680</v>
      </c>
      <c r="AU779" s="1948">
        <f t="shared" si="219"/>
        <v>0</v>
      </c>
      <c r="AV779" s="1948">
        <v>18000</v>
      </c>
      <c r="AW779" s="1948">
        <v>15900</v>
      </c>
      <c r="AX779" s="1948">
        <v>15900</v>
      </c>
      <c r="AY779" s="1948">
        <v>0.99890000000000001</v>
      </c>
      <c r="AZ779" s="1948">
        <v>30.07</v>
      </c>
      <c r="BA779" s="1948">
        <v>3442800</v>
      </c>
      <c r="BB779" s="1948">
        <f t="shared" si="220"/>
        <v>6868800</v>
      </c>
      <c r="BC779" s="1948">
        <f t="shared" si="221"/>
        <v>0</v>
      </c>
      <c r="BD779" s="1949">
        <v>18000</v>
      </c>
      <c r="BE779" s="1948">
        <v>14700</v>
      </c>
      <c r="BF779" s="1949">
        <v>14700</v>
      </c>
      <c r="BG779" s="1949">
        <v>0.99880000000000002</v>
      </c>
      <c r="BH779" s="1949">
        <v>11.67</v>
      </c>
      <c r="BI779" s="1948">
        <v>1276500</v>
      </c>
      <c r="BJ779" s="1948">
        <f t="shared" si="222"/>
        <v>6562080</v>
      </c>
      <c r="BK779" s="1948">
        <f t="shared" si="223"/>
        <v>0</v>
      </c>
    </row>
    <row r="780" spans="1:63" ht="15">
      <c r="A780" s="1946">
        <v>622000000002</v>
      </c>
      <c r="B780" s="1947">
        <f t="shared" si="224"/>
        <v>32</v>
      </c>
      <c r="C780" s="1906" t="s">
        <v>617</v>
      </c>
      <c r="D780" s="1907" t="s">
        <v>524</v>
      </c>
      <c r="E780" s="1906" t="s">
        <v>602</v>
      </c>
      <c r="F780" s="1948" t="s">
        <v>271</v>
      </c>
      <c r="G780" s="1949">
        <v>19000</v>
      </c>
      <c r="H780" s="1948">
        <v>19000</v>
      </c>
      <c r="I780" s="1950">
        <v>18192</v>
      </c>
      <c r="J780" s="1948">
        <v>18192</v>
      </c>
      <c r="K780" s="1948">
        <v>0.98309999999999997</v>
      </c>
      <c r="L780" s="1948">
        <v>23.21</v>
      </c>
      <c r="M780" s="1948">
        <v>3040080</v>
      </c>
      <c r="N780" s="1948">
        <f t="shared" si="210"/>
        <v>7858944</v>
      </c>
      <c r="O780" s="1948">
        <f t="shared" si="211"/>
        <v>0</v>
      </c>
      <c r="P780" s="1948">
        <v>19000</v>
      </c>
      <c r="Q780" s="1948">
        <v>13296</v>
      </c>
      <c r="R780" s="1948">
        <v>15200</v>
      </c>
      <c r="S780" s="1948">
        <v>0.98309999999999997</v>
      </c>
      <c r="T780" s="1948">
        <v>29.84</v>
      </c>
      <c r="U780" s="1948">
        <v>2951520</v>
      </c>
      <c r="V780" s="1948">
        <f t="shared" si="212"/>
        <v>5935334</v>
      </c>
      <c r="W780" s="1948">
        <f t="shared" si="213"/>
        <v>0</v>
      </c>
      <c r="X780" s="1948">
        <v>19000</v>
      </c>
      <c r="Y780" s="1948">
        <v>11760</v>
      </c>
      <c r="Z780" s="1948">
        <v>15200</v>
      </c>
      <c r="AA780" s="1948">
        <v>0.98050000000000004</v>
      </c>
      <c r="AB780" s="1948">
        <v>28.7</v>
      </c>
      <c r="AC780" s="1948">
        <v>2429760</v>
      </c>
      <c r="AD780" s="1948">
        <f t="shared" si="214"/>
        <v>5080320</v>
      </c>
      <c r="AE780" s="1948">
        <f t="shared" si="215"/>
        <v>0</v>
      </c>
      <c r="AF780" s="1948">
        <v>19000</v>
      </c>
      <c r="AG780" s="1948">
        <v>11472</v>
      </c>
      <c r="AH780" s="1948">
        <v>15200</v>
      </c>
      <c r="AI780" s="1948">
        <v>0.98399999999999999</v>
      </c>
      <c r="AJ780" s="1948">
        <v>31.65</v>
      </c>
      <c r="AK780" s="1948">
        <v>2701200</v>
      </c>
      <c r="AL780" s="1948">
        <f t="shared" si="216"/>
        <v>5121101</v>
      </c>
      <c r="AM780" s="1948">
        <f t="shared" si="217"/>
        <v>0</v>
      </c>
      <c r="AN780" s="1948">
        <v>19000</v>
      </c>
      <c r="AO780" s="1948">
        <v>15696.000000000002</v>
      </c>
      <c r="AP780" s="1948">
        <v>15696</v>
      </c>
      <c r="AQ780" s="1948">
        <v>0.98560000000000003</v>
      </c>
      <c r="AR780" s="1948">
        <v>23.01</v>
      </c>
      <c r="AS780" s="1948">
        <v>2687280</v>
      </c>
      <c r="AT780" s="1948">
        <f t="shared" si="218"/>
        <v>7006694</v>
      </c>
      <c r="AU780" s="1948">
        <f t="shared" si="219"/>
        <v>0</v>
      </c>
      <c r="AV780" s="1948">
        <v>19000</v>
      </c>
      <c r="AW780" s="1948">
        <v>18288</v>
      </c>
      <c r="AX780" s="1948">
        <v>18288</v>
      </c>
      <c r="AY780" s="1948">
        <v>0.98380000000000001</v>
      </c>
      <c r="AZ780" s="1948">
        <v>18.62</v>
      </c>
      <c r="BA780" s="1948">
        <v>2452320</v>
      </c>
      <c r="BB780" s="1948">
        <f t="shared" si="220"/>
        <v>7900416</v>
      </c>
      <c r="BC780" s="1948">
        <f t="shared" si="221"/>
        <v>0</v>
      </c>
      <c r="BD780" s="1949">
        <v>19000</v>
      </c>
      <c r="BE780" s="1948">
        <v>12624</v>
      </c>
      <c r="BF780" s="1949">
        <v>15200</v>
      </c>
      <c r="BG780" s="1949">
        <v>0.98499999999999999</v>
      </c>
      <c r="BH780" s="1949">
        <v>28.41</v>
      </c>
      <c r="BI780" s="1948">
        <v>2668320</v>
      </c>
      <c r="BJ780" s="1948">
        <f t="shared" si="222"/>
        <v>5635354</v>
      </c>
      <c r="BK780" s="1948">
        <f t="shared" si="223"/>
        <v>0</v>
      </c>
    </row>
    <row r="781" spans="1:63" ht="15">
      <c r="A781" s="1946">
        <v>121000000009</v>
      </c>
      <c r="B781" s="1947">
        <f t="shared" si="224"/>
        <v>33</v>
      </c>
      <c r="C781" s="1906" t="s">
        <v>594</v>
      </c>
      <c r="D781" s="1907" t="s">
        <v>524</v>
      </c>
      <c r="E781" s="1906" t="s">
        <v>595</v>
      </c>
      <c r="F781" s="1948" t="s">
        <v>271</v>
      </c>
      <c r="G781" s="1949">
        <v>19500</v>
      </c>
      <c r="H781" s="1948">
        <v>13000</v>
      </c>
      <c r="I781" s="1950">
        <v>22080</v>
      </c>
      <c r="J781" s="1948">
        <v>22080</v>
      </c>
      <c r="K781" s="1948">
        <v>0.99770000000000003</v>
      </c>
      <c r="L781" s="1948">
        <v>27.35</v>
      </c>
      <c r="M781" s="1948">
        <v>4386600</v>
      </c>
      <c r="N781" s="1948">
        <f t="shared" si="210"/>
        <v>9538560</v>
      </c>
      <c r="O781" s="1948">
        <f t="shared" si="211"/>
        <v>0</v>
      </c>
      <c r="P781" s="1948">
        <v>13000</v>
      </c>
      <c r="Q781" s="1948">
        <v>12470.4</v>
      </c>
      <c r="R781" s="1948">
        <v>11817.6</v>
      </c>
      <c r="S781" s="1948">
        <v>0.96550000000000002</v>
      </c>
      <c r="T781" s="1948">
        <v>17.48</v>
      </c>
      <c r="U781" s="1948">
        <v>1608480</v>
      </c>
      <c r="V781" s="1948">
        <f t="shared" si="212"/>
        <v>5566787</v>
      </c>
      <c r="W781" s="1948">
        <f t="shared" si="213"/>
        <v>0</v>
      </c>
      <c r="X781" s="1948">
        <v>19500</v>
      </c>
      <c r="Y781" s="1948">
        <v>15960</v>
      </c>
      <c r="Z781" s="1948">
        <v>15960</v>
      </c>
      <c r="AA781" s="1948">
        <v>0.99370000000000003</v>
      </c>
      <c r="AB781" s="1948">
        <v>37.54</v>
      </c>
      <c r="AC781" s="1948">
        <v>4365240</v>
      </c>
      <c r="AD781" s="1948">
        <f t="shared" si="214"/>
        <v>6894720</v>
      </c>
      <c r="AE781" s="1948">
        <f t="shared" si="215"/>
        <v>0</v>
      </c>
      <c r="AF781" s="1948">
        <v>19500</v>
      </c>
      <c r="AG781" s="1948">
        <v>26688</v>
      </c>
      <c r="AH781" s="1948">
        <v>18288</v>
      </c>
      <c r="AI781" s="1948">
        <v>0.99809999999999999</v>
      </c>
      <c r="AJ781" s="1948">
        <v>58.01</v>
      </c>
      <c r="AK781" s="1948">
        <v>8018640</v>
      </c>
      <c r="AL781" s="1948">
        <f t="shared" si="216"/>
        <v>11913523</v>
      </c>
      <c r="AM781" s="1948">
        <f t="shared" si="217"/>
        <v>0</v>
      </c>
      <c r="AN781" s="1948">
        <v>19500</v>
      </c>
      <c r="AO781" s="1948">
        <v>30984</v>
      </c>
      <c r="AP781" s="1948">
        <v>21072</v>
      </c>
      <c r="AQ781" s="1948">
        <v>0.99650000000000005</v>
      </c>
      <c r="AR781" s="1948">
        <v>39.159999999999997</v>
      </c>
      <c r="AS781" s="1948">
        <v>6719520</v>
      </c>
      <c r="AT781" s="1948">
        <f t="shared" si="218"/>
        <v>13831258</v>
      </c>
      <c r="AU781" s="1948">
        <f t="shared" si="219"/>
        <v>0</v>
      </c>
      <c r="AV781" s="1948">
        <v>19500</v>
      </c>
      <c r="AW781" s="1948">
        <v>38064</v>
      </c>
      <c r="AX781" s="1948">
        <v>20119</v>
      </c>
      <c r="AY781" s="1948">
        <v>0.99929999999999997</v>
      </c>
      <c r="AZ781" s="1948">
        <v>44.3</v>
      </c>
      <c r="BA781" s="1948">
        <v>8157480</v>
      </c>
      <c r="BB781" s="1948">
        <f t="shared" si="220"/>
        <v>16443648</v>
      </c>
      <c r="BC781" s="1948">
        <f t="shared" si="221"/>
        <v>0</v>
      </c>
      <c r="BD781" s="1949">
        <v>19500</v>
      </c>
      <c r="BE781" s="1948">
        <v>36672</v>
      </c>
      <c r="BF781" s="1949">
        <v>15600</v>
      </c>
      <c r="BG781" s="1949">
        <v>0.99160000000000004</v>
      </c>
      <c r="BH781" s="1949">
        <v>31.9</v>
      </c>
      <c r="BI781" s="1948">
        <v>4348680</v>
      </c>
      <c r="BJ781" s="1948">
        <f t="shared" si="222"/>
        <v>16370381</v>
      </c>
      <c r="BK781" s="1948">
        <f t="shared" si="223"/>
        <v>0</v>
      </c>
    </row>
    <row r="782" spans="1:63" ht="15">
      <c r="A782" s="1946">
        <v>121000000021</v>
      </c>
      <c r="B782" s="1947">
        <f t="shared" si="224"/>
        <v>34</v>
      </c>
      <c r="C782" s="1906" t="s">
        <v>531</v>
      </c>
      <c r="D782" s="1907" t="s">
        <v>524</v>
      </c>
      <c r="E782" s="1906" t="s">
        <v>532</v>
      </c>
      <c r="F782" s="1948" t="s">
        <v>271</v>
      </c>
      <c r="G782" s="1949">
        <v>20000</v>
      </c>
      <c r="H782" s="1948">
        <v>20000</v>
      </c>
      <c r="I782" s="1950">
        <v>20000</v>
      </c>
      <c r="J782" s="1948">
        <v>20000</v>
      </c>
      <c r="K782" s="1948">
        <v>1</v>
      </c>
      <c r="L782" s="1948">
        <v>52.66</v>
      </c>
      <c r="M782" s="1948">
        <v>8019000</v>
      </c>
      <c r="N782" s="1948">
        <f t="shared" si="210"/>
        <v>8640000</v>
      </c>
      <c r="O782" s="1948">
        <f t="shared" si="211"/>
        <v>0</v>
      </c>
      <c r="P782" s="1948">
        <v>20000</v>
      </c>
      <c r="Q782" s="1948">
        <v>21875</v>
      </c>
      <c r="R782" s="1948">
        <v>21875</v>
      </c>
      <c r="S782" s="1948">
        <v>1.0003</v>
      </c>
      <c r="T782" s="1948">
        <v>45.69</v>
      </c>
      <c r="U782" s="1948">
        <v>8949000</v>
      </c>
      <c r="V782" s="1948">
        <f t="shared" si="212"/>
        <v>9765000</v>
      </c>
      <c r="W782" s="1948">
        <f t="shared" si="213"/>
        <v>0</v>
      </c>
      <c r="X782" s="1948">
        <v>20000</v>
      </c>
      <c r="Y782" s="1948">
        <v>20560</v>
      </c>
      <c r="Z782" s="1948">
        <v>20560</v>
      </c>
      <c r="AA782" s="1948">
        <v>1.0002</v>
      </c>
      <c r="AB782" s="1948">
        <v>41.24</v>
      </c>
      <c r="AC782" s="1948">
        <v>7386000</v>
      </c>
      <c r="AD782" s="1948">
        <f t="shared" si="214"/>
        <v>8881920</v>
      </c>
      <c r="AE782" s="1948">
        <f t="shared" si="215"/>
        <v>0</v>
      </c>
      <c r="AF782" s="1948">
        <v>20000</v>
      </c>
      <c r="AG782" s="1948">
        <v>19125</v>
      </c>
      <c r="AH782" s="1948">
        <v>18687.5</v>
      </c>
      <c r="AI782" s="1948">
        <v>1.0003</v>
      </c>
      <c r="AJ782" s="1948">
        <v>44.89</v>
      </c>
      <c r="AK782" s="1948">
        <v>7976000</v>
      </c>
      <c r="AL782" s="1948">
        <f t="shared" si="216"/>
        <v>8537400</v>
      </c>
      <c r="AM782" s="1948">
        <f t="shared" si="217"/>
        <v>0</v>
      </c>
      <c r="AN782" s="1948">
        <v>20000</v>
      </c>
      <c r="AO782" s="1948">
        <v>21687.5</v>
      </c>
      <c r="AP782" s="1948">
        <v>21687.5</v>
      </c>
      <c r="AQ782" s="1948">
        <v>1</v>
      </c>
      <c r="AR782" s="1948">
        <v>48.96</v>
      </c>
      <c r="AS782" s="1948">
        <v>8713000</v>
      </c>
      <c r="AT782" s="1948">
        <f t="shared" si="218"/>
        <v>9681300</v>
      </c>
      <c r="AU782" s="1948">
        <f t="shared" si="219"/>
        <v>0</v>
      </c>
      <c r="AV782" s="1948">
        <v>20000</v>
      </c>
      <c r="AW782" s="1948">
        <v>20062.5</v>
      </c>
      <c r="AX782" s="1948">
        <v>20062.5</v>
      </c>
      <c r="AY782" s="1948">
        <v>1</v>
      </c>
      <c r="AZ782" s="1948">
        <v>49.02</v>
      </c>
      <c r="BA782" s="1948">
        <v>7785000</v>
      </c>
      <c r="BB782" s="1948">
        <f t="shared" si="220"/>
        <v>8667000</v>
      </c>
      <c r="BC782" s="1948">
        <f t="shared" si="221"/>
        <v>0</v>
      </c>
      <c r="BD782" s="1949">
        <v>20000</v>
      </c>
      <c r="BE782" s="1948">
        <v>20687.5</v>
      </c>
      <c r="BF782" s="1949">
        <v>20687.5</v>
      </c>
      <c r="BG782" s="1949">
        <v>1</v>
      </c>
      <c r="BH782" s="1949">
        <v>54.56</v>
      </c>
      <c r="BI782" s="1948">
        <v>8662000</v>
      </c>
      <c r="BJ782" s="1948">
        <f t="shared" si="222"/>
        <v>9234900</v>
      </c>
      <c r="BK782" s="1948">
        <f t="shared" si="223"/>
        <v>0</v>
      </c>
    </row>
    <row r="783" spans="1:63" ht="15">
      <c r="A783" s="1946">
        <v>611000000025</v>
      </c>
      <c r="B783" s="1947">
        <f t="shared" si="224"/>
        <v>35</v>
      </c>
      <c r="C783" s="1906" t="s">
        <v>608</v>
      </c>
      <c r="D783" s="1907" t="s">
        <v>524</v>
      </c>
      <c r="E783" s="1906" t="s">
        <v>602</v>
      </c>
      <c r="F783" s="1948" t="s">
        <v>271</v>
      </c>
      <c r="G783" s="1949">
        <v>22000</v>
      </c>
      <c r="H783" s="1948">
        <v>22000</v>
      </c>
      <c r="I783" s="1950">
        <v>20400</v>
      </c>
      <c r="J783" s="1948">
        <v>20400</v>
      </c>
      <c r="K783" s="1948">
        <v>0.97499999999999998</v>
      </c>
      <c r="L783" s="1948">
        <v>51.36</v>
      </c>
      <c r="M783" s="1948">
        <v>7543800</v>
      </c>
      <c r="N783" s="1948">
        <f t="shared" si="210"/>
        <v>8812800</v>
      </c>
      <c r="O783" s="1948">
        <f t="shared" si="211"/>
        <v>0</v>
      </c>
      <c r="P783" s="1948">
        <v>22000</v>
      </c>
      <c r="Q783" s="1948">
        <v>20400</v>
      </c>
      <c r="R783" s="1948">
        <v>20400</v>
      </c>
      <c r="S783" s="1948">
        <v>0.97370000000000001</v>
      </c>
      <c r="T783" s="1948">
        <v>56.37</v>
      </c>
      <c r="U783" s="1948">
        <v>8555000</v>
      </c>
      <c r="V783" s="1948">
        <f t="shared" si="212"/>
        <v>9106560</v>
      </c>
      <c r="W783" s="1948">
        <f t="shared" si="213"/>
        <v>0</v>
      </c>
      <c r="X783" s="1948">
        <v>22000</v>
      </c>
      <c r="Y783" s="1948">
        <v>21600</v>
      </c>
      <c r="Z783" s="1948">
        <v>21600</v>
      </c>
      <c r="AA783" s="1948">
        <v>0.96220000000000006</v>
      </c>
      <c r="AB783" s="1948">
        <v>39.049999999999997</v>
      </c>
      <c r="AC783" s="1948">
        <v>6073300</v>
      </c>
      <c r="AD783" s="1948">
        <f t="shared" si="214"/>
        <v>9331200</v>
      </c>
      <c r="AE783" s="1948">
        <f t="shared" si="215"/>
        <v>0</v>
      </c>
      <c r="AF783" s="1948">
        <v>22000</v>
      </c>
      <c r="AG783" s="1948">
        <v>27200</v>
      </c>
      <c r="AH783" s="1948">
        <v>27200</v>
      </c>
      <c r="AI783" s="1948">
        <v>0.93540000000000001</v>
      </c>
      <c r="AJ783" s="1948">
        <v>48.52</v>
      </c>
      <c r="AK783" s="1948">
        <v>9819500</v>
      </c>
      <c r="AL783" s="1948">
        <f t="shared" si="216"/>
        <v>12142080</v>
      </c>
      <c r="AM783" s="1948">
        <f t="shared" si="217"/>
        <v>0</v>
      </c>
      <c r="AN783" s="1948">
        <v>22000</v>
      </c>
      <c r="AO783" s="1948">
        <v>20000</v>
      </c>
      <c r="AP783" s="1948">
        <v>20000</v>
      </c>
      <c r="AQ783" s="1948">
        <v>0.97499999999999998</v>
      </c>
      <c r="AR783" s="1948">
        <v>51.8</v>
      </c>
      <c r="AS783" s="1948">
        <v>7708000</v>
      </c>
      <c r="AT783" s="1948">
        <f t="shared" si="218"/>
        <v>8928000</v>
      </c>
      <c r="AU783" s="1948">
        <f t="shared" si="219"/>
        <v>0</v>
      </c>
      <c r="AV783" s="1948">
        <v>22000</v>
      </c>
      <c r="AW783" s="1948">
        <v>21200</v>
      </c>
      <c r="AX783" s="1948">
        <v>21200</v>
      </c>
      <c r="AY783" s="1948">
        <v>0.97130000000000005</v>
      </c>
      <c r="AZ783" s="1948">
        <v>52.72</v>
      </c>
      <c r="BA783" s="1948">
        <v>8047800</v>
      </c>
      <c r="BB783" s="1948">
        <f t="shared" si="220"/>
        <v>9158400</v>
      </c>
      <c r="BC783" s="1948">
        <f t="shared" si="221"/>
        <v>0</v>
      </c>
      <c r="BD783" s="1949">
        <v>22000</v>
      </c>
      <c r="BE783" s="1948">
        <v>21600</v>
      </c>
      <c r="BF783" s="1949">
        <v>21600</v>
      </c>
      <c r="BG783" s="1949">
        <v>0.97119999999999995</v>
      </c>
      <c r="BH783" s="1949">
        <v>52.47</v>
      </c>
      <c r="BI783" s="1948">
        <v>8431500</v>
      </c>
      <c r="BJ783" s="1948">
        <f t="shared" si="222"/>
        <v>9642240</v>
      </c>
      <c r="BK783" s="1948">
        <f t="shared" si="223"/>
        <v>0</v>
      </c>
    </row>
    <row r="784" spans="1:63" ht="15">
      <c r="A784" s="1946">
        <v>611000000066</v>
      </c>
      <c r="B784" s="1947">
        <f t="shared" si="224"/>
        <v>36</v>
      </c>
      <c r="C784" s="1906" t="s">
        <v>568</v>
      </c>
      <c r="D784" s="1907" t="s">
        <v>524</v>
      </c>
      <c r="E784" s="1906" t="s">
        <v>541</v>
      </c>
      <c r="F784" s="1948" t="s">
        <v>271</v>
      </c>
      <c r="G784" s="1949">
        <v>22222</v>
      </c>
      <c r="H784" s="1948">
        <v>22222</v>
      </c>
      <c r="I784" s="1950">
        <v>18816</v>
      </c>
      <c r="J784" s="1948">
        <v>18816</v>
      </c>
      <c r="K784" s="1948">
        <v>0.99750000000000005</v>
      </c>
      <c r="L784" s="1948">
        <v>46.07</v>
      </c>
      <c r="M784" s="1948">
        <v>6241320</v>
      </c>
      <c r="N784" s="1948">
        <f t="shared" si="210"/>
        <v>8128512</v>
      </c>
      <c r="O784" s="1948">
        <f t="shared" si="211"/>
        <v>0</v>
      </c>
      <c r="P784" s="1948">
        <v>22222</v>
      </c>
      <c r="Q784" s="1948">
        <v>1056</v>
      </c>
      <c r="R784" s="1948">
        <v>17777.599999999999</v>
      </c>
      <c r="S784" s="1948">
        <v>0.98550000000000004</v>
      </c>
      <c r="T784" s="1948">
        <v>28.58</v>
      </c>
      <c r="U784" s="1948">
        <v>224520</v>
      </c>
      <c r="V784" s="1948">
        <f t="shared" si="212"/>
        <v>471398</v>
      </c>
      <c r="W784" s="1948">
        <f t="shared" si="213"/>
        <v>0</v>
      </c>
      <c r="X784" s="1948">
        <v>22222</v>
      </c>
      <c r="Y784" s="1948">
        <v>16368</v>
      </c>
      <c r="Z784" s="1948">
        <v>17777.599999999999</v>
      </c>
      <c r="AA784" s="1948">
        <v>0.99819999999999998</v>
      </c>
      <c r="AB784" s="1948">
        <v>63.83</v>
      </c>
      <c r="AC784" s="1948">
        <v>7522920</v>
      </c>
      <c r="AD784" s="1948">
        <f t="shared" si="214"/>
        <v>7070976</v>
      </c>
      <c r="AE784" s="1948">
        <f t="shared" si="215"/>
        <v>451944</v>
      </c>
      <c r="AF784" s="1948">
        <v>22222</v>
      </c>
      <c r="AG784" s="1948">
        <v>19152</v>
      </c>
      <c r="AH784" s="1948">
        <v>19152</v>
      </c>
      <c r="AI784" s="1948">
        <v>0.99819999999999998</v>
      </c>
      <c r="AJ784" s="1948">
        <v>73.94</v>
      </c>
      <c r="AK784" s="1948">
        <v>10535760</v>
      </c>
      <c r="AL784" s="1948">
        <f t="shared" si="216"/>
        <v>8549453</v>
      </c>
      <c r="AM784" s="1948">
        <f t="shared" si="217"/>
        <v>1986307</v>
      </c>
      <c r="AN784" s="1948">
        <v>22222</v>
      </c>
      <c r="AO784" s="1948">
        <v>18144</v>
      </c>
      <c r="AP784" s="1948">
        <v>18144</v>
      </c>
      <c r="AQ784" s="1948">
        <v>0.99850000000000005</v>
      </c>
      <c r="AR784" s="1948">
        <v>67.64</v>
      </c>
      <c r="AS784" s="1948">
        <v>9130320</v>
      </c>
      <c r="AT784" s="1948">
        <f t="shared" si="218"/>
        <v>8099482</v>
      </c>
      <c r="AU784" s="1948">
        <f t="shared" si="219"/>
        <v>1030838</v>
      </c>
      <c r="AV784" s="1948">
        <v>22222</v>
      </c>
      <c r="AW784" s="1948">
        <v>17040</v>
      </c>
      <c r="AX784" s="1948">
        <v>17777.599999999999</v>
      </c>
      <c r="AY784" s="1948">
        <v>0.99860000000000004</v>
      </c>
      <c r="AZ784" s="1948">
        <v>84.32</v>
      </c>
      <c r="BA784" s="1948">
        <v>10344720</v>
      </c>
      <c r="BB784" s="1948">
        <f t="shared" si="220"/>
        <v>7361280</v>
      </c>
      <c r="BC784" s="1948">
        <f t="shared" si="221"/>
        <v>2983440</v>
      </c>
      <c r="BD784" s="1949">
        <v>22222</v>
      </c>
      <c r="BE784" s="1948">
        <v>17568</v>
      </c>
      <c r="BF784" s="1949">
        <v>17777.599999999999</v>
      </c>
      <c r="BG784" s="1949">
        <v>0.99860000000000004</v>
      </c>
      <c r="BH784" s="1949">
        <v>84.02</v>
      </c>
      <c r="BI784" s="1948">
        <v>10981440</v>
      </c>
      <c r="BJ784" s="1948">
        <f t="shared" si="222"/>
        <v>7842355</v>
      </c>
      <c r="BK784" s="1948">
        <f t="shared" si="223"/>
        <v>3139085</v>
      </c>
    </row>
    <row r="785" spans="1:63" ht="15">
      <c r="A785" s="1946">
        <v>622000000159</v>
      </c>
      <c r="B785" s="1947">
        <f t="shared" si="224"/>
        <v>37</v>
      </c>
      <c r="C785" s="1906" t="s">
        <v>619</v>
      </c>
      <c r="D785" s="1907" t="s">
        <v>524</v>
      </c>
      <c r="E785" s="1906" t="s">
        <v>602</v>
      </c>
      <c r="F785" s="1948" t="s">
        <v>271</v>
      </c>
      <c r="G785" s="1949">
        <v>22500</v>
      </c>
      <c r="H785" s="1948">
        <v>22500</v>
      </c>
      <c r="I785" s="1950">
        <v>20448</v>
      </c>
      <c r="J785" s="1948">
        <v>20448</v>
      </c>
      <c r="K785" s="1948">
        <v>0.98019999999999996</v>
      </c>
      <c r="L785" s="1948">
        <v>30.81</v>
      </c>
      <c r="M785" s="1948">
        <v>4536240</v>
      </c>
      <c r="N785" s="1948">
        <f t="shared" si="210"/>
        <v>8833536</v>
      </c>
      <c r="O785" s="1948">
        <f t="shared" si="211"/>
        <v>0</v>
      </c>
      <c r="P785" s="1948">
        <v>22500</v>
      </c>
      <c r="Q785" s="1948">
        <v>20592</v>
      </c>
      <c r="R785" s="1948">
        <v>20592</v>
      </c>
      <c r="S785" s="1948">
        <v>0.98519999999999996</v>
      </c>
      <c r="T785" s="1948">
        <v>32.56</v>
      </c>
      <c r="U785" s="1948">
        <v>4988400</v>
      </c>
      <c r="V785" s="1948">
        <f t="shared" si="212"/>
        <v>9192269</v>
      </c>
      <c r="W785" s="1948">
        <f t="shared" si="213"/>
        <v>0</v>
      </c>
      <c r="X785" s="1948">
        <v>22500</v>
      </c>
      <c r="Y785" s="1948">
        <v>19680</v>
      </c>
      <c r="Z785" s="1948">
        <v>19680</v>
      </c>
      <c r="AA785" s="1948">
        <v>0.98839999999999995</v>
      </c>
      <c r="AB785" s="1948">
        <v>32.450000000000003</v>
      </c>
      <c r="AC785" s="1948">
        <v>4598160</v>
      </c>
      <c r="AD785" s="1948">
        <f t="shared" si="214"/>
        <v>8501760</v>
      </c>
      <c r="AE785" s="1948">
        <f t="shared" si="215"/>
        <v>0</v>
      </c>
      <c r="AF785" s="1948">
        <v>22500</v>
      </c>
      <c r="AG785" s="1948">
        <v>22608</v>
      </c>
      <c r="AH785" s="1948">
        <v>22608</v>
      </c>
      <c r="AI785" s="1948">
        <v>0.9839</v>
      </c>
      <c r="AJ785" s="1948">
        <v>30.81</v>
      </c>
      <c r="AK785" s="1948">
        <v>5182800</v>
      </c>
      <c r="AL785" s="1948">
        <f t="shared" si="216"/>
        <v>10092211</v>
      </c>
      <c r="AM785" s="1948">
        <f t="shared" si="217"/>
        <v>0</v>
      </c>
      <c r="AN785" s="1948">
        <v>22500</v>
      </c>
      <c r="AO785" s="1948">
        <v>18912</v>
      </c>
      <c r="AP785" s="1948">
        <v>18912</v>
      </c>
      <c r="AQ785" s="1948">
        <v>0.9798</v>
      </c>
      <c r="AR785" s="1948">
        <v>39.17</v>
      </c>
      <c r="AS785" s="1948">
        <v>5511360</v>
      </c>
      <c r="AT785" s="1948">
        <f t="shared" si="218"/>
        <v>8442317</v>
      </c>
      <c r="AU785" s="1948">
        <f t="shared" si="219"/>
        <v>0</v>
      </c>
      <c r="AV785" s="1948">
        <v>22500</v>
      </c>
      <c r="AW785" s="1948">
        <v>19488</v>
      </c>
      <c r="AX785" s="1948">
        <v>19488</v>
      </c>
      <c r="AY785" s="1948">
        <v>0.98199999999999998</v>
      </c>
      <c r="AZ785" s="1948">
        <v>36.68</v>
      </c>
      <c r="BA785" s="1948">
        <v>5147040</v>
      </c>
      <c r="BB785" s="1948">
        <f t="shared" si="220"/>
        <v>8418816</v>
      </c>
      <c r="BC785" s="1948">
        <f t="shared" si="221"/>
        <v>0</v>
      </c>
      <c r="BD785" s="1949">
        <v>22500</v>
      </c>
      <c r="BE785" s="1948">
        <v>18672</v>
      </c>
      <c r="BF785" s="1949">
        <v>18672</v>
      </c>
      <c r="BG785" s="1949">
        <v>0.97740000000000005</v>
      </c>
      <c r="BH785" s="1949">
        <v>41.46</v>
      </c>
      <c r="BI785" s="1948">
        <v>5759280</v>
      </c>
      <c r="BJ785" s="1948">
        <f t="shared" si="222"/>
        <v>8335181</v>
      </c>
      <c r="BK785" s="1948">
        <f t="shared" si="223"/>
        <v>0</v>
      </c>
    </row>
    <row r="786" spans="1:63" ht="15">
      <c r="A786" s="1946">
        <v>621000000029</v>
      </c>
      <c r="B786" s="1947">
        <f t="shared" si="224"/>
        <v>38</v>
      </c>
      <c r="C786" s="1906" t="s">
        <v>615</v>
      </c>
      <c r="D786" s="1907" t="s">
        <v>524</v>
      </c>
      <c r="E786" s="1906" t="s">
        <v>602</v>
      </c>
      <c r="F786" s="1948" t="s">
        <v>271</v>
      </c>
      <c r="G786" s="1949">
        <v>26000</v>
      </c>
      <c r="H786" s="1948">
        <v>24000</v>
      </c>
      <c r="I786" s="1950">
        <v>26784</v>
      </c>
      <c r="J786" s="1948">
        <v>26784</v>
      </c>
      <c r="K786" s="1948">
        <v>0.96179999999999999</v>
      </c>
      <c r="L786" s="1948">
        <v>28.98</v>
      </c>
      <c r="M786" s="1948">
        <v>5587920</v>
      </c>
      <c r="N786" s="1948">
        <f t="shared" si="210"/>
        <v>11570688</v>
      </c>
      <c r="O786" s="1948">
        <f t="shared" si="211"/>
        <v>0</v>
      </c>
      <c r="P786" s="1948">
        <v>24000</v>
      </c>
      <c r="Q786" s="1948">
        <v>24288</v>
      </c>
      <c r="R786" s="1948">
        <v>24288</v>
      </c>
      <c r="S786" s="1948">
        <v>0.97170000000000001</v>
      </c>
      <c r="T786" s="1948">
        <v>29.55</v>
      </c>
      <c r="U786" s="1948">
        <v>5340480</v>
      </c>
      <c r="V786" s="1948">
        <f t="shared" si="212"/>
        <v>10842163</v>
      </c>
      <c r="W786" s="1948">
        <f t="shared" si="213"/>
        <v>0</v>
      </c>
      <c r="X786" s="1948">
        <v>24000</v>
      </c>
      <c r="Y786" s="1948">
        <v>24288</v>
      </c>
      <c r="Z786" s="1948">
        <v>24288</v>
      </c>
      <c r="AA786" s="1948">
        <v>0.98380000000000001</v>
      </c>
      <c r="AB786" s="1948">
        <v>30.69</v>
      </c>
      <c r="AC786" s="1948">
        <v>5366160</v>
      </c>
      <c r="AD786" s="1948">
        <f t="shared" si="214"/>
        <v>10492416</v>
      </c>
      <c r="AE786" s="1948">
        <f t="shared" si="215"/>
        <v>0</v>
      </c>
      <c r="AF786" s="1948">
        <v>24000</v>
      </c>
      <c r="AG786" s="1948">
        <v>23088</v>
      </c>
      <c r="AH786" s="1948">
        <v>23088</v>
      </c>
      <c r="AI786" s="1948">
        <v>0.9919</v>
      </c>
      <c r="AJ786" s="1948">
        <v>29.16</v>
      </c>
      <c r="AK786" s="1948">
        <v>5008800</v>
      </c>
      <c r="AL786" s="1948">
        <f t="shared" si="216"/>
        <v>10306483</v>
      </c>
      <c r="AM786" s="1948">
        <f t="shared" si="217"/>
        <v>0</v>
      </c>
      <c r="AN786" s="1948">
        <v>26000</v>
      </c>
      <c r="AO786" s="1948">
        <v>25920</v>
      </c>
      <c r="AP786" s="1948">
        <v>25920</v>
      </c>
      <c r="AQ786" s="1948">
        <v>0.99039999999999995</v>
      </c>
      <c r="AR786" s="1948">
        <v>26.21</v>
      </c>
      <c r="AS786" s="1948">
        <v>5054400</v>
      </c>
      <c r="AT786" s="1948">
        <f t="shared" si="218"/>
        <v>11570688</v>
      </c>
      <c r="AU786" s="1948">
        <f t="shared" si="219"/>
        <v>0</v>
      </c>
      <c r="AV786" s="1948">
        <v>26000</v>
      </c>
      <c r="AW786" s="1948">
        <v>21984</v>
      </c>
      <c r="AX786" s="1948">
        <v>21984</v>
      </c>
      <c r="AY786" s="1948">
        <v>0.99429999999999996</v>
      </c>
      <c r="AZ786" s="1948">
        <v>29.02</v>
      </c>
      <c r="BA786" s="1948">
        <v>4593840</v>
      </c>
      <c r="BB786" s="1948">
        <f t="shared" si="220"/>
        <v>9497088</v>
      </c>
      <c r="BC786" s="1948">
        <f t="shared" si="221"/>
        <v>0</v>
      </c>
      <c r="BD786" s="1949">
        <v>26000</v>
      </c>
      <c r="BE786" s="1948">
        <v>26160</v>
      </c>
      <c r="BF786" s="1949">
        <v>26160</v>
      </c>
      <c r="BG786" s="1949">
        <v>0.98970000000000002</v>
      </c>
      <c r="BH786" s="1949">
        <v>28.84</v>
      </c>
      <c r="BI786" s="1948">
        <v>5612880</v>
      </c>
      <c r="BJ786" s="1948">
        <f t="shared" si="222"/>
        <v>11677824</v>
      </c>
      <c r="BK786" s="1948">
        <f t="shared" si="223"/>
        <v>0</v>
      </c>
    </row>
    <row r="787" spans="1:63" ht="15">
      <c r="A787" s="1946">
        <v>622000000170</v>
      </c>
      <c r="B787" s="1947">
        <f t="shared" si="224"/>
        <v>39</v>
      </c>
      <c r="C787" s="1906" t="s">
        <v>585</v>
      </c>
      <c r="D787" s="1907" t="s">
        <v>524</v>
      </c>
      <c r="E787" s="1906" t="s">
        <v>541</v>
      </c>
      <c r="F787" s="1948" t="s">
        <v>271</v>
      </c>
      <c r="G787" s="1949">
        <v>27000</v>
      </c>
      <c r="H787" s="1948">
        <v>27000</v>
      </c>
      <c r="I787" s="1950">
        <v>22214.400000000001</v>
      </c>
      <c r="J787" s="1948">
        <v>22214.400000000001</v>
      </c>
      <c r="K787" s="1948">
        <v>0.99829999999999997</v>
      </c>
      <c r="L787" s="1948">
        <v>46.23</v>
      </c>
      <c r="M787" s="1948">
        <v>7393560</v>
      </c>
      <c r="N787" s="1948">
        <f t="shared" si="210"/>
        <v>9596621</v>
      </c>
      <c r="O787" s="1948">
        <f t="shared" si="211"/>
        <v>0</v>
      </c>
      <c r="P787" s="1948">
        <v>27000</v>
      </c>
      <c r="Q787" s="1948">
        <v>22608</v>
      </c>
      <c r="R787" s="1948">
        <v>22608</v>
      </c>
      <c r="S787" s="1948">
        <v>0.99460000000000004</v>
      </c>
      <c r="T787" s="1948">
        <v>51.1</v>
      </c>
      <c r="U787" s="1948">
        <v>8594520</v>
      </c>
      <c r="V787" s="1948">
        <f t="shared" si="212"/>
        <v>10092211</v>
      </c>
      <c r="W787" s="1948">
        <f t="shared" si="213"/>
        <v>0</v>
      </c>
      <c r="X787" s="1948">
        <v>27000</v>
      </c>
      <c r="Y787" s="1948">
        <v>22056</v>
      </c>
      <c r="Z787" s="1948">
        <v>22056</v>
      </c>
      <c r="AA787" s="1948">
        <v>0.998</v>
      </c>
      <c r="AB787" s="1948">
        <v>47.26</v>
      </c>
      <c r="AC787" s="1948">
        <v>7504680</v>
      </c>
      <c r="AD787" s="1948">
        <f t="shared" si="214"/>
        <v>9528192</v>
      </c>
      <c r="AE787" s="1948">
        <f t="shared" si="215"/>
        <v>0</v>
      </c>
      <c r="AF787" s="1948">
        <v>27000</v>
      </c>
      <c r="AG787" s="1948">
        <v>23256</v>
      </c>
      <c r="AH787" s="1948">
        <v>23256</v>
      </c>
      <c r="AI787" s="1948">
        <v>0.99680000000000002</v>
      </c>
      <c r="AJ787" s="1948">
        <v>52.22</v>
      </c>
      <c r="AK787" s="1948">
        <v>9034560</v>
      </c>
      <c r="AL787" s="1948">
        <f t="shared" si="216"/>
        <v>10381478</v>
      </c>
      <c r="AM787" s="1948">
        <f t="shared" si="217"/>
        <v>0</v>
      </c>
      <c r="AN787" s="1948">
        <v>27000</v>
      </c>
      <c r="AO787" s="1948">
        <v>23808</v>
      </c>
      <c r="AP787" s="1948">
        <v>23808</v>
      </c>
      <c r="AQ787" s="1948">
        <v>0.99690000000000001</v>
      </c>
      <c r="AR787" s="1948">
        <v>52.97</v>
      </c>
      <c r="AS787" s="1948">
        <v>9382920</v>
      </c>
      <c r="AT787" s="1948">
        <f t="shared" si="218"/>
        <v>10627891</v>
      </c>
      <c r="AU787" s="1948">
        <f t="shared" si="219"/>
        <v>0</v>
      </c>
      <c r="AV787" s="1948">
        <v>27000</v>
      </c>
      <c r="AW787" s="1948">
        <v>22920</v>
      </c>
      <c r="AX787" s="1948">
        <v>22920</v>
      </c>
      <c r="AY787" s="1948">
        <v>0.997</v>
      </c>
      <c r="AZ787" s="1948">
        <v>54.55</v>
      </c>
      <c r="BA787" s="1948">
        <v>9002040</v>
      </c>
      <c r="BB787" s="1948">
        <f t="shared" si="220"/>
        <v>9901440</v>
      </c>
      <c r="BC787" s="1948">
        <f t="shared" si="221"/>
        <v>0</v>
      </c>
      <c r="BD787" s="1949">
        <v>27000</v>
      </c>
      <c r="BE787" s="1948">
        <v>23616</v>
      </c>
      <c r="BF787" s="1949">
        <v>23616</v>
      </c>
      <c r="BG787" s="1949">
        <v>0.99529999999999996</v>
      </c>
      <c r="BH787" s="1949">
        <v>60.79</v>
      </c>
      <c r="BI787" s="1948">
        <v>10680240</v>
      </c>
      <c r="BJ787" s="1948">
        <f t="shared" si="222"/>
        <v>10542182</v>
      </c>
      <c r="BK787" s="1948">
        <f t="shared" si="223"/>
        <v>138058</v>
      </c>
    </row>
    <row r="788" spans="1:63" ht="15">
      <c r="A788" s="1946">
        <v>611000000032</v>
      </c>
      <c r="B788" s="1947">
        <f t="shared" si="224"/>
        <v>40</v>
      </c>
      <c r="C788" s="1906" t="s">
        <v>544</v>
      </c>
      <c r="D788" s="1907" t="s">
        <v>524</v>
      </c>
      <c r="E788" s="1906" t="s">
        <v>541</v>
      </c>
      <c r="F788" s="1948" t="s">
        <v>271</v>
      </c>
      <c r="G788" s="1949">
        <v>35000</v>
      </c>
      <c r="H788" s="1948">
        <v>35000</v>
      </c>
      <c r="I788" s="1950">
        <v>33420</v>
      </c>
      <c r="J788" s="1948">
        <v>33420</v>
      </c>
      <c r="K788" s="1948">
        <v>0.98380000000000001</v>
      </c>
      <c r="L788" s="1948">
        <v>94.94</v>
      </c>
      <c r="M788" s="1948">
        <v>22844100</v>
      </c>
      <c r="N788" s="1948">
        <f t="shared" si="210"/>
        <v>14437440</v>
      </c>
      <c r="O788" s="1948">
        <f t="shared" si="211"/>
        <v>8406660</v>
      </c>
      <c r="P788" s="1948">
        <v>35000</v>
      </c>
      <c r="Q788" s="1948">
        <v>32940</v>
      </c>
      <c r="R788" s="1948">
        <v>32940</v>
      </c>
      <c r="S788" s="1948">
        <v>0.98</v>
      </c>
      <c r="T788" s="1948">
        <v>74.97</v>
      </c>
      <c r="U788" s="1948">
        <v>18373200</v>
      </c>
      <c r="V788" s="1948">
        <f t="shared" si="212"/>
        <v>14704416</v>
      </c>
      <c r="W788" s="1948">
        <f t="shared" si="213"/>
        <v>3668784</v>
      </c>
      <c r="X788" s="1948">
        <v>35000</v>
      </c>
      <c r="Y788" s="1948">
        <v>26160</v>
      </c>
      <c r="Z788" s="1948">
        <v>28000</v>
      </c>
      <c r="AA788" s="1948">
        <v>0.98640000000000005</v>
      </c>
      <c r="AB788" s="1948">
        <v>88.69</v>
      </c>
      <c r="AC788" s="1948">
        <v>16704900</v>
      </c>
      <c r="AD788" s="1948">
        <f t="shared" si="214"/>
        <v>11301120</v>
      </c>
      <c r="AE788" s="1948">
        <f t="shared" si="215"/>
        <v>5403780</v>
      </c>
      <c r="AF788" s="1948">
        <v>35000</v>
      </c>
      <c r="AG788" s="1948">
        <v>26580</v>
      </c>
      <c r="AH788" s="1948">
        <v>28000</v>
      </c>
      <c r="AI788" s="1948">
        <v>0.98599999999999999</v>
      </c>
      <c r="AJ788" s="1948">
        <v>89.37</v>
      </c>
      <c r="AK788" s="1948">
        <v>17673000</v>
      </c>
      <c r="AL788" s="1948">
        <f t="shared" si="216"/>
        <v>11865312</v>
      </c>
      <c r="AM788" s="1948">
        <f t="shared" si="217"/>
        <v>5807688</v>
      </c>
      <c r="AN788" s="1948">
        <v>35000</v>
      </c>
      <c r="AO788" s="1948">
        <v>26040</v>
      </c>
      <c r="AP788" s="1948">
        <v>28000</v>
      </c>
      <c r="AQ788" s="1948">
        <v>0.98899999999999999</v>
      </c>
      <c r="AR788" s="1948">
        <v>76.36</v>
      </c>
      <c r="AS788" s="1948">
        <v>14793000</v>
      </c>
      <c r="AT788" s="1948">
        <f t="shared" si="218"/>
        <v>11624256</v>
      </c>
      <c r="AU788" s="1948">
        <f t="shared" si="219"/>
        <v>3168744</v>
      </c>
      <c r="AV788" s="1948">
        <v>35000</v>
      </c>
      <c r="AW788" s="1948">
        <v>28680</v>
      </c>
      <c r="AX788" s="1948">
        <v>28680</v>
      </c>
      <c r="AY788" s="1948">
        <v>0.98129999999999995</v>
      </c>
      <c r="AZ788" s="1948">
        <v>82.62</v>
      </c>
      <c r="BA788" s="1948">
        <v>17060700</v>
      </c>
      <c r="BB788" s="1948">
        <f t="shared" si="220"/>
        <v>12389760</v>
      </c>
      <c r="BC788" s="1948">
        <f t="shared" si="221"/>
        <v>4670940</v>
      </c>
      <c r="BD788" s="1949">
        <v>35000</v>
      </c>
      <c r="BE788" s="1948">
        <v>30000</v>
      </c>
      <c r="BF788" s="1949">
        <v>30000</v>
      </c>
      <c r="BG788" s="1949">
        <v>0.97430000000000005</v>
      </c>
      <c r="BH788" s="1949">
        <v>90.16</v>
      </c>
      <c r="BI788" s="1948">
        <v>20124000</v>
      </c>
      <c r="BJ788" s="1948">
        <f t="shared" si="222"/>
        <v>13392000</v>
      </c>
      <c r="BK788" s="1948">
        <f t="shared" si="223"/>
        <v>6732000</v>
      </c>
    </row>
    <row r="789" spans="1:63" ht="15">
      <c r="A789" s="1946">
        <v>611000000022</v>
      </c>
      <c r="B789" s="1947">
        <f t="shared" si="224"/>
        <v>41</v>
      </c>
      <c r="C789" s="1906" t="s">
        <v>534</v>
      </c>
      <c r="D789" s="1907" t="s">
        <v>524</v>
      </c>
      <c r="E789" s="1906" t="s">
        <v>535</v>
      </c>
      <c r="F789" s="1948" t="s">
        <v>271</v>
      </c>
      <c r="G789" s="1949">
        <v>44000</v>
      </c>
      <c r="H789" s="1948">
        <v>44000</v>
      </c>
      <c r="I789" s="1950">
        <v>41687.5</v>
      </c>
      <c r="J789" s="1948">
        <v>41687.5</v>
      </c>
      <c r="K789" s="1948">
        <v>0.99880000000000002</v>
      </c>
      <c r="L789" s="1948">
        <v>48.66</v>
      </c>
      <c r="M789" s="1948">
        <v>14604000</v>
      </c>
      <c r="N789" s="1948">
        <f t="shared" si="210"/>
        <v>18009000</v>
      </c>
      <c r="O789" s="1948">
        <f t="shared" si="211"/>
        <v>0</v>
      </c>
      <c r="P789" s="1948">
        <v>44000</v>
      </c>
      <c r="Q789" s="1948">
        <v>158377</v>
      </c>
      <c r="R789" s="1948">
        <v>44689.2</v>
      </c>
      <c r="S789" s="1948">
        <v>0.99550000000000005</v>
      </c>
      <c r="T789" s="1948">
        <v>57.04</v>
      </c>
      <c r="U789" s="1948">
        <v>24262000</v>
      </c>
      <c r="V789" s="1948">
        <f t="shared" si="212"/>
        <v>70699493</v>
      </c>
      <c r="W789" s="1948">
        <f t="shared" si="213"/>
        <v>0</v>
      </c>
      <c r="X789" s="1948">
        <v>44000</v>
      </c>
      <c r="Y789" s="1948">
        <v>109655.2</v>
      </c>
      <c r="Z789" s="1948">
        <v>43958</v>
      </c>
      <c r="AA789" s="1948">
        <v>0.99539999999999995</v>
      </c>
      <c r="AB789" s="1948">
        <v>55.26</v>
      </c>
      <c r="AC789" s="1948">
        <v>24094000</v>
      </c>
      <c r="AD789" s="1948">
        <f t="shared" si="214"/>
        <v>47371046</v>
      </c>
      <c r="AE789" s="1948">
        <f t="shared" si="215"/>
        <v>0</v>
      </c>
      <c r="AF789" s="1948">
        <v>44000</v>
      </c>
      <c r="AG789" s="1948">
        <v>53782</v>
      </c>
      <c r="AH789" s="1948">
        <v>44457.599999999999</v>
      </c>
      <c r="AI789" s="1948">
        <v>0.996</v>
      </c>
      <c r="AJ789" s="1948">
        <v>57.47</v>
      </c>
      <c r="AK789" s="1948">
        <v>23031000</v>
      </c>
      <c r="AL789" s="1948">
        <f t="shared" si="216"/>
        <v>24008285</v>
      </c>
      <c r="AM789" s="1948">
        <f t="shared" si="217"/>
        <v>0</v>
      </c>
      <c r="AN789" s="1948">
        <v>44000</v>
      </c>
      <c r="AO789" s="1948">
        <v>66844</v>
      </c>
      <c r="AP789" s="1948">
        <v>49078.8</v>
      </c>
      <c r="AQ789" s="1948">
        <v>0.99839999999999995</v>
      </c>
      <c r="AR789" s="1948">
        <v>49.45</v>
      </c>
      <c r="AS789" s="1948">
        <v>18234000</v>
      </c>
      <c r="AT789" s="1948">
        <f t="shared" si="218"/>
        <v>29839162</v>
      </c>
      <c r="AU789" s="1948">
        <f t="shared" si="219"/>
        <v>0</v>
      </c>
      <c r="AV789" s="1948">
        <v>44000</v>
      </c>
      <c r="AW789" s="1948">
        <v>85268.4</v>
      </c>
      <c r="AX789" s="1948">
        <v>47952.800000000003</v>
      </c>
      <c r="AY789" s="1948">
        <v>0.99339999999999995</v>
      </c>
      <c r="AZ789" s="1948">
        <v>48.59</v>
      </c>
      <c r="BA789" s="1948">
        <v>19136000</v>
      </c>
      <c r="BB789" s="1948">
        <f t="shared" si="220"/>
        <v>36835949</v>
      </c>
      <c r="BC789" s="1948">
        <f t="shared" si="221"/>
        <v>0</v>
      </c>
      <c r="BD789" s="1949">
        <v>44000</v>
      </c>
      <c r="BE789" s="1948">
        <v>55217.2</v>
      </c>
      <c r="BF789" s="1949">
        <v>47452</v>
      </c>
      <c r="BG789" s="1949">
        <v>0.99829999999999997</v>
      </c>
      <c r="BH789" s="1949">
        <v>56.05</v>
      </c>
      <c r="BI789" s="1948">
        <v>20384000</v>
      </c>
      <c r="BJ789" s="1948">
        <f t="shared" si="222"/>
        <v>24648958</v>
      </c>
      <c r="BK789" s="1948">
        <f t="shared" si="223"/>
        <v>0</v>
      </c>
    </row>
    <row r="790" spans="1:63" ht="15">
      <c r="A790" s="1946">
        <v>611000000122</v>
      </c>
      <c r="B790" s="1947">
        <f t="shared" si="224"/>
        <v>42</v>
      </c>
      <c r="C790" s="1906" t="s">
        <v>552</v>
      </c>
      <c r="D790" s="1907" t="s">
        <v>524</v>
      </c>
      <c r="E790" s="1906" t="s">
        <v>541</v>
      </c>
      <c r="F790" s="1948" t="s">
        <v>271</v>
      </c>
      <c r="G790" s="1949">
        <v>50000</v>
      </c>
      <c r="H790" s="1948">
        <v>50000</v>
      </c>
      <c r="I790" s="1950">
        <v>41040</v>
      </c>
      <c r="J790" s="1948">
        <v>41040</v>
      </c>
      <c r="K790" s="1948">
        <v>0.99070000000000003</v>
      </c>
      <c r="L790" s="1948">
        <v>57.59</v>
      </c>
      <c r="M790" s="1948">
        <v>17018100</v>
      </c>
      <c r="N790" s="1948">
        <f t="shared" si="210"/>
        <v>17729280</v>
      </c>
      <c r="O790" s="1948">
        <f t="shared" si="211"/>
        <v>0</v>
      </c>
      <c r="P790" s="1948">
        <v>50000</v>
      </c>
      <c r="Q790" s="1948">
        <v>39720</v>
      </c>
      <c r="R790" s="1948">
        <v>40000</v>
      </c>
      <c r="S790" s="1948">
        <v>0.98919999999999997</v>
      </c>
      <c r="T790" s="1948">
        <v>62.77</v>
      </c>
      <c r="U790" s="1948">
        <v>18550140</v>
      </c>
      <c r="V790" s="1948">
        <f t="shared" si="212"/>
        <v>17731008</v>
      </c>
      <c r="W790" s="1948">
        <f t="shared" si="213"/>
        <v>819132</v>
      </c>
      <c r="X790" s="1948">
        <v>50000</v>
      </c>
      <c r="Y790" s="1948">
        <v>43980</v>
      </c>
      <c r="Z790" s="1948">
        <v>43980</v>
      </c>
      <c r="AA790" s="1948">
        <v>0.98460000000000003</v>
      </c>
      <c r="AB790" s="1948">
        <v>58.19</v>
      </c>
      <c r="AC790" s="1948">
        <v>18425160</v>
      </c>
      <c r="AD790" s="1948">
        <f t="shared" si="214"/>
        <v>18999360</v>
      </c>
      <c r="AE790" s="1948">
        <f t="shared" si="215"/>
        <v>0</v>
      </c>
      <c r="AF790" s="1948">
        <v>50000</v>
      </c>
      <c r="AG790" s="1948">
        <v>38160</v>
      </c>
      <c r="AH790" s="1948">
        <v>40000</v>
      </c>
      <c r="AI790" s="1948">
        <v>0.99180000000000001</v>
      </c>
      <c r="AJ790" s="1948">
        <v>56.08</v>
      </c>
      <c r="AK790" s="1948">
        <v>15921900</v>
      </c>
      <c r="AL790" s="1948">
        <f t="shared" si="216"/>
        <v>17034624</v>
      </c>
      <c r="AM790" s="1948">
        <f t="shared" si="217"/>
        <v>0</v>
      </c>
      <c r="AN790" s="1948">
        <v>50000</v>
      </c>
      <c r="AO790" s="1948">
        <v>26520</v>
      </c>
      <c r="AP790" s="1948">
        <v>40000</v>
      </c>
      <c r="AQ790" s="1948">
        <v>0.98839999999999995</v>
      </c>
      <c r="AR790" s="1948">
        <v>28.03</v>
      </c>
      <c r="AS790" s="1948">
        <v>5530200</v>
      </c>
      <c r="AT790" s="1948">
        <f t="shared" si="218"/>
        <v>11838528</v>
      </c>
      <c r="AU790" s="1948">
        <f t="shared" si="219"/>
        <v>0</v>
      </c>
      <c r="AV790" s="1948">
        <v>50000</v>
      </c>
      <c r="AW790" s="1948">
        <v>44700</v>
      </c>
      <c r="AX790" s="1948">
        <v>44700</v>
      </c>
      <c r="AY790" s="1948">
        <v>0.98060000000000003</v>
      </c>
      <c r="AZ790" s="1948">
        <v>57.81</v>
      </c>
      <c r="BA790" s="1948">
        <v>18604500</v>
      </c>
      <c r="BB790" s="1948">
        <f t="shared" si="220"/>
        <v>19310400</v>
      </c>
      <c r="BC790" s="1948">
        <f t="shared" si="221"/>
        <v>0</v>
      </c>
      <c r="BD790" s="1949">
        <v>50000</v>
      </c>
      <c r="BE790" s="1948">
        <v>43980</v>
      </c>
      <c r="BF790" s="1949">
        <v>43980</v>
      </c>
      <c r="BG790" s="1949">
        <v>0.98399999999999999</v>
      </c>
      <c r="BH790" s="1949">
        <v>69.680000000000007</v>
      </c>
      <c r="BI790" s="1948">
        <v>22800600</v>
      </c>
      <c r="BJ790" s="1948">
        <f t="shared" si="222"/>
        <v>19632672</v>
      </c>
      <c r="BK790" s="1948">
        <f t="shared" si="223"/>
        <v>3167928</v>
      </c>
    </row>
    <row r="791" spans="1:63" ht="15">
      <c r="A791" s="1946">
        <v>123000000139</v>
      </c>
      <c r="B791" s="1947">
        <f t="shared" si="224"/>
        <v>43</v>
      </c>
      <c r="C791" s="1906" t="s">
        <v>562</v>
      </c>
      <c r="D791" s="1907" t="s">
        <v>524</v>
      </c>
      <c r="E791" s="1906" t="s">
        <v>541</v>
      </c>
      <c r="F791" s="1948" t="s">
        <v>271</v>
      </c>
      <c r="G791" s="1949">
        <v>56000</v>
      </c>
      <c r="H791" s="1948">
        <v>50000</v>
      </c>
      <c r="I791" s="1950">
        <v>58240</v>
      </c>
      <c r="J791" s="1948">
        <v>58240</v>
      </c>
      <c r="K791" s="1948">
        <v>0.99729999999999996</v>
      </c>
      <c r="L791" s="1948">
        <v>80.16</v>
      </c>
      <c r="M791" s="1948">
        <v>33614000</v>
      </c>
      <c r="N791" s="1948">
        <f t="shared" si="210"/>
        <v>25159680</v>
      </c>
      <c r="O791" s="1948">
        <f t="shared" si="211"/>
        <v>8454320</v>
      </c>
      <c r="P791" s="1948">
        <v>56000</v>
      </c>
      <c r="Q791" s="1948">
        <v>63280</v>
      </c>
      <c r="R791" s="1948">
        <v>63280</v>
      </c>
      <c r="S791" s="1948">
        <v>0.99680000000000002</v>
      </c>
      <c r="T791" s="1948">
        <v>88.12</v>
      </c>
      <c r="U791" s="1948">
        <v>41485000</v>
      </c>
      <c r="V791" s="1948">
        <f t="shared" si="212"/>
        <v>28248192</v>
      </c>
      <c r="W791" s="1948">
        <f t="shared" si="213"/>
        <v>13236808</v>
      </c>
      <c r="X791" s="1948">
        <v>56000</v>
      </c>
      <c r="Y791" s="1948">
        <v>64440</v>
      </c>
      <c r="Z791" s="1948">
        <v>64440</v>
      </c>
      <c r="AA791" s="1948">
        <v>0.99739999999999995</v>
      </c>
      <c r="AB791" s="1948">
        <v>90.55</v>
      </c>
      <c r="AC791" s="1948">
        <v>42014000</v>
      </c>
      <c r="AD791" s="1948">
        <f t="shared" si="214"/>
        <v>27838080</v>
      </c>
      <c r="AE791" s="1948">
        <f t="shared" si="215"/>
        <v>14175920</v>
      </c>
      <c r="AF791" s="1948">
        <v>56000</v>
      </c>
      <c r="AG791" s="1948">
        <v>64598.400000000001</v>
      </c>
      <c r="AH791" s="1948">
        <v>64600</v>
      </c>
      <c r="AI791" s="1948">
        <v>0.99650000000000005</v>
      </c>
      <c r="AJ791" s="1948">
        <v>68.11</v>
      </c>
      <c r="AK791" s="1948">
        <v>32733640</v>
      </c>
      <c r="AL791" s="1948">
        <f t="shared" si="216"/>
        <v>28836726</v>
      </c>
      <c r="AM791" s="1948">
        <f t="shared" si="217"/>
        <v>3896914</v>
      </c>
      <c r="AN791" s="1948">
        <v>56000</v>
      </c>
      <c r="AO791" s="1948">
        <v>64368</v>
      </c>
      <c r="AP791" s="1948">
        <v>64368</v>
      </c>
      <c r="AQ791" s="1948">
        <v>0.99780000000000002</v>
      </c>
      <c r="AR791" s="1948">
        <v>80.180000000000007</v>
      </c>
      <c r="AS791" s="1948">
        <v>38400240</v>
      </c>
      <c r="AT791" s="1948">
        <f t="shared" si="218"/>
        <v>28733875</v>
      </c>
      <c r="AU791" s="1948">
        <f t="shared" si="219"/>
        <v>9666365</v>
      </c>
      <c r="AV791" s="1948">
        <v>56000</v>
      </c>
      <c r="AW791" s="1948">
        <v>55680</v>
      </c>
      <c r="AX791" s="1948">
        <v>55680</v>
      </c>
      <c r="AY791" s="1948">
        <v>0.99850000000000005</v>
      </c>
      <c r="AZ791" s="1948">
        <v>75.010000000000005</v>
      </c>
      <c r="BA791" s="1948">
        <v>30070560</v>
      </c>
      <c r="BB791" s="1948">
        <f t="shared" si="220"/>
        <v>24053760</v>
      </c>
      <c r="BC791" s="1948">
        <f t="shared" si="221"/>
        <v>6016800</v>
      </c>
      <c r="BD791" s="1949">
        <v>56000</v>
      </c>
      <c r="BE791" s="1948">
        <v>64320.000000000007</v>
      </c>
      <c r="BF791" s="1949">
        <v>64320</v>
      </c>
      <c r="BG791" s="1949">
        <v>0.99860000000000004</v>
      </c>
      <c r="BH791" s="1949">
        <v>62.78</v>
      </c>
      <c r="BI791" s="1948">
        <v>30061920</v>
      </c>
      <c r="BJ791" s="1948">
        <f t="shared" si="222"/>
        <v>28712448</v>
      </c>
      <c r="BK791" s="1948">
        <f t="shared" si="223"/>
        <v>1349472</v>
      </c>
    </row>
    <row r="792" spans="1:63" ht="15">
      <c r="A792" s="1946">
        <v>611000000078</v>
      </c>
      <c r="B792" s="1947">
        <f t="shared" si="224"/>
        <v>44</v>
      </c>
      <c r="C792" s="1906" t="s">
        <v>540</v>
      </c>
      <c r="D792" s="1907" t="s">
        <v>524</v>
      </c>
      <c r="E792" s="1906" t="s">
        <v>541</v>
      </c>
      <c r="F792" s="1948" t="s">
        <v>271</v>
      </c>
      <c r="G792" s="1949">
        <v>110000</v>
      </c>
      <c r="H792" s="1948">
        <v>110000</v>
      </c>
      <c r="I792" s="1950">
        <v>215600</v>
      </c>
      <c r="J792" s="1948">
        <v>107705</v>
      </c>
      <c r="K792" s="1948">
        <v>1</v>
      </c>
      <c r="L792" s="1948">
        <v>28.53</v>
      </c>
      <c r="M792" s="1948">
        <v>72810000</v>
      </c>
      <c r="N792" s="1948">
        <f t="shared" si="210"/>
        <v>93139200</v>
      </c>
      <c r="O792" s="1948">
        <f t="shared" si="211"/>
        <v>0</v>
      </c>
      <c r="P792" s="1948">
        <v>110000</v>
      </c>
      <c r="Q792" s="1948">
        <v>186611</v>
      </c>
      <c r="R792" s="1948">
        <v>99741.5</v>
      </c>
      <c r="S792" s="1948">
        <v>1</v>
      </c>
      <c r="T792" s="1948">
        <v>24.52</v>
      </c>
      <c r="U792" s="1948">
        <v>78297000</v>
      </c>
      <c r="V792" s="1948">
        <f t="shared" si="212"/>
        <v>83303150</v>
      </c>
      <c r="W792" s="1948">
        <f t="shared" si="213"/>
        <v>0</v>
      </c>
      <c r="X792" s="1948">
        <v>110000</v>
      </c>
      <c r="Y792" s="1948">
        <v>197682.8</v>
      </c>
      <c r="Z792" s="1948">
        <v>101312.8</v>
      </c>
      <c r="AA792" s="1948">
        <v>1</v>
      </c>
      <c r="AB792" s="1948">
        <v>34.22</v>
      </c>
      <c r="AC792" s="1948">
        <v>80339000</v>
      </c>
      <c r="AD792" s="1948">
        <f t="shared" si="214"/>
        <v>85398970</v>
      </c>
      <c r="AE792" s="1948">
        <f t="shared" si="215"/>
        <v>0</v>
      </c>
      <c r="AF792" s="1948">
        <v>110000</v>
      </c>
      <c r="AG792" s="1948">
        <v>178971.6</v>
      </c>
      <c r="AH792" s="1948">
        <v>101371.6</v>
      </c>
      <c r="AI792" s="1948">
        <v>1.0001</v>
      </c>
      <c r="AJ792" s="1948">
        <v>34.83</v>
      </c>
      <c r="AK792" s="1948">
        <v>80794000</v>
      </c>
      <c r="AL792" s="1948">
        <f t="shared" si="216"/>
        <v>79892922</v>
      </c>
      <c r="AM792" s="1948">
        <f t="shared" si="217"/>
        <v>901078</v>
      </c>
      <c r="AN792" s="1948">
        <v>110000</v>
      </c>
      <c r="AO792" s="1948">
        <v>179803.59999999998</v>
      </c>
      <c r="AP792" s="1948">
        <v>124675.6</v>
      </c>
      <c r="AQ792" s="1948">
        <v>1</v>
      </c>
      <c r="AR792" s="1948">
        <v>44.98</v>
      </c>
      <c r="AS792" s="1948">
        <v>87559000</v>
      </c>
      <c r="AT792" s="1948">
        <f t="shared" si="218"/>
        <v>80264327</v>
      </c>
      <c r="AU792" s="1948">
        <f t="shared" si="219"/>
        <v>7294673</v>
      </c>
      <c r="AV792" s="1948">
        <v>110000</v>
      </c>
      <c r="AW792" s="1948">
        <v>187520</v>
      </c>
      <c r="AX792" s="1948">
        <v>110644.8</v>
      </c>
      <c r="AY792" s="1948">
        <v>1</v>
      </c>
      <c r="AZ792" s="1948">
        <v>34.14</v>
      </c>
      <c r="BA792" s="1948">
        <v>84942000</v>
      </c>
      <c r="BB792" s="1948">
        <f t="shared" si="220"/>
        <v>81008640</v>
      </c>
      <c r="BC792" s="1948">
        <f t="shared" si="221"/>
        <v>3933360</v>
      </c>
      <c r="BD792" s="1949">
        <v>110000</v>
      </c>
      <c r="BE792" s="1948">
        <v>175859.19999999998</v>
      </c>
      <c r="BF792" s="1949">
        <v>92392.17</v>
      </c>
      <c r="BG792" s="1949">
        <v>1</v>
      </c>
      <c r="BH792" s="1949">
        <v>34.130000000000003</v>
      </c>
      <c r="BI792" s="1948">
        <v>89478000</v>
      </c>
      <c r="BJ792" s="1948">
        <f t="shared" si="222"/>
        <v>78503547</v>
      </c>
      <c r="BK792" s="1948">
        <f t="shared" si="223"/>
        <v>10974453</v>
      </c>
    </row>
    <row r="793" spans="1:63" ht="15">
      <c r="B793" s="1963">
        <f>+B792</f>
        <v>44</v>
      </c>
      <c r="C793" s="1964" t="s">
        <v>3531</v>
      </c>
      <c r="D793" s="1965"/>
      <c r="E793" s="1966"/>
      <c r="F793" s="1967"/>
      <c r="G793" s="1968">
        <f>ROUND(SUM(G749:G792),0)</f>
        <v>824473</v>
      </c>
      <c r="H793" s="1968">
        <f t="shared" ref="H793:J793" si="225">ROUND(SUM(H749:H792),0)</f>
        <v>793973</v>
      </c>
      <c r="I793" s="1969">
        <f t="shared" si="225"/>
        <v>911873</v>
      </c>
      <c r="J793" s="1968">
        <f t="shared" si="225"/>
        <v>768715</v>
      </c>
      <c r="K793" s="1968">
        <f>ROUND(AVERAGE(K749:K792),4)</f>
        <v>0.93269999999999997</v>
      </c>
      <c r="L793" s="1968">
        <f>ROUND(AVERAGE(L749:L792),2)</f>
        <v>50.79</v>
      </c>
      <c r="M793" s="1968">
        <f t="shared" ref="M793" si="226">ROUND(SUM(M749:M792),0)</f>
        <v>376914700</v>
      </c>
      <c r="N793" s="1968">
        <f t="shared" ref="N793:R793" si="227">ROUND(SUM(N749:N792),0)</f>
        <v>393928919</v>
      </c>
      <c r="O793" s="1968">
        <f t="shared" si="227"/>
        <v>51449058</v>
      </c>
      <c r="P793" s="1968">
        <f t="shared" si="227"/>
        <v>799973</v>
      </c>
      <c r="Q793" s="1968">
        <f t="shared" si="227"/>
        <v>958855</v>
      </c>
      <c r="R793" s="1968">
        <f t="shared" si="227"/>
        <v>752444</v>
      </c>
      <c r="S793" s="1968">
        <f>ROUND(AVERAGE(S749:S792),4)</f>
        <v>0.92579999999999996</v>
      </c>
      <c r="T793" s="1968">
        <f>ROUND(AVERAGE(T749:T792),2)</f>
        <v>44.01</v>
      </c>
      <c r="U793" s="1968">
        <f t="shared" ref="U793" si="228">ROUND(SUM(U749:U792),0)</f>
        <v>374302890</v>
      </c>
      <c r="V793" s="1968">
        <f t="shared" ref="V793:Z793" si="229">ROUND(SUM(V749:V792),0)</f>
        <v>428033077</v>
      </c>
      <c r="W793" s="1968">
        <f t="shared" si="229"/>
        <v>42266343</v>
      </c>
      <c r="X793" s="1968">
        <f t="shared" si="229"/>
        <v>811473</v>
      </c>
      <c r="Y793" s="1968">
        <f t="shared" si="229"/>
        <v>937484</v>
      </c>
      <c r="Z793" s="1968">
        <f t="shared" si="229"/>
        <v>746907</v>
      </c>
      <c r="AA793" s="1968">
        <f>ROUND(AVERAGE(AA749:AA792),4)</f>
        <v>0.95289999999999997</v>
      </c>
      <c r="AB793" s="1968">
        <f>ROUND(AVERAGE(AB749:AB792),2)</f>
        <v>44.72</v>
      </c>
      <c r="AC793" s="1968">
        <f t="shared" ref="AC793" si="230">ROUND(SUM(AC749:AC792),0)</f>
        <v>375396690</v>
      </c>
      <c r="AD793" s="1968">
        <f t="shared" ref="AD793:AH793" si="231">ROUND(SUM(AD749:AD792),0)</f>
        <v>404993088</v>
      </c>
      <c r="AE793" s="1968">
        <f t="shared" si="231"/>
        <v>45142816</v>
      </c>
      <c r="AF793" s="1968">
        <f t="shared" si="231"/>
        <v>811473</v>
      </c>
      <c r="AG793" s="1968">
        <f t="shared" si="231"/>
        <v>892861</v>
      </c>
      <c r="AH793" s="1968">
        <f t="shared" si="231"/>
        <v>758921</v>
      </c>
      <c r="AI793" s="1968">
        <f>ROUND(AVERAGE(AI749:AI792),4)</f>
        <v>0.95950000000000002</v>
      </c>
      <c r="AJ793" s="1968">
        <f>ROUND(AVERAGE(AJ749:AJ792),2)</f>
        <v>49.1</v>
      </c>
      <c r="AK793" s="1968">
        <f t="shared" ref="AK793" si="232">ROUND(SUM(AK749:AK792),0)</f>
        <v>388556175</v>
      </c>
      <c r="AL793" s="1968">
        <f t="shared" ref="AL793:AP793" si="233">ROUND(SUM(AL749:AL792),0)</f>
        <v>398573062</v>
      </c>
      <c r="AM793" s="1968">
        <f t="shared" si="233"/>
        <v>44696131</v>
      </c>
      <c r="AN793" s="1968">
        <f t="shared" si="233"/>
        <v>813473</v>
      </c>
      <c r="AO793" s="1968">
        <f t="shared" si="233"/>
        <v>892241</v>
      </c>
      <c r="AP793" s="1968">
        <f t="shared" si="233"/>
        <v>789796</v>
      </c>
      <c r="AQ793" s="1968">
        <f>ROUND(AVERAGE(AQ749:AQ792),4)</f>
        <v>0.93730000000000002</v>
      </c>
      <c r="AR793" s="1968">
        <f>ROUND(AVERAGE(AR749:AR792),2)</f>
        <v>46.17</v>
      </c>
      <c r="AS793" s="1968">
        <f t="shared" ref="AS793" si="234">ROUND(SUM(AS749:AS792),0)</f>
        <v>374201881</v>
      </c>
      <c r="AT793" s="1968">
        <f t="shared" ref="AT793:AX793" si="235">ROUND(SUM(AT749:AT792),0)</f>
        <v>398296339</v>
      </c>
      <c r="AU793" s="1968">
        <f t="shared" si="235"/>
        <v>50335834</v>
      </c>
      <c r="AV793" s="1968">
        <f t="shared" si="235"/>
        <v>815973</v>
      </c>
      <c r="AW793" s="1968">
        <f t="shared" si="235"/>
        <v>925378</v>
      </c>
      <c r="AX793" s="1968">
        <f t="shared" si="235"/>
        <v>762208</v>
      </c>
      <c r="AY793" s="1968">
        <f>ROUND(AVERAGE(AY749:AY792),4)</f>
        <v>0.92579999999999996</v>
      </c>
      <c r="AZ793" s="1968">
        <f>ROUND(AVERAGE(AZ749:AZ792),2)</f>
        <v>49.67</v>
      </c>
      <c r="BA793" s="1968">
        <f t="shared" ref="BA793" si="236">ROUND(SUM(BA749:BA792),0)</f>
        <v>380055860</v>
      </c>
      <c r="BB793" s="1968">
        <f t="shared" ref="BB793:BF793" si="237">ROUND(SUM(BB749:BB792),0)</f>
        <v>399763166</v>
      </c>
      <c r="BC793" s="1968">
        <f t="shared" si="237"/>
        <v>47860990</v>
      </c>
      <c r="BD793" s="1968">
        <f t="shared" si="237"/>
        <v>824473</v>
      </c>
      <c r="BE793" s="1968">
        <f t="shared" si="237"/>
        <v>897426</v>
      </c>
      <c r="BF793" s="1968">
        <f t="shared" si="237"/>
        <v>752718</v>
      </c>
      <c r="BG793" s="1968">
        <f>ROUND(AVERAGE(BG749:BG792),4)</f>
        <v>0.96860000000000002</v>
      </c>
      <c r="BH793" s="1968">
        <f>ROUND(AVERAGE(BH749:BH792),2)</f>
        <v>50.54</v>
      </c>
      <c r="BI793" s="1968">
        <f t="shared" ref="BI793" si="238">ROUND(SUM(BI749:BI792),0)</f>
        <v>402721235</v>
      </c>
      <c r="BJ793" s="1968">
        <f t="shared" ref="BJ793:BK793" si="239">ROUND(SUM(BJ749:BJ792),0)</f>
        <v>400611013</v>
      </c>
      <c r="BK793" s="1970">
        <f t="shared" si="239"/>
        <v>59475951</v>
      </c>
    </row>
    <row r="794" spans="1:63" ht="15">
      <c r="B794" s="1971">
        <f>B701+B747+B793</f>
        <v>782</v>
      </c>
      <c r="C794" s="1972" t="s">
        <v>282</v>
      </c>
      <c r="D794" s="1973"/>
      <c r="E794" s="1974"/>
      <c r="F794" s="1975"/>
      <c r="G794" s="1976">
        <f>G701+G747+G793</f>
        <v>1143469</v>
      </c>
      <c r="H794" s="1976">
        <f t="shared" ref="H794:R794" si="240">H701+H747+H793</f>
        <v>1092892</v>
      </c>
      <c r="I794" s="1977">
        <f t="shared" si="240"/>
        <v>1087027</v>
      </c>
      <c r="J794" s="1976">
        <f t="shared" si="240"/>
        <v>1038405</v>
      </c>
      <c r="K794" s="1976">
        <f>AVERAGE(K701+K747+K793)</f>
        <v>2.5848</v>
      </c>
      <c r="L794" s="1976">
        <f>AVERAGE(L701+L747+L793)</f>
        <v>106.37</v>
      </c>
      <c r="M794" s="1976">
        <f t="shared" si="240"/>
        <v>423633002</v>
      </c>
      <c r="N794" s="1976">
        <f t="shared" si="240"/>
        <v>469595079</v>
      </c>
      <c r="O794" s="1976">
        <f t="shared" si="240"/>
        <v>53724961</v>
      </c>
      <c r="P794" s="1976">
        <f t="shared" si="240"/>
        <v>1101307</v>
      </c>
      <c r="Q794" s="1976">
        <f t="shared" si="240"/>
        <v>1131675</v>
      </c>
      <c r="R794" s="1976">
        <f t="shared" si="240"/>
        <v>1017320</v>
      </c>
      <c r="S794" s="1976">
        <f>AVERAGE(S701+S747+S793)</f>
        <v>2.5919999999999996</v>
      </c>
      <c r="T794" s="1976">
        <f>AVERAGE(T701+T747+T793)</f>
        <v>103.79999999999998</v>
      </c>
      <c r="U794" s="1976">
        <f t="shared" ref="U794:Z794" si="241">U701+U747+U793</f>
        <v>427611852</v>
      </c>
      <c r="V794" s="1976">
        <f t="shared" si="241"/>
        <v>505179999</v>
      </c>
      <c r="W794" s="1976">
        <f t="shared" si="241"/>
        <v>44832246</v>
      </c>
      <c r="X794" s="1976">
        <f t="shared" si="241"/>
        <v>1119212</v>
      </c>
      <c r="Y794" s="1976">
        <f t="shared" si="241"/>
        <v>1111513</v>
      </c>
      <c r="Z794" s="1976">
        <f t="shared" si="241"/>
        <v>1014955</v>
      </c>
      <c r="AA794" s="1976">
        <f>AVERAGE(AA701+AA747+AA793)</f>
        <v>2.64</v>
      </c>
      <c r="AB794" s="1976">
        <f>AVERAGE(AB701+AB747+AB793)</f>
        <v>101.44</v>
      </c>
      <c r="AC794" s="1976">
        <f t="shared" ref="AC794:AH794" si="242">AC701+AC747+AC793</f>
        <v>424474165</v>
      </c>
      <c r="AD794" s="1976">
        <f t="shared" si="242"/>
        <v>480173449</v>
      </c>
      <c r="AE794" s="1976">
        <f t="shared" si="242"/>
        <v>47727763</v>
      </c>
      <c r="AF794" s="1976">
        <f t="shared" si="242"/>
        <v>1117634</v>
      </c>
      <c r="AG794" s="1976">
        <f t="shared" si="242"/>
        <v>1083301</v>
      </c>
      <c r="AH794" s="1976">
        <f t="shared" si="242"/>
        <v>1038502</v>
      </c>
      <c r="AI794" s="1976">
        <f>AVERAGE(AI701+AI747+AI793)</f>
        <v>2.6485000000000003</v>
      </c>
      <c r="AJ794" s="1976">
        <f>AVERAGE(AJ701+AJ747+AJ793)</f>
        <v>105.72</v>
      </c>
      <c r="AK794" s="1976">
        <f t="shared" ref="AK794:AP794" si="243">AK701+AK747+AK793</f>
        <v>441215024</v>
      </c>
      <c r="AL794" s="1976">
        <f t="shared" si="243"/>
        <v>483585135</v>
      </c>
      <c r="AM794" s="1976">
        <f t="shared" si="243"/>
        <v>47628584</v>
      </c>
      <c r="AN794" s="1976">
        <f t="shared" si="243"/>
        <v>1121299</v>
      </c>
      <c r="AO794" s="1976">
        <f t="shared" si="243"/>
        <v>1082077</v>
      </c>
      <c r="AP794" s="1976">
        <f t="shared" si="243"/>
        <v>1066785</v>
      </c>
      <c r="AQ794" s="1976">
        <f>AVERAGE(AQ701+AQ747+AQ793)</f>
        <v>2.6587000000000001</v>
      </c>
      <c r="AR794" s="1976">
        <f>AVERAGE(AR701+AR747+AR793)</f>
        <v>103.32000000000001</v>
      </c>
      <c r="AS794" s="1976">
        <f t="shared" ref="AS794:AX794" si="244">AS701+AS747+AS793</f>
        <v>425611996</v>
      </c>
      <c r="AT794" s="1976">
        <f t="shared" si="244"/>
        <v>483039071</v>
      </c>
      <c r="AU794" s="1976">
        <f t="shared" si="244"/>
        <v>53152424</v>
      </c>
      <c r="AV794" s="1976">
        <f t="shared" si="244"/>
        <v>1127327</v>
      </c>
      <c r="AW794" s="1976">
        <f t="shared" si="244"/>
        <v>1107626</v>
      </c>
      <c r="AX794" s="1976">
        <f t="shared" si="244"/>
        <v>1039650</v>
      </c>
      <c r="AY794" s="1976">
        <f>AVERAGE(AY701+AY747+AY793)</f>
        <v>2.6402000000000001</v>
      </c>
      <c r="AZ794" s="1976">
        <f>AVERAGE(AZ701+AZ747+AZ793)</f>
        <v>105.77000000000001</v>
      </c>
      <c r="BA794" s="1976">
        <f t="shared" ref="BA794:BF794" si="245">BA701+BA747+BA793</f>
        <v>428560455</v>
      </c>
      <c r="BB794" s="1976">
        <f t="shared" si="245"/>
        <v>478494537</v>
      </c>
      <c r="BC794" s="1976">
        <f t="shared" si="245"/>
        <v>50144184</v>
      </c>
      <c r="BD794" s="1976">
        <f t="shared" si="245"/>
        <v>1137288</v>
      </c>
      <c r="BE794" s="1976">
        <f t="shared" si="245"/>
        <v>1074095</v>
      </c>
      <c r="BF794" s="1976">
        <f t="shared" si="245"/>
        <v>1029633</v>
      </c>
      <c r="BG794" s="1976">
        <f>AVERAGE(BG701+BG747+BG793)</f>
        <v>2.6863999999999999</v>
      </c>
      <c r="BH794" s="1976">
        <f>AVERAGE(BH701+BH747+BH793)</f>
        <v>106.56</v>
      </c>
      <c r="BI794" s="1976">
        <f t="shared" ref="BI794:BK794" si="246">BI701+BI747+BI793</f>
        <v>450026785</v>
      </c>
      <c r="BJ794" s="1976">
        <f t="shared" si="246"/>
        <v>479476235</v>
      </c>
      <c r="BK794" s="1978">
        <f t="shared" si="246"/>
        <v>61797949</v>
      </c>
    </row>
    <row r="795" spans="1:63" ht="15">
      <c r="AN795" s="1980"/>
    </row>
    <row r="796" spans="1:63" ht="15">
      <c r="AN796" s="1980"/>
    </row>
    <row r="797" spans="1:63" ht="15">
      <c r="AN797" s="1980"/>
    </row>
    <row r="798" spans="1:63" ht="15">
      <c r="AN798" s="1980"/>
    </row>
    <row r="799" spans="1:63" ht="15">
      <c r="AN799" s="1980"/>
    </row>
    <row r="800" spans="1:63" ht="15">
      <c r="AN800" s="1980"/>
    </row>
    <row r="801" spans="40:40" ht="15">
      <c r="AN801" s="1980"/>
    </row>
    <row r="802" spans="40:40" ht="15">
      <c r="AN802" s="1980"/>
    </row>
    <row r="803" spans="40:40" ht="15">
      <c r="AN803" s="1980"/>
    </row>
    <row r="804" spans="40:40" ht="15">
      <c r="AN804" s="1980"/>
    </row>
    <row r="805" spans="40:40" ht="15">
      <c r="AN805" s="1980"/>
    </row>
    <row r="806" spans="40:40" ht="15">
      <c r="AN806" s="1980"/>
    </row>
    <row r="807" spans="40:40" ht="15">
      <c r="AN807" s="1980"/>
    </row>
    <row r="808" spans="40:40" ht="15">
      <c r="AN808" s="1980"/>
    </row>
    <row r="809" spans="40:40" ht="15">
      <c r="AN809" s="1980"/>
    </row>
    <row r="810" spans="40:40" ht="15">
      <c r="AN810" s="1980"/>
    </row>
    <row r="811" spans="40:40" ht="15">
      <c r="AN811" s="1980"/>
    </row>
    <row r="812" spans="40:40" ht="15">
      <c r="AN812" s="1980"/>
    </row>
    <row r="813" spans="40:40" ht="15">
      <c r="AN813" s="1980"/>
    </row>
    <row r="814" spans="40:40" ht="15">
      <c r="AN814" s="1980"/>
    </row>
    <row r="815" spans="40:40" ht="15">
      <c r="AN815" s="1980"/>
    </row>
    <row r="816" spans="40:40" ht="15">
      <c r="AN816" s="1980"/>
    </row>
    <row r="817" spans="40:40" ht="15">
      <c r="AN817" s="1980"/>
    </row>
    <row r="818" spans="40:40" ht="15">
      <c r="AN818" s="1980"/>
    </row>
    <row r="819" spans="40:40" ht="15">
      <c r="AN819" s="1980"/>
    </row>
    <row r="820" spans="40:40" ht="15">
      <c r="AN820" s="1980"/>
    </row>
    <row r="821" spans="40:40" ht="15">
      <c r="AN821" s="1980"/>
    </row>
    <row r="822" spans="40:40" ht="15">
      <c r="AN822" s="1980"/>
    </row>
    <row r="823" spans="40:40" ht="15">
      <c r="AN823" s="1980"/>
    </row>
    <row r="824" spans="40:40" ht="15">
      <c r="AN824" s="1980"/>
    </row>
    <row r="825" spans="40:40" ht="15">
      <c r="AN825" s="1980"/>
    </row>
    <row r="826" spans="40:40" ht="15">
      <c r="AN826" s="1980"/>
    </row>
    <row r="827" spans="40:40" ht="15">
      <c r="AN827" s="1980"/>
    </row>
    <row r="828" spans="40:40" ht="15">
      <c r="AN828" s="1980"/>
    </row>
    <row r="829" spans="40:40" ht="15">
      <c r="AN829" s="1980"/>
    </row>
    <row r="830" spans="40:40" ht="15">
      <c r="AN830" s="1980"/>
    </row>
    <row r="831" spans="40:40" ht="15">
      <c r="AN831" s="1980"/>
    </row>
  </sheetData>
  <mergeCells count="7">
    <mergeCell ref="BD4:BK4"/>
    <mergeCell ref="H4:O4"/>
    <mergeCell ref="P4:W4"/>
    <mergeCell ref="X4:AE4"/>
    <mergeCell ref="AF4:AM4"/>
    <mergeCell ref="AN4:AU4"/>
    <mergeCell ref="AV4:BC4"/>
  </mergeCells>
  <printOptions horizontalCentered="1"/>
  <pageMargins left="0.39370078740157483" right="0" top="0.39370078740157483" bottom="0" header="0.11811023622047245" footer="0"/>
  <pageSetup scale="85" orientation="landscape" r:id="rId1"/>
  <rowBreaks count="3" manualBreakCount="3">
    <brk id="705" min="1" max="62" man="1"/>
    <brk id="738" min="1" max="62" man="1"/>
    <brk id="772" min="1" max="62" man="1"/>
  </rowBreaks>
  <colBreaks count="6" manualBreakCount="6">
    <brk id="15" max="793" man="1"/>
    <brk id="23" max="793" man="1"/>
    <brk id="31" max="793" man="1"/>
    <brk id="39" max="793" man="1"/>
    <brk id="47" max="793" man="1"/>
    <brk id="55" max="793"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8000"/>
  </sheetPr>
  <dimension ref="A1:M20"/>
  <sheetViews>
    <sheetView view="pageBreakPreview" topLeftCell="B1" zoomScaleNormal="100" zoomScaleSheetLayoutView="100" workbookViewId="0">
      <selection activeCell="M10" sqref="M10"/>
    </sheetView>
  </sheetViews>
  <sheetFormatPr defaultColWidth="14.7109375" defaultRowHeight="32.25" customHeight="1"/>
  <cols>
    <col min="1" max="1" width="18.5703125" style="534" customWidth="1"/>
    <col min="2" max="2" width="17.5703125" style="534" customWidth="1"/>
    <col min="3" max="3" width="26.28515625" style="534" customWidth="1"/>
    <col min="4" max="4" width="17.5703125" style="534" customWidth="1"/>
    <col min="5" max="5" width="25.42578125" style="534" customWidth="1"/>
    <col min="6" max="6" width="17.5703125" style="534" customWidth="1"/>
    <col min="7" max="7" width="14.7109375" style="534"/>
    <col min="8" max="9" width="17" style="534" hidden="1" customWidth="1"/>
    <col min="10" max="10" width="0" style="534" hidden="1" customWidth="1"/>
    <col min="11" max="11" width="17" style="534" hidden="1" customWidth="1"/>
    <col min="12" max="16384" width="14.7109375" style="534"/>
  </cols>
  <sheetData>
    <row r="1" spans="1:13" ht="32.25" customHeight="1">
      <c r="A1" s="2788" t="s">
        <v>2779</v>
      </c>
      <c r="B1" s="2788"/>
      <c r="C1" s="2788"/>
      <c r="D1" s="2788"/>
      <c r="E1" s="569" t="s">
        <v>210</v>
      </c>
      <c r="F1" s="570" t="s">
        <v>3670</v>
      </c>
    </row>
    <row r="2" spans="1:13" ht="32.25" customHeight="1">
      <c r="A2" s="571" t="s">
        <v>3671</v>
      </c>
      <c r="B2" s="572"/>
      <c r="C2" s="572"/>
      <c r="D2" s="572"/>
      <c r="E2" s="572"/>
      <c r="F2" s="572"/>
    </row>
    <row r="3" spans="1:13" ht="32.25" customHeight="1">
      <c r="A3" s="2789" t="s">
        <v>3672</v>
      </c>
      <c r="B3" s="2789"/>
      <c r="C3" s="2789"/>
      <c r="D3" s="2789"/>
      <c r="E3" s="2789"/>
      <c r="F3" s="2789"/>
    </row>
    <row r="4" spans="1:13" ht="32.25" customHeight="1">
      <c r="A4" s="2790" t="s">
        <v>3673</v>
      </c>
      <c r="B4" s="2790" t="s">
        <v>3674</v>
      </c>
      <c r="C4" s="2790" t="s">
        <v>3675</v>
      </c>
      <c r="D4" s="2790" t="s">
        <v>3676</v>
      </c>
      <c r="E4" s="2790" t="s">
        <v>3675</v>
      </c>
      <c r="F4" s="2789" t="s">
        <v>3677</v>
      </c>
    </row>
    <row r="5" spans="1:13" ht="32.25" customHeight="1">
      <c r="A5" s="2790"/>
      <c r="B5" s="2790"/>
      <c r="C5" s="2790"/>
      <c r="D5" s="2790"/>
      <c r="E5" s="2790"/>
      <c r="F5" s="2789"/>
    </row>
    <row r="6" spans="1:13" ht="1.5" customHeight="1">
      <c r="A6" s="2790"/>
      <c r="B6" s="2790"/>
      <c r="C6" s="2790"/>
      <c r="D6" s="2790"/>
      <c r="E6" s="2790"/>
      <c r="F6" s="2789"/>
    </row>
    <row r="7" spans="1:13" ht="32.25" hidden="1" customHeight="1">
      <c r="A7" s="2790"/>
      <c r="B7" s="2790"/>
      <c r="C7" s="2790"/>
      <c r="D7" s="2790"/>
      <c r="E7" s="2790"/>
      <c r="F7" s="2789"/>
    </row>
    <row r="8" spans="1:13" ht="32.25" customHeight="1">
      <c r="A8" s="2790"/>
      <c r="B8" s="1981" t="s">
        <v>3678</v>
      </c>
      <c r="C8" s="2790"/>
      <c r="D8" s="1981" t="s">
        <v>3678</v>
      </c>
      <c r="E8" s="2790"/>
      <c r="F8" s="1795" t="s">
        <v>3678</v>
      </c>
      <c r="H8" s="534">
        <f>6.225757+6.108344+6.107901+3.38043+0.321805+0.975237+39.953108+4.994055+16.015665+16.005414+9.771171+11.797747+12.719559+13.103705+2.277617+5.224339+5.021664+1.84409+0.925153+1.704341+4.789312+19.814873+20.161145+12.453049+2.216574+8.893338+1.278348-7.541311+6.441692+6.221148+6.317281+6.639722+1.418519+0.815898</f>
        <v>254.39668999999995</v>
      </c>
      <c r="I8" s="534">
        <f>0.529234+13.990268+15.827304+1.360247+1.409484+1.361643+35.721812+0.309795+11.448257+11.154673+6.047619+0.000007+11.021661+7.052959+11.18292+4.457588+6.727656+4.946229+4.323044+0.128523+16.115334-6.006676+12.476084+18.00079+0.015201+6.201983+6.051934+6.519155+10.10965+2.751825+5.177161+5.143015+4.220695+2.858636+0.000015+0.17486+4.985131+8.830339</f>
        <v>252.62605499999992</v>
      </c>
      <c r="J8" s="534">
        <f>8.183764+12.796566+8.553924+5.422323+0.032794+0.064637+6.27332+6.315693+9.269798</f>
        <v>56.912819000000006</v>
      </c>
      <c r="K8" s="535" t="e">
        <f t="shared" ref="K8:K19" si="0">F8/B8</f>
        <v>#VALUE!</v>
      </c>
      <c r="L8" s="1161"/>
      <c r="M8" s="536"/>
    </row>
    <row r="9" spans="1:13" ht="26.25" customHeight="1">
      <c r="A9" s="1982">
        <v>44835</v>
      </c>
      <c r="B9" s="1983">
        <v>988.4876062729777</v>
      </c>
      <c r="C9" s="1984" t="s">
        <v>3679</v>
      </c>
      <c r="D9" s="1985">
        <v>490.40064697265638</v>
      </c>
      <c r="E9" s="1984" t="s">
        <v>3680</v>
      </c>
      <c r="F9" s="1986">
        <f>AVERAGE(B9,D9)</f>
        <v>739.44412662281707</v>
      </c>
      <c r="H9" s="534">
        <f>7.248996+7.09537+6.972318+3.155944+0.463686+1.575023+42.148385+6.021456+16.67319+16.518463+10.008895+14.826593+14.886669+14.957374+2.143351+5.725471+5.506917+2.670033+0.990788+0.470762+5.655423+20.286832+20.301463+12.132737+2.17826+9.06946+1.153826-8.441457+6.849645+6.710972+6.747416+8.065417+1.586966+0.03538</f>
        <v>272.39202400000005</v>
      </c>
      <c r="I9" s="534">
        <f>9.148633+15.590631+17.960703+1.605881+1.64643+1.258442+35.299262+2.249774+11.267346+11.605427+6.230142+11.186497+7.05091+11.150401+4.988301+9.328218+0.431097+6.095131+0.110174+15.67882-5.975612+15.206901+14.313481+0.000013+7.14219+7.032011+6.088075+9.465697+2.473451+6.238801+6.18242+4.69503+4.022196+0.000281+0.053146+5.987552+10.227381</f>
        <v>273.035234</v>
      </c>
      <c r="J9" s="534">
        <f>9.660026+15.092995+9.317067+5.784593+0.028464+0.062473+7.02541+7.077529+10.404941</f>
        <v>64.453497999999996</v>
      </c>
      <c r="K9" s="535">
        <f t="shared" si="0"/>
        <v>0.74805604231178846</v>
      </c>
      <c r="L9" s="1161"/>
      <c r="M9" s="536"/>
    </row>
    <row r="10" spans="1:13" ht="24.75" customHeight="1">
      <c r="A10" s="1982">
        <v>44866</v>
      </c>
      <c r="B10" s="1987">
        <v>1012.11</v>
      </c>
      <c r="C10" s="1984" t="s">
        <v>3681</v>
      </c>
      <c r="D10" s="1985">
        <v>621.12104085286467</v>
      </c>
      <c r="E10" s="1984" t="s">
        <v>3682</v>
      </c>
      <c r="F10" s="1986">
        <f t="shared" ref="F10:F20" si="1">AVERAGE(B10,D10)</f>
        <v>816.61552042643234</v>
      </c>
      <c r="H10" s="534">
        <f>7.153533+7.00633+6.378545+2.544301+0.571495+1.301233+43.611517+5.80931+16.938647+16.99199+10.21904+14.824149+14.888296+14.933877+2.063714+5.7566+5.537169+16.273871+1.666972+2.900531+1.236715+0.521812+5.71774+17.826968+17.676004+10.85193+2.394632+5.268903+1.889277-8.078711+6.29114+6.169583+6.181572</f>
        <v>271.31868499999996</v>
      </c>
      <c r="I10" s="534">
        <f>8.178948+1.564808+0.0367+6.496678+17.680288+1.706811+1.755051+1.847513+36.878049+0.358367+11.611237+11.826105+5.090623+0.000003+10.609421+6.730544+10.7149+5.157546+9.323289+0.475526+6.065651+0.770487+15.79393-7.039142+14.970753+15.067112+6.36102+5.713855+7.187466+12.644443+2.929637+5.999026+5.956702+4.837819+3.804624+5.139445</f>
        <v>254.24523499999998</v>
      </c>
      <c r="J10" s="534">
        <f>9.980746+9.311935+14.538634+9.101946+5.683867+0.03041+0.05859+6.716881+6.771479+10.033816</f>
        <v>72.228304000000009</v>
      </c>
      <c r="K10" s="535">
        <f t="shared" si="0"/>
        <v>0.80684463193371503</v>
      </c>
      <c r="L10" s="1161"/>
      <c r="M10" s="536"/>
    </row>
    <row r="11" spans="1:13" ht="22.5" customHeight="1">
      <c r="A11" s="1982">
        <v>44896</v>
      </c>
      <c r="B11" s="1985">
        <v>977.47882893880239</v>
      </c>
      <c r="C11" s="1984" t="s">
        <v>3683</v>
      </c>
      <c r="D11" s="1985">
        <v>576.50231526692721</v>
      </c>
      <c r="E11" s="1984" t="s">
        <v>3684</v>
      </c>
      <c r="F11" s="1986">
        <f t="shared" si="1"/>
        <v>776.9905721028648</v>
      </c>
      <c r="H11" s="534">
        <f>7.046252+6.912318+6.399823+3.777312+0.51644+1.550666+45.056527+5.767587+17.140442+17.420638+10.637139+15.842099+15.930465+15.770707+2.237525+6.550983+6.319715+16.338091+1.74918+2.62299+1.260454+0.485885+5.654614+17.188603+17.23675+10.630702+2.548854+10.267074+2.210958-8.25217+6.896103+5.427341+6.787803</f>
        <v>283.92986999999999</v>
      </c>
      <c r="I11" s="534">
        <f>7.61921+1.430435+0.037321+0.706389+18.186154+0.014858+0.017316+1.226075+38.298463+0.176045+12.315948+12.538336+3.476259+10.618941+6.612014+10.605198+5.262246+5.538211+11.54006+5.310362+0.785508+16.313154-6.916688+16.578205+15.502722+0.000017+7.43776+3.559854+7.096501+13.623847+2.932554+5.949917+5.843558+4.711076+4.330063+0.000005+0.144808+4.18091</f>
        <v>253.60361200000003</v>
      </c>
      <c r="J11" s="534">
        <f>9.616976+8.959632+14.002518+9.335688+5.938781+0.041671+0.055767+6.758088+6.814911+10.011217</f>
        <v>71.535249000000007</v>
      </c>
      <c r="K11" s="535">
        <f t="shared" si="0"/>
        <v>0.79489248165753401</v>
      </c>
      <c r="L11" s="1161"/>
      <c r="M11" s="536"/>
    </row>
    <row r="12" spans="1:13" ht="24.75" customHeight="1">
      <c r="A12" s="1982">
        <v>44927</v>
      </c>
      <c r="B12" s="1985">
        <v>993.7417928059906</v>
      </c>
      <c r="C12" s="1984" t="s">
        <v>3685</v>
      </c>
      <c r="D12" s="1985">
        <v>619.47137451171886</v>
      </c>
      <c r="E12" s="1984" t="s">
        <v>3686</v>
      </c>
      <c r="F12" s="1986">
        <f t="shared" si="1"/>
        <v>806.60658365885479</v>
      </c>
      <c r="H12" s="534">
        <f>7.145679+7.002582+6.391942+3.500551+0.133621+1.85987+45.03337+6.072775+19.046289+19.320173+11.11861+15.017583+15.085107+15.127702+2.224837+4.921625+4.683595+3.50122+1.741012+2.037835+1.347082+0.520461+5.521152+16.871445+16.822375+9.984466+2.376608+7.076911+2.031229-8.259112+6.352393+6.330758</f>
        <v>257.94174600000002</v>
      </c>
      <c r="I12" s="534">
        <f>6.310181+7.422296+1.62536+0.036807+0.252618+19.039739+0.166004+0.180525+0.938611+38.67833+1.320317+14.062971+14.229053+10.516018+6.622935+10.541757+5.213586+6.492839+13.160124+5.361191+0.55283+15.841742-7.062626+15.274991+15.728864+0.000037+6.16454+5.956653+6.97394+11.028476+3.777842+5.603342+5.552205+4.497503+0.251781+4.253811</f>
        <v>256.56719299999997</v>
      </c>
      <c r="J12" s="534">
        <f>0.065546+4.024189+9.767414+9.078187+13.295433+8.832301+5.741184+0.029333+0.056373+6.286158+6.343016+9.303757</f>
        <v>72.822890999999998</v>
      </c>
      <c r="K12" s="535">
        <f t="shared" si="0"/>
        <v>0.81168628460444514</v>
      </c>
      <c r="L12" s="1161"/>
      <c r="M12" s="536"/>
    </row>
    <row r="13" spans="1:13" ht="24" customHeight="1">
      <c r="A13" s="1982">
        <v>44958</v>
      </c>
      <c r="B13" s="1985">
        <v>1002.857157389323</v>
      </c>
      <c r="C13" s="1984" t="s">
        <v>3687</v>
      </c>
      <c r="D13" s="1985">
        <v>619.60738932291679</v>
      </c>
      <c r="E13" s="1984" t="s">
        <v>3688</v>
      </c>
      <c r="F13" s="1986">
        <f t="shared" si="1"/>
        <v>811.23227335611989</v>
      </c>
      <c r="H13" s="534">
        <f>7.261007+7.098574+6.136502+4.510753+0.463974+1.965941+45.994867+5.825437+20.696423+20.785089+12.737277+15.459995+15.493897+15.559543+2.356145+5.114118+4.915578+1.676196+1.946371+2.66656+1.489088+0.872041+5.535524+19.7536+19.599966+12.279211+2.277883+10.499679+3.636538-8.194919+7.232201+7.127353</f>
        <v>280.77241199999992</v>
      </c>
      <c r="I13" s="534">
        <f>7.123949+7.348916+1.424918+0.034881+0.458283+19.281851+0.502699+0.531626+0.561232+31.756678+0.085711+16.650013+16.91347+0.000001+11.902747+7.542341+11.987326+4.849265+11.145554+11.075281+5.589609+0.81806+16.308433-6.774105+13.669808+15.348169+0.000722+6.460093+6.251201+6.828524+10.618332+4.971774+5.657022+5.604623+4.324851+0.352829+4.531449+0.000001</f>
        <v>261.73813700000005</v>
      </c>
      <c r="J13" s="534">
        <f>0.091972+4.518779+9.379936+8.711904+13.66884+8.82935+5.943787+0.02867+0.061241+7.178337+7.250261+10.560547</f>
        <v>76.223624000000001</v>
      </c>
      <c r="K13" s="535">
        <f t="shared" si="0"/>
        <v>0.80892105857622987</v>
      </c>
      <c r="L13" s="1161"/>
      <c r="M13" s="536"/>
    </row>
    <row r="14" spans="1:13" ht="23.25" customHeight="1">
      <c r="A14" s="1982">
        <v>44986</v>
      </c>
      <c r="B14" s="1985">
        <v>1052.6051595052106</v>
      </c>
      <c r="C14" s="1984" t="s">
        <v>3689</v>
      </c>
      <c r="D14" s="1985">
        <v>526.09612223307295</v>
      </c>
      <c r="E14" s="1984" t="s">
        <v>3690</v>
      </c>
      <c r="F14" s="1986">
        <f t="shared" si="1"/>
        <v>789.35064086914178</v>
      </c>
      <c r="H14" s="534">
        <f>7.202575+7.325098+5.766311+2.991472+0.163225+1.638662+45.666983+6.406055+21.963576+22.077769+13.576035+16.056903+16.10166+16.157023+2.294531+5.68816+5.728024+18.027431+1.603319+2.608735+1.84903+1.050896+5.716445+22.186565+22.181842+13.104145+2.285104+4.743264+2.633388-9.85657+7.578896+7.461841</f>
        <v>299.9783930000001</v>
      </c>
      <c r="I14" s="534">
        <f>7.458006+7.123826+1.611328+0.033014+2.420482+19.471296+0.291287+0.168555+1.453676+33.437864+0.176389+17.783217+18.099336+0.11399+12.834364+8.235383+13.017689+5.252422+11.650814+11.828898+5.585292+0.605626+14.027871-6.502582+17.314041+12.475981+0.091345+7.436671+7.215709+6.403211+9.954062+1.303042+5.983099+5.935336+3.957352+1.028711+4.469796</f>
        <v>269.746399</v>
      </c>
      <c r="J14" s="534">
        <f>0.007504+3.557756+9.036812+8.373492+13.125221+9.103761+5.6649+0.026189+0.057899+7.543218+7.757275+12.020128</f>
        <v>76.274155000000007</v>
      </c>
      <c r="K14" s="535">
        <f t="shared" si="0"/>
        <v>0.74990193021682061</v>
      </c>
      <c r="L14" s="1161"/>
      <c r="M14" s="536"/>
    </row>
    <row r="15" spans="1:13" ht="26.25" customHeight="1">
      <c r="A15" s="1982">
        <v>45017</v>
      </c>
      <c r="B15" s="1985">
        <v>1279.1688313802099</v>
      </c>
      <c r="C15" s="1984" t="s">
        <v>3691</v>
      </c>
      <c r="D15" s="1983">
        <v>675.27350260416677</v>
      </c>
      <c r="E15" s="1984" t="s">
        <v>3692</v>
      </c>
      <c r="F15" s="1986">
        <f t="shared" si="1"/>
        <v>977.22116699218827</v>
      </c>
      <c r="H15" s="534">
        <f>7.518258+7.355669+7.010195+4.005981+0.144258+2.428365+45.054057+6.033888+22.350939+22.514209+13.835482+16.383081+16.451705+16.51413+2.297555+4.567115+4.56555+22.125188+1.542231+2.601913+1.721182+0.853362+5.57369+22.065743+22.215995+11.951007+1.920007+10.767427+2.500109-9.01845+6.844451</f>
        <v>302.69429200000002</v>
      </c>
      <c r="I15" s="534">
        <f>7.474099+7.44172+7.147413+1.378852+0.034778+3.783896+18.891349+0.162309+0.180255+2.745531+26.143914+0.213487+17.249183+17.546333+0.319142+12.871822+8.279516+13.074527+5.269071+8.028936+7.911112+3.847885+0.763291+16.241514-7.71286+17.449811+7.264974+0.000013+6.761244+7.580187+6.891934+10.728747+1.238535+5.603219+5.551154+3.928497+1.252823+4.56413</f>
        <v>258.10234299999996</v>
      </c>
      <c r="J15" s="534">
        <f>0.031092+3.583285+9.128946+8.469882+13.281422+9.419752+5.583482+0.2192+0.062818+8.233405+8.310974+12.476191</f>
        <v>78.800449</v>
      </c>
      <c r="K15" s="535">
        <f t="shared" si="0"/>
        <v>0.76395010808524533</v>
      </c>
      <c r="L15" s="1161"/>
      <c r="M15" s="536"/>
    </row>
    <row r="16" spans="1:13" ht="24.75" customHeight="1">
      <c r="A16" s="1982">
        <v>45047</v>
      </c>
      <c r="B16" s="1985">
        <v>1227.1211751302085</v>
      </c>
      <c r="C16" s="1984" t="s">
        <v>3693</v>
      </c>
      <c r="D16" s="1985">
        <v>568.81811930338552</v>
      </c>
      <c r="E16" s="1984" t="s">
        <v>3694</v>
      </c>
      <c r="F16" s="1986">
        <f t="shared" si="1"/>
        <v>897.96964721679706</v>
      </c>
      <c r="H16" s="534">
        <f>7.392878+7.30244+5.114722+3.6752222+0.118582+0.840044+45.908598+6.395119+22.2076+22.143023+13.755829+15.920386+16.017561+16.05697+1.933566+5.819986+5.831011+22.047958+1.446875+2.695575+1.554102+0.399008+5.760777+22.367409+22.285454+13.746958+2.558333+6.403008+1.769429-8.68077+7.509926+6.552868</f>
        <v>304.85044720000002</v>
      </c>
      <c r="I16" s="534">
        <f>7.541811+7.434319+1.724609+0.030799+9.164566+16.887439+0.8571+0.094368+2.334961+24.27411+0.034323+17.762661+18.258548+0.239391+13.018587+8.400633+13.236536+5.283989+8.531148+8.291562+4.354282+0.390122+16.328576-7.274136+15.249779+13.68319+0.000039+7.315461+7.16414+6.502988+10.044199+1.191042+4.866584+4.820583+4.223585+3.899753+4.791907</f>
        <v>260.95355399999994</v>
      </c>
      <c r="J16" s="534">
        <f>0.000217+3.407869+7.794145+7.242054+11.32021+4.865617+5.915699+0.074389+0.061857+8.973735+8.832976+13.528995</f>
        <v>72.017763000000002</v>
      </c>
      <c r="K16" s="535">
        <f t="shared" si="0"/>
        <v>0.73176933575570846</v>
      </c>
      <c r="L16" s="1161"/>
      <c r="M16" s="536"/>
    </row>
    <row r="17" spans="1:13" ht="23.25" customHeight="1">
      <c r="A17" s="1982">
        <v>45078</v>
      </c>
      <c r="B17" s="1985">
        <v>1279.9568277994795</v>
      </c>
      <c r="C17" s="1984" t="s">
        <v>3695</v>
      </c>
      <c r="D17" s="1985">
        <v>634.50531005859386</v>
      </c>
      <c r="E17" s="1984" t="s">
        <v>3696</v>
      </c>
      <c r="F17" s="1986">
        <f t="shared" si="1"/>
        <v>957.23106892903661</v>
      </c>
      <c r="H17" s="534">
        <f>7.359883+7.204099+4.275807+4.881425+0.377519+1.329059+46.001852+5.958073+20.348908+20.433829+12.634551+15.714314+15.751142+15.811725+2.136376+6.260795+6.265774+21.303992+1.720094+2.621644+1.486565+0.555196+0.083965+5.602757+21.959709+21.874126+13.509624+2.513298+9.502571+1.988972-8.520718+6.917017</f>
        <v>295.86394299999995</v>
      </c>
      <c r="I17" s="534">
        <f>6.821754+6.883307+7.500781+1.316553+0.031956+1.637954+16.638829+8.259787+8.358031+2.893057+23.152062+1.127201+16.522833+16.892868+0.059544+12.793252+8.308067+13.137351+6.022572+7.87685+7.806389+3.933885+0.606472+15.953238-6.863753+16.140188+14.348828+0.000088+6.807208+6.676444+6.195695+9.455507+0.760376+5.310649+5.259476+3.974072+2.879087+4.625988</f>
        <v>270.104446</v>
      </c>
      <c r="J17" s="534">
        <f>0.001079+3.564942+8.05619+7.487346+11.704456+9.103517+5.698542+0.027361+0.059194+8.337103+8.435611+12.786721</f>
        <v>75.262062</v>
      </c>
      <c r="K17" s="535">
        <f t="shared" si="0"/>
        <v>0.74786199670087494</v>
      </c>
      <c r="L17" s="1161"/>
      <c r="M17" s="536"/>
    </row>
    <row r="18" spans="1:13" ht="23.25" customHeight="1">
      <c r="A18" s="1982">
        <v>45108</v>
      </c>
      <c r="B18" s="1985">
        <v>1241.919628906252</v>
      </c>
      <c r="C18" s="1984" t="s">
        <v>3696</v>
      </c>
      <c r="D18" s="1985">
        <v>730.76929117838552</v>
      </c>
      <c r="E18" s="1984" t="s">
        <v>3697</v>
      </c>
      <c r="F18" s="1986">
        <f t="shared" si="1"/>
        <v>986.34446004231881</v>
      </c>
      <c r="H18" s="534">
        <f>7.661115+7.305819+6.322707+4.353978+0.094005+0.835947+44.813861+5.940591+19.684476+20.806708+12.783367+3.769953+16.487332+16.548284+16.596335+1.94984+6.563698+6.576637+2.399113+1.762406+2.248559+1.479643+0.406737+0.255672+5.457325+22.784152+22.632651+12.91621+2.518146+9.073515+2.148973-8.433012+7.006725</f>
        <v>283.75146799999999</v>
      </c>
      <c r="I18" s="534">
        <f>6.934911+6.922707+7.222037+1.788573+0.03235+3.61359+16.9388+0.371461+0.366862+2.576802+24.312051+0.069321+17.666683+17.9177719+0.000002+12.891927+8.21268+12.970978+4.957623+8.110341+8.193269+4.164585+0.492256+15.732797-5.850645+14.722303+10.265612+0.00005+6.323192+6.21814+2.868397+4.481513+0.571263+5.546275+5.49299+3.856998+5.3122+4.464867</f>
        <v>246.73353290000003</v>
      </c>
      <c r="J18" s="534">
        <f>0.016905+3.77748+7.982663+7.417186+11.594798+9.592426+6.01663+0.188898+0.063332+8.278496+8.296448+13.043746</f>
        <v>76.269007999999999</v>
      </c>
      <c r="K18" s="535">
        <f t="shared" si="0"/>
        <v>0.79420957450441776</v>
      </c>
      <c r="L18" s="1161"/>
      <c r="M18" s="536"/>
    </row>
    <row r="19" spans="1:13" ht="23.25" customHeight="1">
      <c r="A19" s="1982">
        <v>45139</v>
      </c>
      <c r="B19" s="1985">
        <v>1222.9963948567727</v>
      </c>
      <c r="C19" s="1988" t="s">
        <v>3698</v>
      </c>
      <c r="D19" s="1985">
        <v>554.54318033854179</v>
      </c>
      <c r="E19" s="1984" t="s">
        <v>3699</v>
      </c>
      <c r="F19" s="1986">
        <f t="shared" si="1"/>
        <v>888.76978759765723</v>
      </c>
      <c r="H19" s="534">
        <f>7.634746+7.547565+5.448347+5.411875+0.099724+1.02134+45.432322+5.63913+19.575529+20.671862+12.61969+4.341488+4.654576+16.738583+16.804755+16.821747+1.587574+6.363823+6.297546+0.506819+1.692417+2.263798+1.660712+0.759531+0.133375+5.714974+21.908889+23.139516+14.376736+2.333842+12.548307+1.769928</f>
        <v>293.52106600000002</v>
      </c>
      <c r="I19" s="534">
        <f>-9.319845+7.437742+7.356679+7.364644+7.127361+1.206571+0.035905+1.744635+18.072552+0.400467+0.412793+1.188446+20.954306+0.337582+17.892641+18.409477+13.034253+8.417759+13.285703+5.21827+7.886239+7.773496+3.941162+0.133766+15.488903-6.217104+13.856701+12.876328+0.000039+7.27958+7.120796+2.335178+3.637972+0.568056+5.883469+5.82772</f>
        <v>228.97024199999996</v>
      </c>
      <c r="J19" s="534">
        <f>3.655727+6.311337+4.609204+0.003269+3.540009+8.532571+8.767154+13.702098+9.963101+6.002386+0.028711+0.059179+8.485768+8.714521+13.329937</f>
        <v>95.704972000000012</v>
      </c>
      <c r="K19" s="535">
        <f t="shared" si="0"/>
        <v>0.72671496934522251</v>
      </c>
      <c r="L19" s="1161"/>
      <c r="M19" s="536"/>
    </row>
    <row r="20" spans="1:13" ht="20.25" customHeight="1">
      <c r="A20" s="1982">
        <v>45170</v>
      </c>
      <c r="B20" s="1985">
        <v>1235.514225260418</v>
      </c>
      <c r="C20" s="1988" t="s">
        <v>3700</v>
      </c>
      <c r="D20" s="1985">
        <v>761.4150390625</v>
      </c>
      <c r="E20" s="1984" t="s">
        <v>3701</v>
      </c>
      <c r="F20" s="1986">
        <f t="shared" si="1"/>
        <v>998.46463216145901</v>
      </c>
    </row>
  </sheetData>
  <mergeCells count="8">
    <mergeCell ref="A1:D1"/>
    <mergeCell ref="A3:F3"/>
    <mergeCell ref="A4:A8"/>
    <mergeCell ref="B4:B7"/>
    <mergeCell ref="C4:C8"/>
    <mergeCell ref="D4:D7"/>
    <mergeCell ref="E4:E8"/>
    <mergeCell ref="F4:F7"/>
  </mergeCells>
  <pageMargins left="1.6929133858267718" right="0.70866141732283472" top="0.74803149606299213" bottom="0.74803149606299213" header="0.31496062992125984" footer="0.31496062992125984"/>
  <pageSetup paperSize="9" scale="98" orientation="landscape"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8000"/>
  </sheetPr>
  <dimension ref="A1:G1160"/>
  <sheetViews>
    <sheetView view="pageBreakPreview" topLeftCell="B1155" zoomScaleNormal="100" zoomScaleSheetLayoutView="100" workbookViewId="0">
      <selection activeCell="N9" sqref="N9"/>
    </sheetView>
  </sheetViews>
  <sheetFormatPr defaultRowHeight="12.75"/>
  <cols>
    <col min="1" max="1" width="13.140625" hidden="1" customWidth="1"/>
    <col min="2" max="2" width="5.85546875" customWidth="1"/>
    <col min="3" max="3" width="29.7109375" customWidth="1"/>
    <col min="4" max="4" width="8.42578125" style="567" customWidth="1"/>
    <col min="5" max="5" width="17.140625" customWidth="1"/>
    <col min="6" max="6" width="16.140625" customWidth="1"/>
    <col min="7" max="7" width="15.5703125" customWidth="1"/>
  </cols>
  <sheetData>
    <row r="1" spans="1:7" ht="18.75">
      <c r="G1" s="983" t="s">
        <v>3702</v>
      </c>
    </row>
    <row r="2" spans="1:7" ht="15">
      <c r="C2" s="985" t="s">
        <v>2894</v>
      </c>
      <c r="D2" s="1989"/>
      <c r="E2" s="984"/>
      <c r="F2" s="984"/>
    </row>
    <row r="3" spans="1:7" ht="36.75" customHeight="1">
      <c r="C3" s="1990" t="s">
        <v>3703</v>
      </c>
      <c r="D3" s="1990"/>
      <c r="E3" s="1990"/>
      <c r="F3" s="1990"/>
      <c r="G3" s="1990"/>
    </row>
    <row r="4" spans="1:7" ht="15.75">
      <c r="C4" s="1991"/>
      <c r="D4" s="1796"/>
      <c r="E4" s="1991"/>
      <c r="F4" s="1991"/>
      <c r="G4" s="1991"/>
    </row>
    <row r="5" spans="1:7" ht="15.75">
      <c r="C5" s="1992" t="s">
        <v>3704</v>
      </c>
      <c r="D5" s="1991"/>
      <c r="E5" s="1991"/>
      <c r="F5" s="1991"/>
      <c r="G5" s="1991"/>
    </row>
    <row r="6" spans="1:7" ht="15.75">
      <c r="C6" s="1991"/>
      <c r="D6" s="1796"/>
      <c r="E6" s="1991"/>
      <c r="F6" s="1991"/>
      <c r="G6" s="1991"/>
    </row>
    <row r="7" spans="1:7" ht="92.25" customHeight="1">
      <c r="A7" s="616" t="s">
        <v>3624</v>
      </c>
      <c r="B7" s="1993" t="s">
        <v>376</v>
      </c>
      <c r="C7" s="1162" t="s">
        <v>3625</v>
      </c>
      <c r="D7" s="1162" t="s">
        <v>3705</v>
      </c>
      <c r="E7" s="1163" t="s">
        <v>3706</v>
      </c>
      <c r="F7" s="1164" t="s">
        <v>3707</v>
      </c>
      <c r="G7" s="1164" t="s">
        <v>3708</v>
      </c>
    </row>
    <row r="8" spans="1:7">
      <c r="A8" s="616">
        <v>121000000007</v>
      </c>
      <c r="B8" s="1994">
        <v>1</v>
      </c>
      <c r="C8" s="11" t="s">
        <v>3527</v>
      </c>
      <c r="D8" s="1078" t="s">
        <v>271</v>
      </c>
      <c r="E8" s="9"/>
      <c r="F8" s="9"/>
      <c r="G8" s="9"/>
    </row>
    <row r="9" spans="1:7">
      <c r="A9" s="616"/>
      <c r="B9" s="1995"/>
      <c r="C9" s="9" t="s">
        <v>3612</v>
      </c>
      <c r="D9" s="1078"/>
      <c r="E9" s="9">
        <v>3943200</v>
      </c>
      <c r="F9" s="9">
        <v>1281600</v>
      </c>
      <c r="G9" s="9">
        <v>5224800</v>
      </c>
    </row>
    <row r="10" spans="1:7">
      <c r="A10" s="616"/>
      <c r="B10" s="1995"/>
      <c r="C10" s="9" t="s">
        <v>3613</v>
      </c>
      <c r="D10" s="1078"/>
      <c r="E10" s="9">
        <v>3864000</v>
      </c>
      <c r="F10" s="9">
        <v>1264800</v>
      </c>
      <c r="G10" s="9">
        <v>5128800</v>
      </c>
    </row>
    <row r="11" spans="1:7">
      <c r="A11" s="616"/>
      <c r="B11" s="1995"/>
      <c r="C11" s="9" t="s">
        <v>3614</v>
      </c>
      <c r="D11" s="1078"/>
      <c r="E11" s="9">
        <v>3393600</v>
      </c>
      <c r="F11" s="9">
        <v>1142400</v>
      </c>
      <c r="G11" s="9">
        <v>4536000</v>
      </c>
    </row>
    <row r="12" spans="1:7">
      <c r="A12" s="616"/>
      <c r="B12" s="1995"/>
      <c r="C12" s="9" t="s">
        <v>3709</v>
      </c>
      <c r="D12" s="1078"/>
      <c r="E12" s="9">
        <v>3907200</v>
      </c>
      <c r="F12" s="9">
        <v>1248000</v>
      </c>
      <c r="G12" s="9">
        <v>5155200</v>
      </c>
    </row>
    <row r="13" spans="1:7">
      <c r="A13" s="616"/>
      <c r="B13" s="1995"/>
      <c r="C13" s="9" t="s">
        <v>3616</v>
      </c>
      <c r="D13" s="1078"/>
      <c r="E13" s="9">
        <v>4092000</v>
      </c>
      <c r="F13" s="9">
        <v>1257600</v>
      </c>
      <c r="G13" s="9">
        <v>5349600</v>
      </c>
    </row>
    <row r="14" spans="1:7">
      <c r="A14" s="616"/>
      <c r="B14" s="1995"/>
      <c r="C14" s="9" t="s">
        <v>3617</v>
      </c>
      <c r="D14" s="1078"/>
      <c r="E14" s="9">
        <v>3729600</v>
      </c>
      <c r="F14" s="9">
        <v>1212000</v>
      </c>
      <c r="G14" s="9">
        <v>4941600</v>
      </c>
    </row>
    <row r="15" spans="1:7">
      <c r="A15" s="616"/>
      <c r="B15" s="1995"/>
      <c r="C15" s="9" t="s">
        <v>3618</v>
      </c>
      <c r="D15" s="1078"/>
      <c r="E15" s="9">
        <v>3847200</v>
      </c>
      <c r="F15" s="9">
        <v>1231200</v>
      </c>
      <c r="G15" s="9">
        <v>5078400</v>
      </c>
    </row>
    <row r="16" spans="1:7">
      <c r="A16" s="616"/>
      <c r="B16" s="1995"/>
      <c r="C16" s="9" t="s">
        <v>3619</v>
      </c>
      <c r="D16" s="1078"/>
      <c r="E16" s="9">
        <v>3760800</v>
      </c>
      <c r="F16" s="9">
        <v>1202400</v>
      </c>
      <c r="G16" s="9">
        <v>4963200</v>
      </c>
    </row>
    <row r="17" spans="1:7">
      <c r="A17" s="616"/>
      <c r="B17" s="1995"/>
      <c r="C17" s="9" t="s">
        <v>3620</v>
      </c>
      <c r="D17" s="1078"/>
      <c r="E17" s="9">
        <v>3998400</v>
      </c>
      <c r="F17" s="9">
        <v>1300800</v>
      </c>
      <c r="G17" s="9">
        <v>5299200</v>
      </c>
    </row>
    <row r="18" spans="1:7">
      <c r="A18" s="616"/>
      <c r="B18" s="1995"/>
      <c r="C18" s="9" t="s">
        <v>3621</v>
      </c>
      <c r="D18" s="1078"/>
      <c r="E18" s="9">
        <v>3957600</v>
      </c>
      <c r="F18" s="9">
        <v>1272000</v>
      </c>
      <c r="G18" s="9">
        <v>5229600</v>
      </c>
    </row>
    <row r="19" spans="1:7">
      <c r="A19" s="616"/>
      <c r="B19" s="1995"/>
      <c r="C19" s="9" t="s">
        <v>3622</v>
      </c>
      <c r="D19" s="1078"/>
      <c r="E19" s="9">
        <v>3741600</v>
      </c>
      <c r="F19" s="9">
        <v>1149600</v>
      </c>
      <c r="G19" s="9">
        <v>4891200</v>
      </c>
    </row>
    <row r="20" spans="1:7">
      <c r="A20" s="616"/>
      <c r="B20" s="1995"/>
      <c r="C20" s="9" t="s">
        <v>3623</v>
      </c>
      <c r="D20" s="1078"/>
      <c r="E20" s="9">
        <v>3890400</v>
      </c>
      <c r="F20" s="9">
        <v>1296000</v>
      </c>
      <c r="G20" s="9">
        <v>5186400</v>
      </c>
    </row>
    <row r="21" spans="1:7">
      <c r="A21" s="616"/>
      <c r="B21" s="1995"/>
      <c r="C21" s="11" t="s">
        <v>239</v>
      </c>
      <c r="D21" s="1078"/>
      <c r="E21" s="11">
        <f>SUM(E9:E20)</f>
        <v>46125600</v>
      </c>
      <c r="F21" s="11">
        <f>SUM(F9:F20)</f>
        <v>14858400</v>
      </c>
      <c r="G21" s="11">
        <f>SUM(G9:G20)</f>
        <v>60984000</v>
      </c>
    </row>
    <row r="22" spans="1:7">
      <c r="A22" s="616">
        <v>121000000009</v>
      </c>
      <c r="B22" s="1994">
        <v>2</v>
      </c>
      <c r="C22" s="11" t="s">
        <v>3526</v>
      </c>
      <c r="D22" s="1078" t="s">
        <v>271</v>
      </c>
      <c r="E22" s="9"/>
      <c r="F22" s="9"/>
      <c r="G22" s="9"/>
    </row>
    <row r="23" spans="1:7">
      <c r="A23" s="616"/>
      <c r="B23" s="1995"/>
      <c r="C23" s="9" t="s">
        <v>3612</v>
      </c>
      <c r="D23" s="1078"/>
      <c r="E23" s="9">
        <v>2559840</v>
      </c>
      <c r="F23" s="9">
        <v>830160</v>
      </c>
      <c r="G23" s="9">
        <v>3390000</v>
      </c>
    </row>
    <row r="24" spans="1:7">
      <c r="A24" s="616"/>
      <c r="B24" s="1995"/>
      <c r="C24" s="9" t="s">
        <v>3613</v>
      </c>
      <c r="D24" s="1078"/>
      <c r="E24" s="9">
        <v>4634400</v>
      </c>
      <c r="F24" s="9">
        <v>1853160</v>
      </c>
      <c r="G24" s="9">
        <v>6487560</v>
      </c>
    </row>
    <row r="25" spans="1:7">
      <c r="A25" s="616"/>
      <c r="B25" s="1995"/>
      <c r="C25" s="9" t="s">
        <v>3614</v>
      </c>
      <c r="D25" s="1078"/>
      <c r="E25" s="9">
        <v>9630690</v>
      </c>
      <c r="F25" s="9">
        <v>5285712</v>
      </c>
      <c r="G25" s="9">
        <v>14916402</v>
      </c>
    </row>
    <row r="26" spans="1:7">
      <c r="A26" s="616"/>
      <c r="B26" s="1995"/>
      <c r="C26" s="9" t="s">
        <v>3709</v>
      </c>
      <c r="D26" s="1078"/>
      <c r="E26" s="9">
        <v>225120</v>
      </c>
      <c r="F26" s="9">
        <v>80040</v>
      </c>
      <c r="G26" s="9">
        <v>305160</v>
      </c>
    </row>
    <row r="27" spans="1:7">
      <c r="A27" s="616"/>
      <c r="B27" s="1995"/>
      <c r="C27" s="9" t="s">
        <v>3616</v>
      </c>
      <c r="D27" s="1078"/>
      <c r="E27" s="9">
        <v>7784771</v>
      </c>
      <c r="F27" s="9">
        <v>3818505</v>
      </c>
      <c r="G27" s="9">
        <v>11603276</v>
      </c>
    </row>
    <row r="28" spans="1:7">
      <c r="A28" s="616"/>
      <c r="B28" s="1995"/>
      <c r="C28" s="9" t="s">
        <v>3617</v>
      </c>
      <c r="D28" s="1078"/>
      <c r="E28" s="9">
        <v>10123927</v>
      </c>
      <c r="F28" s="9">
        <v>5151168</v>
      </c>
      <c r="G28" s="9">
        <v>15275095</v>
      </c>
    </row>
    <row r="29" spans="1:7">
      <c r="A29" s="616"/>
      <c r="B29" s="1995"/>
      <c r="C29" s="9" t="s">
        <v>3618</v>
      </c>
      <c r="D29" s="1078"/>
      <c r="E29" s="9">
        <v>9939611</v>
      </c>
      <c r="F29" s="9">
        <v>5171562</v>
      </c>
      <c r="G29" s="9">
        <v>15111173</v>
      </c>
    </row>
    <row r="30" spans="1:7">
      <c r="A30" s="616"/>
      <c r="B30" s="1995"/>
      <c r="C30" s="9" t="s">
        <v>3619</v>
      </c>
      <c r="D30" s="1078"/>
      <c r="E30" s="9">
        <v>8276815</v>
      </c>
      <c r="F30" s="9">
        <v>3943908</v>
      </c>
      <c r="G30" s="9">
        <v>12220723</v>
      </c>
    </row>
    <row r="31" spans="1:7">
      <c r="A31" s="616"/>
      <c r="B31" s="1995"/>
      <c r="C31" s="9" t="s">
        <v>3620</v>
      </c>
      <c r="D31" s="1078"/>
      <c r="E31" s="9">
        <v>8956800</v>
      </c>
      <c r="F31" s="9">
        <v>4800840</v>
      </c>
      <c r="G31" s="9">
        <v>13757640</v>
      </c>
    </row>
    <row r="32" spans="1:7">
      <c r="A32" s="616"/>
      <c r="B32" s="1995"/>
      <c r="C32" s="9" t="s">
        <v>3621</v>
      </c>
      <c r="D32" s="1078"/>
      <c r="E32" s="9">
        <v>9069542</v>
      </c>
      <c r="F32" s="9">
        <v>4840200</v>
      </c>
      <c r="G32" s="9">
        <v>13909742</v>
      </c>
    </row>
    <row r="33" spans="1:7">
      <c r="A33" s="616"/>
      <c r="B33" s="1995"/>
      <c r="C33" s="9" t="s">
        <v>3622</v>
      </c>
      <c r="D33" s="1078"/>
      <c r="E33" s="9">
        <v>8095738</v>
      </c>
      <c r="F33" s="9">
        <v>4023360</v>
      </c>
      <c r="G33" s="9">
        <v>12119098</v>
      </c>
    </row>
    <row r="34" spans="1:7">
      <c r="A34" s="616"/>
      <c r="B34" s="1995"/>
      <c r="C34" s="9" t="s">
        <v>3623</v>
      </c>
      <c r="D34" s="1078"/>
      <c r="E34" s="9">
        <v>8300866</v>
      </c>
      <c r="F34" s="9">
        <v>4254668</v>
      </c>
      <c r="G34" s="9">
        <v>12555534</v>
      </c>
    </row>
    <row r="35" spans="1:7">
      <c r="A35" s="616"/>
      <c r="B35" s="1995"/>
      <c r="C35" s="11" t="s">
        <v>239</v>
      </c>
      <c r="D35" s="1078"/>
      <c r="E35" s="11">
        <f>SUM(E23:E34)</f>
        <v>87598120</v>
      </c>
      <c r="F35" s="11">
        <f>SUM(F23:F34)</f>
        <v>44053283</v>
      </c>
      <c r="G35" s="11">
        <f>SUM(G23:G34)</f>
        <v>131651403</v>
      </c>
    </row>
    <row r="36" spans="1:7">
      <c r="A36" s="616">
        <v>121000000021</v>
      </c>
      <c r="B36" s="1994">
        <v>3</v>
      </c>
      <c r="C36" s="11" t="s">
        <v>531</v>
      </c>
      <c r="D36" s="1078" t="s">
        <v>271</v>
      </c>
      <c r="E36" s="9"/>
      <c r="F36" s="9"/>
      <c r="G36" s="9"/>
    </row>
    <row r="37" spans="1:7">
      <c r="A37" s="616"/>
      <c r="B37" s="1995"/>
      <c r="C37" s="9" t="s">
        <v>3612</v>
      </c>
      <c r="D37" s="1078"/>
      <c r="E37" s="9">
        <v>6093000</v>
      </c>
      <c r="F37" s="9">
        <v>2013000</v>
      </c>
      <c r="G37" s="9">
        <v>8106000</v>
      </c>
    </row>
    <row r="38" spans="1:7">
      <c r="A38" s="616"/>
      <c r="B38" s="1995"/>
      <c r="C38" s="9" t="s">
        <v>3613</v>
      </c>
      <c r="D38" s="1078"/>
      <c r="E38" s="9">
        <v>6015189</v>
      </c>
      <c r="F38" s="9">
        <v>2020096</v>
      </c>
      <c r="G38" s="9">
        <v>8035285</v>
      </c>
    </row>
    <row r="39" spans="1:7">
      <c r="A39" s="616"/>
      <c r="B39" s="1995"/>
      <c r="C39" s="9" t="s">
        <v>3614</v>
      </c>
      <c r="D39" s="1078"/>
      <c r="E39" s="9">
        <v>5257423</v>
      </c>
      <c r="F39" s="9">
        <v>1876000</v>
      </c>
      <c r="G39" s="9">
        <v>7133423</v>
      </c>
    </row>
    <row r="40" spans="1:7">
      <c r="A40" s="616"/>
      <c r="B40" s="1995"/>
      <c r="C40" s="9" t="s">
        <v>3709</v>
      </c>
      <c r="D40" s="1078"/>
      <c r="E40" s="9">
        <v>5132243</v>
      </c>
      <c r="F40" s="9">
        <v>1828604</v>
      </c>
      <c r="G40" s="9">
        <v>6960847</v>
      </c>
    </row>
    <row r="41" spans="1:7">
      <c r="A41" s="616"/>
      <c r="B41" s="1995"/>
      <c r="C41" s="9" t="s">
        <v>3616</v>
      </c>
      <c r="D41" s="1078"/>
      <c r="E41" s="9">
        <v>6221753</v>
      </c>
      <c r="F41" s="9">
        <v>2109684</v>
      </c>
      <c r="G41" s="9">
        <v>8331437</v>
      </c>
    </row>
    <row r="42" spans="1:7">
      <c r="A42" s="616"/>
      <c r="B42" s="1995"/>
      <c r="C42" s="9" t="s">
        <v>3617</v>
      </c>
      <c r="D42" s="1078"/>
      <c r="E42" s="9">
        <v>5493346</v>
      </c>
      <c r="F42" s="9">
        <v>1832450</v>
      </c>
      <c r="G42" s="9">
        <v>7325796</v>
      </c>
    </row>
    <row r="43" spans="1:7">
      <c r="A43" s="616"/>
      <c r="B43" s="1995"/>
      <c r="C43" s="9" t="s">
        <v>3618</v>
      </c>
      <c r="D43" s="1078"/>
      <c r="E43" s="9">
        <v>4926187</v>
      </c>
      <c r="F43" s="9">
        <v>1649725</v>
      </c>
      <c r="G43" s="9">
        <v>6575912</v>
      </c>
    </row>
    <row r="44" spans="1:7">
      <c r="A44" s="616"/>
      <c r="B44" s="1995"/>
      <c r="C44" s="9" t="s">
        <v>3619</v>
      </c>
      <c r="D44" s="1078"/>
      <c r="E44" s="9">
        <v>4871759</v>
      </c>
      <c r="F44" s="9">
        <v>1633000</v>
      </c>
      <c r="G44" s="9">
        <v>6504759</v>
      </c>
    </row>
    <row r="45" spans="1:7">
      <c r="A45" s="616"/>
      <c r="B45" s="1995"/>
      <c r="C45" s="9" t="s">
        <v>3620</v>
      </c>
      <c r="D45" s="1078"/>
      <c r="E45" s="9">
        <v>5051000</v>
      </c>
      <c r="F45" s="9">
        <v>1645878</v>
      </c>
      <c r="G45" s="9">
        <v>6696878</v>
      </c>
    </row>
    <row r="46" spans="1:7">
      <c r="A46" s="616"/>
      <c r="B46" s="1995"/>
      <c r="C46" s="9" t="s">
        <v>3621</v>
      </c>
      <c r="D46" s="1078"/>
      <c r="E46" s="9">
        <v>4986447</v>
      </c>
      <c r="F46" s="9">
        <v>1220715</v>
      </c>
      <c r="G46" s="9">
        <v>6207162</v>
      </c>
    </row>
    <row r="47" spans="1:7">
      <c r="A47" s="616"/>
      <c r="B47" s="1995"/>
      <c r="C47" s="9" t="s">
        <v>3622</v>
      </c>
      <c r="D47" s="1078"/>
      <c r="E47" s="9">
        <v>4938000</v>
      </c>
      <c r="F47" s="9">
        <v>1656820</v>
      </c>
      <c r="G47" s="9">
        <v>6594820</v>
      </c>
    </row>
    <row r="48" spans="1:7">
      <c r="A48" s="616"/>
      <c r="B48" s="1995"/>
      <c r="C48" s="9" t="s">
        <v>3623</v>
      </c>
      <c r="D48" s="1078"/>
      <c r="E48" s="9">
        <v>5564283</v>
      </c>
      <c r="F48" s="9">
        <v>1906361</v>
      </c>
      <c r="G48" s="9">
        <v>7470644</v>
      </c>
    </row>
    <row r="49" spans="1:7">
      <c r="A49" s="616"/>
      <c r="B49" s="1995"/>
      <c r="C49" s="11" t="s">
        <v>239</v>
      </c>
      <c r="D49" s="1078"/>
      <c r="E49" s="11">
        <f>SUM(E37:E48)</f>
        <v>64550630</v>
      </c>
      <c r="F49" s="11">
        <f>SUM(F37:F48)</f>
        <v>21392333</v>
      </c>
      <c r="G49" s="11">
        <f>SUM(G37:G48)</f>
        <v>85942963</v>
      </c>
    </row>
    <row r="50" spans="1:7">
      <c r="A50" s="616">
        <v>122000000005</v>
      </c>
      <c r="B50" s="1994">
        <v>4</v>
      </c>
      <c r="C50" s="11" t="s">
        <v>635</v>
      </c>
      <c r="D50" s="1078" t="s">
        <v>259</v>
      </c>
      <c r="E50" s="9"/>
      <c r="F50" s="9"/>
      <c r="G50" s="9"/>
    </row>
    <row r="51" spans="1:7">
      <c r="A51" s="616"/>
      <c r="B51" s="1995"/>
      <c r="C51" s="9" t="s">
        <v>3612</v>
      </c>
      <c r="D51" s="1078"/>
      <c r="E51" s="9">
        <v>695370</v>
      </c>
      <c r="F51" s="9">
        <v>145710</v>
      </c>
      <c r="G51" s="9">
        <v>841080</v>
      </c>
    </row>
    <row r="52" spans="1:7">
      <c r="A52" s="616"/>
      <c r="B52" s="1995"/>
      <c r="C52" s="9" t="s">
        <v>3613</v>
      </c>
      <c r="D52" s="1078"/>
      <c r="E52" s="9">
        <v>776880</v>
      </c>
      <c r="F52" s="9">
        <v>155880</v>
      </c>
      <c r="G52" s="9">
        <v>932760</v>
      </c>
    </row>
    <row r="53" spans="1:7">
      <c r="A53" s="616"/>
      <c r="B53" s="1995"/>
      <c r="C53" s="9" t="s">
        <v>3614</v>
      </c>
      <c r="D53" s="1078"/>
      <c r="E53" s="9">
        <v>799620</v>
      </c>
      <c r="F53" s="9">
        <v>162120</v>
      </c>
      <c r="G53" s="9">
        <v>961740</v>
      </c>
    </row>
    <row r="54" spans="1:7">
      <c r="A54" s="616"/>
      <c r="B54" s="1995"/>
      <c r="C54" s="9" t="s">
        <v>3709</v>
      </c>
      <c r="D54" s="1078"/>
      <c r="E54" s="9">
        <v>713430</v>
      </c>
      <c r="F54" s="9">
        <v>153270</v>
      </c>
      <c r="G54" s="9">
        <v>866700</v>
      </c>
    </row>
    <row r="55" spans="1:7">
      <c r="A55" s="616"/>
      <c r="B55" s="1995"/>
      <c r="C55" s="9" t="s">
        <v>3616</v>
      </c>
      <c r="D55" s="1078"/>
      <c r="E55" s="9">
        <v>703140</v>
      </c>
      <c r="F55" s="9">
        <v>138810</v>
      </c>
      <c r="G55" s="9">
        <v>841950</v>
      </c>
    </row>
    <row r="56" spans="1:7">
      <c r="A56" s="616"/>
      <c r="B56" s="1995"/>
      <c r="C56" s="9" t="s">
        <v>3617</v>
      </c>
      <c r="D56" s="1078"/>
      <c r="E56" s="9">
        <v>739410</v>
      </c>
      <c r="F56" s="9">
        <v>159810</v>
      </c>
      <c r="G56" s="9">
        <v>899220</v>
      </c>
    </row>
    <row r="57" spans="1:7">
      <c r="A57" s="616"/>
      <c r="B57" s="1995"/>
      <c r="C57" s="9" t="s">
        <v>3618</v>
      </c>
      <c r="D57" s="1078"/>
      <c r="E57" s="9">
        <v>565980</v>
      </c>
      <c r="F57" s="9">
        <v>130770</v>
      </c>
      <c r="G57" s="9">
        <v>696750</v>
      </c>
    </row>
    <row r="58" spans="1:7">
      <c r="A58" s="616"/>
      <c r="B58" s="1995"/>
      <c r="C58" s="9" t="s">
        <v>3619</v>
      </c>
      <c r="D58" s="1078"/>
      <c r="E58" s="9">
        <v>413220</v>
      </c>
      <c r="F58" s="9">
        <v>98040</v>
      </c>
      <c r="G58" s="9">
        <v>511260</v>
      </c>
    </row>
    <row r="59" spans="1:7">
      <c r="A59" s="616"/>
      <c r="B59" s="1995"/>
      <c r="C59" s="9" t="s">
        <v>3620</v>
      </c>
      <c r="D59" s="1078"/>
      <c r="E59" s="9">
        <v>375690</v>
      </c>
      <c r="F59" s="9">
        <v>94950</v>
      </c>
      <c r="G59" s="9">
        <v>470640</v>
      </c>
    </row>
    <row r="60" spans="1:7">
      <c r="A60" s="616"/>
      <c r="B60" s="1995"/>
      <c r="C60" s="9" t="s">
        <v>3621</v>
      </c>
      <c r="D60" s="1078"/>
      <c r="E60" s="9">
        <v>362460</v>
      </c>
      <c r="F60" s="9">
        <v>100470</v>
      </c>
      <c r="G60" s="9">
        <v>462930</v>
      </c>
    </row>
    <row r="61" spans="1:7">
      <c r="A61" s="616"/>
      <c r="B61" s="1995"/>
      <c r="C61" s="9" t="s">
        <v>3622</v>
      </c>
      <c r="D61" s="1078"/>
      <c r="E61" s="9">
        <v>393330</v>
      </c>
      <c r="F61" s="9">
        <v>100830</v>
      </c>
      <c r="G61" s="9">
        <v>494160</v>
      </c>
    </row>
    <row r="62" spans="1:7">
      <c r="A62" s="616"/>
      <c r="B62" s="1995"/>
      <c r="C62" s="9" t="s">
        <v>3623</v>
      </c>
      <c r="D62" s="1078"/>
      <c r="E62" s="9">
        <v>532530</v>
      </c>
      <c r="F62" s="9">
        <v>121020</v>
      </c>
      <c r="G62" s="9">
        <v>653550</v>
      </c>
    </row>
    <row r="63" spans="1:7">
      <c r="A63" s="616"/>
      <c r="B63" s="1995"/>
      <c r="C63" s="11" t="s">
        <v>239</v>
      </c>
      <c r="D63" s="1078"/>
      <c r="E63" s="11">
        <f>SUM(E51:E62)</f>
        <v>7071060</v>
      </c>
      <c r="F63" s="11">
        <f>SUM(F51:F62)</f>
        <v>1561680</v>
      </c>
      <c r="G63" s="11">
        <f>SUM(G51:G62)</f>
        <v>8632740</v>
      </c>
    </row>
    <row r="64" spans="1:7">
      <c r="A64" s="616">
        <v>122000000009</v>
      </c>
      <c r="B64" s="1994">
        <v>5</v>
      </c>
      <c r="C64" s="11" t="s">
        <v>3518</v>
      </c>
      <c r="D64" s="1078" t="s">
        <v>259</v>
      </c>
      <c r="E64" s="9"/>
      <c r="F64" s="9"/>
      <c r="G64" s="9"/>
    </row>
    <row r="65" spans="1:7">
      <c r="A65" s="616"/>
      <c r="B65" s="1995"/>
      <c r="C65" s="9" t="s">
        <v>3612</v>
      </c>
      <c r="D65" s="1078"/>
      <c r="E65" s="9">
        <v>432891</v>
      </c>
      <c r="F65" s="9">
        <v>145269</v>
      </c>
      <c r="G65" s="9">
        <v>578160</v>
      </c>
    </row>
    <row r="66" spans="1:7">
      <c r="A66" s="616"/>
      <c r="B66" s="1995"/>
      <c r="C66" s="9" t="s">
        <v>3613</v>
      </c>
      <c r="D66" s="1078"/>
      <c r="E66" s="9">
        <v>455796</v>
      </c>
      <c r="F66" s="9">
        <v>157563</v>
      </c>
      <c r="G66" s="9">
        <v>613359</v>
      </c>
    </row>
    <row r="67" spans="1:7">
      <c r="A67" s="616"/>
      <c r="B67" s="1995"/>
      <c r="C67" s="9" t="s">
        <v>3614</v>
      </c>
      <c r="D67" s="1078"/>
      <c r="E67" s="9">
        <v>442008</v>
      </c>
      <c r="F67" s="9">
        <v>150759</v>
      </c>
      <c r="G67" s="9">
        <v>592767</v>
      </c>
    </row>
    <row r="68" spans="1:7">
      <c r="A68" s="616"/>
      <c r="B68" s="1995"/>
      <c r="C68" s="9" t="s">
        <v>3709</v>
      </c>
      <c r="D68" s="1078"/>
      <c r="E68" s="9">
        <v>442647</v>
      </c>
      <c r="F68" s="9">
        <v>148734</v>
      </c>
      <c r="G68" s="9">
        <v>591381</v>
      </c>
    </row>
    <row r="69" spans="1:7">
      <c r="A69" s="616"/>
      <c r="B69" s="1995"/>
      <c r="C69" s="9" t="s">
        <v>3616</v>
      </c>
      <c r="D69" s="1078"/>
      <c r="E69" s="9">
        <v>389646</v>
      </c>
      <c r="F69" s="9">
        <v>127602</v>
      </c>
      <c r="G69" s="9">
        <v>517248</v>
      </c>
    </row>
    <row r="70" spans="1:7">
      <c r="A70" s="616"/>
      <c r="B70" s="1995"/>
      <c r="C70" s="9" t="s">
        <v>3617</v>
      </c>
      <c r="D70" s="1078"/>
      <c r="E70" s="9">
        <v>478539</v>
      </c>
      <c r="F70" s="9">
        <v>166086</v>
      </c>
      <c r="G70" s="9">
        <v>644625</v>
      </c>
    </row>
    <row r="71" spans="1:7">
      <c r="A71" s="616"/>
      <c r="B71" s="1995"/>
      <c r="C71" s="9" t="s">
        <v>3618</v>
      </c>
      <c r="D71" s="1078"/>
      <c r="E71" s="9">
        <v>428004</v>
      </c>
      <c r="F71" s="9">
        <v>144954</v>
      </c>
      <c r="G71" s="9">
        <v>572958</v>
      </c>
    </row>
    <row r="72" spans="1:7">
      <c r="A72" s="616"/>
      <c r="B72" s="1995"/>
      <c r="C72" s="9" t="s">
        <v>3619</v>
      </c>
      <c r="D72" s="1078"/>
      <c r="E72" s="9">
        <v>543852</v>
      </c>
      <c r="F72" s="9">
        <v>188712</v>
      </c>
      <c r="G72" s="9">
        <v>732564</v>
      </c>
    </row>
    <row r="73" spans="1:7">
      <c r="A73" s="616"/>
      <c r="B73" s="1995"/>
      <c r="C73" s="9" t="s">
        <v>3620</v>
      </c>
      <c r="D73" s="1078"/>
      <c r="E73" s="9">
        <v>602928</v>
      </c>
      <c r="F73" s="9">
        <v>206460</v>
      </c>
      <c r="G73" s="9">
        <v>809388</v>
      </c>
    </row>
    <row r="74" spans="1:7">
      <c r="A74" s="616"/>
      <c r="B74" s="1995"/>
      <c r="C74" s="9" t="s">
        <v>3621</v>
      </c>
      <c r="D74" s="1078"/>
      <c r="E74" s="9">
        <v>522495</v>
      </c>
      <c r="F74" s="9">
        <v>179316</v>
      </c>
      <c r="G74" s="9">
        <v>701811</v>
      </c>
    </row>
    <row r="75" spans="1:7">
      <c r="A75" s="616"/>
      <c r="B75" s="1995"/>
      <c r="C75" s="9" t="s">
        <v>3622</v>
      </c>
      <c r="D75" s="1078"/>
      <c r="E75" s="9">
        <v>504081</v>
      </c>
      <c r="F75" s="9">
        <v>172323</v>
      </c>
      <c r="G75" s="9">
        <v>676404</v>
      </c>
    </row>
    <row r="76" spans="1:7">
      <c r="A76" s="616"/>
      <c r="B76" s="1995"/>
      <c r="C76" s="9" t="s">
        <v>3623</v>
      </c>
      <c r="D76" s="1078"/>
      <c r="E76" s="9">
        <v>621621</v>
      </c>
      <c r="F76" s="9">
        <v>210420</v>
      </c>
      <c r="G76" s="9">
        <v>832041</v>
      </c>
    </row>
    <row r="77" spans="1:7">
      <c r="A77" s="616"/>
      <c r="B77" s="1995"/>
      <c r="C77" s="11" t="s">
        <v>239</v>
      </c>
      <c r="D77" s="1078"/>
      <c r="E77" s="11">
        <f>SUM(E65:E76)</f>
        <v>5864508</v>
      </c>
      <c r="F77" s="11">
        <f>SUM(F65:F76)</f>
        <v>1998198</v>
      </c>
      <c r="G77" s="11">
        <f>SUM(G65:G76)</f>
        <v>7862706</v>
      </c>
    </row>
    <row r="78" spans="1:7">
      <c r="A78" s="616">
        <v>122000000012</v>
      </c>
      <c r="B78" s="1994">
        <v>6</v>
      </c>
      <c r="C78" s="11" t="s">
        <v>650</v>
      </c>
      <c r="D78" s="1078" t="s">
        <v>259</v>
      </c>
      <c r="E78" s="9"/>
      <c r="F78" s="9"/>
      <c r="G78" s="9"/>
    </row>
    <row r="79" spans="1:7">
      <c r="A79" s="616"/>
      <c r="B79" s="1995"/>
      <c r="C79" s="9" t="s">
        <v>3612</v>
      </c>
      <c r="D79" s="1078"/>
      <c r="E79" s="9">
        <v>295477</v>
      </c>
      <c r="F79" s="9">
        <v>95902</v>
      </c>
      <c r="G79" s="9">
        <v>391379</v>
      </c>
    </row>
    <row r="80" spans="1:7">
      <c r="A80" s="616"/>
      <c r="B80" s="1995"/>
      <c r="C80" s="9" t="s">
        <v>3613</v>
      </c>
      <c r="D80" s="1078"/>
      <c r="E80" s="9">
        <v>401661</v>
      </c>
      <c r="F80" s="9">
        <v>119996</v>
      </c>
      <c r="G80" s="9">
        <v>521657</v>
      </c>
    </row>
    <row r="81" spans="1:7">
      <c r="A81" s="616"/>
      <c r="B81" s="1995"/>
      <c r="C81" s="9" t="s">
        <v>3614</v>
      </c>
      <c r="D81" s="1078"/>
      <c r="E81" s="9">
        <v>285889</v>
      </c>
      <c r="F81" s="9">
        <v>90197</v>
      </c>
      <c r="G81" s="9">
        <v>376086</v>
      </c>
    </row>
    <row r="82" spans="1:7">
      <c r="A82" s="616"/>
      <c r="B82" s="1995"/>
      <c r="C82" s="9" t="s">
        <v>3709</v>
      </c>
      <c r="D82" s="1078"/>
      <c r="E82" s="9">
        <v>388358</v>
      </c>
      <c r="F82" s="9">
        <v>121018</v>
      </c>
      <c r="G82" s="9">
        <v>509376</v>
      </c>
    </row>
    <row r="83" spans="1:7">
      <c r="A83" s="616"/>
      <c r="B83" s="1995"/>
      <c r="C83" s="9" t="s">
        <v>3616</v>
      </c>
      <c r="D83" s="1078"/>
      <c r="E83" s="9">
        <v>437627</v>
      </c>
      <c r="F83" s="9">
        <v>139689</v>
      </c>
      <c r="G83" s="9">
        <v>577316</v>
      </c>
    </row>
    <row r="84" spans="1:7">
      <c r="A84" s="616"/>
      <c r="B84" s="1995"/>
      <c r="C84" s="9" t="s">
        <v>3617</v>
      </c>
      <c r="D84" s="1078"/>
      <c r="E84" s="9">
        <v>371444</v>
      </c>
      <c r="F84" s="9">
        <v>118716</v>
      </c>
      <c r="G84" s="9">
        <v>490160</v>
      </c>
    </row>
    <row r="85" spans="1:7">
      <c r="A85" s="616"/>
      <c r="B85" s="1995"/>
      <c r="C85" s="9" t="s">
        <v>3618</v>
      </c>
      <c r="D85" s="1078"/>
      <c r="E85" s="9">
        <v>356061</v>
      </c>
      <c r="F85" s="9">
        <v>117309</v>
      </c>
      <c r="G85" s="9">
        <v>473370</v>
      </c>
    </row>
    <row r="86" spans="1:7">
      <c r="A86" s="616"/>
      <c r="B86" s="1995"/>
      <c r="C86" s="9" t="s">
        <v>3619</v>
      </c>
      <c r="D86" s="1078"/>
      <c r="E86" s="9">
        <v>543960</v>
      </c>
      <c r="F86" s="9">
        <v>174334</v>
      </c>
      <c r="G86" s="9">
        <v>718294</v>
      </c>
    </row>
    <row r="87" spans="1:7">
      <c r="A87" s="616"/>
      <c r="B87" s="1995"/>
      <c r="C87" s="9" t="s">
        <v>3620</v>
      </c>
      <c r="D87" s="1078"/>
      <c r="E87" s="9">
        <v>463501</v>
      </c>
      <c r="F87" s="9">
        <v>149157</v>
      </c>
      <c r="G87" s="9">
        <v>612658</v>
      </c>
    </row>
    <row r="88" spans="1:7">
      <c r="A88" s="616"/>
      <c r="B88" s="1995"/>
      <c r="C88" s="9" t="s">
        <v>3621</v>
      </c>
      <c r="D88" s="1078"/>
      <c r="E88" s="9">
        <v>402787</v>
      </c>
      <c r="F88" s="9">
        <v>132284</v>
      </c>
      <c r="G88" s="9">
        <v>535071</v>
      </c>
    </row>
    <row r="89" spans="1:7">
      <c r="A89" s="616"/>
      <c r="B89" s="1995"/>
      <c r="C89" s="9" t="s">
        <v>3622</v>
      </c>
      <c r="D89" s="1078"/>
      <c r="E89" s="9">
        <v>359573</v>
      </c>
      <c r="F89" s="9">
        <v>113926</v>
      </c>
      <c r="G89" s="9">
        <v>473499</v>
      </c>
    </row>
    <row r="90" spans="1:7">
      <c r="A90" s="616"/>
      <c r="B90" s="1995"/>
      <c r="C90" s="9" t="s">
        <v>3623</v>
      </c>
      <c r="D90" s="1078"/>
      <c r="E90" s="9">
        <v>432337</v>
      </c>
      <c r="F90" s="9">
        <v>142020</v>
      </c>
      <c r="G90" s="9">
        <v>574357</v>
      </c>
    </row>
    <row r="91" spans="1:7">
      <c r="A91" s="616"/>
      <c r="B91" s="1995"/>
      <c r="C91" s="11" t="s">
        <v>239</v>
      </c>
      <c r="D91" s="1078"/>
      <c r="E91" s="11">
        <f>SUM(E79:E90)</f>
        <v>4738675</v>
      </c>
      <c r="F91" s="11">
        <f>SUM(F79:F90)</f>
        <v>1514548</v>
      </c>
      <c r="G91" s="11">
        <f>SUM(G79:G90)</f>
        <v>6253223</v>
      </c>
    </row>
    <row r="92" spans="1:7">
      <c r="A92" s="616">
        <v>122000000039</v>
      </c>
      <c r="B92" s="1994">
        <v>7</v>
      </c>
      <c r="C92" s="11" t="s">
        <v>604</v>
      </c>
      <c r="D92" s="1078" t="s">
        <v>271</v>
      </c>
      <c r="E92" s="9"/>
      <c r="F92" s="9"/>
      <c r="G92" s="9"/>
    </row>
    <row r="93" spans="1:7">
      <c r="A93" s="616"/>
      <c r="B93" s="1995"/>
      <c r="C93" s="9" t="s">
        <v>3612</v>
      </c>
      <c r="D93" s="1078"/>
      <c r="E93" s="9">
        <v>4083110</v>
      </c>
      <c r="F93" s="9">
        <v>1279250</v>
      </c>
      <c r="G93" s="9">
        <v>5362360</v>
      </c>
    </row>
    <row r="94" spans="1:7">
      <c r="A94" s="616"/>
      <c r="B94" s="1995"/>
      <c r="C94" s="9" t="s">
        <v>3613</v>
      </c>
      <c r="D94" s="1078"/>
      <c r="E94" s="9">
        <v>4052270</v>
      </c>
      <c r="F94" s="9">
        <v>1153470</v>
      </c>
      <c r="G94" s="9">
        <v>5205740</v>
      </c>
    </row>
    <row r="95" spans="1:7">
      <c r="A95" s="616"/>
      <c r="B95" s="1995"/>
      <c r="C95" s="9" t="s">
        <v>3614</v>
      </c>
      <c r="D95" s="1078"/>
      <c r="E95" s="9">
        <v>3629020</v>
      </c>
      <c r="F95" s="9">
        <v>1229590</v>
      </c>
      <c r="G95" s="9">
        <v>4858610</v>
      </c>
    </row>
    <row r="96" spans="1:7">
      <c r="A96" s="616"/>
      <c r="B96" s="1995"/>
      <c r="C96" s="9" t="s">
        <v>3709</v>
      </c>
      <c r="D96" s="1078"/>
      <c r="E96" s="9">
        <v>4092290</v>
      </c>
      <c r="F96" s="9">
        <v>1177640</v>
      </c>
      <c r="G96" s="9">
        <v>5269930</v>
      </c>
    </row>
    <row r="97" spans="1:7">
      <c r="A97" s="616"/>
      <c r="B97" s="1995"/>
      <c r="C97" s="9" t="s">
        <v>3616</v>
      </c>
      <c r="D97" s="1078"/>
      <c r="E97" s="9">
        <v>4355810</v>
      </c>
      <c r="F97" s="9">
        <v>1319560</v>
      </c>
      <c r="G97" s="9">
        <v>5675370</v>
      </c>
    </row>
    <row r="98" spans="1:7">
      <c r="A98" s="616"/>
      <c r="B98" s="1995"/>
      <c r="C98" s="9" t="s">
        <v>3617</v>
      </c>
      <c r="D98" s="1078"/>
      <c r="E98" s="9">
        <v>3967560</v>
      </c>
      <c r="F98" s="9">
        <v>1238830</v>
      </c>
      <c r="G98" s="9">
        <v>5206390</v>
      </c>
    </row>
    <row r="99" spans="1:7">
      <c r="A99" s="616"/>
      <c r="B99" s="1995"/>
      <c r="C99" s="9" t="s">
        <v>3618</v>
      </c>
      <c r="D99" s="1078"/>
      <c r="E99" s="9">
        <v>4230570</v>
      </c>
      <c r="F99" s="9">
        <v>1316820</v>
      </c>
      <c r="G99" s="9">
        <v>5547390</v>
      </c>
    </row>
    <row r="100" spans="1:7">
      <c r="A100" s="616"/>
      <c r="B100" s="1995"/>
      <c r="C100" s="9" t="s">
        <v>3619</v>
      </c>
      <c r="D100" s="1078"/>
      <c r="E100" s="9">
        <v>4038480</v>
      </c>
      <c r="F100" s="9">
        <v>1324300</v>
      </c>
      <c r="G100" s="9">
        <v>5362780</v>
      </c>
    </row>
    <row r="101" spans="1:7">
      <c r="A101" s="616"/>
      <c r="B101" s="1995"/>
      <c r="C101" s="9" t="s">
        <v>3620</v>
      </c>
      <c r="D101" s="1078"/>
      <c r="E101" s="9">
        <v>4116250</v>
      </c>
      <c r="F101" s="9">
        <v>1356700</v>
      </c>
      <c r="G101" s="9">
        <v>5472950</v>
      </c>
    </row>
    <row r="102" spans="1:7">
      <c r="A102" s="616"/>
      <c r="B102" s="1995"/>
      <c r="C102" s="9" t="s">
        <v>3621</v>
      </c>
      <c r="D102" s="1078"/>
      <c r="E102" s="9">
        <v>4128520</v>
      </c>
      <c r="F102" s="9">
        <v>1294810</v>
      </c>
      <c r="G102" s="9">
        <v>5423330</v>
      </c>
    </row>
    <row r="103" spans="1:7">
      <c r="A103" s="616"/>
      <c r="B103" s="1995"/>
      <c r="C103" s="9" t="s">
        <v>3622</v>
      </c>
      <c r="D103" s="1078"/>
      <c r="E103" s="9">
        <v>3937380</v>
      </c>
      <c r="F103" s="9">
        <v>1213340</v>
      </c>
      <c r="G103" s="9">
        <v>5150720</v>
      </c>
    </row>
    <row r="104" spans="1:7">
      <c r="A104" s="616"/>
      <c r="B104" s="1995"/>
      <c r="C104" s="9" t="s">
        <v>3623</v>
      </c>
      <c r="D104" s="1078"/>
      <c r="E104" s="9">
        <v>4101390</v>
      </c>
      <c r="F104" s="9">
        <v>1396110</v>
      </c>
      <c r="G104" s="9">
        <v>5497500</v>
      </c>
    </row>
    <row r="105" spans="1:7">
      <c r="A105" s="616"/>
      <c r="B105" s="1995"/>
      <c r="C105" s="11" t="s">
        <v>239</v>
      </c>
      <c r="D105" s="1078"/>
      <c r="E105" s="11">
        <f>SUM(E93:E104)</f>
        <v>48732650</v>
      </c>
      <c r="F105" s="11">
        <f>SUM(F93:F104)</f>
        <v>15300420</v>
      </c>
      <c r="G105" s="11">
        <f>SUM(G93:G104)</f>
        <v>64033070</v>
      </c>
    </row>
    <row r="106" spans="1:7">
      <c r="A106" s="616">
        <v>122000000076</v>
      </c>
      <c r="B106" s="1994">
        <v>8</v>
      </c>
      <c r="C106" s="11" t="s">
        <v>652</v>
      </c>
      <c r="D106" s="1078" t="s">
        <v>259</v>
      </c>
      <c r="E106" s="9"/>
      <c r="F106" s="9"/>
      <c r="G106" s="9"/>
    </row>
    <row r="107" spans="1:7">
      <c r="A107" s="616"/>
      <c r="B107" s="1995"/>
      <c r="C107" s="9" t="s">
        <v>3612</v>
      </c>
      <c r="D107" s="1078"/>
      <c r="E107" s="9">
        <v>1201200</v>
      </c>
      <c r="F107" s="9">
        <v>289200</v>
      </c>
      <c r="G107" s="9">
        <v>1490400</v>
      </c>
    </row>
    <row r="108" spans="1:7">
      <c r="A108" s="616"/>
      <c r="B108" s="1995"/>
      <c r="C108" s="9" t="s">
        <v>3613</v>
      </c>
      <c r="D108" s="1078"/>
      <c r="E108" s="9">
        <v>469200</v>
      </c>
      <c r="F108" s="9">
        <v>191160</v>
      </c>
      <c r="G108" s="9">
        <v>660360</v>
      </c>
    </row>
    <row r="109" spans="1:7">
      <c r="A109" s="616"/>
      <c r="B109" s="1995"/>
      <c r="C109" s="9" t="s">
        <v>3614</v>
      </c>
      <c r="D109" s="1078"/>
      <c r="E109" s="9">
        <v>2299080</v>
      </c>
      <c r="F109" s="9">
        <v>851520</v>
      </c>
      <c r="G109" s="9">
        <v>3150600</v>
      </c>
    </row>
    <row r="110" spans="1:7">
      <c r="A110" s="616"/>
      <c r="B110" s="1995"/>
      <c r="C110" s="9" t="s">
        <v>3709</v>
      </c>
      <c r="D110" s="1078"/>
      <c r="E110" s="9">
        <v>1153440</v>
      </c>
      <c r="F110" s="9">
        <v>412200</v>
      </c>
      <c r="G110" s="9">
        <v>1565640</v>
      </c>
    </row>
    <row r="111" spans="1:7">
      <c r="A111" s="616"/>
      <c r="B111" s="1995"/>
      <c r="C111" s="9" t="s">
        <v>3616</v>
      </c>
      <c r="D111" s="1078"/>
      <c r="E111" s="9">
        <v>571680</v>
      </c>
      <c r="F111" s="9">
        <v>217680</v>
      </c>
      <c r="G111" s="9">
        <v>789360</v>
      </c>
    </row>
    <row r="112" spans="1:7">
      <c r="A112" s="616"/>
      <c r="B112" s="1995"/>
      <c r="C112" s="9" t="s">
        <v>3617</v>
      </c>
      <c r="D112" s="1078"/>
      <c r="E112" s="9">
        <v>1269300</v>
      </c>
      <c r="F112" s="9">
        <v>473760</v>
      </c>
      <c r="G112" s="9">
        <v>1743060</v>
      </c>
    </row>
    <row r="113" spans="1:7">
      <c r="A113" s="616"/>
      <c r="B113" s="1995"/>
      <c r="C113" s="9" t="s">
        <v>3618</v>
      </c>
      <c r="D113" s="1078"/>
      <c r="E113" s="9">
        <v>1130400</v>
      </c>
      <c r="F113" s="9">
        <v>387180</v>
      </c>
      <c r="G113" s="9">
        <v>1517580</v>
      </c>
    </row>
    <row r="114" spans="1:7">
      <c r="A114" s="616"/>
      <c r="B114" s="1995"/>
      <c r="C114" s="9" t="s">
        <v>3619</v>
      </c>
      <c r="D114" s="1078"/>
      <c r="E114" s="9">
        <v>1130940</v>
      </c>
      <c r="F114" s="9">
        <v>404580</v>
      </c>
      <c r="G114" s="9">
        <v>1535520</v>
      </c>
    </row>
    <row r="115" spans="1:7">
      <c r="A115" s="616"/>
      <c r="B115" s="1995"/>
      <c r="C115" s="9" t="s">
        <v>3620</v>
      </c>
      <c r="D115" s="1078"/>
      <c r="E115" s="9">
        <v>1274760</v>
      </c>
      <c r="F115" s="9">
        <v>456720</v>
      </c>
      <c r="G115" s="9">
        <v>1731480</v>
      </c>
    </row>
    <row r="116" spans="1:7">
      <c r="A116" s="616"/>
      <c r="B116" s="1995"/>
      <c r="C116" s="9" t="s">
        <v>3621</v>
      </c>
      <c r="D116" s="1078"/>
      <c r="E116" s="9">
        <v>540000</v>
      </c>
      <c r="F116" s="9">
        <v>180000</v>
      </c>
      <c r="G116" s="9">
        <v>720000</v>
      </c>
    </row>
    <row r="117" spans="1:7">
      <c r="A117" s="616"/>
      <c r="B117" s="1995"/>
      <c r="C117" s="9" t="s">
        <v>3622</v>
      </c>
      <c r="D117" s="1078"/>
      <c r="E117" s="9">
        <v>1278600</v>
      </c>
      <c r="F117" s="9">
        <v>480420</v>
      </c>
      <c r="G117" s="9">
        <v>1759020</v>
      </c>
    </row>
    <row r="118" spans="1:7">
      <c r="A118" s="616"/>
      <c r="B118" s="1995"/>
      <c r="C118" s="9" t="s">
        <v>3623</v>
      </c>
      <c r="D118" s="1078"/>
      <c r="E118" s="9">
        <v>1064640</v>
      </c>
      <c r="F118" s="9">
        <v>361500</v>
      </c>
      <c r="G118" s="9">
        <v>1426140</v>
      </c>
    </row>
    <row r="119" spans="1:7">
      <c r="A119" s="616"/>
      <c r="B119" s="1995"/>
      <c r="C119" s="11" t="s">
        <v>239</v>
      </c>
      <c r="D119" s="1078"/>
      <c r="E119" s="11">
        <f>SUM(E107:E118)</f>
        <v>13383240</v>
      </c>
      <c r="F119" s="11">
        <f>SUM(F107:F118)</f>
        <v>4705920</v>
      </c>
      <c r="G119" s="11">
        <f>SUM(G107:G118)</f>
        <v>18089160</v>
      </c>
    </row>
    <row r="120" spans="1:7">
      <c r="A120" s="616">
        <v>123000000012</v>
      </c>
      <c r="B120" s="1994">
        <v>9</v>
      </c>
      <c r="C120" s="11" t="s">
        <v>556</v>
      </c>
      <c r="D120" s="1078" t="s">
        <v>271</v>
      </c>
      <c r="E120" s="9"/>
      <c r="F120" s="9"/>
      <c r="G120" s="9"/>
    </row>
    <row r="121" spans="1:7">
      <c r="A121" s="616"/>
      <c r="B121" s="1995"/>
      <c r="C121" s="9" t="s">
        <v>3612</v>
      </c>
      <c r="D121" s="1078"/>
      <c r="E121" s="9">
        <v>126900</v>
      </c>
      <c r="F121" s="9">
        <v>67000</v>
      </c>
      <c r="G121" s="9">
        <v>193900</v>
      </c>
    </row>
    <row r="122" spans="1:7">
      <c r="A122" s="616"/>
      <c r="B122" s="1995"/>
      <c r="C122" s="9" t="s">
        <v>3613</v>
      </c>
      <c r="D122" s="1078"/>
      <c r="E122" s="9">
        <v>122100</v>
      </c>
      <c r="F122" s="9">
        <v>62700</v>
      </c>
      <c r="G122" s="9">
        <v>184800</v>
      </c>
    </row>
    <row r="123" spans="1:7">
      <c r="A123" s="616"/>
      <c r="B123" s="1995"/>
      <c r="C123" s="9" t="s">
        <v>3614</v>
      </c>
      <c r="D123" s="1078"/>
      <c r="E123" s="9">
        <v>114600</v>
      </c>
      <c r="F123" s="9">
        <v>58800</v>
      </c>
      <c r="G123" s="9">
        <v>173400</v>
      </c>
    </row>
    <row r="124" spans="1:7">
      <c r="A124" s="616"/>
      <c r="B124" s="1995"/>
      <c r="C124" s="9" t="s">
        <v>3709</v>
      </c>
      <c r="D124" s="1078"/>
      <c r="E124" s="9">
        <v>116700</v>
      </c>
      <c r="F124" s="9">
        <v>59900</v>
      </c>
      <c r="G124" s="9">
        <v>176600</v>
      </c>
    </row>
    <row r="125" spans="1:7">
      <c r="A125" s="616"/>
      <c r="B125" s="1995"/>
      <c r="C125" s="9" t="s">
        <v>3616</v>
      </c>
      <c r="D125" s="1078"/>
      <c r="E125" s="9">
        <v>114800</v>
      </c>
      <c r="F125" s="9">
        <v>59400</v>
      </c>
      <c r="G125" s="9">
        <v>174200</v>
      </c>
    </row>
    <row r="126" spans="1:7">
      <c r="A126" s="616"/>
      <c r="B126" s="1995"/>
      <c r="C126" s="9" t="s">
        <v>3617</v>
      </c>
      <c r="D126" s="1078"/>
      <c r="E126" s="9">
        <v>105300</v>
      </c>
      <c r="F126" s="9">
        <v>53800</v>
      </c>
      <c r="G126" s="9">
        <v>159100</v>
      </c>
    </row>
    <row r="127" spans="1:7">
      <c r="A127" s="616"/>
      <c r="B127" s="1995"/>
      <c r="C127" s="9" t="s">
        <v>3618</v>
      </c>
      <c r="D127" s="1078"/>
      <c r="E127" s="9">
        <v>108000</v>
      </c>
      <c r="F127" s="9">
        <v>57100</v>
      </c>
      <c r="G127" s="9">
        <v>165100</v>
      </c>
    </row>
    <row r="128" spans="1:7">
      <c r="A128" s="616"/>
      <c r="B128" s="1995"/>
      <c r="C128" s="9" t="s">
        <v>3619</v>
      </c>
      <c r="D128" s="1078"/>
      <c r="E128" s="9">
        <v>95900</v>
      </c>
      <c r="F128" s="9">
        <v>52400</v>
      </c>
      <c r="G128" s="9">
        <v>148300</v>
      </c>
    </row>
    <row r="129" spans="1:7">
      <c r="A129" s="616"/>
      <c r="B129" s="1995"/>
      <c r="C129" s="9" t="s">
        <v>3620</v>
      </c>
      <c r="D129" s="1078"/>
      <c r="E129" s="9">
        <v>101900</v>
      </c>
      <c r="F129" s="9">
        <v>55500</v>
      </c>
      <c r="G129" s="9">
        <v>157400</v>
      </c>
    </row>
    <row r="130" spans="1:7">
      <c r="A130" s="616"/>
      <c r="B130" s="1995"/>
      <c r="C130" s="9" t="s">
        <v>3621</v>
      </c>
      <c r="D130" s="1078"/>
      <c r="E130" s="9">
        <v>103900</v>
      </c>
      <c r="F130" s="9">
        <v>54500</v>
      </c>
      <c r="G130" s="9">
        <v>158400</v>
      </c>
    </row>
    <row r="131" spans="1:7">
      <c r="A131" s="616"/>
      <c r="B131" s="1995"/>
      <c r="C131" s="9" t="s">
        <v>3622</v>
      </c>
      <c r="D131" s="1078"/>
      <c r="E131" s="9">
        <v>91700</v>
      </c>
      <c r="F131" s="9">
        <v>50300</v>
      </c>
      <c r="G131" s="9">
        <v>142000</v>
      </c>
    </row>
    <row r="132" spans="1:7">
      <c r="A132" s="616"/>
      <c r="B132" s="1995"/>
      <c r="C132" s="9" t="s">
        <v>3623</v>
      </c>
      <c r="D132" s="1078"/>
      <c r="E132" s="9">
        <v>101800</v>
      </c>
      <c r="F132" s="9">
        <v>54800</v>
      </c>
      <c r="G132" s="9">
        <v>156600</v>
      </c>
    </row>
    <row r="133" spans="1:7">
      <c r="A133" s="616"/>
      <c r="B133" s="1995"/>
      <c r="C133" s="11" t="s">
        <v>239</v>
      </c>
      <c r="D133" s="1078"/>
      <c r="E133" s="11">
        <f>SUM(E121:E132)</f>
        <v>1303600</v>
      </c>
      <c r="F133" s="11">
        <f>SUM(F121:F132)</f>
        <v>686200</v>
      </c>
      <c r="G133" s="11">
        <f>SUM(G121:G132)</f>
        <v>1989800</v>
      </c>
    </row>
    <row r="134" spans="1:7">
      <c r="A134" s="616">
        <v>123000000049</v>
      </c>
      <c r="B134" s="1994">
        <v>10</v>
      </c>
      <c r="C134" s="11" t="s">
        <v>654</v>
      </c>
      <c r="D134" s="1078" t="s">
        <v>259</v>
      </c>
      <c r="E134" s="9"/>
      <c r="F134" s="9"/>
      <c r="G134" s="9"/>
    </row>
    <row r="135" spans="1:7">
      <c r="A135" s="616"/>
      <c r="B135" s="1995"/>
      <c r="C135" s="9" t="s">
        <v>3612</v>
      </c>
      <c r="D135" s="1078"/>
      <c r="E135" s="9">
        <v>247887</v>
      </c>
      <c r="F135" s="9">
        <v>124416</v>
      </c>
      <c r="G135" s="9">
        <v>372303</v>
      </c>
    </row>
    <row r="136" spans="1:7">
      <c r="A136" s="616"/>
      <c r="B136" s="1995"/>
      <c r="C136" s="9" t="s">
        <v>3613</v>
      </c>
      <c r="D136" s="1078"/>
      <c r="E136" s="9">
        <v>223551</v>
      </c>
      <c r="F136" s="9">
        <v>106380</v>
      </c>
      <c r="G136" s="9">
        <v>329931</v>
      </c>
    </row>
    <row r="137" spans="1:7">
      <c r="A137" s="616"/>
      <c r="B137" s="1995"/>
      <c r="C137" s="9" t="s">
        <v>3614</v>
      </c>
      <c r="D137" s="1078"/>
      <c r="E137" s="9">
        <v>234612</v>
      </c>
      <c r="F137" s="9">
        <v>110709</v>
      </c>
      <c r="G137" s="9">
        <v>345321</v>
      </c>
    </row>
    <row r="138" spans="1:7">
      <c r="A138" s="616"/>
      <c r="B138" s="1995"/>
      <c r="C138" s="9" t="s">
        <v>3709</v>
      </c>
      <c r="D138" s="1078"/>
      <c r="E138" s="9">
        <v>237987</v>
      </c>
      <c r="F138" s="9">
        <v>117324</v>
      </c>
      <c r="G138" s="9">
        <v>355311</v>
      </c>
    </row>
    <row r="139" spans="1:7">
      <c r="A139" s="616"/>
      <c r="B139" s="1995"/>
      <c r="C139" s="9" t="s">
        <v>3616</v>
      </c>
      <c r="D139" s="1078"/>
      <c r="E139" s="9">
        <v>165438</v>
      </c>
      <c r="F139" s="9">
        <v>88992</v>
      </c>
      <c r="G139" s="9">
        <v>254430</v>
      </c>
    </row>
    <row r="140" spans="1:7">
      <c r="A140" s="616"/>
      <c r="B140" s="1995"/>
      <c r="C140" s="9" t="s">
        <v>3617</v>
      </c>
      <c r="D140" s="1078"/>
      <c r="E140" s="9">
        <v>162972</v>
      </c>
      <c r="F140" s="9">
        <v>82512</v>
      </c>
      <c r="G140" s="9">
        <v>245484</v>
      </c>
    </row>
    <row r="141" spans="1:7">
      <c r="A141" s="616"/>
      <c r="B141" s="1995"/>
      <c r="C141" s="9" t="s">
        <v>3618</v>
      </c>
      <c r="D141" s="1078"/>
      <c r="E141" s="9">
        <v>133290</v>
      </c>
      <c r="F141" s="9">
        <v>67599</v>
      </c>
      <c r="G141" s="9">
        <v>200889</v>
      </c>
    </row>
    <row r="142" spans="1:7">
      <c r="A142" s="616"/>
      <c r="B142" s="1995"/>
      <c r="C142" s="9" t="s">
        <v>3619</v>
      </c>
      <c r="D142" s="1078"/>
      <c r="E142" s="9">
        <v>208377</v>
      </c>
      <c r="F142" s="9">
        <v>105048</v>
      </c>
      <c r="G142" s="9">
        <v>313425</v>
      </c>
    </row>
    <row r="143" spans="1:7">
      <c r="A143" s="616"/>
      <c r="B143" s="1995"/>
      <c r="C143" s="9" t="s">
        <v>3620</v>
      </c>
      <c r="D143" s="1078"/>
      <c r="E143" s="9">
        <v>233901</v>
      </c>
      <c r="F143" s="9">
        <v>117603</v>
      </c>
      <c r="G143" s="9">
        <v>351504</v>
      </c>
    </row>
    <row r="144" spans="1:7">
      <c r="A144" s="616"/>
      <c r="B144" s="1995"/>
      <c r="C144" s="9" t="s">
        <v>3621</v>
      </c>
      <c r="D144" s="1078"/>
      <c r="E144" s="9">
        <v>213777</v>
      </c>
      <c r="F144" s="9">
        <v>108612</v>
      </c>
      <c r="G144" s="9">
        <v>322389</v>
      </c>
    </row>
    <row r="145" spans="1:7">
      <c r="A145" s="616"/>
      <c r="B145" s="1995"/>
      <c r="C145" s="9" t="s">
        <v>3622</v>
      </c>
      <c r="D145" s="1078"/>
      <c r="E145" s="9">
        <v>225288</v>
      </c>
      <c r="F145" s="9">
        <v>117648</v>
      </c>
      <c r="G145" s="9">
        <v>342936</v>
      </c>
    </row>
    <row r="146" spans="1:7">
      <c r="A146" s="616"/>
      <c r="B146" s="1995"/>
      <c r="C146" s="9" t="s">
        <v>3623</v>
      </c>
      <c r="D146" s="1078"/>
      <c r="E146" s="9">
        <v>241191</v>
      </c>
      <c r="F146" s="9">
        <v>122085</v>
      </c>
      <c r="G146" s="9">
        <v>363276</v>
      </c>
    </row>
    <row r="147" spans="1:7">
      <c r="A147" s="616"/>
      <c r="B147" s="1995"/>
      <c r="C147" s="11" t="s">
        <v>239</v>
      </c>
      <c r="D147" s="1078"/>
      <c r="E147" s="11">
        <f>SUM(E135:E146)</f>
        <v>2528271</v>
      </c>
      <c r="F147" s="11">
        <f>SUM(F135:F146)</f>
        <v>1268928</v>
      </c>
      <c r="G147" s="11">
        <f>SUM(G135:G146)</f>
        <v>3797199</v>
      </c>
    </row>
    <row r="148" spans="1:7">
      <c r="A148" s="616">
        <v>123000000054</v>
      </c>
      <c r="B148" s="1994">
        <v>11</v>
      </c>
      <c r="C148" s="11" t="s">
        <v>558</v>
      </c>
      <c r="D148" s="1078" t="s">
        <v>271</v>
      </c>
      <c r="E148" s="9"/>
      <c r="F148" s="9"/>
      <c r="G148" s="9"/>
    </row>
    <row r="149" spans="1:7">
      <c r="A149" s="616"/>
      <c r="B149" s="1995"/>
      <c r="C149" s="9" t="s">
        <v>3612</v>
      </c>
      <c r="D149" s="1078"/>
      <c r="E149" s="9">
        <v>3702720</v>
      </c>
      <c r="F149" s="9">
        <v>1370160</v>
      </c>
      <c r="G149" s="9">
        <v>5072880</v>
      </c>
    </row>
    <row r="150" spans="1:7">
      <c r="A150" s="616"/>
      <c r="B150" s="1995"/>
      <c r="C150" s="9" t="s">
        <v>3613</v>
      </c>
      <c r="D150" s="1078"/>
      <c r="E150" s="9">
        <v>4621164</v>
      </c>
      <c r="F150" s="9">
        <v>1648440</v>
      </c>
      <c r="G150" s="9">
        <v>6269604</v>
      </c>
    </row>
    <row r="151" spans="1:7">
      <c r="A151" s="616"/>
      <c r="B151" s="1995"/>
      <c r="C151" s="9" t="s">
        <v>3614</v>
      </c>
      <c r="D151" s="1078"/>
      <c r="E151" s="9">
        <v>4624404</v>
      </c>
      <c r="F151" s="9">
        <v>1591440</v>
      </c>
      <c r="G151" s="9">
        <v>6215844</v>
      </c>
    </row>
    <row r="152" spans="1:7">
      <c r="A152" s="616"/>
      <c r="B152" s="1995"/>
      <c r="C152" s="9" t="s">
        <v>3709</v>
      </c>
      <c r="D152" s="1078"/>
      <c r="E152" s="9">
        <v>3699160</v>
      </c>
      <c r="F152" s="9">
        <v>1274760</v>
      </c>
      <c r="G152" s="9">
        <v>4973920</v>
      </c>
    </row>
    <row r="153" spans="1:7">
      <c r="A153" s="616"/>
      <c r="B153" s="1995"/>
      <c r="C153" s="9" t="s">
        <v>3616</v>
      </c>
      <c r="D153" s="1078"/>
      <c r="E153" s="9">
        <v>3623565</v>
      </c>
      <c r="F153" s="9">
        <v>1248000</v>
      </c>
      <c r="G153" s="9">
        <v>4871565</v>
      </c>
    </row>
    <row r="154" spans="1:7">
      <c r="A154" s="616"/>
      <c r="B154" s="1995"/>
      <c r="C154" s="9" t="s">
        <v>3617</v>
      </c>
      <c r="D154" s="1078"/>
      <c r="E154" s="9">
        <v>3411610</v>
      </c>
      <c r="F154" s="9">
        <v>1152105</v>
      </c>
      <c r="G154" s="9">
        <v>4563715</v>
      </c>
    </row>
    <row r="155" spans="1:7">
      <c r="A155" s="616"/>
      <c r="B155" s="1995"/>
      <c r="C155" s="9" t="s">
        <v>3618</v>
      </c>
      <c r="D155" s="1078"/>
      <c r="E155" s="9">
        <v>3412138</v>
      </c>
      <c r="F155" s="9">
        <v>1213569</v>
      </c>
      <c r="G155" s="9">
        <v>4625707</v>
      </c>
    </row>
    <row r="156" spans="1:7">
      <c r="A156" s="616"/>
      <c r="B156" s="1995"/>
      <c r="C156" s="9" t="s">
        <v>3619</v>
      </c>
      <c r="D156" s="1078"/>
      <c r="E156" s="9">
        <v>3242880</v>
      </c>
      <c r="F156" s="9">
        <v>1132200</v>
      </c>
      <c r="G156" s="9">
        <v>4375080</v>
      </c>
    </row>
    <row r="157" spans="1:7">
      <c r="A157" s="616"/>
      <c r="B157" s="1995"/>
      <c r="C157" s="9" t="s">
        <v>3620</v>
      </c>
      <c r="D157" s="1078"/>
      <c r="E157" s="9">
        <v>1908720</v>
      </c>
      <c r="F157" s="9">
        <v>617040</v>
      </c>
      <c r="G157" s="9">
        <v>2525760</v>
      </c>
    </row>
    <row r="158" spans="1:7">
      <c r="A158" s="616"/>
      <c r="B158" s="1995"/>
      <c r="C158" s="9" t="s">
        <v>3621</v>
      </c>
      <c r="D158" s="1078"/>
      <c r="E158" s="9">
        <v>1350480</v>
      </c>
      <c r="F158" s="9">
        <v>412680</v>
      </c>
      <c r="G158" s="9">
        <v>1763160</v>
      </c>
    </row>
    <row r="159" spans="1:7">
      <c r="A159" s="616"/>
      <c r="B159" s="1995"/>
      <c r="C159" s="9" t="s">
        <v>3622</v>
      </c>
      <c r="D159" s="1078"/>
      <c r="E159" s="9">
        <v>3032160</v>
      </c>
      <c r="F159" s="9">
        <v>1019040</v>
      </c>
      <c r="G159" s="9">
        <v>4051200</v>
      </c>
    </row>
    <row r="160" spans="1:7">
      <c r="A160" s="616"/>
      <c r="B160" s="1995"/>
      <c r="C160" s="9" t="s">
        <v>3623</v>
      </c>
      <c r="D160" s="1078"/>
      <c r="E160" s="9">
        <v>3510240</v>
      </c>
      <c r="F160" s="9">
        <v>1141200</v>
      </c>
      <c r="G160" s="9">
        <v>4651440</v>
      </c>
    </row>
    <row r="161" spans="1:7">
      <c r="A161" s="616"/>
      <c r="B161" s="1995"/>
      <c r="C161" s="11" t="s">
        <v>239</v>
      </c>
      <c r="D161" s="1078"/>
      <c r="E161" s="11">
        <f>SUM(E149:E160)</f>
        <v>40139241</v>
      </c>
      <c r="F161" s="11">
        <f>SUM(F149:F160)</f>
        <v>13820634</v>
      </c>
      <c r="G161" s="11">
        <f>SUM(G149:G160)</f>
        <v>53959875</v>
      </c>
    </row>
    <row r="162" spans="1:7">
      <c r="A162" s="616">
        <v>123000000055</v>
      </c>
      <c r="B162" s="1994">
        <v>12</v>
      </c>
      <c r="C162" s="11" t="s">
        <v>3513</v>
      </c>
      <c r="D162" s="1078" t="s">
        <v>259</v>
      </c>
      <c r="E162" s="9"/>
      <c r="F162" s="9"/>
      <c r="G162" s="9"/>
    </row>
    <row r="163" spans="1:7">
      <c r="A163" s="616"/>
      <c r="B163" s="1995"/>
      <c r="C163" s="9" t="s">
        <v>3612</v>
      </c>
      <c r="D163" s="1078"/>
      <c r="E163" s="9">
        <v>281460</v>
      </c>
      <c r="F163" s="9">
        <v>99277</v>
      </c>
      <c r="G163" s="9">
        <v>380737</v>
      </c>
    </row>
    <row r="164" spans="1:7">
      <c r="A164" s="616"/>
      <c r="B164" s="1995"/>
      <c r="C164" s="9" t="s">
        <v>3613</v>
      </c>
      <c r="D164" s="1078"/>
      <c r="E164" s="9">
        <v>315960</v>
      </c>
      <c r="F164" s="9">
        <v>105945</v>
      </c>
      <c r="G164" s="9">
        <v>421905</v>
      </c>
    </row>
    <row r="165" spans="1:7">
      <c r="A165" s="616"/>
      <c r="B165" s="1995"/>
      <c r="C165" s="9" t="s">
        <v>3614</v>
      </c>
      <c r="D165" s="1078"/>
      <c r="E165" s="9">
        <v>299753</v>
      </c>
      <c r="F165" s="9">
        <v>102060</v>
      </c>
      <c r="G165" s="9">
        <v>401813</v>
      </c>
    </row>
    <row r="166" spans="1:7">
      <c r="A166" s="616"/>
      <c r="B166" s="1995"/>
      <c r="C166" s="9" t="s">
        <v>3709</v>
      </c>
      <c r="D166" s="1078"/>
      <c r="E166" s="9">
        <v>290168</v>
      </c>
      <c r="F166" s="9">
        <v>97470</v>
      </c>
      <c r="G166" s="9">
        <v>387638</v>
      </c>
    </row>
    <row r="167" spans="1:7">
      <c r="A167" s="616"/>
      <c r="B167" s="1995"/>
      <c r="C167" s="9" t="s">
        <v>3616</v>
      </c>
      <c r="D167" s="1078"/>
      <c r="E167" s="9">
        <v>157995</v>
      </c>
      <c r="F167" s="9">
        <v>53198</v>
      </c>
      <c r="G167" s="9">
        <v>211193</v>
      </c>
    </row>
    <row r="168" spans="1:7">
      <c r="A168" s="616"/>
      <c r="B168" s="1995"/>
      <c r="C168" s="9" t="s">
        <v>3617</v>
      </c>
      <c r="D168" s="1078"/>
      <c r="E168" s="9">
        <v>156975</v>
      </c>
      <c r="F168" s="9">
        <v>49537</v>
      </c>
      <c r="G168" s="9">
        <v>206512</v>
      </c>
    </row>
    <row r="169" spans="1:7">
      <c r="A169" s="616"/>
      <c r="B169" s="1995"/>
      <c r="C169" s="9" t="s">
        <v>3618</v>
      </c>
      <c r="D169" s="1078"/>
      <c r="E169" s="9">
        <v>249847</v>
      </c>
      <c r="F169" s="9">
        <v>85703</v>
      </c>
      <c r="G169" s="9">
        <v>335550</v>
      </c>
    </row>
    <row r="170" spans="1:7">
      <c r="A170" s="616"/>
      <c r="B170" s="1995"/>
      <c r="C170" s="9" t="s">
        <v>3619</v>
      </c>
      <c r="D170" s="1078"/>
      <c r="E170" s="9">
        <v>308835</v>
      </c>
      <c r="F170" s="9">
        <v>110580</v>
      </c>
      <c r="G170" s="9">
        <v>419415</v>
      </c>
    </row>
    <row r="171" spans="1:7">
      <c r="A171" s="616"/>
      <c r="B171" s="1995"/>
      <c r="C171" s="9" t="s">
        <v>3620</v>
      </c>
      <c r="D171" s="1078"/>
      <c r="E171" s="9">
        <v>320040</v>
      </c>
      <c r="F171" s="9">
        <v>109020</v>
      </c>
      <c r="G171" s="9">
        <v>429060</v>
      </c>
    </row>
    <row r="172" spans="1:7">
      <c r="A172" s="616"/>
      <c r="B172" s="1995"/>
      <c r="C172" s="9" t="s">
        <v>3621</v>
      </c>
      <c r="D172" s="1078"/>
      <c r="E172" s="9">
        <v>330848</v>
      </c>
      <c r="F172" s="9">
        <v>113887</v>
      </c>
      <c r="G172" s="9">
        <v>444735</v>
      </c>
    </row>
    <row r="173" spans="1:7">
      <c r="A173" s="616"/>
      <c r="B173" s="1995"/>
      <c r="C173" s="9" t="s">
        <v>3622</v>
      </c>
      <c r="D173" s="1078"/>
      <c r="E173" s="9">
        <v>300427</v>
      </c>
      <c r="F173" s="9">
        <v>105345</v>
      </c>
      <c r="G173" s="9">
        <v>405772</v>
      </c>
    </row>
    <row r="174" spans="1:7">
      <c r="A174" s="616"/>
      <c r="B174" s="1995"/>
      <c r="C174" s="9" t="s">
        <v>3623</v>
      </c>
      <c r="D174" s="1078"/>
      <c r="E174" s="9">
        <v>324240</v>
      </c>
      <c r="F174" s="9">
        <v>111907</v>
      </c>
      <c r="G174" s="9">
        <v>436147</v>
      </c>
    </row>
    <row r="175" spans="1:7">
      <c r="A175" s="616"/>
      <c r="B175" s="1995"/>
      <c r="C175" s="11" t="s">
        <v>239</v>
      </c>
      <c r="D175" s="1078"/>
      <c r="E175" s="11">
        <f>SUM(E163:E174)</f>
        <v>3336548</v>
      </c>
      <c r="F175" s="11">
        <f>SUM(F163:F174)</f>
        <v>1143929</v>
      </c>
      <c r="G175" s="11">
        <f>SUM(G163:G174)</f>
        <v>4480477</v>
      </c>
    </row>
    <row r="176" spans="1:7">
      <c r="A176" s="616">
        <v>123000000105</v>
      </c>
      <c r="B176" s="1994">
        <v>13</v>
      </c>
      <c r="C176" s="11" t="s">
        <v>3514</v>
      </c>
      <c r="D176" s="1078" t="s">
        <v>259</v>
      </c>
      <c r="E176" s="9"/>
      <c r="F176" s="9"/>
      <c r="G176" s="9"/>
    </row>
    <row r="177" spans="1:7">
      <c r="A177" s="616"/>
      <c r="B177" s="1995"/>
      <c r="C177" s="9" t="s">
        <v>3612</v>
      </c>
      <c r="D177" s="1078"/>
      <c r="E177" s="9">
        <v>163086</v>
      </c>
      <c r="F177" s="9">
        <v>69366</v>
      </c>
      <c r="G177" s="9">
        <v>232452</v>
      </c>
    </row>
    <row r="178" spans="1:7">
      <c r="A178" s="616"/>
      <c r="B178" s="1995"/>
      <c r="C178" s="9" t="s">
        <v>3613</v>
      </c>
      <c r="D178" s="1078"/>
      <c r="E178" s="9">
        <v>221994</v>
      </c>
      <c r="F178" s="9">
        <v>102498</v>
      </c>
      <c r="G178" s="9">
        <v>324492</v>
      </c>
    </row>
    <row r="179" spans="1:7">
      <c r="A179" s="616"/>
      <c r="B179" s="1995"/>
      <c r="C179" s="9" t="s">
        <v>3614</v>
      </c>
      <c r="D179" s="1078"/>
      <c r="E179" s="9">
        <v>227388</v>
      </c>
      <c r="F179" s="9">
        <v>124851</v>
      </c>
      <c r="G179" s="9">
        <v>352239</v>
      </c>
    </row>
    <row r="180" spans="1:7">
      <c r="A180" s="616"/>
      <c r="B180" s="1995"/>
      <c r="C180" s="9" t="s">
        <v>3709</v>
      </c>
      <c r="D180" s="1078"/>
      <c r="E180" s="9">
        <v>236187</v>
      </c>
      <c r="F180" s="9">
        <v>127701</v>
      </c>
      <c r="G180" s="9">
        <v>363888</v>
      </c>
    </row>
    <row r="181" spans="1:7">
      <c r="A181" s="616"/>
      <c r="B181" s="1995"/>
      <c r="C181" s="9" t="s">
        <v>3616</v>
      </c>
      <c r="D181" s="1078"/>
      <c r="E181" s="9">
        <v>215973</v>
      </c>
      <c r="F181" s="9">
        <v>114282</v>
      </c>
      <c r="G181" s="9">
        <v>330255</v>
      </c>
    </row>
    <row r="182" spans="1:7">
      <c r="A182" s="616"/>
      <c r="B182" s="1995"/>
      <c r="C182" s="9" t="s">
        <v>3617</v>
      </c>
      <c r="D182" s="1078"/>
      <c r="E182" s="9">
        <v>213273</v>
      </c>
      <c r="F182" s="9">
        <v>98127</v>
      </c>
      <c r="G182" s="9">
        <v>311400</v>
      </c>
    </row>
    <row r="183" spans="1:7">
      <c r="A183" s="616"/>
      <c r="B183" s="1995"/>
      <c r="C183" s="9" t="s">
        <v>3618</v>
      </c>
      <c r="D183" s="1078"/>
      <c r="E183" s="9">
        <v>220626</v>
      </c>
      <c r="F183" s="9">
        <v>101286</v>
      </c>
      <c r="G183" s="9">
        <v>321912</v>
      </c>
    </row>
    <row r="184" spans="1:7">
      <c r="A184" s="616"/>
      <c r="B184" s="1995"/>
      <c r="C184" s="9" t="s">
        <v>3619</v>
      </c>
      <c r="D184" s="1078"/>
      <c r="E184" s="9">
        <v>174141</v>
      </c>
      <c r="F184" s="9">
        <v>90387</v>
      </c>
      <c r="G184" s="9">
        <v>264528</v>
      </c>
    </row>
    <row r="185" spans="1:7">
      <c r="A185" s="616"/>
      <c r="B185" s="1995"/>
      <c r="C185" s="9" t="s">
        <v>3620</v>
      </c>
      <c r="D185" s="1078"/>
      <c r="E185" s="9">
        <v>145368</v>
      </c>
      <c r="F185" s="9">
        <v>81891</v>
      </c>
      <c r="G185" s="9">
        <v>227259</v>
      </c>
    </row>
    <row r="186" spans="1:7">
      <c r="A186" s="616"/>
      <c r="B186" s="1995"/>
      <c r="C186" s="9" t="s">
        <v>3621</v>
      </c>
      <c r="D186" s="1078"/>
      <c r="E186" s="9">
        <v>138960</v>
      </c>
      <c r="F186" s="9">
        <v>40941</v>
      </c>
      <c r="G186" s="9">
        <v>179901</v>
      </c>
    </row>
    <row r="187" spans="1:7">
      <c r="A187" s="616"/>
      <c r="B187" s="1995"/>
      <c r="C187" s="9" t="s">
        <v>3622</v>
      </c>
      <c r="D187" s="1078"/>
      <c r="E187" s="9">
        <v>132309</v>
      </c>
      <c r="F187" s="9">
        <v>41229</v>
      </c>
      <c r="G187" s="9">
        <v>173538</v>
      </c>
    </row>
    <row r="188" spans="1:7">
      <c r="A188" s="616"/>
      <c r="B188" s="1995"/>
      <c r="C188" s="9" t="s">
        <v>3623</v>
      </c>
      <c r="D188" s="1078"/>
      <c r="E188" s="9">
        <v>158292</v>
      </c>
      <c r="F188" s="9">
        <v>42858</v>
      </c>
      <c r="G188" s="9">
        <v>201150</v>
      </c>
    </row>
    <row r="189" spans="1:7">
      <c r="A189" s="616"/>
      <c r="B189" s="1995"/>
      <c r="C189" s="11" t="s">
        <v>239</v>
      </c>
      <c r="D189" s="1078"/>
      <c r="E189" s="11">
        <f>SUM(E177:E188)</f>
        <v>2247597</v>
      </c>
      <c r="F189" s="11">
        <f>SUM(F177:F188)</f>
        <v>1035417</v>
      </c>
      <c r="G189" s="11">
        <f>SUM(G177:G188)</f>
        <v>3283014</v>
      </c>
    </row>
    <row r="190" spans="1:7">
      <c r="A190" s="616">
        <v>123000000136</v>
      </c>
      <c r="B190" s="1994">
        <v>14</v>
      </c>
      <c r="C190" s="11" t="s">
        <v>560</v>
      </c>
      <c r="D190" s="1078" t="s">
        <v>271</v>
      </c>
      <c r="E190" s="9"/>
      <c r="F190" s="9"/>
      <c r="G190" s="9"/>
    </row>
    <row r="191" spans="1:7">
      <c r="A191" s="616"/>
      <c r="B191" s="1995"/>
      <c r="C191" s="9" t="s">
        <v>3617</v>
      </c>
      <c r="D191" s="1078"/>
      <c r="E191" s="9">
        <v>6720</v>
      </c>
      <c r="F191" s="9">
        <v>2400</v>
      </c>
      <c r="G191" s="9">
        <v>9120</v>
      </c>
    </row>
    <row r="192" spans="1:7">
      <c r="A192" s="616"/>
      <c r="B192" s="1995"/>
      <c r="C192" s="9" t="s">
        <v>3618</v>
      </c>
      <c r="D192" s="1078"/>
      <c r="E192" s="9">
        <v>72960</v>
      </c>
      <c r="F192" s="9">
        <v>36720</v>
      </c>
      <c r="G192" s="9">
        <v>109680</v>
      </c>
    </row>
    <row r="193" spans="1:7">
      <c r="A193" s="616"/>
      <c r="B193" s="1995"/>
      <c r="C193" s="9" t="s">
        <v>3619</v>
      </c>
      <c r="D193" s="1078"/>
      <c r="E193" s="9">
        <v>158880</v>
      </c>
      <c r="F193" s="9">
        <v>88080</v>
      </c>
      <c r="G193" s="9">
        <v>246960</v>
      </c>
    </row>
    <row r="194" spans="1:7">
      <c r="A194" s="616"/>
      <c r="B194" s="1995"/>
      <c r="C194" s="9" t="s">
        <v>3620</v>
      </c>
      <c r="D194" s="1078"/>
      <c r="E194" s="9">
        <v>4130400</v>
      </c>
      <c r="F194" s="9">
        <v>2212800</v>
      </c>
      <c r="G194" s="9">
        <v>6343200</v>
      </c>
    </row>
    <row r="195" spans="1:7">
      <c r="A195" s="616"/>
      <c r="B195" s="1995"/>
      <c r="C195" s="9" t="s">
        <v>3621</v>
      </c>
      <c r="D195" s="1078"/>
      <c r="E195" s="9">
        <v>4303649</v>
      </c>
      <c r="F195" s="9">
        <v>2252419</v>
      </c>
      <c r="G195" s="9">
        <v>6556068</v>
      </c>
    </row>
    <row r="196" spans="1:7">
      <c r="A196" s="616"/>
      <c r="B196" s="1995"/>
      <c r="C196" s="9" t="s">
        <v>3622</v>
      </c>
      <c r="D196" s="1078"/>
      <c r="E196" s="9">
        <v>7404615</v>
      </c>
      <c r="F196" s="9">
        <v>3838080</v>
      </c>
      <c r="G196" s="9">
        <v>11242695</v>
      </c>
    </row>
    <row r="197" spans="1:7">
      <c r="A197" s="616"/>
      <c r="B197" s="1995"/>
      <c r="C197" s="9" t="s">
        <v>3623</v>
      </c>
      <c r="D197" s="1078"/>
      <c r="E197" s="9">
        <v>9414600</v>
      </c>
      <c r="F197" s="9">
        <v>4849800</v>
      </c>
      <c r="G197" s="9">
        <v>14264400</v>
      </c>
    </row>
    <row r="198" spans="1:7">
      <c r="A198" s="616"/>
      <c r="B198" s="1995"/>
      <c r="C198" s="11" t="s">
        <v>239</v>
      </c>
      <c r="D198" s="1078"/>
      <c r="E198" s="11">
        <f>SUM(E191:E197)</f>
        <v>25491824</v>
      </c>
      <c r="F198" s="11">
        <f>SUM(F191:F197)</f>
        <v>13280299</v>
      </c>
      <c r="G198" s="11">
        <f>SUM(G191:G197)</f>
        <v>38772123</v>
      </c>
    </row>
    <row r="199" spans="1:7">
      <c r="A199" s="616">
        <v>123000000139</v>
      </c>
      <c r="B199" s="1994">
        <v>15</v>
      </c>
      <c r="C199" s="11" t="s">
        <v>3530</v>
      </c>
      <c r="D199" s="1078" t="s">
        <v>271</v>
      </c>
      <c r="E199" s="9"/>
      <c r="F199" s="9"/>
      <c r="G199" s="9"/>
    </row>
    <row r="200" spans="1:7">
      <c r="A200" s="616"/>
      <c r="B200" s="1995"/>
      <c r="C200" s="9" t="s">
        <v>3621</v>
      </c>
      <c r="D200" s="1078"/>
      <c r="E200" s="9">
        <v>20941000</v>
      </c>
      <c r="F200" s="9">
        <v>7064000</v>
      </c>
      <c r="G200" s="9">
        <v>28005000</v>
      </c>
    </row>
    <row r="201" spans="1:7">
      <c r="A201" s="616"/>
      <c r="B201" s="1995"/>
      <c r="C201" s="9" t="s">
        <v>3622</v>
      </c>
      <c r="D201" s="1078"/>
      <c r="E201" s="9">
        <v>21045000</v>
      </c>
      <c r="F201" s="9">
        <v>7156000</v>
      </c>
      <c r="G201" s="9">
        <v>28201000</v>
      </c>
    </row>
    <row r="202" spans="1:7">
      <c r="A202" s="616"/>
      <c r="B202" s="1995"/>
      <c r="C202" s="9" t="s">
        <v>3623</v>
      </c>
      <c r="D202" s="1078"/>
      <c r="E202" s="9">
        <v>25029000</v>
      </c>
      <c r="F202" s="9">
        <v>8295000</v>
      </c>
      <c r="G202" s="9">
        <v>33324000</v>
      </c>
    </row>
    <row r="203" spans="1:7">
      <c r="A203" s="616"/>
      <c r="B203" s="1995"/>
      <c r="C203" s="9" t="s">
        <v>3620</v>
      </c>
      <c r="D203" s="1078"/>
      <c r="E203" s="9">
        <v>8774000</v>
      </c>
      <c r="F203" s="9">
        <v>3004000</v>
      </c>
      <c r="G203" s="9">
        <v>11778000</v>
      </c>
    </row>
    <row r="204" spans="1:7">
      <c r="A204" s="616"/>
      <c r="B204" s="1995"/>
      <c r="C204" s="11" t="s">
        <v>239</v>
      </c>
      <c r="D204" s="1078"/>
      <c r="E204" s="11">
        <f>SUM(E200:E203)</f>
        <v>75789000</v>
      </c>
      <c r="F204" s="11">
        <f>SUM(F200:F203)</f>
        <v>25519000</v>
      </c>
      <c r="G204" s="11">
        <f>SUM(G200:G203)</f>
        <v>101308000</v>
      </c>
    </row>
    <row r="205" spans="1:7">
      <c r="A205" s="616">
        <v>124000000075</v>
      </c>
      <c r="B205" s="1994">
        <v>16</v>
      </c>
      <c r="C205" s="11" t="s">
        <v>708</v>
      </c>
      <c r="D205" s="1078" t="s">
        <v>259</v>
      </c>
      <c r="E205" s="9"/>
      <c r="F205" s="9"/>
      <c r="G205" s="9"/>
    </row>
    <row r="206" spans="1:7">
      <c r="A206" s="616"/>
      <c r="B206" s="1995"/>
      <c r="C206" s="9" t="s">
        <v>3612</v>
      </c>
      <c r="D206" s="1078"/>
      <c r="E206" s="9">
        <v>0</v>
      </c>
      <c r="F206" s="9">
        <v>0</v>
      </c>
      <c r="G206" s="9">
        <v>0</v>
      </c>
    </row>
    <row r="207" spans="1:7">
      <c r="A207" s="616"/>
      <c r="B207" s="1995"/>
      <c r="C207" s="9" t="s">
        <v>3613</v>
      </c>
      <c r="D207" s="1078"/>
      <c r="E207" s="9">
        <v>3600</v>
      </c>
      <c r="F207" s="9">
        <v>1200</v>
      </c>
      <c r="G207" s="9">
        <v>4800</v>
      </c>
    </row>
    <row r="208" spans="1:7">
      <c r="A208" s="616"/>
      <c r="B208" s="1995"/>
      <c r="C208" s="9" t="s">
        <v>3614</v>
      </c>
      <c r="D208" s="1078"/>
      <c r="E208" s="9">
        <v>5340</v>
      </c>
      <c r="F208" s="9">
        <v>1650</v>
      </c>
      <c r="G208" s="9">
        <v>6990</v>
      </c>
    </row>
    <row r="209" spans="1:7">
      <c r="A209" s="616"/>
      <c r="B209" s="1995"/>
      <c r="C209" s="9" t="s">
        <v>3709</v>
      </c>
      <c r="D209" s="1078"/>
      <c r="E209" s="9">
        <v>7860</v>
      </c>
      <c r="F209" s="9">
        <v>1950</v>
      </c>
      <c r="G209" s="9">
        <v>9810</v>
      </c>
    </row>
    <row r="210" spans="1:7">
      <c r="A210" s="616"/>
      <c r="B210" s="1995"/>
      <c r="C210" s="9" t="s">
        <v>3616</v>
      </c>
      <c r="D210" s="1078"/>
      <c r="E210" s="9">
        <v>17820</v>
      </c>
      <c r="F210" s="9">
        <v>2160</v>
      </c>
      <c r="G210" s="9">
        <v>19980</v>
      </c>
    </row>
    <row r="211" spans="1:7">
      <c r="A211" s="616"/>
      <c r="B211" s="1995"/>
      <c r="C211" s="9" t="s">
        <v>3617</v>
      </c>
      <c r="D211" s="1078"/>
      <c r="E211" s="9">
        <v>17940</v>
      </c>
      <c r="F211" s="9">
        <v>1650</v>
      </c>
      <c r="G211" s="9">
        <v>19590</v>
      </c>
    </row>
    <row r="212" spans="1:7">
      <c r="A212" s="616"/>
      <c r="B212" s="1995"/>
      <c r="C212" s="9" t="s">
        <v>3618</v>
      </c>
      <c r="D212" s="1078"/>
      <c r="E212" s="9">
        <v>9540</v>
      </c>
      <c r="F212" s="9">
        <v>1650</v>
      </c>
      <c r="G212" s="9">
        <v>11190</v>
      </c>
    </row>
    <row r="213" spans="1:7">
      <c r="A213" s="616"/>
      <c r="B213" s="1995"/>
      <c r="C213" s="9" t="s">
        <v>3619</v>
      </c>
      <c r="D213" s="1078"/>
      <c r="E213" s="9">
        <v>8520</v>
      </c>
      <c r="F213" s="9">
        <v>1620</v>
      </c>
      <c r="G213" s="9">
        <v>10140</v>
      </c>
    </row>
    <row r="214" spans="1:7">
      <c r="A214" s="616"/>
      <c r="B214" s="1995"/>
      <c r="C214" s="9" t="s">
        <v>3620</v>
      </c>
      <c r="D214" s="1078"/>
      <c r="E214" s="9">
        <v>5070</v>
      </c>
      <c r="F214" s="9">
        <v>1800</v>
      </c>
      <c r="G214" s="9">
        <v>6870</v>
      </c>
    </row>
    <row r="215" spans="1:7">
      <c r="A215" s="616"/>
      <c r="B215" s="1995"/>
      <c r="C215" s="9" t="s">
        <v>3621</v>
      </c>
      <c r="D215" s="1078"/>
      <c r="E215" s="9">
        <v>16200</v>
      </c>
      <c r="F215" s="9">
        <v>1680</v>
      </c>
      <c r="G215" s="9">
        <v>17880</v>
      </c>
    </row>
    <row r="216" spans="1:7">
      <c r="A216" s="616"/>
      <c r="B216" s="1995"/>
      <c r="C216" s="9" t="s">
        <v>3622</v>
      </c>
      <c r="D216" s="1078"/>
      <c r="E216" s="9">
        <v>14190</v>
      </c>
      <c r="F216" s="9">
        <v>1770</v>
      </c>
      <c r="G216" s="9">
        <v>15960</v>
      </c>
    </row>
    <row r="217" spans="1:7">
      <c r="A217" s="616"/>
      <c r="B217" s="1995"/>
      <c r="C217" s="9" t="s">
        <v>3623</v>
      </c>
      <c r="D217" s="1078"/>
      <c r="E217" s="9">
        <v>30240</v>
      </c>
      <c r="F217" s="9">
        <v>1890</v>
      </c>
      <c r="G217" s="9">
        <v>32130</v>
      </c>
    </row>
    <row r="218" spans="1:7">
      <c r="A218" s="616"/>
      <c r="B218" s="1995"/>
      <c r="C218" s="11" t="s">
        <v>239</v>
      </c>
      <c r="D218" s="1078"/>
      <c r="E218" s="11">
        <f>SUM(E206:E217)</f>
        <v>136320</v>
      </c>
      <c r="F218" s="11">
        <f>SUM(F206:F217)</f>
        <v>19020</v>
      </c>
      <c r="G218" s="11">
        <f>SUM(G206:G217)</f>
        <v>155340</v>
      </c>
    </row>
    <row r="219" spans="1:7">
      <c r="A219" s="616">
        <v>125000000044</v>
      </c>
      <c r="B219" s="1994">
        <v>17</v>
      </c>
      <c r="C219" s="11" t="s">
        <v>711</v>
      </c>
      <c r="D219" s="1078" t="s">
        <v>259</v>
      </c>
      <c r="E219" s="9"/>
      <c r="F219" s="9"/>
      <c r="G219" s="9"/>
    </row>
    <row r="220" spans="1:7">
      <c r="A220" s="616"/>
      <c r="B220" s="1995"/>
      <c r="C220" s="9" t="s">
        <v>3612</v>
      </c>
      <c r="D220" s="1078"/>
      <c r="E220" s="9">
        <v>1467</v>
      </c>
      <c r="F220" s="9">
        <v>441</v>
      </c>
      <c r="G220" s="9">
        <v>1908</v>
      </c>
    </row>
    <row r="221" spans="1:7">
      <c r="A221" s="616"/>
      <c r="B221" s="1995"/>
      <c r="C221" s="9" t="s">
        <v>3613</v>
      </c>
      <c r="D221" s="1078"/>
      <c r="E221" s="9">
        <v>1215</v>
      </c>
      <c r="F221" s="9">
        <v>414</v>
      </c>
      <c r="G221" s="9">
        <v>1629</v>
      </c>
    </row>
    <row r="222" spans="1:7">
      <c r="A222" s="616"/>
      <c r="B222" s="1995"/>
      <c r="C222" s="9" t="s">
        <v>3614</v>
      </c>
      <c r="D222" s="1078"/>
      <c r="E222" s="9">
        <v>1431</v>
      </c>
      <c r="F222" s="9">
        <v>369</v>
      </c>
      <c r="G222" s="9">
        <v>1800</v>
      </c>
    </row>
    <row r="223" spans="1:7">
      <c r="A223" s="616"/>
      <c r="B223" s="1995"/>
      <c r="C223" s="9" t="s">
        <v>3709</v>
      </c>
      <c r="D223" s="1078"/>
      <c r="E223" s="9">
        <v>1836</v>
      </c>
      <c r="F223" s="9">
        <v>504</v>
      </c>
      <c r="G223" s="9">
        <v>2340</v>
      </c>
    </row>
    <row r="224" spans="1:7">
      <c r="A224" s="616"/>
      <c r="B224" s="1995"/>
      <c r="C224" s="9" t="s">
        <v>3616</v>
      </c>
      <c r="D224" s="1078"/>
      <c r="E224" s="9">
        <v>11088</v>
      </c>
      <c r="F224" s="9">
        <v>549</v>
      </c>
      <c r="G224" s="9">
        <v>11637</v>
      </c>
    </row>
    <row r="225" spans="1:7">
      <c r="A225" s="616"/>
      <c r="B225" s="1995"/>
      <c r="C225" s="9" t="s">
        <v>3617</v>
      </c>
      <c r="D225" s="1078"/>
      <c r="E225" s="9">
        <v>1269</v>
      </c>
      <c r="F225" s="9">
        <v>441</v>
      </c>
      <c r="G225" s="9">
        <v>1710</v>
      </c>
    </row>
    <row r="226" spans="1:7">
      <c r="A226" s="616"/>
      <c r="B226" s="1995"/>
      <c r="C226" s="9" t="s">
        <v>3618</v>
      </c>
      <c r="D226" s="1078"/>
      <c r="E226" s="9">
        <v>5274</v>
      </c>
      <c r="F226" s="9">
        <v>864</v>
      </c>
      <c r="G226" s="9">
        <v>6138</v>
      </c>
    </row>
    <row r="227" spans="1:7">
      <c r="A227" s="616"/>
      <c r="B227" s="1995"/>
      <c r="C227" s="9" t="s">
        <v>3619</v>
      </c>
      <c r="D227" s="1078"/>
      <c r="E227" s="9">
        <v>5679</v>
      </c>
      <c r="F227" s="9">
        <v>1089</v>
      </c>
      <c r="G227" s="9">
        <v>6768</v>
      </c>
    </row>
    <row r="228" spans="1:7">
      <c r="A228" s="616"/>
      <c r="B228" s="1995"/>
      <c r="C228" s="9" t="s">
        <v>3620</v>
      </c>
      <c r="D228" s="1078"/>
      <c r="E228" s="9">
        <v>3627</v>
      </c>
      <c r="F228" s="9">
        <v>1368</v>
      </c>
      <c r="G228" s="9">
        <v>4995</v>
      </c>
    </row>
    <row r="229" spans="1:7">
      <c r="A229" s="616"/>
      <c r="B229" s="1995"/>
      <c r="C229" s="9" t="s">
        <v>3621</v>
      </c>
      <c r="D229" s="1078"/>
      <c r="E229" s="9">
        <v>3141</v>
      </c>
      <c r="F229" s="9">
        <v>1116</v>
      </c>
      <c r="G229" s="9">
        <v>4257</v>
      </c>
    </row>
    <row r="230" spans="1:7">
      <c r="A230" s="616"/>
      <c r="B230" s="1995"/>
      <c r="C230" s="9" t="s">
        <v>3622</v>
      </c>
      <c r="D230" s="1078"/>
      <c r="E230" s="9">
        <v>2817</v>
      </c>
      <c r="F230" s="9">
        <v>981</v>
      </c>
      <c r="G230" s="9">
        <v>3798</v>
      </c>
    </row>
    <row r="231" spans="1:7">
      <c r="A231" s="616"/>
      <c r="B231" s="1995"/>
      <c r="C231" s="9" t="s">
        <v>3623</v>
      </c>
      <c r="D231" s="1078"/>
      <c r="E231" s="9">
        <v>2736</v>
      </c>
      <c r="F231" s="9">
        <v>945</v>
      </c>
      <c r="G231" s="9">
        <v>3681</v>
      </c>
    </row>
    <row r="232" spans="1:7">
      <c r="A232" s="616"/>
      <c r="B232" s="1995"/>
      <c r="C232" s="9" t="s">
        <v>239</v>
      </c>
      <c r="D232" s="1078"/>
      <c r="E232" s="9">
        <f>SUM(E220:E231)</f>
        <v>41580</v>
      </c>
      <c r="F232" s="9">
        <f>SUM(F220:F231)</f>
        <v>9081</v>
      </c>
      <c r="G232" s="9">
        <f>SUM(G220:G231)</f>
        <v>50661</v>
      </c>
    </row>
    <row r="233" spans="1:7">
      <c r="A233" s="616">
        <v>125000000047</v>
      </c>
      <c r="B233" s="1994">
        <v>18</v>
      </c>
      <c r="C233" s="11" t="s">
        <v>708</v>
      </c>
      <c r="D233" s="1078" t="s">
        <v>259</v>
      </c>
      <c r="E233" s="9"/>
      <c r="F233" s="9"/>
      <c r="G233" s="9"/>
    </row>
    <row r="234" spans="1:7">
      <c r="A234" s="616"/>
      <c r="B234" s="1995"/>
      <c r="C234" s="9" t="s">
        <v>3621</v>
      </c>
      <c r="D234" s="1078"/>
      <c r="E234" s="9">
        <v>1440</v>
      </c>
      <c r="F234" s="9">
        <v>840</v>
      </c>
      <c r="G234" s="9">
        <v>2280</v>
      </c>
    </row>
    <row r="235" spans="1:7">
      <c r="A235" s="616"/>
      <c r="B235" s="1995"/>
      <c r="C235" s="9" t="s">
        <v>3622</v>
      </c>
      <c r="D235" s="1078"/>
      <c r="E235" s="9">
        <v>480</v>
      </c>
      <c r="F235" s="9">
        <v>480</v>
      </c>
      <c r="G235" s="9">
        <v>960</v>
      </c>
    </row>
    <row r="236" spans="1:7">
      <c r="A236" s="616"/>
      <c r="B236" s="1995"/>
      <c r="C236" s="9" t="s">
        <v>3623</v>
      </c>
      <c r="D236" s="1078"/>
      <c r="E236" s="9">
        <v>1770</v>
      </c>
      <c r="F236" s="9">
        <v>1020</v>
      </c>
      <c r="G236" s="9">
        <v>2790</v>
      </c>
    </row>
    <row r="237" spans="1:7">
      <c r="A237" s="616"/>
      <c r="B237" s="1995"/>
      <c r="C237" s="11" t="s">
        <v>239</v>
      </c>
      <c r="D237" s="1078"/>
      <c r="E237" s="11">
        <f>SUM(E234:E236)</f>
        <v>3690</v>
      </c>
      <c r="F237" s="11">
        <f>SUM(F234:F236)</f>
        <v>2340</v>
      </c>
      <c r="G237" s="11">
        <f>SUM(G234:G236)</f>
        <v>6030</v>
      </c>
    </row>
    <row r="238" spans="1:7">
      <c r="A238" s="616">
        <v>125000000048</v>
      </c>
      <c r="B238" s="1994">
        <v>19</v>
      </c>
      <c r="C238" s="11" t="s">
        <v>658</v>
      </c>
      <c r="D238" s="1078" t="s">
        <v>259</v>
      </c>
      <c r="E238" s="9"/>
      <c r="F238" s="9"/>
      <c r="G238" s="9"/>
    </row>
    <row r="239" spans="1:7">
      <c r="A239" s="616"/>
      <c r="B239" s="1995"/>
      <c r="C239" s="9" t="s">
        <v>3622</v>
      </c>
      <c r="D239" s="1078"/>
      <c r="E239" s="9">
        <v>4500</v>
      </c>
      <c r="F239" s="9">
        <v>1740</v>
      </c>
      <c r="G239" s="9">
        <v>6240</v>
      </c>
    </row>
    <row r="240" spans="1:7">
      <c r="A240" s="616"/>
      <c r="B240" s="1995"/>
      <c r="C240" s="9" t="s">
        <v>3623</v>
      </c>
      <c r="D240" s="1078"/>
      <c r="E240" s="9">
        <v>46950</v>
      </c>
      <c r="F240" s="9">
        <v>3330</v>
      </c>
      <c r="G240" s="9">
        <v>50280</v>
      </c>
    </row>
    <row r="241" spans="1:7">
      <c r="A241" s="616"/>
      <c r="B241" s="1995"/>
      <c r="C241" s="11" t="s">
        <v>239</v>
      </c>
      <c r="D241" s="1078"/>
      <c r="E241" s="11">
        <f>SUM(E239:E240)</f>
        <v>51450</v>
      </c>
      <c r="F241" s="11">
        <f>SUM(F239:F240)</f>
        <v>5070</v>
      </c>
      <c r="G241" s="11">
        <f>SUM(G239:G240)</f>
        <v>56520</v>
      </c>
    </row>
    <row r="242" spans="1:7">
      <c r="A242" s="616">
        <v>126000000034</v>
      </c>
      <c r="B242" s="1994">
        <v>20</v>
      </c>
      <c r="C242" s="11" t="s">
        <v>626</v>
      </c>
      <c r="D242" s="1078" t="s">
        <v>259</v>
      </c>
      <c r="E242" s="9"/>
      <c r="F242" s="9"/>
      <c r="G242" s="9"/>
    </row>
    <row r="243" spans="1:7">
      <c r="A243" s="616"/>
      <c r="B243" s="1995"/>
      <c r="C243" s="9" t="s">
        <v>3612</v>
      </c>
      <c r="D243" s="1078"/>
      <c r="E243" s="9">
        <v>839520</v>
      </c>
      <c r="F243" s="9">
        <v>375120</v>
      </c>
      <c r="G243" s="9">
        <v>1214640</v>
      </c>
    </row>
    <row r="244" spans="1:7">
      <c r="A244" s="616"/>
      <c r="B244" s="1995"/>
      <c r="C244" s="9" t="s">
        <v>3613</v>
      </c>
      <c r="D244" s="1078"/>
      <c r="E244" s="9">
        <v>972390</v>
      </c>
      <c r="F244" s="9">
        <v>455730</v>
      </c>
      <c r="G244" s="9">
        <v>1428120</v>
      </c>
    </row>
    <row r="245" spans="1:7">
      <c r="A245" s="616"/>
      <c r="B245" s="1995"/>
      <c r="C245" s="9" t="s">
        <v>3614</v>
      </c>
      <c r="D245" s="1078"/>
      <c r="E245" s="9">
        <v>871530</v>
      </c>
      <c r="F245" s="9">
        <v>419430</v>
      </c>
      <c r="G245" s="9">
        <v>1290960</v>
      </c>
    </row>
    <row r="246" spans="1:7">
      <c r="A246" s="616"/>
      <c r="B246" s="1995"/>
      <c r="C246" s="9" t="s">
        <v>3709</v>
      </c>
      <c r="D246" s="1078"/>
      <c r="E246" s="9">
        <v>910710</v>
      </c>
      <c r="F246" s="9">
        <v>428520</v>
      </c>
      <c r="G246" s="9">
        <v>1339230</v>
      </c>
    </row>
    <row r="247" spans="1:7">
      <c r="A247" s="616"/>
      <c r="B247" s="1995"/>
      <c r="C247" s="9" t="s">
        <v>3616</v>
      </c>
      <c r="D247" s="1078"/>
      <c r="E247" s="9">
        <v>787530</v>
      </c>
      <c r="F247" s="9">
        <v>352440</v>
      </c>
      <c r="G247" s="9">
        <v>1139970</v>
      </c>
    </row>
    <row r="248" spans="1:7">
      <c r="A248" s="616"/>
      <c r="B248" s="1995"/>
      <c r="C248" s="9" t="s">
        <v>3617</v>
      </c>
      <c r="D248" s="1078"/>
      <c r="E248" s="9">
        <v>739080</v>
      </c>
      <c r="F248" s="9">
        <v>335760</v>
      </c>
      <c r="G248" s="9">
        <v>1074840</v>
      </c>
    </row>
    <row r="249" spans="1:7">
      <c r="A249" s="616"/>
      <c r="B249" s="1995"/>
      <c r="C249" s="9" t="s">
        <v>3618</v>
      </c>
      <c r="D249" s="1078"/>
      <c r="E249" s="9">
        <v>719220</v>
      </c>
      <c r="F249" s="9">
        <v>302790</v>
      </c>
      <c r="G249" s="9">
        <v>1022010</v>
      </c>
    </row>
    <row r="250" spans="1:7">
      <c r="A250" s="616"/>
      <c r="B250" s="1995"/>
      <c r="C250" s="9" t="s">
        <v>3619</v>
      </c>
      <c r="D250" s="1078"/>
      <c r="E250" s="9">
        <v>425490</v>
      </c>
      <c r="F250" s="9">
        <v>155580</v>
      </c>
      <c r="G250" s="9">
        <v>581070</v>
      </c>
    </row>
    <row r="251" spans="1:7">
      <c r="A251" s="616"/>
      <c r="B251" s="1995"/>
      <c r="C251" s="9" t="s">
        <v>3620</v>
      </c>
      <c r="D251" s="1078"/>
      <c r="E251" s="9">
        <v>359790</v>
      </c>
      <c r="F251" s="9">
        <v>133740</v>
      </c>
      <c r="G251" s="9">
        <v>493530</v>
      </c>
    </row>
    <row r="252" spans="1:7">
      <c r="A252" s="616"/>
      <c r="B252" s="1995"/>
      <c r="C252" s="9" t="s">
        <v>3621</v>
      </c>
      <c r="D252" s="1078"/>
      <c r="E252" s="9">
        <v>348930</v>
      </c>
      <c r="F252" s="9">
        <v>153060</v>
      </c>
      <c r="G252" s="9">
        <v>501990</v>
      </c>
    </row>
    <row r="253" spans="1:7">
      <c r="A253" s="616"/>
      <c r="B253" s="1995"/>
      <c r="C253" s="9" t="s">
        <v>3622</v>
      </c>
      <c r="D253" s="1078"/>
      <c r="E253" s="9">
        <v>389220</v>
      </c>
      <c r="F253" s="9">
        <v>189510</v>
      </c>
      <c r="G253" s="9">
        <v>578730</v>
      </c>
    </row>
    <row r="254" spans="1:7">
      <c r="A254" s="616"/>
      <c r="B254" s="1995"/>
      <c r="C254" s="9" t="s">
        <v>3623</v>
      </c>
      <c r="D254" s="1078"/>
      <c r="E254" s="9">
        <v>395520</v>
      </c>
      <c r="F254" s="9">
        <v>181740</v>
      </c>
      <c r="G254" s="9">
        <v>577260</v>
      </c>
    </row>
    <row r="255" spans="1:7">
      <c r="A255" s="616"/>
      <c r="B255" s="1995"/>
      <c r="C255" s="11" t="s">
        <v>239</v>
      </c>
      <c r="D255" s="1078"/>
      <c r="E255" s="11">
        <f>SUM(E243:E254)</f>
        <v>7758930</v>
      </c>
      <c r="F255" s="11">
        <f>SUM(F243:F254)</f>
        <v>3483420</v>
      </c>
      <c r="G255" s="11">
        <f>SUM(G243:G254)</f>
        <v>11242350</v>
      </c>
    </row>
    <row r="256" spans="1:7">
      <c r="A256" s="616">
        <v>126000000047</v>
      </c>
      <c r="B256" s="1994">
        <v>21</v>
      </c>
      <c r="C256" s="11" t="s">
        <v>640</v>
      </c>
      <c r="D256" s="1078" t="s">
        <v>259</v>
      </c>
      <c r="E256" s="9"/>
      <c r="F256" s="9"/>
      <c r="G256" s="9"/>
    </row>
    <row r="257" spans="1:7">
      <c r="A257" s="616"/>
      <c r="B257" s="1995"/>
      <c r="C257" s="9" t="s">
        <v>3612</v>
      </c>
      <c r="D257" s="1078"/>
      <c r="E257" s="9">
        <v>22815</v>
      </c>
      <c r="F257" s="9">
        <v>6135</v>
      </c>
      <c r="G257" s="9">
        <v>28950</v>
      </c>
    </row>
    <row r="258" spans="1:7">
      <c r="A258" s="616"/>
      <c r="B258" s="1995"/>
      <c r="C258" s="9" t="s">
        <v>3613</v>
      </c>
      <c r="D258" s="1078"/>
      <c r="E258" s="9">
        <v>21870</v>
      </c>
      <c r="F258" s="9">
        <v>4905</v>
      </c>
      <c r="G258" s="9">
        <v>26775</v>
      </c>
    </row>
    <row r="259" spans="1:7">
      <c r="A259" s="616"/>
      <c r="B259" s="1995"/>
      <c r="C259" s="9" t="s">
        <v>3614</v>
      </c>
      <c r="D259" s="1078"/>
      <c r="E259" s="9">
        <v>26880</v>
      </c>
      <c r="F259" s="9">
        <v>6810</v>
      </c>
      <c r="G259" s="9">
        <v>33690</v>
      </c>
    </row>
    <row r="260" spans="1:7">
      <c r="A260" s="616"/>
      <c r="B260" s="1995"/>
      <c r="C260" s="9" t="s">
        <v>3709</v>
      </c>
      <c r="D260" s="1078"/>
      <c r="E260" s="9">
        <v>18480</v>
      </c>
      <c r="F260" s="9">
        <v>5325</v>
      </c>
      <c r="G260" s="9">
        <v>23805</v>
      </c>
    </row>
    <row r="261" spans="1:7">
      <c r="A261" s="616"/>
      <c r="B261" s="1995"/>
      <c r="C261" s="9" t="s">
        <v>3616</v>
      </c>
      <c r="D261" s="1078"/>
      <c r="E261" s="9">
        <v>20760</v>
      </c>
      <c r="F261" s="9">
        <v>6015</v>
      </c>
      <c r="G261" s="9">
        <v>26775</v>
      </c>
    </row>
    <row r="262" spans="1:7">
      <c r="A262" s="616"/>
      <c r="B262" s="1995"/>
      <c r="C262" s="9" t="s">
        <v>3617</v>
      </c>
      <c r="D262" s="1078"/>
      <c r="E262" s="9">
        <v>23580</v>
      </c>
      <c r="F262" s="9">
        <v>6855</v>
      </c>
      <c r="G262" s="9">
        <v>30435</v>
      </c>
    </row>
    <row r="263" spans="1:7">
      <c r="A263" s="616"/>
      <c r="B263" s="1995"/>
      <c r="C263" s="9" t="s">
        <v>3618</v>
      </c>
      <c r="D263" s="1078"/>
      <c r="E263" s="9">
        <v>17700</v>
      </c>
      <c r="F263" s="9">
        <v>4905</v>
      </c>
      <c r="G263" s="9">
        <v>22605</v>
      </c>
    </row>
    <row r="264" spans="1:7">
      <c r="A264" s="616"/>
      <c r="B264" s="1995"/>
      <c r="C264" s="9" t="s">
        <v>3619</v>
      </c>
      <c r="D264" s="1078"/>
      <c r="E264" s="9">
        <v>12690</v>
      </c>
      <c r="F264" s="9">
        <v>3180</v>
      </c>
      <c r="G264" s="9">
        <v>15870</v>
      </c>
    </row>
    <row r="265" spans="1:7">
      <c r="A265" s="616"/>
      <c r="B265" s="1995"/>
      <c r="C265" s="9" t="s">
        <v>3620</v>
      </c>
      <c r="D265" s="1078"/>
      <c r="E265" s="9">
        <v>10035</v>
      </c>
      <c r="F265" s="9">
        <v>2625</v>
      </c>
      <c r="G265" s="9">
        <v>12660</v>
      </c>
    </row>
    <row r="266" spans="1:7">
      <c r="A266" s="616"/>
      <c r="B266" s="1995"/>
      <c r="C266" s="9" t="s">
        <v>3621</v>
      </c>
      <c r="D266" s="1078"/>
      <c r="E266" s="9">
        <v>14790</v>
      </c>
      <c r="F266" s="9">
        <v>3585</v>
      </c>
      <c r="G266" s="9">
        <v>18375</v>
      </c>
    </row>
    <row r="267" spans="1:7">
      <c r="A267" s="616"/>
      <c r="B267" s="1995"/>
      <c r="C267" s="9" t="s">
        <v>3622</v>
      </c>
      <c r="D267" s="1078"/>
      <c r="E267" s="9">
        <v>39765</v>
      </c>
      <c r="F267" s="9">
        <v>3585</v>
      </c>
      <c r="G267" s="9">
        <v>43350</v>
      </c>
    </row>
    <row r="268" spans="1:7">
      <c r="A268" s="616"/>
      <c r="B268" s="1995"/>
      <c r="C268" s="9" t="s">
        <v>3623</v>
      </c>
      <c r="D268" s="1078"/>
      <c r="E268" s="9">
        <v>26865</v>
      </c>
      <c r="F268" s="9">
        <v>3555</v>
      </c>
      <c r="G268" s="9">
        <v>30420</v>
      </c>
    </row>
    <row r="269" spans="1:7">
      <c r="A269" s="616"/>
      <c r="B269" s="1995"/>
      <c r="C269" s="11" t="s">
        <v>239</v>
      </c>
      <c r="D269" s="1078"/>
      <c r="E269" s="11">
        <f>SUM(E257:E268)</f>
        <v>256230</v>
      </c>
      <c r="F269" s="11">
        <f>SUM(F257:F268)</f>
        <v>57480</v>
      </c>
      <c r="G269" s="11">
        <f>SUM(G257:G268)</f>
        <v>313710</v>
      </c>
    </row>
    <row r="270" spans="1:7">
      <c r="A270" s="616">
        <v>127000000001</v>
      </c>
      <c r="B270" s="1994">
        <v>22</v>
      </c>
      <c r="C270" s="11" t="s">
        <v>606</v>
      </c>
      <c r="D270" s="1078" t="s">
        <v>271</v>
      </c>
      <c r="E270" s="9"/>
      <c r="F270" s="9"/>
      <c r="G270" s="9"/>
    </row>
    <row r="271" spans="1:7">
      <c r="A271" s="616"/>
      <c r="B271" s="1995"/>
      <c r="C271" s="9" t="s">
        <v>3612</v>
      </c>
      <c r="D271" s="1078"/>
      <c r="E271" s="9">
        <v>3873720</v>
      </c>
      <c r="F271" s="9">
        <v>1271160</v>
      </c>
      <c r="G271" s="9">
        <v>5144880</v>
      </c>
    </row>
    <row r="272" spans="1:7">
      <c r="A272" s="616"/>
      <c r="B272" s="1995"/>
      <c r="C272" s="9" t="s">
        <v>3613</v>
      </c>
      <c r="D272" s="1078"/>
      <c r="E272" s="9">
        <v>3720840</v>
      </c>
      <c r="F272" s="9">
        <v>1205880</v>
      </c>
      <c r="G272" s="9">
        <v>4926720</v>
      </c>
    </row>
    <row r="273" spans="1:7">
      <c r="A273" s="616"/>
      <c r="B273" s="1995"/>
      <c r="C273" s="9" t="s">
        <v>3614</v>
      </c>
      <c r="D273" s="1078"/>
      <c r="E273" s="9">
        <v>3325320</v>
      </c>
      <c r="F273" s="9">
        <v>1109040</v>
      </c>
      <c r="G273" s="9">
        <v>4434360</v>
      </c>
    </row>
    <row r="274" spans="1:7">
      <c r="A274" s="616"/>
      <c r="B274" s="1995"/>
      <c r="C274" s="9" t="s">
        <v>3709</v>
      </c>
      <c r="D274" s="1078"/>
      <c r="E274" s="9">
        <v>3945360</v>
      </c>
      <c r="F274" s="9">
        <v>1211280</v>
      </c>
      <c r="G274" s="9">
        <v>5156640</v>
      </c>
    </row>
    <row r="275" spans="1:7">
      <c r="A275" s="616"/>
      <c r="B275" s="1995"/>
      <c r="C275" s="9" t="s">
        <v>3616</v>
      </c>
      <c r="D275" s="1078"/>
      <c r="E275" s="9">
        <v>4075320</v>
      </c>
      <c r="F275" s="9">
        <v>1285440</v>
      </c>
      <c r="G275" s="9">
        <v>5360760</v>
      </c>
    </row>
    <row r="276" spans="1:7">
      <c r="A276" s="616"/>
      <c r="B276" s="1995"/>
      <c r="C276" s="9" t="s">
        <v>3617</v>
      </c>
      <c r="D276" s="1078"/>
      <c r="E276" s="9">
        <v>3727320</v>
      </c>
      <c r="F276" s="9">
        <v>1149360</v>
      </c>
      <c r="G276" s="9">
        <v>4876680</v>
      </c>
    </row>
    <row r="277" spans="1:7">
      <c r="A277" s="616"/>
      <c r="B277" s="1995"/>
      <c r="C277" s="9" t="s">
        <v>3618</v>
      </c>
      <c r="D277" s="1078"/>
      <c r="E277" s="9">
        <v>3800280</v>
      </c>
      <c r="F277" s="9">
        <v>1265520</v>
      </c>
      <c r="G277" s="9">
        <v>5065800</v>
      </c>
    </row>
    <row r="278" spans="1:7">
      <c r="A278" s="616"/>
      <c r="B278" s="1995"/>
      <c r="C278" s="9" t="s">
        <v>3619</v>
      </c>
      <c r="D278" s="1078"/>
      <c r="E278" s="9">
        <v>3731520</v>
      </c>
      <c r="F278" s="9">
        <v>1251240</v>
      </c>
      <c r="G278" s="9">
        <v>4982760</v>
      </c>
    </row>
    <row r="279" spans="1:7">
      <c r="A279" s="616"/>
      <c r="B279" s="1995"/>
      <c r="C279" s="9" t="s">
        <v>3620</v>
      </c>
      <c r="D279" s="1078"/>
      <c r="E279" s="9">
        <v>3853920</v>
      </c>
      <c r="F279" s="9">
        <v>1372920</v>
      </c>
      <c r="G279" s="9">
        <v>5226840</v>
      </c>
    </row>
    <row r="280" spans="1:7">
      <c r="A280" s="616"/>
      <c r="B280" s="1995"/>
      <c r="C280" s="9" t="s">
        <v>3621</v>
      </c>
      <c r="D280" s="1078"/>
      <c r="E280" s="9">
        <v>3822600</v>
      </c>
      <c r="F280" s="9">
        <v>1250040</v>
      </c>
      <c r="G280" s="9">
        <v>5072640</v>
      </c>
    </row>
    <row r="281" spans="1:7">
      <c r="A281" s="616"/>
      <c r="B281" s="1995"/>
      <c r="C281" s="9" t="s">
        <v>3622</v>
      </c>
      <c r="D281" s="1078"/>
      <c r="E281" s="9">
        <v>3780600</v>
      </c>
      <c r="F281" s="9">
        <v>1242120</v>
      </c>
      <c r="G281" s="9">
        <v>5022720</v>
      </c>
    </row>
    <row r="282" spans="1:7">
      <c r="A282" s="616"/>
      <c r="B282" s="1995"/>
      <c r="C282" s="9" t="s">
        <v>3623</v>
      </c>
      <c r="D282" s="1078"/>
      <c r="E282" s="9">
        <v>3709680</v>
      </c>
      <c r="F282" s="9">
        <v>1307760</v>
      </c>
      <c r="G282" s="9">
        <v>5017440</v>
      </c>
    </row>
    <row r="283" spans="1:7">
      <c r="A283" s="616"/>
      <c r="B283" s="1995"/>
      <c r="C283" s="11" t="s">
        <v>239</v>
      </c>
      <c r="D283" s="1078"/>
      <c r="E283" s="11">
        <f>SUM(E271:E282)</f>
        <v>45366480</v>
      </c>
      <c r="F283" s="11">
        <f>SUM(F271:F282)</f>
        <v>14921760</v>
      </c>
      <c r="G283" s="11">
        <f>SUM(G271:G282)</f>
        <v>60288240</v>
      </c>
    </row>
    <row r="284" spans="1:7">
      <c r="A284" s="616">
        <v>129000000006</v>
      </c>
      <c r="B284" s="1994">
        <v>23</v>
      </c>
      <c r="C284" s="11" t="s">
        <v>714</v>
      </c>
      <c r="D284" s="1078" t="s">
        <v>259</v>
      </c>
      <c r="E284" s="9"/>
      <c r="F284" s="9"/>
      <c r="G284" s="9"/>
    </row>
    <row r="285" spans="1:7">
      <c r="A285" s="616"/>
      <c r="B285" s="1995"/>
      <c r="C285" s="9" t="s">
        <v>3617</v>
      </c>
      <c r="D285" s="1078"/>
      <c r="E285" s="9">
        <f t="shared" ref="E285" si="0">+F285+G285</f>
        <v>0</v>
      </c>
      <c r="F285" s="9">
        <v>0</v>
      </c>
      <c r="G285" s="9">
        <v>0</v>
      </c>
    </row>
    <row r="286" spans="1:7">
      <c r="A286" s="616"/>
      <c r="B286" s="1995"/>
      <c r="C286" s="9" t="s">
        <v>3618</v>
      </c>
      <c r="D286" s="1078"/>
      <c r="E286" s="9">
        <v>2655</v>
      </c>
      <c r="F286" s="9">
        <v>900</v>
      </c>
      <c r="G286" s="9">
        <v>3555</v>
      </c>
    </row>
    <row r="287" spans="1:7">
      <c r="A287" s="616"/>
      <c r="B287" s="1995"/>
      <c r="C287" s="9" t="s">
        <v>3619</v>
      </c>
      <c r="D287" s="1078"/>
      <c r="E287" s="9">
        <v>4185</v>
      </c>
      <c r="F287" s="9">
        <v>1530</v>
      </c>
      <c r="G287" s="9">
        <v>5715</v>
      </c>
    </row>
    <row r="288" spans="1:7">
      <c r="A288" s="616"/>
      <c r="B288" s="1995"/>
      <c r="C288" s="9" t="s">
        <v>3620</v>
      </c>
      <c r="D288" s="1078"/>
      <c r="E288" s="9">
        <v>8325</v>
      </c>
      <c r="F288" s="9">
        <v>2925</v>
      </c>
      <c r="G288" s="9">
        <v>11250</v>
      </c>
    </row>
    <row r="289" spans="1:7">
      <c r="A289" s="616"/>
      <c r="B289" s="1995"/>
      <c r="C289" s="9" t="s">
        <v>3621</v>
      </c>
      <c r="D289" s="1078"/>
      <c r="E289" s="9">
        <v>10035</v>
      </c>
      <c r="F289" s="9">
        <v>3735</v>
      </c>
      <c r="G289" s="9">
        <v>13770</v>
      </c>
    </row>
    <row r="290" spans="1:7">
      <c r="A290" s="616"/>
      <c r="B290" s="1995"/>
      <c r="C290" s="9" t="s">
        <v>3622</v>
      </c>
      <c r="D290" s="1078"/>
      <c r="E290" s="9">
        <v>8100</v>
      </c>
      <c r="F290" s="9">
        <v>3285</v>
      </c>
      <c r="G290" s="9">
        <v>11385</v>
      </c>
    </row>
    <row r="291" spans="1:7">
      <c r="A291" s="616"/>
      <c r="B291" s="1995"/>
      <c r="C291" s="9" t="s">
        <v>3623</v>
      </c>
      <c r="D291" s="1078"/>
      <c r="E291" s="9">
        <v>7515</v>
      </c>
      <c r="F291" s="9">
        <v>2880</v>
      </c>
      <c r="G291" s="9">
        <v>10395</v>
      </c>
    </row>
    <row r="292" spans="1:7">
      <c r="A292" s="616"/>
      <c r="B292" s="1995"/>
      <c r="C292" s="11" t="s">
        <v>239</v>
      </c>
      <c r="D292" s="1078"/>
      <c r="E292" s="11">
        <f>SUM(E285:E291)</f>
        <v>40815</v>
      </c>
      <c r="F292" s="11">
        <f>SUM(F285:F291)</f>
        <v>15255</v>
      </c>
      <c r="G292" s="11">
        <f>SUM(G285:G291)</f>
        <v>56070</v>
      </c>
    </row>
    <row r="293" spans="1:7">
      <c r="A293" s="616">
        <v>421000000006</v>
      </c>
      <c r="B293" s="1994">
        <v>24</v>
      </c>
      <c r="C293" s="11" t="s">
        <v>3710</v>
      </c>
      <c r="D293" s="1078" t="s">
        <v>271</v>
      </c>
      <c r="E293" s="9"/>
      <c r="F293" s="9"/>
      <c r="G293" s="9"/>
    </row>
    <row r="294" spans="1:7">
      <c r="A294" s="616"/>
      <c r="B294" s="1995"/>
      <c r="C294" s="9" t="s">
        <v>3622</v>
      </c>
      <c r="D294" s="1078"/>
      <c r="E294" s="9">
        <v>720</v>
      </c>
      <c r="F294" s="9">
        <v>960</v>
      </c>
      <c r="G294" s="9">
        <v>1680</v>
      </c>
    </row>
    <row r="295" spans="1:7">
      <c r="A295" s="616"/>
      <c r="B295" s="1995"/>
      <c r="C295" s="9" t="s">
        <v>3623</v>
      </c>
      <c r="D295" s="1078"/>
      <c r="E295" s="9">
        <v>68400</v>
      </c>
      <c r="F295" s="9">
        <v>15120</v>
      </c>
      <c r="G295" s="9">
        <v>83520</v>
      </c>
    </row>
    <row r="296" spans="1:7">
      <c r="A296" s="616"/>
      <c r="B296" s="1995"/>
      <c r="C296" s="9" t="s">
        <v>3612</v>
      </c>
      <c r="D296" s="1078"/>
      <c r="E296" s="9">
        <v>14160</v>
      </c>
      <c r="F296" s="9">
        <v>1200</v>
      </c>
      <c r="G296" s="9">
        <v>15360</v>
      </c>
    </row>
    <row r="297" spans="1:7">
      <c r="A297" s="616"/>
      <c r="B297" s="1995"/>
      <c r="C297" s="9" t="s">
        <v>3613</v>
      </c>
      <c r="D297" s="1078"/>
      <c r="E297" s="9">
        <v>25920</v>
      </c>
      <c r="F297" s="9">
        <v>5760</v>
      </c>
      <c r="G297" s="9">
        <v>31680</v>
      </c>
    </row>
    <row r="298" spans="1:7">
      <c r="A298" s="616"/>
      <c r="B298" s="1995"/>
      <c r="C298" s="9" t="s">
        <v>3614</v>
      </c>
      <c r="D298" s="1078"/>
      <c r="E298" s="9">
        <v>195840</v>
      </c>
      <c r="F298" s="9">
        <v>60960</v>
      </c>
      <c r="G298" s="9">
        <v>256800</v>
      </c>
    </row>
    <row r="299" spans="1:7">
      <c r="A299" s="616"/>
      <c r="B299" s="1995"/>
      <c r="C299" s="9" t="s">
        <v>3709</v>
      </c>
      <c r="D299" s="1078"/>
      <c r="E299" s="9">
        <v>184800</v>
      </c>
      <c r="F299" s="9">
        <v>46320</v>
      </c>
      <c r="G299" s="9">
        <v>231120</v>
      </c>
    </row>
    <row r="300" spans="1:7">
      <c r="A300" s="616"/>
      <c r="B300" s="1995"/>
      <c r="C300" s="9" t="s">
        <v>3616</v>
      </c>
      <c r="D300" s="1078"/>
      <c r="E300" s="9">
        <v>114240</v>
      </c>
      <c r="F300" s="9">
        <v>28800</v>
      </c>
      <c r="G300" s="9">
        <v>143040</v>
      </c>
    </row>
    <row r="301" spans="1:7">
      <c r="A301" s="616"/>
      <c r="B301" s="1995"/>
      <c r="C301" s="9" t="s">
        <v>3617</v>
      </c>
      <c r="D301" s="1078"/>
      <c r="E301" s="9">
        <v>10800</v>
      </c>
      <c r="F301" s="9">
        <v>7440</v>
      </c>
      <c r="G301" s="9">
        <v>18240</v>
      </c>
    </row>
    <row r="302" spans="1:7">
      <c r="A302" s="616"/>
      <c r="B302" s="1995"/>
      <c r="C302" s="9" t="s">
        <v>3618</v>
      </c>
      <c r="D302" s="1078"/>
      <c r="E302" s="9">
        <v>133920</v>
      </c>
      <c r="F302" s="9">
        <v>49440</v>
      </c>
      <c r="G302" s="9">
        <v>183360</v>
      </c>
    </row>
    <row r="303" spans="1:7">
      <c r="A303" s="616"/>
      <c r="B303" s="1995"/>
      <c r="C303" s="9" t="s">
        <v>3619</v>
      </c>
      <c r="D303" s="1078"/>
      <c r="E303" s="9">
        <v>58800</v>
      </c>
      <c r="F303" s="9">
        <v>17760</v>
      </c>
      <c r="G303" s="9">
        <v>76560</v>
      </c>
    </row>
    <row r="304" spans="1:7">
      <c r="A304" s="616"/>
      <c r="B304" s="1995"/>
      <c r="C304" s="9" t="s">
        <v>3620</v>
      </c>
      <c r="D304" s="1078"/>
      <c r="E304" s="9">
        <v>2400</v>
      </c>
      <c r="F304" s="9">
        <v>720</v>
      </c>
      <c r="G304" s="9">
        <v>3120</v>
      </c>
    </row>
    <row r="305" spans="1:7">
      <c r="A305" s="616"/>
      <c r="B305" s="1995"/>
      <c r="C305" s="9" t="s">
        <v>3621</v>
      </c>
      <c r="D305" s="1078"/>
      <c r="E305" s="9">
        <v>1440</v>
      </c>
      <c r="F305" s="9">
        <v>480</v>
      </c>
      <c r="G305" s="9">
        <v>1920</v>
      </c>
    </row>
    <row r="306" spans="1:7">
      <c r="A306" s="616"/>
      <c r="B306" s="1995"/>
      <c r="C306" s="11" t="s">
        <v>239</v>
      </c>
      <c r="D306" s="1078"/>
      <c r="E306" s="11">
        <f>SUM(E294:E305)</f>
        <v>811440</v>
      </c>
      <c r="F306" s="11">
        <f>SUM(F294:F305)</f>
        <v>234960</v>
      </c>
      <c r="G306" s="11">
        <f>SUM(G294:G305)</f>
        <v>1046400</v>
      </c>
    </row>
    <row r="307" spans="1:7">
      <c r="A307" s="616">
        <v>611000000002</v>
      </c>
      <c r="B307" s="1994">
        <v>25</v>
      </c>
      <c r="C307" s="11" t="s">
        <v>597</v>
      </c>
      <c r="D307" s="1078" t="s">
        <v>271</v>
      </c>
      <c r="E307" s="9"/>
      <c r="F307" s="9"/>
      <c r="G307" s="9"/>
    </row>
    <row r="308" spans="1:7">
      <c r="A308" s="616"/>
      <c r="B308" s="1995"/>
      <c r="C308" s="9" t="s">
        <v>3612</v>
      </c>
      <c r="D308" s="1078"/>
      <c r="E308" s="9">
        <v>4306788</v>
      </c>
      <c r="F308" s="9">
        <v>2275898</v>
      </c>
      <c r="G308" s="9">
        <v>6582686</v>
      </c>
    </row>
    <row r="309" spans="1:7">
      <c r="A309" s="616"/>
      <c r="B309" s="1995"/>
      <c r="C309" s="9" t="s">
        <v>3613</v>
      </c>
      <c r="D309" s="1078"/>
      <c r="E309" s="9">
        <v>2970276</v>
      </c>
      <c r="F309" s="9">
        <v>1597900</v>
      </c>
      <c r="G309" s="9">
        <v>4568176</v>
      </c>
    </row>
    <row r="310" spans="1:7">
      <c r="A310" s="616"/>
      <c r="B310" s="1995"/>
      <c r="C310" s="9" t="s">
        <v>3614</v>
      </c>
      <c r="D310" s="1078"/>
      <c r="E310" s="9">
        <v>2083815</v>
      </c>
      <c r="F310" s="9">
        <v>1140398</v>
      </c>
      <c r="G310" s="9">
        <v>3224213</v>
      </c>
    </row>
    <row r="311" spans="1:7">
      <c r="A311" s="616"/>
      <c r="B311" s="1995"/>
      <c r="C311" s="9" t="s">
        <v>3709</v>
      </c>
      <c r="D311" s="1078"/>
      <c r="E311" s="9">
        <v>1691432</v>
      </c>
      <c r="F311" s="9">
        <v>866565</v>
      </c>
      <c r="G311" s="9">
        <v>2557997</v>
      </c>
    </row>
    <row r="312" spans="1:7">
      <c r="A312" s="616"/>
      <c r="B312" s="1995"/>
      <c r="C312" s="9" t="s">
        <v>3616</v>
      </c>
      <c r="D312" s="1078"/>
      <c r="E312" s="9">
        <v>2546943</v>
      </c>
      <c r="F312" s="9">
        <v>1519657</v>
      </c>
      <c r="G312" s="9">
        <v>4066600</v>
      </c>
    </row>
    <row r="313" spans="1:7">
      <c r="A313" s="616"/>
      <c r="B313" s="1995"/>
      <c r="C313" s="9" t="s">
        <v>3617</v>
      </c>
      <c r="D313" s="1078"/>
      <c r="E313" s="9">
        <v>1838416</v>
      </c>
      <c r="F313" s="9">
        <v>884105</v>
      </c>
      <c r="G313" s="9">
        <v>2722521</v>
      </c>
    </row>
    <row r="314" spans="1:7">
      <c r="A314" s="616"/>
      <c r="B314" s="1995"/>
      <c r="C314" s="9" t="s">
        <v>3618</v>
      </c>
      <c r="D314" s="1078"/>
      <c r="E314" s="9">
        <v>2301182</v>
      </c>
      <c r="F314" s="9">
        <v>950205</v>
      </c>
      <c r="G314" s="9">
        <v>3251387</v>
      </c>
    </row>
    <row r="315" spans="1:7">
      <c r="A315" s="616"/>
      <c r="B315" s="1995"/>
      <c r="C315" s="9" t="s">
        <v>3619</v>
      </c>
      <c r="D315" s="1078"/>
      <c r="E315" s="9">
        <v>1573008</v>
      </c>
      <c r="F315" s="9">
        <v>889452</v>
      </c>
      <c r="G315" s="9">
        <v>2462460</v>
      </c>
    </row>
    <row r="316" spans="1:7">
      <c r="A316" s="616"/>
      <c r="B316" s="1995"/>
      <c r="C316" s="9" t="s">
        <v>3620</v>
      </c>
      <c r="D316" s="1078"/>
      <c r="E316" s="9">
        <v>3096050</v>
      </c>
      <c r="F316" s="9">
        <v>1449694</v>
      </c>
      <c r="G316" s="9">
        <v>4545744</v>
      </c>
    </row>
    <row r="317" spans="1:7">
      <c r="A317" s="616"/>
      <c r="B317" s="1995"/>
      <c r="C317" s="9" t="s">
        <v>3621</v>
      </c>
      <c r="D317" s="1078"/>
      <c r="E317" s="9">
        <v>2983029</v>
      </c>
      <c r="F317" s="9">
        <v>668186</v>
      </c>
      <c r="G317" s="9">
        <v>3651215</v>
      </c>
    </row>
    <row r="318" spans="1:7">
      <c r="A318" s="616"/>
      <c r="B318" s="1995"/>
      <c r="C318" s="9" t="s">
        <v>3622</v>
      </c>
      <c r="D318" s="1078"/>
      <c r="E318" s="9">
        <v>1964690</v>
      </c>
      <c r="F318" s="9">
        <v>408633</v>
      </c>
      <c r="G318" s="9">
        <v>2373323</v>
      </c>
    </row>
    <row r="319" spans="1:7">
      <c r="A319" s="616"/>
      <c r="B319" s="1995"/>
      <c r="C319" s="9" t="s">
        <v>3623</v>
      </c>
      <c r="D319" s="1078"/>
      <c r="E319" s="9">
        <v>1817506</v>
      </c>
      <c r="F319" s="9">
        <v>918530</v>
      </c>
      <c r="G319" s="9">
        <v>2736036</v>
      </c>
    </row>
    <row r="320" spans="1:7">
      <c r="A320" s="616"/>
      <c r="B320" s="1995"/>
      <c r="C320" s="11" t="s">
        <v>239</v>
      </c>
      <c r="D320" s="1078"/>
      <c r="E320" s="11">
        <f>SUM(E308:E319)</f>
        <v>29173135</v>
      </c>
      <c r="F320" s="11">
        <f>SUM(F308:F319)</f>
        <v>13569223</v>
      </c>
      <c r="G320" s="11">
        <f>SUM(G308:G319)</f>
        <v>42742358</v>
      </c>
    </row>
    <row r="321" spans="1:7">
      <c r="A321" s="616">
        <v>611000000006</v>
      </c>
      <c r="B321" s="1994">
        <v>26</v>
      </c>
      <c r="C321" s="11" t="s">
        <v>660</v>
      </c>
      <c r="D321" s="1078" t="s">
        <v>259</v>
      </c>
      <c r="E321" s="9"/>
      <c r="F321" s="9"/>
      <c r="G321" s="9"/>
    </row>
    <row r="322" spans="1:7">
      <c r="A322" s="616"/>
      <c r="B322" s="1995"/>
      <c r="C322" s="9" t="s">
        <v>3612</v>
      </c>
      <c r="D322" s="1078"/>
      <c r="E322" s="9">
        <v>221520</v>
      </c>
      <c r="F322" s="9">
        <v>110505</v>
      </c>
      <c r="G322" s="9">
        <v>332025</v>
      </c>
    </row>
    <row r="323" spans="1:7">
      <c r="A323" s="616"/>
      <c r="B323" s="1995"/>
      <c r="C323" s="9" t="s">
        <v>3613</v>
      </c>
      <c r="D323" s="1078"/>
      <c r="E323" s="9">
        <v>191970</v>
      </c>
      <c r="F323" s="9">
        <v>101640</v>
      </c>
      <c r="G323" s="9">
        <v>293610</v>
      </c>
    </row>
    <row r="324" spans="1:7">
      <c r="A324" s="616"/>
      <c r="B324" s="1995"/>
      <c r="C324" s="9" t="s">
        <v>3614</v>
      </c>
      <c r="D324" s="1078"/>
      <c r="E324" s="9">
        <v>228945</v>
      </c>
      <c r="F324" s="9">
        <v>124710</v>
      </c>
      <c r="G324" s="9">
        <v>353655</v>
      </c>
    </row>
    <row r="325" spans="1:7">
      <c r="A325" s="616"/>
      <c r="B325" s="1995"/>
      <c r="C325" s="9" t="s">
        <v>3709</v>
      </c>
      <c r="D325" s="1078"/>
      <c r="E325" s="9">
        <v>180510</v>
      </c>
      <c r="F325" s="9">
        <v>102000</v>
      </c>
      <c r="G325" s="9">
        <v>282510</v>
      </c>
    </row>
    <row r="326" spans="1:7">
      <c r="A326" s="616"/>
      <c r="B326" s="1995"/>
      <c r="C326" s="9" t="s">
        <v>3616</v>
      </c>
      <c r="D326" s="1078"/>
      <c r="E326" s="9">
        <v>259890</v>
      </c>
      <c r="F326" s="9">
        <v>140445</v>
      </c>
      <c r="G326" s="9">
        <v>400335</v>
      </c>
    </row>
    <row r="327" spans="1:7">
      <c r="A327" s="616"/>
      <c r="B327" s="1995"/>
      <c r="C327" s="9" t="s">
        <v>3617</v>
      </c>
      <c r="D327" s="1078"/>
      <c r="E327" s="9">
        <v>117360</v>
      </c>
      <c r="F327" s="9">
        <v>72165</v>
      </c>
      <c r="G327" s="9">
        <v>189525</v>
      </c>
    </row>
    <row r="328" spans="1:7">
      <c r="A328" s="616"/>
      <c r="B328" s="1995"/>
      <c r="C328" s="9" t="s">
        <v>3618</v>
      </c>
      <c r="D328" s="1078"/>
      <c r="E328" s="9">
        <v>162210</v>
      </c>
      <c r="F328" s="9">
        <v>99120</v>
      </c>
      <c r="G328" s="9">
        <v>261330</v>
      </c>
    </row>
    <row r="329" spans="1:7">
      <c r="A329" s="616"/>
      <c r="B329" s="1995"/>
      <c r="C329" s="9" t="s">
        <v>3619</v>
      </c>
      <c r="D329" s="1078"/>
      <c r="E329" s="9">
        <v>187260</v>
      </c>
      <c r="F329" s="9">
        <v>99645</v>
      </c>
      <c r="G329" s="9">
        <v>286905</v>
      </c>
    </row>
    <row r="330" spans="1:7">
      <c r="A330" s="616"/>
      <c r="B330" s="1995"/>
      <c r="C330" s="9" t="s">
        <v>3620</v>
      </c>
      <c r="D330" s="1078"/>
      <c r="E330" s="9">
        <v>148005</v>
      </c>
      <c r="F330" s="9">
        <v>86715</v>
      </c>
      <c r="G330" s="9">
        <v>234720</v>
      </c>
    </row>
    <row r="331" spans="1:7">
      <c r="A331" s="616"/>
      <c r="B331" s="1995"/>
      <c r="C331" s="9" t="s">
        <v>3621</v>
      </c>
      <c r="D331" s="1078"/>
      <c r="E331" s="9">
        <v>189915</v>
      </c>
      <c r="F331" s="9">
        <v>110520</v>
      </c>
      <c r="G331" s="9">
        <v>300435</v>
      </c>
    </row>
    <row r="332" spans="1:7">
      <c r="A332" s="616"/>
      <c r="B332" s="1995"/>
      <c r="C332" s="9" t="s">
        <v>3622</v>
      </c>
      <c r="D332" s="1078"/>
      <c r="E332" s="9">
        <v>84615</v>
      </c>
      <c r="F332" s="9">
        <v>54495</v>
      </c>
      <c r="G332" s="9">
        <v>139110</v>
      </c>
    </row>
    <row r="333" spans="1:7">
      <c r="A333" s="616"/>
      <c r="B333" s="1995"/>
      <c r="C333" s="9" t="s">
        <v>3623</v>
      </c>
      <c r="D333" s="1078"/>
      <c r="E333" s="9">
        <v>123675</v>
      </c>
      <c r="F333" s="9">
        <v>62940</v>
      </c>
      <c r="G333" s="9">
        <v>186615</v>
      </c>
    </row>
    <row r="334" spans="1:7">
      <c r="A334" s="616"/>
      <c r="B334" s="1995"/>
      <c r="C334" s="11" t="s">
        <v>239</v>
      </c>
      <c r="D334" s="1078"/>
      <c r="E334" s="11">
        <f>SUM(E322:E333)</f>
        <v>2095875</v>
      </c>
      <c r="F334" s="11">
        <f>SUM(F322:F333)</f>
        <v>1164900</v>
      </c>
      <c r="G334" s="11">
        <f>SUM(G322:G333)</f>
        <v>3260775</v>
      </c>
    </row>
    <row r="335" spans="1:7">
      <c r="A335" s="616">
        <v>611000000015</v>
      </c>
      <c r="B335" s="1994">
        <v>27</v>
      </c>
      <c r="C335" s="11" t="s">
        <v>628</v>
      </c>
      <c r="D335" s="1078" t="s">
        <v>259</v>
      </c>
      <c r="E335" s="9"/>
      <c r="F335" s="9"/>
      <c r="G335" s="9"/>
    </row>
    <row r="336" spans="1:7">
      <c r="A336" s="616"/>
      <c r="B336" s="1995"/>
      <c r="C336" s="9" t="s">
        <v>3612</v>
      </c>
      <c r="D336" s="1078"/>
      <c r="E336" s="9">
        <v>313305</v>
      </c>
      <c r="F336" s="9">
        <v>110145</v>
      </c>
      <c r="G336" s="9">
        <v>423450</v>
      </c>
    </row>
    <row r="337" spans="1:7">
      <c r="A337" s="616"/>
      <c r="B337" s="1995"/>
      <c r="C337" s="9" t="s">
        <v>3613</v>
      </c>
      <c r="D337" s="1078"/>
      <c r="E337" s="9">
        <v>322710</v>
      </c>
      <c r="F337" s="9">
        <v>112050</v>
      </c>
      <c r="G337" s="9">
        <v>434760</v>
      </c>
    </row>
    <row r="338" spans="1:7">
      <c r="A338" s="616"/>
      <c r="B338" s="1995"/>
      <c r="C338" s="9" t="s">
        <v>3614</v>
      </c>
      <c r="D338" s="1078"/>
      <c r="E338" s="9">
        <v>310335</v>
      </c>
      <c r="F338" s="9">
        <v>112260</v>
      </c>
      <c r="G338" s="9">
        <v>422595</v>
      </c>
    </row>
    <row r="339" spans="1:7">
      <c r="A339" s="616"/>
      <c r="B339" s="1995"/>
      <c r="C339" s="9" t="s">
        <v>3709</v>
      </c>
      <c r="D339" s="1078"/>
      <c r="E339" s="9">
        <v>334035</v>
      </c>
      <c r="F339" s="9">
        <v>110280</v>
      </c>
      <c r="G339" s="9">
        <v>444315</v>
      </c>
    </row>
    <row r="340" spans="1:7">
      <c r="A340" s="616"/>
      <c r="B340" s="1995"/>
      <c r="C340" s="9" t="s">
        <v>3616</v>
      </c>
      <c r="D340" s="1078"/>
      <c r="E340" s="9">
        <v>352230</v>
      </c>
      <c r="F340" s="9">
        <v>107295</v>
      </c>
      <c r="G340" s="9">
        <v>459525</v>
      </c>
    </row>
    <row r="341" spans="1:7">
      <c r="A341" s="616"/>
      <c r="B341" s="1995"/>
      <c r="C341" s="9" t="s">
        <v>3617</v>
      </c>
      <c r="D341" s="1078"/>
      <c r="E341" s="9">
        <v>333510</v>
      </c>
      <c r="F341" s="9">
        <v>104580</v>
      </c>
      <c r="G341" s="9">
        <v>438090</v>
      </c>
    </row>
    <row r="342" spans="1:7">
      <c r="A342" s="616"/>
      <c r="B342" s="1995"/>
      <c r="C342" s="9" t="s">
        <v>3618</v>
      </c>
      <c r="D342" s="1078"/>
      <c r="E342" s="9">
        <v>323235</v>
      </c>
      <c r="F342" s="9">
        <v>108225</v>
      </c>
      <c r="G342" s="9">
        <v>431460</v>
      </c>
    </row>
    <row r="343" spans="1:7">
      <c r="A343" s="616"/>
      <c r="B343" s="1995"/>
      <c r="C343" s="9" t="s">
        <v>3619</v>
      </c>
      <c r="D343" s="1078"/>
      <c r="E343" s="9">
        <v>353400</v>
      </c>
      <c r="F343" s="9">
        <v>121065</v>
      </c>
      <c r="G343" s="9">
        <v>474465</v>
      </c>
    </row>
    <row r="344" spans="1:7">
      <c r="A344" s="616"/>
      <c r="B344" s="1995"/>
      <c r="C344" s="9" t="s">
        <v>3620</v>
      </c>
      <c r="D344" s="1078"/>
      <c r="E344" s="9">
        <v>366675</v>
      </c>
      <c r="F344" s="9">
        <v>137025</v>
      </c>
      <c r="G344" s="9">
        <v>503700</v>
      </c>
    </row>
    <row r="345" spans="1:7">
      <c r="A345" s="616"/>
      <c r="B345" s="1995"/>
      <c r="C345" s="9" t="s">
        <v>3621</v>
      </c>
      <c r="D345" s="1078"/>
      <c r="E345" s="9">
        <v>382710</v>
      </c>
      <c r="F345" s="9">
        <v>145560</v>
      </c>
      <c r="G345" s="9">
        <v>528270</v>
      </c>
    </row>
    <row r="346" spans="1:7">
      <c r="A346" s="616"/>
      <c r="B346" s="1995"/>
      <c r="C346" s="9" t="s">
        <v>3622</v>
      </c>
      <c r="D346" s="1078"/>
      <c r="E346" s="9">
        <v>304215</v>
      </c>
      <c r="F346" s="9">
        <v>112155</v>
      </c>
      <c r="G346" s="9">
        <v>416370</v>
      </c>
    </row>
    <row r="347" spans="1:7">
      <c r="A347" s="616"/>
      <c r="B347" s="1995"/>
      <c r="C347" s="9" t="s">
        <v>3623</v>
      </c>
      <c r="D347" s="1078"/>
      <c r="E347" s="9">
        <v>318795</v>
      </c>
      <c r="F347" s="9">
        <v>107325</v>
      </c>
      <c r="G347" s="9">
        <v>426120</v>
      </c>
    </row>
    <row r="348" spans="1:7">
      <c r="A348" s="616"/>
      <c r="B348" s="1995"/>
      <c r="C348" s="11" t="s">
        <v>239</v>
      </c>
      <c r="D348" s="1078"/>
      <c r="E348" s="11">
        <f>SUM(E336:E347)</f>
        <v>4015155</v>
      </c>
      <c r="F348" s="11">
        <f>SUM(F336:F347)</f>
        <v>1387965</v>
      </c>
      <c r="G348" s="11">
        <f>SUM(G336:G347)</f>
        <v>5403120</v>
      </c>
    </row>
    <row r="349" spans="1:7">
      <c r="A349" s="616">
        <v>611000000016</v>
      </c>
      <c r="B349" s="1994">
        <v>28</v>
      </c>
      <c r="C349" s="11" t="s">
        <v>662</v>
      </c>
      <c r="D349" s="1078" t="s">
        <v>259</v>
      </c>
      <c r="E349" s="9"/>
      <c r="F349" s="9"/>
      <c r="G349" s="9"/>
    </row>
    <row r="350" spans="1:7">
      <c r="A350" s="616"/>
      <c r="B350" s="1995"/>
      <c r="C350" s="9" t="s">
        <v>3612</v>
      </c>
      <c r="D350" s="1078"/>
      <c r="E350" s="9">
        <v>120350</v>
      </c>
      <c r="F350" s="9">
        <v>64550</v>
      </c>
      <c r="G350" s="9">
        <v>184900</v>
      </c>
    </row>
    <row r="351" spans="1:7">
      <c r="A351" s="616"/>
      <c r="B351" s="1995"/>
      <c r="C351" s="9" t="s">
        <v>3613</v>
      </c>
      <c r="D351" s="1078"/>
      <c r="E351" s="9">
        <v>126100</v>
      </c>
      <c r="F351" s="9">
        <v>53250</v>
      </c>
      <c r="G351" s="9">
        <v>179350</v>
      </c>
    </row>
    <row r="352" spans="1:7">
      <c r="A352" s="616"/>
      <c r="B352" s="1995"/>
      <c r="C352" s="9" t="s">
        <v>3614</v>
      </c>
      <c r="D352" s="1078"/>
      <c r="E352" s="9">
        <v>226100</v>
      </c>
      <c r="F352" s="9">
        <v>128200</v>
      </c>
      <c r="G352" s="9">
        <v>354300</v>
      </c>
    </row>
    <row r="353" spans="1:7">
      <c r="A353" s="616"/>
      <c r="B353" s="1995"/>
      <c r="C353" s="9" t="s">
        <v>3709</v>
      </c>
      <c r="D353" s="1078"/>
      <c r="E353" s="9">
        <v>266700</v>
      </c>
      <c r="F353" s="9">
        <v>144600</v>
      </c>
      <c r="G353" s="9">
        <v>411300</v>
      </c>
    </row>
    <row r="354" spans="1:7">
      <c r="A354" s="616"/>
      <c r="B354" s="1995"/>
      <c r="C354" s="9" t="s">
        <v>3616</v>
      </c>
      <c r="D354" s="1078"/>
      <c r="E354" s="9">
        <v>292750</v>
      </c>
      <c r="F354" s="9">
        <v>151300</v>
      </c>
      <c r="G354" s="9">
        <v>444050</v>
      </c>
    </row>
    <row r="355" spans="1:7">
      <c r="A355" s="616"/>
      <c r="B355" s="1995"/>
      <c r="C355" s="9" t="s">
        <v>3617</v>
      </c>
      <c r="D355" s="1078"/>
      <c r="E355" s="9">
        <v>226900</v>
      </c>
      <c r="F355" s="9">
        <v>120200</v>
      </c>
      <c r="G355" s="9">
        <v>347100</v>
      </c>
    </row>
    <row r="356" spans="1:7">
      <c r="A356" s="616"/>
      <c r="B356" s="1995"/>
      <c r="C356" s="9" t="s">
        <v>3618</v>
      </c>
      <c r="D356" s="1078"/>
      <c r="E356" s="9">
        <v>173100</v>
      </c>
      <c r="F356" s="9">
        <v>92400</v>
      </c>
      <c r="G356" s="9">
        <v>265500</v>
      </c>
    </row>
    <row r="357" spans="1:7">
      <c r="A357" s="616"/>
      <c r="B357" s="1995"/>
      <c r="C357" s="9" t="s">
        <v>3619</v>
      </c>
      <c r="D357" s="1078"/>
      <c r="E357" s="9">
        <v>143300</v>
      </c>
      <c r="F357" s="9">
        <v>75200</v>
      </c>
      <c r="G357" s="9">
        <v>218500</v>
      </c>
    </row>
    <row r="358" spans="1:7">
      <c r="A358" s="616"/>
      <c r="B358" s="1995"/>
      <c r="C358" s="9" t="s">
        <v>3620</v>
      </c>
      <c r="D358" s="1078"/>
      <c r="E358" s="9">
        <v>151450</v>
      </c>
      <c r="F358" s="9">
        <v>79550</v>
      </c>
      <c r="G358" s="9">
        <v>231000</v>
      </c>
    </row>
    <row r="359" spans="1:7">
      <c r="A359" s="616"/>
      <c r="B359" s="1995"/>
      <c r="C359" s="9" t="s">
        <v>3621</v>
      </c>
      <c r="D359" s="1078"/>
      <c r="E359" s="9">
        <v>141000</v>
      </c>
      <c r="F359" s="9">
        <v>69500</v>
      </c>
      <c r="G359" s="9">
        <v>210500</v>
      </c>
    </row>
    <row r="360" spans="1:7">
      <c r="A360" s="616"/>
      <c r="B360" s="1995"/>
      <c r="C360" s="9" t="s">
        <v>3622</v>
      </c>
      <c r="D360" s="1078"/>
      <c r="E360" s="9">
        <v>244050</v>
      </c>
      <c r="F360" s="9">
        <v>125950</v>
      </c>
      <c r="G360" s="9">
        <v>370000</v>
      </c>
    </row>
    <row r="361" spans="1:7">
      <c r="A361" s="616"/>
      <c r="B361" s="1995"/>
      <c r="C361" s="9" t="s">
        <v>3623</v>
      </c>
      <c r="D361" s="1078"/>
      <c r="E361" s="9">
        <v>168000</v>
      </c>
      <c r="F361" s="9">
        <v>89950</v>
      </c>
      <c r="G361" s="9">
        <v>257950</v>
      </c>
    </row>
    <row r="362" spans="1:7">
      <c r="A362" s="616"/>
      <c r="B362" s="1995"/>
      <c r="C362" s="11" t="s">
        <v>239</v>
      </c>
      <c r="D362" s="1078"/>
      <c r="E362" s="11">
        <f>SUM(E350:E361)</f>
        <v>2279800</v>
      </c>
      <c r="F362" s="11">
        <f>SUM(F350:F361)</f>
        <v>1194650</v>
      </c>
      <c r="G362" s="11">
        <f>SUM(G350:G361)</f>
        <v>3474450</v>
      </c>
    </row>
    <row r="363" spans="1:7">
      <c r="A363" s="616">
        <v>611000000017</v>
      </c>
      <c r="B363" s="1994">
        <v>29</v>
      </c>
      <c r="C363" s="11" t="s">
        <v>638</v>
      </c>
      <c r="D363" s="1078" t="s">
        <v>259</v>
      </c>
      <c r="E363" s="9"/>
      <c r="F363" s="9"/>
      <c r="G363" s="9"/>
    </row>
    <row r="364" spans="1:7">
      <c r="A364" s="616"/>
      <c r="B364" s="1995"/>
      <c r="C364" s="9" t="s">
        <v>3612</v>
      </c>
      <c r="D364" s="1078"/>
      <c r="E364" s="9">
        <v>559621</v>
      </c>
      <c r="F364" s="9">
        <v>232012</v>
      </c>
      <c r="G364" s="9">
        <v>791633</v>
      </c>
    </row>
    <row r="365" spans="1:7">
      <c r="A365" s="616"/>
      <c r="B365" s="1995"/>
      <c r="C365" s="9" t="s">
        <v>3613</v>
      </c>
      <c r="D365" s="1078"/>
      <c r="E365" s="9">
        <v>490020</v>
      </c>
      <c r="F365" s="9">
        <v>174586</v>
      </c>
      <c r="G365" s="9">
        <v>664606</v>
      </c>
    </row>
    <row r="366" spans="1:7">
      <c r="A366" s="616"/>
      <c r="B366" s="1995"/>
      <c r="C366" s="9" t="s">
        <v>3614</v>
      </c>
      <c r="D366" s="1078"/>
      <c r="E366" s="9">
        <v>275778</v>
      </c>
      <c r="F366" s="9">
        <v>97250</v>
      </c>
      <c r="G366" s="9">
        <v>373028</v>
      </c>
    </row>
    <row r="367" spans="1:7">
      <c r="A367" s="616"/>
      <c r="B367" s="1995"/>
      <c r="C367" s="9" t="s">
        <v>3709</v>
      </c>
      <c r="D367" s="1078"/>
      <c r="E367" s="9">
        <v>397029</v>
      </c>
      <c r="F367" s="9">
        <v>185320</v>
      </c>
      <c r="G367" s="9">
        <v>582349</v>
      </c>
    </row>
    <row r="368" spans="1:7">
      <c r="A368" s="616"/>
      <c r="B368" s="1995"/>
      <c r="C368" s="9" t="s">
        <v>3616</v>
      </c>
      <c r="D368" s="1078"/>
      <c r="E368" s="9">
        <v>460315</v>
      </c>
      <c r="F368" s="9">
        <v>189700</v>
      </c>
      <c r="G368" s="9">
        <v>650015</v>
      </c>
    </row>
    <row r="369" spans="1:7">
      <c r="A369" s="616"/>
      <c r="B369" s="1995"/>
      <c r="C369" s="9" t="s">
        <v>3617</v>
      </c>
      <c r="D369" s="1078"/>
      <c r="E369" s="9">
        <v>398621</v>
      </c>
      <c r="F369" s="9">
        <v>155451</v>
      </c>
      <c r="G369" s="9">
        <v>554072</v>
      </c>
    </row>
    <row r="370" spans="1:7">
      <c r="A370" s="616"/>
      <c r="B370" s="1995"/>
      <c r="C370" s="9" t="s">
        <v>3618</v>
      </c>
      <c r="D370" s="1078"/>
      <c r="E370" s="9">
        <v>499864</v>
      </c>
      <c r="F370" s="9">
        <v>196637</v>
      </c>
      <c r="G370" s="9">
        <v>696501</v>
      </c>
    </row>
    <row r="371" spans="1:7">
      <c r="A371" s="616"/>
      <c r="B371" s="1995"/>
      <c r="C371" s="9" t="s">
        <v>3619</v>
      </c>
      <c r="D371" s="1078"/>
      <c r="E371" s="9">
        <v>454952</v>
      </c>
      <c r="F371" s="9">
        <v>191022</v>
      </c>
      <c r="G371" s="9">
        <v>645974</v>
      </c>
    </row>
    <row r="372" spans="1:7">
      <c r="A372" s="616"/>
      <c r="B372" s="1995"/>
      <c r="C372" s="9" t="s">
        <v>3620</v>
      </c>
      <c r="D372" s="1078"/>
      <c r="E372" s="9">
        <v>446422</v>
      </c>
      <c r="F372" s="9">
        <v>164682</v>
      </c>
      <c r="G372" s="9">
        <v>611104</v>
      </c>
    </row>
    <row r="373" spans="1:7">
      <c r="A373" s="616"/>
      <c r="B373" s="1995"/>
      <c r="C373" s="9" t="s">
        <v>3621</v>
      </c>
      <c r="D373" s="1078"/>
      <c r="E373" s="9">
        <v>475576</v>
      </c>
      <c r="F373" s="9">
        <v>136985</v>
      </c>
      <c r="G373" s="9">
        <v>612561</v>
      </c>
    </row>
    <row r="374" spans="1:7">
      <c r="A374" s="616"/>
      <c r="B374" s="1995"/>
      <c r="C374" s="9" t="s">
        <v>3622</v>
      </c>
      <c r="D374" s="1078"/>
      <c r="E374" s="9">
        <v>450137</v>
      </c>
      <c r="F374" s="9">
        <v>173688</v>
      </c>
      <c r="G374" s="9">
        <v>623825</v>
      </c>
    </row>
    <row r="375" spans="1:7">
      <c r="A375" s="616"/>
      <c r="B375" s="1995"/>
      <c r="C375" s="9" t="s">
        <v>3623</v>
      </c>
      <c r="D375" s="1078"/>
      <c r="E375" s="9">
        <v>519356</v>
      </c>
      <c r="F375" s="9">
        <v>158802</v>
      </c>
      <c r="G375" s="9">
        <v>678158</v>
      </c>
    </row>
    <row r="376" spans="1:7">
      <c r="A376" s="616"/>
      <c r="B376" s="1995"/>
      <c r="C376" s="11" t="s">
        <v>239</v>
      </c>
      <c r="D376" s="1078"/>
      <c r="E376" s="11">
        <f>SUM(E364:E375)</f>
        <v>5427691</v>
      </c>
      <c r="F376" s="11">
        <f>SUM(F364:F375)</f>
        <v>2056135</v>
      </c>
      <c r="G376" s="11">
        <f>SUM(G364:G375)</f>
        <v>7483826</v>
      </c>
    </row>
    <row r="377" spans="1:7">
      <c r="A377" s="616">
        <v>611000000021</v>
      </c>
      <c r="B377" s="1994">
        <v>30</v>
      </c>
      <c r="C377" s="11" t="s">
        <v>564</v>
      </c>
      <c r="D377" s="1078" t="s">
        <v>271</v>
      </c>
      <c r="E377" s="9"/>
      <c r="F377" s="9"/>
      <c r="G377" s="9"/>
    </row>
    <row r="378" spans="1:7">
      <c r="A378" s="616"/>
      <c r="B378" s="1995"/>
      <c r="C378" s="9" t="s">
        <v>3612</v>
      </c>
      <c r="D378" s="1078"/>
      <c r="E378" s="9">
        <v>4369900</v>
      </c>
      <c r="F378" s="9">
        <v>2213800</v>
      </c>
      <c r="G378" s="9">
        <v>6583700</v>
      </c>
    </row>
    <row r="379" spans="1:7">
      <c r="A379" s="616"/>
      <c r="B379" s="1995"/>
      <c r="C379" s="9" t="s">
        <v>3613</v>
      </c>
      <c r="D379" s="1078"/>
      <c r="E379" s="9">
        <v>4557700</v>
      </c>
      <c r="F379" s="9">
        <v>2297700</v>
      </c>
      <c r="G379" s="9">
        <v>6855400</v>
      </c>
    </row>
    <row r="380" spans="1:7">
      <c r="A380" s="616"/>
      <c r="B380" s="1995"/>
      <c r="C380" s="9" t="s">
        <v>3614</v>
      </c>
      <c r="D380" s="1078"/>
      <c r="E380" s="9">
        <v>4210000</v>
      </c>
      <c r="F380" s="9">
        <v>2110500</v>
      </c>
      <c r="G380" s="9">
        <v>6320500</v>
      </c>
    </row>
    <row r="381" spans="1:7">
      <c r="A381" s="616"/>
      <c r="B381" s="1995"/>
      <c r="C381" s="9" t="s">
        <v>3709</v>
      </c>
      <c r="D381" s="1078"/>
      <c r="E381" s="9">
        <v>4592700</v>
      </c>
      <c r="F381" s="9">
        <v>2287900</v>
      </c>
      <c r="G381" s="9">
        <v>6880600</v>
      </c>
    </row>
    <row r="382" spans="1:7">
      <c r="A382" s="616"/>
      <c r="B382" s="1995"/>
      <c r="C382" s="9" t="s">
        <v>3616</v>
      </c>
      <c r="D382" s="1078"/>
      <c r="E382" s="9">
        <v>4402300</v>
      </c>
      <c r="F382" s="9">
        <v>2264100</v>
      </c>
      <c r="G382" s="9">
        <v>6666400</v>
      </c>
    </row>
    <row r="383" spans="1:7">
      <c r="A383" s="616"/>
      <c r="B383" s="1995"/>
      <c r="C383" s="9" t="s">
        <v>3617</v>
      </c>
      <c r="D383" s="1078"/>
      <c r="E383" s="9">
        <v>4299700</v>
      </c>
      <c r="F383" s="9">
        <v>2158400</v>
      </c>
      <c r="G383" s="9">
        <v>6458100</v>
      </c>
    </row>
    <row r="384" spans="1:7">
      <c r="A384" s="616"/>
      <c r="B384" s="1995"/>
      <c r="C384" s="9" t="s">
        <v>3618</v>
      </c>
      <c r="D384" s="1078"/>
      <c r="E384" s="9">
        <v>4078700</v>
      </c>
      <c r="F384" s="9">
        <v>2073900</v>
      </c>
      <c r="G384" s="9">
        <v>6152600</v>
      </c>
    </row>
    <row r="385" spans="1:7">
      <c r="A385" s="616"/>
      <c r="B385" s="1995"/>
      <c r="C385" s="9" t="s">
        <v>3619</v>
      </c>
      <c r="D385" s="1078"/>
      <c r="E385" s="9">
        <v>4376100</v>
      </c>
      <c r="F385" s="9">
        <v>2216400</v>
      </c>
      <c r="G385" s="9">
        <v>6592500</v>
      </c>
    </row>
    <row r="386" spans="1:7">
      <c r="A386" s="616"/>
      <c r="B386" s="1995"/>
      <c r="C386" s="9" t="s">
        <v>3620</v>
      </c>
      <c r="D386" s="1078"/>
      <c r="E386" s="9">
        <v>4394000</v>
      </c>
      <c r="F386" s="9">
        <v>2279300</v>
      </c>
      <c r="G386" s="9">
        <v>6673300</v>
      </c>
    </row>
    <row r="387" spans="1:7">
      <c r="A387" s="616"/>
      <c r="B387" s="1995"/>
      <c r="C387" s="9" t="s">
        <v>3621</v>
      </c>
      <c r="D387" s="1078"/>
      <c r="E387" s="9">
        <v>4231400</v>
      </c>
      <c r="F387" s="9">
        <v>2129300</v>
      </c>
      <c r="G387" s="9">
        <v>6360700</v>
      </c>
    </row>
    <row r="388" spans="1:7">
      <c r="A388" s="616"/>
      <c r="B388" s="1995"/>
      <c r="C388" s="9" t="s">
        <v>3622</v>
      </c>
      <c r="D388" s="1078"/>
      <c r="E388" s="9">
        <v>3668800</v>
      </c>
      <c r="F388" s="9">
        <v>1818300</v>
      </c>
      <c r="G388" s="9">
        <v>5487100</v>
      </c>
    </row>
    <row r="389" spans="1:7">
      <c r="A389" s="616"/>
      <c r="B389" s="1995"/>
      <c r="C389" s="9" t="s">
        <v>3623</v>
      </c>
      <c r="D389" s="1078"/>
      <c r="E389" s="9">
        <v>4375900</v>
      </c>
      <c r="F389" s="9">
        <v>2187200</v>
      </c>
      <c r="G389" s="9">
        <v>6563100</v>
      </c>
    </row>
    <row r="390" spans="1:7">
      <c r="A390" s="616"/>
      <c r="B390" s="1995"/>
      <c r="C390" s="11" t="s">
        <v>239</v>
      </c>
      <c r="D390" s="1078"/>
      <c r="E390" s="11">
        <f>SUM(E378:E389)</f>
        <v>51557200</v>
      </c>
      <c r="F390" s="11">
        <f>SUM(F378:F389)</f>
        <v>26036800</v>
      </c>
      <c r="G390" s="11">
        <f>SUM(G378:G389)</f>
        <v>77594000</v>
      </c>
    </row>
    <row r="391" spans="1:7">
      <c r="A391" s="616">
        <v>611000000022</v>
      </c>
      <c r="B391" s="1994">
        <v>31</v>
      </c>
      <c r="C391" s="11" t="s">
        <v>534</v>
      </c>
      <c r="D391" s="1078" t="s">
        <v>271</v>
      </c>
      <c r="E391" s="9"/>
      <c r="F391" s="9"/>
      <c r="G391" s="9"/>
    </row>
    <row r="392" spans="1:7">
      <c r="A392" s="616"/>
      <c r="B392" s="1995"/>
      <c r="C392" s="9" t="s">
        <v>3612</v>
      </c>
      <c r="D392" s="1078"/>
      <c r="E392" s="9">
        <v>4537409</v>
      </c>
      <c r="F392" s="9">
        <v>1675436</v>
      </c>
      <c r="G392" s="9">
        <v>6212845</v>
      </c>
    </row>
    <row r="393" spans="1:7">
      <c r="A393" s="616"/>
      <c r="B393" s="1995"/>
      <c r="C393" s="9" t="s">
        <v>3613</v>
      </c>
      <c r="D393" s="1078"/>
      <c r="E393" s="9">
        <v>5369963</v>
      </c>
      <c r="F393" s="9">
        <v>1887001</v>
      </c>
      <c r="G393" s="9">
        <v>7256964</v>
      </c>
    </row>
    <row r="394" spans="1:7">
      <c r="A394" s="616"/>
      <c r="B394" s="1995"/>
      <c r="C394" s="9" t="s">
        <v>3614</v>
      </c>
      <c r="D394" s="1078"/>
      <c r="E394" s="9">
        <v>16940000</v>
      </c>
      <c r="F394" s="9">
        <v>5874000</v>
      </c>
      <c r="G394" s="9">
        <v>22814000</v>
      </c>
    </row>
    <row r="395" spans="1:7">
      <c r="A395" s="616"/>
      <c r="B395" s="1995"/>
      <c r="C395" s="9" t="s">
        <v>3709</v>
      </c>
      <c r="D395" s="1078"/>
      <c r="E395" s="9">
        <v>16769573</v>
      </c>
      <c r="F395" s="9">
        <v>5933509</v>
      </c>
      <c r="G395" s="9">
        <v>22703082</v>
      </c>
    </row>
    <row r="396" spans="1:7">
      <c r="A396" s="616"/>
      <c r="B396" s="1995"/>
      <c r="C396" s="9" t="s">
        <v>3616</v>
      </c>
      <c r="D396" s="1078"/>
      <c r="E396" s="9">
        <v>15041796</v>
      </c>
      <c r="F396" s="9">
        <v>5072939</v>
      </c>
      <c r="G396" s="9">
        <v>20114735</v>
      </c>
    </row>
    <row r="397" spans="1:7">
      <c r="A397" s="616"/>
      <c r="B397" s="1995"/>
      <c r="C397" s="9" t="s">
        <v>3617</v>
      </c>
      <c r="D397" s="1078"/>
      <c r="E397" s="9">
        <v>14238384</v>
      </c>
      <c r="F397" s="9">
        <v>5179000</v>
      </c>
      <c r="G397" s="9">
        <v>19417384</v>
      </c>
    </row>
    <row r="398" spans="1:7">
      <c r="A398" s="616"/>
      <c r="B398" s="1995"/>
      <c r="C398" s="9" t="s">
        <v>3618</v>
      </c>
      <c r="D398" s="1078"/>
      <c r="E398" s="9">
        <v>16638003</v>
      </c>
      <c r="F398" s="9">
        <v>5700674</v>
      </c>
      <c r="G398" s="9">
        <v>22338677</v>
      </c>
    </row>
    <row r="399" spans="1:7">
      <c r="A399" s="616"/>
      <c r="B399" s="1995"/>
      <c r="C399" s="9" t="s">
        <v>3619</v>
      </c>
      <c r="D399" s="1078"/>
      <c r="E399" s="9">
        <v>14937000</v>
      </c>
      <c r="F399" s="9">
        <v>5067575</v>
      </c>
      <c r="G399" s="9">
        <v>20004575</v>
      </c>
    </row>
    <row r="400" spans="1:7">
      <c r="A400" s="616"/>
      <c r="B400" s="1995"/>
      <c r="C400" s="9" t="s">
        <v>3620</v>
      </c>
      <c r="D400" s="1078"/>
      <c r="E400" s="9">
        <v>16016873</v>
      </c>
      <c r="F400" s="9">
        <v>5585179</v>
      </c>
      <c r="G400" s="9">
        <v>21602052</v>
      </c>
    </row>
    <row r="401" spans="1:7">
      <c r="A401" s="616"/>
      <c r="B401" s="1995"/>
      <c r="C401" s="9" t="s">
        <v>3621</v>
      </c>
      <c r="D401" s="1078"/>
      <c r="E401" s="9">
        <v>11862000</v>
      </c>
      <c r="F401" s="9">
        <v>4671451</v>
      </c>
      <c r="G401" s="9">
        <v>16533451</v>
      </c>
    </row>
    <row r="402" spans="1:7">
      <c r="A402" s="616"/>
      <c r="B402" s="1995"/>
      <c r="C402" s="9" t="s">
        <v>3622</v>
      </c>
      <c r="D402" s="1078"/>
      <c r="E402" s="9">
        <v>13579380</v>
      </c>
      <c r="F402" s="9">
        <v>4972953</v>
      </c>
      <c r="G402" s="9">
        <v>18552333</v>
      </c>
    </row>
    <row r="403" spans="1:7">
      <c r="A403" s="616"/>
      <c r="B403" s="1995"/>
      <c r="C403" s="9" t="s">
        <v>3623</v>
      </c>
      <c r="D403" s="1078"/>
      <c r="E403" s="9">
        <v>16603000</v>
      </c>
      <c r="F403" s="9">
        <v>5748000</v>
      </c>
      <c r="G403" s="9">
        <v>22351000</v>
      </c>
    </row>
    <row r="404" spans="1:7">
      <c r="A404" s="616"/>
      <c r="B404" s="1995"/>
      <c r="C404" s="11" t="s">
        <v>239</v>
      </c>
      <c r="D404" s="1078"/>
      <c r="E404" s="11">
        <f>SUM(E392:E403)</f>
        <v>162533381</v>
      </c>
      <c r="F404" s="11">
        <f>SUM(F392:F403)</f>
        <v>57367717</v>
      </c>
      <c r="G404" s="11">
        <f>SUM(G392:G403)</f>
        <v>219901098</v>
      </c>
    </row>
    <row r="405" spans="1:7">
      <c r="A405" s="616">
        <v>611000000025</v>
      </c>
      <c r="B405" s="1994">
        <v>32</v>
      </c>
      <c r="C405" s="11" t="s">
        <v>608</v>
      </c>
      <c r="D405" s="1078" t="s">
        <v>271</v>
      </c>
      <c r="E405" s="9"/>
      <c r="F405" s="9"/>
      <c r="G405" s="9"/>
    </row>
    <row r="406" spans="1:7">
      <c r="A406" s="616"/>
      <c r="B406" s="1995"/>
      <c r="C406" s="9" t="s">
        <v>3612</v>
      </c>
      <c r="D406" s="1078"/>
      <c r="E406" s="9">
        <v>5362600</v>
      </c>
      <c r="F406" s="9">
        <v>1819700</v>
      </c>
      <c r="G406" s="9">
        <v>7182300</v>
      </c>
    </row>
    <row r="407" spans="1:7">
      <c r="A407" s="616"/>
      <c r="B407" s="1995"/>
      <c r="C407" s="9" t="s">
        <v>3613</v>
      </c>
      <c r="D407" s="1078"/>
      <c r="E407" s="9">
        <v>5298600</v>
      </c>
      <c r="F407" s="9">
        <v>1817400</v>
      </c>
      <c r="G407" s="9">
        <v>7116000</v>
      </c>
    </row>
    <row r="408" spans="1:7">
      <c r="A408" s="616"/>
      <c r="B408" s="1995"/>
      <c r="C408" s="9" t="s">
        <v>3614</v>
      </c>
      <c r="D408" s="1078"/>
      <c r="E408" s="9">
        <v>5237600</v>
      </c>
      <c r="F408" s="9">
        <v>1767900</v>
      </c>
      <c r="G408" s="9">
        <v>7005500</v>
      </c>
    </row>
    <row r="409" spans="1:7">
      <c r="A409" s="616"/>
      <c r="B409" s="1995"/>
      <c r="C409" s="9" t="s">
        <v>3709</v>
      </c>
      <c r="D409" s="1078"/>
      <c r="E409" s="9">
        <v>5463200</v>
      </c>
      <c r="F409" s="9">
        <v>1901600</v>
      </c>
      <c r="G409" s="9">
        <v>7364800</v>
      </c>
    </row>
    <row r="410" spans="1:7">
      <c r="A410" s="616"/>
      <c r="B410" s="1995"/>
      <c r="C410" s="9" t="s">
        <v>3616</v>
      </c>
      <c r="D410" s="1078"/>
      <c r="E410" s="9">
        <v>5746000</v>
      </c>
      <c r="F410" s="9">
        <v>1895500</v>
      </c>
      <c r="G410" s="9">
        <v>7641500</v>
      </c>
    </row>
    <row r="411" spans="1:7">
      <c r="A411" s="616"/>
      <c r="B411" s="1995"/>
      <c r="C411" s="9" t="s">
        <v>3617</v>
      </c>
      <c r="D411" s="1078"/>
      <c r="E411" s="9">
        <v>5532000</v>
      </c>
      <c r="F411" s="9">
        <v>1864000</v>
      </c>
      <c r="G411" s="9">
        <v>7396000</v>
      </c>
    </row>
    <row r="412" spans="1:7">
      <c r="A412" s="616"/>
      <c r="B412" s="1995"/>
      <c r="C412" s="9" t="s">
        <v>3618</v>
      </c>
      <c r="D412" s="1078"/>
      <c r="E412" s="9">
        <v>5971800</v>
      </c>
      <c r="F412" s="9">
        <v>1802500</v>
      </c>
      <c r="G412" s="9">
        <v>7774300</v>
      </c>
    </row>
    <row r="413" spans="1:7">
      <c r="A413" s="616"/>
      <c r="B413" s="1995"/>
      <c r="C413" s="9" t="s">
        <v>3619</v>
      </c>
      <c r="D413" s="1078"/>
      <c r="E413" s="9">
        <v>5366200</v>
      </c>
      <c r="F413" s="9">
        <v>1939700</v>
      </c>
      <c r="G413" s="9">
        <v>7305900</v>
      </c>
    </row>
    <row r="414" spans="1:7">
      <c r="A414" s="616"/>
      <c r="B414" s="1995"/>
      <c r="C414" s="9" t="s">
        <v>3620</v>
      </c>
      <c r="D414" s="1078"/>
      <c r="E414" s="9">
        <v>6033800</v>
      </c>
      <c r="F414" s="9">
        <v>1898500</v>
      </c>
      <c r="G414" s="9">
        <v>7932300</v>
      </c>
    </row>
    <row r="415" spans="1:7">
      <c r="A415" s="616"/>
      <c r="B415" s="1995"/>
      <c r="C415" s="9" t="s">
        <v>3621</v>
      </c>
      <c r="D415" s="1078"/>
      <c r="E415" s="9">
        <v>5488300</v>
      </c>
      <c r="F415" s="9">
        <v>1792000</v>
      </c>
      <c r="G415" s="9">
        <v>7280300</v>
      </c>
    </row>
    <row r="416" spans="1:7">
      <c r="A416" s="616"/>
      <c r="B416" s="1995"/>
      <c r="C416" s="9" t="s">
        <v>3622</v>
      </c>
      <c r="D416" s="1078"/>
      <c r="E416" s="9">
        <v>5356200</v>
      </c>
      <c r="F416" s="9">
        <v>1719600</v>
      </c>
      <c r="G416" s="9">
        <v>7075800</v>
      </c>
    </row>
    <row r="417" spans="1:7">
      <c r="A417" s="616"/>
      <c r="B417" s="1995"/>
      <c r="C417" s="9" t="s">
        <v>3623</v>
      </c>
      <c r="D417" s="1078"/>
      <c r="E417" s="9">
        <v>5759000</v>
      </c>
      <c r="F417" s="9">
        <v>1914800</v>
      </c>
      <c r="G417" s="9">
        <v>7673800</v>
      </c>
    </row>
    <row r="418" spans="1:7">
      <c r="A418" s="616"/>
      <c r="B418" s="1995"/>
      <c r="C418" s="11" t="s">
        <v>239</v>
      </c>
      <c r="D418" s="1078"/>
      <c r="E418" s="11">
        <f>SUM(E406:E417)</f>
        <v>66615300</v>
      </c>
      <c r="F418" s="11">
        <f>SUM(F406:F417)</f>
        <v>22133200</v>
      </c>
      <c r="G418" s="11">
        <f>SUM(G406:G417)</f>
        <v>88748500</v>
      </c>
    </row>
    <row r="419" spans="1:7">
      <c r="A419" s="616">
        <v>611000000032</v>
      </c>
      <c r="B419" s="1994">
        <v>33</v>
      </c>
      <c r="C419" s="11" t="s">
        <v>544</v>
      </c>
      <c r="D419" s="1078" t="s">
        <v>271</v>
      </c>
      <c r="E419" s="9"/>
      <c r="F419" s="9"/>
      <c r="G419" s="9"/>
    </row>
    <row r="420" spans="1:7">
      <c r="A420" s="616"/>
      <c r="B420" s="1995"/>
      <c r="C420" s="9" t="s">
        <v>3612</v>
      </c>
      <c r="D420" s="1078"/>
      <c r="E420" s="9">
        <v>98100</v>
      </c>
      <c r="F420" s="9">
        <v>54000</v>
      </c>
      <c r="G420" s="9">
        <v>152100</v>
      </c>
    </row>
    <row r="421" spans="1:7">
      <c r="A421" s="616"/>
      <c r="B421" s="1995"/>
      <c r="C421" s="9" t="s">
        <v>3613</v>
      </c>
      <c r="D421" s="1078"/>
      <c r="E421" s="9">
        <v>193500</v>
      </c>
      <c r="F421" s="9">
        <v>97200</v>
      </c>
      <c r="G421" s="9">
        <v>290700</v>
      </c>
    </row>
    <row r="422" spans="1:7">
      <c r="A422" s="616"/>
      <c r="B422" s="1995"/>
      <c r="C422" s="9" t="s">
        <v>3614</v>
      </c>
      <c r="D422" s="1078"/>
      <c r="E422" s="9">
        <v>653700</v>
      </c>
      <c r="F422" s="9">
        <v>354300</v>
      </c>
      <c r="G422" s="9">
        <v>1008000</v>
      </c>
    </row>
    <row r="423" spans="1:7">
      <c r="A423" s="616"/>
      <c r="B423" s="1995"/>
      <c r="C423" s="9" t="s">
        <v>3709</v>
      </c>
      <c r="D423" s="1078"/>
      <c r="E423" s="9">
        <v>3816900</v>
      </c>
      <c r="F423" s="9">
        <v>2064600</v>
      </c>
      <c r="G423" s="9">
        <v>5881500</v>
      </c>
    </row>
    <row r="424" spans="1:7">
      <c r="A424" s="616"/>
      <c r="B424" s="1995"/>
      <c r="C424" s="9" t="s">
        <v>3616</v>
      </c>
      <c r="D424" s="1078"/>
      <c r="E424" s="9">
        <v>6884400</v>
      </c>
      <c r="F424" s="9">
        <v>3869700</v>
      </c>
      <c r="G424" s="9">
        <v>10754100</v>
      </c>
    </row>
    <row r="425" spans="1:7">
      <c r="A425" s="616"/>
      <c r="B425" s="1995"/>
      <c r="C425" s="9" t="s">
        <v>3617</v>
      </c>
      <c r="D425" s="1078"/>
      <c r="E425" s="9">
        <v>9146700</v>
      </c>
      <c r="F425" s="9">
        <v>4700100</v>
      </c>
      <c r="G425" s="9">
        <v>13846800</v>
      </c>
    </row>
    <row r="426" spans="1:7">
      <c r="A426" s="616"/>
      <c r="B426" s="1995"/>
      <c r="C426" s="9" t="s">
        <v>3618</v>
      </c>
      <c r="D426" s="1078"/>
      <c r="E426" s="9">
        <v>11754000</v>
      </c>
      <c r="F426" s="9">
        <v>6012300</v>
      </c>
      <c r="G426" s="9">
        <v>17766300</v>
      </c>
    </row>
    <row r="427" spans="1:7">
      <c r="A427" s="616"/>
      <c r="B427" s="1995"/>
      <c r="C427" s="9" t="s">
        <v>3619</v>
      </c>
      <c r="D427" s="1078"/>
      <c r="E427" s="9">
        <v>10991400</v>
      </c>
      <c r="F427" s="9">
        <v>5582100</v>
      </c>
      <c r="G427" s="9">
        <v>16573500</v>
      </c>
    </row>
    <row r="428" spans="1:7">
      <c r="A428" s="616"/>
      <c r="B428" s="1995"/>
      <c r="C428" s="9" t="s">
        <v>3620</v>
      </c>
      <c r="D428" s="1078"/>
      <c r="E428" s="9">
        <v>13365600</v>
      </c>
      <c r="F428" s="9">
        <v>6760500</v>
      </c>
      <c r="G428" s="9">
        <v>20126100</v>
      </c>
    </row>
    <row r="429" spans="1:7">
      <c r="A429" s="616"/>
      <c r="B429" s="1995"/>
      <c r="C429" s="9" t="s">
        <v>3621</v>
      </c>
      <c r="D429" s="1078"/>
      <c r="E429" s="9">
        <v>15312300</v>
      </c>
      <c r="F429" s="9">
        <v>7574400</v>
      </c>
      <c r="G429" s="9">
        <v>22886700</v>
      </c>
    </row>
    <row r="430" spans="1:7">
      <c r="A430" s="616"/>
      <c r="B430" s="1995"/>
      <c r="C430" s="9" t="s">
        <v>3622</v>
      </c>
      <c r="D430" s="1078"/>
      <c r="E430" s="9">
        <v>13373079</v>
      </c>
      <c r="F430" s="9">
        <v>6727941</v>
      </c>
      <c r="G430" s="9">
        <v>20101020</v>
      </c>
    </row>
    <row r="431" spans="1:7">
      <c r="A431" s="616"/>
      <c r="B431" s="1995"/>
      <c r="C431" s="9" t="s">
        <v>3623</v>
      </c>
      <c r="D431" s="1078"/>
      <c r="E431" s="9">
        <v>14875823</v>
      </c>
      <c r="F431" s="9">
        <v>7619441</v>
      </c>
      <c r="G431" s="9">
        <v>22495264</v>
      </c>
    </row>
    <row r="432" spans="1:7">
      <c r="A432" s="616"/>
      <c r="B432" s="1995"/>
      <c r="C432" s="11" t="s">
        <v>239</v>
      </c>
      <c r="D432" s="1078"/>
      <c r="E432" s="11">
        <f>SUM(E420:E431)</f>
        <v>100465502</v>
      </c>
      <c r="F432" s="11">
        <f>SUM(F420:F431)</f>
        <v>51416582</v>
      </c>
      <c r="G432" s="11">
        <f>SUM(G420:G431)</f>
        <v>151882084</v>
      </c>
    </row>
    <row r="433" spans="1:7">
      <c r="A433" s="616">
        <v>611000000035</v>
      </c>
      <c r="B433" s="1994">
        <v>34</v>
      </c>
      <c r="C433" s="11" t="s">
        <v>546</v>
      </c>
      <c r="D433" s="1078" t="s">
        <v>271</v>
      </c>
      <c r="E433" s="9"/>
      <c r="F433" s="9"/>
      <c r="G433" s="9"/>
    </row>
    <row r="434" spans="1:7">
      <c r="A434" s="616"/>
      <c r="B434" s="1995"/>
      <c r="C434" s="9" t="s">
        <v>3612</v>
      </c>
      <c r="D434" s="1078"/>
      <c r="E434" s="9">
        <v>4026000</v>
      </c>
      <c r="F434" s="9">
        <v>1895100</v>
      </c>
      <c r="G434" s="9">
        <v>5921100</v>
      </c>
    </row>
    <row r="435" spans="1:7">
      <c r="A435" s="616"/>
      <c r="B435" s="1995"/>
      <c r="C435" s="9" t="s">
        <v>3613</v>
      </c>
      <c r="D435" s="1078"/>
      <c r="E435" s="9">
        <v>8508900</v>
      </c>
      <c r="F435" s="9">
        <v>4057500</v>
      </c>
      <c r="G435" s="9">
        <v>12566400</v>
      </c>
    </row>
    <row r="436" spans="1:7">
      <c r="A436" s="616"/>
      <c r="B436" s="1995"/>
      <c r="C436" s="9" t="s">
        <v>3614</v>
      </c>
      <c r="D436" s="1078"/>
      <c r="E436" s="9">
        <v>15610200</v>
      </c>
      <c r="F436" s="9">
        <v>7822200</v>
      </c>
      <c r="G436" s="9">
        <v>23432400</v>
      </c>
    </row>
    <row r="437" spans="1:7">
      <c r="A437" s="616"/>
      <c r="B437" s="1995"/>
      <c r="C437" s="9" t="s">
        <v>3709</v>
      </c>
      <c r="D437" s="1078"/>
      <c r="E437" s="9">
        <v>13889100</v>
      </c>
      <c r="F437" s="9">
        <v>6869100</v>
      </c>
      <c r="G437" s="9">
        <v>20758200</v>
      </c>
    </row>
    <row r="438" spans="1:7">
      <c r="A438" s="616"/>
      <c r="B438" s="1995"/>
      <c r="C438" s="9" t="s">
        <v>3616</v>
      </c>
      <c r="D438" s="1078"/>
      <c r="E438" s="9">
        <v>9334500</v>
      </c>
      <c r="F438" s="9">
        <v>4582200</v>
      </c>
      <c r="G438" s="9">
        <v>13916700</v>
      </c>
    </row>
    <row r="439" spans="1:7">
      <c r="A439" s="616"/>
      <c r="B439" s="1995"/>
      <c r="C439" s="9" t="s">
        <v>3617</v>
      </c>
      <c r="D439" s="1078"/>
      <c r="E439" s="9">
        <v>13922100</v>
      </c>
      <c r="F439" s="9">
        <v>6901200</v>
      </c>
      <c r="G439" s="9">
        <v>20823300</v>
      </c>
    </row>
    <row r="440" spans="1:7">
      <c r="A440" s="616"/>
      <c r="B440" s="1995"/>
      <c r="C440" s="9" t="s">
        <v>3618</v>
      </c>
      <c r="D440" s="1078"/>
      <c r="E440" s="9">
        <v>17439600</v>
      </c>
      <c r="F440" s="9">
        <v>8402400</v>
      </c>
      <c r="G440" s="9">
        <v>25842000</v>
      </c>
    </row>
    <row r="441" spans="1:7">
      <c r="A441" s="616"/>
      <c r="B441" s="1995"/>
      <c r="C441" s="9" t="s">
        <v>3619</v>
      </c>
      <c r="D441" s="1078"/>
      <c r="E441" s="9">
        <v>17781900</v>
      </c>
      <c r="F441" s="9">
        <v>8797500</v>
      </c>
      <c r="G441" s="9">
        <v>26579400</v>
      </c>
    </row>
    <row r="442" spans="1:7">
      <c r="A442" s="616"/>
      <c r="B442" s="1995"/>
      <c r="C442" s="9" t="s">
        <v>3620</v>
      </c>
      <c r="D442" s="1078"/>
      <c r="E442" s="9">
        <v>3121500</v>
      </c>
      <c r="F442" s="9">
        <v>1602000</v>
      </c>
      <c r="G442" s="9">
        <v>4723500</v>
      </c>
    </row>
    <row r="443" spans="1:7">
      <c r="A443" s="616"/>
      <c r="B443" s="1995"/>
      <c r="C443" s="9" t="s">
        <v>3621</v>
      </c>
      <c r="D443" s="1078"/>
      <c r="E443" s="9">
        <v>0</v>
      </c>
      <c r="F443" s="9">
        <v>0</v>
      </c>
      <c r="G443" s="9">
        <v>0</v>
      </c>
    </row>
    <row r="444" spans="1:7">
      <c r="A444" s="616"/>
      <c r="B444" s="1995"/>
      <c r="C444" s="9" t="s">
        <v>3622</v>
      </c>
      <c r="D444" s="1078"/>
      <c r="E444" s="9">
        <v>863700</v>
      </c>
      <c r="F444" s="9">
        <v>332700</v>
      </c>
      <c r="G444" s="9">
        <v>1196400</v>
      </c>
    </row>
    <row r="445" spans="1:7">
      <c r="A445" s="616"/>
      <c r="B445" s="1995"/>
      <c r="C445" s="9" t="s">
        <v>3623</v>
      </c>
      <c r="D445" s="1078"/>
      <c r="E445" s="9">
        <v>7446000</v>
      </c>
      <c r="F445" s="9">
        <v>3501000</v>
      </c>
      <c r="G445" s="9">
        <v>10947000</v>
      </c>
    </row>
    <row r="446" spans="1:7">
      <c r="A446" s="616"/>
      <c r="B446" s="1995"/>
      <c r="C446" s="11" t="s">
        <v>239</v>
      </c>
      <c r="D446" s="1078"/>
      <c r="E446" s="11">
        <f>SUM(E434:E445)</f>
        <v>111943500</v>
      </c>
      <c r="F446" s="11">
        <f>SUM(F434:F445)</f>
        <v>54762900</v>
      </c>
      <c r="G446" s="11">
        <f>SUM(G434:G445)</f>
        <v>166706400</v>
      </c>
    </row>
    <row r="447" spans="1:7">
      <c r="A447" s="616">
        <v>611000000056</v>
      </c>
      <c r="B447" s="1994">
        <v>35</v>
      </c>
      <c r="C447" s="11" t="s">
        <v>566</v>
      </c>
      <c r="D447" s="1078" t="s">
        <v>271</v>
      </c>
      <c r="E447" s="9"/>
      <c r="F447" s="9"/>
      <c r="G447" s="9"/>
    </row>
    <row r="448" spans="1:7">
      <c r="A448" s="616"/>
      <c r="B448" s="1995"/>
      <c r="C448" s="9" t="s">
        <v>3612</v>
      </c>
      <c r="D448" s="1078"/>
      <c r="E448" s="9">
        <v>2982480</v>
      </c>
      <c r="F448" s="9">
        <v>1458720</v>
      </c>
      <c r="G448" s="9">
        <v>4441200</v>
      </c>
    </row>
    <row r="449" spans="1:7">
      <c r="A449" s="616"/>
      <c r="B449" s="1995"/>
      <c r="C449" s="9" t="s">
        <v>3613</v>
      </c>
      <c r="D449" s="1078"/>
      <c r="E449" s="9">
        <v>3104640</v>
      </c>
      <c r="F449" s="9">
        <v>1561860</v>
      </c>
      <c r="G449" s="9">
        <v>4666500</v>
      </c>
    </row>
    <row r="450" spans="1:7">
      <c r="A450" s="616"/>
      <c r="B450" s="1995"/>
      <c r="C450" s="9" t="s">
        <v>3614</v>
      </c>
      <c r="D450" s="1078"/>
      <c r="E450" s="9">
        <v>3221280</v>
      </c>
      <c r="F450" s="9">
        <v>1607580</v>
      </c>
      <c r="G450" s="9">
        <v>4828860</v>
      </c>
    </row>
    <row r="451" spans="1:7">
      <c r="A451" s="616"/>
      <c r="B451" s="1995"/>
      <c r="C451" s="9" t="s">
        <v>3709</v>
      </c>
      <c r="D451" s="1078"/>
      <c r="E451" s="9">
        <v>3210660</v>
      </c>
      <c r="F451" s="9">
        <v>1616220</v>
      </c>
      <c r="G451" s="9">
        <v>4826880</v>
      </c>
    </row>
    <row r="452" spans="1:7">
      <c r="A452" s="616"/>
      <c r="B452" s="1995"/>
      <c r="C452" s="9" t="s">
        <v>3616</v>
      </c>
      <c r="D452" s="1078"/>
      <c r="E452" s="9">
        <v>3096360</v>
      </c>
      <c r="F452" s="9">
        <v>1514340</v>
      </c>
      <c r="G452" s="9">
        <v>4610700</v>
      </c>
    </row>
    <row r="453" spans="1:7">
      <c r="A453" s="616"/>
      <c r="B453" s="1995"/>
      <c r="C453" s="9" t="s">
        <v>3617</v>
      </c>
      <c r="D453" s="1078"/>
      <c r="E453" s="9">
        <v>3088080</v>
      </c>
      <c r="F453" s="9">
        <v>1565640</v>
      </c>
      <c r="G453" s="9">
        <v>4653720</v>
      </c>
    </row>
    <row r="454" spans="1:7">
      <c r="A454" s="616"/>
      <c r="B454" s="1995"/>
      <c r="C454" s="9" t="s">
        <v>3618</v>
      </c>
      <c r="D454" s="1078"/>
      <c r="E454" s="9">
        <v>5220900</v>
      </c>
      <c r="F454" s="9">
        <v>2566800</v>
      </c>
      <c r="G454" s="9">
        <v>7787700</v>
      </c>
    </row>
    <row r="455" spans="1:7">
      <c r="A455" s="616"/>
      <c r="B455" s="1995"/>
      <c r="C455" s="9" t="s">
        <v>3619</v>
      </c>
      <c r="D455" s="1078"/>
      <c r="E455" s="9">
        <v>5493420</v>
      </c>
      <c r="F455" s="9">
        <v>2760840</v>
      </c>
      <c r="G455" s="9">
        <v>8254260</v>
      </c>
    </row>
    <row r="456" spans="1:7">
      <c r="A456" s="616"/>
      <c r="B456" s="1995"/>
      <c r="C456" s="9" t="s">
        <v>3620</v>
      </c>
      <c r="D456" s="1078"/>
      <c r="E456" s="9">
        <v>6392520</v>
      </c>
      <c r="F456" s="9">
        <v>3146580</v>
      </c>
      <c r="G456" s="9">
        <v>9539100</v>
      </c>
    </row>
    <row r="457" spans="1:7">
      <c r="A457" s="616"/>
      <c r="B457" s="1995"/>
      <c r="C457" s="9" t="s">
        <v>3621</v>
      </c>
      <c r="D457" s="1078"/>
      <c r="E457" s="9">
        <v>6195420</v>
      </c>
      <c r="F457" s="9">
        <v>3113280</v>
      </c>
      <c r="G457" s="9">
        <v>9308700</v>
      </c>
    </row>
    <row r="458" spans="1:7">
      <c r="A458" s="616"/>
      <c r="B458" s="1995"/>
      <c r="C458" s="9" t="s">
        <v>3622</v>
      </c>
      <c r="D458" s="1078"/>
      <c r="E458" s="9">
        <v>5312520</v>
      </c>
      <c r="F458" s="9">
        <v>2731320</v>
      </c>
      <c r="G458" s="9">
        <v>8043840</v>
      </c>
    </row>
    <row r="459" spans="1:7">
      <c r="A459" s="616"/>
      <c r="B459" s="1995"/>
      <c r="C459" s="9" t="s">
        <v>3623</v>
      </c>
      <c r="D459" s="1078"/>
      <c r="E459" s="9">
        <v>4288860</v>
      </c>
      <c r="F459" s="9">
        <v>2124900</v>
      </c>
      <c r="G459" s="9">
        <v>6413760</v>
      </c>
    </row>
    <row r="460" spans="1:7">
      <c r="A460" s="616"/>
      <c r="B460" s="1995"/>
      <c r="C460" s="11" t="s">
        <v>239</v>
      </c>
      <c r="D460" s="1078"/>
      <c r="E460" s="11">
        <f>SUM(E448:E459)</f>
        <v>51607140</v>
      </c>
      <c r="F460" s="11">
        <f>SUM(F448:F459)</f>
        <v>25768080</v>
      </c>
      <c r="G460" s="11">
        <f>SUM(G448:G459)</f>
        <v>77375220</v>
      </c>
    </row>
    <row r="461" spans="1:7">
      <c r="A461" s="616">
        <v>611000000061</v>
      </c>
      <c r="B461" s="1994">
        <v>36</v>
      </c>
      <c r="C461" s="11" t="s">
        <v>664</v>
      </c>
      <c r="D461" s="1078" t="s">
        <v>259</v>
      </c>
      <c r="E461" s="9"/>
      <c r="F461" s="9"/>
      <c r="G461" s="9"/>
    </row>
    <row r="462" spans="1:7">
      <c r="A462" s="616"/>
      <c r="B462" s="1995"/>
      <c r="C462" s="9" t="s">
        <v>3612</v>
      </c>
      <c r="D462" s="1078"/>
      <c r="E462" s="9">
        <v>133500</v>
      </c>
      <c r="F462" s="9">
        <v>197520</v>
      </c>
      <c r="G462" s="9">
        <v>331020</v>
      </c>
    </row>
    <row r="463" spans="1:7">
      <c r="A463" s="616"/>
      <c r="B463" s="1995"/>
      <c r="C463" s="9" t="s">
        <v>3613</v>
      </c>
      <c r="D463" s="1078"/>
      <c r="E463" s="9">
        <v>130170</v>
      </c>
      <c r="F463" s="9">
        <v>237990</v>
      </c>
      <c r="G463" s="9">
        <v>368160</v>
      </c>
    </row>
    <row r="464" spans="1:7">
      <c r="A464" s="616"/>
      <c r="B464" s="1995"/>
      <c r="C464" s="9" t="s">
        <v>3614</v>
      </c>
      <c r="D464" s="1078"/>
      <c r="E464" s="9">
        <v>119640</v>
      </c>
      <c r="F464" s="9">
        <v>220560</v>
      </c>
      <c r="G464" s="9">
        <v>340200</v>
      </c>
    </row>
    <row r="465" spans="1:7">
      <c r="A465" s="616"/>
      <c r="B465" s="1995"/>
      <c r="C465" s="9" t="s">
        <v>3709</v>
      </c>
      <c r="D465" s="1078"/>
      <c r="E465" s="9">
        <v>96930</v>
      </c>
      <c r="F465" s="9">
        <v>162990</v>
      </c>
      <c r="G465" s="9">
        <v>259920</v>
      </c>
    </row>
    <row r="466" spans="1:7">
      <c r="A466" s="616"/>
      <c r="B466" s="1995"/>
      <c r="C466" s="9" t="s">
        <v>3616</v>
      </c>
      <c r="D466" s="1078"/>
      <c r="E466" s="9">
        <v>79980</v>
      </c>
      <c r="F466" s="9">
        <v>165240</v>
      </c>
      <c r="G466" s="9">
        <v>245220</v>
      </c>
    </row>
    <row r="467" spans="1:7">
      <c r="A467" s="616"/>
      <c r="B467" s="1995"/>
      <c r="C467" s="9" t="s">
        <v>3617</v>
      </c>
      <c r="D467" s="1078"/>
      <c r="E467" s="9">
        <v>112260</v>
      </c>
      <c r="F467" s="9">
        <v>164220</v>
      </c>
      <c r="G467" s="9">
        <v>276480</v>
      </c>
    </row>
    <row r="468" spans="1:7">
      <c r="A468" s="616"/>
      <c r="B468" s="1995"/>
      <c r="C468" s="9" t="s">
        <v>3618</v>
      </c>
      <c r="D468" s="1078"/>
      <c r="E468" s="9">
        <v>129210</v>
      </c>
      <c r="F468" s="9">
        <v>182910</v>
      </c>
      <c r="G468" s="9">
        <v>312120</v>
      </c>
    </row>
    <row r="469" spans="1:7">
      <c r="A469" s="616"/>
      <c r="B469" s="1995"/>
      <c r="C469" s="9" t="s">
        <v>3619</v>
      </c>
      <c r="D469" s="1078"/>
      <c r="E469" s="9">
        <v>135210</v>
      </c>
      <c r="F469" s="9">
        <v>190680</v>
      </c>
      <c r="G469" s="9">
        <v>325890</v>
      </c>
    </row>
    <row r="470" spans="1:7">
      <c r="A470" s="616"/>
      <c r="B470" s="1995"/>
      <c r="C470" s="9" t="s">
        <v>3620</v>
      </c>
      <c r="D470" s="1078"/>
      <c r="E470" s="9">
        <v>115830</v>
      </c>
      <c r="F470" s="9">
        <v>237750</v>
      </c>
      <c r="G470" s="9">
        <v>353580</v>
      </c>
    </row>
    <row r="471" spans="1:7">
      <c r="A471" s="616"/>
      <c r="B471" s="1995"/>
      <c r="C471" s="9" t="s">
        <v>3621</v>
      </c>
      <c r="D471" s="1078"/>
      <c r="E471" s="9">
        <v>94950</v>
      </c>
      <c r="F471" s="9">
        <v>216300</v>
      </c>
      <c r="G471" s="9">
        <v>311250</v>
      </c>
    </row>
    <row r="472" spans="1:7">
      <c r="A472" s="616"/>
      <c r="B472" s="1995"/>
      <c r="C472" s="9" t="s">
        <v>3622</v>
      </c>
      <c r="D472" s="1078"/>
      <c r="E472" s="9">
        <v>82980</v>
      </c>
      <c r="F472" s="9">
        <v>210720</v>
      </c>
      <c r="G472" s="9">
        <v>293700</v>
      </c>
    </row>
    <row r="473" spans="1:7">
      <c r="A473" s="616"/>
      <c r="B473" s="1995"/>
      <c r="C473" s="9" t="s">
        <v>3623</v>
      </c>
      <c r="D473" s="1078"/>
      <c r="E473" s="9">
        <v>100680</v>
      </c>
      <c r="F473" s="9">
        <v>242880</v>
      </c>
      <c r="G473" s="9">
        <v>343560</v>
      </c>
    </row>
    <row r="474" spans="1:7">
      <c r="A474" s="616"/>
      <c r="B474" s="1995"/>
      <c r="C474" s="11" t="s">
        <v>239</v>
      </c>
      <c r="D474" s="1078"/>
      <c r="E474" s="11">
        <f>SUM(E462:E473)</f>
        <v>1331340</v>
      </c>
      <c r="F474" s="11">
        <f>SUM(F462:F473)</f>
        <v>2429760</v>
      </c>
      <c r="G474" s="11">
        <f>SUM(G462:G473)</f>
        <v>3761100</v>
      </c>
    </row>
    <row r="475" spans="1:7">
      <c r="A475" s="616">
        <v>611000000066</v>
      </c>
      <c r="B475" s="1994">
        <v>37</v>
      </c>
      <c r="C475" s="11" t="s">
        <v>568</v>
      </c>
      <c r="D475" s="1078" t="s">
        <v>271</v>
      </c>
      <c r="E475" s="9"/>
      <c r="F475" s="9"/>
      <c r="G475" s="9"/>
    </row>
    <row r="476" spans="1:7">
      <c r="A476" s="616"/>
      <c r="B476" s="1995"/>
      <c r="C476" s="9" t="s">
        <v>3612</v>
      </c>
      <c r="D476" s="1078"/>
      <c r="E476" s="9">
        <v>7357560</v>
      </c>
      <c r="F476" s="9">
        <v>3760080</v>
      </c>
      <c r="G476" s="9">
        <v>11117640</v>
      </c>
    </row>
    <row r="477" spans="1:7">
      <c r="A477" s="616"/>
      <c r="B477" s="1995"/>
      <c r="C477" s="9" t="s">
        <v>3613</v>
      </c>
      <c r="D477" s="1078"/>
      <c r="E477" s="9">
        <v>6690240</v>
      </c>
      <c r="F477" s="9">
        <v>3297960</v>
      </c>
      <c r="G477" s="9">
        <v>9988200</v>
      </c>
    </row>
    <row r="478" spans="1:7">
      <c r="A478" s="616"/>
      <c r="B478" s="1995"/>
      <c r="C478" s="9" t="s">
        <v>3614</v>
      </c>
      <c r="D478" s="1078"/>
      <c r="E478" s="9">
        <v>5294400</v>
      </c>
      <c r="F478" s="9">
        <v>2709480</v>
      </c>
      <c r="G478" s="9">
        <v>8003880</v>
      </c>
    </row>
    <row r="479" spans="1:7">
      <c r="A479" s="616"/>
      <c r="B479" s="1995"/>
      <c r="C479" s="9" t="s">
        <v>3709</v>
      </c>
      <c r="D479" s="1078"/>
      <c r="E479" s="9">
        <v>6145320</v>
      </c>
      <c r="F479" s="9">
        <v>3319800</v>
      </c>
      <c r="G479" s="9">
        <v>9465120</v>
      </c>
    </row>
    <row r="480" spans="1:7">
      <c r="A480" s="616"/>
      <c r="B480" s="1995"/>
      <c r="C480" s="9" t="s">
        <v>3616</v>
      </c>
      <c r="D480" s="1078"/>
      <c r="E480" s="9">
        <v>5505120</v>
      </c>
      <c r="F480" s="9">
        <v>2820120</v>
      </c>
      <c r="G480" s="9">
        <v>8325240</v>
      </c>
    </row>
    <row r="481" spans="1:7">
      <c r="A481" s="616"/>
      <c r="B481" s="1995"/>
      <c r="C481" s="9" t="s">
        <v>3617</v>
      </c>
      <c r="D481" s="1078"/>
      <c r="E481" s="9">
        <v>6978840</v>
      </c>
      <c r="F481" s="9">
        <v>3599760</v>
      </c>
      <c r="G481" s="9">
        <v>10578600</v>
      </c>
    </row>
    <row r="482" spans="1:7">
      <c r="A482" s="616"/>
      <c r="B482" s="1995"/>
      <c r="C482" s="9" t="s">
        <v>3618</v>
      </c>
      <c r="D482" s="1078"/>
      <c r="E482" s="9">
        <v>6681720</v>
      </c>
      <c r="F482" s="9">
        <v>3351840</v>
      </c>
      <c r="G482" s="9">
        <v>10033560</v>
      </c>
    </row>
    <row r="483" spans="1:7">
      <c r="A483" s="616"/>
      <c r="B483" s="1995"/>
      <c r="C483" s="9" t="s">
        <v>3619</v>
      </c>
      <c r="D483" s="1078"/>
      <c r="E483" s="9">
        <v>4283160</v>
      </c>
      <c r="F483" s="9">
        <v>2204520</v>
      </c>
      <c r="G483" s="9">
        <v>6487680</v>
      </c>
    </row>
    <row r="484" spans="1:7">
      <c r="A484" s="616"/>
      <c r="B484" s="1995"/>
      <c r="C484" s="9" t="s">
        <v>3620</v>
      </c>
      <c r="D484" s="1078"/>
      <c r="E484" s="9">
        <v>7458600</v>
      </c>
      <c r="F484" s="9">
        <v>3905760</v>
      </c>
      <c r="G484" s="9">
        <v>11364360</v>
      </c>
    </row>
    <row r="485" spans="1:7">
      <c r="A485" s="616"/>
      <c r="B485" s="1995"/>
      <c r="C485" s="9" t="s">
        <v>3621</v>
      </c>
      <c r="D485" s="1078"/>
      <c r="E485" s="9">
        <v>7727760</v>
      </c>
      <c r="F485" s="9">
        <v>3923760</v>
      </c>
      <c r="G485" s="9">
        <v>11651520</v>
      </c>
    </row>
    <row r="486" spans="1:7">
      <c r="A486" s="616"/>
      <c r="B486" s="1995"/>
      <c r="C486" s="9" t="s">
        <v>3622</v>
      </c>
      <c r="D486" s="1078"/>
      <c r="E486" s="9">
        <v>6690480</v>
      </c>
      <c r="F486" s="9">
        <v>3500640</v>
      </c>
      <c r="G486" s="9">
        <v>10191120</v>
      </c>
    </row>
    <row r="487" spans="1:7">
      <c r="A487" s="616"/>
      <c r="B487" s="1995"/>
      <c r="C487" s="9" t="s">
        <v>3623</v>
      </c>
      <c r="D487" s="1078"/>
      <c r="E487" s="9">
        <v>6908400</v>
      </c>
      <c r="F487" s="9">
        <v>3546840</v>
      </c>
      <c r="G487" s="9">
        <v>10455240</v>
      </c>
    </row>
    <row r="488" spans="1:7">
      <c r="A488" s="616"/>
      <c r="B488" s="1995"/>
      <c r="C488" s="11" t="s">
        <v>239</v>
      </c>
      <c r="D488" s="1078"/>
      <c r="E488" s="11">
        <f>SUM(E476:E487)</f>
        <v>77721600</v>
      </c>
      <c r="F488" s="11">
        <f>SUM(F476:F487)</f>
        <v>39940560</v>
      </c>
      <c r="G488" s="11">
        <f>SUM(G476:G487)</f>
        <v>117662160</v>
      </c>
    </row>
    <row r="489" spans="1:7">
      <c r="A489" s="616">
        <v>611000000075</v>
      </c>
      <c r="B489" s="1994">
        <v>38</v>
      </c>
      <c r="C489" s="11" t="s">
        <v>610</v>
      </c>
      <c r="D489" s="1078" t="s">
        <v>271</v>
      </c>
      <c r="E489" s="9"/>
      <c r="F489" s="9"/>
      <c r="G489" s="9"/>
    </row>
    <row r="490" spans="1:7">
      <c r="A490" s="616"/>
      <c r="B490" s="1995"/>
      <c r="C490" s="9" t="s">
        <v>3612</v>
      </c>
      <c r="D490" s="1078"/>
      <c r="E490" s="9">
        <v>2231760</v>
      </c>
      <c r="F490" s="9">
        <v>1074960</v>
      </c>
      <c r="G490" s="9">
        <v>3306720</v>
      </c>
    </row>
    <row r="491" spans="1:7">
      <c r="A491" s="616"/>
      <c r="B491" s="1995"/>
      <c r="C491" s="9" t="s">
        <v>3613</v>
      </c>
      <c r="D491" s="1078"/>
      <c r="E491" s="9">
        <v>2027040</v>
      </c>
      <c r="F491" s="9">
        <v>916080</v>
      </c>
      <c r="G491" s="9">
        <v>2943120</v>
      </c>
    </row>
    <row r="492" spans="1:7">
      <c r="A492" s="616"/>
      <c r="B492" s="1995"/>
      <c r="C492" s="9" t="s">
        <v>3614</v>
      </c>
      <c r="D492" s="1078"/>
      <c r="E492" s="9">
        <v>1217040</v>
      </c>
      <c r="F492" s="9">
        <v>621840</v>
      </c>
      <c r="G492" s="9">
        <v>1838880</v>
      </c>
    </row>
    <row r="493" spans="1:7">
      <c r="A493" s="616"/>
      <c r="B493" s="1995"/>
      <c r="C493" s="9" t="s">
        <v>3709</v>
      </c>
      <c r="D493" s="1078"/>
      <c r="E493" s="9">
        <v>1535040</v>
      </c>
      <c r="F493" s="9">
        <v>699360</v>
      </c>
      <c r="G493" s="9">
        <v>2234400</v>
      </c>
    </row>
    <row r="494" spans="1:7">
      <c r="A494" s="616"/>
      <c r="B494" s="1995"/>
      <c r="C494" s="9" t="s">
        <v>3616</v>
      </c>
      <c r="D494" s="1078"/>
      <c r="E494" s="9">
        <v>1624560</v>
      </c>
      <c r="F494" s="9">
        <v>782400</v>
      </c>
      <c r="G494" s="9">
        <v>2406960</v>
      </c>
    </row>
    <row r="495" spans="1:7">
      <c r="A495" s="616"/>
      <c r="B495" s="1995"/>
      <c r="C495" s="9" t="s">
        <v>3617</v>
      </c>
      <c r="D495" s="1078"/>
      <c r="E495" s="9">
        <v>1567920</v>
      </c>
      <c r="F495" s="9">
        <v>738720</v>
      </c>
      <c r="G495" s="9">
        <v>2306640</v>
      </c>
    </row>
    <row r="496" spans="1:7">
      <c r="A496" s="616"/>
      <c r="B496" s="1995"/>
      <c r="C496" s="9" t="s">
        <v>3618</v>
      </c>
      <c r="D496" s="1078"/>
      <c r="E496" s="9">
        <v>1574640</v>
      </c>
      <c r="F496" s="9">
        <v>745440</v>
      </c>
      <c r="G496" s="9">
        <v>2320080</v>
      </c>
    </row>
    <row r="497" spans="1:7">
      <c r="A497" s="616"/>
      <c r="B497" s="1995"/>
      <c r="C497" s="9" t="s">
        <v>3619</v>
      </c>
      <c r="D497" s="1078"/>
      <c r="E497" s="9">
        <v>1707840</v>
      </c>
      <c r="F497" s="9">
        <v>781200</v>
      </c>
      <c r="G497" s="9">
        <v>2489040</v>
      </c>
    </row>
    <row r="498" spans="1:7">
      <c r="A498" s="616"/>
      <c r="B498" s="1995"/>
      <c r="C498" s="9" t="s">
        <v>3620</v>
      </c>
      <c r="D498" s="1078"/>
      <c r="E498" s="9">
        <v>1725600</v>
      </c>
      <c r="F498" s="9">
        <v>767520</v>
      </c>
      <c r="G498" s="9">
        <v>2493120</v>
      </c>
    </row>
    <row r="499" spans="1:7">
      <c r="A499" s="616"/>
      <c r="B499" s="1995"/>
      <c r="C499" s="9" t="s">
        <v>3621</v>
      </c>
      <c r="D499" s="1078"/>
      <c r="E499" s="9">
        <v>1669440</v>
      </c>
      <c r="F499" s="9">
        <v>809760</v>
      </c>
      <c r="G499" s="9">
        <v>2479200</v>
      </c>
    </row>
    <row r="500" spans="1:7">
      <c r="A500" s="616"/>
      <c r="B500" s="1995"/>
      <c r="C500" s="9" t="s">
        <v>3622</v>
      </c>
      <c r="D500" s="1078"/>
      <c r="E500" s="9">
        <v>1670160</v>
      </c>
      <c r="F500" s="9">
        <v>756240</v>
      </c>
      <c r="G500" s="9">
        <v>2426400</v>
      </c>
    </row>
    <row r="501" spans="1:7">
      <c r="A501" s="616"/>
      <c r="B501" s="1995"/>
      <c r="C501" s="9" t="s">
        <v>3623</v>
      </c>
      <c r="D501" s="1078"/>
      <c r="E501" s="9">
        <v>1946160</v>
      </c>
      <c r="F501" s="9">
        <v>992880</v>
      </c>
      <c r="G501" s="9">
        <v>2939040</v>
      </c>
    </row>
    <row r="502" spans="1:7">
      <c r="A502" s="616"/>
      <c r="B502" s="1995"/>
      <c r="C502" s="11" t="s">
        <v>239</v>
      </c>
      <c r="D502" s="1078"/>
      <c r="E502" s="11">
        <f>SUM(E490:E501)</f>
        <v>20497200</v>
      </c>
      <c r="F502" s="11">
        <f>SUM(F490:F501)</f>
        <v>9686400</v>
      </c>
      <c r="G502" s="11">
        <f>SUM(G490:G501)</f>
        <v>30183600</v>
      </c>
    </row>
    <row r="503" spans="1:7">
      <c r="A503" s="616">
        <v>611000000078</v>
      </c>
      <c r="B503" s="1994">
        <v>39</v>
      </c>
      <c r="C503" s="11" t="s">
        <v>540</v>
      </c>
      <c r="D503" s="1078" t="s">
        <v>271</v>
      </c>
      <c r="E503" s="9"/>
      <c r="F503" s="9"/>
      <c r="G503" s="9"/>
    </row>
    <row r="504" spans="1:7">
      <c r="A504" s="616"/>
      <c r="B504" s="1995"/>
      <c r="C504" s="9" t="s">
        <v>3612</v>
      </c>
      <c r="D504" s="1078"/>
      <c r="E504" s="9">
        <v>12805433</v>
      </c>
      <c r="F504" s="9">
        <v>4631023</v>
      </c>
      <c r="G504" s="9">
        <v>17436456</v>
      </c>
    </row>
    <row r="505" spans="1:7">
      <c r="A505" s="616"/>
      <c r="B505" s="1995"/>
      <c r="C505" s="9" t="s">
        <v>3613</v>
      </c>
      <c r="D505" s="1078"/>
      <c r="E505" s="9">
        <v>10688531</v>
      </c>
      <c r="F505" s="9">
        <v>3911898</v>
      </c>
      <c r="G505" s="9">
        <v>14600429</v>
      </c>
    </row>
    <row r="506" spans="1:7">
      <c r="A506" s="616"/>
      <c r="B506" s="1995"/>
      <c r="C506" s="9" t="s">
        <v>3614</v>
      </c>
      <c r="D506" s="1078"/>
      <c r="E506" s="9">
        <v>14024165</v>
      </c>
      <c r="F506" s="9">
        <v>5575802</v>
      </c>
      <c r="G506" s="9">
        <v>19599967</v>
      </c>
    </row>
    <row r="507" spans="1:7">
      <c r="A507" s="616"/>
      <c r="B507" s="1995"/>
      <c r="C507" s="9" t="s">
        <v>3709</v>
      </c>
      <c r="D507" s="1078"/>
      <c r="E507" s="9">
        <v>10468969</v>
      </c>
      <c r="F507" s="9">
        <v>3949484</v>
      </c>
      <c r="G507" s="9">
        <v>14418453</v>
      </c>
    </row>
    <row r="508" spans="1:7">
      <c r="A508" s="616"/>
      <c r="B508" s="1995"/>
      <c r="C508" s="9" t="s">
        <v>3616</v>
      </c>
      <c r="D508" s="1078"/>
      <c r="E508" s="9">
        <v>13195886</v>
      </c>
      <c r="F508" s="9">
        <v>6253586</v>
      </c>
      <c r="G508" s="9">
        <v>19449472</v>
      </c>
    </row>
    <row r="509" spans="1:7">
      <c r="A509" s="616"/>
      <c r="B509" s="1995"/>
      <c r="C509" s="9" t="s">
        <v>3617</v>
      </c>
      <c r="D509" s="1078"/>
      <c r="E509" s="9">
        <v>10244466</v>
      </c>
      <c r="F509" s="9">
        <v>3727880</v>
      </c>
      <c r="G509" s="9">
        <v>13972346</v>
      </c>
    </row>
    <row r="510" spans="1:7">
      <c r="A510" s="616"/>
      <c r="B510" s="1995"/>
      <c r="C510" s="9" t="s">
        <v>3618</v>
      </c>
      <c r="D510" s="1078"/>
      <c r="E510" s="9">
        <v>13258118</v>
      </c>
      <c r="F510" s="9">
        <v>5722321</v>
      </c>
      <c r="G510" s="9">
        <v>18980439</v>
      </c>
    </row>
    <row r="511" spans="1:7">
      <c r="A511" s="616"/>
      <c r="B511" s="1995"/>
      <c r="C511" s="9" t="s">
        <v>3619</v>
      </c>
      <c r="D511" s="1078"/>
      <c r="E511" s="9">
        <v>16259277</v>
      </c>
      <c r="F511" s="9">
        <v>5336103</v>
      </c>
      <c r="G511" s="9">
        <v>21595380</v>
      </c>
    </row>
    <row r="512" spans="1:7">
      <c r="A512" s="616"/>
      <c r="B512" s="1995"/>
      <c r="C512" s="9" t="s">
        <v>3620</v>
      </c>
      <c r="D512" s="1078"/>
      <c r="E512" s="9">
        <v>13583941</v>
      </c>
      <c r="F512" s="9">
        <v>3629285</v>
      </c>
      <c r="G512" s="9">
        <v>17213226</v>
      </c>
    </row>
    <row r="513" spans="1:7">
      <c r="A513" s="616"/>
      <c r="B513" s="1995"/>
      <c r="C513" s="9" t="s">
        <v>3621</v>
      </c>
      <c r="D513" s="1078"/>
      <c r="E513" s="9">
        <v>10253963</v>
      </c>
      <c r="F513" s="9">
        <v>3479133</v>
      </c>
      <c r="G513" s="9">
        <v>13733096</v>
      </c>
    </row>
    <row r="514" spans="1:7">
      <c r="A514" s="616"/>
      <c r="B514" s="1995"/>
      <c r="C514" s="9" t="s">
        <v>3622</v>
      </c>
      <c r="D514" s="1078"/>
      <c r="E514" s="9">
        <v>12239797</v>
      </c>
      <c r="F514" s="9">
        <v>3803127</v>
      </c>
      <c r="G514" s="9">
        <v>16042924</v>
      </c>
    </row>
    <row r="515" spans="1:7">
      <c r="A515" s="616"/>
      <c r="B515" s="1995"/>
      <c r="C515" s="9" t="s">
        <v>3623</v>
      </c>
      <c r="D515" s="1078"/>
      <c r="E515" s="9">
        <v>13959645</v>
      </c>
      <c r="F515" s="9">
        <v>5085365</v>
      </c>
      <c r="G515" s="9">
        <v>19045010</v>
      </c>
    </row>
    <row r="516" spans="1:7">
      <c r="A516" s="616"/>
      <c r="B516" s="1995"/>
      <c r="C516" s="11" t="s">
        <v>239</v>
      </c>
      <c r="D516" s="1078"/>
      <c r="E516" s="11">
        <f>SUM(E504:E515)</f>
        <v>150982191</v>
      </c>
      <c r="F516" s="11">
        <f>SUM(F504:F515)</f>
        <v>55105007</v>
      </c>
      <c r="G516" s="11">
        <f>SUM(G504:G515)</f>
        <v>206087198</v>
      </c>
    </row>
    <row r="517" spans="1:7">
      <c r="A517" s="616">
        <v>611000000086</v>
      </c>
      <c r="B517" s="1994">
        <v>40</v>
      </c>
      <c r="C517" s="11" t="s">
        <v>666</v>
      </c>
      <c r="D517" s="1078" t="s">
        <v>259</v>
      </c>
      <c r="E517" s="9"/>
      <c r="F517" s="9"/>
      <c r="G517" s="9"/>
    </row>
    <row r="518" spans="1:7">
      <c r="A518" s="616"/>
      <c r="B518" s="1995"/>
      <c r="C518" s="9" t="s">
        <v>3612</v>
      </c>
      <c r="D518" s="1078"/>
      <c r="E518" s="9">
        <v>581553</v>
      </c>
      <c r="F518" s="9">
        <v>298637</v>
      </c>
      <c r="G518" s="9">
        <v>880190</v>
      </c>
    </row>
    <row r="519" spans="1:7">
      <c r="A519" s="616"/>
      <c r="B519" s="1995"/>
      <c r="C519" s="9" t="s">
        <v>3613</v>
      </c>
      <c r="D519" s="1078"/>
      <c r="E519" s="9">
        <v>482273</v>
      </c>
      <c r="F519" s="9">
        <v>254636</v>
      </c>
      <c r="G519" s="9">
        <v>736909</v>
      </c>
    </row>
    <row r="520" spans="1:7">
      <c r="A520" s="616"/>
      <c r="B520" s="1995"/>
      <c r="C520" s="9" t="s">
        <v>3614</v>
      </c>
      <c r="D520" s="1078"/>
      <c r="E520" s="9">
        <v>428849</v>
      </c>
      <c r="F520" s="9">
        <v>227915</v>
      </c>
      <c r="G520" s="9">
        <v>656764</v>
      </c>
    </row>
    <row r="521" spans="1:7">
      <c r="A521" s="616"/>
      <c r="B521" s="1995"/>
      <c r="C521" s="9" t="s">
        <v>3709</v>
      </c>
      <c r="D521" s="1078"/>
      <c r="E521" s="9">
        <v>476711</v>
      </c>
      <c r="F521" s="9">
        <v>243587</v>
      </c>
      <c r="G521" s="9">
        <v>720298</v>
      </c>
    </row>
    <row r="522" spans="1:7">
      <c r="A522" s="616"/>
      <c r="B522" s="1995"/>
      <c r="C522" s="9" t="s">
        <v>3616</v>
      </c>
      <c r="D522" s="1078"/>
      <c r="E522" s="9">
        <v>375305</v>
      </c>
      <c r="F522" s="9">
        <v>210859</v>
      </c>
      <c r="G522" s="9">
        <v>586164</v>
      </c>
    </row>
    <row r="523" spans="1:7">
      <c r="A523" s="616"/>
      <c r="B523" s="1995"/>
      <c r="C523" s="9" t="s">
        <v>3617</v>
      </c>
      <c r="D523" s="1078"/>
      <c r="E523" s="9">
        <v>210594</v>
      </c>
      <c r="F523" s="9">
        <v>84391</v>
      </c>
      <c r="G523" s="9">
        <v>294985</v>
      </c>
    </row>
    <row r="524" spans="1:7">
      <c r="A524" s="616"/>
      <c r="B524" s="1995"/>
      <c r="C524" s="9" t="s">
        <v>3618</v>
      </c>
      <c r="D524" s="1078"/>
      <c r="E524" s="9">
        <v>185086</v>
      </c>
      <c r="F524" s="9">
        <v>80516</v>
      </c>
      <c r="G524" s="9">
        <v>265602</v>
      </c>
    </row>
    <row r="525" spans="1:7">
      <c r="A525" s="616"/>
      <c r="B525" s="1995"/>
      <c r="C525" s="9" t="s">
        <v>3619</v>
      </c>
      <c r="D525" s="1078"/>
      <c r="E525" s="9">
        <v>223518</v>
      </c>
      <c r="F525" s="9">
        <v>128031</v>
      </c>
      <c r="G525" s="9">
        <v>351549</v>
      </c>
    </row>
    <row r="526" spans="1:7">
      <c r="A526" s="616"/>
      <c r="B526" s="1995"/>
      <c r="C526" s="9" t="s">
        <v>3620</v>
      </c>
      <c r="D526" s="1078"/>
      <c r="E526" s="9">
        <v>387787</v>
      </c>
      <c r="F526" s="9">
        <v>193963</v>
      </c>
      <c r="G526" s="9">
        <v>581750</v>
      </c>
    </row>
    <row r="527" spans="1:7">
      <c r="A527" s="616"/>
      <c r="B527" s="1995"/>
      <c r="C527" s="9" t="s">
        <v>3621</v>
      </c>
      <c r="D527" s="1078"/>
      <c r="E527" s="9">
        <v>485368</v>
      </c>
      <c r="F527" s="9">
        <v>253043</v>
      </c>
      <c r="G527" s="9">
        <v>738411</v>
      </c>
    </row>
    <row r="528" spans="1:7">
      <c r="A528" s="616"/>
      <c r="B528" s="1995"/>
      <c r="C528" s="9" t="s">
        <v>3622</v>
      </c>
      <c r="D528" s="1078"/>
      <c r="E528" s="9">
        <v>375031</v>
      </c>
      <c r="F528" s="9">
        <v>220570</v>
      </c>
      <c r="G528" s="9">
        <v>595601</v>
      </c>
    </row>
    <row r="529" spans="1:7">
      <c r="A529" s="616"/>
      <c r="B529" s="1995"/>
      <c r="C529" s="9" t="s">
        <v>3623</v>
      </c>
      <c r="D529" s="1078"/>
      <c r="E529" s="9">
        <v>408581</v>
      </c>
      <c r="F529" s="9">
        <v>237988</v>
      </c>
      <c r="G529" s="9">
        <v>646569</v>
      </c>
    </row>
    <row r="530" spans="1:7">
      <c r="A530" s="616"/>
      <c r="B530" s="1995"/>
      <c r="C530" s="11" t="s">
        <v>239</v>
      </c>
      <c r="D530" s="1078"/>
      <c r="E530" s="11">
        <f>SUM(E518:E529)</f>
        <v>4620656</v>
      </c>
      <c r="F530" s="11">
        <f>SUM(F518:F529)</f>
        <v>2434136</v>
      </c>
      <c r="G530" s="11">
        <f>SUM(G518:G529)</f>
        <v>7054792</v>
      </c>
    </row>
    <row r="531" spans="1:7">
      <c r="A531" s="616">
        <v>611000000088</v>
      </c>
      <c r="B531" s="1994">
        <v>41</v>
      </c>
      <c r="C531" s="11" t="s">
        <v>3515</v>
      </c>
      <c r="D531" s="1078" t="s">
        <v>259</v>
      </c>
      <c r="E531" s="9"/>
      <c r="F531" s="9"/>
      <c r="G531" s="9"/>
    </row>
    <row r="532" spans="1:7">
      <c r="A532" s="616"/>
      <c r="B532" s="1995"/>
      <c r="C532" s="9" t="s">
        <v>3612</v>
      </c>
      <c r="D532" s="1078"/>
      <c r="E532" s="9">
        <v>292980</v>
      </c>
      <c r="F532" s="9">
        <v>163980</v>
      </c>
      <c r="G532" s="9">
        <v>456960</v>
      </c>
    </row>
    <row r="533" spans="1:7">
      <c r="A533" s="616"/>
      <c r="B533" s="1995"/>
      <c r="C533" s="9" t="s">
        <v>3613</v>
      </c>
      <c r="D533" s="1078"/>
      <c r="E533" s="9">
        <v>232458</v>
      </c>
      <c r="F533" s="9">
        <v>129132</v>
      </c>
      <c r="G533" s="9">
        <v>361590</v>
      </c>
    </row>
    <row r="534" spans="1:7">
      <c r="A534" s="616"/>
      <c r="B534" s="1995"/>
      <c r="C534" s="9" t="s">
        <v>3614</v>
      </c>
      <c r="D534" s="1078"/>
      <c r="E534" s="9">
        <v>216222</v>
      </c>
      <c r="F534" s="9">
        <v>120270</v>
      </c>
      <c r="G534" s="9">
        <v>336492</v>
      </c>
    </row>
    <row r="535" spans="1:7">
      <c r="A535" s="616"/>
      <c r="B535" s="1995"/>
      <c r="C535" s="9" t="s">
        <v>3709</v>
      </c>
      <c r="D535" s="1078"/>
      <c r="E535" s="9">
        <v>163080</v>
      </c>
      <c r="F535" s="9">
        <v>95466</v>
      </c>
      <c r="G535" s="9">
        <v>258546</v>
      </c>
    </row>
    <row r="536" spans="1:7">
      <c r="A536" s="616"/>
      <c r="B536" s="1995"/>
      <c r="C536" s="9" t="s">
        <v>3616</v>
      </c>
      <c r="D536" s="1078"/>
      <c r="E536" s="9">
        <v>247728</v>
      </c>
      <c r="F536" s="9">
        <v>151458</v>
      </c>
      <c r="G536" s="9">
        <v>399186</v>
      </c>
    </row>
    <row r="537" spans="1:7">
      <c r="A537" s="616"/>
      <c r="B537" s="1995"/>
      <c r="C537" s="9" t="s">
        <v>3617</v>
      </c>
      <c r="D537" s="1078"/>
      <c r="E537" s="9">
        <v>111468</v>
      </c>
      <c r="F537" s="9">
        <v>67866</v>
      </c>
      <c r="G537" s="9">
        <v>179334</v>
      </c>
    </row>
    <row r="538" spans="1:7">
      <c r="A538" s="616"/>
      <c r="B538" s="1995"/>
      <c r="C538" s="9" t="s">
        <v>3618</v>
      </c>
      <c r="D538" s="1078"/>
      <c r="E538" s="9">
        <v>81282</v>
      </c>
      <c r="F538" s="9">
        <v>43458</v>
      </c>
      <c r="G538" s="9">
        <v>124740</v>
      </c>
    </row>
    <row r="539" spans="1:7">
      <c r="A539" s="616"/>
      <c r="B539" s="1995"/>
      <c r="C539" s="9" t="s">
        <v>3619</v>
      </c>
      <c r="D539" s="1078"/>
      <c r="E539" s="9">
        <v>5838</v>
      </c>
      <c r="F539" s="9">
        <v>1572</v>
      </c>
      <c r="G539" s="9">
        <v>7410</v>
      </c>
    </row>
    <row r="540" spans="1:7">
      <c r="A540" s="616"/>
      <c r="B540" s="1995"/>
      <c r="C540" s="9" t="s">
        <v>3620</v>
      </c>
      <c r="D540" s="1078"/>
      <c r="E540" s="9">
        <v>211602</v>
      </c>
      <c r="F540" s="9">
        <v>119802</v>
      </c>
      <c r="G540" s="9">
        <v>331404</v>
      </c>
    </row>
    <row r="541" spans="1:7">
      <c r="A541" s="616"/>
      <c r="B541" s="1995"/>
      <c r="C541" s="9" t="s">
        <v>3621</v>
      </c>
      <c r="D541" s="1078"/>
      <c r="E541" s="9">
        <v>231516</v>
      </c>
      <c r="F541" s="9">
        <v>126822</v>
      </c>
      <c r="G541" s="9">
        <v>358338</v>
      </c>
    </row>
    <row r="542" spans="1:7">
      <c r="A542" s="616"/>
      <c r="B542" s="1995"/>
      <c r="C542" s="9" t="s">
        <v>3622</v>
      </c>
      <c r="D542" s="1078"/>
      <c r="E542" s="9">
        <v>202854</v>
      </c>
      <c r="F542" s="9">
        <v>135774</v>
      </c>
      <c r="G542" s="9">
        <v>338628</v>
      </c>
    </row>
    <row r="543" spans="1:7">
      <c r="A543" s="616"/>
      <c r="B543" s="1995"/>
      <c r="C543" s="9" t="s">
        <v>3623</v>
      </c>
      <c r="D543" s="1078"/>
      <c r="E543" s="9">
        <v>228234</v>
      </c>
      <c r="F543" s="9">
        <v>125076</v>
      </c>
      <c r="G543" s="9">
        <v>353310</v>
      </c>
    </row>
    <row r="544" spans="1:7">
      <c r="A544" s="616"/>
      <c r="B544" s="1995"/>
      <c r="C544" s="11" t="s">
        <v>239</v>
      </c>
      <c r="D544" s="1078"/>
      <c r="E544" s="11">
        <f>SUM(E532:E543)</f>
        <v>2225262</v>
      </c>
      <c r="F544" s="11">
        <f>SUM(F532:F543)</f>
        <v>1280676</v>
      </c>
      <c r="G544" s="11">
        <f>SUM(G532:G543)</f>
        <v>3505938</v>
      </c>
    </row>
    <row r="545" spans="1:7">
      <c r="A545" s="616">
        <v>611000000094</v>
      </c>
      <c r="B545" s="1994">
        <v>42</v>
      </c>
      <c r="C545" s="11" t="s">
        <v>548</v>
      </c>
      <c r="D545" s="1078" t="s">
        <v>271</v>
      </c>
      <c r="E545" s="9"/>
      <c r="F545" s="9"/>
      <c r="G545" s="9"/>
    </row>
    <row r="546" spans="1:7">
      <c r="A546" s="616"/>
      <c r="B546" s="1995"/>
      <c r="C546" s="9" t="s">
        <v>3612</v>
      </c>
      <c r="D546" s="1078"/>
      <c r="E546" s="9">
        <v>2347800</v>
      </c>
      <c r="F546" s="9">
        <v>1338600</v>
      </c>
      <c r="G546" s="9">
        <v>3686400</v>
      </c>
    </row>
    <row r="547" spans="1:7">
      <c r="A547" s="616"/>
      <c r="B547" s="1995"/>
      <c r="C547" s="9" t="s">
        <v>3613</v>
      </c>
      <c r="D547" s="1078"/>
      <c r="E547" s="9">
        <v>2541900</v>
      </c>
      <c r="F547" s="9">
        <v>1377900</v>
      </c>
      <c r="G547" s="9">
        <v>3919800</v>
      </c>
    </row>
    <row r="548" spans="1:7">
      <c r="A548" s="616"/>
      <c r="B548" s="1995"/>
      <c r="C548" s="9" t="s">
        <v>3614</v>
      </c>
      <c r="D548" s="1078"/>
      <c r="E548" s="9">
        <v>2313000</v>
      </c>
      <c r="F548" s="9">
        <v>1214700</v>
      </c>
      <c r="G548" s="9">
        <v>3527700</v>
      </c>
    </row>
    <row r="549" spans="1:7">
      <c r="A549" s="616"/>
      <c r="B549" s="1995"/>
      <c r="C549" s="9" t="s">
        <v>3709</v>
      </c>
      <c r="D549" s="1078"/>
      <c r="E549" s="9">
        <v>2085000</v>
      </c>
      <c r="F549" s="9">
        <v>895800</v>
      </c>
      <c r="G549" s="9">
        <v>2980800</v>
      </c>
    </row>
    <row r="550" spans="1:7">
      <c r="A550" s="616"/>
      <c r="B550" s="1995"/>
      <c r="C550" s="9" t="s">
        <v>3616</v>
      </c>
      <c r="D550" s="1078"/>
      <c r="E550" s="9">
        <v>1481100</v>
      </c>
      <c r="F550" s="9">
        <v>677100</v>
      </c>
      <c r="G550" s="9">
        <v>2158200</v>
      </c>
    </row>
    <row r="551" spans="1:7">
      <c r="A551" s="616"/>
      <c r="B551" s="1995"/>
      <c r="C551" s="9" t="s">
        <v>3617</v>
      </c>
      <c r="D551" s="1078"/>
      <c r="E551" s="9">
        <v>1663884</v>
      </c>
      <c r="F551" s="9">
        <v>861736</v>
      </c>
      <c r="G551" s="9">
        <v>2525620</v>
      </c>
    </row>
    <row r="552" spans="1:7">
      <c r="A552" s="616"/>
      <c r="B552" s="1995"/>
      <c r="C552" s="9" t="s">
        <v>3618</v>
      </c>
      <c r="D552" s="1078"/>
      <c r="E552" s="9">
        <v>1175851</v>
      </c>
      <c r="F552" s="9">
        <v>694688</v>
      </c>
      <c r="G552" s="9">
        <v>1870539</v>
      </c>
    </row>
    <row r="553" spans="1:7">
      <c r="A553" s="616"/>
      <c r="B553" s="1995"/>
      <c r="C553" s="9" t="s">
        <v>3619</v>
      </c>
      <c r="D553" s="1078"/>
      <c r="E553" s="9">
        <v>1540800</v>
      </c>
      <c r="F553" s="9">
        <v>795452</v>
      </c>
      <c r="G553" s="9">
        <v>2336252</v>
      </c>
    </row>
    <row r="554" spans="1:7">
      <c r="A554" s="616"/>
      <c r="B554" s="1995"/>
      <c r="C554" s="9" t="s">
        <v>3620</v>
      </c>
      <c r="D554" s="1078"/>
      <c r="E554" s="9">
        <v>1760700</v>
      </c>
      <c r="F554" s="9">
        <v>583510</v>
      </c>
      <c r="G554" s="9">
        <v>2344210</v>
      </c>
    </row>
    <row r="555" spans="1:7">
      <c r="A555" s="616"/>
      <c r="B555" s="1995"/>
      <c r="C555" s="9" t="s">
        <v>3621</v>
      </c>
      <c r="D555" s="1078"/>
      <c r="E555" s="9">
        <v>1833319</v>
      </c>
      <c r="F555" s="9">
        <v>875160</v>
      </c>
      <c r="G555" s="9">
        <v>2708479</v>
      </c>
    </row>
    <row r="556" spans="1:7">
      <c r="A556" s="616"/>
      <c r="B556" s="1995"/>
      <c r="C556" s="9" t="s">
        <v>3622</v>
      </c>
      <c r="D556" s="1078"/>
      <c r="E556" s="9">
        <v>1580700</v>
      </c>
      <c r="F556" s="9">
        <v>923616</v>
      </c>
      <c r="G556" s="9">
        <v>2504316</v>
      </c>
    </row>
    <row r="557" spans="1:7">
      <c r="A557" s="616"/>
      <c r="B557" s="1995"/>
      <c r="C557" s="9" t="s">
        <v>3623</v>
      </c>
      <c r="D557" s="1078"/>
      <c r="E557" s="9">
        <v>1960500</v>
      </c>
      <c r="F557" s="9">
        <v>1106700</v>
      </c>
      <c r="G557" s="9">
        <v>3067200</v>
      </c>
    </row>
    <row r="558" spans="1:7">
      <c r="A558" s="616"/>
      <c r="B558" s="1995"/>
      <c r="C558" s="11" t="s">
        <v>239</v>
      </c>
      <c r="D558" s="1078"/>
      <c r="E558" s="11">
        <f>SUM(E546:E557)</f>
        <v>22284554</v>
      </c>
      <c r="F558" s="11">
        <f>SUM(F546:F557)</f>
        <v>11344962</v>
      </c>
      <c r="G558" s="11">
        <f>SUM(G546:G557)</f>
        <v>33629516</v>
      </c>
    </row>
    <row r="559" spans="1:7">
      <c r="A559" s="616">
        <v>611000000096</v>
      </c>
      <c r="B559" s="1994">
        <v>43</v>
      </c>
      <c r="C559" s="11" t="s">
        <v>668</v>
      </c>
      <c r="D559" s="1078" t="s">
        <v>259</v>
      </c>
      <c r="E559" s="9"/>
      <c r="F559" s="9"/>
      <c r="G559" s="9"/>
    </row>
    <row r="560" spans="1:7">
      <c r="A560" s="616"/>
      <c r="B560" s="1995"/>
      <c r="C560" s="9" t="s">
        <v>3612</v>
      </c>
      <c r="D560" s="1078"/>
      <c r="E560" s="9">
        <v>539025</v>
      </c>
      <c r="F560" s="9">
        <v>189885</v>
      </c>
      <c r="G560" s="9">
        <v>728910</v>
      </c>
    </row>
    <row r="561" spans="1:7">
      <c r="A561" s="616"/>
      <c r="B561" s="1995"/>
      <c r="C561" s="9" t="s">
        <v>3613</v>
      </c>
      <c r="D561" s="1078"/>
      <c r="E561" s="9">
        <v>501285</v>
      </c>
      <c r="F561" s="9">
        <v>153945</v>
      </c>
      <c r="G561" s="9">
        <v>655230</v>
      </c>
    </row>
    <row r="562" spans="1:7">
      <c r="A562" s="616"/>
      <c r="B562" s="1995"/>
      <c r="C562" s="9" t="s">
        <v>3614</v>
      </c>
      <c r="D562" s="1078"/>
      <c r="E562" s="9">
        <v>518970</v>
      </c>
      <c r="F562" s="9">
        <v>181410</v>
      </c>
      <c r="G562" s="9">
        <v>700380</v>
      </c>
    </row>
    <row r="563" spans="1:7">
      <c r="A563" s="616"/>
      <c r="B563" s="1995"/>
      <c r="C563" s="9" t="s">
        <v>3709</v>
      </c>
      <c r="D563" s="1078"/>
      <c r="E563" s="9">
        <v>595155</v>
      </c>
      <c r="F563" s="9">
        <v>216390</v>
      </c>
      <c r="G563" s="9">
        <v>811545</v>
      </c>
    </row>
    <row r="564" spans="1:7">
      <c r="A564" s="616"/>
      <c r="B564" s="1995"/>
      <c r="C564" s="9" t="s">
        <v>3616</v>
      </c>
      <c r="D564" s="1078"/>
      <c r="E564" s="9">
        <v>598635</v>
      </c>
      <c r="F564" s="9">
        <v>214395</v>
      </c>
      <c r="G564" s="9">
        <v>813030</v>
      </c>
    </row>
    <row r="565" spans="1:7">
      <c r="A565" s="616"/>
      <c r="B565" s="1995"/>
      <c r="C565" s="9" t="s">
        <v>3617</v>
      </c>
      <c r="D565" s="1078"/>
      <c r="E565" s="9">
        <v>552060</v>
      </c>
      <c r="F565" s="9">
        <v>184530</v>
      </c>
      <c r="G565" s="9">
        <v>736590</v>
      </c>
    </row>
    <row r="566" spans="1:7">
      <c r="A566" s="616"/>
      <c r="B566" s="1995"/>
      <c r="C566" s="9" t="s">
        <v>3618</v>
      </c>
      <c r="D566" s="1078"/>
      <c r="E566" s="9">
        <v>609450</v>
      </c>
      <c r="F566" s="9">
        <v>205545</v>
      </c>
      <c r="G566" s="9">
        <v>814995</v>
      </c>
    </row>
    <row r="567" spans="1:7">
      <c r="A567" s="616"/>
      <c r="B567" s="1995"/>
      <c r="C567" s="9" t="s">
        <v>3619</v>
      </c>
      <c r="D567" s="1078"/>
      <c r="E567" s="9">
        <v>602475</v>
      </c>
      <c r="F567" s="9">
        <v>202860</v>
      </c>
      <c r="G567" s="9">
        <v>805335</v>
      </c>
    </row>
    <row r="568" spans="1:7">
      <c r="A568" s="616"/>
      <c r="B568" s="1995"/>
      <c r="C568" s="9" t="s">
        <v>3620</v>
      </c>
      <c r="D568" s="1078"/>
      <c r="E568" s="9">
        <v>652725</v>
      </c>
      <c r="F568" s="9">
        <v>225165</v>
      </c>
      <c r="G568" s="9">
        <v>877890</v>
      </c>
    </row>
    <row r="569" spans="1:7">
      <c r="A569" s="616"/>
      <c r="B569" s="1995"/>
      <c r="C569" s="9" t="s">
        <v>3621</v>
      </c>
      <c r="D569" s="1078"/>
      <c r="E569" s="9">
        <v>664875</v>
      </c>
      <c r="F569" s="9">
        <v>231690</v>
      </c>
      <c r="G569" s="9">
        <v>896565</v>
      </c>
    </row>
    <row r="570" spans="1:7">
      <c r="A570" s="616"/>
      <c r="B570" s="1995"/>
      <c r="C570" s="9" t="s">
        <v>3622</v>
      </c>
      <c r="D570" s="1078"/>
      <c r="E570" s="9">
        <v>609630</v>
      </c>
      <c r="F570" s="9">
        <v>204030</v>
      </c>
      <c r="G570" s="9">
        <v>813660</v>
      </c>
    </row>
    <row r="571" spans="1:7">
      <c r="A571" s="616"/>
      <c r="B571" s="1995"/>
      <c r="C571" s="9" t="s">
        <v>3623</v>
      </c>
      <c r="D571" s="1078"/>
      <c r="E571" s="9">
        <v>625335</v>
      </c>
      <c r="F571" s="9">
        <v>205635</v>
      </c>
      <c r="G571" s="9">
        <v>830970</v>
      </c>
    </row>
    <row r="572" spans="1:7">
      <c r="A572" s="616"/>
      <c r="B572" s="1995"/>
      <c r="C572" s="11" t="s">
        <v>239</v>
      </c>
      <c r="D572" s="1078"/>
      <c r="E572" s="11">
        <f>SUM(E560:E571)</f>
        <v>7069620</v>
      </c>
      <c r="F572" s="11">
        <f>SUM(F560:F571)</f>
        <v>2415480</v>
      </c>
      <c r="G572" s="11">
        <f>SUM(G560:G571)</f>
        <v>9485100</v>
      </c>
    </row>
    <row r="573" spans="1:7">
      <c r="A573" s="616">
        <v>611000000100</v>
      </c>
      <c r="B573" s="1994">
        <v>44</v>
      </c>
      <c r="C573" s="11" t="s">
        <v>570</v>
      </c>
      <c r="D573" s="1078" t="s">
        <v>271</v>
      </c>
      <c r="E573" s="9"/>
      <c r="F573" s="9"/>
      <c r="G573" s="9"/>
    </row>
    <row r="574" spans="1:7">
      <c r="A574" s="616"/>
      <c r="B574" s="1995"/>
      <c r="C574" s="9" t="s">
        <v>3612</v>
      </c>
      <c r="D574" s="1078"/>
      <c r="E574" s="9">
        <v>1023360</v>
      </c>
      <c r="F574" s="9">
        <v>525360</v>
      </c>
      <c r="G574" s="9">
        <v>1548720</v>
      </c>
    </row>
    <row r="575" spans="1:7">
      <c r="A575" s="616"/>
      <c r="B575" s="1995"/>
      <c r="C575" s="9" t="s">
        <v>3613</v>
      </c>
      <c r="D575" s="1078"/>
      <c r="E575" s="9">
        <v>1125988</v>
      </c>
      <c r="F575" s="9">
        <v>597960</v>
      </c>
      <c r="G575" s="9">
        <v>1723948</v>
      </c>
    </row>
    <row r="576" spans="1:7">
      <c r="A576" s="616"/>
      <c r="B576" s="1995"/>
      <c r="C576" s="9" t="s">
        <v>3614</v>
      </c>
      <c r="D576" s="1078"/>
      <c r="E576" s="9">
        <v>923376</v>
      </c>
      <c r="F576" s="9">
        <v>467520</v>
      </c>
      <c r="G576" s="9">
        <v>1390896</v>
      </c>
    </row>
    <row r="577" spans="1:7">
      <c r="A577" s="616"/>
      <c r="B577" s="1995"/>
      <c r="C577" s="9" t="s">
        <v>3709</v>
      </c>
      <c r="D577" s="1078"/>
      <c r="E577" s="9">
        <v>842036</v>
      </c>
      <c r="F577" s="9">
        <v>456600</v>
      </c>
      <c r="G577" s="9">
        <v>1298636</v>
      </c>
    </row>
    <row r="578" spans="1:7">
      <c r="A578" s="616"/>
      <c r="B578" s="1995"/>
      <c r="C578" s="9" t="s">
        <v>3616</v>
      </c>
      <c r="D578" s="1078"/>
      <c r="E578" s="9">
        <v>742608</v>
      </c>
      <c r="F578" s="9">
        <v>368520</v>
      </c>
      <c r="G578" s="9">
        <v>1111128</v>
      </c>
    </row>
    <row r="579" spans="1:7">
      <c r="A579" s="616"/>
      <c r="B579" s="1995"/>
      <c r="C579" s="9" t="s">
        <v>3617</v>
      </c>
      <c r="D579" s="1078"/>
      <c r="E579" s="9">
        <v>811702</v>
      </c>
      <c r="F579" s="9">
        <v>462415</v>
      </c>
      <c r="G579" s="9">
        <v>1274117</v>
      </c>
    </row>
    <row r="580" spans="1:7">
      <c r="A580" s="616"/>
      <c r="B580" s="1995"/>
      <c r="C580" s="9" t="s">
        <v>3618</v>
      </c>
      <c r="D580" s="1078"/>
      <c r="E580" s="9">
        <v>640767</v>
      </c>
      <c r="F580" s="9">
        <v>295725</v>
      </c>
      <c r="G580" s="9">
        <v>936492</v>
      </c>
    </row>
    <row r="581" spans="1:7">
      <c r="A581" s="616"/>
      <c r="B581" s="1995"/>
      <c r="C581" s="9" t="s">
        <v>3619</v>
      </c>
      <c r="D581" s="1078"/>
      <c r="E581" s="9">
        <v>1045560</v>
      </c>
      <c r="F581" s="9">
        <v>506505</v>
      </c>
      <c r="G581" s="9">
        <v>1552065</v>
      </c>
    </row>
    <row r="582" spans="1:7">
      <c r="A582" s="616"/>
      <c r="B582" s="1995"/>
      <c r="C582" s="9" t="s">
        <v>3620</v>
      </c>
      <c r="D582" s="1078"/>
      <c r="E582" s="9">
        <v>1500592</v>
      </c>
      <c r="F582" s="9">
        <v>468152</v>
      </c>
      <c r="G582" s="9">
        <v>1968744</v>
      </c>
    </row>
    <row r="583" spans="1:7">
      <c r="A583" s="616"/>
      <c r="B583" s="1995"/>
      <c r="C583" s="9" t="s">
        <v>3621</v>
      </c>
      <c r="D583" s="1078"/>
      <c r="E583" s="9">
        <v>1254947</v>
      </c>
      <c r="F583" s="9">
        <v>481258</v>
      </c>
      <c r="G583" s="9">
        <v>1736205</v>
      </c>
    </row>
    <row r="584" spans="1:7">
      <c r="A584" s="616"/>
      <c r="B584" s="1995"/>
      <c r="C584" s="9" t="s">
        <v>3622</v>
      </c>
      <c r="D584" s="1078"/>
      <c r="E584" s="9">
        <v>1005360</v>
      </c>
      <c r="F584" s="9">
        <v>530400</v>
      </c>
      <c r="G584" s="9">
        <v>1535760</v>
      </c>
    </row>
    <row r="585" spans="1:7">
      <c r="A585" s="616"/>
      <c r="B585" s="1995"/>
      <c r="C585" s="9" t="s">
        <v>3623</v>
      </c>
      <c r="D585" s="1078"/>
      <c r="E585" s="9">
        <v>1455457</v>
      </c>
      <c r="F585" s="9">
        <v>719880</v>
      </c>
      <c r="G585" s="9">
        <v>2175337</v>
      </c>
    </row>
    <row r="586" spans="1:7">
      <c r="A586" s="616"/>
      <c r="B586" s="1995"/>
      <c r="C586" s="11" t="s">
        <v>239</v>
      </c>
      <c r="D586" s="1078"/>
      <c r="E586" s="11">
        <f>SUM(E574:E585)</f>
        <v>12371753</v>
      </c>
      <c r="F586" s="11">
        <f>SUM(F574:F585)</f>
        <v>5880295</v>
      </c>
      <c r="G586" s="11">
        <f>SUM(G574:G585)</f>
        <v>18252048</v>
      </c>
    </row>
    <row r="587" spans="1:7">
      <c r="A587" s="616">
        <v>611000000103</v>
      </c>
      <c r="B587" s="1994">
        <v>45</v>
      </c>
      <c r="C587" s="11" t="s">
        <v>670</v>
      </c>
      <c r="D587" s="1078" t="s">
        <v>259</v>
      </c>
      <c r="E587" s="9"/>
      <c r="F587" s="9"/>
      <c r="G587" s="9"/>
    </row>
    <row r="588" spans="1:7">
      <c r="A588" s="616"/>
      <c r="B588" s="1995"/>
      <c r="C588" s="9" t="s">
        <v>3612</v>
      </c>
      <c r="D588" s="1078"/>
      <c r="E588" s="9">
        <v>408060</v>
      </c>
      <c r="F588" s="9">
        <v>137460</v>
      </c>
      <c r="G588" s="9">
        <v>545520</v>
      </c>
    </row>
    <row r="589" spans="1:7">
      <c r="A589" s="616"/>
      <c r="B589" s="1995"/>
      <c r="C589" s="9" t="s">
        <v>3613</v>
      </c>
      <c r="D589" s="1078"/>
      <c r="E589" s="9">
        <v>359760</v>
      </c>
      <c r="F589" s="9">
        <v>87960</v>
      </c>
      <c r="G589" s="9">
        <v>447720</v>
      </c>
    </row>
    <row r="590" spans="1:7">
      <c r="A590" s="616"/>
      <c r="B590" s="1995"/>
      <c r="C590" s="9" t="s">
        <v>3614</v>
      </c>
      <c r="D590" s="1078"/>
      <c r="E590" s="9">
        <v>448980</v>
      </c>
      <c r="F590" s="9">
        <v>206460</v>
      </c>
      <c r="G590" s="9">
        <v>655440</v>
      </c>
    </row>
    <row r="591" spans="1:7">
      <c r="A591" s="616"/>
      <c r="B591" s="1995"/>
      <c r="C591" s="9" t="s">
        <v>3709</v>
      </c>
      <c r="D591" s="1078"/>
      <c r="E591" s="9">
        <v>305520</v>
      </c>
      <c r="F591" s="9">
        <v>215640</v>
      </c>
      <c r="G591" s="9">
        <v>521160</v>
      </c>
    </row>
    <row r="592" spans="1:7">
      <c r="A592" s="616"/>
      <c r="B592" s="1995"/>
      <c r="C592" s="9" t="s">
        <v>3616</v>
      </c>
      <c r="D592" s="1078"/>
      <c r="E592" s="9">
        <v>284160</v>
      </c>
      <c r="F592" s="9">
        <v>172680</v>
      </c>
      <c r="G592" s="9">
        <v>456840</v>
      </c>
    </row>
    <row r="593" spans="1:7">
      <c r="A593" s="616"/>
      <c r="B593" s="1995"/>
      <c r="C593" s="9" t="s">
        <v>3617</v>
      </c>
      <c r="D593" s="1078"/>
      <c r="E593" s="9">
        <v>489360</v>
      </c>
      <c r="F593" s="9">
        <v>246420</v>
      </c>
      <c r="G593" s="9">
        <v>735780</v>
      </c>
    </row>
    <row r="594" spans="1:7">
      <c r="A594" s="616"/>
      <c r="B594" s="1995"/>
      <c r="C594" s="9" t="s">
        <v>3618</v>
      </c>
      <c r="D594" s="1078"/>
      <c r="E594" s="9">
        <v>513720</v>
      </c>
      <c r="F594" s="9">
        <v>157980</v>
      </c>
      <c r="G594" s="9">
        <v>671700</v>
      </c>
    </row>
    <row r="595" spans="1:7">
      <c r="A595" s="616"/>
      <c r="B595" s="1995"/>
      <c r="C595" s="9" t="s">
        <v>3619</v>
      </c>
      <c r="D595" s="1078"/>
      <c r="E595" s="9">
        <v>575760</v>
      </c>
      <c r="F595" s="9">
        <v>211260</v>
      </c>
      <c r="G595" s="9">
        <v>787020</v>
      </c>
    </row>
    <row r="596" spans="1:7">
      <c r="A596" s="616"/>
      <c r="B596" s="1995"/>
      <c r="C596" s="9" t="s">
        <v>3620</v>
      </c>
      <c r="D596" s="1078"/>
      <c r="E596" s="9">
        <v>601260</v>
      </c>
      <c r="F596" s="9">
        <v>306840</v>
      </c>
      <c r="G596" s="9">
        <v>908100</v>
      </c>
    </row>
    <row r="597" spans="1:7">
      <c r="A597" s="616"/>
      <c r="B597" s="1995"/>
      <c r="C597" s="9" t="s">
        <v>3621</v>
      </c>
      <c r="D597" s="1078"/>
      <c r="E597" s="9">
        <v>511920</v>
      </c>
      <c r="F597" s="9">
        <v>324540</v>
      </c>
      <c r="G597" s="9">
        <v>836460</v>
      </c>
    </row>
    <row r="598" spans="1:7">
      <c r="A598" s="616"/>
      <c r="B598" s="1995"/>
      <c r="C598" s="9" t="s">
        <v>3622</v>
      </c>
      <c r="D598" s="1078"/>
      <c r="E598" s="9">
        <v>510180</v>
      </c>
      <c r="F598" s="9">
        <v>239160</v>
      </c>
      <c r="G598" s="9">
        <v>749340</v>
      </c>
    </row>
    <row r="599" spans="1:7">
      <c r="A599" s="616"/>
      <c r="B599" s="1995"/>
      <c r="C599" s="9" t="s">
        <v>3623</v>
      </c>
      <c r="D599" s="1078"/>
      <c r="E599" s="9">
        <v>461580</v>
      </c>
      <c r="F599" s="9">
        <v>222960</v>
      </c>
      <c r="G599" s="9">
        <v>684540</v>
      </c>
    </row>
    <row r="600" spans="1:7">
      <c r="A600" s="616"/>
      <c r="B600" s="1995"/>
      <c r="C600" s="11" t="s">
        <v>239</v>
      </c>
      <c r="D600" s="1078"/>
      <c r="E600" s="11">
        <f>SUM(E588:E599)</f>
        <v>5470260</v>
      </c>
      <c r="F600" s="11">
        <f>SUM(F588:F599)</f>
        <v>2529360</v>
      </c>
      <c r="G600" s="11">
        <f>SUM(G588:G599)</f>
        <v>7999620</v>
      </c>
    </row>
    <row r="601" spans="1:7">
      <c r="A601" s="616">
        <v>611000000113</v>
      </c>
      <c r="B601" s="1994">
        <v>46</v>
      </c>
      <c r="C601" s="11" t="s">
        <v>550</v>
      </c>
      <c r="D601" s="1078" t="s">
        <v>271</v>
      </c>
      <c r="E601" s="9"/>
      <c r="F601" s="9"/>
      <c r="G601" s="9"/>
    </row>
    <row r="602" spans="1:7">
      <c r="A602" s="616"/>
      <c r="B602" s="1995"/>
      <c r="C602" s="9" t="s">
        <v>3612</v>
      </c>
      <c r="D602" s="1078"/>
      <c r="E602" s="9">
        <v>945600</v>
      </c>
      <c r="F602" s="9">
        <v>478500</v>
      </c>
      <c r="G602" s="9">
        <v>1424100</v>
      </c>
    </row>
    <row r="603" spans="1:7">
      <c r="A603" s="616"/>
      <c r="B603" s="1995"/>
      <c r="C603" s="9" t="s">
        <v>3613</v>
      </c>
      <c r="D603" s="1078"/>
      <c r="E603" s="9">
        <v>497100</v>
      </c>
      <c r="F603" s="9">
        <v>270900</v>
      </c>
      <c r="G603" s="9">
        <v>768000</v>
      </c>
    </row>
    <row r="604" spans="1:7">
      <c r="A604" s="616"/>
      <c r="B604" s="1995"/>
      <c r="C604" s="9" t="s">
        <v>3614</v>
      </c>
      <c r="D604" s="1078"/>
      <c r="E604" s="9">
        <v>381000</v>
      </c>
      <c r="F604" s="9">
        <v>260700</v>
      </c>
      <c r="G604" s="9">
        <v>641700</v>
      </c>
    </row>
    <row r="605" spans="1:7">
      <c r="A605" s="616"/>
      <c r="B605" s="1995"/>
      <c r="C605" s="9" t="s">
        <v>3709</v>
      </c>
      <c r="D605" s="1078"/>
      <c r="E605" s="9">
        <v>575100</v>
      </c>
      <c r="F605" s="9">
        <v>261300</v>
      </c>
      <c r="G605" s="9">
        <v>836400</v>
      </c>
    </row>
    <row r="606" spans="1:7">
      <c r="A606" s="616"/>
      <c r="B606" s="1995"/>
      <c r="C606" s="9" t="s">
        <v>3616</v>
      </c>
      <c r="D606" s="1078"/>
      <c r="E606" s="9">
        <v>438900</v>
      </c>
      <c r="F606" s="9">
        <v>231000</v>
      </c>
      <c r="G606" s="9">
        <v>669900</v>
      </c>
    </row>
    <row r="607" spans="1:7">
      <c r="A607" s="616"/>
      <c r="B607" s="1995"/>
      <c r="C607" s="9" t="s">
        <v>3617</v>
      </c>
      <c r="D607" s="1078"/>
      <c r="E607" s="9">
        <v>9000</v>
      </c>
      <c r="F607" s="9">
        <v>13800</v>
      </c>
      <c r="G607" s="9">
        <v>22800</v>
      </c>
    </row>
    <row r="608" spans="1:7">
      <c r="A608" s="616"/>
      <c r="B608" s="1995"/>
      <c r="C608" s="9" t="s">
        <v>3618</v>
      </c>
      <c r="D608" s="1078"/>
      <c r="E608" s="9">
        <v>34200</v>
      </c>
      <c r="F608" s="9">
        <v>25800</v>
      </c>
      <c r="G608" s="9">
        <v>60000</v>
      </c>
    </row>
    <row r="609" spans="1:7">
      <c r="A609" s="616"/>
      <c r="B609" s="1995"/>
      <c r="C609" s="9" t="s">
        <v>3619</v>
      </c>
      <c r="D609" s="1078"/>
      <c r="E609" s="9">
        <v>12000</v>
      </c>
      <c r="F609" s="9">
        <v>6600</v>
      </c>
      <c r="G609" s="9">
        <v>18600</v>
      </c>
    </row>
    <row r="610" spans="1:7">
      <c r="A610" s="616"/>
      <c r="B610" s="1995"/>
      <c r="C610" s="9" t="s">
        <v>3620</v>
      </c>
      <c r="D610" s="1078"/>
      <c r="E610" s="9">
        <v>87000</v>
      </c>
      <c r="F610" s="9">
        <v>33600</v>
      </c>
      <c r="G610" s="9">
        <v>120600</v>
      </c>
    </row>
    <row r="611" spans="1:7">
      <c r="A611" s="616"/>
      <c r="B611" s="1995"/>
      <c r="C611" s="9" t="s">
        <v>3621</v>
      </c>
      <c r="D611" s="1078"/>
      <c r="E611" s="9">
        <v>52200</v>
      </c>
      <c r="F611" s="9">
        <v>37800</v>
      </c>
      <c r="G611" s="9">
        <v>90000</v>
      </c>
    </row>
    <row r="612" spans="1:7">
      <c r="A612" s="616"/>
      <c r="B612" s="1995"/>
      <c r="C612" s="9" t="s">
        <v>3622</v>
      </c>
      <c r="D612" s="1078"/>
      <c r="E612" s="9">
        <v>160200</v>
      </c>
      <c r="F612" s="9">
        <v>73800</v>
      </c>
      <c r="G612" s="9">
        <v>234000</v>
      </c>
    </row>
    <row r="613" spans="1:7">
      <c r="A613" s="616"/>
      <c r="B613" s="1995"/>
      <c r="C613" s="9" t="s">
        <v>3623</v>
      </c>
      <c r="D613" s="1078"/>
      <c r="E613" s="9">
        <v>81900</v>
      </c>
      <c r="F613" s="9">
        <v>30900</v>
      </c>
      <c r="G613" s="9">
        <v>112800</v>
      </c>
    </row>
    <row r="614" spans="1:7">
      <c r="A614" s="616"/>
      <c r="B614" s="1995"/>
      <c r="C614" s="11" t="s">
        <v>239</v>
      </c>
      <c r="D614" s="1078"/>
      <c r="E614" s="11">
        <f>SUM(E602:E613)</f>
        <v>3274200</v>
      </c>
      <c r="F614" s="11">
        <f>SUM(F602:F613)</f>
        <v>1724700</v>
      </c>
      <c r="G614" s="11">
        <f>SUM(G602:G613)</f>
        <v>4998900</v>
      </c>
    </row>
    <row r="615" spans="1:7">
      <c r="A615" s="616">
        <v>611000000115</v>
      </c>
      <c r="B615" s="1994">
        <v>47</v>
      </c>
      <c r="C615" s="11" t="s">
        <v>3648</v>
      </c>
      <c r="D615" s="1078" t="s">
        <v>259</v>
      </c>
      <c r="E615" s="9"/>
      <c r="F615" s="9"/>
      <c r="G615" s="9"/>
    </row>
    <row r="616" spans="1:7">
      <c r="A616" s="616"/>
      <c r="B616" s="1995"/>
      <c r="C616" s="9" t="s">
        <v>3612</v>
      </c>
      <c r="D616" s="1078"/>
      <c r="E616" s="9">
        <v>196821</v>
      </c>
      <c r="F616" s="9">
        <v>82170</v>
      </c>
      <c r="G616" s="9">
        <v>278991</v>
      </c>
    </row>
    <row r="617" spans="1:7">
      <c r="A617" s="616"/>
      <c r="B617" s="1995"/>
      <c r="C617" s="9" t="s">
        <v>3613</v>
      </c>
      <c r="D617" s="1078"/>
      <c r="E617" s="9">
        <v>274980</v>
      </c>
      <c r="F617" s="9">
        <v>114600</v>
      </c>
      <c r="G617" s="9">
        <v>389580</v>
      </c>
    </row>
    <row r="618" spans="1:7">
      <c r="A618" s="616"/>
      <c r="B618" s="1995"/>
      <c r="C618" s="9" t="s">
        <v>3614</v>
      </c>
      <c r="D618" s="1078"/>
      <c r="E618" s="9">
        <v>210150</v>
      </c>
      <c r="F618" s="9">
        <v>91260</v>
      </c>
      <c r="G618" s="9">
        <v>301410</v>
      </c>
    </row>
    <row r="619" spans="1:7">
      <c r="A619" s="616"/>
      <c r="B619" s="1995"/>
      <c r="C619" s="9" t="s">
        <v>3709</v>
      </c>
      <c r="D619" s="1078"/>
      <c r="E619" s="9">
        <v>290010</v>
      </c>
      <c r="F619" s="9">
        <v>112080</v>
      </c>
      <c r="G619" s="9">
        <v>402090</v>
      </c>
    </row>
    <row r="620" spans="1:7">
      <c r="A620" s="616"/>
      <c r="B620" s="1995"/>
      <c r="C620" s="9" t="s">
        <v>3616</v>
      </c>
      <c r="D620" s="1078"/>
      <c r="E620" s="9">
        <v>329220</v>
      </c>
      <c r="F620" s="9">
        <v>149640</v>
      </c>
      <c r="G620" s="9">
        <v>478860</v>
      </c>
    </row>
    <row r="621" spans="1:7">
      <c r="A621" s="616"/>
      <c r="B621" s="1995"/>
      <c r="C621" s="9" t="s">
        <v>3617</v>
      </c>
      <c r="D621" s="1078"/>
      <c r="E621" s="9">
        <v>433710</v>
      </c>
      <c r="F621" s="9">
        <v>197010</v>
      </c>
      <c r="G621" s="9">
        <v>630720</v>
      </c>
    </row>
    <row r="622" spans="1:7">
      <c r="A622" s="616"/>
      <c r="B622" s="1995"/>
      <c r="C622" s="11" t="s">
        <v>239</v>
      </c>
      <c r="D622" s="1078"/>
      <c r="E622" s="11">
        <f>SUM(E616:E621)</f>
        <v>1734891</v>
      </c>
      <c r="F622" s="11">
        <f>SUM(F616:F621)</f>
        <v>746760</v>
      </c>
      <c r="G622" s="11">
        <f>SUM(G616:G621)</f>
        <v>2481651</v>
      </c>
    </row>
    <row r="623" spans="1:7">
      <c r="A623" s="616">
        <v>611000000119</v>
      </c>
      <c r="B623" s="1994">
        <v>48</v>
      </c>
      <c r="C623" s="11" t="s">
        <v>572</v>
      </c>
      <c r="D623" s="1078" t="s">
        <v>271</v>
      </c>
      <c r="E623" s="9"/>
      <c r="F623" s="9"/>
      <c r="G623" s="9"/>
    </row>
    <row r="624" spans="1:7">
      <c r="A624" s="616"/>
      <c r="B624" s="1995"/>
      <c r="C624" s="9" t="s">
        <v>3614</v>
      </c>
      <c r="D624" s="1078"/>
      <c r="E624" s="9">
        <v>281700</v>
      </c>
      <c r="F624" s="9">
        <v>137340</v>
      </c>
      <c r="G624" s="9">
        <v>419040</v>
      </c>
    </row>
    <row r="625" spans="1:7">
      <c r="A625" s="616"/>
      <c r="B625" s="1995"/>
      <c r="C625" s="9" t="s">
        <v>3709</v>
      </c>
      <c r="D625" s="1078"/>
      <c r="E625" s="9">
        <v>1085220</v>
      </c>
      <c r="F625" s="9">
        <v>528060</v>
      </c>
      <c r="G625" s="9">
        <v>1613280</v>
      </c>
    </row>
    <row r="626" spans="1:7">
      <c r="A626" s="616"/>
      <c r="B626" s="1995"/>
      <c r="C626" s="9" t="s">
        <v>3616</v>
      </c>
      <c r="D626" s="1078"/>
      <c r="E626" s="9">
        <v>299280</v>
      </c>
      <c r="F626" s="9">
        <v>147420</v>
      </c>
      <c r="G626" s="9">
        <v>446700</v>
      </c>
    </row>
    <row r="627" spans="1:7">
      <c r="A627" s="616"/>
      <c r="B627" s="1995"/>
      <c r="C627" s="9" t="s">
        <v>3617</v>
      </c>
      <c r="D627" s="1078"/>
      <c r="E627" s="9">
        <v>343440</v>
      </c>
      <c r="F627" s="9">
        <v>161160</v>
      </c>
      <c r="G627" s="9">
        <v>504600</v>
      </c>
    </row>
    <row r="628" spans="1:7">
      <c r="A628" s="616"/>
      <c r="B628" s="1995"/>
      <c r="C628" s="9" t="s">
        <v>3618</v>
      </c>
      <c r="D628" s="1078"/>
      <c r="E628" s="9">
        <v>1031520</v>
      </c>
      <c r="F628" s="9">
        <v>520980</v>
      </c>
      <c r="G628" s="9">
        <v>1552500</v>
      </c>
    </row>
    <row r="629" spans="1:7">
      <c r="A629" s="616"/>
      <c r="B629" s="1995"/>
      <c r="C629" s="9" t="s">
        <v>3619</v>
      </c>
      <c r="D629" s="1078"/>
      <c r="E629" s="9">
        <v>2188260</v>
      </c>
      <c r="F629" s="9">
        <v>1162260</v>
      </c>
      <c r="G629" s="9">
        <v>3350520</v>
      </c>
    </row>
    <row r="630" spans="1:7">
      <c r="A630" s="616"/>
      <c r="B630" s="1995"/>
      <c r="C630" s="9" t="s">
        <v>3620</v>
      </c>
      <c r="D630" s="1078"/>
      <c r="E630" s="9">
        <v>3152760</v>
      </c>
      <c r="F630" s="9">
        <v>1594080</v>
      </c>
      <c r="G630" s="9">
        <v>4746840</v>
      </c>
    </row>
    <row r="631" spans="1:7">
      <c r="A631" s="616"/>
      <c r="B631" s="1995"/>
      <c r="C631" s="9" t="s">
        <v>3621</v>
      </c>
      <c r="D631" s="1078"/>
      <c r="E631" s="9">
        <v>3440340</v>
      </c>
      <c r="F631" s="9">
        <v>1716000</v>
      </c>
      <c r="G631" s="9">
        <v>5156340</v>
      </c>
    </row>
    <row r="632" spans="1:7">
      <c r="A632" s="616"/>
      <c r="B632" s="1995"/>
      <c r="C632" s="9" t="s">
        <v>3622</v>
      </c>
      <c r="D632" s="1078"/>
      <c r="E632" s="9">
        <v>2704380</v>
      </c>
      <c r="F632" s="9">
        <v>1414800</v>
      </c>
      <c r="G632" s="9">
        <v>4119180</v>
      </c>
    </row>
    <row r="633" spans="1:7">
      <c r="A633" s="616"/>
      <c r="B633" s="1995"/>
      <c r="C633" s="9" t="s">
        <v>3623</v>
      </c>
      <c r="D633" s="1078"/>
      <c r="E633" s="9">
        <v>2695860</v>
      </c>
      <c r="F633" s="9">
        <v>1388700</v>
      </c>
      <c r="G633" s="9">
        <v>4084560</v>
      </c>
    </row>
    <row r="634" spans="1:7">
      <c r="A634" s="616"/>
      <c r="B634" s="1995"/>
      <c r="C634" s="11" t="s">
        <v>239</v>
      </c>
      <c r="D634" s="1078"/>
      <c r="E634" s="11">
        <f>SUM(E624:E633)</f>
        <v>17222760</v>
      </c>
      <c r="F634" s="11">
        <f>SUM(F624:F633)</f>
        <v>8770800</v>
      </c>
      <c r="G634" s="11">
        <f>SUM(G624:G633)</f>
        <v>25993560</v>
      </c>
    </row>
    <row r="635" spans="1:7">
      <c r="A635" s="616">
        <v>611000000122</v>
      </c>
      <c r="B635" s="1994">
        <v>49</v>
      </c>
      <c r="C635" s="11" t="s">
        <v>552</v>
      </c>
      <c r="D635" s="1078" t="s">
        <v>271</v>
      </c>
      <c r="E635" s="9"/>
      <c r="F635" s="9"/>
      <c r="G635" s="9"/>
    </row>
    <row r="636" spans="1:7">
      <c r="A636" s="616"/>
      <c r="B636" s="1995"/>
      <c r="C636" s="9" t="s">
        <v>3617</v>
      </c>
      <c r="D636" s="1078"/>
      <c r="E636" s="9">
        <v>470400</v>
      </c>
      <c r="F636" s="9">
        <v>233100</v>
      </c>
      <c r="G636" s="9">
        <v>703500</v>
      </c>
    </row>
    <row r="637" spans="1:7">
      <c r="A637" s="616"/>
      <c r="B637" s="1995"/>
      <c r="C637" s="9" t="s">
        <v>3618</v>
      </c>
      <c r="D637" s="1078"/>
      <c r="E637" s="9">
        <v>3742200</v>
      </c>
      <c r="F637" s="9">
        <v>1829700</v>
      </c>
      <c r="G637" s="9">
        <v>5571900</v>
      </c>
    </row>
    <row r="638" spans="1:7">
      <c r="A638" s="616"/>
      <c r="B638" s="1995"/>
      <c r="C638" s="9" t="s">
        <v>3619</v>
      </c>
      <c r="D638" s="1078"/>
      <c r="E638" s="9">
        <v>6125700</v>
      </c>
      <c r="F638" s="9">
        <v>3245400</v>
      </c>
      <c r="G638" s="9">
        <v>9371100</v>
      </c>
    </row>
    <row r="639" spans="1:7">
      <c r="A639" s="616"/>
      <c r="B639" s="1995"/>
      <c r="C639" s="9" t="s">
        <v>3620</v>
      </c>
      <c r="D639" s="1078"/>
      <c r="E639" s="9">
        <v>9058800</v>
      </c>
      <c r="F639" s="9">
        <v>4765800</v>
      </c>
      <c r="G639" s="9">
        <v>13824600</v>
      </c>
    </row>
    <row r="640" spans="1:7">
      <c r="A640" s="616"/>
      <c r="B640" s="1995"/>
      <c r="C640" s="9" t="s">
        <v>3621</v>
      </c>
      <c r="D640" s="1078"/>
      <c r="E640" s="9">
        <v>11077800</v>
      </c>
      <c r="F640" s="9">
        <v>5860800</v>
      </c>
      <c r="G640" s="9">
        <v>16938600</v>
      </c>
    </row>
    <row r="641" spans="1:7">
      <c r="A641" s="616"/>
      <c r="B641" s="1995"/>
      <c r="C641" s="9" t="s">
        <v>3622</v>
      </c>
      <c r="D641" s="1078"/>
      <c r="E641" s="9">
        <v>9542400</v>
      </c>
      <c r="F641" s="9">
        <v>4907400</v>
      </c>
      <c r="G641" s="9">
        <v>14449800</v>
      </c>
    </row>
    <row r="642" spans="1:7">
      <c r="A642" s="616"/>
      <c r="B642" s="1995"/>
      <c r="C642" s="9" t="s">
        <v>3623</v>
      </c>
      <c r="D642" s="1078"/>
      <c r="E642" s="9">
        <v>12345900</v>
      </c>
      <c r="F642" s="9">
        <v>6352800</v>
      </c>
      <c r="G642" s="9">
        <v>18698700</v>
      </c>
    </row>
    <row r="643" spans="1:7">
      <c r="A643" s="616"/>
      <c r="B643" s="1995"/>
      <c r="C643" s="11" t="s">
        <v>239</v>
      </c>
      <c r="D643" s="1078"/>
      <c r="E643" s="11">
        <f>SUM(E636:E642)</f>
        <v>52363200</v>
      </c>
      <c r="F643" s="11">
        <f>SUM(F636:F642)</f>
        <v>27195000</v>
      </c>
      <c r="G643" s="11">
        <f>SUM(G636:G642)</f>
        <v>79558200</v>
      </c>
    </row>
    <row r="644" spans="1:7">
      <c r="A644" s="616">
        <v>611000000123</v>
      </c>
      <c r="B644" s="1994">
        <v>50</v>
      </c>
      <c r="C644" s="11" t="s">
        <v>716</v>
      </c>
      <c r="D644" s="1078" t="s">
        <v>259</v>
      </c>
      <c r="E644" s="9"/>
      <c r="F644" s="9"/>
      <c r="G644" s="9"/>
    </row>
    <row r="645" spans="1:7">
      <c r="A645" s="616"/>
      <c r="B645" s="1995"/>
      <c r="C645" s="9" t="s">
        <v>3621</v>
      </c>
      <c r="D645" s="1078"/>
      <c r="E645" s="9">
        <v>4470</v>
      </c>
      <c r="F645" s="9">
        <v>1710</v>
      </c>
      <c r="G645" s="9">
        <v>6180</v>
      </c>
    </row>
    <row r="646" spans="1:7">
      <c r="A646" s="616"/>
      <c r="B646" s="1995"/>
      <c r="C646" s="9" t="s">
        <v>3622</v>
      </c>
      <c r="D646" s="1078"/>
      <c r="E646" s="9">
        <v>5640</v>
      </c>
      <c r="F646" s="9">
        <v>2460</v>
      </c>
      <c r="G646" s="9">
        <v>8100</v>
      </c>
    </row>
    <row r="647" spans="1:7">
      <c r="A647" s="616"/>
      <c r="B647" s="1995"/>
      <c r="C647" s="9" t="s">
        <v>3623</v>
      </c>
      <c r="D647" s="1078"/>
      <c r="E647" s="9">
        <v>5640</v>
      </c>
      <c r="F647" s="9">
        <v>3450</v>
      </c>
      <c r="G647" s="9">
        <v>9090</v>
      </c>
    </row>
    <row r="648" spans="1:7">
      <c r="A648" s="616"/>
      <c r="B648" s="1995"/>
      <c r="C648" s="11" t="s">
        <v>239</v>
      </c>
      <c r="D648" s="1078"/>
      <c r="E648" s="11">
        <f>SUM(E645:E647)</f>
        <v>15750</v>
      </c>
      <c r="F648" s="11">
        <f>SUM(F645:F647)</f>
        <v>7620</v>
      </c>
      <c r="G648" s="11">
        <f>SUM(G645:G647)</f>
        <v>23370</v>
      </c>
    </row>
    <row r="649" spans="1:7">
      <c r="A649" s="616">
        <v>615000000009</v>
      </c>
      <c r="B649" s="1994">
        <v>51</v>
      </c>
      <c r="C649" s="11" t="s">
        <v>672</v>
      </c>
      <c r="D649" s="1078" t="s">
        <v>259</v>
      </c>
      <c r="E649" s="9"/>
      <c r="F649" s="9"/>
      <c r="G649" s="9"/>
    </row>
    <row r="650" spans="1:7">
      <c r="A650" s="616"/>
      <c r="B650" s="1995"/>
      <c r="C650" s="9" t="s">
        <v>3612</v>
      </c>
      <c r="D650" s="1078"/>
      <c r="E650" s="9">
        <v>1913130</v>
      </c>
      <c r="F650" s="9">
        <v>662280</v>
      </c>
      <c r="G650" s="9">
        <v>2575410</v>
      </c>
    </row>
    <row r="651" spans="1:7">
      <c r="A651" s="616"/>
      <c r="B651" s="1995"/>
      <c r="C651" s="9" t="s">
        <v>3613</v>
      </c>
      <c r="D651" s="1078"/>
      <c r="E651" s="9">
        <v>1960680</v>
      </c>
      <c r="F651" s="9">
        <v>651810</v>
      </c>
      <c r="G651" s="9">
        <v>2612490</v>
      </c>
    </row>
    <row r="652" spans="1:7">
      <c r="A652" s="616"/>
      <c r="B652" s="1995"/>
      <c r="C652" s="9" t="s">
        <v>3614</v>
      </c>
      <c r="D652" s="1078"/>
      <c r="E652" s="9">
        <v>1903080</v>
      </c>
      <c r="F652" s="9">
        <v>715260</v>
      </c>
      <c r="G652" s="9">
        <v>2618340</v>
      </c>
    </row>
    <row r="653" spans="1:7">
      <c r="A653" s="616"/>
      <c r="B653" s="1995"/>
      <c r="C653" s="9" t="s">
        <v>3709</v>
      </c>
      <c r="D653" s="1078"/>
      <c r="E653" s="9">
        <v>2046360</v>
      </c>
      <c r="F653" s="9">
        <v>728730</v>
      </c>
      <c r="G653" s="9">
        <v>2775090</v>
      </c>
    </row>
    <row r="654" spans="1:7">
      <c r="A654" s="616"/>
      <c r="B654" s="1995"/>
      <c r="C654" s="9" t="s">
        <v>3616</v>
      </c>
      <c r="D654" s="1078"/>
      <c r="E654" s="9">
        <v>2074590</v>
      </c>
      <c r="F654" s="9">
        <v>705300</v>
      </c>
      <c r="G654" s="9">
        <v>2779890</v>
      </c>
    </row>
    <row r="655" spans="1:7">
      <c r="A655" s="616"/>
      <c r="B655" s="1995"/>
      <c r="C655" s="9" t="s">
        <v>3617</v>
      </c>
      <c r="D655" s="1078"/>
      <c r="E655" s="9">
        <v>2062200</v>
      </c>
      <c r="F655" s="9">
        <v>722580</v>
      </c>
      <c r="G655" s="9">
        <v>2784780</v>
      </c>
    </row>
    <row r="656" spans="1:7">
      <c r="A656" s="616"/>
      <c r="B656" s="1995"/>
      <c r="C656" s="9" t="s">
        <v>3618</v>
      </c>
      <c r="D656" s="1078"/>
      <c r="E656" s="9">
        <v>2069400</v>
      </c>
      <c r="F656" s="9">
        <v>739920</v>
      </c>
      <c r="G656" s="9">
        <v>2809320</v>
      </c>
    </row>
    <row r="657" spans="1:7">
      <c r="A657" s="616"/>
      <c r="B657" s="1995"/>
      <c r="C657" s="9" t="s">
        <v>3619</v>
      </c>
      <c r="D657" s="1078"/>
      <c r="E657" s="9">
        <v>2038950</v>
      </c>
      <c r="F657" s="9">
        <v>701700</v>
      </c>
      <c r="G657" s="9">
        <v>2740650</v>
      </c>
    </row>
    <row r="658" spans="1:7">
      <c r="A658" s="616"/>
      <c r="B658" s="1995"/>
      <c r="C658" s="9" t="s">
        <v>3620</v>
      </c>
      <c r="D658" s="1078"/>
      <c r="E658" s="9">
        <v>1429980</v>
      </c>
      <c r="F658" s="9">
        <v>563730</v>
      </c>
      <c r="G658" s="9">
        <v>1993710</v>
      </c>
    </row>
    <row r="659" spans="1:7">
      <c r="A659" s="616"/>
      <c r="B659" s="1995"/>
      <c r="C659" s="9" t="s">
        <v>3621</v>
      </c>
      <c r="D659" s="1078"/>
      <c r="E659" s="9">
        <v>1816800</v>
      </c>
      <c r="F659" s="9">
        <v>706560</v>
      </c>
      <c r="G659" s="9">
        <v>2523360</v>
      </c>
    </row>
    <row r="660" spans="1:7">
      <c r="A660" s="616"/>
      <c r="B660" s="1995"/>
      <c r="C660" s="9" t="s">
        <v>3622</v>
      </c>
      <c r="D660" s="1078"/>
      <c r="E660" s="9">
        <v>1656180</v>
      </c>
      <c r="F660" s="9">
        <v>596790</v>
      </c>
      <c r="G660" s="9">
        <v>2252970</v>
      </c>
    </row>
    <row r="661" spans="1:7">
      <c r="A661" s="616"/>
      <c r="B661" s="1995"/>
      <c r="C661" s="9" t="s">
        <v>3623</v>
      </c>
      <c r="D661" s="1078"/>
      <c r="E661" s="9">
        <v>1634850</v>
      </c>
      <c r="F661" s="9">
        <v>573000</v>
      </c>
      <c r="G661" s="9">
        <v>2207850</v>
      </c>
    </row>
    <row r="662" spans="1:7">
      <c r="A662" s="616"/>
      <c r="B662" s="1995"/>
      <c r="C662" s="11" t="s">
        <v>239</v>
      </c>
      <c r="D662" s="1078"/>
      <c r="E662" s="11">
        <f>SUM(E650:E661)</f>
        <v>22606200</v>
      </c>
      <c r="F662" s="11">
        <f>SUM(F650:F661)</f>
        <v>8067660</v>
      </c>
      <c r="G662" s="11">
        <f>SUM(G650:G661)</f>
        <v>30673860</v>
      </c>
    </row>
    <row r="663" spans="1:7">
      <c r="A663" s="616">
        <v>615000000035</v>
      </c>
      <c r="B663" s="1994">
        <v>52</v>
      </c>
      <c r="C663" s="11" t="s">
        <v>718</v>
      </c>
      <c r="D663" s="1078" t="s">
        <v>259</v>
      </c>
      <c r="E663" s="9"/>
      <c r="F663" s="9"/>
      <c r="G663" s="9"/>
    </row>
    <row r="664" spans="1:7">
      <c r="A664" s="616"/>
      <c r="B664" s="1995"/>
      <c r="C664" s="9" t="s">
        <v>3612</v>
      </c>
      <c r="D664" s="1078"/>
      <c r="E664" s="9">
        <v>11310</v>
      </c>
      <c r="F664" s="9">
        <v>8190</v>
      </c>
      <c r="G664" s="9">
        <v>19500</v>
      </c>
    </row>
    <row r="665" spans="1:7">
      <c r="A665" s="616"/>
      <c r="B665" s="1995"/>
      <c r="C665" s="9" t="s">
        <v>3613</v>
      </c>
      <c r="D665" s="1078"/>
      <c r="E665" s="9">
        <v>6900</v>
      </c>
      <c r="F665" s="9">
        <v>5190</v>
      </c>
      <c r="G665" s="9">
        <v>12090</v>
      </c>
    </row>
    <row r="666" spans="1:7">
      <c r="A666" s="616"/>
      <c r="B666" s="1995"/>
      <c r="C666" s="9" t="s">
        <v>3614</v>
      </c>
      <c r="D666" s="1078"/>
      <c r="E666" s="9">
        <v>5520</v>
      </c>
      <c r="F666" s="9">
        <v>4230</v>
      </c>
      <c r="G666" s="9">
        <v>9750</v>
      </c>
    </row>
    <row r="667" spans="1:7">
      <c r="A667" s="616"/>
      <c r="B667" s="1995"/>
      <c r="C667" s="9" t="s">
        <v>3709</v>
      </c>
      <c r="D667" s="1078"/>
      <c r="E667" s="9">
        <v>66150</v>
      </c>
      <c r="F667" s="9">
        <v>4710</v>
      </c>
      <c r="G667" s="9">
        <v>70860</v>
      </c>
    </row>
    <row r="668" spans="1:7">
      <c r="A668" s="616"/>
      <c r="B668" s="1995"/>
      <c r="C668" s="9" t="s">
        <v>3616</v>
      </c>
      <c r="D668" s="1078"/>
      <c r="E668" s="9">
        <v>76350</v>
      </c>
      <c r="F668" s="9">
        <v>3900</v>
      </c>
      <c r="G668" s="9">
        <v>80250</v>
      </c>
    </row>
    <row r="669" spans="1:7">
      <c r="A669" s="616"/>
      <c r="B669" s="1995"/>
      <c r="C669" s="9" t="s">
        <v>3617</v>
      </c>
      <c r="D669" s="1078"/>
      <c r="E669" s="9">
        <v>98760</v>
      </c>
      <c r="F669" s="9">
        <v>5250</v>
      </c>
      <c r="G669" s="9">
        <v>104010</v>
      </c>
    </row>
    <row r="670" spans="1:7">
      <c r="A670" s="616"/>
      <c r="B670" s="1995"/>
      <c r="C670" s="9" t="s">
        <v>3618</v>
      </c>
      <c r="D670" s="1078"/>
      <c r="E670" s="9">
        <v>21510</v>
      </c>
      <c r="F670" s="9">
        <v>5250</v>
      </c>
      <c r="G670" s="9">
        <v>26760</v>
      </c>
    </row>
    <row r="671" spans="1:7">
      <c r="A671" s="616"/>
      <c r="B671" s="1995"/>
      <c r="C671" s="9" t="s">
        <v>3619</v>
      </c>
      <c r="D671" s="1078"/>
      <c r="E671" s="9">
        <v>24180</v>
      </c>
      <c r="F671" s="9">
        <v>4290</v>
      </c>
      <c r="G671" s="9">
        <v>28470</v>
      </c>
    </row>
    <row r="672" spans="1:7">
      <c r="A672" s="616"/>
      <c r="B672" s="1995"/>
      <c r="C672" s="9" t="s">
        <v>3620</v>
      </c>
      <c r="D672" s="1078"/>
      <c r="E672" s="9">
        <v>1890</v>
      </c>
      <c r="F672" s="9">
        <v>1740</v>
      </c>
      <c r="G672" s="9">
        <v>3630</v>
      </c>
    </row>
    <row r="673" spans="1:7">
      <c r="A673" s="616"/>
      <c r="B673" s="1995"/>
      <c r="C673" s="9" t="s">
        <v>3621</v>
      </c>
      <c r="D673" s="1078"/>
      <c r="E673" s="9">
        <v>9330</v>
      </c>
      <c r="F673" s="9">
        <v>7830</v>
      </c>
      <c r="G673" s="9">
        <v>17160</v>
      </c>
    </row>
    <row r="674" spans="1:7">
      <c r="A674" s="616"/>
      <c r="B674" s="1995"/>
      <c r="C674" s="9" t="s">
        <v>3622</v>
      </c>
      <c r="D674" s="1078"/>
      <c r="E674" s="9">
        <v>11070</v>
      </c>
      <c r="F674" s="9">
        <v>9510</v>
      </c>
      <c r="G674" s="9">
        <v>20580</v>
      </c>
    </row>
    <row r="675" spans="1:7">
      <c r="A675" s="616"/>
      <c r="B675" s="1995"/>
      <c r="C675" s="9" t="s">
        <v>3623</v>
      </c>
      <c r="D675" s="1078"/>
      <c r="E675" s="9">
        <v>10560</v>
      </c>
      <c r="F675" s="9">
        <v>8130</v>
      </c>
      <c r="G675" s="9">
        <v>18690</v>
      </c>
    </row>
    <row r="676" spans="1:7">
      <c r="A676" s="616"/>
      <c r="B676" s="1995"/>
      <c r="C676" s="11" t="s">
        <v>239</v>
      </c>
      <c r="D676" s="1078"/>
      <c r="E676" s="11">
        <f>SUM(E664:E675)</f>
        <v>343530</v>
      </c>
      <c r="F676" s="11">
        <f>SUM(F664:F675)</f>
        <v>68220</v>
      </c>
      <c r="G676" s="11">
        <f>SUM(G664:G675)</f>
        <v>411750</v>
      </c>
    </row>
    <row r="677" spans="1:7">
      <c r="A677" s="616">
        <v>615000000040</v>
      </c>
      <c r="B677" s="1994">
        <v>53</v>
      </c>
      <c r="C677" s="11" t="s">
        <v>574</v>
      </c>
      <c r="D677" s="1078" t="s">
        <v>271</v>
      </c>
      <c r="E677" s="9"/>
      <c r="F677" s="9"/>
      <c r="G677" s="9"/>
    </row>
    <row r="678" spans="1:7">
      <c r="A678" s="616"/>
      <c r="B678" s="1995"/>
      <c r="C678" s="9" t="s">
        <v>3612</v>
      </c>
      <c r="D678" s="1078"/>
      <c r="E678" s="9">
        <v>2138600</v>
      </c>
      <c r="F678" s="9">
        <v>1115000</v>
      </c>
      <c r="G678" s="9">
        <v>3253600</v>
      </c>
    </row>
    <row r="679" spans="1:7">
      <c r="A679" s="616"/>
      <c r="B679" s="1995"/>
      <c r="C679" s="9" t="s">
        <v>3613</v>
      </c>
      <c r="D679" s="1078"/>
      <c r="E679" s="9">
        <v>2398000</v>
      </c>
      <c r="F679" s="9">
        <v>1216600</v>
      </c>
      <c r="G679" s="9">
        <v>3614600</v>
      </c>
    </row>
    <row r="680" spans="1:7">
      <c r="A680" s="616"/>
      <c r="B680" s="1995"/>
      <c r="C680" s="9" t="s">
        <v>3614</v>
      </c>
      <c r="D680" s="1078"/>
      <c r="E680" s="9">
        <v>2265000</v>
      </c>
      <c r="F680" s="9">
        <v>1181000</v>
      </c>
      <c r="G680" s="9">
        <v>3446000</v>
      </c>
    </row>
    <row r="681" spans="1:7">
      <c r="A681" s="616"/>
      <c r="B681" s="1995"/>
      <c r="C681" s="9" t="s">
        <v>3709</v>
      </c>
      <c r="D681" s="1078"/>
      <c r="E681" s="9">
        <v>1853400</v>
      </c>
      <c r="F681" s="9">
        <v>1035000</v>
      </c>
      <c r="G681" s="9">
        <v>2888400</v>
      </c>
    </row>
    <row r="682" spans="1:7">
      <c r="A682" s="616"/>
      <c r="B682" s="1995"/>
      <c r="C682" s="9" t="s">
        <v>3616</v>
      </c>
      <c r="D682" s="1078"/>
      <c r="E682" s="9">
        <v>1832600</v>
      </c>
      <c r="F682" s="9">
        <v>995400</v>
      </c>
      <c r="G682" s="9">
        <v>2828000</v>
      </c>
    </row>
    <row r="683" spans="1:7">
      <c r="A683" s="616"/>
      <c r="B683" s="1995"/>
      <c r="C683" s="9" t="s">
        <v>3617</v>
      </c>
      <c r="D683" s="1078"/>
      <c r="E683" s="9">
        <v>2057200</v>
      </c>
      <c r="F683" s="9">
        <v>1102800</v>
      </c>
      <c r="G683" s="9">
        <v>3160000</v>
      </c>
    </row>
    <row r="684" spans="1:7">
      <c r="A684" s="616"/>
      <c r="B684" s="1995"/>
      <c r="C684" s="9" t="s">
        <v>3618</v>
      </c>
      <c r="D684" s="1078"/>
      <c r="E684" s="9">
        <v>2398000</v>
      </c>
      <c r="F684" s="9">
        <v>1283800</v>
      </c>
      <c r="G684" s="9">
        <v>3681800</v>
      </c>
    </row>
    <row r="685" spans="1:7">
      <c r="A685" s="616"/>
      <c r="B685" s="1995"/>
      <c r="C685" s="9" t="s">
        <v>3619</v>
      </c>
      <c r="D685" s="1078"/>
      <c r="E685" s="9">
        <v>2291400</v>
      </c>
      <c r="F685" s="9">
        <v>1200800</v>
      </c>
      <c r="G685" s="9">
        <v>3492200</v>
      </c>
    </row>
    <row r="686" spans="1:7">
      <c r="A686" s="616"/>
      <c r="B686" s="1995"/>
      <c r="C686" s="9" t="s">
        <v>3620</v>
      </c>
      <c r="D686" s="1078"/>
      <c r="E686" s="9">
        <v>2451600</v>
      </c>
      <c r="F686" s="9">
        <v>1299800</v>
      </c>
      <c r="G686" s="9">
        <v>3751400</v>
      </c>
    </row>
    <row r="687" spans="1:7">
      <c r="A687" s="616"/>
      <c r="B687" s="1995"/>
      <c r="C687" s="9" t="s">
        <v>3621</v>
      </c>
      <c r="D687" s="1078"/>
      <c r="E687" s="9">
        <v>2546000</v>
      </c>
      <c r="F687" s="9">
        <v>1296000</v>
      </c>
      <c r="G687" s="9">
        <v>3842000</v>
      </c>
    </row>
    <row r="688" spans="1:7">
      <c r="A688" s="616"/>
      <c r="B688" s="1995"/>
      <c r="C688" s="9" t="s">
        <v>3622</v>
      </c>
      <c r="D688" s="1078"/>
      <c r="E688" s="9">
        <v>1838000</v>
      </c>
      <c r="F688" s="9">
        <v>946200</v>
      </c>
      <c r="G688" s="9">
        <v>2784200</v>
      </c>
    </row>
    <row r="689" spans="1:7">
      <c r="A689" s="616"/>
      <c r="B689" s="1995"/>
      <c r="C689" s="9" t="s">
        <v>3623</v>
      </c>
      <c r="D689" s="1078"/>
      <c r="E689" s="9">
        <v>2576400</v>
      </c>
      <c r="F689" s="9">
        <v>1304400</v>
      </c>
      <c r="G689" s="9">
        <v>3880800</v>
      </c>
    </row>
    <row r="690" spans="1:7">
      <c r="A690" s="616"/>
      <c r="B690" s="1995"/>
      <c r="C690" s="11" t="s">
        <v>239</v>
      </c>
      <c r="D690" s="1078"/>
      <c r="E690" s="11">
        <f>SUM(E678:E689)</f>
        <v>26646200</v>
      </c>
      <c r="F690" s="11">
        <f>SUM(F678:F689)</f>
        <v>13976800</v>
      </c>
      <c r="G690" s="11">
        <f>SUM(G678:G689)</f>
        <v>40623000</v>
      </c>
    </row>
    <row r="691" spans="1:7">
      <c r="A691" s="616">
        <v>615000000049</v>
      </c>
      <c r="B691" s="1994">
        <v>54</v>
      </c>
      <c r="C691" s="11" t="s">
        <v>720</v>
      </c>
      <c r="D691" s="1078" t="s">
        <v>259</v>
      </c>
      <c r="E691" s="9"/>
      <c r="F691" s="9"/>
      <c r="G691" s="9"/>
    </row>
    <row r="692" spans="1:7">
      <c r="A692" s="616"/>
      <c r="B692" s="1995"/>
      <c r="C692" s="9" t="s">
        <v>3612</v>
      </c>
      <c r="D692" s="1078"/>
      <c r="E692" s="9">
        <v>630</v>
      </c>
      <c r="F692" s="9">
        <v>240</v>
      </c>
      <c r="G692" s="9">
        <v>870</v>
      </c>
    </row>
    <row r="693" spans="1:7">
      <c r="A693" s="616"/>
      <c r="B693" s="1995"/>
      <c r="C693" s="9" t="s">
        <v>3613</v>
      </c>
      <c r="D693" s="1078"/>
      <c r="E693" s="9">
        <v>0</v>
      </c>
      <c r="F693" s="9">
        <v>0</v>
      </c>
      <c r="G693" s="9">
        <v>0</v>
      </c>
    </row>
    <row r="694" spans="1:7">
      <c r="A694" s="616"/>
      <c r="B694" s="1995"/>
      <c r="C694" s="9" t="s">
        <v>3614</v>
      </c>
      <c r="D694" s="1078"/>
      <c r="E694" s="9">
        <v>0</v>
      </c>
      <c r="F694" s="9">
        <v>0</v>
      </c>
      <c r="G694" s="9">
        <v>0</v>
      </c>
    </row>
    <row r="695" spans="1:7">
      <c r="A695" s="616"/>
      <c r="B695" s="1995"/>
      <c r="C695" s="9" t="s">
        <v>3709</v>
      </c>
      <c r="D695" s="1078"/>
      <c r="E695" s="9">
        <v>1020</v>
      </c>
      <c r="F695" s="9">
        <v>210</v>
      </c>
      <c r="G695" s="9">
        <v>1230</v>
      </c>
    </row>
    <row r="696" spans="1:7">
      <c r="A696" s="616"/>
      <c r="B696" s="1995"/>
      <c r="C696" s="9" t="s">
        <v>3616</v>
      </c>
      <c r="D696" s="1078"/>
      <c r="E696" s="9">
        <v>6315</v>
      </c>
      <c r="F696" s="9">
        <v>9960</v>
      </c>
      <c r="G696" s="9">
        <v>16275</v>
      </c>
    </row>
    <row r="697" spans="1:7">
      <c r="A697" s="616"/>
      <c r="B697" s="1995"/>
      <c r="C697" s="9" t="s">
        <v>3617</v>
      </c>
      <c r="D697" s="1078"/>
      <c r="E697" s="9">
        <v>16125</v>
      </c>
      <c r="F697" s="9">
        <v>18480</v>
      </c>
      <c r="G697" s="9">
        <v>34605</v>
      </c>
    </row>
    <row r="698" spans="1:7">
      <c r="A698" s="616"/>
      <c r="B698" s="1995"/>
      <c r="C698" s="9" t="s">
        <v>3618</v>
      </c>
      <c r="D698" s="1078"/>
      <c r="E698" s="9">
        <v>6210</v>
      </c>
      <c r="F698" s="9">
        <v>7800</v>
      </c>
      <c r="G698" s="9">
        <v>14010</v>
      </c>
    </row>
    <row r="699" spans="1:7">
      <c r="A699" s="616"/>
      <c r="B699" s="1995"/>
      <c r="C699" s="9" t="s">
        <v>3619</v>
      </c>
      <c r="D699" s="1078"/>
      <c r="E699" s="9">
        <v>7425</v>
      </c>
      <c r="F699" s="9">
        <v>9240</v>
      </c>
      <c r="G699" s="9">
        <v>16665</v>
      </c>
    </row>
    <row r="700" spans="1:7">
      <c r="A700" s="616"/>
      <c r="B700" s="1995"/>
      <c r="C700" s="9" t="s">
        <v>3620</v>
      </c>
      <c r="D700" s="1078"/>
      <c r="E700" s="9">
        <v>3090</v>
      </c>
      <c r="F700" s="9">
        <v>1845</v>
      </c>
      <c r="G700" s="9">
        <v>4935</v>
      </c>
    </row>
    <row r="701" spans="1:7">
      <c r="A701" s="616"/>
      <c r="B701" s="1995"/>
      <c r="C701" s="9" t="s">
        <v>3621</v>
      </c>
      <c r="D701" s="1078"/>
      <c r="E701" s="9">
        <v>2955</v>
      </c>
      <c r="F701" s="9">
        <v>2025</v>
      </c>
      <c r="G701" s="9">
        <v>4980</v>
      </c>
    </row>
    <row r="702" spans="1:7">
      <c r="A702" s="616"/>
      <c r="B702" s="1995"/>
      <c r="C702" s="9" t="s">
        <v>3622</v>
      </c>
      <c r="D702" s="1078"/>
      <c r="E702" s="9">
        <v>2925</v>
      </c>
      <c r="F702" s="9">
        <v>2190</v>
      </c>
      <c r="G702" s="9">
        <v>5115</v>
      </c>
    </row>
    <row r="703" spans="1:7">
      <c r="A703" s="616"/>
      <c r="B703" s="1995"/>
      <c r="C703" s="9" t="s">
        <v>3623</v>
      </c>
      <c r="D703" s="1078"/>
      <c r="E703" s="9">
        <v>2595</v>
      </c>
      <c r="F703" s="9">
        <v>1860</v>
      </c>
      <c r="G703" s="9">
        <v>4455</v>
      </c>
    </row>
    <row r="704" spans="1:7">
      <c r="A704" s="616"/>
      <c r="B704" s="1995"/>
      <c r="C704" s="11" t="s">
        <v>239</v>
      </c>
      <c r="D704" s="1078"/>
      <c r="E704" s="11">
        <f>SUM(E692:E703)</f>
        <v>49290</v>
      </c>
      <c r="F704" s="11">
        <f>SUM(F692:F703)</f>
        <v>53850</v>
      </c>
      <c r="G704" s="11">
        <f>SUM(G692:G703)</f>
        <v>103140</v>
      </c>
    </row>
    <row r="705" spans="1:7">
      <c r="A705" s="616">
        <v>621000000004</v>
      </c>
      <c r="B705" s="1994">
        <v>55</v>
      </c>
      <c r="C705" s="11" t="s">
        <v>674</v>
      </c>
      <c r="D705" s="1078" t="s">
        <v>259</v>
      </c>
      <c r="E705" s="9"/>
      <c r="F705" s="9"/>
      <c r="G705" s="9"/>
    </row>
    <row r="706" spans="1:7">
      <c r="A706" s="616"/>
      <c r="B706" s="1995"/>
      <c r="C706" s="9" t="s">
        <v>3612</v>
      </c>
      <c r="D706" s="1078"/>
      <c r="E706" s="9">
        <v>1248420</v>
      </c>
      <c r="F706" s="9">
        <v>610440</v>
      </c>
      <c r="G706" s="9">
        <v>1858860</v>
      </c>
    </row>
    <row r="707" spans="1:7">
      <c r="A707" s="616"/>
      <c r="B707" s="1995"/>
      <c r="C707" s="9" t="s">
        <v>3613</v>
      </c>
      <c r="D707" s="1078"/>
      <c r="E707" s="9">
        <v>1705170</v>
      </c>
      <c r="F707" s="9">
        <v>875430</v>
      </c>
      <c r="G707" s="9">
        <v>2580600</v>
      </c>
    </row>
    <row r="708" spans="1:7">
      <c r="A708" s="616"/>
      <c r="B708" s="1995"/>
      <c r="C708" s="9" t="s">
        <v>3614</v>
      </c>
      <c r="D708" s="1078"/>
      <c r="E708" s="9">
        <v>1789320</v>
      </c>
      <c r="F708" s="9">
        <v>918000</v>
      </c>
      <c r="G708" s="9">
        <v>2707320</v>
      </c>
    </row>
    <row r="709" spans="1:7">
      <c r="A709" s="616"/>
      <c r="B709" s="1995"/>
      <c r="C709" s="9" t="s">
        <v>3709</v>
      </c>
      <c r="D709" s="1078"/>
      <c r="E709" s="9">
        <v>1441200</v>
      </c>
      <c r="F709" s="9">
        <v>784440</v>
      </c>
      <c r="G709" s="9">
        <v>2225640</v>
      </c>
    </row>
    <row r="710" spans="1:7">
      <c r="A710" s="616"/>
      <c r="B710" s="1995"/>
      <c r="C710" s="9" t="s">
        <v>3616</v>
      </c>
      <c r="D710" s="1078"/>
      <c r="E710" s="9">
        <v>975090</v>
      </c>
      <c r="F710" s="9">
        <v>515430</v>
      </c>
      <c r="G710" s="9">
        <v>1490520</v>
      </c>
    </row>
    <row r="711" spans="1:7">
      <c r="A711" s="616"/>
      <c r="B711" s="1995"/>
      <c r="C711" s="9" t="s">
        <v>3617</v>
      </c>
      <c r="D711" s="1078"/>
      <c r="E711" s="9">
        <v>267060</v>
      </c>
      <c r="F711" s="9">
        <v>132810</v>
      </c>
      <c r="G711" s="9">
        <v>399870</v>
      </c>
    </row>
    <row r="712" spans="1:7">
      <c r="A712" s="616"/>
      <c r="B712" s="1995"/>
      <c r="C712" s="9" t="s">
        <v>3618</v>
      </c>
      <c r="D712" s="1078"/>
      <c r="E712" s="9">
        <v>1819890</v>
      </c>
      <c r="F712" s="9">
        <v>951270</v>
      </c>
      <c r="G712" s="9">
        <v>2771160</v>
      </c>
    </row>
    <row r="713" spans="1:7">
      <c r="A713" s="616"/>
      <c r="B713" s="1995"/>
      <c r="C713" s="9" t="s">
        <v>3619</v>
      </c>
      <c r="D713" s="1078"/>
      <c r="E713" s="9">
        <v>1677120</v>
      </c>
      <c r="F713" s="9">
        <v>906450</v>
      </c>
      <c r="G713" s="9">
        <v>2583570</v>
      </c>
    </row>
    <row r="714" spans="1:7">
      <c r="A714" s="616"/>
      <c r="B714" s="1995"/>
      <c r="C714" s="9" t="s">
        <v>3620</v>
      </c>
      <c r="D714" s="1078"/>
      <c r="E714" s="9">
        <v>1673310</v>
      </c>
      <c r="F714" s="9">
        <v>890220</v>
      </c>
      <c r="G714" s="9">
        <v>2563530</v>
      </c>
    </row>
    <row r="715" spans="1:7">
      <c r="A715" s="616"/>
      <c r="B715" s="1995"/>
      <c r="C715" s="9" t="s">
        <v>3621</v>
      </c>
      <c r="D715" s="1078"/>
      <c r="E715" s="9">
        <v>1822590</v>
      </c>
      <c r="F715" s="9">
        <v>922920</v>
      </c>
      <c r="G715" s="9">
        <v>2745510</v>
      </c>
    </row>
    <row r="716" spans="1:7">
      <c r="A716" s="616"/>
      <c r="B716" s="1995"/>
      <c r="C716" s="9" t="s">
        <v>3622</v>
      </c>
      <c r="D716" s="1078"/>
      <c r="E716" s="9">
        <v>1503750</v>
      </c>
      <c r="F716" s="9">
        <v>799680</v>
      </c>
      <c r="G716" s="9">
        <v>2303430</v>
      </c>
    </row>
    <row r="717" spans="1:7">
      <c r="A717" s="616"/>
      <c r="B717" s="1995"/>
      <c r="C717" s="9" t="s">
        <v>3623</v>
      </c>
      <c r="D717" s="1078"/>
      <c r="E717" s="9">
        <v>1513140</v>
      </c>
      <c r="F717" s="9">
        <v>744540</v>
      </c>
      <c r="G717" s="9">
        <v>2257680</v>
      </c>
    </row>
    <row r="718" spans="1:7">
      <c r="A718" s="616"/>
      <c r="B718" s="1995"/>
      <c r="C718" s="11" t="s">
        <v>239</v>
      </c>
      <c r="D718" s="1078"/>
      <c r="E718" s="11">
        <f>SUM(E706:E717)</f>
        <v>17436060</v>
      </c>
      <c r="F718" s="11">
        <f>SUM(F706:F717)</f>
        <v>9051630</v>
      </c>
      <c r="G718" s="11">
        <f>SUM(G706:G717)</f>
        <v>26487690</v>
      </c>
    </row>
    <row r="719" spans="1:7">
      <c r="A719" s="616">
        <v>621000000005</v>
      </c>
      <c r="B719" s="1994">
        <v>56</v>
      </c>
      <c r="C719" s="11" t="s">
        <v>676</v>
      </c>
      <c r="D719" s="1078" t="s">
        <v>259</v>
      </c>
      <c r="E719" s="9"/>
      <c r="F719" s="9"/>
      <c r="G719" s="9"/>
    </row>
    <row r="720" spans="1:7">
      <c r="A720" s="616"/>
      <c r="B720" s="1995"/>
      <c r="C720" s="9" t="s">
        <v>3614</v>
      </c>
      <c r="D720" s="1078"/>
      <c r="E720" s="9">
        <v>100320</v>
      </c>
      <c r="F720" s="9">
        <v>42720</v>
      </c>
      <c r="G720" s="9">
        <v>143040</v>
      </c>
    </row>
    <row r="721" spans="1:7">
      <c r="A721" s="616"/>
      <c r="B721" s="1995"/>
      <c r="C721" s="9" t="s">
        <v>3709</v>
      </c>
      <c r="D721" s="1078"/>
      <c r="E721" s="9">
        <v>112320</v>
      </c>
      <c r="F721" s="9">
        <v>43920</v>
      </c>
      <c r="G721" s="9">
        <v>156240</v>
      </c>
    </row>
    <row r="722" spans="1:7">
      <c r="A722" s="616"/>
      <c r="B722" s="1995"/>
      <c r="C722" s="9" t="s">
        <v>3616</v>
      </c>
      <c r="D722" s="1078"/>
      <c r="E722" s="9">
        <v>114240</v>
      </c>
      <c r="F722" s="9">
        <v>42480</v>
      </c>
      <c r="G722" s="9">
        <v>156720</v>
      </c>
    </row>
    <row r="723" spans="1:7">
      <c r="A723" s="616"/>
      <c r="B723" s="1995"/>
      <c r="C723" s="9" t="s">
        <v>3617</v>
      </c>
      <c r="D723" s="1078"/>
      <c r="E723" s="9">
        <v>179280</v>
      </c>
      <c r="F723" s="9">
        <v>78600</v>
      </c>
      <c r="G723" s="9">
        <v>257880</v>
      </c>
    </row>
    <row r="724" spans="1:7">
      <c r="A724" s="616"/>
      <c r="B724" s="1995"/>
      <c r="C724" s="9" t="s">
        <v>3618</v>
      </c>
      <c r="D724" s="1078"/>
      <c r="E724" s="9">
        <v>330000</v>
      </c>
      <c r="F724" s="9">
        <v>151680</v>
      </c>
      <c r="G724" s="9">
        <v>481680</v>
      </c>
    </row>
    <row r="725" spans="1:7">
      <c r="A725" s="616"/>
      <c r="B725" s="1995"/>
      <c r="C725" s="9" t="s">
        <v>3619</v>
      </c>
      <c r="D725" s="1078"/>
      <c r="E725" s="9">
        <v>523800</v>
      </c>
      <c r="F725" s="9">
        <v>260520</v>
      </c>
      <c r="G725" s="9">
        <v>784320</v>
      </c>
    </row>
    <row r="726" spans="1:7">
      <c r="A726" s="616"/>
      <c r="B726" s="1995"/>
      <c r="C726" s="9" t="s">
        <v>3620</v>
      </c>
      <c r="D726" s="1078"/>
      <c r="E726" s="9">
        <v>130560</v>
      </c>
      <c r="F726" s="9">
        <v>76440</v>
      </c>
      <c r="G726" s="9">
        <v>207000</v>
      </c>
    </row>
    <row r="727" spans="1:7">
      <c r="A727" s="616"/>
      <c r="B727" s="1995"/>
      <c r="C727" s="9" t="s">
        <v>3621</v>
      </c>
      <c r="D727" s="1078"/>
      <c r="E727" s="9">
        <v>196560</v>
      </c>
      <c r="F727" s="9">
        <v>86160</v>
      </c>
      <c r="G727" s="9">
        <v>282720</v>
      </c>
    </row>
    <row r="728" spans="1:7">
      <c r="A728" s="616"/>
      <c r="B728" s="1995"/>
      <c r="C728" s="9" t="s">
        <v>3622</v>
      </c>
      <c r="D728" s="1078"/>
      <c r="E728" s="9">
        <v>127320</v>
      </c>
      <c r="F728" s="9">
        <v>80760</v>
      </c>
      <c r="G728" s="9">
        <v>208080</v>
      </c>
    </row>
    <row r="729" spans="1:7">
      <c r="A729" s="616"/>
      <c r="B729" s="1995"/>
      <c r="C729" s="9" t="s">
        <v>3623</v>
      </c>
      <c r="D729" s="1078"/>
      <c r="E729" s="9">
        <v>186480</v>
      </c>
      <c r="F729" s="9">
        <v>91800</v>
      </c>
      <c r="G729" s="9">
        <v>278280</v>
      </c>
    </row>
    <row r="730" spans="1:7">
      <c r="A730" s="616"/>
      <c r="B730" s="1995"/>
      <c r="C730" s="11" t="s">
        <v>239</v>
      </c>
      <c r="D730" s="1078"/>
      <c r="E730" s="11">
        <f>SUM(E720:E729)</f>
        <v>2000880</v>
      </c>
      <c r="F730" s="11">
        <f>SUM(F720:F729)</f>
        <v>955080</v>
      </c>
      <c r="G730" s="11">
        <f>SUM(G720:G729)</f>
        <v>2955960</v>
      </c>
    </row>
    <row r="731" spans="1:7">
      <c r="A731" s="616">
        <v>621000000006</v>
      </c>
      <c r="B731" s="1994">
        <v>57</v>
      </c>
      <c r="C731" s="11" t="s">
        <v>576</v>
      </c>
      <c r="D731" s="1078" t="s">
        <v>271</v>
      </c>
      <c r="E731" s="9"/>
      <c r="F731" s="9"/>
      <c r="G731" s="9"/>
    </row>
    <row r="732" spans="1:7">
      <c r="A732" s="616"/>
      <c r="B732" s="1995"/>
      <c r="C732" s="9" t="s">
        <v>3612</v>
      </c>
      <c r="D732" s="1078"/>
      <c r="E732" s="9">
        <v>4507080</v>
      </c>
      <c r="F732" s="9">
        <v>1591440</v>
      </c>
      <c r="G732" s="9">
        <v>6098520</v>
      </c>
    </row>
    <row r="733" spans="1:7">
      <c r="A733" s="616"/>
      <c r="B733" s="1995"/>
      <c r="C733" s="9" t="s">
        <v>3613</v>
      </c>
      <c r="D733" s="1078"/>
      <c r="E733" s="9">
        <v>5309160</v>
      </c>
      <c r="F733" s="9">
        <v>1829280</v>
      </c>
      <c r="G733" s="9">
        <v>7138440</v>
      </c>
    </row>
    <row r="734" spans="1:7">
      <c r="A734" s="616"/>
      <c r="B734" s="1995"/>
      <c r="C734" s="9" t="s">
        <v>3614</v>
      </c>
      <c r="D734" s="1078"/>
      <c r="E734" s="9">
        <v>5232960</v>
      </c>
      <c r="F734" s="9">
        <v>1812240</v>
      </c>
      <c r="G734" s="9">
        <v>7045200</v>
      </c>
    </row>
    <row r="735" spans="1:7">
      <c r="A735" s="616"/>
      <c r="B735" s="1995"/>
      <c r="C735" s="9" t="s">
        <v>3709</v>
      </c>
      <c r="D735" s="1078"/>
      <c r="E735" s="9">
        <v>5788440</v>
      </c>
      <c r="F735" s="9">
        <v>2361600</v>
      </c>
      <c r="G735" s="9">
        <v>8150040</v>
      </c>
    </row>
    <row r="736" spans="1:7">
      <c r="A736" s="616"/>
      <c r="B736" s="1995"/>
      <c r="C736" s="9" t="s">
        <v>3616</v>
      </c>
      <c r="D736" s="1078"/>
      <c r="E736" s="9">
        <v>4458360</v>
      </c>
      <c r="F736" s="9">
        <v>2386440</v>
      </c>
      <c r="G736" s="9">
        <v>6844800</v>
      </c>
    </row>
    <row r="737" spans="1:7">
      <c r="A737" s="616"/>
      <c r="B737" s="1995"/>
      <c r="C737" s="9" t="s">
        <v>3617</v>
      </c>
      <c r="D737" s="1078"/>
      <c r="E737" s="9">
        <v>4767300</v>
      </c>
      <c r="F737" s="9">
        <v>2422380</v>
      </c>
      <c r="G737" s="9">
        <v>7189680</v>
      </c>
    </row>
    <row r="738" spans="1:7">
      <c r="A738" s="616"/>
      <c r="B738" s="1995"/>
      <c r="C738" s="9" t="s">
        <v>3618</v>
      </c>
      <c r="D738" s="1078"/>
      <c r="E738" s="9">
        <v>4023540</v>
      </c>
      <c r="F738" s="9">
        <v>1996560</v>
      </c>
      <c r="G738" s="9">
        <v>6020100</v>
      </c>
    </row>
    <row r="739" spans="1:7">
      <c r="A739" s="616"/>
      <c r="B739" s="1995"/>
      <c r="C739" s="9" t="s">
        <v>3619</v>
      </c>
      <c r="D739" s="1078"/>
      <c r="E739" s="9">
        <v>4733820</v>
      </c>
      <c r="F739" s="9">
        <v>2540160</v>
      </c>
      <c r="G739" s="9">
        <v>7273980</v>
      </c>
    </row>
    <row r="740" spans="1:7">
      <c r="A740" s="616"/>
      <c r="B740" s="1995"/>
      <c r="C740" s="9" t="s">
        <v>3620</v>
      </c>
      <c r="D740" s="1078"/>
      <c r="E740" s="9">
        <v>3263580</v>
      </c>
      <c r="F740" s="9">
        <v>1765740</v>
      </c>
      <c r="G740" s="9">
        <v>5029320</v>
      </c>
    </row>
    <row r="741" spans="1:7">
      <c r="A741" s="616"/>
      <c r="B741" s="1995"/>
      <c r="C741" s="9" t="s">
        <v>3621</v>
      </c>
      <c r="D741" s="1078"/>
      <c r="E741" s="9">
        <v>2648040</v>
      </c>
      <c r="F741" s="9">
        <v>1421220</v>
      </c>
      <c r="G741" s="9">
        <v>4069260</v>
      </c>
    </row>
    <row r="742" spans="1:7">
      <c r="A742" s="616"/>
      <c r="B742" s="1995"/>
      <c r="C742" s="9" t="s">
        <v>3622</v>
      </c>
      <c r="D742" s="1078"/>
      <c r="E742" s="9">
        <v>2415000</v>
      </c>
      <c r="F742" s="9">
        <v>1318560</v>
      </c>
      <c r="G742" s="9">
        <v>3733560</v>
      </c>
    </row>
    <row r="743" spans="1:7">
      <c r="A743" s="616"/>
      <c r="B743" s="1995"/>
      <c r="C743" s="9" t="s">
        <v>3623</v>
      </c>
      <c r="D743" s="1078"/>
      <c r="E743" s="9">
        <v>2501820</v>
      </c>
      <c r="F743" s="9">
        <v>1240740</v>
      </c>
      <c r="G743" s="9">
        <v>3742560</v>
      </c>
    </row>
    <row r="744" spans="1:7">
      <c r="A744" s="616"/>
      <c r="B744" s="1995"/>
      <c r="C744" s="11" t="s">
        <v>239</v>
      </c>
      <c r="D744" s="1078"/>
      <c r="E744" s="11">
        <f>SUM(E732:E743)</f>
        <v>49649100</v>
      </c>
      <c r="F744" s="11">
        <f>SUM(F732:F743)</f>
        <v>22686360</v>
      </c>
      <c r="G744" s="11">
        <f>SUM(G732:G743)</f>
        <v>72335460</v>
      </c>
    </row>
    <row r="745" spans="1:7">
      <c r="A745" s="616">
        <v>621000000029</v>
      </c>
      <c r="B745" s="1994">
        <v>58</v>
      </c>
      <c r="C745" s="11" t="s">
        <v>3711</v>
      </c>
      <c r="D745" s="1078" t="s">
        <v>271</v>
      </c>
      <c r="E745" s="9"/>
      <c r="F745" s="9"/>
      <c r="G745" s="9"/>
    </row>
    <row r="746" spans="1:7">
      <c r="A746" s="616"/>
      <c r="B746" s="1995"/>
      <c r="C746" s="9" t="s">
        <v>3612</v>
      </c>
      <c r="D746" s="1078"/>
      <c r="E746" s="9">
        <v>2678400</v>
      </c>
      <c r="F746" s="9">
        <v>830880</v>
      </c>
      <c r="G746" s="9">
        <v>3509280</v>
      </c>
    </row>
    <row r="747" spans="1:7">
      <c r="A747" s="616"/>
      <c r="B747" s="1995"/>
      <c r="C747" s="9" t="s">
        <v>3613</v>
      </c>
      <c r="D747" s="1078"/>
      <c r="E747" s="9">
        <v>3263760</v>
      </c>
      <c r="F747" s="9">
        <v>964080</v>
      </c>
      <c r="G747" s="9">
        <v>4227840</v>
      </c>
    </row>
    <row r="748" spans="1:7">
      <c r="A748" s="616"/>
      <c r="B748" s="1995"/>
      <c r="C748" s="9" t="s">
        <v>3614</v>
      </c>
      <c r="D748" s="1078"/>
      <c r="E748" s="9">
        <v>3019440</v>
      </c>
      <c r="F748" s="9">
        <v>989280</v>
      </c>
      <c r="G748" s="9">
        <v>4008720</v>
      </c>
    </row>
    <row r="749" spans="1:7">
      <c r="A749" s="616"/>
      <c r="B749" s="1995"/>
      <c r="C749" s="9" t="s">
        <v>3709</v>
      </c>
      <c r="D749" s="1078"/>
      <c r="E749" s="9">
        <v>3544320</v>
      </c>
      <c r="F749" s="9">
        <v>1051200</v>
      </c>
      <c r="G749" s="9">
        <v>4595520</v>
      </c>
    </row>
    <row r="750" spans="1:7">
      <c r="A750" s="616"/>
      <c r="B750" s="1995"/>
      <c r="C750" s="9" t="s">
        <v>3616</v>
      </c>
      <c r="D750" s="1078"/>
      <c r="E750" s="9">
        <v>3882480</v>
      </c>
      <c r="F750" s="9">
        <v>1257360</v>
      </c>
      <c r="G750" s="9">
        <v>5139840</v>
      </c>
    </row>
    <row r="751" spans="1:7">
      <c r="A751" s="616"/>
      <c r="B751" s="1995"/>
      <c r="C751" s="9" t="s">
        <v>3617</v>
      </c>
      <c r="D751" s="1078"/>
      <c r="E751" s="9">
        <v>3735600</v>
      </c>
      <c r="F751" s="9">
        <v>1123440</v>
      </c>
      <c r="G751" s="9">
        <v>4859040</v>
      </c>
    </row>
    <row r="752" spans="1:7">
      <c r="A752" s="616"/>
      <c r="B752" s="1995"/>
      <c r="C752" s="9" t="s">
        <v>3618</v>
      </c>
      <c r="D752" s="1078"/>
      <c r="E752" s="9">
        <v>3797280</v>
      </c>
      <c r="F752" s="9">
        <v>1179600</v>
      </c>
      <c r="G752" s="9">
        <v>4976880</v>
      </c>
    </row>
    <row r="753" spans="1:7">
      <c r="A753" s="616"/>
      <c r="B753" s="1995"/>
      <c r="C753" s="9" t="s">
        <v>3619</v>
      </c>
      <c r="D753" s="1078"/>
      <c r="E753" s="9">
        <v>3571680</v>
      </c>
      <c r="F753" s="9">
        <v>1164720</v>
      </c>
      <c r="G753" s="9">
        <v>4736400</v>
      </c>
    </row>
    <row r="754" spans="1:7">
      <c r="A754" s="616"/>
      <c r="B754" s="1995"/>
      <c r="C754" s="9" t="s">
        <v>3620</v>
      </c>
      <c r="D754" s="1078"/>
      <c r="E754" s="9">
        <v>3646800</v>
      </c>
      <c r="F754" s="9">
        <v>1175760</v>
      </c>
      <c r="G754" s="9">
        <v>4822560</v>
      </c>
    </row>
    <row r="755" spans="1:7">
      <c r="A755" s="616"/>
      <c r="B755" s="1995"/>
      <c r="C755" s="9" t="s">
        <v>3621</v>
      </c>
      <c r="D755" s="1078"/>
      <c r="E755" s="9">
        <v>3857760</v>
      </c>
      <c r="F755" s="9">
        <v>1158000</v>
      </c>
      <c r="G755" s="9">
        <v>5015760</v>
      </c>
    </row>
    <row r="756" spans="1:7">
      <c r="A756" s="616"/>
      <c r="B756" s="1995"/>
      <c r="C756" s="9" t="s">
        <v>3622</v>
      </c>
      <c r="D756" s="1078"/>
      <c r="E756" s="9">
        <v>3805200</v>
      </c>
      <c r="F756" s="9">
        <v>1123920</v>
      </c>
      <c r="G756" s="9">
        <v>4929120</v>
      </c>
    </row>
    <row r="757" spans="1:7">
      <c r="A757" s="616"/>
      <c r="B757" s="1995"/>
      <c r="C757" s="9" t="s">
        <v>3623</v>
      </c>
      <c r="D757" s="1078"/>
      <c r="E757" s="9">
        <v>3894000</v>
      </c>
      <c r="F757" s="9">
        <v>1246800</v>
      </c>
      <c r="G757" s="9">
        <v>5140800</v>
      </c>
    </row>
    <row r="758" spans="1:7">
      <c r="A758" s="616"/>
      <c r="B758" s="1995"/>
      <c r="C758" s="11" t="s">
        <v>239</v>
      </c>
      <c r="D758" s="1078"/>
      <c r="E758" s="11">
        <f>SUM(E746:E757)</f>
        <v>42696720</v>
      </c>
      <c r="F758" s="11">
        <f>SUM(F746:F757)</f>
        <v>13265040</v>
      </c>
      <c r="G758" s="11">
        <f>SUM(G746:G757)</f>
        <v>55961760</v>
      </c>
    </row>
    <row r="759" spans="1:7">
      <c r="A759" s="616">
        <v>621000000048</v>
      </c>
      <c r="B759" s="1994">
        <v>59</v>
      </c>
      <c r="C759" s="11" t="s">
        <v>3522</v>
      </c>
      <c r="D759" s="1078" t="s">
        <v>259</v>
      </c>
      <c r="E759" s="9"/>
      <c r="F759" s="9"/>
      <c r="G759" s="9"/>
    </row>
    <row r="760" spans="1:7">
      <c r="A760" s="616"/>
      <c r="B760" s="1995"/>
      <c r="C760" s="9" t="s">
        <v>3612</v>
      </c>
      <c r="D760" s="1078"/>
      <c r="E760" s="9">
        <v>2447640</v>
      </c>
      <c r="F760" s="9">
        <v>820980</v>
      </c>
      <c r="G760" s="9">
        <v>3268620</v>
      </c>
    </row>
    <row r="761" spans="1:7">
      <c r="A761" s="616"/>
      <c r="B761" s="1995"/>
      <c r="C761" s="9" t="s">
        <v>3613</v>
      </c>
      <c r="D761" s="1078"/>
      <c r="E761" s="9">
        <v>2193540</v>
      </c>
      <c r="F761" s="9">
        <v>784980</v>
      </c>
      <c r="G761" s="9">
        <v>2978520</v>
      </c>
    </row>
    <row r="762" spans="1:7">
      <c r="A762" s="616"/>
      <c r="B762" s="1995"/>
      <c r="C762" s="9" t="s">
        <v>3614</v>
      </c>
      <c r="D762" s="1078"/>
      <c r="E762" s="9">
        <v>2121000</v>
      </c>
      <c r="F762" s="9">
        <v>722940</v>
      </c>
      <c r="G762" s="9">
        <v>2843940</v>
      </c>
    </row>
    <row r="763" spans="1:7">
      <c r="A763" s="616"/>
      <c r="B763" s="1995"/>
      <c r="C763" s="9" t="s">
        <v>3709</v>
      </c>
      <c r="D763" s="1078"/>
      <c r="E763" s="9">
        <v>2200200</v>
      </c>
      <c r="F763" s="9">
        <v>784380</v>
      </c>
      <c r="G763" s="9">
        <v>2984580</v>
      </c>
    </row>
    <row r="764" spans="1:7">
      <c r="A764" s="616"/>
      <c r="B764" s="1995"/>
      <c r="C764" s="9" t="s">
        <v>3616</v>
      </c>
      <c r="D764" s="1078"/>
      <c r="E764" s="9">
        <v>2047200</v>
      </c>
      <c r="F764" s="9">
        <v>704400</v>
      </c>
      <c r="G764" s="9">
        <v>2751600</v>
      </c>
    </row>
    <row r="765" spans="1:7">
      <c r="A765" s="616"/>
      <c r="B765" s="1995"/>
      <c r="C765" s="9" t="s">
        <v>3617</v>
      </c>
      <c r="D765" s="1078"/>
      <c r="E765" s="9">
        <v>2075700</v>
      </c>
      <c r="F765" s="9">
        <v>573000</v>
      </c>
      <c r="G765" s="9">
        <v>2648700</v>
      </c>
    </row>
    <row r="766" spans="1:7">
      <c r="A766" s="616"/>
      <c r="B766" s="1995"/>
      <c r="C766" s="9" t="s">
        <v>3618</v>
      </c>
      <c r="D766" s="1078"/>
      <c r="E766" s="9">
        <v>2048400</v>
      </c>
      <c r="F766" s="9">
        <v>740880</v>
      </c>
      <c r="G766" s="9">
        <v>2789280</v>
      </c>
    </row>
    <row r="767" spans="1:7">
      <c r="A767" s="616"/>
      <c r="B767" s="1995"/>
      <c r="C767" s="9" t="s">
        <v>3619</v>
      </c>
      <c r="D767" s="1078"/>
      <c r="E767" s="9">
        <v>2047680</v>
      </c>
      <c r="F767" s="9">
        <v>743040</v>
      </c>
      <c r="G767" s="9">
        <v>2790720</v>
      </c>
    </row>
    <row r="768" spans="1:7">
      <c r="A768" s="616"/>
      <c r="B768" s="1995"/>
      <c r="C768" s="9" t="s">
        <v>3620</v>
      </c>
      <c r="D768" s="1078"/>
      <c r="E768" s="9">
        <v>2186280</v>
      </c>
      <c r="F768" s="9">
        <v>773400</v>
      </c>
      <c r="G768" s="9">
        <v>2959680</v>
      </c>
    </row>
    <row r="769" spans="1:7">
      <c r="A769" s="616"/>
      <c r="B769" s="1995"/>
      <c r="C769" s="9" t="s">
        <v>3621</v>
      </c>
      <c r="D769" s="1078"/>
      <c r="E769" s="9">
        <v>2120220</v>
      </c>
      <c r="F769" s="9">
        <v>744840</v>
      </c>
      <c r="G769" s="9">
        <v>2865060</v>
      </c>
    </row>
    <row r="770" spans="1:7">
      <c r="A770" s="616"/>
      <c r="B770" s="1995"/>
      <c r="C770" s="9" t="s">
        <v>3622</v>
      </c>
      <c r="D770" s="1078"/>
      <c r="E770" s="9">
        <v>1939860</v>
      </c>
      <c r="F770" s="9">
        <v>697740</v>
      </c>
      <c r="G770" s="9">
        <v>2637600</v>
      </c>
    </row>
    <row r="771" spans="1:7">
      <c r="A771" s="616"/>
      <c r="B771" s="1995"/>
      <c r="C771" s="9" t="s">
        <v>3623</v>
      </c>
      <c r="D771" s="1078"/>
      <c r="E771" s="9">
        <v>1907640</v>
      </c>
      <c r="F771" s="9">
        <v>639180</v>
      </c>
      <c r="G771" s="9">
        <v>2546820</v>
      </c>
    </row>
    <row r="772" spans="1:7">
      <c r="A772" s="616"/>
      <c r="B772" s="1995"/>
      <c r="C772" s="11" t="s">
        <v>239</v>
      </c>
      <c r="D772" s="1078"/>
      <c r="E772" s="11">
        <f>SUM(E760:E771)</f>
        <v>25335360</v>
      </c>
      <c r="F772" s="11">
        <f>SUM(F760:F771)</f>
        <v>8729760</v>
      </c>
      <c r="G772" s="11">
        <f>SUM(G760:G771)</f>
        <v>34065120</v>
      </c>
    </row>
    <row r="773" spans="1:7">
      <c r="A773" s="616">
        <v>621000000050</v>
      </c>
      <c r="B773" s="1994">
        <v>60</v>
      </c>
      <c r="C773" s="11" t="s">
        <v>3019</v>
      </c>
      <c r="D773" s="1078" t="s">
        <v>259</v>
      </c>
      <c r="E773" s="9"/>
      <c r="F773" s="9"/>
      <c r="G773" s="9"/>
    </row>
    <row r="774" spans="1:7">
      <c r="A774" s="616"/>
      <c r="B774" s="1995"/>
      <c r="C774" s="9" t="s">
        <v>3612</v>
      </c>
      <c r="D774" s="1078"/>
      <c r="E774" s="9">
        <v>26280</v>
      </c>
      <c r="F774" s="9">
        <v>8565</v>
      </c>
      <c r="G774" s="9">
        <v>34845</v>
      </c>
    </row>
    <row r="775" spans="1:7">
      <c r="A775" s="616"/>
      <c r="B775" s="1995"/>
      <c r="C775" s="9" t="s">
        <v>3613</v>
      </c>
      <c r="D775" s="1078"/>
      <c r="E775" s="9">
        <v>22995</v>
      </c>
      <c r="F775" s="9">
        <v>6195</v>
      </c>
      <c r="G775" s="9">
        <v>29190</v>
      </c>
    </row>
    <row r="776" spans="1:7">
      <c r="A776" s="616"/>
      <c r="B776" s="1995"/>
      <c r="C776" s="9" t="s">
        <v>3614</v>
      </c>
      <c r="D776" s="1078"/>
      <c r="E776" s="9">
        <v>19530</v>
      </c>
      <c r="F776" s="9">
        <v>6075</v>
      </c>
      <c r="G776" s="9">
        <v>25605</v>
      </c>
    </row>
    <row r="777" spans="1:7">
      <c r="A777" s="616"/>
      <c r="B777" s="1995"/>
      <c r="C777" s="9" t="s">
        <v>3709</v>
      </c>
      <c r="D777" s="1078"/>
      <c r="E777" s="9">
        <v>8865</v>
      </c>
      <c r="F777" s="9">
        <v>3990</v>
      </c>
      <c r="G777" s="9">
        <v>12855</v>
      </c>
    </row>
    <row r="778" spans="1:7">
      <c r="A778" s="616"/>
      <c r="B778" s="1995"/>
      <c r="C778" s="9" t="s">
        <v>3616</v>
      </c>
      <c r="D778" s="1078"/>
      <c r="E778" s="9">
        <v>0</v>
      </c>
      <c r="F778" s="9">
        <v>0</v>
      </c>
      <c r="G778" s="9">
        <v>0</v>
      </c>
    </row>
    <row r="779" spans="1:7">
      <c r="A779" s="616"/>
      <c r="B779" s="1995"/>
      <c r="C779" s="9" t="s">
        <v>3617</v>
      </c>
      <c r="D779" s="1078"/>
      <c r="E779" s="9">
        <v>0</v>
      </c>
      <c r="F779" s="9">
        <v>0</v>
      </c>
      <c r="G779" s="9">
        <v>0</v>
      </c>
    </row>
    <row r="780" spans="1:7">
      <c r="A780" s="616"/>
      <c r="B780" s="1995"/>
      <c r="C780" s="9" t="s">
        <v>3618</v>
      </c>
      <c r="D780" s="1078"/>
      <c r="E780" s="9">
        <v>0</v>
      </c>
      <c r="F780" s="9">
        <v>0</v>
      </c>
      <c r="G780" s="9">
        <v>0</v>
      </c>
    </row>
    <row r="781" spans="1:7">
      <c r="A781" s="616"/>
      <c r="B781" s="1995"/>
      <c r="C781" s="9" t="s">
        <v>3619</v>
      </c>
      <c r="D781" s="1078"/>
      <c r="E781" s="9">
        <v>0</v>
      </c>
      <c r="F781" s="9">
        <v>0</v>
      </c>
      <c r="G781" s="9">
        <v>0</v>
      </c>
    </row>
    <row r="782" spans="1:7">
      <c r="A782" s="616"/>
      <c r="B782" s="1995"/>
      <c r="C782" s="9" t="s">
        <v>3620</v>
      </c>
      <c r="D782" s="1078"/>
      <c r="E782" s="9">
        <v>0</v>
      </c>
      <c r="F782" s="9">
        <v>0</v>
      </c>
      <c r="G782" s="9">
        <v>0</v>
      </c>
    </row>
    <row r="783" spans="1:7">
      <c r="A783" s="616"/>
      <c r="B783" s="1995"/>
      <c r="C783" s="9" t="s">
        <v>3621</v>
      </c>
      <c r="D783" s="1078"/>
      <c r="E783" s="9">
        <v>0</v>
      </c>
      <c r="F783" s="9">
        <v>0</v>
      </c>
      <c r="G783" s="9">
        <v>0</v>
      </c>
    </row>
    <row r="784" spans="1:7">
      <c r="A784" s="616"/>
      <c r="B784" s="1995"/>
      <c r="C784" s="9" t="s">
        <v>3622</v>
      </c>
      <c r="D784" s="1078"/>
      <c r="E784" s="9">
        <v>0</v>
      </c>
      <c r="F784" s="9">
        <v>0</v>
      </c>
      <c r="G784" s="9">
        <v>0</v>
      </c>
    </row>
    <row r="785" spans="1:7">
      <c r="A785" s="616"/>
      <c r="B785" s="1995"/>
      <c r="C785" s="9" t="s">
        <v>3623</v>
      </c>
      <c r="D785" s="1078"/>
      <c r="E785" s="9">
        <v>0</v>
      </c>
      <c r="F785" s="9">
        <v>0</v>
      </c>
      <c r="G785" s="9">
        <v>0</v>
      </c>
    </row>
    <row r="786" spans="1:7">
      <c r="A786" s="616"/>
      <c r="B786" s="1995"/>
      <c r="C786" s="11" t="s">
        <v>239</v>
      </c>
      <c r="D786" s="1078"/>
      <c r="E786" s="11">
        <f>SUM(E774:E785)</f>
        <v>77670</v>
      </c>
      <c r="F786" s="11">
        <f>SUM(F774:F785)</f>
        <v>24825</v>
      </c>
      <c r="G786" s="11">
        <f>SUM(G774:G785)</f>
        <v>102495</v>
      </c>
    </row>
    <row r="787" spans="1:7">
      <c r="A787" s="616">
        <v>622000000002</v>
      </c>
      <c r="B787" s="1994">
        <v>61</v>
      </c>
      <c r="C787" s="11" t="s">
        <v>617</v>
      </c>
      <c r="D787" s="1078" t="s">
        <v>271</v>
      </c>
      <c r="E787" s="9"/>
      <c r="F787" s="9"/>
      <c r="G787" s="9"/>
    </row>
    <row r="788" spans="1:7">
      <c r="A788" s="616"/>
      <c r="B788" s="1995"/>
      <c r="C788" s="9" t="s">
        <v>3612</v>
      </c>
      <c r="D788" s="1078"/>
      <c r="E788" s="9">
        <v>3852720</v>
      </c>
      <c r="F788" s="9">
        <v>1807680</v>
      </c>
      <c r="G788" s="9">
        <v>5660400</v>
      </c>
    </row>
    <row r="789" spans="1:7">
      <c r="A789" s="616"/>
      <c r="B789" s="1995"/>
      <c r="C789" s="9" t="s">
        <v>3613</v>
      </c>
      <c r="D789" s="1078"/>
      <c r="E789" s="9">
        <v>4099200</v>
      </c>
      <c r="F789" s="9">
        <v>1941600</v>
      </c>
      <c r="G789" s="9">
        <v>6040800</v>
      </c>
    </row>
    <row r="790" spans="1:7">
      <c r="A790" s="616"/>
      <c r="B790" s="1995"/>
      <c r="C790" s="9" t="s">
        <v>3614</v>
      </c>
      <c r="D790" s="1078"/>
      <c r="E790" s="9">
        <v>3334800</v>
      </c>
      <c r="F790" s="9">
        <v>1678800</v>
      </c>
      <c r="G790" s="9">
        <v>5013600</v>
      </c>
    </row>
    <row r="791" spans="1:7">
      <c r="A791" s="616"/>
      <c r="B791" s="1995"/>
      <c r="C791" s="9" t="s">
        <v>3709</v>
      </c>
      <c r="D791" s="1078"/>
      <c r="E791" s="9">
        <v>3740160</v>
      </c>
      <c r="F791" s="9">
        <v>1824960</v>
      </c>
      <c r="G791" s="9">
        <v>5565120</v>
      </c>
    </row>
    <row r="792" spans="1:7">
      <c r="A792" s="616"/>
      <c r="B792" s="1995"/>
      <c r="C792" s="9" t="s">
        <v>3616</v>
      </c>
      <c r="D792" s="1078"/>
      <c r="E792" s="9">
        <v>3645360</v>
      </c>
      <c r="F792" s="9">
        <v>1909680</v>
      </c>
      <c r="G792" s="9">
        <v>5555040</v>
      </c>
    </row>
    <row r="793" spans="1:7">
      <c r="A793" s="616"/>
      <c r="B793" s="1995"/>
      <c r="C793" s="9" t="s">
        <v>3617</v>
      </c>
      <c r="D793" s="1078"/>
      <c r="E793" s="9">
        <v>3483360</v>
      </c>
      <c r="F793" s="9">
        <v>1739280</v>
      </c>
      <c r="G793" s="9">
        <v>5222640</v>
      </c>
    </row>
    <row r="794" spans="1:7">
      <c r="A794" s="616"/>
      <c r="B794" s="1995"/>
      <c r="C794" s="9" t="s">
        <v>3618</v>
      </c>
      <c r="D794" s="1078"/>
      <c r="E794" s="9">
        <v>1723920</v>
      </c>
      <c r="F794" s="9">
        <v>895920</v>
      </c>
      <c r="G794" s="9">
        <v>2619840</v>
      </c>
    </row>
    <row r="795" spans="1:7">
      <c r="A795" s="616"/>
      <c r="B795" s="1995"/>
      <c r="C795" s="9" t="s">
        <v>3619</v>
      </c>
      <c r="D795" s="1078"/>
      <c r="E795" s="9">
        <v>1744080</v>
      </c>
      <c r="F795" s="9">
        <v>835920</v>
      </c>
      <c r="G795" s="9">
        <v>2580000</v>
      </c>
    </row>
    <row r="796" spans="1:7">
      <c r="A796" s="616"/>
      <c r="B796" s="1995"/>
      <c r="C796" s="9" t="s">
        <v>3620</v>
      </c>
      <c r="D796" s="1078"/>
      <c r="E796" s="9">
        <v>1680240</v>
      </c>
      <c r="F796" s="9">
        <v>871440</v>
      </c>
      <c r="G796" s="9">
        <v>2551680</v>
      </c>
    </row>
    <row r="797" spans="1:7">
      <c r="A797" s="616"/>
      <c r="B797" s="1995"/>
      <c r="C797" s="9" t="s">
        <v>3621</v>
      </c>
      <c r="D797" s="1078"/>
      <c r="E797" s="9">
        <v>1600320</v>
      </c>
      <c r="F797" s="9">
        <v>834480</v>
      </c>
      <c r="G797" s="9">
        <v>2434800</v>
      </c>
    </row>
    <row r="798" spans="1:7">
      <c r="A798" s="616"/>
      <c r="B798" s="1995"/>
      <c r="C798" s="9" t="s">
        <v>3622</v>
      </c>
      <c r="D798" s="1078"/>
      <c r="E798" s="9">
        <v>1562400</v>
      </c>
      <c r="F798" s="9">
        <v>768240</v>
      </c>
      <c r="G798" s="9">
        <v>2330640</v>
      </c>
    </row>
    <row r="799" spans="1:7">
      <c r="A799" s="616"/>
      <c r="B799" s="1995"/>
      <c r="C799" s="9" t="s">
        <v>3623</v>
      </c>
      <c r="D799" s="1078"/>
      <c r="E799" s="9">
        <v>1769520</v>
      </c>
      <c r="F799" s="9">
        <v>853680</v>
      </c>
      <c r="G799" s="9">
        <v>2623200</v>
      </c>
    </row>
    <row r="800" spans="1:7">
      <c r="A800" s="616"/>
      <c r="B800" s="1995"/>
      <c r="C800" s="11" t="s">
        <v>239</v>
      </c>
      <c r="D800" s="1078"/>
      <c r="E800" s="11">
        <f>SUM(E788:E799)</f>
        <v>32236080</v>
      </c>
      <c r="F800" s="11">
        <f>SUM(F788:F799)</f>
        <v>15961680</v>
      </c>
      <c r="G800" s="11">
        <f>SUM(G788:G799)</f>
        <v>48197760</v>
      </c>
    </row>
    <row r="801" spans="1:7">
      <c r="A801" s="616">
        <v>622000000003</v>
      </c>
      <c r="B801" s="1994">
        <v>62</v>
      </c>
      <c r="C801" s="11" t="s">
        <v>599</v>
      </c>
      <c r="D801" s="1078" t="s">
        <v>271</v>
      </c>
      <c r="E801" s="9"/>
      <c r="F801" s="9"/>
      <c r="G801" s="9"/>
    </row>
    <row r="802" spans="1:7">
      <c r="A802" s="616"/>
      <c r="B802" s="1995"/>
      <c r="C802" s="9" t="s">
        <v>3612</v>
      </c>
      <c r="D802" s="1078"/>
      <c r="E802" s="9">
        <v>2505314</v>
      </c>
      <c r="F802" s="9">
        <v>1296299</v>
      </c>
      <c r="G802" s="9">
        <v>3801613</v>
      </c>
    </row>
    <row r="803" spans="1:7">
      <c r="A803" s="616"/>
      <c r="B803" s="1995"/>
      <c r="C803" s="9" t="s">
        <v>3613</v>
      </c>
      <c r="D803" s="1078"/>
      <c r="E803" s="9">
        <v>1856181</v>
      </c>
      <c r="F803" s="9">
        <v>1000853</v>
      </c>
      <c r="G803" s="9">
        <v>2857034</v>
      </c>
    </row>
    <row r="804" spans="1:7">
      <c r="A804" s="616"/>
      <c r="B804" s="1995"/>
      <c r="C804" s="9" t="s">
        <v>3614</v>
      </c>
      <c r="D804" s="1078"/>
      <c r="E804" s="9">
        <v>1764943</v>
      </c>
      <c r="F804" s="9">
        <v>882400</v>
      </c>
      <c r="G804" s="9">
        <v>2647343</v>
      </c>
    </row>
    <row r="805" spans="1:7">
      <c r="A805" s="616"/>
      <c r="B805" s="1995"/>
      <c r="C805" s="9" t="s">
        <v>3709</v>
      </c>
      <c r="D805" s="1078"/>
      <c r="E805" s="9">
        <v>1832705</v>
      </c>
      <c r="F805" s="9">
        <v>1008089</v>
      </c>
      <c r="G805" s="9">
        <v>2840794</v>
      </c>
    </row>
    <row r="806" spans="1:7">
      <c r="A806" s="616"/>
      <c r="B806" s="1995"/>
      <c r="C806" s="9" t="s">
        <v>3616</v>
      </c>
      <c r="D806" s="1078"/>
      <c r="E806" s="9">
        <v>2442611</v>
      </c>
      <c r="F806" s="9">
        <v>1393505</v>
      </c>
      <c r="G806" s="9">
        <v>3836116</v>
      </c>
    </row>
    <row r="807" spans="1:7">
      <c r="A807" s="616"/>
      <c r="B807" s="1995"/>
      <c r="C807" s="9" t="s">
        <v>3617</v>
      </c>
      <c r="D807" s="1078"/>
      <c r="E807" s="9">
        <v>2106821</v>
      </c>
      <c r="F807" s="9">
        <v>1086752</v>
      </c>
      <c r="G807" s="9">
        <v>3193573</v>
      </c>
    </row>
    <row r="808" spans="1:7">
      <c r="A808" s="616"/>
      <c r="B808" s="1995"/>
      <c r="C808" s="9" t="s">
        <v>3618</v>
      </c>
      <c r="D808" s="1078"/>
      <c r="E808" s="9">
        <v>1915392</v>
      </c>
      <c r="F808" s="9">
        <v>966892</v>
      </c>
      <c r="G808" s="9">
        <v>2882284</v>
      </c>
    </row>
    <row r="809" spans="1:7">
      <c r="A809" s="616"/>
      <c r="B809" s="1995"/>
      <c r="C809" s="9" t="s">
        <v>3619</v>
      </c>
      <c r="D809" s="1078"/>
      <c r="E809" s="9">
        <v>1087662</v>
      </c>
      <c r="F809" s="9">
        <v>620169</v>
      </c>
      <c r="G809" s="9">
        <v>1707831</v>
      </c>
    </row>
    <row r="810" spans="1:7">
      <c r="A810" s="616"/>
      <c r="B810" s="1995"/>
      <c r="C810" s="9" t="s">
        <v>3620</v>
      </c>
      <c r="D810" s="1078"/>
      <c r="E810" s="9">
        <v>1653681</v>
      </c>
      <c r="F810" s="9">
        <v>684537</v>
      </c>
      <c r="G810" s="9">
        <v>2338218</v>
      </c>
    </row>
    <row r="811" spans="1:7">
      <c r="A811" s="616"/>
      <c r="B811" s="1995"/>
      <c r="C811" s="9" t="s">
        <v>3621</v>
      </c>
      <c r="D811" s="1078"/>
      <c r="E811" s="9">
        <v>1145570</v>
      </c>
      <c r="F811" s="9">
        <v>519017</v>
      </c>
      <c r="G811" s="9">
        <v>1664587</v>
      </c>
    </row>
    <row r="812" spans="1:7">
      <c r="A812" s="616"/>
      <c r="B812" s="1995"/>
      <c r="C812" s="9" t="s">
        <v>3622</v>
      </c>
      <c r="D812" s="1078"/>
      <c r="E812" s="9">
        <v>69240</v>
      </c>
      <c r="F812" s="9">
        <v>40560</v>
      </c>
      <c r="G812" s="9">
        <v>109800</v>
      </c>
    </row>
    <row r="813" spans="1:7">
      <c r="A813" s="616"/>
      <c r="B813" s="1995"/>
      <c r="C813" s="9" t="s">
        <v>3623</v>
      </c>
      <c r="D813" s="1078"/>
      <c r="E813" s="9">
        <v>778080</v>
      </c>
      <c r="F813" s="9">
        <v>394380</v>
      </c>
      <c r="G813" s="9">
        <v>1172460</v>
      </c>
    </row>
    <row r="814" spans="1:7">
      <c r="A814" s="616"/>
      <c r="B814" s="1995"/>
      <c r="C814" s="11" t="s">
        <v>239</v>
      </c>
      <c r="D814" s="1078"/>
      <c r="E814" s="11">
        <f>SUM(E802:E813)</f>
        <v>19158200</v>
      </c>
      <c r="F814" s="11">
        <f>SUM(F802:F813)</f>
        <v>9893453</v>
      </c>
      <c r="G814" s="11">
        <f>SUM(G802:G813)</f>
        <v>29051653</v>
      </c>
    </row>
    <row r="815" spans="1:7">
      <c r="A815" s="616">
        <v>622000000004</v>
      </c>
      <c r="B815" s="1994">
        <v>63</v>
      </c>
      <c r="C815" s="11" t="s">
        <v>578</v>
      </c>
      <c r="D815" s="1078" t="s">
        <v>271</v>
      </c>
      <c r="E815" s="9"/>
      <c r="F815" s="9"/>
      <c r="G815" s="9"/>
    </row>
    <row r="816" spans="1:7">
      <c r="A816" s="616"/>
      <c r="B816" s="1995"/>
      <c r="C816" s="9" t="s">
        <v>3612</v>
      </c>
      <c r="D816" s="1078"/>
      <c r="E816" s="9">
        <v>1262880</v>
      </c>
      <c r="F816" s="9">
        <v>584160</v>
      </c>
      <c r="G816" s="9">
        <v>1847040</v>
      </c>
    </row>
    <row r="817" spans="1:7">
      <c r="A817" s="616"/>
      <c r="B817" s="1995"/>
      <c r="C817" s="9" t="s">
        <v>3613</v>
      </c>
      <c r="D817" s="1078"/>
      <c r="E817" s="9">
        <v>1332240</v>
      </c>
      <c r="F817" s="9">
        <v>616560</v>
      </c>
      <c r="G817" s="9">
        <v>1948800</v>
      </c>
    </row>
    <row r="818" spans="1:7">
      <c r="A818" s="616"/>
      <c r="B818" s="1995"/>
      <c r="C818" s="9" t="s">
        <v>3614</v>
      </c>
      <c r="D818" s="1078"/>
      <c r="E818" s="9">
        <v>1292880</v>
      </c>
      <c r="F818" s="9">
        <v>581760</v>
      </c>
      <c r="G818" s="9">
        <v>1874640</v>
      </c>
    </row>
    <row r="819" spans="1:7">
      <c r="A819" s="616"/>
      <c r="B819" s="1995"/>
      <c r="C819" s="9" t="s">
        <v>3709</v>
      </c>
      <c r="D819" s="1078"/>
      <c r="E819" s="9">
        <v>1326480</v>
      </c>
      <c r="F819" s="9">
        <v>610560</v>
      </c>
      <c r="G819" s="9">
        <v>1937040</v>
      </c>
    </row>
    <row r="820" spans="1:7">
      <c r="A820" s="616"/>
      <c r="B820" s="1995"/>
      <c r="C820" s="9" t="s">
        <v>3616</v>
      </c>
      <c r="D820" s="1078"/>
      <c r="E820" s="9">
        <v>1313520</v>
      </c>
      <c r="F820" s="9">
        <v>606480</v>
      </c>
      <c r="G820" s="9">
        <v>1920000</v>
      </c>
    </row>
    <row r="821" spans="1:7">
      <c r="A821" s="616"/>
      <c r="B821" s="1995"/>
      <c r="C821" s="9" t="s">
        <v>3617</v>
      </c>
      <c r="D821" s="1078"/>
      <c r="E821" s="9">
        <v>1260960</v>
      </c>
      <c r="F821" s="9">
        <v>567840</v>
      </c>
      <c r="G821" s="9">
        <v>1828800</v>
      </c>
    </row>
    <row r="822" spans="1:7">
      <c r="A822" s="616"/>
      <c r="B822" s="1995"/>
      <c r="C822" s="9" t="s">
        <v>3618</v>
      </c>
      <c r="D822" s="1078"/>
      <c r="E822" s="9">
        <v>1206480</v>
      </c>
      <c r="F822" s="9">
        <v>552000</v>
      </c>
      <c r="G822" s="9">
        <v>1758480</v>
      </c>
    </row>
    <row r="823" spans="1:7">
      <c r="A823" s="616"/>
      <c r="B823" s="1995"/>
      <c r="C823" s="9" t="s">
        <v>3619</v>
      </c>
      <c r="D823" s="1078"/>
      <c r="E823" s="9">
        <v>1207440</v>
      </c>
      <c r="F823" s="9">
        <v>531600</v>
      </c>
      <c r="G823" s="9">
        <v>1739040</v>
      </c>
    </row>
    <row r="824" spans="1:7">
      <c r="A824" s="616"/>
      <c r="B824" s="1995"/>
      <c r="C824" s="9" t="s">
        <v>3620</v>
      </c>
      <c r="D824" s="1078"/>
      <c r="E824" s="9">
        <v>1306080</v>
      </c>
      <c r="F824" s="9">
        <v>590400</v>
      </c>
      <c r="G824" s="9">
        <v>1896480</v>
      </c>
    </row>
    <row r="825" spans="1:7">
      <c r="A825" s="616"/>
      <c r="B825" s="1995"/>
      <c r="C825" s="9" t="s">
        <v>3621</v>
      </c>
      <c r="D825" s="1078"/>
      <c r="E825" s="9">
        <v>1360320</v>
      </c>
      <c r="F825" s="9">
        <v>600960</v>
      </c>
      <c r="G825" s="9">
        <v>1961280</v>
      </c>
    </row>
    <row r="826" spans="1:7">
      <c r="A826" s="616"/>
      <c r="B826" s="1995"/>
      <c r="C826" s="9" t="s">
        <v>3622</v>
      </c>
      <c r="D826" s="1078"/>
      <c r="E826" s="9">
        <v>1215360</v>
      </c>
      <c r="F826" s="9">
        <v>525120</v>
      </c>
      <c r="G826" s="9">
        <v>1740480</v>
      </c>
    </row>
    <row r="827" spans="1:7">
      <c r="A827" s="616"/>
      <c r="B827" s="1995"/>
      <c r="C827" s="9" t="s">
        <v>3623</v>
      </c>
      <c r="D827" s="1078"/>
      <c r="E827" s="9">
        <v>1302720</v>
      </c>
      <c r="F827" s="9">
        <v>552480</v>
      </c>
      <c r="G827" s="9">
        <v>1855200</v>
      </c>
    </row>
    <row r="828" spans="1:7">
      <c r="A828" s="616"/>
      <c r="B828" s="1995"/>
      <c r="C828" s="11" t="s">
        <v>239</v>
      </c>
      <c r="D828" s="1078"/>
      <c r="E828" s="11">
        <f>SUM(E816:E827)</f>
        <v>15387360</v>
      </c>
      <c r="F828" s="11">
        <f>SUM(F816:F827)</f>
        <v>6919920</v>
      </c>
      <c r="G828" s="11">
        <f>SUM(G816:G827)</f>
        <v>22307280</v>
      </c>
    </row>
    <row r="829" spans="1:7">
      <c r="A829" s="616">
        <v>622000000005</v>
      </c>
      <c r="B829" s="1994">
        <v>64</v>
      </c>
      <c r="C829" s="11" t="s">
        <v>523</v>
      </c>
      <c r="D829" s="1078" t="s">
        <v>271</v>
      </c>
      <c r="E829" s="9"/>
      <c r="F829" s="9"/>
      <c r="G829" s="9"/>
    </row>
    <row r="830" spans="1:7">
      <c r="A830" s="616"/>
      <c r="B830" s="1995"/>
      <c r="C830" s="9" t="s">
        <v>3612</v>
      </c>
      <c r="D830" s="1078"/>
      <c r="E830" s="9">
        <v>13800</v>
      </c>
      <c r="F830" s="9">
        <v>1200</v>
      </c>
      <c r="G830" s="9">
        <v>15000</v>
      </c>
    </row>
    <row r="831" spans="1:7">
      <c r="A831" s="616"/>
      <c r="B831" s="1995"/>
      <c r="C831" s="9" t="s">
        <v>3613</v>
      </c>
      <c r="D831" s="1078"/>
      <c r="E831" s="9">
        <v>0</v>
      </c>
      <c r="F831" s="9">
        <v>0</v>
      </c>
      <c r="G831" s="9">
        <v>0</v>
      </c>
    </row>
    <row r="832" spans="1:7">
      <c r="A832" s="616"/>
      <c r="B832" s="1995"/>
      <c r="C832" s="9" t="s">
        <v>3614</v>
      </c>
      <c r="D832" s="1078"/>
      <c r="E832" s="9">
        <v>11400</v>
      </c>
      <c r="F832" s="9">
        <v>0</v>
      </c>
      <c r="G832" s="9">
        <v>11400</v>
      </c>
    </row>
    <row r="833" spans="1:7">
      <c r="A833" s="616"/>
      <c r="B833" s="1995"/>
      <c r="C833" s="9" t="s">
        <v>3709</v>
      </c>
      <c r="D833" s="1078"/>
      <c r="E833" s="9">
        <v>2400</v>
      </c>
      <c r="F833" s="9">
        <v>0</v>
      </c>
      <c r="G833" s="9">
        <v>2400</v>
      </c>
    </row>
    <row r="834" spans="1:7">
      <c r="A834" s="616"/>
      <c r="B834" s="1995"/>
      <c r="C834" s="9" t="s">
        <v>3616</v>
      </c>
      <c r="D834" s="1078"/>
      <c r="E834" s="9">
        <v>600</v>
      </c>
      <c r="F834" s="9">
        <v>0</v>
      </c>
      <c r="G834" s="9">
        <v>600</v>
      </c>
    </row>
    <row r="835" spans="1:7">
      <c r="A835" s="616"/>
      <c r="B835" s="1995"/>
      <c r="C835" s="9" t="s">
        <v>3617</v>
      </c>
      <c r="D835" s="1078"/>
      <c r="E835" s="9">
        <v>0</v>
      </c>
      <c r="F835" s="9">
        <v>0</v>
      </c>
      <c r="G835" s="9">
        <v>0</v>
      </c>
    </row>
    <row r="836" spans="1:7">
      <c r="A836" s="616"/>
      <c r="B836" s="1995"/>
      <c r="C836" s="9" t="s">
        <v>3618</v>
      </c>
      <c r="D836" s="1078"/>
      <c r="E836" s="9">
        <v>0</v>
      </c>
      <c r="F836" s="9">
        <v>0</v>
      </c>
      <c r="G836" s="9">
        <v>0</v>
      </c>
    </row>
    <row r="837" spans="1:7">
      <c r="A837" s="616"/>
      <c r="B837" s="1995"/>
      <c r="C837" s="9" t="s">
        <v>3619</v>
      </c>
      <c r="D837" s="1078"/>
      <c r="E837" s="9">
        <v>0</v>
      </c>
      <c r="F837" s="9">
        <v>0</v>
      </c>
      <c r="G837" s="9">
        <v>0</v>
      </c>
    </row>
    <row r="838" spans="1:7">
      <c r="A838" s="616"/>
      <c r="B838" s="1995"/>
      <c r="C838" s="9" t="s">
        <v>3620</v>
      </c>
      <c r="D838" s="1078"/>
      <c r="E838" s="9">
        <v>48000</v>
      </c>
      <c r="F838" s="9">
        <v>9600</v>
      </c>
      <c r="G838" s="9">
        <v>57600</v>
      </c>
    </row>
    <row r="839" spans="1:7">
      <c r="A839" s="616"/>
      <c r="B839" s="1995"/>
      <c r="C839" s="9" t="s">
        <v>3621</v>
      </c>
      <c r="D839" s="1078"/>
      <c r="E839" s="9">
        <v>13800</v>
      </c>
      <c r="F839" s="9">
        <v>0</v>
      </c>
      <c r="G839" s="9">
        <v>13800</v>
      </c>
    </row>
    <row r="840" spans="1:7">
      <c r="A840" s="616"/>
      <c r="B840" s="1995"/>
      <c r="C840" s="9" t="s">
        <v>3622</v>
      </c>
      <c r="D840" s="1078"/>
      <c r="E840" s="9">
        <v>600</v>
      </c>
      <c r="F840" s="9">
        <v>0</v>
      </c>
      <c r="G840" s="9">
        <v>600</v>
      </c>
    </row>
    <row r="841" spans="1:7">
      <c r="A841" s="616"/>
      <c r="B841" s="1995"/>
      <c r="C841" s="9" t="s">
        <v>3623</v>
      </c>
      <c r="D841" s="1078"/>
      <c r="E841" s="9">
        <v>0</v>
      </c>
      <c r="F841" s="9">
        <v>0</v>
      </c>
      <c r="G841" s="9">
        <v>0</v>
      </c>
    </row>
    <row r="842" spans="1:7">
      <c r="A842" s="616"/>
      <c r="B842" s="1995"/>
      <c r="C842" s="11" t="s">
        <v>239</v>
      </c>
      <c r="D842" s="1078"/>
      <c r="E842" s="11">
        <f>SUM(E830:E841)</f>
        <v>90600</v>
      </c>
      <c r="F842" s="11">
        <f>SUM(F830:F841)</f>
        <v>10800</v>
      </c>
      <c r="G842" s="11">
        <f>SUM(G830:G841)</f>
        <v>101400</v>
      </c>
    </row>
    <row r="843" spans="1:7">
      <c r="A843" s="616">
        <v>622000000006</v>
      </c>
      <c r="B843" s="1994">
        <v>65</v>
      </c>
      <c r="C843" s="11" t="s">
        <v>580</v>
      </c>
      <c r="D843" s="1078" t="s">
        <v>271</v>
      </c>
      <c r="E843" s="9"/>
      <c r="F843" s="9"/>
      <c r="G843" s="9"/>
    </row>
    <row r="844" spans="1:7">
      <c r="A844" s="616"/>
      <c r="B844" s="1995"/>
      <c r="C844" s="9" t="s">
        <v>3612</v>
      </c>
      <c r="D844" s="1078"/>
      <c r="E844" s="9">
        <v>3039360</v>
      </c>
      <c r="F844" s="9">
        <v>1541760</v>
      </c>
      <c r="G844" s="9">
        <v>4581120</v>
      </c>
    </row>
    <row r="845" spans="1:7">
      <c r="A845" s="616"/>
      <c r="B845" s="1995"/>
      <c r="C845" s="9" t="s">
        <v>3613</v>
      </c>
      <c r="D845" s="1078"/>
      <c r="E845" s="9">
        <v>555000</v>
      </c>
      <c r="F845" s="9">
        <v>289800</v>
      </c>
      <c r="G845" s="9">
        <v>844800</v>
      </c>
    </row>
    <row r="846" spans="1:7">
      <c r="A846" s="616"/>
      <c r="B846" s="1995"/>
      <c r="C846" s="9" t="s">
        <v>3614</v>
      </c>
      <c r="D846" s="1078"/>
      <c r="E846" s="9">
        <v>1593480</v>
      </c>
      <c r="F846" s="9">
        <v>788280</v>
      </c>
      <c r="G846" s="9">
        <v>2381760</v>
      </c>
    </row>
    <row r="847" spans="1:7">
      <c r="A847" s="616"/>
      <c r="B847" s="1995"/>
      <c r="C847" s="9" t="s">
        <v>3709</v>
      </c>
      <c r="D847" s="1078"/>
      <c r="E847" s="9">
        <v>3501360</v>
      </c>
      <c r="F847" s="9">
        <v>1809960</v>
      </c>
      <c r="G847" s="9">
        <v>5311320</v>
      </c>
    </row>
    <row r="848" spans="1:7">
      <c r="A848" s="616"/>
      <c r="B848" s="1995"/>
      <c r="C848" s="9" t="s">
        <v>3616</v>
      </c>
      <c r="D848" s="1078"/>
      <c r="E848" s="9">
        <v>3168240</v>
      </c>
      <c r="F848" s="9">
        <v>1610880</v>
      </c>
      <c r="G848" s="9">
        <v>4779120</v>
      </c>
    </row>
    <row r="849" spans="1:7">
      <c r="A849" s="616"/>
      <c r="B849" s="1995"/>
      <c r="C849" s="9" t="s">
        <v>3617</v>
      </c>
      <c r="D849" s="1078"/>
      <c r="E849" s="9">
        <v>3272340</v>
      </c>
      <c r="F849" s="9">
        <v>1656900</v>
      </c>
      <c r="G849" s="9">
        <v>4929240</v>
      </c>
    </row>
    <row r="850" spans="1:7">
      <c r="A850" s="616"/>
      <c r="B850" s="1995"/>
      <c r="C850" s="9" t="s">
        <v>3618</v>
      </c>
      <c r="D850" s="1078"/>
      <c r="E850" s="9">
        <v>2562660</v>
      </c>
      <c r="F850" s="9">
        <v>1284000</v>
      </c>
      <c r="G850" s="9">
        <v>3846660</v>
      </c>
    </row>
    <row r="851" spans="1:7">
      <c r="A851" s="616"/>
      <c r="B851" s="1995"/>
      <c r="C851" s="9" t="s">
        <v>3619</v>
      </c>
      <c r="D851" s="1078"/>
      <c r="E851" s="9">
        <v>3680640</v>
      </c>
      <c r="F851" s="9">
        <v>1842720</v>
      </c>
      <c r="G851" s="9">
        <v>5523360</v>
      </c>
    </row>
    <row r="852" spans="1:7">
      <c r="A852" s="616"/>
      <c r="B852" s="1995"/>
      <c r="C852" s="9" t="s">
        <v>3620</v>
      </c>
      <c r="D852" s="1078"/>
      <c r="E852" s="9">
        <v>2827380</v>
      </c>
      <c r="F852" s="9">
        <v>1448220</v>
      </c>
      <c r="G852" s="9">
        <v>4275600</v>
      </c>
    </row>
    <row r="853" spans="1:7">
      <c r="A853" s="616"/>
      <c r="B853" s="1995"/>
      <c r="C853" s="9" t="s">
        <v>3621</v>
      </c>
      <c r="D853" s="1078"/>
      <c r="E853" s="9">
        <v>3666480</v>
      </c>
      <c r="F853" s="9">
        <v>1841340</v>
      </c>
      <c r="G853" s="9">
        <v>5507820</v>
      </c>
    </row>
    <row r="854" spans="1:7">
      <c r="A854" s="616"/>
      <c r="B854" s="1995"/>
      <c r="C854" s="9" t="s">
        <v>3622</v>
      </c>
      <c r="D854" s="1078"/>
      <c r="E854" s="9">
        <v>3300480</v>
      </c>
      <c r="F854" s="9">
        <v>1688280</v>
      </c>
      <c r="G854" s="9">
        <v>4988760</v>
      </c>
    </row>
    <row r="855" spans="1:7">
      <c r="A855" s="616"/>
      <c r="B855" s="1995"/>
      <c r="C855" s="9" t="s">
        <v>3623</v>
      </c>
      <c r="D855" s="1078"/>
      <c r="E855" s="9">
        <v>3501540</v>
      </c>
      <c r="F855" s="9">
        <v>1735080</v>
      </c>
      <c r="G855" s="9">
        <v>5236620</v>
      </c>
    </row>
    <row r="856" spans="1:7">
      <c r="A856" s="616"/>
      <c r="B856" s="1995"/>
      <c r="C856" s="11" t="s">
        <v>239</v>
      </c>
      <c r="D856" s="1078"/>
      <c r="E856" s="11">
        <f>SUM(E844:E855)</f>
        <v>34668960</v>
      </c>
      <c r="F856" s="11">
        <f>SUM(F844:F855)</f>
        <v>17537220</v>
      </c>
      <c r="G856" s="11">
        <f>SUM(G844:G855)</f>
        <v>52206180</v>
      </c>
    </row>
    <row r="857" spans="1:7">
      <c r="A857" s="616">
        <v>622000000007</v>
      </c>
      <c r="B857" s="1994">
        <v>66</v>
      </c>
      <c r="C857" s="11" t="s">
        <v>537</v>
      </c>
      <c r="D857" s="1078" t="s">
        <v>271</v>
      </c>
      <c r="E857" s="9"/>
      <c r="F857" s="9"/>
      <c r="G857" s="9"/>
    </row>
    <row r="858" spans="1:7">
      <c r="A858" s="616"/>
      <c r="B858" s="1995"/>
      <c r="C858" s="9" t="s">
        <v>3612</v>
      </c>
      <c r="D858" s="1078"/>
      <c r="E858" s="9">
        <v>1232140</v>
      </c>
      <c r="F858" s="9">
        <v>888839</v>
      </c>
      <c r="G858" s="9">
        <v>2120979</v>
      </c>
    </row>
    <row r="859" spans="1:7">
      <c r="A859" s="616"/>
      <c r="B859" s="1995"/>
      <c r="C859" s="9" t="s">
        <v>3613</v>
      </c>
      <c r="D859" s="1078"/>
      <c r="E859" s="9">
        <v>1635525</v>
      </c>
      <c r="F859" s="9">
        <v>933787</v>
      </c>
      <c r="G859" s="9">
        <v>2569312</v>
      </c>
    </row>
    <row r="860" spans="1:7">
      <c r="A860" s="616"/>
      <c r="B860" s="1995"/>
      <c r="C860" s="9" t="s">
        <v>3614</v>
      </c>
      <c r="D860" s="1078"/>
      <c r="E860" s="9">
        <v>1531133</v>
      </c>
      <c r="F860" s="9">
        <v>986730</v>
      </c>
      <c r="G860" s="9">
        <v>2517863</v>
      </c>
    </row>
    <row r="861" spans="1:7">
      <c r="A861" s="616"/>
      <c r="B861" s="1995"/>
      <c r="C861" s="9" t="s">
        <v>3709</v>
      </c>
      <c r="D861" s="1078"/>
      <c r="E861" s="9">
        <v>796189</v>
      </c>
      <c r="F861" s="9">
        <v>566578</v>
      </c>
      <c r="G861" s="9">
        <v>1362767</v>
      </c>
    </row>
    <row r="862" spans="1:7">
      <c r="A862" s="616"/>
      <c r="B862" s="1995"/>
      <c r="C862" s="9" t="s">
        <v>3616</v>
      </c>
      <c r="D862" s="1078"/>
      <c r="E862" s="9">
        <v>11350689</v>
      </c>
      <c r="F862" s="9">
        <v>6094435</v>
      </c>
      <c r="G862" s="9">
        <v>17445124</v>
      </c>
    </row>
    <row r="863" spans="1:7">
      <c r="A863" s="616"/>
      <c r="B863" s="1995"/>
      <c r="C863" s="9" t="s">
        <v>3617</v>
      </c>
      <c r="D863" s="1078"/>
      <c r="E863" s="9">
        <v>11435419</v>
      </c>
      <c r="F863" s="9">
        <v>5895148</v>
      </c>
      <c r="G863" s="9">
        <v>17330567</v>
      </c>
    </row>
    <row r="864" spans="1:7">
      <c r="A864" s="616"/>
      <c r="B864" s="1995"/>
      <c r="C864" s="9" t="s">
        <v>3618</v>
      </c>
      <c r="D864" s="1078"/>
      <c r="E864" s="9">
        <v>12773806</v>
      </c>
      <c r="F864" s="9">
        <v>6656598</v>
      </c>
      <c r="G864" s="9">
        <v>19430404</v>
      </c>
    </row>
    <row r="865" spans="1:7">
      <c r="A865" s="616"/>
      <c r="B865" s="1995"/>
      <c r="C865" s="9" t="s">
        <v>3619</v>
      </c>
      <c r="D865" s="1078"/>
      <c r="E865" s="9">
        <v>11086452</v>
      </c>
      <c r="F865" s="9">
        <v>5948219</v>
      </c>
      <c r="G865" s="9">
        <v>17034671</v>
      </c>
    </row>
    <row r="866" spans="1:7">
      <c r="A866" s="616"/>
      <c r="B866" s="1995"/>
      <c r="C866" s="9" t="s">
        <v>3620</v>
      </c>
      <c r="D866" s="1078"/>
      <c r="E866" s="9">
        <v>11443603</v>
      </c>
      <c r="F866" s="9">
        <v>5942029</v>
      </c>
      <c r="G866" s="9">
        <v>17385632</v>
      </c>
    </row>
    <row r="867" spans="1:7">
      <c r="A867" s="616"/>
      <c r="B867" s="1995"/>
      <c r="C867" s="9" t="s">
        <v>3621</v>
      </c>
      <c r="D867" s="1078"/>
      <c r="E867" s="9">
        <v>10168352</v>
      </c>
      <c r="F867" s="9">
        <v>5680023</v>
      </c>
      <c r="G867" s="9">
        <v>15848375</v>
      </c>
    </row>
    <row r="868" spans="1:7">
      <c r="A868" s="616"/>
      <c r="B868" s="1995"/>
      <c r="C868" s="9" t="s">
        <v>3622</v>
      </c>
      <c r="D868" s="1078"/>
      <c r="E868" s="9">
        <v>7895719</v>
      </c>
      <c r="F868" s="9">
        <v>4504127</v>
      </c>
      <c r="G868" s="9">
        <v>12399846</v>
      </c>
    </row>
    <row r="869" spans="1:7">
      <c r="A869" s="616"/>
      <c r="B869" s="1995"/>
      <c r="C869" s="9" t="s">
        <v>3623</v>
      </c>
      <c r="D869" s="1078"/>
      <c r="E869" s="9">
        <v>9309912</v>
      </c>
      <c r="F869" s="9">
        <v>5046530</v>
      </c>
      <c r="G869" s="9">
        <v>14356442</v>
      </c>
    </row>
    <row r="870" spans="1:7">
      <c r="A870" s="616"/>
      <c r="B870" s="1995"/>
      <c r="C870" s="11" t="s">
        <v>239</v>
      </c>
      <c r="D870" s="1078"/>
      <c r="E870" s="11">
        <f>SUM(E858:E869)</f>
        <v>90658939</v>
      </c>
      <c r="F870" s="11">
        <f>SUM(F858:F869)</f>
        <v>49143043</v>
      </c>
      <c r="G870" s="11">
        <f>SUM(G858:G869)</f>
        <v>139801982</v>
      </c>
    </row>
    <row r="871" spans="1:7">
      <c r="A871" s="616">
        <v>622000000026</v>
      </c>
      <c r="B871" s="1994">
        <v>67</v>
      </c>
      <c r="C871" s="11" t="s">
        <v>568</v>
      </c>
      <c r="D871" s="1078" t="s">
        <v>271</v>
      </c>
      <c r="E871" s="9"/>
      <c r="F871" s="9"/>
      <c r="G871" s="9"/>
    </row>
    <row r="872" spans="1:7">
      <c r="A872" s="616"/>
      <c r="B872" s="1995"/>
      <c r="C872" s="9" t="s">
        <v>3612</v>
      </c>
      <c r="D872" s="1078"/>
      <c r="E872" s="9">
        <v>3452880</v>
      </c>
      <c r="F872" s="9">
        <v>1847760</v>
      </c>
      <c r="G872" s="9">
        <v>5300640</v>
      </c>
    </row>
    <row r="873" spans="1:7">
      <c r="A873" s="616"/>
      <c r="B873" s="1995"/>
      <c r="C873" s="9" t="s">
        <v>3613</v>
      </c>
      <c r="D873" s="1078"/>
      <c r="E873" s="9">
        <v>3272880</v>
      </c>
      <c r="F873" s="9">
        <v>1728000</v>
      </c>
      <c r="G873" s="9">
        <v>5000880</v>
      </c>
    </row>
    <row r="874" spans="1:7">
      <c r="A874" s="616"/>
      <c r="B874" s="1995"/>
      <c r="C874" s="9" t="s">
        <v>3614</v>
      </c>
      <c r="D874" s="1078"/>
      <c r="E874" s="9">
        <v>3863520</v>
      </c>
      <c r="F874" s="9">
        <v>1901760</v>
      </c>
      <c r="G874" s="9">
        <v>5765280</v>
      </c>
    </row>
    <row r="875" spans="1:7">
      <c r="A875" s="616"/>
      <c r="B875" s="1995"/>
      <c r="C875" s="9" t="s">
        <v>3709</v>
      </c>
      <c r="D875" s="1078"/>
      <c r="E875" s="9">
        <v>4413120</v>
      </c>
      <c r="F875" s="9">
        <v>2309040</v>
      </c>
      <c r="G875" s="9">
        <v>6722160</v>
      </c>
    </row>
    <row r="876" spans="1:7">
      <c r="A876" s="616"/>
      <c r="B876" s="1995"/>
      <c r="C876" s="9" t="s">
        <v>3616</v>
      </c>
      <c r="D876" s="1078"/>
      <c r="E876" s="9">
        <v>3598320</v>
      </c>
      <c r="F876" s="9">
        <v>1832400</v>
      </c>
      <c r="G876" s="9">
        <v>5430720</v>
      </c>
    </row>
    <row r="877" spans="1:7">
      <c r="A877" s="616"/>
      <c r="B877" s="1995"/>
      <c r="C877" s="9" t="s">
        <v>3617</v>
      </c>
      <c r="D877" s="1078"/>
      <c r="E877" s="9">
        <v>3774240</v>
      </c>
      <c r="F877" s="9">
        <v>2029440</v>
      </c>
      <c r="G877" s="9">
        <v>5803680</v>
      </c>
    </row>
    <row r="878" spans="1:7">
      <c r="A878" s="616"/>
      <c r="B878" s="1995"/>
      <c r="C878" s="9" t="s">
        <v>3618</v>
      </c>
      <c r="D878" s="1078"/>
      <c r="E878" s="9">
        <v>3967440</v>
      </c>
      <c r="F878" s="9">
        <v>2153040</v>
      </c>
      <c r="G878" s="9">
        <v>6120480</v>
      </c>
    </row>
    <row r="879" spans="1:7">
      <c r="A879" s="616"/>
      <c r="B879" s="1995"/>
      <c r="C879" s="9" t="s">
        <v>3619</v>
      </c>
      <c r="D879" s="1078"/>
      <c r="E879" s="9">
        <v>2253600</v>
      </c>
      <c r="F879" s="9">
        <v>1132080</v>
      </c>
      <c r="G879" s="9">
        <v>3385680</v>
      </c>
    </row>
    <row r="880" spans="1:7">
      <c r="A880" s="616"/>
      <c r="B880" s="1995"/>
      <c r="C880" s="9" t="s">
        <v>3620</v>
      </c>
      <c r="D880" s="1078"/>
      <c r="E880" s="9">
        <v>3823440</v>
      </c>
      <c r="F880" s="9">
        <v>2146560</v>
      </c>
      <c r="G880" s="9">
        <v>5970000</v>
      </c>
    </row>
    <row r="881" spans="1:7">
      <c r="A881" s="616"/>
      <c r="B881" s="1995"/>
      <c r="C881" s="9" t="s">
        <v>3621</v>
      </c>
      <c r="D881" s="1078"/>
      <c r="E881" s="9">
        <v>4003920</v>
      </c>
      <c r="F881" s="9">
        <v>1764840</v>
      </c>
      <c r="G881" s="9">
        <v>5768760</v>
      </c>
    </row>
    <row r="882" spans="1:7">
      <c r="A882" s="616"/>
      <c r="B882" s="1995"/>
      <c r="C882" s="9" t="s">
        <v>3622</v>
      </c>
      <c r="D882" s="1078"/>
      <c r="E882" s="9">
        <v>3293040</v>
      </c>
      <c r="F882" s="9">
        <v>1713960</v>
      </c>
      <c r="G882" s="9">
        <v>5007000</v>
      </c>
    </row>
    <row r="883" spans="1:7">
      <c r="A883" s="616"/>
      <c r="B883" s="1995"/>
      <c r="C883" s="9" t="s">
        <v>3623</v>
      </c>
      <c r="D883" s="1078"/>
      <c r="E883" s="9">
        <v>4078560</v>
      </c>
      <c r="F883" s="9">
        <v>1970880</v>
      </c>
      <c r="G883" s="9">
        <v>6049440</v>
      </c>
    </row>
    <row r="884" spans="1:7">
      <c r="A884" s="616"/>
      <c r="B884" s="1995"/>
      <c r="C884" s="11" t="s">
        <v>239</v>
      </c>
      <c r="D884" s="1078"/>
      <c r="E884" s="11">
        <f>SUM(E872:E883)</f>
        <v>43794960</v>
      </c>
      <c r="F884" s="11">
        <f>SUM(F872:F883)</f>
        <v>22529760</v>
      </c>
      <c r="G884" s="11">
        <f>SUM(G872:G883)</f>
        <v>66324720</v>
      </c>
    </row>
    <row r="885" spans="1:7">
      <c r="A885" s="616">
        <v>622000000028</v>
      </c>
      <c r="B885" s="1994">
        <v>68</v>
      </c>
      <c r="C885" s="11" t="s">
        <v>694</v>
      </c>
      <c r="D885" s="1078" t="s">
        <v>259</v>
      </c>
      <c r="E885" s="9"/>
      <c r="F885" s="9"/>
      <c r="G885" s="9"/>
    </row>
    <row r="886" spans="1:7">
      <c r="A886" s="616"/>
      <c r="B886" s="1995"/>
      <c r="C886" s="9" t="s">
        <v>3612</v>
      </c>
      <c r="D886" s="1078"/>
      <c r="E886" s="9">
        <v>425800</v>
      </c>
      <c r="F886" s="9">
        <v>138850</v>
      </c>
      <c r="G886" s="9">
        <v>564650</v>
      </c>
    </row>
    <row r="887" spans="1:7">
      <c r="A887" s="616"/>
      <c r="B887" s="1995"/>
      <c r="C887" s="9" t="s">
        <v>3613</v>
      </c>
      <c r="D887" s="1078"/>
      <c r="E887" s="9">
        <v>423710</v>
      </c>
      <c r="F887" s="9">
        <v>130930</v>
      </c>
      <c r="G887" s="9">
        <v>554640</v>
      </c>
    </row>
    <row r="888" spans="1:7">
      <c r="A888" s="616"/>
      <c r="B888" s="1995"/>
      <c r="C888" s="9" t="s">
        <v>3614</v>
      </c>
      <c r="D888" s="1078"/>
      <c r="E888" s="9">
        <v>329760</v>
      </c>
      <c r="F888" s="9">
        <v>95120</v>
      </c>
      <c r="G888" s="9">
        <v>424880</v>
      </c>
    </row>
    <row r="889" spans="1:7">
      <c r="A889" s="616"/>
      <c r="B889" s="1995"/>
      <c r="C889" s="9" t="s">
        <v>3709</v>
      </c>
      <c r="D889" s="1078"/>
      <c r="E889" s="9">
        <v>468970</v>
      </c>
      <c r="F889" s="9">
        <v>155030</v>
      </c>
      <c r="G889" s="9">
        <v>624000</v>
      </c>
    </row>
    <row r="890" spans="1:7">
      <c r="A890" s="616"/>
      <c r="B890" s="1995"/>
      <c r="C890" s="9" t="s">
        <v>3616</v>
      </c>
      <c r="D890" s="1078"/>
      <c r="E890" s="9">
        <v>314420</v>
      </c>
      <c r="F890" s="9">
        <v>114170</v>
      </c>
      <c r="G890" s="9">
        <v>428590</v>
      </c>
    </row>
    <row r="891" spans="1:7">
      <c r="A891" s="616"/>
      <c r="B891" s="1995"/>
      <c r="C891" s="9" t="s">
        <v>3617</v>
      </c>
      <c r="D891" s="1078"/>
      <c r="E891" s="9">
        <v>602582</v>
      </c>
      <c r="F891" s="9">
        <v>80430</v>
      </c>
      <c r="G891" s="9">
        <v>683012</v>
      </c>
    </row>
    <row r="892" spans="1:7">
      <c r="A892" s="616"/>
      <c r="B892" s="1995"/>
      <c r="C892" s="9" t="s">
        <v>3618</v>
      </c>
      <c r="D892" s="1078"/>
      <c r="E892" s="9">
        <v>590028</v>
      </c>
      <c r="F892" s="9">
        <v>62880</v>
      </c>
      <c r="G892" s="9">
        <v>652908</v>
      </c>
    </row>
    <row r="893" spans="1:7">
      <c r="A893" s="616"/>
      <c r="B893" s="1995"/>
      <c r="C893" s="9" t="s">
        <v>3619</v>
      </c>
      <c r="D893" s="1078"/>
      <c r="E893" s="9">
        <v>460340</v>
      </c>
      <c r="F893" s="9">
        <v>138540</v>
      </c>
      <c r="G893" s="9">
        <v>598880</v>
      </c>
    </row>
    <row r="894" spans="1:7">
      <c r="A894" s="616"/>
      <c r="B894" s="1995"/>
      <c r="C894" s="9" t="s">
        <v>3620</v>
      </c>
      <c r="D894" s="1078"/>
      <c r="E894" s="9">
        <v>443880</v>
      </c>
      <c r="F894" s="9">
        <v>122680</v>
      </c>
      <c r="G894" s="9">
        <v>566560</v>
      </c>
    </row>
    <row r="895" spans="1:7">
      <c r="A895" s="616"/>
      <c r="B895" s="1995"/>
      <c r="C895" s="9" t="s">
        <v>3621</v>
      </c>
      <c r="D895" s="1078"/>
      <c r="E895" s="9">
        <v>497540</v>
      </c>
      <c r="F895" s="9">
        <v>138100</v>
      </c>
      <c r="G895" s="9">
        <v>635640</v>
      </c>
    </row>
    <row r="896" spans="1:7">
      <c r="A896" s="616"/>
      <c r="B896" s="1995"/>
      <c r="C896" s="9" t="s">
        <v>3622</v>
      </c>
      <c r="D896" s="1078"/>
      <c r="E896" s="9">
        <v>408840</v>
      </c>
      <c r="F896" s="9">
        <v>118960</v>
      </c>
      <c r="G896" s="9">
        <v>527800</v>
      </c>
    </row>
    <row r="897" spans="1:7">
      <c r="A897" s="616"/>
      <c r="B897" s="1995"/>
      <c r="C897" s="9" t="s">
        <v>3623</v>
      </c>
      <c r="D897" s="1078"/>
      <c r="E897" s="9">
        <v>556670</v>
      </c>
      <c r="F897" s="9">
        <v>153580</v>
      </c>
      <c r="G897" s="9">
        <v>710250</v>
      </c>
    </row>
    <row r="898" spans="1:7">
      <c r="A898" s="616"/>
      <c r="B898" s="1995"/>
      <c r="C898" s="11" t="s">
        <v>239</v>
      </c>
      <c r="D898" s="1078"/>
      <c r="E898" s="11">
        <f>SUM(E886:E897)</f>
        <v>5522540</v>
      </c>
      <c r="F898" s="11">
        <f>SUM(F886:F897)</f>
        <v>1449270</v>
      </c>
      <c r="G898" s="11">
        <f>SUM(G886:G897)</f>
        <v>6971810</v>
      </c>
    </row>
    <row r="899" spans="1:7">
      <c r="A899" s="616">
        <v>622000000038</v>
      </c>
      <c r="B899" s="1994">
        <v>69</v>
      </c>
      <c r="C899" s="11" t="s">
        <v>3521</v>
      </c>
      <c r="D899" s="1078" t="s">
        <v>259</v>
      </c>
      <c r="E899" s="9"/>
      <c r="F899" s="9"/>
      <c r="G899" s="9"/>
    </row>
    <row r="900" spans="1:7">
      <c r="A900" s="616"/>
      <c r="B900" s="1995"/>
      <c r="C900" s="9" t="s">
        <v>3612</v>
      </c>
      <c r="D900" s="1078"/>
      <c r="E900" s="9">
        <v>242670</v>
      </c>
      <c r="F900" s="9">
        <v>82500</v>
      </c>
      <c r="G900" s="9">
        <v>325170</v>
      </c>
    </row>
    <row r="901" spans="1:7">
      <c r="A901" s="616"/>
      <c r="B901" s="1995"/>
      <c r="C901" s="9" t="s">
        <v>3613</v>
      </c>
      <c r="D901" s="1078"/>
      <c r="E901" s="9">
        <v>202260</v>
      </c>
      <c r="F901" s="9">
        <v>65925</v>
      </c>
      <c r="G901" s="9">
        <v>268185</v>
      </c>
    </row>
    <row r="902" spans="1:7">
      <c r="A902" s="616"/>
      <c r="B902" s="1995"/>
      <c r="C902" s="9" t="s">
        <v>3614</v>
      </c>
      <c r="D902" s="1078"/>
      <c r="E902" s="9">
        <v>261060</v>
      </c>
      <c r="F902" s="9">
        <v>84060</v>
      </c>
      <c r="G902" s="9">
        <v>345120</v>
      </c>
    </row>
    <row r="903" spans="1:7">
      <c r="A903" s="616"/>
      <c r="B903" s="1995"/>
      <c r="C903" s="9" t="s">
        <v>3709</v>
      </c>
      <c r="D903" s="1078"/>
      <c r="E903" s="9">
        <v>478125</v>
      </c>
      <c r="F903" s="9">
        <v>170535</v>
      </c>
      <c r="G903" s="9">
        <v>648660</v>
      </c>
    </row>
    <row r="904" spans="1:7">
      <c r="A904" s="616"/>
      <c r="B904" s="1995"/>
      <c r="C904" s="9" t="s">
        <v>3616</v>
      </c>
      <c r="D904" s="1078"/>
      <c r="E904" s="9">
        <v>589155</v>
      </c>
      <c r="F904" s="9">
        <v>201780</v>
      </c>
      <c r="G904" s="9">
        <v>790935</v>
      </c>
    </row>
    <row r="905" spans="1:7">
      <c r="A905" s="616"/>
      <c r="B905" s="1995"/>
      <c r="C905" s="9" t="s">
        <v>3617</v>
      </c>
      <c r="D905" s="1078"/>
      <c r="E905" s="9">
        <v>478260</v>
      </c>
      <c r="F905" s="9">
        <v>178995</v>
      </c>
      <c r="G905" s="9">
        <v>657255</v>
      </c>
    </row>
    <row r="906" spans="1:7">
      <c r="A906" s="616"/>
      <c r="B906" s="1995"/>
      <c r="C906" s="9" t="s">
        <v>3618</v>
      </c>
      <c r="D906" s="1078"/>
      <c r="E906" s="9">
        <v>359400</v>
      </c>
      <c r="F906" s="9">
        <v>125265</v>
      </c>
      <c r="G906" s="9">
        <v>484665</v>
      </c>
    </row>
    <row r="907" spans="1:7">
      <c r="A907" s="616"/>
      <c r="B907" s="1995"/>
      <c r="C907" s="9" t="s">
        <v>3619</v>
      </c>
      <c r="D907" s="1078"/>
      <c r="E907" s="9">
        <v>417405</v>
      </c>
      <c r="F907" s="9">
        <v>143685</v>
      </c>
      <c r="G907" s="9">
        <v>561090</v>
      </c>
    </row>
    <row r="908" spans="1:7">
      <c r="A908" s="616"/>
      <c r="B908" s="1995"/>
      <c r="C908" s="9" t="s">
        <v>3620</v>
      </c>
      <c r="D908" s="1078"/>
      <c r="E908" s="9">
        <v>335010</v>
      </c>
      <c r="F908" s="9">
        <v>111060</v>
      </c>
      <c r="G908" s="9">
        <v>446070</v>
      </c>
    </row>
    <row r="909" spans="1:7">
      <c r="A909" s="616"/>
      <c r="B909" s="1995"/>
      <c r="C909" s="9" t="s">
        <v>3621</v>
      </c>
      <c r="D909" s="1078"/>
      <c r="E909" s="9">
        <v>544845</v>
      </c>
      <c r="F909" s="9">
        <v>188010</v>
      </c>
      <c r="G909" s="9">
        <v>732855</v>
      </c>
    </row>
    <row r="910" spans="1:7">
      <c r="A910" s="616"/>
      <c r="B910" s="1995"/>
      <c r="C910" s="9" t="s">
        <v>3622</v>
      </c>
      <c r="D910" s="1078"/>
      <c r="E910" s="9">
        <v>506430</v>
      </c>
      <c r="F910" s="9">
        <v>178845</v>
      </c>
      <c r="G910" s="9">
        <v>685275</v>
      </c>
    </row>
    <row r="911" spans="1:7">
      <c r="A911" s="616"/>
      <c r="B911" s="1995"/>
      <c r="C911" s="9" t="s">
        <v>3623</v>
      </c>
      <c r="D911" s="1078"/>
      <c r="E911" s="9">
        <v>354735</v>
      </c>
      <c r="F911" s="9">
        <v>117795</v>
      </c>
      <c r="G911" s="9">
        <v>472530</v>
      </c>
    </row>
    <row r="912" spans="1:7">
      <c r="A912" s="616"/>
      <c r="B912" s="1995"/>
      <c r="C912" s="11" t="s">
        <v>239</v>
      </c>
      <c r="D912" s="1078"/>
      <c r="E912" s="11">
        <f>SUM(E900:E911)</f>
        <v>4769355</v>
      </c>
      <c r="F912" s="11">
        <f>SUM(F900:F911)</f>
        <v>1648455</v>
      </c>
      <c r="G912" s="11">
        <f>SUM(G900:G911)</f>
        <v>6417810</v>
      </c>
    </row>
    <row r="913" spans="1:7">
      <c r="A913" s="616">
        <v>622000000057</v>
      </c>
      <c r="B913" s="1994">
        <v>70</v>
      </c>
      <c r="C913" s="11" t="s">
        <v>682</v>
      </c>
      <c r="D913" s="1078" t="s">
        <v>259</v>
      </c>
      <c r="E913" s="9"/>
      <c r="F913" s="9"/>
      <c r="G913" s="9"/>
    </row>
    <row r="914" spans="1:7">
      <c r="A914" s="616"/>
      <c r="B914" s="1995"/>
      <c r="C914" s="9" t="s">
        <v>3612</v>
      </c>
      <c r="D914" s="1078"/>
      <c r="E914" s="9">
        <v>217320</v>
      </c>
      <c r="F914" s="9">
        <v>137160</v>
      </c>
      <c r="G914" s="9">
        <v>354480</v>
      </c>
    </row>
    <row r="915" spans="1:7">
      <c r="A915" s="616"/>
      <c r="B915" s="1995"/>
      <c r="C915" s="9" t="s">
        <v>3613</v>
      </c>
      <c r="D915" s="1078"/>
      <c r="E915" s="9">
        <v>240840</v>
      </c>
      <c r="F915" s="9">
        <v>150960</v>
      </c>
      <c r="G915" s="9">
        <v>391800</v>
      </c>
    </row>
    <row r="916" spans="1:7">
      <c r="A916" s="616"/>
      <c r="B916" s="1995"/>
      <c r="C916" s="9" t="s">
        <v>3614</v>
      </c>
      <c r="D916" s="1078"/>
      <c r="E916" s="9">
        <v>182160</v>
      </c>
      <c r="F916" s="9">
        <v>124920</v>
      </c>
      <c r="G916" s="9">
        <v>307080</v>
      </c>
    </row>
    <row r="917" spans="1:7">
      <c r="A917" s="616"/>
      <c r="B917" s="1995"/>
      <c r="C917" s="9" t="s">
        <v>3709</v>
      </c>
      <c r="D917" s="1078"/>
      <c r="E917" s="9">
        <v>206400</v>
      </c>
      <c r="F917" s="9">
        <v>124560</v>
      </c>
      <c r="G917" s="9">
        <v>330960</v>
      </c>
    </row>
    <row r="918" spans="1:7">
      <c r="A918" s="616"/>
      <c r="B918" s="1995"/>
      <c r="C918" s="9" t="s">
        <v>3616</v>
      </c>
      <c r="D918" s="1078"/>
      <c r="E918" s="9">
        <v>194520</v>
      </c>
      <c r="F918" s="9">
        <v>115200</v>
      </c>
      <c r="G918" s="9">
        <v>309720</v>
      </c>
    </row>
    <row r="919" spans="1:7">
      <c r="A919" s="616"/>
      <c r="B919" s="1995"/>
      <c r="C919" s="9" t="s">
        <v>3617</v>
      </c>
      <c r="D919" s="1078"/>
      <c r="E919" s="9">
        <v>181920</v>
      </c>
      <c r="F919" s="9">
        <v>111000</v>
      </c>
      <c r="G919" s="9">
        <v>292920</v>
      </c>
    </row>
    <row r="920" spans="1:7">
      <c r="A920" s="616"/>
      <c r="B920" s="1995"/>
      <c r="C920" s="9" t="s">
        <v>3618</v>
      </c>
      <c r="D920" s="1078"/>
      <c r="E920" s="9">
        <v>175080</v>
      </c>
      <c r="F920" s="9">
        <v>108720</v>
      </c>
      <c r="G920" s="9">
        <v>283800</v>
      </c>
    </row>
    <row r="921" spans="1:7">
      <c r="A921" s="616"/>
      <c r="B921" s="1995"/>
      <c r="C921" s="9" t="s">
        <v>3619</v>
      </c>
      <c r="D921" s="1078"/>
      <c r="E921" s="9">
        <v>157440</v>
      </c>
      <c r="F921" s="9">
        <v>97920</v>
      </c>
      <c r="G921" s="9">
        <v>255360</v>
      </c>
    </row>
    <row r="922" spans="1:7">
      <c r="A922" s="616"/>
      <c r="B922" s="1995"/>
      <c r="C922" s="9" t="s">
        <v>3620</v>
      </c>
      <c r="D922" s="1078"/>
      <c r="E922" s="9">
        <v>164640</v>
      </c>
      <c r="F922" s="9">
        <v>101640</v>
      </c>
      <c r="G922" s="9">
        <v>266280</v>
      </c>
    </row>
    <row r="923" spans="1:7">
      <c r="A923" s="616"/>
      <c r="B923" s="1995"/>
      <c r="C923" s="9" t="s">
        <v>3621</v>
      </c>
      <c r="D923" s="1078"/>
      <c r="E923" s="9">
        <v>166200</v>
      </c>
      <c r="F923" s="9">
        <v>100440</v>
      </c>
      <c r="G923" s="9">
        <v>266640</v>
      </c>
    </row>
    <row r="924" spans="1:7">
      <c r="A924" s="616"/>
      <c r="B924" s="1995"/>
      <c r="C924" s="9" t="s">
        <v>3622</v>
      </c>
      <c r="D924" s="1078"/>
      <c r="E924" s="9">
        <v>131160</v>
      </c>
      <c r="F924" s="9">
        <v>80400</v>
      </c>
      <c r="G924" s="9">
        <v>211560</v>
      </c>
    </row>
    <row r="925" spans="1:7">
      <c r="A925" s="616"/>
      <c r="B925" s="1995"/>
      <c r="C925" s="9" t="s">
        <v>3623</v>
      </c>
      <c r="D925" s="1078"/>
      <c r="E925" s="9">
        <v>161040</v>
      </c>
      <c r="F925" s="9">
        <v>98640</v>
      </c>
      <c r="G925" s="9">
        <v>259680</v>
      </c>
    </row>
    <row r="926" spans="1:7">
      <c r="A926" s="616"/>
      <c r="B926" s="1995"/>
      <c r="C926" s="11" t="s">
        <v>239</v>
      </c>
      <c r="D926" s="1078"/>
      <c r="E926" s="11">
        <f>SUM(E914:E925)</f>
        <v>2178720</v>
      </c>
      <c r="F926" s="11">
        <f>SUM(F914:F925)</f>
        <v>1351560</v>
      </c>
      <c r="G926" s="11">
        <f>SUM(G914:G925)</f>
        <v>3530280</v>
      </c>
    </row>
    <row r="927" spans="1:7">
      <c r="A927" s="616">
        <v>622000000080</v>
      </c>
      <c r="B927" s="1994">
        <v>71</v>
      </c>
      <c r="C927" s="11" t="s">
        <v>583</v>
      </c>
      <c r="D927" s="1078" t="s">
        <v>271</v>
      </c>
      <c r="E927" s="9"/>
      <c r="F927" s="9"/>
      <c r="G927" s="9"/>
    </row>
    <row r="928" spans="1:7">
      <c r="A928" s="616"/>
      <c r="B928" s="1995"/>
      <c r="C928" s="9" t="s">
        <v>3612</v>
      </c>
      <c r="D928" s="1078"/>
      <c r="E928" s="9">
        <v>14520</v>
      </c>
      <c r="F928" s="9">
        <v>36120</v>
      </c>
      <c r="G928" s="9">
        <v>50640</v>
      </c>
    </row>
    <row r="929" spans="1:7">
      <c r="A929" s="616"/>
      <c r="B929" s="1995"/>
      <c r="C929" s="9" t="s">
        <v>3613</v>
      </c>
      <c r="D929" s="1078"/>
      <c r="E929" s="9">
        <v>151875</v>
      </c>
      <c r="F929" s="9">
        <v>79908</v>
      </c>
      <c r="G929" s="9">
        <v>231783</v>
      </c>
    </row>
    <row r="930" spans="1:7">
      <c r="A930" s="616"/>
      <c r="B930" s="1995"/>
      <c r="C930" s="9" t="s">
        <v>3614</v>
      </c>
      <c r="D930" s="1078"/>
      <c r="E930" s="9">
        <v>17400</v>
      </c>
      <c r="F930" s="9">
        <v>8880</v>
      </c>
      <c r="G930" s="9">
        <v>26280</v>
      </c>
    </row>
    <row r="931" spans="1:7">
      <c r="A931" s="616"/>
      <c r="B931" s="1995"/>
      <c r="C931" s="9" t="s">
        <v>3709</v>
      </c>
      <c r="D931" s="1078"/>
      <c r="E931" s="9">
        <v>29520</v>
      </c>
      <c r="F931" s="9">
        <v>8040</v>
      </c>
      <c r="G931" s="9">
        <v>37560</v>
      </c>
    </row>
    <row r="932" spans="1:7">
      <c r="A932" s="616"/>
      <c r="B932" s="1995"/>
      <c r="C932" s="9" t="s">
        <v>3616</v>
      </c>
      <c r="D932" s="1078"/>
      <c r="E932" s="9">
        <v>55080</v>
      </c>
      <c r="F932" s="9">
        <v>30480</v>
      </c>
      <c r="G932" s="9">
        <v>85560</v>
      </c>
    </row>
    <row r="933" spans="1:7">
      <c r="A933" s="616"/>
      <c r="B933" s="1995"/>
      <c r="C933" s="9" t="s">
        <v>3617</v>
      </c>
      <c r="D933" s="1078"/>
      <c r="E933" s="9">
        <v>248955</v>
      </c>
      <c r="F933" s="9">
        <v>156240</v>
      </c>
      <c r="G933" s="9">
        <v>405195</v>
      </c>
    </row>
    <row r="934" spans="1:7">
      <c r="A934" s="616"/>
      <c r="B934" s="1995"/>
      <c r="C934" s="9" t="s">
        <v>3618</v>
      </c>
      <c r="D934" s="1078"/>
      <c r="E934" s="9">
        <v>127320</v>
      </c>
      <c r="F934" s="9">
        <v>37320</v>
      </c>
      <c r="G934" s="9">
        <v>164640</v>
      </c>
    </row>
    <row r="935" spans="1:7">
      <c r="A935" s="616"/>
      <c r="B935" s="1995"/>
      <c r="C935" s="9" t="s">
        <v>3619</v>
      </c>
      <c r="D935" s="1078"/>
      <c r="E935" s="9">
        <v>521356</v>
      </c>
      <c r="F935" s="9">
        <v>237329</v>
      </c>
      <c r="G935" s="9">
        <v>758685</v>
      </c>
    </row>
    <row r="936" spans="1:7">
      <c r="A936" s="616"/>
      <c r="B936" s="1995"/>
      <c r="C936" s="9" t="s">
        <v>3620</v>
      </c>
      <c r="D936" s="1078"/>
      <c r="E936" s="9">
        <v>268080</v>
      </c>
      <c r="F936" s="9">
        <v>114539</v>
      </c>
      <c r="G936" s="9">
        <v>382619</v>
      </c>
    </row>
    <row r="937" spans="1:7">
      <c r="A937" s="616"/>
      <c r="B937" s="1995"/>
      <c r="C937" s="9" t="s">
        <v>3621</v>
      </c>
      <c r="D937" s="1078"/>
      <c r="E937" s="9">
        <v>191760</v>
      </c>
      <c r="F937" s="9">
        <v>91080</v>
      </c>
      <c r="G937" s="9">
        <v>282840</v>
      </c>
    </row>
    <row r="938" spans="1:7">
      <c r="A938" s="616"/>
      <c r="B938" s="1995"/>
      <c r="C938" s="9" t="s">
        <v>3622</v>
      </c>
      <c r="D938" s="1078"/>
      <c r="E938" s="9">
        <v>46560</v>
      </c>
      <c r="F938" s="9">
        <v>23520</v>
      </c>
      <c r="G938" s="9">
        <v>70080</v>
      </c>
    </row>
    <row r="939" spans="1:7">
      <c r="A939" s="616"/>
      <c r="B939" s="1995"/>
      <c r="C939" s="9" t="s">
        <v>3623</v>
      </c>
      <c r="D939" s="1078"/>
      <c r="E939" s="9">
        <v>37080</v>
      </c>
      <c r="F939" s="9">
        <v>19320</v>
      </c>
      <c r="G939" s="9">
        <v>56400</v>
      </c>
    </row>
    <row r="940" spans="1:7">
      <c r="A940" s="616"/>
      <c r="B940" s="1995"/>
      <c r="C940" s="11" t="s">
        <v>239</v>
      </c>
      <c r="D940" s="1078"/>
      <c r="E940" s="11">
        <f>SUM(E928:E939)</f>
        <v>1709506</v>
      </c>
      <c r="F940" s="11">
        <f>SUM(F928:F939)</f>
        <v>842776</v>
      </c>
      <c r="G940" s="11">
        <f>SUM(G928:G939)</f>
        <v>2552282</v>
      </c>
    </row>
    <row r="941" spans="1:7">
      <c r="A941" s="616">
        <v>622000000084</v>
      </c>
      <c r="B941" s="1994">
        <v>72</v>
      </c>
      <c r="C941" s="11" t="s">
        <v>3520</v>
      </c>
      <c r="D941" s="1078" t="s">
        <v>259</v>
      </c>
      <c r="E941" s="9"/>
      <c r="F941" s="9"/>
      <c r="G941" s="9"/>
    </row>
    <row r="942" spans="1:7">
      <c r="A942" s="616"/>
      <c r="B942" s="1995"/>
      <c r="C942" s="9" t="s">
        <v>3612</v>
      </c>
      <c r="D942" s="1078"/>
      <c r="E942" s="9">
        <v>495</v>
      </c>
      <c r="F942" s="9">
        <v>120</v>
      </c>
      <c r="G942" s="9">
        <v>615</v>
      </c>
    </row>
    <row r="943" spans="1:7">
      <c r="A943" s="616"/>
      <c r="B943" s="1995"/>
      <c r="C943" s="9" t="s">
        <v>3613</v>
      </c>
      <c r="D943" s="1078"/>
      <c r="E943" s="9">
        <v>3315</v>
      </c>
      <c r="F943" s="9">
        <v>90</v>
      </c>
      <c r="G943" s="9">
        <v>3405</v>
      </c>
    </row>
    <row r="944" spans="1:7">
      <c r="A944" s="616"/>
      <c r="B944" s="1995"/>
      <c r="C944" s="9" t="s">
        <v>3614</v>
      </c>
      <c r="D944" s="1078"/>
      <c r="E944" s="9">
        <v>5790</v>
      </c>
      <c r="F944" s="9">
        <v>420</v>
      </c>
      <c r="G944" s="9">
        <v>6210</v>
      </c>
    </row>
    <row r="945" spans="1:7">
      <c r="A945" s="616"/>
      <c r="B945" s="1995"/>
      <c r="C945" s="9" t="s">
        <v>3709</v>
      </c>
      <c r="D945" s="1078"/>
      <c r="E945" s="9">
        <v>480</v>
      </c>
      <c r="F945" s="9">
        <v>840</v>
      </c>
      <c r="G945" s="9">
        <v>1320</v>
      </c>
    </row>
    <row r="946" spans="1:7">
      <c r="A946" s="616"/>
      <c r="B946" s="1995"/>
      <c r="C946" s="9" t="s">
        <v>3616</v>
      </c>
      <c r="D946" s="1078"/>
      <c r="E946" s="9">
        <v>1605</v>
      </c>
      <c r="F946" s="9">
        <v>270</v>
      </c>
      <c r="G946" s="9">
        <v>1875</v>
      </c>
    </row>
    <row r="947" spans="1:7">
      <c r="A947" s="616"/>
      <c r="B947" s="1995"/>
      <c r="C947" s="9" t="s">
        <v>3617</v>
      </c>
      <c r="D947" s="1078"/>
      <c r="E947" s="9">
        <v>285</v>
      </c>
      <c r="F947" s="9">
        <v>240</v>
      </c>
      <c r="G947" s="9">
        <v>525</v>
      </c>
    </row>
    <row r="948" spans="1:7">
      <c r="A948" s="616"/>
      <c r="B948" s="1995"/>
      <c r="C948" s="9" t="s">
        <v>3618</v>
      </c>
      <c r="D948" s="1078"/>
      <c r="E948" s="9">
        <v>1755</v>
      </c>
      <c r="F948" s="9">
        <v>525</v>
      </c>
      <c r="G948" s="9">
        <v>2280</v>
      </c>
    </row>
    <row r="949" spans="1:7">
      <c r="A949" s="616"/>
      <c r="B949" s="1995"/>
      <c r="C949" s="9" t="s">
        <v>3619</v>
      </c>
      <c r="D949" s="1078"/>
      <c r="E949" s="9">
        <v>1680</v>
      </c>
      <c r="F949" s="9">
        <v>180</v>
      </c>
      <c r="G949" s="9">
        <v>1860</v>
      </c>
    </row>
    <row r="950" spans="1:7">
      <c r="A950" s="616"/>
      <c r="B950" s="1995"/>
      <c r="C950" s="9" t="s">
        <v>3620</v>
      </c>
      <c r="D950" s="1078"/>
      <c r="E950" s="9">
        <v>900</v>
      </c>
      <c r="F950" s="9">
        <v>0</v>
      </c>
      <c r="G950" s="9">
        <v>900</v>
      </c>
    </row>
    <row r="951" spans="1:7">
      <c r="A951" s="616"/>
      <c r="B951" s="1995"/>
      <c r="C951" s="9" t="s">
        <v>3621</v>
      </c>
      <c r="D951" s="1078"/>
      <c r="E951" s="9">
        <v>43860</v>
      </c>
      <c r="F951" s="9">
        <v>27120</v>
      </c>
      <c r="G951" s="9">
        <v>70980</v>
      </c>
    </row>
    <row r="952" spans="1:7">
      <c r="A952" s="616"/>
      <c r="B952" s="1995"/>
      <c r="C952" s="9" t="s">
        <v>3622</v>
      </c>
      <c r="D952" s="1078"/>
      <c r="E952" s="9">
        <v>300</v>
      </c>
      <c r="F952" s="9">
        <v>60</v>
      </c>
      <c r="G952" s="9">
        <v>360</v>
      </c>
    </row>
    <row r="953" spans="1:7">
      <c r="A953" s="616"/>
      <c r="B953" s="1995"/>
      <c r="C953" s="9" t="s">
        <v>3623</v>
      </c>
      <c r="D953" s="1078"/>
      <c r="E953" s="9">
        <v>180</v>
      </c>
      <c r="F953" s="9">
        <v>0</v>
      </c>
      <c r="G953" s="9">
        <v>180</v>
      </c>
    </row>
    <row r="954" spans="1:7">
      <c r="A954" s="616"/>
      <c r="B954" s="1995"/>
      <c r="C954" s="11" t="s">
        <v>239</v>
      </c>
      <c r="D954" s="1078"/>
      <c r="E954" s="11">
        <f>SUM(E942:E953)</f>
        <v>60645</v>
      </c>
      <c r="F954" s="11">
        <f>SUM(F942:F953)</f>
        <v>29865</v>
      </c>
      <c r="G954" s="11">
        <f>SUM(G942:G953)</f>
        <v>90510</v>
      </c>
    </row>
    <row r="955" spans="1:7">
      <c r="A955" s="616">
        <v>622000000111</v>
      </c>
      <c r="B955" s="1994">
        <v>73</v>
      </c>
      <c r="C955" s="11" t="s">
        <v>3519</v>
      </c>
      <c r="D955" s="1078" t="s">
        <v>259</v>
      </c>
      <c r="E955" s="9"/>
      <c r="F955" s="9"/>
      <c r="G955" s="9"/>
    </row>
    <row r="956" spans="1:7">
      <c r="A956" s="616"/>
      <c r="B956" s="1995"/>
      <c r="C956" s="9" t="s">
        <v>3612</v>
      </c>
      <c r="D956" s="1078"/>
      <c r="E956" s="9">
        <v>0</v>
      </c>
      <c r="F956" s="9">
        <v>0</v>
      </c>
      <c r="G956" s="9">
        <v>0</v>
      </c>
    </row>
    <row r="957" spans="1:7">
      <c r="A957" s="616"/>
      <c r="B957" s="1995"/>
      <c r="C957" s="9" t="s">
        <v>3613</v>
      </c>
      <c r="D957" s="1078"/>
      <c r="E957" s="9">
        <v>120</v>
      </c>
      <c r="F957" s="9">
        <v>0</v>
      </c>
      <c r="G957" s="9">
        <v>120</v>
      </c>
    </row>
    <row r="958" spans="1:7">
      <c r="A958" s="616"/>
      <c r="B958" s="1995"/>
      <c r="C958" s="9" t="s">
        <v>3614</v>
      </c>
      <c r="D958" s="1078"/>
      <c r="E958" s="9">
        <v>480</v>
      </c>
      <c r="F958" s="9">
        <v>0</v>
      </c>
      <c r="G958" s="9">
        <v>480</v>
      </c>
    </row>
    <row r="959" spans="1:7">
      <c r="A959" s="616"/>
      <c r="B959" s="1995"/>
      <c r="C959" s="9" t="s">
        <v>3709</v>
      </c>
      <c r="D959" s="1078"/>
      <c r="E959" s="9">
        <v>0</v>
      </c>
      <c r="F959" s="9">
        <v>0</v>
      </c>
      <c r="G959" s="9">
        <v>0</v>
      </c>
    </row>
    <row r="960" spans="1:7">
      <c r="A960" s="616"/>
      <c r="B960" s="1995"/>
      <c r="C960" s="9" t="s">
        <v>3616</v>
      </c>
      <c r="D960" s="1078"/>
      <c r="E960" s="9">
        <v>0</v>
      </c>
      <c r="F960" s="9">
        <v>0</v>
      </c>
      <c r="G960" s="9">
        <v>0</v>
      </c>
    </row>
    <row r="961" spans="1:7">
      <c r="A961" s="616"/>
      <c r="B961" s="1995"/>
      <c r="C961" s="9" t="s">
        <v>3617</v>
      </c>
      <c r="D961" s="1078"/>
      <c r="E961" s="9">
        <v>0</v>
      </c>
      <c r="F961" s="9">
        <v>0</v>
      </c>
      <c r="G961" s="9">
        <v>0</v>
      </c>
    </row>
    <row r="962" spans="1:7">
      <c r="A962" s="616"/>
      <c r="B962" s="1995"/>
      <c r="C962" s="9" t="s">
        <v>3618</v>
      </c>
      <c r="D962" s="1078"/>
      <c r="E962" s="9">
        <v>0</v>
      </c>
      <c r="F962" s="9">
        <v>0</v>
      </c>
      <c r="G962" s="9">
        <v>0</v>
      </c>
    </row>
    <row r="963" spans="1:7">
      <c r="A963" s="616"/>
      <c r="B963" s="1995"/>
      <c r="C963" s="9" t="s">
        <v>3619</v>
      </c>
      <c r="D963" s="1078"/>
      <c r="E963" s="9">
        <v>38520</v>
      </c>
      <c r="F963" s="9">
        <v>720</v>
      </c>
      <c r="G963" s="9">
        <v>39240</v>
      </c>
    </row>
    <row r="964" spans="1:7">
      <c r="A964" s="616"/>
      <c r="B964" s="1995"/>
      <c r="C964" s="9" t="s">
        <v>3620</v>
      </c>
      <c r="D964" s="1078"/>
      <c r="E964" s="9">
        <v>2160</v>
      </c>
      <c r="F964" s="9">
        <v>3840</v>
      </c>
      <c r="G964" s="9">
        <v>6000</v>
      </c>
    </row>
    <row r="965" spans="1:7">
      <c r="A965" s="616"/>
      <c r="B965" s="1995"/>
      <c r="C965" s="9" t="s">
        <v>3621</v>
      </c>
      <c r="D965" s="1078"/>
      <c r="E965" s="9">
        <v>0</v>
      </c>
      <c r="F965" s="9">
        <v>120</v>
      </c>
      <c r="G965" s="9">
        <v>120</v>
      </c>
    </row>
    <row r="966" spans="1:7">
      <c r="A966" s="616"/>
      <c r="B966" s="1995"/>
      <c r="C966" s="9" t="s">
        <v>3622</v>
      </c>
      <c r="D966" s="1078"/>
      <c r="E966" s="9">
        <v>0</v>
      </c>
      <c r="F966" s="9">
        <v>0</v>
      </c>
      <c r="G966" s="9">
        <v>0</v>
      </c>
    </row>
    <row r="967" spans="1:7">
      <c r="A967" s="616"/>
      <c r="B967" s="1995"/>
      <c r="C967" s="9" t="s">
        <v>3623</v>
      </c>
      <c r="D967" s="1078"/>
      <c r="E967" s="9">
        <v>4440</v>
      </c>
      <c r="F967" s="9">
        <v>240</v>
      </c>
      <c r="G967" s="9">
        <v>4680</v>
      </c>
    </row>
    <row r="968" spans="1:7">
      <c r="A968" s="616"/>
      <c r="B968" s="1995"/>
      <c r="C968" s="11" t="s">
        <v>239</v>
      </c>
      <c r="D968" s="1078"/>
      <c r="E968" s="11">
        <f>SUM(E956:E967)</f>
        <v>45720</v>
      </c>
      <c r="F968" s="11">
        <f>SUM(F956:F967)</f>
        <v>4920</v>
      </c>
      <c r="G968" s="11">
        <f>SUM(G956:G967)</f>
        <v>50640</v>
      </c>
    </row>
    <row r="969" spans="1:7">
      <c r="A969" s="616">
        <v>622000000129</v>
      </c>
      <c r="B969" s="1994">
        <v>74</v>
      </c>
      <c r="C969" s="11" t="s">
        <v>3424</v>
      </c>
      <c r="D969" s="1078" t="s">
        <v>259</v>
      </c>
      <c r="E969" s="9"/>
      <c r="F969" s="9"/>
      <c r="G969" s="9"/>
    </row>
    <row r="970" spans="1:7">
      <c r="A970" s="616"/>
      <c r="B970" s="1995"/>
      <c r="C970" s="9" t="s">
        <v>3612</v>
      </c>
      <c r="D970" s="1078"/>
      <c r="E970" s="9">
        <v>152424</v>
      </c>
      <c r="F970" s="9">
        <v>86481</v>
      </c>
      <c r="G970" s="9">
        <v>238905</v>
      </c>
    </row>
    <row r="971" spans="1:7">
      <c r="A971" s="616"/>
      <c r="B971" s="1995"/>
      <c r="C971" s="9" t="s">
        <v>3613</v>
      </c>
      <c r="D971" s="1078"/>
      <c r="E971" s="9">
        <v>222669</v>
      </c>
      <c r="F971" s="9">
        <v>126720</v>
      </c>
      <c r="G971" s="9">
        <v>349389</v>
      </c>
    </row>
    <row r="972" spans="1:7">
      <c r="A972" s="616"/>
      <c r="B972" s="1995"/>
      <c r="C972" s="9" t="s">
        <v>3614</v>
      </c>
      <c r="D972" s="1078"/>
      <c r="E972" s="9">
        <v>180495</v>
      </c>
      <c r="F972" s="9">
        <v>107100</v>
      </c>
      <c r="G972" s="9">
        <v>287595</v>
      </c>
    </row>
    <row r="973" spans="1:7">
      <c r="A973" s="616"/>
      <c r="B973" s="1995"/>
      <c r="C973" s="9" t="s">
        <v>3709</v>
      </c>
      <c r="D973" s="1078"/>
      <c r="E973" s="9">
        <v>109854</v>
      </c>
      <c r="F973" s="9">
        <v>70767</v>
      </c>
      <c r="G973" s="9">
        <v>180621</v>
      </c>
    </row>
    <row r="974" spans="1:7">
      <c r="A974" s="616"/>
      <c r="B974" s="1995"/>
      <c r="C974" s="9" t="s">
        <v>3616</v>
      </c>
      <c r="D974" s="1078"/>
      <c r="E974" s="9">
        <v>102159</v>
      </c>
      <c r="F974" s="9">
        <v>65880</v>
      </c>
      <c r="G974" s="9">
        <v>168039</v>
      </c>
    </row>
    <row r="975" spans="1:7">
      <c r="A975" s="616"/>
      <c r="B975" s="1995"/>
      <c r="C975" s="9" t="s">
        <v>3617</v>
      </c>
      <c r="D975" s="1078"/>
      <c r="E975" s="9">
        <v>252371</v>
      </c>
      <c r="F975" s="9">
        <v>84744</v>
      </c>
      <c r="G975" s="9">
        <v>337115</v>
      </c>
    </row>
    <row r="976" spans="1:7">
      <c r="A976" s="616"/>
      <c r="B976" s="1995"/>
      <c r="C976" s="9" t="s">
        <v>3618</v>
      </c>
      <c r="D976" s="1078"/>
      <c r="E976" s="9">
        <v>162569</v>
      </c>
      <c r="F976" s="9">
        <v>99113</v>
      </c>
      <c r="G976" s="9">
        <v>261682</v>
      </c>
    </row>
    <row r="977" spans="1:7">
      <c r="A977" s="616"/>
      <c r="B977" s="1995"/>
      <c r="C977" s="9" t="s">
        <v>3619</v>
      </c>
      <c r="D977" s="1078"/>
      <c r="E977" s="9">
        <v>233633</v>
      </c>
      <c r="F977" s="9">
        <v>143100</v>
      </c>
      <c r="G977" s="9">
        <v>376733</v>
      </c>
    </row>
    <row r="978" spans="1:7">
      <c r="A978" s="616"/>
      <c r="B978" s="1995"/>
      <c r="C978" s="9" t="s">
        <v>3620</v>
      </c>
      <c r="D978" s="1078"/>
      <c r="E978" s="9">
        <v>232711</v>
      </c>
      <c r="F978" s="9">
        <v>144517</v>
      </c>
      <c r="G978" s="9">
        <v>377228</v>
      </c>
    </row>
    <row r="979" spans="1:7">
      <c r="A979" s="616"/>
      <c r="B979" s="1995"/>
      <c r="C979" s="9" t="s">
        <v>3621</v>
      </c>
      <c r="D979" s="1078"/>
      <c r="E979" s="9">
        <v>193673</v>
      </c>
      <c r="F979" s="9">
        <v>121717</v>
      </c>
      <c r="G979" s="9">
        <v>315390</v>
      </c>
    </row>
    <row r="980" spans="1:7">
      <c r="A980" s="616"/>
      <c r="B980" s="1995"/>
      <c r="C980" s="9" t="s">
        <v>3622</v>
      </c>
      <c r="D980" s="1078"/>
      <c r="E980" s="9">
        <v>229755</v>
      </c>
      <c r="F980" s="9">
        <v>143445</v>
      </c>
      <c r="G980" s="9">
        <v>373200</v>
      </c>
    </row>
    <row r="981" spans="1:7">
      <c r="A981" s="616"/>
      <c r="B981" s="1995"/>
      <c r="C981" s="9" t="s">
        <v>3623</v>
      </c>
      <c r="D981" s="1078"/>
      <c r="E981" s="9">
        <v>224504</v>
      </c>
      <c r="F981" s="9">
        <v>124508</v>
      </c>
      <c r="G981" s="9">
        <v>349012</v>
      </c>
    </row>
    <row r="982" spans="1:7">
      <c r="A982" s="616"/>
      <c r="B982" s="1995"/>
      <c r="C982" s="11" t="s">
        <v>239</v>
      </c>
      <c r="D982" s="1078"/>
      <c r="E982" s="11">
        <f>SUM(E970:E981)</f>
        <v>2296817</v>
      </c>
      <c r="F982" s="11">
        <f>SUM(F970:F981)</f>
        <v>1318092</v>
      </c>
      <c r="G982" s="11">
        <f>SUM(G970:G981)</f>
        <v>3614909</v>
      </c>
    </row>
    <row r="983" spans="1:7">
      <c r="A983" s="616">
        <v>622000000159</v>
      </c>
      <c r="B983" s="1994">
        <v>75</v>
      </c>
      <c r="C983" s="11" t="s">
        <v>3528</v>
      </c>
      <c r="D983" s="1078" t="s">
        <v>271</v>
      </c>
      <c r="E983" s="9"/>
      <c r="F983" s="9"/>
      <c r="G983" s="9"/>
    </row>
    <row r="984" spans="1:7">
      <c r="A984" s="616"/>
      <c r="B984" s="1995"/>
      <c r="C984" s="9" t="s">
        <v>3612</v>
      </c>
      <c r="D984" s="1078"/>
      <c r="E984" s="9">
        <v>3001200</v>
      </c>
      <c r="F984" s="9">
        <v>1474800</v>
      </c>
      <c r="G984" s="9">
        <v>4476000</v>
      </c>
    </row>
    <row r="985" spans="1:7">
      <c r="A985" s="616"/>
      <c r="B985" s="1995"/>
      <c r="C985" s="9" t="s">
        <v>3613</v>
      </c>
      <c r="D985" s="1078"/>
      <c r="E985" s="9">
        <v>3100800</v>
      </c>
      <c r="F985" s="9">
        <v>1472880</v>
      </c>
      <c r="G985" s="9">
        <v>4573680</v>
      </c>
    </row>
    <row r="986" spans="1:7">
      <c r="A986" s="616"/>
      <c r="B986" s="1995"/>
      <c r="C986" s="9" t="s">
        <v>3614</v>
      </c>
      <c r="D986" s="1078"/>
      <c r="E986" s="9">
        <v>2692320</v>
      </c>
      <c r="F986" s="9">
        <v>1231200</v>
      </c>
      <c r="G986" s="9">
        <v>3923520</v>
      </c>
    </row>
    <row r="987" spans="1:7">
      <c r="A987" s="616"/>
      <c r="B987" s="1995"/>
      <c r="C987" s="9" t="s">
        <v>3709</v>
      </c>
      <c r="D987" s="1078"/>
      <c r="E987" s="9">
        <v>3215280</v>
      </c>
      <c r="F987" s="9">
        <v>1385280</v>
      </c>
      <c r="G987" s="9">
        <v>4600560</v>
      </c>
    </row>
    <row r="988" spans="1:7">
      <c r="A988" s="616"/>
      <c r="B988" s="1995"/>
      <c r="C988" s="9" t="s">
        <v>3616</v>
      </c>
      <c r="D988" s="1078"/>
      <c r="E988" s="9">
        <v>3430560</v>
      </c>
      <c r="F988" s="9">
        <v>1617120</v>
      </c>
      <c r="G988" s="9">
        <v>5047680</v>
      </c>
    </row>
    <row r="989" spans="1:7">
      <c r="A989" s="616"/>
      <c r="B989" s="1995"/>
      <c r="C989" s="9" t="s">
        <v>3617</v>
      </c>
      <c r="D989" s="1078"/>
      <c r="E989" s="9">
        <v>2905200</v>
      </c>
      <c r="F989" s="9">
        <v>1471440</v>
      </c>
      <c r="G989" s="9">
        <v>4376640</v>
      </c>
    </row>
    <row r="990" spans="1:7">
      <c r="A990" s="616"/>
      <c r="B990" s="1995"/>
      <c r="C990" s="9" t="s">
        <v>3618</v>
      </c>
      <c r="D990" s="1078"/>
      <c r="E990" s="9">
        <v>3500880</v>
      </c>
      <c r="F990" s="9">
        <v>1709280</v>
      </c>
      <c r="G990" s="9">
        <v>5210160</v>
      </c>
    </row>
    <row r="991" spans="1:7">
      <c r="A991" s="616"/>
      <c r="B991" s="1995"/>
      <c r="C991" s="9" t="s">
        <v>3619</v>
      </c>
      <c r="D991" s="1078"/>
      <c r="E991" s="9">
        <v>3211440</v>
      </c>
      <c r="F991" s="9">
        <v>1580400</v>
      </c>
      <c r="G991" s="9">
        <v>4791840</v>
      </c>
    </row>
    <row r="992" spans="1:7">
      <c r="A992" s="616"/>
      <c r="B992" s="1995"/>
      <c r="C992" s="9" t="s">
        <v>3620</v>
      </c>
      <c r="D992" s="1078"/>
      <c r="E992" s="9">
        <v>3082080</v>
      </c>
      <c r="F992" s="9">
        <v>1450080</v>
      </c>
      <c r="G992" s="9">
        <v>4532160</v>
      </c>
    </row>
    <row r="993" spans="1:7">
      <c r="A993" s="616"/>
      <c r="B993" s="1995"/>
      <c r="C993" s="9" t="s">
        <v>3621</v>
      </c>
      <c r="D993" s="1078"/>
      <c r="E993" s="9">
        <v>2976480</v>
      </c>
      <c r="F993" s="9">
        <v>1395840</v>
      </c>
      <c r="G993" s="9">
        <v>4372320</v>
      </c>
    </row>
    <row r="994" spans="1:7">
      <c r="A994" s="616"/>
      <c r="B994" s="1995"/>
      <c r="C994" s="9" t="s">
        <v>3622</v>
      </c>
      <c r="D994" s="1078"/>
      <c r="E994" s="9">
        <v>2676480</v>
      </c>
      <c r="F994" s="9">
        <v>1338960</v>
      </c>
      <c r="G994" s="9">
        <v>4015440</v>
      </c>
    </row>
    <row r="995" spans="1:7">
      <c r="A995" s="616"/>
      <c r="B995" s="1995"/>
      <c r="C995" s="9" t="s">
        <v>3623</v>
      </c>
      <c r="D995" s="1078"/>
      <c r="E995" s="9">
        <v>3361920</v>
      </c>
      <c r="F995" s="9">
        <v>1493760</v>
      </c>
      <c r="G995" s="9">
        <v>4855680</v>
      </c>
    </row>
    <row r="996" spans="1:7">
      <c r="A996" s="616"/>
      <c r="B996" s="1995"/>
      <c r="C996" s="11" t="s">
        <v>239</v>
      </c>
      <c r="D996" s="1078"/>
      <c r="E996" s="11">
        <f>SUM(E984:E995)</f>
        <v>37154640</v>
      </c>
      <c r="F996" s="11">
        <f>SUM(F984:F995)</f>
        <v>17621040</v>
      </c>
      <c r="G996" s="11">
        <f>SUM(G984:G995)</f>
        <v>54775680</v>
      </c>
    </row>
    <row r="997" spans="1:7" ht="18.75">
      <c r="A997" s="616">
        <v>622000000170</v>
      </c>
      <c r="G997" s="983" t="s">
        <v>3712</v>
      </c>
    </row>
    <row r="998" spans="1:7" ht="15">
      <c r="A998" s="616"/>
      <c r="C998" s="985" t="s">
        <v>2894</v>
      </c>
      <c r="D998" s="1989"/>
      <c r="E998" s="984"/>
      <c r="F998" s="984"/>
    </row>
    <row r="999" spans="1:7" ht="31.5">
      <c r="A999" s="616"/>
      <c r="C999" s="1990" t="s">
        <v>3713</v>
      </c>
      <c r="D999" s="1990"/>
      <c r="E999" s="1990"/>
      <c r="F999" s="1990"/>
      <c r="G999" s="1990"/>
    </row>
    <row r="1000" spans="1:7" ht="15.75">
      <c r="A1000" s="616"/>
      <c r="C1000" s="1991"/>
      <c r="D1000" s="1796"/>
      <c r="E1000" s="1991"/>
      <c r="F1000" s="1991"/>
      <c r="G1000" s="1991"/>
    </row>
    <row r="1001" spans="1:7" ht="15.75">
      <c r="A1001" s="616"/>
      <c r="C1001" s="1992" t="s">
        <v>3704</v>
      </c>
      <c r="D1001" s="1991"/>
      <c r="E1001" s="1991"/>
      <c r="F1001" s="1991"/>
      <c r="G1001" s="1991"/>
    </row>
    <row r="1002" spans="1:7" ht="15.75">
      <c r="A1002" s="616"/>
      <c r="C1002" s="1991"/>
      <c r="D1002" s="1796"/>
      <c r="E1002" s="1991"/>
      <c r="F1002" s="1991"/>
      <c r="G1002" s="1991"/>
    </row>
    <row r="1003" spans="1:7" ht="94.5">
      <c r="A1003" s="616"/>
      <c r="B1003" s="1993" t="s">
        <v>376</v>
      </c>
      <c r="C1003" s="1162" t="s">
        <v>3625</v>
      </c>
      <c r="D1003" s="1162" t="s">
        <v>3705</v>
      </c>
      <c r="E1003" s="1163" t="s">
        <v>3706</v>
      </c>
      <c r="F1003" s="1164" t="s">
        <v>3707</v>
      </c>
      <c r="G1003" s="1164" t="s">
        <v>3708</v>
      </c>
    </row>
    <row r="1004" spans="1:7">
      <c r="A1004" s="616"/>
      <c r="B1004" s="1994">
        <v>75.895595945165994</v>
      </c>
      <c r="C1004" s="11" t="s">
        <v>3527</v>
      </c>
      <c r="D1004" s="1078" t="s">
        <v>271</v>
      </c>
      <c r="E1004" s="9"/>
      <c r="F1004" s="9"/>
      <c r="G1004" s="9"/>
    </row>
    <row r="1005" spans="1:7">
      <c r="A1005" s="616"/>
      <c r="B1005" s="1995">
        <v>75.972239412412094</v>
      </c>
      <c r="C1005" s="9" t="s">
        <v>3651</v>
      </c>
      <c r="D1005" s="1078"/>
      <c r="E1005" s="9">
        <v>3885745.4545454499</v>
      </c>
      <c r="F1005" s="9">
        <v>1241527.2727272699</v>
      </c>
      <c r="G1005" s="9">
        <v>5127272.7272727303</v>
      </c>
    </row>
    <row r="1006" spans="1:7">
      <c r="A1006" s="616"/>
      <c r="B1006" s="1995">
        <v>76.048882879658194</v>
      </c>
      <c r="C1006" s="9" t="s">
        <v>3652</v>
      </c>
      <c r="D1006" s="1078"/>
      <c r="E1006" s="9">
        <v>3892198.6013985998</v>
      </c>
      <c r="F1006" s="9">
        <v>1242039.16083916</v>
      </c>
      <c r="G1006" s="9">
        <v>5134237.7622377602</v>
      </c>
    </row>
    <row r="1007" spans="1:7">
      <c r="A1007" s="616"/>
      <c r="B1007" s="1995">
        <v>76.125526346904294</v>
      </c>
      <c r="C1007" s="9" t="s">
        <v>3653</v>
      </c>
      <c r="D1007" s="1078"/>
      <c r="E1007" s="9">
        <v>3898651.7482517501</v>
      </c>
      <c r="F1007" s="9">
        <v>1242551.04895105</v>
      </c>
      <c r="G1007" s="9">
        <v>5141202.7972028004</v>
      </c>
    </row>
    <row r="1008" spans="1:7">
      <c r="A1008" s="616"/>
      <c r="B1008" s="1995">
        <v>76.202169814150395</v>
      </c>
      <c r="C1008" s="9" t="s">
        <v>3714</v>
      </c>
      <c r="D1008" s="1078"/>
      <c r="E1008" s="9">
        <v>3905104.8951049</v>
      </c>
      <c r="F1008" s="9">
        <v>1243062.9370629401</v>
      </c>
      <c r="G1008" s="9">
        <v>5148167.8321678303</v>
      </c>
    </row>
    <row r="1009" spans="1:7">
      <c r="A1009" s="616"/>
      <c r="B1009" s="1995">
        <v>76.278813281396495</v>
      </c>
      <c r="C1009" s="9" t="s">
        <v>3655</v>
      </c>
      <c r="D1009" s="1078"/>
      <c r="E1009" s="9">
        <v>3911558.0419580401</v>
      </c>
      <c r="F1009" s="9">
        <v>1243574.8251748299</v>
      </c>
      <c r="G1009" s="9">
        <v>5155132.8671328695</v>
      </c>
    </row>
    <row r="1010" spans="1:7">
      <c r="A1010" s="616"/>
      <c r="B1010" s="1995">
        <v>76.355456748642595</v>
      </c>
      <c r="C1010" s="9" t="s">
        <v>3656</v>
      </c>
      <c r="D1010" s="1078"/>
      <c r="E1010" s="9">
        <v>3918011.18881119</v>
      </c>
      <c r="F1010" s="9">
        <v>1244086.71328671</v>
      </c>
      <c r="G1010" s="9">
        <v>5162097.9020979004</v>
      </c>
    </row>
    <row r="1011" spans="1:7">
      <c r="A1011" s="616">
        <v>622000000171</v>
      </c>
      <c r="B1011" s="1995">
        <v>76.432100215888696</v>
      </c>
      <c r="C1011" s="9" t="s">
        <v>3657</v>
      </c>
      <c r="D1011" s="1078"/>
      <c r="E1011" s="9">
        <v>3924464.3356643398</v>
      </c>
      <c r="F1011" s="9">
        <v>1244598.6013986</v>
      </c>
      <c r="G1011" s="9">
        <v>5169062.9370629396</v>
      </c>
    </row>
    <row r="1012" spans="1:7">
      <c r="A1012" s="616"/>
      <c r="B1012" s="1995">
        <v>76.508743683134895</v>
      </c>
      <c r="C1012" s="9" t="s">
        <v>3715</v>
      </c>
      <c r="D1012" s="1078"/>
      <c r="E1012" s="9">
        <v>3930917.4825174799</v>
      </c>
      <c r="F1012" s="9">
        <v>1245110.4895104901</v>
      </c>
      <c r="G1012" s="9">
        <v>5176027.9720279695</v>
      </c>
    </row>
    <row r="1013" spans="1:7">
      <c r="A1013" s="616"/>
      <c r="B1013" s="1995">
        <v>76.585387150380996</v>
      </c>
      <c r="C1013" s="9" t="s">
        <v>3716</v>
      </c>
      <c r="D1013" s="1078"/>
      <c r="E1013" s="9">
        <v>3937370.6293706298</v>
      </c>
      <c r="F1013" s="9">
        <v>1245622.3776223799</v>
      </c>
      <c r="G1013" s="9">
        <v>5182993.0069930097</v>
      </c>
    </row>
    <row r="1014" spans="1:7">
      <c r="A1014" s="616"/>
      <c r="B1014" s="1995">
        <v>76.662030617627096</v>
      </c>
      <c r="C1014" s="9" t="s">
        <v>3717</v>
      </c>
      <c r="D1014" s="1078"/>
      <c r="E1014" s="9">
        <v>3943823.7762237801</v>
      </c>
      <c r="F1014" s="9">
        <v>1246134.26573427</v>
      </c>
      <c r="G1014" s="9">
        <v>5189958.0419580396</v>
      </c>
    </row>
    <row r="1015" spans="1:7">
      <c r="A1015" s="616"/>
      <c r="B1015" s="1995">
        <v>76.738674084873196</v>
      </c>
      <c r="C1015" s="9" t="s">
        <v>3718</v>
      </c>
      <c r="D1015" s="1078"/>
      <c r="E1015" s="9">
        <v>3950276.9230769202</v>
      </c>
      <c r="F1015" s="9">
        <v>1246646.15384615</v>
      </c>
      <c r="G1015" s="9">
        <v>5196923.0769230798</v>
      </c>
    </row>
    <row r="1016" spans="1:7">
      <c r="A1016" s="616"/>
      <c r="B1016" s="1995">
        <v>76.815317552119296</v>
      </c>
      <c r="C1016" s="9" t="s">
        <v>3719</v>
      </c>
      <c r="D1016" s="1078"/>
      <c r="E1016" s="9">
        <v>3956730.0699300701</v>
      </c>
      <c r="F1016" s="9">
        <v>1247158.0419580401</v>
      </c>
      <c r="G1016" s="9">
        <v>5203888.1118881097</v>
      </c>
    </row>
    <row r="1017" spans="1:7">
      <c r="A1017" s="616"/>
      <c r="B1017" s="1995">
        <v>76.891961019365397</v>
      </c>
      <c r="C1017" s="11" t="s">
        <v>239</v>
      </c>
      <c r="D1017" s="1078"/>
      <c r="E1017" s="11">
        <f>SUM(E1005:E1016)</f>
        <v>47054853.146853149</v>
      </c>
      <c r="F1017" s="11">
        <f>SUM(F1005:F1016)</f>
        <v>14932111.888111889</v>
      </c>
      <c r="G1017" s="11">
        <f>SUM(G1005:G1016)</f>
        <v>61986965.034965046</v>
      </c>
    </row>
    <row r="1018" spans="1:7">
      <c r="A1018" s="616"/>
      <c r="B1018" s="1994">
        <v>76.968604486611497</v>
      </c>
      <c r="C1018" s="11" t="s">
        <v>3526</v>
      </c>
      <c r="D1018" s="1078" t="s">
        <v>271</v>
      </c>
      <c r="E1018" s="9"/>
      <c r="F1018" s="9"/>
      <c r="G1018" s="9"/>
    </row>
    <row r="1019" spans="1:7">
      <c r="A1019" s="616"/>
      <c r="B1019" s="1995">
        <v>77.045247953857597</v>
      </c>
      <c r="C1019" s="9" t="s">
        <v>3651</v>
      </c>
      <c r="D1019" s="1078"/>
      <c r="E1019" s="9">
        <v>10375423.0606061</v>
      </c>
      <c r="F1019" s="9">
        <v>5445729.8030303102</v>
      </c>
      <c r="G1019" s="9">
        <v>15821152.863636401</v>
      </c>
    </row>
    <row r="1020" spans="1:7">
      <c r="A1020" s="616"/>
      <c r="B1020" s="1995">
        <v>77.121891421103697</v>
      </c>
      <c r="C1020" s="9" t="s">
        <v>3652</v>
      </c>
      <c r="D1020" s="1078"/>
      <c r="E1020" s="9">
        <v>10848589.172494199</v>
      </c>
      <c r="F1020" s="9">
        <v>5718748.7086247103</v>
      </c>
      <c r="G1020" s="9">
        <v>16567337.881118899</v>
      </c>
    </row>
    <row r="1021" spans="1:7">
      <c r="A1021" s="616"/>
      <c r="B1021" s="1995">
        <v>77.198534888349798</v>
      </c>
      <c r="C1021" s="9" t="s">
        <v>3653</v>
      </c>
      <c r="D1021" s="1078"/>
      <c r="E1021" s="9">
        <v>11321755.2843823</v>
      </c>
      <c r="F1021" s="9">
        <v>5991767.6142191198</v>
      </c>
      <c r="G1021" s="9">
        <v>17313522.898601402</v>
      </c>
    </row>
    <row r="1022" spans="1:7">
      <c r="A1022" s="616"/>
      <c r="B1022" s="1995">
        <v>77.275178355595898</v>
      </c>
      <c r="C1022" s="9" t="s">
        <v>3714</v>
      </c>
      <c r="D1022" s="1078"/>
      <c r="E1022" s="9">
        <v>11794921.3962704</v>
      </c>
      <c r="F1022" s="9">
        <v>6264786.5198135199</v>
      </c>
      <c r="G1022" s="9">
        <v>18059707.916083999</v>
      </c>
    </row>
    <row r="1023" spans="1:7">
      <c r="A1023" s="616"/>
      <c r="B1023" s="1995">
        <v>77.351821822841998</v>
      </c>
      <c r="C1023" s="9" t="s">
        <v>3655</v>
      </c>
      <c r="D1023" s="1078"/>
      <c r="E1023" s="9">
        <v>12268087.508158499</v>
      </c>
      <c r="F1023" s="9">
        <v>6537805.4254079303</v>
      </c>
      <c r="G1023" s="9">
        <v>18805892.9335665</v>
      </c>
    </row>
    <row r="1024" spans="1:7">
      <c r="A1024" s="616"/>
      <c r="B1024" s="1995">
        <v>77.428465290088198</v>
      </c>
      <c r="C1024" s="9" t="s">
        <v>3656</v>
      </c>
      <c r="D1024" s="1078"/>
      <c r="E1024" s="9">
        <v>12741253.620046601</v>
      </c>
      <c r="F1024" s="9">
        <v>6810824.3310023397</v>
      </c>
      <c r="G1024" s="9">
        <v>19552077.951049</v>
      </c>
    </row>
    <row r="1025" spans="1:7">
      <c r="A1025" s="616">
        <v>622000000172</v>
      </c>
      <c r="B1025" s="1995">
        <v>77.505108757334298</v>
      </c>
      <c r="C1025" s="9" t="s">
        <v>3657</v>
      </c>
      <c r="D1025" s="1078"/>
      <c r="E1025" s="9">
        <v>13214419.7319347</v>
      </c>
      <c r="F1025" s="9">
        <v>7083843.2365967399</v>
      </c>
      <c r="G1025" s="9">
        <v>20298262.968531501</v>
      </c>
    </row>
    <row r="1026" spans="1:7">
      <c r="A1026" s="616"/>
      <c r="B1026" s="1995">
        <v>77.581752224580399</v>
      </c>
      <c r="C1026" s="9" t="s">
        <v>3715</v>
      </c>
      <c r="D1026" s="1078"/>
      <c r="E1026" s="9">
        <v>13687585.8438228</v>
      </c>
      <c r="F1026" s="9">
        <v>7356862.1421911502</v>
      </c>
      <c r="G1026" s="9">
        <v>21044447.986014001</v>
      </c>
    </row>
    <row r="1027" spans="1:7">
      <c r="A1027" s="616"/>
      <c r="B1027" s="1995">
        <v>77.658395691826499</v>
      </c>
      <c r="C1027" s="9" t="s">
        <v>3716</v>
      </c>
      <c r="D1027" s="1078"/>
      <c r="E1027" s="9">
        <v>14160751.955711</v>
      </c>
      <c r="F1027" s="9">
        <v>7629881.0477855401</v>
      </c>
      <c r="G1027" s="9">
        <v>21790633.003496598</v>
      </c>
    </row>
    <row r="1028" spans="1:7">
      <c r="A1028" s="616"/>
      <c r="B1028" s="1995">
        <v>77.735039159072599</v>
      </c>
      <c r="C1028" s="9" t="s">
        <v>3717</v>
      </c>
      <c r="D1028" s="1078"/>
      <c r="E1028" s="9">
        <v>14633918.067599099</v>
      </c>
      <c r="F1028" s="9">
        <v>7902899.9533799598</v>
      </c>
      <c r="G1028" s="9">
        <v>22536818.020979099</v>
      </c>
    </row>
    <row r="1029" spans="1:7">
      <c r="A1029" s="616"/>
      <c r="B1029" s="1995">
        <v>77.811682626318699</v>
      </c>
      <c r="C1029" s="9" t="s">
        <v>3718</v>
      </c>
      <c r="D1029" s="1078"/>
      <c r="E1029" s="9">
        <v>15107084.1794872</v>
      </c>
      <c r="F1029" s="9">
        <v>8175918.8589743599</v>
      </c>
      <c r="G1029" s="9">
        <v>23283003.038461599</v>
      </c>
    </row>
    <row r="1030" spans="1:7">
      <c r="A1030" s="616"/>
      <c r="B1030" s="1995">
        <v>77.8883260935648</v>
      </c>
      <c r="C1030" s="9" t="s">
        <v>3719</v>
      </c>
      <c r="D1030" s="1078"/>
      <c r="E1030" s="9">
        <v>15580250.2913753</v>
      </c>
      <c r="F1030" s="9">
        <v>8448937.7645687591</v>
      </c>
      <c r="G1030" s="9">
        <v>24029188.0559441</v>
      </c>
    </row>
    <row r="1031" spans="1:7">
      <c r="A1031" s="616"/>
      <c r="B1031" s="1995">
        <v>77.9649695608109</v>
      </c>
      <c r="C1031" s="11" t="s">
        <v>239</v>
      </c>
      <c r="D1031" s="1078"/>
      <c r="E1031" s="11">
        <f>SUM(E1019:E1030)</f>
        <v>155734040.11188823</v>
      </c>
      <c r="F1031" s="11">
        <f>SUM(F1019:F1030)</f>
        <v>83368005.405594438</v>
      </c>
      <c r="G1031" s="11">
        <f>SUM(G1019:G1030)</f>
        <v>239102045.51748312</v>
      </c>
    </row>
    <row r="1032" spans="1:7">
      <c r="A1032" s="616"/>
      <c r="B1032" s="1994">
        <v>78.041613028057</v>
      </c>
      <c r="C1032" s="11" t="s">
        <v>531</v>
      </c>
      <c r="D1032" s="1078" t="s">
        <v>271</v>
      </c>
      <c r="E1032" s="9"/>
      <c r="F1032" s="9"/>
      <c r="G1032" s="9"/>
    </row>
    <row r="1033" spans="1:7">
      <c r="A1033" s="616"/>
      <c r="B1033" s="1995">
        <v>78.1182564953031</v>
      </c>
      <c r="C1033" s="9" t="s">
        <v>3651</v>
      </c>
      <c r="D1033" s="1078"/>
      <c r="E1033" s="9">
        <v>4869428.8030303</v>
      </c>
      <c r="F1033" s="9">
        <v>1520059.98484848</v>
      </c>
      <c r="G1033" s="9">
        <v>6389488.7878787899</v>
      </c>
    </row>
    <row r="1034" spans="1:7">
      <c r="A1034" s="616"/>
      <c r="B1034" s="1995">
        <v>78.194899962549201</v>
      </c>
      <c r="C1034" s="9" t="s">
        <v>3652</v>
      </c>
      <c r="D1034" s="1078"/>
      <c r="E1034" s="9">
        <v>4790999.5163170099</v>
      </c>
      <c r="F1034" s="9">
        <v>1479654.68764569</v>
      </c>
      <c r="G1034" s="9">
        <v>6270654.2039627098</v>
      </c>
    </row>
    <row r="1035" spans="1:7">
      <c r="A1035" s="616"/>
      <c r="B1035" s="1995">
        <v>78.271543429795301</v>
      </c>
      <c r="C1035" s="9" t="s">
        <v>3653</v>
      </c>
      <c r="D1035" s="1078"/>
      <c r="E1035" s="9">
        <v>4712570.2296037301</v>
      </c>
      <c r="F1035" s="9">
        <v>1439249.3904428901</v>
      </c>
      <c r="G1035" s="9">
        <v>6151819.6200466203</v>
      </c>
    </row>
    <row r="1036" spans="1:7">
      <c r="A1036" s="616"/>
      <c r="B1036" s="1995">
        <v>78.348186897041501</v>
      </c>
      <c r="C1036" s="9" t="s">
        <v>3714</v>
      </c>
      <c r="D1036" s="1078"/>
      <c r="E1036" s="9">
        <v>4634140.9428904401</v>
      </c>
      <c r="F1036" s="9">
        <v>1398844.0932400899</v>
      </c>
      <c r="G1036" s="9">
        <v>6032985.0361305298</v>
      </c>
    </row>
    <row r="1037" spans="1:7">
      <c r="A1037" s="616"/>
      <c r="B1037" s="1995">
        <v>78.424830364287601</v>
      </c>
      <c r="C1037" s="9" t="s">
        <v>3655</v>
      </c>
      <c r="D1037" s="1078"/>
      <c r="E1037" s="9">
        <v>4555711.6561771501</v>
      </c>
      <c r="F1037" s="9">
        <v>1358438.7960373</v>
      </c>
      <c r="G1037" s="9">
        <v>5914150.4522144599</v>
      </c>
    </row>
    <row r="1038" spans="1:7">
      <c r="A1038" s="616"/>
      <c r="B1038" s="1995">
        <v>78.501473831533701</v>
      </c>
      <c r="C1038" s="9" t="s">
        <v>3656</v>
      </c>
      <c r="D1038" s="1078"/>
      <c r="E1038" s="9">
        <v>4477282.3694638703</v>
      </c>
      <c r="F1038" s="9">
        <v>1318033.4988345001</v>
      </c>
      <c r="G1038" s="9">
        <v>5795315.8682983601</v>
      </c>
    </row>
    <row r="1039" spans="1:7">
      <c r="A1039" s="616">
        <v>622000000175</v>
      </c>
      <c r="B1039" s="1995">
        <v>78.578117298779802</v>
      </c>
      <c r="C1039" s="9" t="s">
        <v>3657</v>
      </c>
      <c r="D1039" s="1078"/>
      <c r="E1039" s="9">
        <v>4398853.0827505803</v>
      </c>
      <c r="F1039" s="9">
        <v>1277628.2016316999</v>
      </c>
      <c r="G1039" s="9">
        <v>5676481.2843822902</v>
      </c>
    </row>
    <row r="1040" spans="1:7">
      <c r="A1040" s="616"/>
      <c r="B1040" s="1995">
        <v>78.654760766025902</v>
      </c>
      <c r="C1040" s="9" t="s">
        <v>3715</v>
      </c>
      <c r="D1040" s="1078"/>
      <c r="E1040" s="9">
        <v>4320423.7960372902</v>
      </c>
      <c r="F1040" s="9">
        <v>1237222.9044289</v>
      </c>
      <c r="G1040" s="9">
        <v>5557646.7004661998</v>
      </c>
    </row>
    <row r="1041" spans="1:7">
      <c r="A1041" s="616"/>
      <c r="B1041" s="1995">
        <v>78.731404233272002</v>
      </c>
      <c r="C1041" s="9" t="s">
        <v>3716</v>
      </c>
      <c r="D1041" s="1078"/>
      <c r="E1041" s="9">
        <v>4241994.5093240105</v>
      </c>
      <c r="F1041" s="9">
        <v>1196817.6072261101</v>
      </c>
      <c r="G1041" s="9">
        <v>5438812.1165501103</v>
      </c>
    </row>
    <row r="1042" spans="1:7">
      <c r="A1042" s="616"/>
      <c r="B1042" s="1995">
        <v>78.808047700518102</v>
      </c>
      <c r="C1042" s="9" t="s">
        <v>3717</v>
      </c>
      <c r="D1042" s="1078"/>
      <c r="E1042" s="9">
        <v>4163565.22261072</v>
      </c>
      <c r="F1042" s="9">
        <v>1156412.3100233099</v>
      </c>
      <c r="G1042" s="9">
        <v>5319977.5326340301</v>
      </c>
    </row>
    <row r="1043" spans="1:7">
      <c r="A1043" s="616"/>
      <c r="B1043" s="1995">
        <v>78.884691167764203</v>
      </c>
      <c r="C1043" s="9" t="s">
        <v>3718</v>
      </c>
      <c r="D1043" s="1078"/>
      <c r="E1043" s="9">
        <v>4085135.9358974299</v>
      </c>
      <c r="F1043" s="9">
        <v>1116007.01282051</v>
      </c>
      <c r="G1043" s="9">
        <v>5201142.9487179397</v>
      </c>
    </row>
    <row r="1044" spans="1:7">
      <c r="A1044" s="616"/>
      <c r="B1044" s="1995">
        <v>78.961334635010303</v>
      </c>
      <c r="C1044" s="9" t="s">
        <v>3719</v>
      </c>
      <c r="D1044" s="1078"/>
      <c r="E1044" s="9">
        <v>4006706.6491841502</v>
      </c>
      <c r="F1044" s="9">
        <v>1075601.71561772</v>
      </c>
      <c r="G1044" s="9">
        <v>5082308.3648018697</v>
      </c>
    </row>
    <row r="1045" spans="1:7">
      <c r="A1045" s="616"/>
      <c r="B1045" s="1995">
        <v>79.037978102256403</v>
      </c>
      <c r="C1045" s="11" t="s">
        <v>239</v>
      </c>
      <c r="D1045" s="1078"/>
      <c r="E1045" s="11">
        <f>SUM(E1033:E1044)</f>
        <v>53256812.713286683</v>
      </c>
      <c r="F1045" s="11">
        <f>SUM(F1033:F1044)</f>
        <v>15573970.202797201</v>
      </c>
      <c r="G1045" s="11">
        <f>SUM(G1033:G1044)</f>
        <v>68830782.916083902</v>
      </c>
    </row>
    <row r="1046" spans="1:7">
      <c r="A1046" s="616"/>
      <c r="B1046" s="1994">
        <v>79.114621569502503</v>
      </c>
      <c r="C1046" s="11" t="s">
        <v>635</v>
      </c>
      <c r="D1046" s="1078" t="s">
        <v>259</v>
      </c>
      <c r="E1046" s="9"/>
      <c r="F1046" s="9"/>
      <c r="G1046" s="9"/>
    </row>
    <row r="1047" spans="1:7">
      <c r="A1047" s="616"/>
      <c r="B1047" s="1995">
        <v>79.191265036748604</v>
      </c>
      <c r="C1047" s="9" t="s">
        <v>3651</v>
      </c>
      <c r="D1047" s="1078"/>
      <c r="E1047" s="9">
        <v>338455</v>
      </c>
      <c r="F1047" s="9">
        <v>92832.272727272706</v>
      </c>
      <c r="G1047" s="9">
        <v>431287.272727273</v>
      </c>
    </row>
    <row r="1048" spans="1:7">
      <c r="A1048" s="616"/>
      <c r="B1048" s="1995">
        <v>79.267908503994803</v>
      </c>
      <c r="C1048" s="9" t="s">
        <v>3652</v>
      </c>
      <c r="D1048" s="1078"/>
      <c r="E1048" s="9">
        <v>299870.38461538497</v>
      </c>
      <c r="F1048" s="9">
        <v>87092.622377622305</v>
      </c>
      <c r="G1048" s="9">
        <v>386963.00699300697</v>
      </c>
    </row>
    <row r="1049" spans="1:7">
      <c r="A1049" s="616"/>
      <c r="B1049" s="1995">
        <v>79.344551971240904</v>
      </c>
      <c r="C1049" s="9" t="s">
        <v>3653</v>
      </c>
      <c r="D1049" s="1078"/>
      <c r="E1049" s="9">
        <v>261285.76923077001</v>
      </c>
      <c r="F1049" s="9">
        <v>81352.972027972006</v>
      </c>
      <c r="G1049" s="9">
        <v>342638.74125874101</v>
      </c>
    </row>
    <row r="1050" spans="1:7">
      <c r="A1050" s="616"/>
      <c r="B1050" s="1995">
        <v>79.421195438487004</v>
      </c>
      <c r="C1050" s="9" t="s">
        <v>3714</v>
      </c>
      <c r="D1050" s="1078"/>
      <c r="E1050" s="9">
        <v>222701.15384615399</v>
      </c>
      <c r="F1050" s="9">
        <v>75613.321678321707</v>
      </c>
      <c r="G1050" s="9">
        <v>298314.47552447597</v>
      </c>
    </row>
    <row r="1051" spans="1:7">
      <c r="A1051" s="616"/>
      <c r="B1051" s="1995">
        <v>79.497838905733104</v>
      </c>
      <c r="C1051" s="9" t="s">
        <v>3655</v>
      </c>
      <c r="D1051" s="1078"/>
      <c r="E1051" s="9">
        <v>184116.53846153899</v>
      </c>
      <c r="F1051" s="9">
        <v>69873.671328671306</v>
      </c>
      <c r="G1051" s="9">
        <v>253990.20979021001</v>
      </c>
    </row>
    <row r="1052" spans="1:7">
      <c r="A1052" s="616"/>
      <c r="B1052" s="1995">
        <v>79.574482372979205</v>
      </c>
      <c r="C1052" s="9" t="s">
        <v>3656</v>
      </c>
      <c r="D1052" s="1078"/>
      <c r="E1052" s="9">
        <v>145531.92307692301</v>
      </c>
      <c r="F1052" s="9">
        <v>64134.020979020897</v>
      </c>
      <c r="G1052" s="9">
        <v>209665.94405594401</v>
      </c>
    </row>
    <row r="1053" spans="1:7">
      <c r="A1053" s="616">
        <v>622000000181</v>
      </c>
      <c r="B1053" s="1995">
        <v>79.651125840225305</v>
      </c>
      <c r="C1053" s="9" t="s">
        <v>3657</v>
      </c>
      <c r="D1053" s="1078"/>
      <c r="E1053" s="9">
        <v>106947.30769230799</v>
      </c>
      <c r="F1053" s="9">
        <v>58394.370629370896</v>
      </c>
      <c r="G1053" s="9">
        <v>165341.67832167799</v>
      </c>
    </row>
    <row r="1054" spans="1:7">
      <c r="A1054" s="616"/>
      <c r="B1054" s="1995">
        <v>79.727769307471405</v>
      </c>
      <c r="C1054" s="9" t="s">
        <v>3715</v>
      </c>
      <c r="D1054" s="1078"/>
      <c r="E1054" s="9">
        <v>68362.692307692603</v>
      </c>
      <c r="F1054" s="9">
        <v>52654.720279719899</v>
      </c>
      <c r="G1054" s="9">
        <v>121017.412587413</v>
      </c>
    </row>
    <row r="1055" spans="1:7">
      <c r="A1055" s="616"/>
      <c r="B1055" s="1995">
        <v>79.804412774717505</v>
      </c>
      <c r="C1055" s="9" t="s">
        <v>3716</v>
      </c>
      <c r="D1055" s="1078"/>
      <c r="E1055" s="9">
        <v>29778.076923076602</v>
      </c>
      <c r="F1055" s="9">
        <v>46915.069930069898</v>
      </c>
      <c r="G1055" s="9">
        <v>76693.146853146594</v>
      </c>
    </row>
    <row r="1056" spans="1:7">
      <c r="A1056" s="616"/>
      <c r="B1056" s="1995">
        <v>79.881056241963606</v>
      </c>
      <c r="C1056" s="9" t="s">
        <v>3717</v>
      </c>
      <c r="D1056" s="1078"/>
      <c r="E1056" s="9">
        <v>-8806.5384615383791</v>
      </c>
      <c r="F1056" s="9">
        <v>41175.419580419897</v>
      </c>
      <c r="G1056" s="9">
        <v>32368.881118880599</v>
      </c>
    </row>
    <row r="1057" spans="1:7">
      <c r="A1057" s="616"/>
      <c r="B1057" s="1995">
        <v>79.957699709209706</v>
      </c>
      <c r="C1057" s="9" t="s">
        <v>3718</v>
      </c>
      <c r="D1057" s="1078"/>
      <c r="E1057" s="9">
        <v>-47391.1538461534</v>
      </c>
      <c r="F1057" s="9">
        <v>35435.769230768899</v>
      </c>
      <c r="G1057" s="9">
        <v>-11955.384615385299</v>
      </c>
    </row>
    <row r="1058" spans="1:7">
      <c r="A1058" s="616"/>
      <c r="B1058" s="1995">
        <v>80.034343176455806</v>
      </c>
      <c r="C1058" s="9" t="s">
        <v>3719</v>
      </c>
      <c r="D1058" s="1078"/>
      <c r="E1058" s="9">
        <v>-85975.769230769394</v>
      </c>
      <c r="F1058" s="9">
        <v>29696.118881118899</v>
      </c>
      <c r="G1058" s="9">
        <v>-56279.6503496484</v>
      </c>
    </row>
    <row r="1059" spans="1:7">
      <c r="A1059" s="616"/>
      <c r="B1059" s="1995">
        <v>80.110986643701906</v>
      </c>
      <c r="C1059" s="11" t="s">
        <v>239</v>
      </c>
      <c r="D1059" s="1078"/>
      <c r="E1059" s="11">
        <f>SUM(E1047:E1058)</f>
        <v>1514875.3846153868</v>
      </c>
      <c r="F1059" s="11">
        <f>SUM(F1047:F1058)</f>
        <v>735170.34965034924</v>
      </c>
      <c r="G1059" s="11">
        <f>SUM(G1047:G1058)</f>
        <v>2250045.7342657354</v>
      </c>
    </row>
    <row r="1060" spans="1:7">
      <c r="A1060" s="616"/>
      <c r="B1060" s="1994">
        <v>80.187630110948106</v>
      </c>
      <c r="C1060" s="11" t="s">
        <v>3518</v>
      </c>
      <c r="D1060" s="1078" t="s">
        <v>259</v>
      </c>
      <c r="E1060" s="9"/>
      <c r="F1060" s="9"/>
      <c r="G1060" s="9"/>
    </row>
    <row r="1061" spans="1:7">
      <c r="A1061" s="616"/>
      <c r="B1061" s="1995">
        <v>80.264273578194206</v>
      </c>
      <c r="C1061" s="9" t="s">
        <v>3651</v>
      </c>
      <c r="D1061" s="1078"/>
      <c r="E1061" s="9">
        <v>586152</v>
      </c>
      <c r="F1061" s="9">
        <v>200612.590909091</v>
      </c>
      <c r="G1061" s="9">
        <v>786764.59090909106</v>
      </c>
    </row>
    <row r="1062" spans="1:7">
      <c r="A1062" s="616"/>
      <c r="B1062" s="1995">
        <v>80.340917045440193</v>
      </c>
      <c r="C1062" s="9" t="s">
        <v>3652</v>
      </c>
      <c r="D1062" s="1078"/>
      <c r="E1062" s="9">
        <v>601143.23076923098</v>
      </c>
      <c r="F1062" s="9">
        <v>205858.14335664301</v>
      </c>
      <c r="G1062" s="9">
        <v>807001.37412587402</v>
      </c>
    </row>
    <row r="1063" spans="1:7">
      <c r="A1063" s="616"/>
      <c r="B1063" s="1995">
        <v>80.417560512686407</v>
      </c>
      <c r="C1063" s="9" t="s">
        <v>3653</v>
      </c>
      <c r="D1063" s="1078"/>
      <c r="E1063" s="9">
        <v>616134.46153846197</v>
      </c>
      <c r="F1063" s="9">
        <v>211103.695804196</v>
      </c>
      <c r="G1063" s="9">
        <v>827238.15734265698</v>
      </c>
    </row>
    <row r="1064" spans="1:7">
      <c r="A1064" s="616"/>
      <c r="B1064" s="1995">
        <v>80.494203979932493</v>
      </c>
      <c r="C1064" s="9" t="s">
        <v>3714</v>
      </c>
      <c r="D1064" s="1078"/>
      <c r="E1064" s="9">
        <v>631125.69230769295</v>
      </c>
      <c r="F1064" s="9">
        <v>216349.24825174801</v>
      </c>
      <c r="G1064" s="9">
        <v>847474.94055943994</v>
      </c>
    </row>
    <row r="1065" spans="1:7">
      <c r="A1065" s="616"/>
      <c r="B1065" s="1995">
        <v>80.570847447178593</v>
      </c>
      <c r="C1065" s="9" t="s">
        <v>3655</v>
      </c>
      <c r="D1065" s="1078"/>
      <c r="E1065" s="9">
        <v>646116.92307692301</v>
      </c>
      <c r="F1065" s="9">
        <v>221594.80069930101</v>
      </c>
      <c r="G1065" s="9">
        <v>867711.72377622302</v>
      </c>
    </row>
    <row r="1066" spans="1:7">
      <c r="A1066" s="616"/>
      <c r="B1066" s="1995">
        <v>80.647490914424694</v>
      </c>
      <c r="C1066" s="9" t="s">
        <v>3656</v>
      </c>
      <c r="D1066" s="1078"/>
      <c r="E1066" s="9">
        <v>661108.15384615399</v>
      </c>
      <c r="F1066" s="9">
        <v>226840.35314685301</v>
      </c>
      <c r="G1066" s="9">
        <v>887948.50699300703</v>
      </c>
    </row>
    <row r="1067" spans="1:7">
      <c r="A1067" s="616">
        <v>622000000184</v>
      </c>
      <c r="B1067" s="1995">
        <v>80.724134381670794</v>
      </c>
      <c r="C1067" s="9" t="s">
        <v>3657</v>
      </c>
      <c r="D1067" s="1078"/>
      <c r="E1067" s="9">
        <v>676099.38461538497</v>
      </c>
      <c r="F1067" s="9">
        <v>232085.90559440601</v>
      </c>
      <c r="G1067" s="9">
        <v>908185.29020978999</v>
      </c>
    </row>
    <row r="1068" spans="1:7">
      <c r="A1068" s="616"/>
      <c r="B1068" s="1995">
        <v>80.800777848916894</v>
      </c>
      <c r="C1068" s="9" t="s">
        <v>3715</v>
      </c>
      <c r="D1068" s="1078"/>
      <c r="E1068" s="9">
        <v>691090.61538461596</v>
      </c>
      <c r="F1068" s="9">
        <v>237331.45804195799</v>
      </c>
      <c r="G1068" s="9">
        <v>928422.07342657296</v>
      </c>
    </row>
    <row r="1069" spans="1:7">
      <c r="A1069" s="616"/>
      <c r="B1069" s="1995">
        <v>80.877421316162994</v>
      </c>
      <c r="C1069" s="9" t="s">
        <v>3716</v>
      </c>
      <c r="D1069" s="1078"/>
      <c r="E1069" s="9">
        <v>706081.84615384601</v>
      </c>
      <c r="F1069" s="9">
        <v>242577.01048951101</v>
      </c>
      <c r="G1069" s="9">
        <v>948658.85664335603</v>
      </c>
    </row>
    <row r="1070" spans="1:7">
      <c r="A1070" s="616"/>
      <c r="B1070" s="1995">
        <v>80.954064783409194</v>
      </c>
      <c r="C1070" s="9" t="s">
        <v>3717</v>
      </c>
      <c r="D1070" s="1078"/>
      <c r="E1070" s="9">
        <v>721073.07692307699</v>
      </c>
      <c r="F1070" s="9">
        <v>247822.56293706299</v>
      </c>
      <c r="G1070" s="9">
        <v>968895.63986014004</v>
      </c>
    </row>
    <row r="1071" spans="1:7">
      <c r="A1071" s="616"/>
      <c r="B1071" s="1995">
        <v>81.030708250655294</v>
      </c>
      <c r="C1071" s="9" t="s">
        <v>3718</v>
      </c>
      <c r="D1071" s="1078"/>
      <c r="E1071" s="9">
        <v>736064.30769230798</v>
      </c>
      <c r="F1071" s="9">
        <v>253068.11538461599</v>
      </c>
      <c r="G1071" s="9">
        <v>989132.42307692301</v>
      </c>
    </row>
    <row r="1072" spans="1:7">
      <c r="A1072" s="616"/>
      <c r="B1072" s="1995">
        <v>81.107351717901395</v>
      </c>
      <c r="C1072" s="9" t="s">
        <v>3719</v>
      </c>
      <c r="D1072" s="1078"/>
      <c r="E1072" s="9">
        <v>751055.53846153896</v>
      </c>
      <c r="F1072" s="9">
        <v>258313.66783216799</v>
      </c>
      <c r="G1072" s="9">
        <v>1009369.20629371</v>
      </c>
    </row>
    <row r="1073" spans="1:7">
      <c r="A1073" s="616"/>
      <c r="B1073" s="1995">
        <v>81.183995185147495</v>
      </c>
      <c r="C1073" s="11" t="s">
        <v>239</v>
      </c>
      <c r="D1073" s="1078"/>
      <c r="E1073" s="11">
        <f>SUM(E1061:E1072)</f>
        <v>8023245.2307692338</v>
      </c>
      <c r="F1073" s="11">
        <f>SUM(F1061:F1072)</f>
        <v>2753557.5524475537</v>
      </c>
      <c r="G1073" s="11">
        <f>SUM(G1061:G1072)</f>
        <v>10776802.783216782</v>
      </c>
    </row>
    <row r="1074" spans="1:7">
      <c r="A1074" s="616"/>
      <c r="B1074" s="1994">
        <v>81.260638652393595</v>
      </c>
      <c r="C1074" s="11" t="s">
        <v>650</v>
      </c>
      <c r="D1074" s="1078" t="s">
        <v>259</v>
      </c>
      <c r="E1074" s="9"/>
      <c r="F1074" s="9"/>
      <c r="G1074" s="9"/>
    </row>
    <row r="1075" spans="1:7">
      <c r="A1075" s="616"/>
      <c r="B1075" s="1995">
        <v>81.337282119639696</v>
      </c>
      <c r="C1075" s="9" t="s">
        <v>3651</v>
      </c>
      <c r="D1075" s="1078"/>
      <c r="E1075" s="9">
        <v>454532.42424242402</v>
      </c>
      <c r="F1075" s="9">
        <v>148723.69696969699</v>
      </c>
      <c r="G1075" s="9">
        <v>603256.12121212203</v>
      </c>
    </row>
    <row r="1076" spans="1:7">
      <c r="A1076" s="616"/>
      <c r="B1076" s="1995">
        <v>81.413925586885796</v>
      </c>
      <c r="C1076" s="9" t="s">
        <v>3652</v>
      </c>
      <c r="D1076" s="1078"/>
      <c r="E1076" s="9">
        <v>463708.24592074601</v>
      </c>
      <c r="F1076" s="9">
        <v>152186.98368298399</v>
      </c>
      <c r="G1076" s="9">
        <v>615895.22960372898</v>
      </c>
    </row>
    <row r="1077" spans="1:7">
      <c r="A1077" s="616"/>
      <c r="B1077" s="1995">
        <v>81.490569054131896</v>
      </c>
      <c r="C1077" s="9" t="s">
        <v>3653</v>
      </c>
      <c r="D1077" s="1078"/>
      <c r="E1077" s="9">
        <v>472884.06759906799</v>
      </c>
      <c r="F1077" s="9">
        <v>155650.27039627</v>
      </c>
      <c r="G1077" s="9">
        <v>628534.33799533802</v>
      </c>
    </row>
    <row r="1078" spans="1:7">
      <c r="A1078" s="616"/>
      <c r="B1078" s="1995">
        <v>81.567212521377996</v>
      </c>
      <c r="C1078" s="9" t="s">
        <v>3714</v>
      </c>
      <c r="D1078" s="1078"/>
      <c r="E1078" s="9">
        <v>482059.88927738898</v>
      </c>
      <c r="F1078" s="9">
        <v>159113.557109557</v>
      </c>
      <c r="G1078" s="9">
        <v>641173.44638694602</v>
      </c>
    </row>
    <row r="1079" spans="1:7">
      <c r="A1079" s="616"/>
      <c r="B1079" s="1995">
        <v>81.643855988624097</v>
      </c>
      <c r="C1079" s="9" t="s">
        <v>3655</v>
      </c>
      <c r="D1079" s="1078"/>
      <c r="E1079" s="9">
        <v>491235.71095571102</v>
      </c>
      <c r="F1079" s="9">
        <v>162576.84382284401</v>
      </c>
      <c r="G1079" s="9">
        <v>653812.55477855401</v>
      </c>
    </row>
    <row r="1080" spans="1:7">
      <c r="A1080" s="616"/>
      <c r="B1080" s="1995">
        <v>81.720499455870197</v>
      </c>
      <c r="C1080" s="9" t="s">
        <v>3656</v>
      </c>
      <c r="D1080" s="1078"/>
      <c r="E1080" s="9">
        <v>500411.53263403301</v>
      </c>
      <c r="F1080" s="9">
        <v>166040.13053613101</v>
      </c>
      <c r="G1080" s="9">
        <v>666451.66317016399</v>
      </c>
    </row>
    <row r="1081" spans="1:7">
      <c r="A1081" s="616">
        <v>622000000191</v>
      </c>
      <c r="B1081" s="1995">
        <v>81.797142923116297</v>
      </c>
      <c r="C1081" s="9" t="s">
        <v>3657</v>
      </c>
      <c r="D1081" s="1078"/>
      <c r="E1081" s="9">
        <v>509587.354312354</v>
      </c>
      <c r="F1081" s="9">
        <v>169503.41724941699</v>
      </c>
      <c r="G1081" s="9">
        <v>679090.77156177198</v>
      </c>
    </row>
    <row r="1082" spans="1:7">
      <c r="A1082" s="616"/>
      <c r="B1082" s="1995">
        <v>81.873786390362497</v>
      </c>
      <c r="C1082" s="9" t="s">
        <v>3715</v>
      </c>
      <c r="D1082" s="1078"/>
      <c r="E1082" s="9">
        <v>518763.17599067598</v>
      </c>
      <c r="F1082" s="9">
        <v>172966.70396270399</v>
      </c>
      <c r="G1082" s="9">
        <v>691729.87995337998</v>
      </c>
    </row>
    <row r="1083" spans="1:7">
      <c r="A1083" s="616"/>
      <c r="B1083" s="1995">
        <v>81.950429857608597</v>
      </c>
      <c r="C1083" s="9" t="s">
        <v>3716</v>
      </c>
      <c r="D1083" s="1078"/>
      <c r="E1083" s="9">
        <v>527938.99766899797</v>
      </c>
      <c r="F1083" s="9">
        <v>176429.99067599099</v>
      </c>
      <c r="G1083" s="9">
        <v>704368.98834498902</v>
      </c>
    </row>
    <row r="1084" spans="1:7">
      <c r="A1084" s="616"/>
      <c r="B1084" s="1995">
        <v>82.027073324854697</v>
      </c>
      <c r="C1084" s="9" t="s">
        <v>3717</v>
      </c>
      <c r="D1084" s="1078"/>
      <c r="E1084" s="9">
        <v>537114.81934731896</v>
      </c>
      <c r="F1084" s="9">
        <v>179893.27738927701</v>
      </c>
      <c r="G1084" s="9">
        <v>717008.09673659597</v>
      </c>
    </row>
    <row r="1085" spans="1:7">
      <c r="A1085" s="616"/>
      <c r="B1085" s="1995">
        <v>82.103716792100798</v>
      </c>
      <c r="C1085" s="9" t="s">
        <v>3718</v>
      </c>
      <c r="D1085" s="1078"/>
      <c r="E1085" s="9">
        <v>546290.641025641</v>
      </c>
      <c r="F1085" s="9">
        <v>183356.56410256401</v>
      </c>
      <c r="G1085" s="9">
        <v>729647.20512820501</v>
      </c>
    </row>
    <row r="1086" spans="1:7">
      <c r="A1086" s="616"/>
      <c r="B1086" s="1995">
        <v>82.180360259346898</v>
      </c>
      <c r="C1086" s="9" t="s">
        <v>3719</v>
      </c>
      <c r="D1086" s="1078"/>
      <c r="E1086" s="9">
        <v>555466.46270396304</v>
      </c>
      <c r="F1086" s="9">
        <v>186819.85081585101</v>
      </c>
      <c r="G1086" s="9">
        <v>742286.31351981405</v>
      </c>
    </row>
    <row r="1087" spans="1:7">
      <c r="A1087" s="616"/>
      <c r="B1087" s="1995">
        <v>82.257003726592998</v>
      </c>
      <c r="C1087" s="11" t="s">
        <v>239</v>
      </c>
      <c r="D1087" s="1078"/>
      <c r="E1087" s="11">
        <f>SUM(E1075:E1086)</f>
        <v>6059993.3216783218</v>
      </c>
      <c r="F1087" s="11">
        <f>SUM(F1075:F1086)</f>
        <v>2013261.2867132868</v>
      </c>
      <c r="G1087" s="11">
        <f>SUM(G1075:G1086)</f>
        <v>8073254.6083916081</v>
      </c>
    </row>
    <row r="1088" spans="1:7">
      <c r="A1088" s="616"/>
      <c r="B1088" s="1994">
        <v>82.333647193839099</v>
      </c>
      <c r="C1088" s="11" t="s">
        <v>604</v>
      </c>
      <c r="D1088" s="1078" t="s">
        <v>271</v>
      </c>
      <c r="E1088" s="9"/>
      <c r="F1088" s="9"/>
      <c r="G1088" s="9"/>
    </row>
    <row r="1089" spans="1:7">
      <c r="A1089" s="616"/>
      <c r="B1089" s="1995">
        <v>82.410290661085199</v>
      </c>
      <c r="C1089" s="9" t="s">
        <v>3651</v>
      </c>
      <c r="D1089" s="1078"/>
      <c r="E1089" s="9">
        <v>4108653.9393939399</v>
      </c>
      <c r="F1089" s="9">
        <v>1349315.4545454499</v>
      </c>
      <c r="G1089" s="9">
        <v>5457969.3939393898</v>
      </c>
    </row>
    <row r="1090" spans="1:7">
      <c r="A1090" s="616"/>
      <c r="B1090" s="1995">
        <v>82.486934128331299</v>
      </c>
      <c r="C1090" s="9" t="s">
        <v>3652</v>
      </c>
      <c r="D1090" s="1078"/>
      <c r="E1090" s="9">
        <v>4115976.98135198</v>
      </c>
      <c r="F1090" s="9">
        <v>1360743.2167832199</v>
      </c>
      <c r="G1090" s="9">
        <v>5476720.1981352</v>
      </c>
    </row>
    <row r="1091" spans="1:7">
      <c r="A1091" s="616"/>
      <c r="B1091" s="1995">
        <v>82.563577595577399</v>
      </c>
      <c r="C1091" s="9" t="s">
        <v>3653</v>
      </c>
      <c r="D1091" s="1078"/>
      <c r="E1091" s="9">
        <v>4123300.0233100201</v>
      </c>
      <c r="F1091" s="9">
        <v>1372170.97902098</v>
      </c>
      <c r="G1091" s="9">
        <v>5495471.0023309998</v>
      </c>
    </row>
    <row r="1092" spans="1:7">
      <c r="A1092" s="616"/>
      <c r="B1092" s="1995">
        <v>82.6402210628235</v>
      </c>
      <c r="C1092" s="9" t="s">
        <v>3714</v>
      </c>
      <c r="D1092" s="1078"/>
      <c r="E1092" s="9">
        <v>4130623.0652680602</v>
      </c>
      <c r="F1092" s="9">
        <v>1383598.74125874</v>
      </c>
      <c r="G1092" s="9">
        <v>5514221.8065268099</v>
      </c>
    </row>
    <row r="1093" spans="1:7">
      <c r="A1093" s="616"/>
      <c r="B1093" s="1995">
        <v>82.7168645300696</v>
      </c>
      <c r="C1093" s="9" t="s">
        <v>3655</v>
      </c>
      <c r="D1093" s="1078"/>
      <c r="E1093" s="9">
        <v>4137946.1072261101</v>
      </c>
      <c r="F1093" s="9">
        <v>1395026.5034965</v>
      </c>
      <c r="G1093" s="9">
        <v>5532972.6107226098</v>
      </c>
    </row>
    <row r="1094" spans="1:7">
      <c r="A1094" s="616"/>
      <c r="B1094" s="1995">
        <v>82.7935079973158</v>
      </c>
      <c r="C1094" s="9" t="s">
        <v>3656</v>
      </c>
      <c r="D1094" s="1078"/>
      <c r="E1094" s="9">
        <v>4145269.1491841502</v>
      </c>
      <c r="F1094" s="9">
        <v>1406454.26573427</v>
      </c>
      <c r="G1094" s="9">
        <v>5551723.4149184199</v>
      </c>
    </row>
    <row r="1095" spans="1:7">
      <c r="A1095" s="616">
        <v>622000000194</v>
      </c>
      <c r="B1095" s="1995">
        <v>82.8701514645619</v>
      </c>
      <c r="C1095" s="9" t="s">
        <v>3657</v>
      </c>
      <c r="D1095" s="1078"/>
      <c r="E1095" s="9">
        <v>4152592.1911421898</v>
      </c>
      <c r="F1095" s="9">
        <v>1417882.02797203</v>
      </c>
      <c r="G1095" s="9">
        <v>5570474.2191142198</v>
      </c>
    </row>
    <row r="1096" spans="1:7">
      <c r="A1096" s="616"/>
      <c r="B1096" s="1995">
        <v>82.946794931808</v>
      </c>
      <c r="C1096" s="9" t="s">
        <v>3715</v>
      </c>
      <c r="D1096" s="1078"/>
      <c r="E1096" s="9">
        <v>4159915.2331002299</v>
      </c>
      <c r="F1096" s="9">
        <v>1429309.79020979</v>
      </c>
      <c r="G1096" s="9">
        <v>5589225.0233100196</v>
      </c>
    </row>
    <row r="1097" spans="1:7">
      <c r="A1097" s="616"/>
      <c r="B1097" s="1995">
        <v>83.023438399054101</v>
      </c>
      <c r="C1097" s="9" t="s">
        <v>3716</v>
      </c>
      <c r="D1097" s="1078"/>
      <c r="E1097" s="9">
        <v>4167238.27505827</v>
      </c>
      <c r="F1097" s="9">
        <v>1440737.55244755</v>
      </c>
      <c r="G1097" s="9">
        <v>5607975.8275058297</v>
      </c>
    </row>
    <row r="1098" spans="1:7">
      <c r="A1098" s="616"/>
      <c r="B1098" s="1995">
        <v>83.100081866300201</v>
      </c>
      <c r="C1098" s="9" t="s">
        <v>3717</v>
      </c>
      <c r="D1098" s="1078"/>
      <c r="E1098" s="9">
        <v>4174561.3170163198</v>
      </c>
      <c r="F1098" s="9">
        <v>1452165.31468531</v>
      </c>
      <c r="G1098" s="9">
        <v>5626726.6317016296</v>
      </c>
    </row>
    <row r="1099" spans="1:7">
      <c r="A1099" s="616"/>
      <c r="B1099" s="1995">
        <v>83.176725333546301</v>
      </c>
      <c r="C1099" s="9" t="s">
        <v>3718</v>
      </c>
      <c r="D1099" s="1078"/>
      <c r="E1099" s="9">
        <v>4181884.3589743599</v>
      </c>
      <c r="F1099" s="9">
        <v>1463593.07692308</v>
      </c>
      <c r="G1099" s="9">
        <v>5645477.4358974397</v>
      </c>
    </row>
    <row r="1100" spans="1:7">
      <c r="A1100" s="616"/>
      <c r="B1100" s="1995">
        <v>83.253368800792401</v>
      </c>
      <c r="C1100" s="9" t="s">
        <v>3719</v>
      </c>
      <c r="D1100" s="1078"/>
      <c r="E1100" s="9">
        <v>4189207.4009324</v>
      </c>
      <c r="F1100" s="9">
        <v>1475020.83916084</v>
      </c>
      <c r="G1100" s="9">
        <v>5664228.2400932396</v>
      </c>
    </row>
    <row r="1101" spans="1:7">
      <c r="A1101" s="616"/>
      <c r="B1101" s="1995">
        <v>83.330012268038502</v>
      </c>
      <c r="C1101" s="11" t="s">
        <v>239</v>
      </c>
      <c r="D1101" s="1078"/>
      <c r="E1101" s="11">
        <f>SUM(E1089:E1100)</f>
        <v>49787168.041958027</v>
      </c>
      <c r="F1101" s="11">
        <f>SUM(F1089:F1100)</f>
        <v>16946017.762237757</v>
      </c>
      <c r="G1101" s="11">
        <f>SUM(G1089:G1100)</f>
        <v>66733185.804195799</v>
      </c>
    </row>
    <row r="1102" spans="1:7">
      <c r="A1102" s="616"/>
      <c r="B1102" s="1994">
        <v>83.406655735284602</v>
      </c>
      <c r="C1102" s="11" t="s">
        <v>652</v>
      </c>
      <c r="D1102" s="1078" t="s">
        <v>259</v>
      </c>
      <c r="E1102" s="9"/>
      <c r="F1102" s="9"/>
      <c r="G1102" s="9"/>
    </row>
    <row r="1103" spans="1:7">
      <c r="A1103" s="616"/>
      <c r="B1103" s="1995">
        <v>83.483299202530702</v>
      </c>
      <c r="C1103" s="9" t="s">
        <v>3651</v>
      </c>
      <c r="D1103" s="1078"/>
      <c r="E1103" s="9">
        <v>1015596.36363636</v>
      </c>
      <c r="F1103" s="9">
        <v>378403.636363636</v>
      </c>
      <c r="G1103" s="9">
        <v>1394000</v>
      </c>
    </row>
    <row r="1104" spans="1:7">
      <c r="A1104" s="616">
        <v>622000000196</v>
      </c>
      <c r="B1104" s="1995">
        <v>83.559942669776802</v>
      </c>
      <c r="C1104" s="9" t="s">
        <v>3652</v>
      </c>
      <c r="D1104" s="1078"/>
      <c r="E1104" s="9">
        <v>1000261.95804196</v>
      </c>
      <c r="F1104" s="9">
        <v>376287.272727273</v>
      </c>
      <c r="G1104" s="9">
        <v>1376549.2307692301</v>
      </c>
    </row>
    <row r="1105" spans="1:7">
      <c r="A1105" s="616"/>
      <c r="B1105" s="1995">
        <v>83.636586137022903</v>
      </c>
      <c r="C1105" s="9" t="s">
        <v>3653</v>
      </c>
      <c r="D1105" s="1078"/>
      <c r="E1105" s="9">
        <v>984927.55244755303</v>
      </c>
      <c r="F1105" s="9">
        <v>374170.909090909</v>
      </c>
      <c r="G1105" s="9">
        <v>1359098.4615384601</v>
      </c>
    </row>
    <row r="1106" spans="1:7">
      <c r="A1106" s="616"/>
      <c r="B1106" s="1995">
        <v>83.713229604269102</v>
      </c>
      <c r="C1106" s="9" t="s">
        <v>3714</v>
      </c>
      <c r="D1106" s="1078"/>
      <c r="E1106" s="9">
        <v>969593.14685314696</v>
      </c>
      <c r="F1106" s="9">
        <v>372054.545454545</v>
      </c>
      <c r="G1106" s="9">
        <v>1341647.6923076899</v>
      </c>
    </row>
    <row r="1107" spans="1:7">
      <c r="A1107" s="616"/>
      <c r="B1107" s="1995">
        <v>83.789873071515203</v>
      </c>
      <c r="C1107" s="9" t="s">
        <v>3655</v>
      </c>
      <c r="D1107" s="1078"/>
      <c r="E1107" s="9">
        <v>954258.74125874205</v>
      </c>
      <c r="F1107" s="9">
        <v>369938.181818182</v>
      </c>
      <c r="G1107" s="9">
        <v>1324196.92307692</v>
      </c>
    </row>
    <row r="1108" spans="1:7">
      <c r="A1108" s="616"/>
      <c r="B1108" s="1995">
        <v>83.866516538761303</v>
      </c>
      <c r="C1108" s="9" t="s">
        <v>3656</v>
      </c>
      <c r="D1108" s="1078"/>
      <c r="E1108" s="9">
        <v>938924.33566433599</v>
      </c>
      <c r="F1108" s="9">
        <v>367821.818181818</v>
      </c>
      <c r="G1108" s="9">
        <v>1306746.15384615</v>
      </c>
    </row>
    <row r="1109" spans="1:7">
      <c r="A1109" s="616"/>
      <c r="B1109" s="1995">
        <v>83.943160006007403</v>
      </c>
      <c r="C1109" s="9" t="s">
        <v>3657</v>
      </c>
      <c r="D1109" s="1078"/>
      <c r="E1109" s="9">
        <v>923589.93006993004</v>
      </c>
      <c r="F1109" s="9">
        <v>365705.454545455</v>
      </c>
      <c r="G1109" s="9">
        <v>1289295.3846153801</v>
      </c>
    </row>
    <row r="1110" spans="1:7">
      <c r="A1110" s="616"/>
      <c r="B1110" s="1995">
        <v>84.019803473253504</v>
      </c>
      <c r="C1110" s="9" t="s">
        <v>3715</v>
      </c>
      <c r="D1110" s="1078"/>
      <c r="E1110" s="9">
        <v>908255.52447552502</v>
      </c>
      <c r="F1110" s="9">
        <v>363589.090909091</v>
      </c>
      <c r="G1110" s="9">
        <v>1271844.6153846199</v>
      </c>
    </row>
    <row r="1111" spans="1:7">
      <c r="A1111" s="616"/>
      <c r="B1111" s="1995">
        <v>84.096446940499604</v>
      </c>
      <c r="C1111" s="9" t="s">
        <v>3716</v>
      </c>
      <c r="D1111" s="1078"/>
      <c r="E1111" s="9">
        <v>892921.11888111895</v>
      </c>
      <c r="F1111" s="9">
        <v>361472.727272727</v>
      </c>
      <c r="G1111" s="9">
        <v>1254393.84615385</v>
      </c>
    </row>
    <row r="1112" spans="1:7">
      <c r="A1112" s="616"/>
      <c r="B1112" s="1995">
        <v>84.173090407745704</v>
      </c>
      <c r="C1112" s="9" t="s">
        <v>3717</v>
      </c>
      <c r="D1112" s="1078"/>
      <c r="E1112" s="9">
        <v>877586.71328671405</v>
      </c>
      <c r="F1112" s="9">
        <v>359356.363636364</v>
      </c>
      <c r="G1112" s="9">
        <v>1236943.07692308</v>
      </c>
    </row>
    <row r="1113" spans="1:7">
      <c r="A1113" s="616"/>
      <c r="B1113" s="1995">
        <v>84.249733874991804</v>
      </c>
      <c r="C1113" s="9" t="s">
        <v>3718</v>
      </c>
      <c r="D1113" s="1078"/>
      <c r="E1113" s="9">
        <v>862252.30769230798</v>
      </c>
      <c r="F1113" s="9">
        <v>357240</v>
      </c>
      <c r="G1113" s="9">
        <v>1219492.3076923101</v>
      </c>
    </row>
    <row r="1114" spans="1:7">
      <c r="A1114" s="616"/>
      <c r="B1114" s="1995">
        <v>84.326377342237905</v>
      </c>
      <c r="C1114" s="9" t="s">
        <v>3719</v>
      </c>
      <c r="D1114" s="1078"/>
      <c r="E1114" s="9">
        <v>846917.90209790203</v>
      </c>
      <c r="F1114" s="9">
        <v>355123.636363636</v>
      </c>
      <c r="G1114" s="9">
        <v>1202041.5384615399</v>
      </c>
    </row>
    <row r="1115" spans="1:7">
      <c r="A1115" s="616"/>
      <c r="B1115" s="1995">
        <v>84.403020809484005</v>
      </c>
      <c r="C1115" s="11" t="s">
        <v>239</v>
      </c>
      <c r="D1115" s="1078"/>
      <c r="E1115" s="11">
        <f>SUM(E1103:E1114)</f>
        <v>11175085.594405595</v>
      </c>
      <c r="F1115" s="11">
        <f>SUM(F1103:F1114)</f>
        <v>4401163.6363636358</v>
      </c>
      <c r="G1115" s="11">
        <f>SUM(G1103:G1114)</f>
        <v>15576249.23076923</v>
      </c>
    </row>
    <row r="1116" spans="1:7">
      <c r="A1116" s="616">
        <v>622000000200</v>
      </c>
      <c r="B1116" s="1994">
        <v>84.479664276730105</v>
      </c>
      <c r="C1116" s="11" t="s">
        <v>556</v>
      </c>
      <c r="D1116" s="1078" t="s">
        <v>271</v>
      </c>
      <c r="E1116" s="9"/>
      <c r="F1116" s="9"/>
      <c r="G1116" s="9"/>
    </row>
    <row r="1117" spans="1:7">
      <c r="A1117" s="616"/>
      <c r="B1117" s="1995">
        <v>84.556307743976205</v>
      </c>
      <c r="C1117" s="9" t="s">
        <v>3651</v>
      </c>
      <c r="D1117" s="1078"/>
      <c r="E1117" s="9">
        <v>91528.7878787878</v>
      </c>
      <c r="F1117" s="9">
        <v>50010.6060606061</v>
      </c>
      <c r="G1117" s="9">
        <v>141539.39393939401</v>
      </c>
    </row>
    <row r="1118" spans="1:7">
      <c r="A1118" s="616"/>
      <c r="B1118" s="1995">
        <v>84.632951211222405</v>
      </c>
      <c r="C1118" s="9" t="s">
        <v>3652</v>
      </c>
      <c r="D1118" s="1078"/>
      <c r="E1118" s="9">
        <v>88897.319347319397</v>
      </c>
      <c r="F1118" s="9">
        <v>48907.109557109601</v>
      </c>
      <c r="G1118" s="9">
        <v>137804.42890442899</v>
      </c>
    </row>
    <row r="1119" spans="1:7">
      <c r="A1119" s="616"/>
      <c r="B1119" s="1995">
        <v>84.709594678468505</v>
      </c>
      <c r="C1119" s="9" t="s">
        <v>3653</v>
      </c>
      <c r="D1119" s="1078"/>
      <c r="E1119" s="9">
        <v>86265.850815850805</v>
      </c>
      <c r="F1119" s="9">
        <v>47803.613053613</v>
      </c>
      <c r="G1119" s="9">
        <v>134069.463869464</v>
      </c>
    </row>
    <row r="1120" spans="1:7">
      <c r="A1120" s="616"/>
      <c r="B1120" s="1995">
        <v>84.786238145714606</v>
      </c>
      <c r="C1120" s="9" t="s">
        <v>3714</v>
      </c>
      <c r="D1120" s="1078"/>
      <c r="E1120" s="9">
        <v>83634.382284382198</v>
      </c>
      <c r="F1120" s="9">
        <v>46700.116550116501</v>
      </c>
      <c r="G1120" s="9">
        <v>130334.498834499</v>
      </c>
    </row>
    <row r="1121" spans="1:7">
      <c r="A1121" s="616"/>
      <c r="B1121" s="1995">
        <v>84.862881612960706</v>
      </c>
      <c r="C1121" s="9" t="s">
        <v>3655</v>
      </c>
      <c r="D1121" s="1078"/>
      <c r="E1121" s="9">
        <v>81002.913752913795</v>
      </c>
      <c r="F1121" s="9">
        <v>45596.620046620003</v>
      </c>
      <c r="G1121" s="9">
        <v>126599.53379953399</v>
      </c>
    </row>
    <row r="1122" spans="1:7">
      <c r="A1122" s="616"/>
      <c r="B1122" s="1995">
        <v>84.939525080206806</v>
      </c>
      <c r="C1122" s="9" t="s">
        <v>3656</v>
      </c>
      <c r="D1122" s="1078"/>
      <c r="E1122" s="9">
        <v>78371.445221445305</v>
      </c>
      <c r="F1122" s="9">
        <v>44493.123543123504</v>
      </c>
      <c r="G1122" s="9">
        <v>122864.568764569</v>
      </c>
    </row>
    <row r="1123" spans="1:7">
      <c r="A1123" s="616"/>
      <c r="B1123" s="1995">
        <v>85.016168547452907</v>
      </c>
      <c r="C1123" s="9" t="s">
        <v>3657</v>
      </c>
      <c r="D1123" s="1078"/>
      <c r="E1123" s="9">
        <v>75739.976689976596</v>
      </c>
      <c r="F1123" s="9">
        <v>43389.627039626997</v>
      </c>
      <c r="G1123" s="9">
        <v>119129.603729604</v>
      </c>
    </row>
    <row r="1124" spans="1:7">
      <c r="A1124" s="616"/>
      <c r="B1124" s="1995">
        <v>85.092812014698893</v>
      </c>
      <c r="C1124" s="9" t="s">
        <v>3715</v>
      </c>
      <c r="D1124" s="1078"/>
      <c r="E1124" s="9">
        <v>73108.508158508106</v>
      </c>
      <c r="F1124" s="9">
        <v>42286.130536130499</v>
      </c>
      <c r="G1124" s="9">
        <v>115394.638694639</v>
      </c>
    </row>
    <row r="1125" spans="1:7">
      <c r="A1125" s="616"/>
      <c r="B1125" s="1995">
        <v>85.169455481945107</v>
      </c>
      <c r="C1125" s="9" t="s">
        <v>3716</v>
      </c>
      <c r="D1125" s="1078"/>
      <c r="E1125" s="9">
        <v>70477.039627039703</v>
      </c>
      <c r="F1125" s="9">
        <v>41182.634032634</v>
      </c>
      <c r="G1125" s="9">
        <v>111659.67365967399</v>
      </c>
    </row>
    <row r="1126" spans="1:7">
      <c r="A1126" s="616"/>
      <c r="B1126" s="1995">
        <v>85.246098949191193</v>
      </c>
      <c r="C1126" s="9" t="s">
        <v>3717</v>
      </c>
      <c r="D1126" s="1078"/>
      <c r="E1126" s="9">
        <v>67845.571095571097</v>
      </c>
      <c r="F1126" s="9">
        <v>40079.137529137501</v>
      </c>
      <c r="G1126" s="9">
        <v>107924.708624709</v>
      </c>
    </row>
    <row r="1127" spans="1:7">
      <c r="A1127" s="616"/>
      <c r="B1127" s="1995">
        <v>85.322742416437293</v>
      </c>
      <c r="C1127" s="9" t="s">
        <v>3718</v>
      </c>
      <c r="D1127" s="1078"/>
      <c r="E1127" s="9">
        <v>65214.102564102497</v>
      </c>
      <c r="F1127" s="9">
        <v>38975.641025641002</v>
      </c>
      <c r="G1127" s="9">
        <v>104189.743589744</v>
      </c>
    </row>
    <row r="1128" spans="1:7">
      <c r="A1128" s="616"/>
      <c r="B1128" s="1995">
        <v>85.399385883683394</v>
      </c>
      <c r="C1128" s="9" t="s">
        <v>3719</v>
      </c>
      <c r="D1128" s="1078"/>
      <c r="E1128" s="9">
        <v>62582.634032634101</v>
      </c>
      <c r="F1128" s="9">
        <v>37872.144522144503</v>
      </c>
      <c r="G1128" s="9">
        <v>100454.778554779</v>
      </c>
    </row>
    <row r="1129" spans="1:7">
      <c r="A1129" s="616"/>
      <c r="B1129" s="1995">
        <v>85.476029350929593</v>
      </c>
      <c r="C1129" s="11" t="s">
        <v>239</v>
      </c>
      <c r="D1129" s="1078"/>
      <c r="E1129" s="11">
        <f>SUM(E1117:E1128)</f>
        <v>924668.53146853135</v>
      </c>
      <c r="F1129" s="11">
        <f>SUM(F1117:F1128)</f>
        <v>527296.50349650322</v>
      </c>
      <c r="G1129" s="11">
        <f>SUM(G1117:G1128)</f>
        <v>1451965.0349650378</v>
      </c>
    </row>
    <row r="1130" spans="1:7">
      <c r="A1130" s="616">
        <v>622000000204</v>
      </c>
      <c r="B1130" s="1994">
        <v>85.552672818175694</v>
      </c>
      <c r="C1130" s="11" t="s">
        <v>654</v>
      </c>
      <c r="D1130" s="1078" t="s">
        <v>259</v>
      </c>
      <c r="E1130" s="9"/>
      <c r="F1130" s="9"/>
      <c r="G1130" s="9"/>
    </row>
    <row r="1131" spans="1:7">
      <c r="A1131" s="616"/>
      <c r="B1131" s="1995">
        <v>85.629316285421794</v>
      </c>
      <c r="C1131" s="9" t="s">
        <v>3651</v>
      </c>
      <c r="D1131" s="1078"/>
      <c r="E1131" s="9">
        <v>207844.636363636</v>
      </c>
      <c r="F1131" s="9">
        <v>107919.954545455</v>
      </c>
      <c r="G1131" s="9">
        <v>315764.590909091</v>
      </c>
    </row>
    <row r="1132" spans="1:7">
      <c r="A1132" s="616"/>
      <c r="B1132" s="1995">
        <v>85.705959752667894</v>
      </c>
      <c r="C1132" s="9" t="s">
        <v>3652</v>
      </c>
      <c r="D1132" s="1078"/>
      <c r="E1132" s="9">
        <v>207407.00349650401</v>
      </c>
      <c r="F1132" s="9">
        <v>108254.71678321699</v>
      </c>
      <c r="G1132" s="9">
        <v>315661.72027971997</v>
      </c>
    </row>
    <row r="1133" spans="1:7">
      <c r="A1133" s="616"/>
      <c r="B1133" s="1995">
        <v>85.782603219913995</v>
      </c>
      <c r="C1133" s="9" t="s">
        <v>3653</v>
      </c>
      <c r="D1133" s="1078"/>
      <c r="E1133" s="9">
        <v>206969.370629371</v>
      </c>
      <c r="F1133" s="9">
        <v>108589.47902097899</v>
      </c>
      <c r="G1133" s="9">
        <v>315558.84965034999</v>
      </c>
    </row>
    <row r="1134" spans="1:7">
      <c r="A1134" s="616"/>
      <c r="B1134" s="1995">
        <v>85.859246687160095</v>
      </c>
      <c r="C1134" s="9" t="s">
        <v>3714</v>
      </c>
      <c r="D1134" s="1078"/>
      <c r="E1134" s="9">
        <v>206531.73776223799</v>
      </c>
      <c r="F1134" s="9">
        <v>108924.24125874101</v>
      </c>
      <c r="G1134" s="9">
        <v>315455.97902097902</v>
      </c>
    </row>
    <row r="1135" spans="1:7">
      <c r="A1135" s="616"/>
      <c r="B1135" s="1995">
        <v>85.935890154406195</v>
      </c>
      <c r="C1135" s="9" t="s">
        <v>3655</v>
      </c>
      <c r="D1135" s="1078"/>
      <c r="E1135" s="9">
        <v>206094.104895105</v>
      </c>
      <c r="F1135" s="9">
        <v>109259.003496504</v>
      </c>
      <c r="G1135" s="9">
        <v>315353.108391608</v>
      </c>
    </row>
    <row r="1136" spans="1:7">
      <c r="A1136" s="616"/>
      <c r="B1136" s="1995">
        <v>86.012533621652295</v>
      </c>
      <c r="C1136" s="9" t="s">
        <v>3656</v>
      </c>
      <c r="D1136" s="1078"/>
      <c r="E1136" s="9">
        <v>205656.47202797199</v>
      </c>
      <c r="F1136" s="9">
        <v>109593.76573426599</v>
      </c>
      <c r="G1136" s="9">
        <v>315250.23776223802</v>
      </c>
    </row>
    <row r="1137" spans="1:7">
      <c r="A1137" s="616"/>
      <c r="B1137" s="1995">
        <v>86.089177088898396</v>
      </c>
      <c r="C1137" s="9" t="s">
        <v>3657</v>
      </c>
      <c r="D1137" s="1078"/>
      <c r="E1137" s="9">
        <v>205218.83916083901</v>
      </c>
      <c r="F1137" s="9">
        <v>109928.52797202799</v>
      </c>
      <c r="G1137" s="9">
        <v>315147.36713286699</v>
      </c>
    </row>
    <row r="1138" spans="1:7">
      <c r="A1138" s="616"/>
      <c r="B1138" s="1995">
        <v>86.165820556144496</v>
      </c>
      <c r="C1138" s="9" t="s">
        <v>3715</v>
      </c>
      <c r="D1138" s="1078"/>
      <c r="E1138" s="9">
        <v>204781.206293706</v>
      </c>
      <c r="F1138" s="9">
        <v>110263.29020978999</v>
      </c>
      <c r="G1138" s="9">
        <v>315044.49650349701</v>
      </c>
    </row>
    <row r="1139" spans="1:7">
      <c r="A1139" s="616"/>
      <c r="B1139" s="1995">
        <v>86.242464023390596</v>
      </c>
      <c r="C1139" s="9" t="s">
        <v>3716</v>
      </c>
      <c r="D1139" s="1078"/>
      <c r="E1139" s="9">
        <v>204343.57342657301</v>
      </c>
      <c r="F1139" s="9">
        <v>110598.05244755201</v>
      </c>
      <c r="G1139" s="9">
        <v>314941.62587412598</v>
      </c>
    </row>
    <row r="1140" spans="1:7">
      <c r="A1140" s="616"/>
      <c r="B1140" s="1995">
        <v>86.319107490636696</v>
      </c>
      <c r="C1140" s="9" t="s">
        <v>3717</v>
      </c>
      <c r="D1140" s="1078"/>
      <c r="E1140" s="9">
        <v>203905.94055944099</v>
      </c>
      <c r="F1140" s="9">
        <v>110932.814685315</v>
      </c>
      <c r="G1140" s="9">
        <v>314838.75524475501</v>
      </c>
    </row>
    <row r="1141" spans="1:7">
      <c r="A1141" s="616"/>
      <c r="B1141" s="1995">
        <v>86.395750957882896</v>
      </c>
      <c r="C1141" s="9" t="s">
        <v>3718</v>
      </c>
      <c r="D1141" s="1078"/>
      <c r="E1141" s="9">
        <v>203468.30769230801</v>
      </c>
      <c r="F1141" s="9">
        <v>111267.57692307699</v>
      </c>
      <c r="G1141" s="9">
        <v>314735.88461538497</v>
      </c>
    </row>
    <row r="1142" spans="1:7">
      <c r="A1142" s="616"/>
      <c r="B1142" s="1995">
        <v>86.472394425128996</v>
      </c>
      <c r="C1142" s="9" t="s">
        <v>3719</v>
      </c>
      <c r="D1142" s="1078"/>
      <c r="E1142" s="9">
        <v>203030.674825175</v>
      </c>
      <c r="F1142" s="9">
        <v>111602.33916083899</v>
      </c>
      <c r="G1142" s="9">
        <v>314633.013986014</v>
      </c>
    </row>
    <row r="1143" spans="1:7">
      <c r="A1143" s="616"/>
      <c r="B1143" s="1995">
        <v>86.549037892375097</v>
      </c>
      <c r="C1143" s="11" t="s">
        <v>239</v>
      </c>
      <c r="D1143" s="1078"/>
      <c r="E1143" s="11">
        <f>SUM(E1131:E1142)</f>
        <v>2465251.8671328686</v>
      </c>
      <c r="F1143" s="11">
        <f>SUM(F1131:F1142)</f>
        <v>1317133.762237763</v>
      </c>
      <c r="G1143" s="11">
        <f>SUM(G1131:G1142)</f>
        <v>3782385.6293706298</v>
      </c>
    </row>
    <row r="1144" spans="1:7">
      <c r="A1144" s="616">
        <v>622000000209</v>
      </c>
      <c r="B1144" s="1994">
        <v>86.625681359621197</v>
      </c>
      <c r="C1144" s="11" t="s">
        <v>558</v>
      </c>
      <c r="D1144" s="1078" t="s">
        <v>271</v>
      </c>
      <c r="E1144" s="9"/>
      <c r="F1144" s="9"/>
      <c r="G1144" s="9"/>
    </row>
    <row r="1145" spans="1:7">
      <c r="A1145" s="616"/>
      <c r="B1145" s="1995">
        <v>86.702324826867297</v>
      </c>
      <c r="C1145" s="9" t="s">
        <v>3651</v>
      </c>
      <c r="D1145" s="1078"/>
      <c r="E1145" s="9">
        <v>2221538.7727272701</v>
      </c>
      <c r="F1145" s="9">
        <v>696969.136363636</v>
      </c>
      <c r="G1145" s="9">
        <v>2918507.9090909101</v>
      </c>
    </row>
    <row r="1146" spans="1:7">
      <c r="A1146" s="616"/>
      <c r="B1146" s="1995">
        <v>86.778968294113398</v>
      </c>
      <c r="C1146" s="9" t="s">
        <v>3652</v>
      </c>
      <c r="D1146" s="1078"/>
      <c r="E1146" s="9">
        <v>2048708.31468532</v>
      </c>
      <c r="F1146" s="9">
        <v>627007.54195804195</v>
      </c>
      <c r="G1146" s="9">
        <v>2675715.8566433601</v>
      </c>
    </row>
    <row r="1147" spans="1:7">
      <c r="A1147" s="616"/>
      <c r="B1147" s="1995">
        <v>86.855611761359498</v>
      </c>
      <c r="C1147" s="9" t="s">
        <v>3653</v>
      </c>
      <c r="D1147" s="1078"/>
      <c r="E1147" s="9">
        <v>1875877.8566433601</v>
      </c>
      <c r="F1147" s="9">
        <v>557045.94755244697</v>
      </c>
      <c r="G1147" s="9">
        <v>2432923.8041958101</v>
      </c>
    </row>
    <row r="1148" spans="1:7">
      <c r="A1148" s="616"/>
      <c r="B1148" s="1995">
        <v>86.932255228605598</v>
      </c>
      <c r="C1148" s="9" t="s">
        <v>3714</v>
      </c>
      <c r="D1148" s="1078"/>
      <c r="E1148" s="9">
        <v>1703047.3986014</v>
      </c>
      <c r="F1148" s="9">
        <v>487084.35314684903</v>
      </c>
      <c r="G1148" s="9">
        <v>2190131.7517482499</v>
      </c>
    </row>
    <row r="1149" spans="1:7">
      <c r="A1149" s="616"/>
      <c r="B1149" s="1995">
        <v>87.008898695851698</v>
      </c>
      <c r="C1149" s="9" t="s">
        <v>3655</v>
      </c>
      <c r="D1149" s="1078"/>
      <c r="E1149" s="9">
        <v>1530216.9405594401</v>
      </c>
      <c r="F1149" s="9">
        <v>417122.75874125899</v>
      </c>
      <c r="G1149" s="9">
        <v>1947339.6993007001</v>
      </c>
    </row>
    <row r="1150" spans="1:7">
      <c r="A1150" s="616"/>
      <c r="B1150" s="1995">
        <v>87.085542163097799</v>
      </c>
      <c r="C1150" s="9" t="s">
        <v>3656</v>
      </c>
      <c r="D1150" s="1078"/>
      <c r="E1150" s="9">
        <v>1357386.4825174799</v>
      </c>
      <c r="F1150" s="9">
        <v>347161.16433565901</v>
      </c>
      <c r="G1150" s="9">
        <v>1704547.6468531501</v>
      </c>
    </row>
    <row r="1151" spans="1:7">
      <c r="A1151" s="616"/>
      <c r="B1151" s="1995">
        <v>87.162185630343899</v>
      </c>
      <c r="C1151" s="9" t="s">
        <v>3657</v>
      </c>
      <c r="D1151" s="1078"/>
      <c r="E1151" s="9">
        <v>1184556.02447553</v>
      </c>
      <c r="F1151" s="9">
        <v>277199.56993006897</v>
      </c>
      <c r="G1151" s="9">
        <v>1461755.5944056001</v>
      </c>
    </row>
    <row r="1152" spans="1:7">
      <c r="A1152" s="616"/>
      <c r="B1152" s="1995">
        <v>87.238829097589999</v>
      </c>
      <c r="C1152" s="9" t="s">
        <v>3715</v>
      </c>
      <c r="D1152" s="1078"/>
      <c r="E1152" s="9">
        <v>1011725.56643357</v>
      </c>
      <c r="F1152" s="9">
        <v>207237.975524479</v>
      </c>
      <c r="G1152" s="9">
        <v>1218963.5419580401</v>
      </c>
    </row>
    <row r="1153" spans="1:7">
      <c r="A1153" s="616"/>
      <c r="B1153" s="1995">
        <v>87.315472564836199</v>
      </c>
      <c r="C1153" s="9" t="s">
        <v>3716</v>
      </c>
      <c r="D1153" s="1078"/>
      <c r="E1153" s="9">
        <v>838895.10839160997</v>
      </c>
      <c r="F1153" s="9">
        <v>137276.38111887901</v>
      </c>
      <c r="G1153" s="9">
        <v>976171.489510488</v>
      </c>
    </row>
    <row r="1154" spans="1:7">
      <c r="A1154" s="616"/>
      <c r="B1154" s="1995">
        <v>87.392116032082299</v>
      </c>
      <c r="C1154" s="9" t="s">
        <v>3717</v>
      </c>
      <c r="D1154" s="1078"/>
      <c r="E1154" s="9">
        <v>666064.65034964995</v>
      </c>
      <c r="F1154" s="9">
        <v>67314.786713289301</v>
      </c>
      <c r="G1154" s="9">
        <v>733379.437062938</v>
      </c>
    </row>
    <row r="1155" spans="1:7">
      <c r="A1155" s="616"/>
      <c r="B1155" s="1995">
        <v>87.468759499328399</v>
      </c>
      <c r="C1155" s="9" t="s">
        <v>3718</v>
      </c>
      <c r="D1155" s="1078"/>
      <c r="E1155" s="9">
        <v>493234.19230768998</v>
      </c>
      <c r="F1155" s="9">
        <v>-2646.8076923107701</v>
      </c>
      <c r="G1155" s="9">
        <v>490587.384615388</v>
      </c>
    </row>
    <row r="1156" spans="1:7">
      <c r="A1156" s="616">
        <v>622000000211</v>
      </c>
      <c r="B1156" s="1995">
        <v>87.5454029665745</v>
      </c>
      <c r="C1156" s="9" t="s">
        <v>3719</v>
      </c>
      <c r="D1156" s="1078"/>
      <c r="E1156" s="9">
        <v>320403.73426573002</v>
      </c>
      <c r="F1156" s="9">
        <v>-72608.402097900893</v>
      </c>
      <c r="G1156" s="9">
        <v>247795.332167838</v>
      </c>
    </row>
    <row r="1157" spans="1:7">
      <c r="A1157" s="616"/>
      <c r="B1157" s="1995">
        <v>87.6220464338206</v>
      </c>
      <c r="C1157" s="11" t="s">
        <v>239</v>
      </c>
      <c r="D1157" s="1078"/>
      <c r="E1157" s="11">
        <f>SUM(E1145:E1156)</f>
        <v>15251655.041958051</v>
      </c>
      <c r="F1157" s="11">
        <f>SUM(F1145:F1156)</f>
        <v>3746164.4055943969</v>
      </c>
      <c r="G1157" s="11">
        <f>SUM(G1145:G1156)</f>
        <v>18997819.447552472</v>
      </c>
    </row>
    <row r="1158" spans="1:7">
      <c r="A1158" s="616"/>
      <c r="B1158" s="1994">
        <v>87.6986899010667</v>
      </c>
      <c r="C1158" s="11" t="s">
        <v>3513</v>
      </c>
      <c r="D1158" s="1078" t="s">
        <v>259</v>
      </c>
      <c r="E1158" s="9"/>
      <c r="F1158" s="9"/>
      <c r="G1158" s="9"/>
    </row>
    <row r="1159" spans="1:7">
      <c r="A1159" s="616"/>
      <c r="B1159" s="1995">
        <v>87.775333368312801</v>
      </c>
      <c r="C1159" s="9" t="s">
        <v>3651</v>
      </c>
      <c r="D1159" s="1078"/>
      <c r="E1159" s="9">
        <v>306300.21212121198</v>
      </c>
      <c r="F1159" s="9">
        <v>106290.621212121</v>
      </c>
      <c r="G1159" s="9">
        <v>412590.83333333302</v>
      </c>
    </row>
    <row r="1160" spans="1:7">
      <c r="A1160" s="616"/>
      <c r="B1160" s="1995">
        <v>87.851976835558901</v>
      </c>
      <c r="C1160" s="9" t="s">
        <v>3652</v>
      </c>
      <c r="D1160" s="1078"/>
      <c r="E1160" s="9">
        <v>310647.06526806502</v>
      </c>
      <c r="F1160" s="9">
        <v>107977.268065268</v>
      </c>
      <c r="G1160" s="9">
        <v>418624.33333333302</v>
      </c>
    </row>
  </sheetData>
  <pageMargins left="0.70866141732283472" right="0" top="0.15748031496062992" bottom="0.19685039370078741" header="0.31496062992125984" footer="0.31496062992125984"/>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8000"/>
  </sheetPr>
  <dimension ref="A1:G833"/>
  <sheetViews>
    <sheetView view="pageBreakPreview" topLeftCell="B822" zoomScaleNormal="100" zoomScaleSheetLayoutView="100" workbookViewId="0">
      <selection activeCell="C1" sqref="C1:D1"/>
    </sheetView>
  </sheetViews>
  <sheetFormatPr defaultRowHeight="12.75"/>
  <cols>
    <col min="1" max="1" width="13.140625" hidden="1" customWidth="1"/>
    <col min="2" max="2" width="6.5703125" style="1996" customWidth="1"/>
    <col min="3" max="3" width="38.42578125" customWidth="1"/>
    <col min="4" max="4" width="8.28515625" customWidth="1"/>
    <col min="5" max="5" width="16.5703125" customWidth="1"/>
    <col min="6" max="6" width="19.7109375" customWidth="1"/>
    <col min="7" max="7" width="13" customWidth="1"/>
  </cols>
  <sheetData>
    <row r="1" spans="1:7" ht="21.75" customHeight="1">
      <c r="C1" s="1"/>
      <c r="D1" s="1"/>
      <c r="E1" s="1"/>
      <c r="F1" s="1"/>
      <c r="G1" s="1997" t="s">
        <v>3720</v>
      </c>
    </row>
    <row r="2" spans="1:7" ht="15.75" customHeight="1">
      <c r="A2" s="616"/>
      <c r="C2" s="1" t="s">
        <v>2894</v>
      </c>
      <c r="D2" s="1998"/>
      <c r="E2" s="618"/>
      <c r="F2" s="618"/>
      <c r="G2" s="1"/>
    </row>
    <row r="3" spans="1:7" ht="36.75" customHeight="1">
      <c r="A3" s="616"/>
      <c r="C3" s="1999" t="s">
        <v>3703</v>
      </c>
      <c r="D3" s="1999"/>
      <c r="E3" s="1999"/>
      <c r="F3" s="1999"/>
      <c r="G3" s="1999"/>
    </row>
    <row r="4" spans="1:7" ht="15.75" customHeight="1">
      <c r="A4" s="616"/>
      <c r="C4" s="1"/>
      <c r="D4" s="1"/>
      <c r="E4" s="1"/>
      <c r="F4" s="1"/>
      <c r="G4" s="1"/>
    </row>
    <row r="5" spans="1:7" ht="15.75" customHeight="1">
      <c r="A5" s="616"/>
      <c r="C5" s="1" t="s">
        <v>3704</v>
      </c>
      <c r="D5" s="1"/>
      <c r="E5" s="1"/>
      <c r="F5" s="1"/>
      <c r="G5" s="1"/>
    </row>
    <row r="6" spans="1:7" ht="15.75" customHeight="1">
      <c r="A6" s="616"/>
    </row>
    <row r="7" spans="1:7" ht="87.75" customHeight="1">
      <c r="A7" s="616" t="s">
        <v>3624</v>
      </c>
      <c r="B7" s="2000" t="s">
        <v>376</v>
      </c>
      <c r="C7" s="2001" t="s">
        <v>3625</v>
      </c>
      <c r="D7" s="2001" t="s">
        <v>3705</v>
      </c>
      <c r="E7" s="2002" t="s">
        <v>3721</v>
      </c>
      <c r="F7" s="2001" t="s">
        <v>3722</v>
      </c>
      <c r="G7" s="2001" t="s">
        <v>3708</v>
      </c>
    </row>
    <row r="8" spans="1:7" ht="15">
      <c r="A8" s="616"/>
      <c r="B8" s="1078">
        <v>1</v>
      </c>
      <c r="C8" s="11" t="s">
        <v>3527</v>
      </c>
      <c r="D8" s="1078" t="s">
        <v>271</v>
      </c>
      <c r="E8" s="2002"/>
      <c r="F8" s="2001"/>
      <c r="G8" s="2001"/>
    </row>
    <row r="9" spans="1:7">
      <c r="A9" s="616">
        <v>121000000007</v>
      </c>
      <c r="B9" s="1078"/>
      <c r="C9" s="124" t="s">
        <v>3651</v>
      </c>
      <c r="D9" s="1078"/>
      <c r="E9" s="9">
        <v>4171200</v>
      </c>
      <c r="F9" s="9">
        <v>1332000</v>
      </c>
      <c r="G9" s="9">
        <v>5503200</v>
      </c>
    </row>
    <row r="10" spans="1:7">
      <c r="A10" s="616"/>
      <c r="B10" s="2003"/>
      <c r="C10" s="124" t="s">
        <v>3652</v>
      </c>
      <c r="D10" s="9"/>
      <c r="E10" s="9">
        <v>4526400</v>
      </c>
      <c r="F10" s="9">
        <v>1382400</v>
      </c>
      <c r="G10" s="9">
        <v>5908800</v>
      </c>
    </row>
    <row r="11" spans="1:7">
      <c r="A11" s="616"/>
      <c r="B11" s="2003"/>
      <c r="C11" s="124" t="s">
        <v>3653</v>
      </c>
      <c r="D11" s="9"/>
      <c r="E11" s="9">
        <v>2764800</v>
      </c>
      <c r="F11" s="9">
        <v>866400</v>
      </c>
      <c r="G11" s="9">
        <v>3631200</v>
      </c>
    </row>
    <row r="12" spans="1:7">
      <c r="A12" s="616"/>
      <c r="B12" s="2003"/>
      <c r="C12" s="124" t="s">
        <v>3723</v>
      </c>
      <c r="D12" s="9"/>
      <c r="E12" s="9">
        <v>2884800</v>
      </c>
      <c r="F12" s="9">
        <v>873600</v>
      </c>
      <c r="G12" s="9">
        <v>3758400</v>
      </c>
    </row>
    <row r="13" spans="1:7">
      <c r="A13" s="616"/>
      <c r="B13" s="2003"/>
      <c r="C13" s="124" t="s">
        <v>3655</v>
      </c>
      <c r="D13" s="9"/>
      <c r="E13" s="9">
        <v>4065600</v>
      </c>
      <c r="F13" s="9">
        <v>1243200</v>
      </c>
      <c r="G13" s="9">
        <v>5308800</v>
      </c>
    </row>
    <row r="14" spans="1:7">
      <c r="A14" s="616"/>
      <c r="B14" s="2003"/>
      <c r="C14" s="124" t="s">
        <v>3656</v>
      </c>
      <c r="D14" s="9"/>
      <c r="E14" s="9">
        <v>4166400</v>
      </c>
      <c r="F14" s="9">
        <v>1286400</v>
      </c>
      <c r="G14" s="9">
        <v>5452800</v>
      </c>
    </row>
    <row r="15" spans="1:7">
      <c r="A15" s="616"/>
      <c r="B15" s="2003"/>
      <c r="C15" s="124" t="s">
        <v>3657</v>
      </c>
      <c r="D15" s="9"/>
      <c r="E15" s="9">
        <v>4185600</v>
      </c>
      <c r="F15" s="9">
        <v>1279200</v>
      </c>
      <c r="G15" s="9">
        <v>5464800</v>
      </c>
    </row>
    <row r="16" spans="1:7">
      <c r="A16" s="616"/>
      <c r="B16" s="2003"/>
      <c r="C16" s="11" t="s">
        <v>274</v>
      </c>
      <c r="D16" s="11"/>
      <c r="E16" s="11">
        <v>26764800</v>
      </c>
      <c r="F16" s="11">
        <v>8263200</v>
      </c>
      <c r="G16" s="11">
        <v>35028000</v>
      </c>
    </row>
    <row r="17" spans="1:7">
      <c r="A17" s="616"/>
      <c r="B17" s="1078">
        <v>2</v>
      </c>
      <c r="C17" s="11" t="s">
        <v>3526</v>
      </c>
      <c r="D17" s="1078" t="s">
        <v>271</v>
      </c>
      <c r="E17" s="11"/>
      <c r="F17" s="11"/>
      <c r="G17" s="11"/>
    </row>
    <row r="18" spans="1:7">
      <c r="A18" s="616">
        <v>121000000009</v>
      </c>
      <c r="B18" s="1078"/>
      <c r="C18" s="124" t="s">
        <v>3651</v>
      </c>
      <c r="D18" s="1078"/>
      <c r="E18" s="9">
        <v>2908200</v>
      </c>
      <c r="F18" s="9">
        <v>1468320</v>
      </c>
      <c r="G18" s="9">
        <v>4376520</v>
      </c>
    </row>
    <row r="19" spans="1:7">
      <c r="A19" s="616"/>
      <c r="B19" s="2003"/>
      <c r="C19" s="124" t="s">
        <v>3652</v>
      </c>
      <c r="D19" s="9"/>
      <c r="E19" s="9">
        <v>893107</v>
      </c>
      <c r="F19" s="9">
        <v>643291</v>
      </c>
      <c r="G19" s="9">
        <v>1536398</v>
      </c>
    </row>
    <row r="20" spans="1:7">
      <c r="A20" s="616"/>
      <c r="B20" s="2003"/>
      <c r="C20" s="124" t="s">
        <v>3653</v>
      </c>
      <c r="D20" s="9"/>
      <c r="E20" s="9">
        <v>2548800</v>
      </c>
      <c r="F20" s="9">
        <v>1789320</v>
      </c>
      <c r="G20" s="9">
        <v>4338120</v>
      </c>
    </row>
    <row r="21" spans="1:7">
      <c r="A21" s="616"/>
      <c r="B21" s="2003"/>
      <c r="C21" s="124" t="s">
        <v>3723</v>
      </c>
      <c r="D21" s="9"/>
      <c r="E21" s="9">
        <v>4608457</v>
      </c>
      <c r="F21" s="9">
        <v>3322609</v>
      </c>
      <c r="G21" s="9">
        <v>7931066</v>
      </c>
    </row>
    <row r="22" spans="1:7">
      <c r="A22" s="616"/>
      <c r="B22" s="2003"/>
      <c r="C22" s="124" t="s">
        <v>3655</v>
      </c>
      <c r="D22" s="9"/>
      <c r="E22" s="9">
        <v>3492899</v>
      </c>
      <c r="F22" s="9">
        <v>2673846</v>
      </c>
      <c r="G22" s="9">
        <v>6166745</v>
      </c>
    </row>
    <row r="23" spans="1:7">
      <c r="A23" s="616"/>
      <c r="B23" s="2003"/>
      <c r="C23" s="124" t="s">
        <v>3656</v>
      </c>
      <c r="D23" s="9"/>
      <c r="E23" s="9">
        <v>3725889</v>
      </c>
      <c r="F23" s="9">
        <v>2740048</v>
      </c>
      <c r="G23" s="9">
        <v>6465937</v>
      </c>
    </row>
    <row r="24" spans="1:7">
      <c r="A24" s="616"/>
      <c r="B24" s="2003"/>
      <c r="C24" s="124" t="s">
        <v>3657</v>
      </c>
      <c r="D24" s="9"/>
      <c r="E24" s="9">
        <v>2086747</v>
      </c>
      <c r="F24" s="9">
        <v>1647980</v>
      </c>
      <c r="G24" s="9">
        <v>3734727</v>
      </c>
    </row>
    <row r="25" spans="1:7">
      <c r="A25" s="616"/>
      <c r="B25" s="2003"/>
      <c r="C25" s="11" t="s">
        <v>274</v>
      </c>
      <c r="D25" s="11"/>
      <c r="E25" s="11">
        <f>SUM(E18:E24)</f>
        <v>20264099</v>
      </c>
      <c r="F25" s="11">
        <f>SUM(F18:F24)</f>
        <v>14285414</v>
      </c>
      <c r="G25" s="11">
        <f>SUM(G18:G24)</f>
        <v>34549513</v>
      </c>
    </row>
    <row r="26" spans="1:7">
      <c r="A26" s="616"/>
      <c r="B26" s="1078">
        <v>3</v>
      </c>
      <c r="C26" s="11" t="s">
        <v>531</v>
      </c>
      <c r="D26" s="1078" t="s">
        <v>271</v>
      </c>
      <c r="E26" s="11"/>
      <c r="F26" s="11"/>
      <c r="G26" s="11"/>
    </row>
    <row r="27" spans="1:7">
      <c r="A27" s="616">
        <v>121000000021</v>
      </c>
      <c r="B27" s="1078"/>
      <c r="C27" s="124" t="s">
        <v>3651</v>
      </c>
      <c r="D27" s="1078"/>
      <c r="E27" s="9">
        <v>5549853</v>
      </c>
      <c r="F27" s="9">
        <v>2026651</v>
      </c>
      <c r="G27" s="9">
        <v>7576504</v>
      </c>
    </row>
    <row r="28" spans="1:7">
      <c r="A28" s="616"/>
      <c r="B28" s="2003"/>
      <c r="C28" s="124" t="s">
        <v>3652</v>
      </c>
      <c r="D28" s="9"/>
      <c r="E28" s="9">
        <v>5406922</v>
      </c>
      <c r="F28" s="9">
        <v>2018874</v>
      </c>
      <c r="G28" s="9">
        <v>7425796</v>
      </c>
    </row>
    <row r="29" spans="1:7">
      <c r="A29" s="616"/>
      <c r="B29" s="2003"/>
      <c r="C29" s="124" t="s">
        <v>3653</v>
      </c>
      <c r="D29" s="9"/>
      <c r="E29" s="9">
        <v>4407054</v>
      </c>
      <c r="F29" s="9">
        <v>1689849</v>
      </c>
      <c r="G29" s="9">
        <v>6096903</v>
      </c>
    </row>
    <row r="30" spans="1:7">
      <c r="A30" s="616"/>
      <c r="B30" s="2003"/>
      <c r="C30" s="124" t="s">
        <v>3723</v>
      </c>
      <c r="D30" s="9"/>
      <c r="E30" s="9">
        <v>4467774</v>
      </c>
      <c r="F30" s="9">
        <v>1766860</v>
      </c>
      <c r="G30" s="9">
        <v>6234634</v>
      </c>
    </row>
    <row r="31" spans="1:7">
      <c r="A31" s="616"/>
      <c r="B31" s="2003"/>
      <c r="C31" s="124" t="s">
        <v>3655</v>
      </c>
      <c r="D31" s="9"/>
      <c r="E31" s="9">
        <v>5795060</v>
      </c>
      <c r="F31" s="9">
        <v>2099165</v>
      </c>
      <c r="G31" s="9">
        <v>7894225</v>
      </c>
    </row>
    <row r="32" spans="1:7">
      <c r="A32" s="616"/>
      <c r="B32" s="2003"/>
      <c r="C32" s="124" t="s">
        <v>3656</v>
      </c>
      <c r="D32" s="9"/>
      <c r="E32" s="9">
        <v>5220537</v>
      </c>
      <c r="F32" s="9">
        <v>1856560</v>
      </c>
      <c r="G32" s="9">
        <v>7077097</v>
      </c>
    </row>
    <row r="33" spans="1:7">
      <c r="A33" s="616"/>
      <c r="B33" s="2003"/>
      <c r="C33" s="124" t="s">
        <v>3657</v>
      </c>
      <c r="D33" s="9"/>
      <c r="E33" s="9">
        <v>6297640</v>
      </c>
      <c r="F33" s="9">
        <v>2087960</v>
      </c>
      <c r="G33" s="9">
        <v>8385600</v>
      </c>
    </row>
    <row r="34" spans="1:7">
      <c r="A34" s="616"/>
      <c r="B34" s="2003"/>
      <c r="C34" s="11" t="s">
        <v>274</v>
      </c>
      <c r="D34" s="11"/>
      <c r="E34" s="11">
        <f>SUM(E27:E33)</f>
        <v>37144840</v>
      </c>
      <c r="F34" s="11">
        <f>SUM(F27:F33)</f>
        <v>13545919</v>
      </c>
      <c r="G34" s="11">
        <f>SUM(G27:G33)</f>
        <v>50690759</v>
      </c>
    </row>
    <row r="35" spans="1:7">
      <c r="A35" s="616"/>
      <c r="B35" s="1078">
        <v>4</v>
      </c>
      <c r="C35" s="11" t="s">
        <v>729</v>
      </c>
      <c r="D35" s="1078" t="s">
        <v>259</v>
      </c>
      <c r="E35" s="11"/>
      <c r="F35" s="11"/>
      <c r="G35" s="11"/>
    </row>
    <row r="36" spans="1:7">
      <c r="A36" s="616">
        <v>121000000102</v>
      </c>
      <c r="B36" s="1078"/>
      <c r="C36" s="124" t="s">
        <v>3651</v>
      </c>
      <c r="D36" s="1078"/>
      <c r="E36" s="9">
        <v>4104</v>
      </c>
      <c r="F36" s="9">
        <v>2682</v>
      </c>
      <c r="G36" s="9">
        <v>6786</v>
      </c>
    </row>
    <row r="37" spans="1:7">
      <c r="A37" s="616"/>
      <c r="B37" s="2003"/>
      <c r="C37" s="124" t="s">
        <v>3652</v>
      </c>
      <c r="D37" s="9"/>
      <c r="E37" s="9">
        <v>4383</v>
      </c>
      <c r="F37" s="9">
        <v>3897</v>
      </c>
      <c r="G37" s="9">
        <v>8280</v>
      </c>
    </row>
    <row r="38" spans="1:7">
      <c r="A38" s="616"/>
      <c r="B38" s="2003"/>
      <c r="C38" s="124" t="s">
        <v>3653</v>
      </c>
      <c r="D38" s="9"/>
      <c r="E38" s="9">
        <v>6147</v>
      </c>
      <c r="F38" s="9">
        <v>3681</v>
      </c>
      <c r="G38" s="9">
        <v>9828</v>
      </c>
    </row>
    <row r="39" spans="1:7">
      <c r="A39" s="616"/>
      <c r="B39" s="2003"/>
      <c r="C39" s="124" t="s">
        <v>3723</v>
      </c>
      <c r="D39" s="9"/>
      <c r="E39" s="9">
        <v>5760</v>
      </c>
      <c r="F39" s="9">
        <v>4509</v>
      </c>
      <c r="G39" s="9">
        <v>10269</v>
      </c>
    </row>
    <row r="40" spans="1:7">
      <c r="A40" s="616"/>
      <c r="B40" s="2003"/>
      <c r="C40" s="124" t="s">
        <v>3655</v>
      </c>
      <c r="D40" s="9"/>
      <c r="E40" s="9">
        <v>15768</v>
      </c>
      <c r="F40" s="9">
        <v>10683</v>
      </c>
      <c r="G40" s="9">
        <v>26451</v>
      </c>
    </row>
    <row r="41" spans="1:7">
      <c r="A41" s="616"/>
      <c r="B41" s="2003"/>
      <c r="C41" s="124" t="s">
        <v>3656</v>
      </c>
      <c r="D41" s="9"/>
      <c r="E41" s="9">
        <v>7047</v>
      </c>
      <c r="F41" s="9">
        <v>4707</v>
      </c>
      <c r="G41" s="9">
        <v>11754</v>
      </c>
    </row>
    <row r="42" spans="1:7">
      <c r="A42" s="616"/>
      <c r="B42" s="2003"/>
      <c r="C42" s="124" t="s">
        <v>3657</v>
      </c>
      <c r="D42" s="9"/>
      <c r="E42" s="9">
        <v>11070</v>
      </c>
      <c r="F42" s="9">
        <v>7623</v>
      </c>
      <c r="G42" s="9">
        <v>18693</v>
      </c>
    </row>
    <row r="43" spans="1:7">
      <c r="A43" s="616"/>
      <c r="B43" s="2003"/>
      <c r="C43" s="11" t="s">
        <v>274</v>
      </c>
      <c r="D43" s="11"/>
      <c r="E43" s="11">
        <v>54279</v>
      </c>
      <c r="F43" s="11">
        <v>37782</v>
      </c>
      <c r="G43" s="11">
        <v>92061</v>
      </c>
    </row>
    <row r="44" spans="1:7">
      <c r="A44" s="616"/>
      <c r="B44" s="1078">
        <v>5</v>
      </c>
      <c r="C44" s="11" t="s">
        <v>635</v>
      </c>
      <c r="D44" s="1078" t="s">
        <v>259</v>
      </c>
      <c r="E44" s="11"/>
      <c r="F44" s="11"/>
      <c r="G44" s="11"/>
    </row>
    <row r="45" spans="1:7">
      <c r="A45" s="616">
        <v>122000000005</v>
      </c>
      <c r="B45" s="1078"/>
      <c r="C45" s="124" t="s">
        <v>3651</v>
      </c>
      <c r="D45" s="1078"/>
      <c r="E45" s="9">
        <v>537720</v>
      </c>
      <c r="F45" s="9">
        <v>215100</v>
      </c>
      <c r="G45" s="9">
        <v>752820</v>
      </c>
    </row>
    <row r="46" spans="1:7">
      <c r="A46" s="616"/>
      <c r="B46" s="2003"/>
      <c r="C46" s="124" t="s">
        <v>3652</v>
      </c>
      <c r="D46" s="9"/>
      <c r="E46" s="9">
        <v>534780</v>
      </c>
      <c r="F46" s="9">
        <v>424500</v>
      </c>
      <c r="G46" s="9">
        <v>959280</v>
      </c>
    </row>
    <row r="47" spans="1:7">
      <c r="A47" s="616"/>
      <c r="B47" s="2003"/>
      <c r="C47" s="124" t="s">
        <v>3653</v>
      </c>
      <c r="D47" s="9"/>
      <c r="E47" s="9">
        <v>534930</v>
      </c>
      <c r="F47" s="9">
        <v>424830</v>
      </c>
      <c r="G47" s="9">
        <v>959760</v>
      </c>
    </row>
    <row r="48" spans="1:7">
      <c r="A48" s="616"/>
      <c r="B48" s="2003"/>
      <c r="C48" s="124" t="s">
        <v>3723</v>
      </c>
      <c r="D48" s="9"/>
      <c r="E48" s="9">
        <v>554850</v>
      </c>
      <c r="F48" s="9">
        <v>445080</v>
      </c>
      <c r="G48" s="9">
        <v>999930</v>
      </c>
    </row>
    <row r="49" spans="1:7">
      <c r="A49" s="616"/>
      <c r="B49" s="2003"/>
      <c r="C49" s="124" t="s">
        <v>3655</v>
      </c>
      <c r="D49" s="9"/>
      <c r="E49" s="9">
        <v>509820</v>
      </c>
      <c r="F49" s="9">
        <v>410850</v>
      </c>
      <c r="G49" s="9">
        <v>920670</v>
      </c>
    </row>
    <row r="50" spans="1:7">
      <c r="A50" s="616"/>
      <c r="B50" s="2003"/>
      <c r="C50" s="124" t="s">
        <v>3656</v>
      </c>
      <c r="D50" s="9"/>
      <c r="E50" s="9">
        <v>416190</v>
      </c>
      <c r="F50" s="9">
        <v>339450</v>
      </c>
      <c r="G50" s="9">
        <v>755640</v>
      </c>
    </row>
    <row r="51" spans="1:7">
      <c r="A51" s="616"/>
      <c r="B51" s="2003"/>
      <c r="C51" s="124" t="s">
        <v>3657</v>
      </c>
      <c r="D51" s="9"/>
      <c r="E51" s="9">
        <v>428460</v>
      </c>
      <c r="F51" s="9">
        <v>341700</v>
      </c>
      <c r="G51" s="9">
        <v>770160</v>
      </c>
    </row>
    <row r="52" spans="1:7">
      <c r="A52" s="616"/>
      <c r="B52" s="2003"/>
      <c r="C52" s="11" t="s">
        <v>274</v>
      </c>
      <c r="D52" s="11"/>
      <c r="E52" s="11">
        <v>4646880</v>
      </c>
      <c r="F52" s="11">
        <v>1471380</v>
      </c>
      <c r="G52" s="11">
        <v>6118260</v>
      </c>
    </row>
    <row r="53" spans="1:7">
      <c r="A53" s="616"/>
      <c r="B53" s="1078">
        <v>6</v>
      </c>
      <c r="C53" s="11" t="s">
        <v>648</v>
      </c>
      <c r="D53" s="1078" t="s">
        <v>259</v>
      </c>
      <c r="E53" s="11"/>
      <c r="F53" s="11"/>
      <c r="G53" s="11"/>
    </row>
    <row r="54" spans="1:7">
      <c r="A54" s="616">
        <v>122000000009</v>
      </c>
      <c r="B54" s="1078"/>
      <c r="C54" s="124" t="s">
        <v>3651</v>
      </c>
      <c r="D54" s="1078"/>
      <c r="E54" s="9">
        <v>544383</v>
      </c>
      <c r="F54" s="9">
        <v>222390</v>
      </c>
      <c r="G54" s="9">
        <v>766773</v>
      </c>
    </row>
    <row r="55" spans="1:7">
      <c r="A55" s="616"/>
      <c r="B55" s="2003"/>
      <c r="C55" s="124" t="s">
        <v>3652</v>
      </c>
      <c r="D55" s="9"/>
      <c r="E55" s="9">
        <v>493218</v>
      </c>
      <c r="F55" s="9">
        <v>358002</v>
      </c>
      <c r="G55" s="9">
        <v>851220</v>
      </c>
    </row>
    <row r="56" spans="1:7">
      <c r="A56" s="616"/>
      <c r="B56" s="2003"/>
      <c r="C56" s="124" t="s">
        <v>3653</v>
      </c>
      <c r="D56" s="9"/>
      <c r="E56" s="9">
        <v>472140</v>
      </c>
      <c r="F56" s="9">
        <v>349812</v>
      </c>
      <c r="G56" s="9">
        <v>821952</v>
      </c>
    </row>
    <row r="57" spans="1:7">
      <c r="A57" s="616"/>
      <c r="B57" s="2003"/>
      <c r="C57" s="124" t="s">
        <v>3723</v>
      </c>
      <c r="D57" s="9"/>
      <c r="E57" s="9">
        <v>486910</v>
      </c>
      <c r="F57" s="9">
        <v>358235</v>
      </c>
      <c r="G57" s="9">
        <v>845145</v>
      </c>
    </row>
    <row r="58" spans="1:7">
      <c r="A58" s="616"/>
      <c r="B58" s="2003"/>
      <c r="C58" s="124" t="s">
        <v>3655</v>
      </c>
      <c r="D58" s="9"/>
      <c r="E58" s="9">
        <v>371700</v>
      </c>
      <c r="F58" s="9">
        <v>274695</v>
      </c>
      <c r="G58" s="9">
        <v>646395</v>
      </c>
    </row>
    <row r="59" spans="1:7">
      <c r="A59" s="616"/>
      <c r="B59" s="2003"/>
      <c r="C59" s="124" t="s">
        <v>3656</v>
      </c>
      <c r="D59" s="9"/>
      <c r="E59" s="9">
        <v>368355</v>
      </c>
      <c r="F59" s="9">
        <v>272130</v>
      </c>
      <c r="G59" s="9">
        <v>640485</v>
      </c>
    </row>
    <row r="60" spans="1:7">
      <c r="A60" s="616"/>
      <c r="B60" s="2003"/>
      <c r="C60" s="124" t="s">
        <v>3657</v>
      </c>
      <c r="D60" s="9"/>
      <c r="E60" s="9">
        <v>356925</v>
      </c>
      <c r="F60" s="9">
        <v>258735</v>
      </c>
      <c r="G60" s="9">
        <v>615660</v>
      </c>
    </row>
    <row r="61" spans="1:7">
      <c r="A61" s="616"/>
      <c r="B61" s="2003"/>
      <c r="C61" s="11" t="s">
        <v>274</v>
      </c>
      <c r="D61" s="11"/>
      <c r="E61" s="11">
        <v>3093631</v>
      </c>
      <c r="F61" s="11">
        <v>2093999</v>
      </c>
      <c r="G61" s="11">
        <v>5187630</v>
      </c>
    </row>
    <row r="62" spans="1:7">
      <c r="A62" s="616"/>
      <c r="B62" s="1078">
        <v>7</v>
      </c>
      <c r="C62" s="11" t="s">
        <v>3724</v>
      </c>
      <c r="D62" s="11" t="s">
        <v>259</v>
      </c>
      <c r="E62" s="11"/>
      <c r="F62" s="11"/>
      <c r="G62" s="11"/>
    </row>
    <row r="63" spans="1:7">
      <c r="A63" s="616">
        <v>122000000012</v>
      </c>
      <c r="B63" s="2003"/>
      <c r="C63" s="124" t="s">
        <v>3651</v>
      </c>
      <c r="D63" s="9"/>
      <c r="E63" s="9">
        <v>394731</v>
      </c>
      <c r="F63" s="9">
        <v>175590</v>
      </c>
      <c r="G63" s="9">
        <v>570321</v>
      </c>
    </row>
    <row r="64" spans="1:7">
      <c r="A64" s="616"/>
      <c r="B64" s="2003"/>
      <c r="C64" s="124" t="s">
        <v>3652</v>
      </c>
      <c r="D64" s="9"/>
      <c r="E64" s="9">
        <v>337059</v>
      </c>
      <c r="F64" s="9">
        <v>239562</v>
      </c>
      <c r="G64" s="9">
        <v>576621</v>
      </c>
    </row>
    <row r="65" spans="1:7">
      <c r="A65" s="616"/>
      <c r="B65" s="2003"/>
      <c r="C65" s="124" t="s">
        <v>3653</v>
      </c>
      <c r="D65" s="9"/>
      <c r="E65" s="9">
        <v>324567</v>
      </c>
      <c r="F65" s="9">
        <v>220275</v>
      </c>
      <c r="G65" s="9">
        <v>544842</v>
      </c>
    </row>
    <row r="66" spans="1:7">
      <c r="A66" s="616"/>
      <c r="B66" s="2003"/>
      <c r="C66" s="124" t="s">
        <v>3723</v>
      </c>
      <c r="D66" s="9"/>
      <c r="E66" s="9">
        <v>333198</v>
      </c>
      <c r="F66" s="9">
        <v>234927</v>
      </c>
      <c r="G66" s="9">
        <v>568125</v>
      </c>
    </row>
    <row r="67" spans="1:7">
      <c r="A67" s="616"/>
      <c r="B67" s="2003"/>
      <c r="C67" s="124" t="s">
        <v>3655</v>
      </c>
      <c r="D67" s="9"/>
      <c r="E67" s="9">
        <v>291429</v>
      </c>
      <c r="F67" s="9">
        <v>202518</v>
      </c>
      <c r="G67" s="9">
        <v>493947</v>
      </c>
    </row>
    <row r="68" spans="1:7">
      <c r="A68" s="616"/>
      <c r="B68" s="2003"/>
      <c r="C68" s="124" t="s">
        <v>3656</v>
      </c>
      <c r="D68" s="9"/>
      <c r="E68" s="9">
        <v>330732</v>
      </c>
      <c r="F68" s="9">
        <v>227988</v>
      </c>
      <c r="G68" s="9">
        <v>558720</v>
      </c>
    </row>
    <row r="69" spans="1:7">
      <c r="A69" s="616"/>
      <c r="B69" s="2003"/>
      <c r="C69" s="124" t="s">
        <v>3657</v>
      </c>
      <c r="D69" s="9"/>
      <c r="E69" s="9">
        <v>301725</v>
      </c>
      <c r="F69" s="9">
        <v>216477</v>
      </c>
      <c r="G69" s="9">
        <v>518202</v>
      </c>
    </row>
    <row r="70" spans="1:7">
      <c r="A70" s="616"/>
      <c r="B70" s="2003"/>
      <c r="C70" s="11" t="s">
        <v>274</v>
      </c>
      <c r="D70" s="9"/>
      <c r="E70" s="11">
        <v>2313441</v>
      </c>
      <c r="F70" s="11">
        <v>1517337</v>
      </c>
      <c r="G70" s="11">
        <v>3830778</v>
      </c>
    </row>
    <row r="71" spans="1:7">
      <c r="A71" s="616"/>
      <c r="B71" s="1078">
        <v>8</v>
      </c>
      <c r="C71" s="11" t="s">
        <v>604</v>
      </c>
      <c r="D71" s="1078" t="s">
        <v>271</v>
      </c>
      <c r="E71" s="9"/>
      <c r="F71" s="9"/>
      <c r="G71" s="9"/>
    </row>
    <row r="72" spans="1:7">
      <c r="A72" s="616">
        <v>122000000039</v>
      </c>
      <c r="B72" s="1078"/>
      <c r="C72" s="124" t="s">
        <v>3651</v>
      </c>
      <c r="D72" s="1078"/>
      <c r="E72" s="9">
        <v>4125020</v>
      </c>
      <c r="F72" s="9">
        <v>1323360</v>
      </c>
      <c r="G72" s="9">
        <v>5448380</v>
      </c>
    </row>
    <row r="73" spans="1:7">
      <c r="A73" s="616"/>
      <c r="B73" s="2003"/>
      <c r="C73" s="124" t="s">
        <v>3652</v>
      </c>
      <c r="D73" s="9"/>
      <c r="E73" s="9">
        <v>4552420</v>
      </c>
      <c r="F73" s="9">
        <v>1481650</v>
      </c>
      <c r="G73" s="9">
        <v>6034070</v>
      </c>
    </row>
    <row r="74" spans="1:7">
      <c r="A74" s="616"/>
      <c r="B74" s="2003"/>
      <c r="C74" s="124" t="s">
        <v>3653</v>
      </c>
      <c r="D74" s="9"/>
      <c r="E74" s="9">
        <v>2847450</v>
      </c>
      <c r="F74" s="9">
        <v>954600</v>
      </c>
      <c r="G74" s="9">
        <v>3802050</v>
      </c>
    </row>
    <row r="75" spans="1:7">
      <c r="A75" s="616"/>
      <c r="B75" s="2003"/>
      <c r="C75" s="124" t="s">
        <v>3723</v>
      </c>
      <c r="D75" s="9"/>
      <c r="E75" s="9">
        <v>4322650</v>
      </c>
      <c r="F75" s="9">
        <v>1454330</v>
      </c>
      <c r="G75" s="9">
        <v>5776980</v>
      </c>
    </row>
    <row r="76" spans="1:7">
      <c r="A76" s="616"/>
      <c r="B76" s="2003"/>
      <c r="C76" s="124" t="s">
        <v>3655</v>
      </c>
      <c r="D76" s="9"/>
      <c r="E76" s="9">
        <v>4235000</v>
      </c>
      <c r="F76" s="9">
        <v>1327730</v>
      </c>
      <c r="G76" s="9">
        <v>5562730</v>
      </c>
    </row>
    <row r="77" spans="1:7">
      <c r="A77" s="616"/>
      <c r="B77" s="2003"/>
      <c r="C77" s="124" t="s">
        <v>3656</v>
      </c>
      <c r="D77" s="9"/>
      <c r="E77" s="9">
        <v>4576010</v>
      </c>
      <c r="F77" s="9">
        <v>1466730</v>
      </c>
      <c r="G77" s="9">
        <v>6042740</v>
      </c>
    </row>
    <row r="78" spans="1:7">
      <c r="A78" s="616"/>
      <c r="B78" s="2003"/>
      <c r="C78" s="124" t="s">
        <v>3657</v>
      </c>
      <c r="D78" s="9"/>
      <c r="E78" s="9">
        <v>4528040</v>
      </c>
      <c r="F78" s="9">
        <v>1443230</v>
      </c>
      <c r="G78" s="9">
        <v>5971270</v>
      </c>
    </row>
    <row r="79" spans="1:7">
      <c r="A79" s="616"/>
      <c r="B79" s="2003"/>
      <c r="C79" s="11" t="s">
        <v>274</v>
      </c>
      <c r="D79" s="11"/>
      <c r="E79" s="11">
        <v>29186590</v>
      </c>
      <c r="F79" s="11">
        <v>9451630</v>
      </c>
      <c r="G79" s="11">
        <v>38638220</v>
      </c>
    </row>
    <row r="80" spans="1:7">
      <c r="A80" s="616"/>
      <c r="B80" s="1078">
        <v>9</v>
      </c>
      <c r="C80" s="11" t="s">
        <v>652</v>
      </c>
      <c r="D80" s="1078" t="s">
        <v>259</v>
      </c>
      <c r="E80" s="11"/>
      <c r="F80" s="11"/>
      <c r="G80" s="11"/>
    </row>
    <row r="81" spans="1:7">
      <c r="A81" s="616">
        <v>122000000076</v>
      </c>
      <c r="B81" s="1078"/>
      <c r="C81" s="124" t="s">
        <v>3651</v>
      </c>
      <c r="D81" s="1078"/>
      <c r="E81" s="9">
        <v>570840</v>
      </c>
      <c r="F81" s="9">
        <v>273120</v>
      </c>
      <c r="G81" s="9">
        <v>843960</v>
      </c>
    </row>
    <row r="82" spans="1:7">
      <c r="A82" s="616"/>
      <c r="B82" s="2003"/>
      <c r="C82" s="124" t="s">
        <v>3652</v>
      </c>
      <c r="D82" s="9"/>
      <c r="E82" s="9">
        <v>129780</v>
      </c>
      <c r="F82" s="9">
        <v>92940</v>
      </c>
      <c r="G82" s="9">
        <v>222720</v>
      </c>
    </row>
    <row r="83" spans="1:7">
      <c r="A83" s="616"/>
      <c r="B83" s="2003"/>
      <c r="C83" s="124" t="s">
        <v>3653</v>
      </c>
      <c r="D83" s="9"/>
      <c r="E83" s="9">
        <v>464940</v>
      </c>
      <c r="F83" s="9">
        <v>341700</v>
      </c>
      <c r="G83" s="9">
        <v>806640</v>
      </c>
    </row>
    <row r="84" spans="1:7">
      <c r="A84" s="616"/>
      <c r="B84" s="2003"/>
      <c r="C84" s="124" t="s">
        <v>3723</v>
      </c>
      <c r="D84" s="9"/>
      <c r="E84" s="9">
        <v>886140</v>
      </c>
      <c r="F84" s="9">
        <v>624900</v>
      </c>
      <c r="G84" s="9">
        <v>1511040</v>
      </c>
    </row>
    <row r="85" spans="1:7">
      <c r="A85" s="616"/>
      <c r="B85" s="2003"/>
      <c r="C85" s="124" t="s">
        <v>3655</v>
      </c>
      <c r="D85" s="9"/>
      <c r="E85" s="9">
        <v>55200</v>
      </c>
      <c r="F85" s="9">
        <v>63360</v>
      </c>
      <c r="G85" s="9">
        <v>118560</v>
      </c>
    </row>
    <row r="86" spans="1:7">
      <c r="A86" s="616"/>
      <c r="B86" s="2003"/>
      <c r="C86" s="124" t="s">
        <v>3656</v>
      </c>
      <c r="D86" s="9"/>
      <c r="E86" s="9">
        <v>14820</v>
      </c>
      <c r="F86" s="9">
        <v>13140</v>
      </c>
      <c r="G86" s="9">
        <v>27960</v>
      </c>
    </row>
    <row r="87" spans="1:7">
      <c r="A87" s="616"/>
      <c r="B87" s="2003"/>
      <c r="C87" s="124" t="s">
        <v>3657</v>
      </c>
      <c r="D87" s="9"/>
      <c r="E87" s="9">
        <v>17520</v>
      </c>
      <c r="F87" s="9">
        <v>15120</v>
      </c>
      <c r="G87" s="9">
        <v>32640</v>
      </c>
    </row>
    <row r="88" spans="1:7">
      <c r="A88" s="616"/>
      <c r="B88" s="2003"/>
      <c r="C88" s="11" t="s">
        <v>274</v>
      </c>
      <c r="D88" s="11"/>
      <c r="E88" s="11">
        <v>2588880</v>
      </c>
      <c r="F88" s="11">
        <v>974640</v>
      </c>
      <c r="G88" s="11">
        <v>3563520</v>
      </c>
    </row>
    <row r="89" spans="1:7">
      <c r="A89" s="616"/>
      <c r="B89" s="1078">
        <v>10</v>
      </c>
      <c r="C89" s="11" t="s">
        <v>556</v>
      </c>
      <c r="D89" s="1078" t="s">
        <v>271</v>
      </c>
      <c r="E89" s="11"/>
      <c r="F89" s="11"/>
      <c r="G89" s="11"/>
    </row>
    <row r="90" spans="1:7">
      <c r="A90" s="616">
        <v>123000000012</v>
      </c>
      <c r="B90" s="2003"/>
      <c r="C90" s="124" t="s">
        <v>3651</v>
      </c>
      <c r="D90" s="9"/>
      <c r="E90" s="9">
        <v>89700</v>
      </c>
      <c r="F90" s="9">
        <v>47900</v>
      </c>
      <c r="G90" s="9">
        <v>137600</v>
      </c>
    </row>
    <row r="91" spans="1:7">
      <c r="A91" s="616"/>
      <c r="B91" s="2003"/>
      <c r="C91" s="124" t="s">
        <v>3652</v>
      </c>
      <c r="D91" s="9"/>
      <c r="E91" s="9">
        <v>92500</v>
      </c>
      <c r="F91" s="9">
        <v>60400</v>
      </c>
      <c r="G91" s="9">
        <v>152900</v>
      </c>
    </row>
    <row r="92" spans="1:7">
      <c r="A92" s="616"/>
      <c r="B92" s="2003"/>
      <c r="C92" s="124" t="s">
        <v>3653</v>
      </c>
      <c r="D92" s="9"/>
      <c r="E92" s="9">
        <v>91600</v>
      </c>
      <c r="F92" s="9">
        <v>59200</v>
      </c>
      <c r="G92" s="9">
        <v>150800</v>
      </c>
    </row>
    <row r="93" spans="1:7">
      <c r="A93" s="616"/>
      <c r="B93" s="2003"/>
      <c r="C93" s="124" t="s">
        <v>3723</v>
      </c>
      <c r="D93" s="9"/>
      <c r="E93" s="9">
        <v>92300</v>
      </c>
      <c r="F93" s="9">
        <v>60100</v>
      </c>
      <c r="G93" s="9">
        <v>152400</v>
      </c>
    </row>
    <row r="94" spans="1:7">
      <c r="A94" s="616"/>
      <c r="B94" s="2003"/>
      <c r="C94" s="124" t="s">
        <v>3655</v>
      </c>
      <c r="D94" s="9"/>
      <c r="E94" s="9">
        <v>93600</v>
      </c>
      <c r="F94" s="9">
        <v>60600</v>
      </c>
      <c r="G94" s="9">
        <v>154200</v>
      </c>
    </row>
    <row r="95" spans="1:7">
      <c r="A95" s="616"/>
      <c r="B95" s="2003"/>
      <c r="C95" s="124" t="s">
        <v>3656</v>
      </c>
      <c r="D95" s="9"/>
      <c r="E95" s="9">
        <v>92000</v>
      </c>
      <c r="F95" s="9">
        <v>58500</v>
      </c>
      <c r="G95" s="9">
        <v>150500</v>
      </c>
    </row>
    <row r="96" spans="1:7">
      <c r="A96" s="616"/>
      <c r="B96" s="2003"/>
      <c r="C96" s="124" t="s">
        <v>3657</v>
      </c>
      <c r="D96" s="9"/>
      <c r="E96" s="9">
        <v>90500</v>
      </c>
      <c r="F96" s="9">
        <v>58300</v>
      </c>
      <c r="G96" s="9">
        <v>148800</v>
      </c>
    </row>
    <row r="97" spans="1:7">
      <c r="A97" s="616"/>
      <c r="B97" s="2003"/>
      <c r="C97" s="11" t="s">
        <v>274</v>
      </c>
      <c r="D97" s="11"/>
      <c r="E97" s="11">
        <v>731000</v>
      </c>
      <c r="F97" s="11">
        <v>316200</v>
      </c>
      <c r="G97" s="11">
        <v>1047200</v>
      </c>
    </row>
    <row r="98" spans="1:7">
      <c r="A98" s="616"/>
      <c r="B98" s="1078">
        <v>11</v>
      </c>
      <c r="C98" s="11" t="s">
        <v>654</v>
      </c>
      <c r="D98" s="1078" t="s">
        <v>259</v>
      </c>
      <c r="E98" s="11"/>
      <c r="F98" s="11"/>
      <c r="G98" s="11"/>
    </row>
    <row r="99" spans="1:7">
      <c r="A99" s="616">
        <v>123000000049</v>
      </c>
      <c r="B99" s="2003"/>
      <c r="C99" s="124" t="s">
        <v>3651</v>
      </c>
      <c r="D99" s="9"/>
      <c r="E99" s="9">
        <v>210915</v>
      </c>
      <c r="F99" s="9">
        <v>112419</v>
      </c>
      <c r="G99" s="9">
        <v>323334</v>
      </c>
    </row>
    <row r="100" spans="1:7">
      <c r="A100" s="616"/>
      <c r="B100" s="2003"/>
      <c r="C100" s="124" t="s">
        <v>3652</v>
      </c>
      <c r="D100" s="9"/>
      <c r="E100" s="9">
        <v>242109</v>
      </c>
      <c r="F100" s="9">
        <v>167265</v>
      </c>
      <c r="G100" s="9">
        <v>409374</v>
      </c>
    </row>
    <row r="101" spans="1:7">
      <c r="A101" s="616"/>
      <c r="B101" s="2003"/>
      <c r="C101" s="124" t="s">
        <v>3653</v>
      </c>
      <c r="D101" s="9"/>
      <c r="E101" s="9">
        <v>164718</v>
      </c>
      <c r="F101" s="9">
        <v>116172</v>
      </c>
      <c r="G101" s="9">
        <v>280890</v>
      </c>
    </row>
    <row r="102" spans="1:7">
      <c r="A102" s="616"/>
      <c r="B102" s="2003"/>
      <c r="C102" s="124" t="s">
        <v>3723</v>
      </c>
      <c r="D102" s="9"/>
      <c r="E102" s="9">
        <v>137745</v>
      </c>
      <c r="F102" s="9">
        <v>94725</v>
      </c>
      <c r="G102" s="9">
        <v>232470</v>
      </c>
    </row>
    <row r="103" spans="1:7">
      <c r="A103" s="616"/>
      <c r="B103" s="2003"/>
      <c r="C103" s="124" t="s">
        <v>3655</v>
      </c>
      <c r="D103" s="9"/>
      <c r="E103" s="9">
        <v>152316</v>
      </c>
      <c r="F103" s="9">
        <v>109818</v>
      </c>
      <c r="G103" s="9">
        <v>262134</v>
      </c>
    </row>
    <row r="104" spans="1:7">
      <c r="A104" s="616"/>
      <c r="B104" s="2003"/>
      <c r="C104" s="124" t="s">
        <v>3656</v>
      </c>
      <c r="D104" s="9"/>
      <c r="E104" s="9">
        <v>145854</v>
      </c>
      <c r="F104" s="9">
        <v>104805</v>
      </c>
      <c r="G104" s="9">
        <v>250659</v>
      </c>
    </row>
    <row r="105" spans="1:7">
      <c r="A105" s="616"/>
      <c r="B105" s="2003"/>
      <c r="C105" s="124" t="s">
        <v>3657</v>
      </c>
      <c r="D105" s="9"/>
      <c r="E105" s="9">
        <v>164637</v>
      </c>
      <c r="F105" s="9">
        <v>120339</v>
      </c>
      <c r="G105" s="9">
        <v>284976</v>
      </c>
    </row>
    <row r="106" spans="1:7">
      <c r="A106" s="616"/>
      <c r="B106" s="2003"/>
      <c r="C106" s="11" t="s">
        <v>274</v>
      </c>
      <c r="D106" s="11"/>
      <c r="E106" s="11">
        <v>1427994</v>
      </c>
      <c r="F106" s="11">
        <v>615843</v>
      </c>
      <c r="G106" s="11">
        <v>2043837</v>
      </c>
    </row>
    <row r="107" spans="1:7">
      <c r="A107" s="616"/>
      <c r="B107" s="1078">
        <v>12</v>
      </c>
      <c r="C107" s="11" t="s">
        <v>558</v>
      </c>
      <c r="D107" s="1078" t="s">
        <v>271</v>
      </c>
      <c r="E107" s="11"/>
      <c r="F107" s="11"/>
      <c r="G107" s="11"/>
    </row>
    <row r="108" spans="1:7">
      <c r="A108" s="616">
        <v>123000000054</v>
      </c>
      <c r="B108" s="2003"/>
      <c r="C108" s="124" t="s">
        <v>3651</v>
      </c>
      <c r="D108" s="9"/>
      <c r="E108" s="9">
        <v>3678120</v>
      </c>
      <c r="F108" s="9">
        <v>1231320</v>
      </c>
      <c r="G108" s="9">
        <v>4909440</v>
      </c>
    </row>
    <row r="109" spans="1:7">
      <c r="A109" s="616"/>
      <c r="B109" s="2003"/>
      <c r="C109" s="124" t="s">
        <v>3652</v>
      </c>
      <c r="D109" s="9"/>
      <c r="E109" s="9">
        <v>1658520</v>
      </c>
      <c r="F109" s="9">
        <v>1208160</v>
      </c>
      <c r="G109" s="9">
        <v>2866680</v>
      </c>
    </row>
    <row r="110" spans="1:7">
      <c r="A110" s="616"/>
      <c r="B110" s="2003"/>
      <c r="C110" s="124" t="s">
        <v>3653</v>
      </c>
      <c r="D110" s="9"/>
      <c r="E110" s="9">
        <v>1148280</v>
      </c>
      <c r="F110" s="9">
        <v>794040</v>
      </c>
      <c r="G110" s="9">
        <v>1942320</v>
      </c>
    </row>
    <row r="111" spans="1:7">
      <c r="A111" s="616"/>
      <c r="B111" s="2003"/>
      <c r="C111" s="124" t="s">
        <v>3723</v>
      </c>
      <c r="D111" s="9"/>
      <c r="E111" s="9">
        <v>1298400</v>
      </c>
      <c r="F111" s="9">
        <v>841140</v>
      </c>
      <c r="G111" s="9">
        <v>2139540</v>
      </c>
    </row>
    <row r="112" spans="1:7">
      <c r="A112" s="616"/>
      <c r="B112" s="2003"/>
      <c r="C112" s="124" t="s">
        <v>3655</v>
      </c>
      <c r="D112" s="9"/>
      <c r="E112" s="9">
        <v>1737060</v>
      </c>
      <c r="F112" s="9">
        <v>1281900</v>
      </c>
      <c r="G112" s="9">
        <v>3018960</v>
      </c>
    </row>
    <row r="113" spans="1:7">
      <c r="A113" s="616"/>
      <c r="B113" s="2003"/>
      <c r="C113" s="124" t="s">
        <v>3656</v>
      </c>
      <c r="D113" s="9"/>
      <c r="E113" s="9">
        <v>1457460</v>
      </c>
      <c r="F113" s="9">
        <v>971640</v>
      </c>
      <c r="G113" s="9">
        <v>2429100</v>
      </c>
    </row>
    <row r="114" spans="1:7">
      <c r="A114" s="616"/>
      <c r="B114" s="2003"/>
      <c r="C114" s="124" t="s">
        <v>3657</v>
      </c>
      <c r="D114" s="9"/>
      <c r="E114" s="9">
        <v>1244160</v>
      </c>
      <c r="F114" s="9">
        <v>939900</v>
      </c>
      <c r="G114" s="9">
        <v>2184060</v>
      </c>
    </row>
    <row r="115" spans="1:7">
      <c r="A115" s="616"/>
      <c r="B115" s="2003"/>
      <c r="C115" s="11" t="s">
        <v>274</v>
      </c>
      <c r="D115" s="11"/>
      <c r="E115" s="11">
        <v>13898460</v>
      </c>
      <c r="F115" s="11">
        <v>5591640</v>
      </c>
      <c r="G115" s="11">
        <v>19490100</v>
      </c>
    </row>
    <row r="116" spans="1:7">
      <c r="A116" s="616"/>
      <c r="B116" s="1078">
        <v>13</v>
      </c>
      <c r="C116" s="11" t="s">
        <v>3513</v>
      </c>
      <c r="D116" s="1078" t="s">
        <v>259</v>
      </c>
      <c r="E116" s="11"/>
      <c r="F116" s="11"/>
      <c r="G116" s="11"/>
    </row>
    <row r="117" spans="1:7">
      <c r="A117" s="616">
        <v>123000000055</v>
      </c>
      <c r="B117" s="2003"/>
      <c r="C117" s="124" t="s">
        <v>3651</v>
      </c>
      <c r="D117" s="9"/>
      <c r="E117" s="9">
        <v>306930</v>
      </c>
      <c r="F117" s="9">
        <v>123713</v>
      </c>
      <c r="G117" s="9">
        <v>430643</v>
      </c>
    </row>
    <row r="118" spans="1:7">
      <c r="A118" s="616"/>
      <c r="B118" s="2003"/>
      <c r="C118" s="124" t="s">
        <v>3652</v>
      </c>
      <c r="D118" s="9"/>
      <c r="E118" s="9">
        <v>248078</v>
      </c>
      <c r="F118" s="9">
        <v>174832</v>
      </c>
      <c r="G118" s="9">
        <v>422910</v>
      </c>
    </row>
    <row r="119" spans="1:7">
      <c r="A119" s="616"/>
      <c r="B119" s="2003"/>
      <c r="C119" s="124" t="s">
        <v>3653</v>
      </c>
      <c r="D119" s="9"/>
      <c r="E119" s="9">
        <v>239527</v>
      </c>
      <c r="F119" s="9">
        <v>170491</v>
      </c>
      <c r="G119" s="9">
        <v>410018</v>
      </c>
    </row>
    <row r="120" spans="1:7">
      <c r="A120" s="616"/>
      <c r="B120" s="2003"/>
      <c r="C120" s="124" t="s">
        <v>3723</v>
      </c>
      <c r="D120" s="9"/>
      <c r="E120" s="9">
        <v>236700</v>
      </c>
      <c r="F120" s="9">
        <v>166350</v>
      </c>
      <c r="G120" s="9">
        <v>403050</v>
      </c>
    </row>
    <row r="121" spans="1:7">
      <c r="A121" s="616"/>
      <c r="B121" s="2003"/>
      <c r="C121" s="124" t="s">
        <v>3655</v>
      </c>
      <c r="D121" s="9"/>
      <c r="E121" s="9">
        <v>186727</v>
      </c>
      <c r="F121" s="9">
        <v>137603</v>
      </c>
      <c r="G121" s="9">
        <v>324330</v>
      </c>
    </row>
    <row r="122" spans="1:7">
      <c r="A122" s="616"/>
      <c r="B122" s="2003"/>
      <c r="C122" s="124" t="s">
        <v>3656</v>
      </c>
      <c r="D122" s="9"/>
      <c r="E122" s="9">
        <v>178260</v>
      </c>
      <c r="F122" s="9">
        <v>129180</v>
      </c>
      <c r="G122" s="9">
        <v>307440</v>
      </c>
    </row>
    <row r="123" spans="1:7">
      <c r="A123" s="616"/>
      <c r="B123" s="2003"/>
      <c r="C123" s="124" t="s">
        <v>3657</v>
      </c>
      <c r="D123" s="9"/>
      <c r="E123" s="9">
        <v>214538</v>
      </c>
      <c r="F123" s="9">
        <v>155685</v>
      </c>
      <c r="G123" s="9">
        <v>370223</v>
      </c>
    </row>
    <row r="124" spans="1:7">
      <c r="A124" s="616"/>
      <c r="B124" s="2003"/>
      <c r="C124" s="11" t="s">
        <v>274</v>
      </c>
      <c r="D124" s="11"/>
      <c r="E124" s="11">
        <v>1887519</v>
      </c>
      <c r="F124" s="11">
        <v>781095</v>
      </c>
      <c r="G124" s="11">
        <v>2668614</v>
      </c>
    </row>
    <row r="125" spans="1:7">
      <c r="A125" s="616"/>
      <c r="B125" s="1078">
        <v>14</v>
      </c>
      <c r="C125" s="11" t="s">
        <v>3609</v>
      </c>
      <c r="D125" s="1078" t="s">
        <v>259</v>
      </c>
      <c r="E125" s="11"/>
      <c r="F125" s="11"/>
      <c r="G125" s="11"/>
    </row>
    <row r="126" spans="1:7">
      <c r="A126" s="616">
        <v>123000000093</v>
      </c>
      <c r="B126" s="2003"/>
      <c r="C126" s="124" t="s">
        <v>3651</v>
      </c>
      <c r="D126" s="9"/>
      <c r="E126" s="9">
        <v>226762</v>
      </c>
      <c r="F126" s="9">
        <v>133410</v>
      </c>
      <c r="G126" s="9">
        <v>360172</v>
      </c>
    </row>
    <row r="127" spans="1:7">
      <c r="A127" s="616"/>
      <c r="B127" s="2003"/>
      <c r="C127" s="124" t="s">
        <v>3652</v>
      </c>
      <c r="D127" s="9"/>
      <c r="E127" s="9">
        <v>211081</v>
      </c>
      <c r="F127" s="9">
        <v>157267</v>
      </c>
      <c r="G127" s="9">
        <v>368348</v>
      </c>
    </row>
    <row r="128" spans="1:7">
      <c r="A128" s="616"/>
      <c r="B128" s="2003"/>
      <c r="C128" s="124" t="s">
        <v>3653</v>
      </c>
      <c r="D128" s="9"/>
      <c r="E128" s="9">
        <v>195885</v>
      </c>
      <c r="F128" s="9">
        <v>143955</v>
      </c>
      <c r="G128" s="9">
        <v>339840</v>
      </c>
    </row>
    <row r="129" spans="1:7">
      <c r="A129" s="616"/>
      <c r="B129" s="2003"/>
      <c r="C129" s="124" t="s">
        <v>3723</v>
      </c>
      <c r="D129" s="9"/>
      <c r="E129" s="9">
        <v>198615</v>
      </c>
      <c r="F129" s="9">
        <v>145380</v>
      </c>
      <c r="G129" s="9">
        <v>343995</v>
      </c>
    </row>
    <row r="130" spans="1:7">
      <c r="A130" s="616"/>
      <c r="B130" s="2003"/>
      <c r="C130" s="124" t="s">
        <v>3655</v>
      </c>
      <c r="D130" s="9"/>
      <c r="E130" s="9">
        <v>170557</v>
      </c>
      <c r="F130" s="9">
        <v>128176</v>
      </c>
      <c r="G130" s="9">
        <v>298733</v>
      </c>
    </row>
    <row r="131" spans="1:7">
      <c r="A131" s="616"/>
      <c r="B131" s="2003"/>
      <c r="C131" s="124" t="s">
        <v>3656</v>
      </c>
      <c r="D131" s="9"/>
      <c r="E131" s="9">
        <v>190395</v>
      </c>
      <c r="F131" s="9">
        <v>147780</v>
      </c>
      <c r="G131" s="9">
        <v>338175</v>
      </c>
    </row>
    <row r="132" spans="1:7">
      <c r="A132" s="616"/>
      <c r="B132" s="2003"/>
      <c r="C132" s="124" t="s">
        <v>3657</v>
      </c>
      <c r="D132" s="9"/>
      <c r="E132" s="9">
        <v>209685</v>
      </c>
      <c r="F132" s="9">
        <v>149010</v>
      </c>
      <c r="G132" s="9">
        <v>358695</v>
      </c>
    </row>
    <row r="133" spans="1:7">
      <c r="A133" s="616"/>
      <c r="B133" s="2003"/>
      <c r="C133" s="11" t="s">
        <v>274</v>
      </c>
      <c r="D133" s="11"/>
      <c r="E133" s="11">
        <v>1612178</v>
      </c>
      <c r="F133" s="11">
        <v>795780</v>
      </c>
      <c r="G133" s="11">
        <v>2407958</v>
      </c>
    </row>
    <row r="134" spans="1:7">
      <c r="A134" s="616"/>
      <c r="B134" s="1078">
        <v>15</v>
      </c>
      <c r="C134" s="11" t="s">
        <v>3514</v>
      </c>
      <c r="D134" s="1078" t="s">
        <v>259</v>
      </c>
      <c r="E134" s="11"/>
      <c r="F134" s="11"/>
      <c r="G134" s="11"/>
    </row>
    <row r="135" spans="1:7">
      <c r="A135" s="616">
        <v>123000000105</v>
      </c>
      <c r="B135" s="2003"/>
      <c r="C135" s="124" t="s">
        <v>3651</v>
      </c>
      <c r="D135" s="9"/>
      <c r="E135" s="9">
        <v>171270</v>
      </c>
      <c r="F135" s="9">
        <v>84834</v>
      </c>
      <c r="G135" s="9">
        <v>256104</v>
      </c>
    </row>
    <row r="136" spans="1:7">
      <c r="A136" s="616"/>
      <c r="B136" s="2003"/>
      <c r="C136" s="124" t="s">
        <v>3652</v>
      </c>
      <c r="D136" s="9"/>
      <c r="E136" s="9">
        <v>257742</v>
      </c>
      <c r="F136" s="9">
        <v>185175</v>
      </c>
      <c r="G136" s="9">
        <v>442917</v>
      </c>
    </row>
    <row r="137" spans="1:7">
      <c r="A137" s="616"/>
      <c r="B137" s="2003"/>
      <c r="C137" s="124" t="s">
        <v>3653</v>
      </c>
      <c r="D137" s="9"/>
      <c r="E137" s="9">
        <v>226935</v>
      </c>
      <c r="F137" s="9">
        <v>168624</v>
      </c>
      <c r="G137" s="9">
        <v>395559</v>
      </c>
    </row>
    <row r="138" spans="1:7">
      <c r="A138" s="616"/>
      <c r="B138" s="2003"/>
      <c r="C138" s="124" t="s">
        <v>3723</v>
      </c>
      <c r="D138" s="9"/>
      <c r="E138" s="9">
        <v>205965</v>
      </c>
      <c r="F138" s="9">
        <v>156600</v>
      </c>
      <c r="G138" s="9">
        <v>362565</v>
      </c>
    </row>
    <row r="139" spans="1:7">
      <c r="A139" s="616"/>
      <c r="B139" s="2003"/>
      <c r="C139" s="124" t="s">
        <v>3655</v>
      </c>
      <c r="D139" s="9"/>
      <c r="E139" s="9">
        <v>162954</v>
      </c>
      <c r="F139" s="9">
        <v>116271</v>
      </c>
      <c r="G139" s="9">
        <v>279225</v>
      </c>
    </row>
    <row r="140" spans="1:7">
      <c r="A140" s="616"/>
      <c r="B140" s="2003"/>
      <c r="C140" s="124" t="s">
        <v>3656</v>
      </c>
      <c r="D140" s="9"/>
      <c r="E140" s="9">
        <v>176391</v>
      </c>
      <c r="F140" s="9">
        <v>119826</v>
      </c>
      <c r="G140" s="9">
        <v>296217</v>
      </c>
    </row>
    <row r="141" spans="1:7">
      <c r="A141" s="616"/>
      <c r="B141" s="2003"/>
      <c r="C141" s="124" t="s">
        <v>3657</v>
      </c>
      <c r="D141" s="9"/>
      <c r="E141" s="9">
        <v>171999</v>
      </c>
      <c r="F141" s="9">
        <v>119754</v>
      </c>
      <c r="G141" s="9">
        <v>291753</v>
      </c>
    </row>
    <row r="142" spans="1:7">
      <c r="A142" s="616"/>
      <c r="B142" s="2003"/>
      <c r="C142" s="11" t="s">
        <v>274</v>
      </c>
      <c r="D142" s="11"/>
      <c r="E142" s="11">
        <v>1636290</v>
      </c>
      <c r="F142" s="11">
        <v>688050</v>
      </c>
      <c r="G142" s="11">
        <v>2324340</v>
      </c>
    </row>
    <row r="143" spans="1:7">
      <c r="A143" s="616"/>
      <c r="B143" s="1078">
        <v>16</v>
      </c>
      <c r="C143" s="11" t="s">
        <v>560</v>
      </c>
      <c r="D143" s="1078" t="s">
        <v>271</v>
      </c>
      <c r="E143" s="11"/>
      <c r="F143" s="11"/>
      <c r="G143" s="11"/>
    </row>
    <row r="144" spans="1:7">
      <c r="A144" s="616">
        <v>123000000136</v>
      </c>
      <c r="B144" s="2003"/>
      <c r="C144" s="124" t="s">
        <v>3651</v>
      </c>
      <c r="D144" s="9"/>
      <c r="E144" s="9">
        <v>10115640</v>
      </c>
      <c r="F144" s="9">
        <v>5479440</v>
      </c>
      <c r="G144" s="9">
        <v>15595080</v>
      </c>
    </row>
    <row r="145" spans="1:7">
      <c r="A145" s="616"/>
      <c r="B145" s="2003"/>
      <c r="C145" s="124" t="s">
        <v>3652</v>
      </c>
      <c r="D145" s="9"/>
      <c r="E145" s="9">
        <v>7925160</v>
      </c>
      <c r="F145" s="9">
        <v>5749800</v>
      </c>
      <c r="G145" s="9">
        <v>13674960</v>
      </c>
    </row>
    <row r="146" spans="1:7">
      <c r="A146" s="616"/>
      <c r="B146" s="2003"/>
      <c r="C146" s="124" t="s">
        <v>3653</v>
      </c>
      <c r="D146" s="9"/>
      <c r="E146" s="9">
        <v>4047325</v>
      </c>
      <c r="F146" s="9">
        <v>2988955</v>
      </c>
      <c r="G146" s="9">
        <v>7036280</v>
      </c>
    </row>
    <row r="147" spans="1:7">
      <c r="A147" s="616"/>
      <c r="B147" s="2003"/>
      <c r="C147" s="124" t="s">
        <v>3723</v>
      </c>
      <c r="D147" s="9"/>
      <c r="E147" s="9">
        <v>4596825</v>
      </c>
      <c r="F147" s="9">
        <v>3326360</v>
      </c>
      <c r="G147" s="9">
        <v>7923185</v>
      </c>
    </row>
    <row r="148" spans="1:7">
      <c r="A148" s="616"/>
      <c r="B148" s="2003"/>
      <c r="C148" s="124" t="s">
        <v>3655</v>
      </c>
      <c r="D148" s="9"/>
      <c r="E148" s="9">
        <v>1835144</v>
      </c>
      <c r="F148" s="9">
        <v>1405533</v>
      </c>
      <c r="G148" s="9">
        <v>3240677</v>
      </c>
    </row>
    <row r="149" spans="1:7">
      <c r="A149" s="616"/>
      <c r="B149" s="2003"/>
      <c r="C149" s="124" t="s">
        <v>3656</v>
      </c>
      <c r="D149" s="9"/>
      <c r="E149" s="9">
        <v>2539080</v>
      </c>
      <c r="F149" s="9">
        <v>1817760</v>
      </c>
      <c r="G149" s="9">
        <v>4356840</v>
      </c>
    </row>
    <row r="150" spans="1:7">
      <c r="A150" s="616"/>
      <c r="B150" s="2003"/>
      <c r="C150" s="124" t="s">
        <v>3657</v>
      </c>
      <c r="D150" s="9"/>
      <c r="E150" s="9">
        <v>7942049</v>
      </c>
      <c r="F150" s="9">
        <v>5773803</v>
      </c>
      <c r="G150" s="9">
        <v>13715852</v>
      </c>
    </row>
    <row r="151" spans="1:7">
      <c r="A151" s="616"/>
      <c r="B151" s="2003"/>
      <c r="C151" s="11" t="s">
        <v>274</v>
      </c>
      <c r="D151" s="11"/>
      <c r="E151" s="11">
        <f>SUM(E144:E150)</f>
        <v>39001223</v>
      </c>
      <c r="F151" s="11">
        <f>SUM(F144:F150)</f>
        <v>26541651</v>
      </c>
      <c r="G151" s="11">
        <f>SUM(G144:G150)</f>
        <v>65542874</v>
      </c>
    </row>
    <row r="152" spans="1:7">
      <c r="A152" s="616"/>
      <c r="B152" s="1078">
        <v>17</v>
      </c>
      <c r="C152" s="11" t="s">
        <v>3530</v>
      </c>
      <c r="D152" s="1078" t="s">
        <v>271</v>
      </c>
      <c r="E152" s="11"/>
      <c r="F152" s="11"/>
      <c r="G152" s="11"/>
    </row>
    <row r="153" spans="1:7">
      <c r="A153" s="616">
        <v>123000000139</v>
      </c>
      <c r="B153" s="2003"/>
      <c r="C153" s="124" t="s">
        <v>3651</v>
      </c>
      <c r="D153" s="9"/>
      <c r="E153" s="9">
        <v>24076500</v>
      </c>
      <c r="F153" s="9">
        <v>9449000</v>
      </c>
      <c r="G153" s="9">
        <v>33525500</v>
      </c>
    </row>
    <row r="154" spans="1:7">
      <c r="A154" s="616"/>
      <c r="B154" s="2003"/>
      <c r="C154" s="124" t="s">
        <v>3652</v>
      </c>
      <c r="D154" s="9"/>
      <c r="E154" s="9">
        <v>23834500</v>
      </c>
      <c r="F154" s="9">
        <v>17519000</v>
      </c>
      <c r="G154" s="9">
        <v>41353500</v>
      </c>
    </row>
    <row r="155" spans="1:7">
      <c r="A155" s="616"/>
      <c r="B155" s="2003"/>
      <c r="C155" s="124" t="s">
        <v>3653</v>
      </c>
      <c r="D155" s="9"/>
      <c r="E155" s="9">
        <v>24639000</v>
      </c>
      <c r="F155" s="9">
        <v>17266500</v>
      </c>
      <c r="G155" s="9">
        <v>41905500</v>
      </c>
    </row>
    <row r="156" spans="1:7">
      <c r="A156" s="616"/>
      <c r="B156" s="2003"/>
      <c r="C156" s="124" t="s">
        <v>3723</v>
      </c>
      <c r="D156" s="9"/>
      <c r="E156" s="9">
        <v>18663860</v>
      </c>
      <c r="F156" s="9">
        <v>13956660</v>
      </c>
      <c r="G156" s="9">
        <v>32620520</v>
      </c>
    </row>
    <row r="157" spans="1:7">
      <c r="A157" s="616"/>
      <c r="B157" s="2003"/>
      <c r="C157" s="124" t="s">
        <v>3655</v>
      </c>
      <c r="D157" s="9"/>
      <c r="E157" s="9">
        <v>22422240</v>
      </c>
      <c r="F157" s="9">
        <v>15896160</v>
      </c>
      <c r="G157" s="9">
        <v>38318400</v>
      </c>
    </row>
    <row r="158" spans="1:7">
      <c r="A158" s="616"/>
      <c r="B158" s="2003"/>
      <c r="C158" s="124" t="s">
        <v>3656</v>
      </c>
      <c r="D158" s="9"/>
      <c r="E158" s="9">
        <v>17540880</v>
      </c>
      <c r="F158" s="9">
        <v>12487440</v>
      </c>
      <c r="G158" s="9">
        <v>30028320</v>
      </c>
    </row>
    <row r="159" spans="1:7">
      <c r="A159" s="616"/>
      <c r="B159" s="2003"/>
      <c r="C159" s="124" t="s">
        <v>3657</v>
      </c>
      <c r="D159" s="9"/>
      <c r="E159" s="9">
        <v>17527920</v>
      </c>
      <c r="F159" s="9">
        <v>12492000</v>
      </c>
      <c r="G159" s="9">
        <v>30019920</v>
      </c>
    </row>
    <row r="160" spans="1:7">
      <c r="A160" s="616"/>
      <c r="B160" s="2003"/>
      <c r="C160" s="11" t="s">
        <v>274</v>
      </c>
      <c r="D160" s="11"/>
      <c r="E160" s="11">
        <v>148704900</v>
      </c>
      <c r="F160" s="11">
        <v>99066760</v>
      </c>
      <c r="G160" s="11">
        <v>247771660</v>
      </c>
    </row>
    <row r="161" spans="1:7">
      <c r="A161" s="616"/>
      <c r="B161" s="1078">
        <v>18</v>
      </c>
      <c r="C161" s="11" t="s">
        <v>622</v>
      </c>
      <c r="D161" s="1078" t="s">
        <v>259</v>
      </c>
      <c r="E161" s="11"/>
      <c r="F161" s="11"/>
      <c r="G161" s="11"/>
    </row>
    <row r="162" spans="1:7">
      <c r="A162" s="616">
        <v>123000000144</v>
      </c>
      <c r="B162" s="2003"/>
      <c r="C162" s="124" t="s">
        <v>3651</v>
      </c>
      <c r="D162" s="9"/>
      <c r="E162" s="9">
        <v>4905</v>
      </c>
      <c r="F162" s="9">
        <v>2979</v>
      </c>
      <c r="G162" s="9">
        <v>7884</v>
      </c>
    </row>
    <row r="163" spans="1:7">
      <c r="A163" s="616"/>
      <c r="B163" s="2003"/>
      <c r="C163" s="124" t="s">
        <v>3652</v>
      </c>
      <c r="D163" s="9"/>
      <c r="E163" s="9">
        <v>71955</v>
      </c>
      <c r="F163" s="9">
        <v>41301</v>
      </c>
      <c r="G163" s="9">
        <v>113256</v>
      </c>
    </row>
    <row r="164" spans="1:7">
      <c r="A164" s="616"/>
      <c r="B164" s="2003"/>
      <c r="C164" s="124" t="s">
        <v>3653</v>
      </c>
      <c r="D164" s="9"/>
      <c r="E164" s="9">
        <v>214740</v>
      </c>
      <c r="F164" s="9">
        <v>135531</v>
      </c>
      <c r="G164" s="9">
        <v>350271</v>
      </c>
    </row>
    <row r="165" spans="1:7">
      <c r="A165" s="616"/>
      <c r="B165" s="2003"/>
      <c r="C165" s="124" t="s">
        <v>3723</v>
      </c>
      <c r="D165" s="9"/>
      <c r="E165" s="9">
        <v>302787</v>
      </c>
      <c r="F165" s="9">
        <v>209889</v>
      </c>
      <c r="G165" s="9">
        <v>512676</v>
      </c>
    </row>
    <row r="166" spans="1:7">
      <c r="A166" s="616"/>
      <c r="B166" s="2003"/>
      <c r="C166" s="124" t="s">
        <v>3655</v>
      </c>
      <c r="D166" s="9"/>
      <c r="E166" s="9">
        <v>280323</v>
      </c>
      <c r="F166" s="9">
        <v>182538</v>
      </c>
      <c r="G166" s="9">
        <v>462861</v>
      </c>
    </row>
    <row r="167" spans="1:7">
      <c r="A167" s="616"/>
      <c r="B167" s="2003"/>
      <c r="C167" s="124" t="s">
        <v>3656</v>
      </c>
      <c r="D167" s="9"/>
      <c r="E167" s="9">
        <v>240489</v>
      </c>
      <c r="F167" s="9">
        <v>159471</v>
      </c>
      <c r="G167" s="9">
        <v>399960</v>
      </c>
    </row>
    <row r="168" spans="1:7">
      <c r="A168" s="616"/>
      <c r="B168" s="2003"/>
      <c r="C168" s="124" t="s">
        <v>3657</v>
      </c>
      <c r="D168" s="9"/>
      <c r="E168" s="9">
        <v>263331</v>
      </c>
      <c r="F168" s="9">
        <v>162720</v>
      </c>
      <c r="G168" s="9">
        <v>426051</v>
      </c>
    </row>
    <row r="169" spans="1:7">
      <c r="A169" s="616"/>
      <c r="B169" s="2003"/>
      <c r="C169" s="11" t="s">
        <v>274</v>
      </c>
      <c r="D169" s="11"/>
      <c r="E169" s="11">
        <v>1671417</v>
      </c>
      <c r="F169" s="11">
        <v>601542</v>
      </c>
      <c r="G169" s="11">
        <v>2272959</v>
      </c>
    </row>
    <row r="170" spans="1:7">
      <c r="A170" s="616"/>
      <c r="B170" s="1078">
        <v>19</v>
      </c>
      <c r="C170" s="11" t="s">
        <v>708</v>
      </c>
      <c r="D170" s="1078" t="s">
        <v>259</v>
      </c>
      <c r="E170" s="11"/>
      <c r="F170" s="11"/>
      <c r="G170" s="11"/>
    </row>
    <row r="171" spans="1:7">
      <c r="A171" s="616">
        <v>124000000075</v>
      </c>
      <c r="B171" s="2003"/>
      <c r="C171" s="124" t="s">
        <v>3651</v>
      </c>
      <c r="D171" s="9"/>
      <c r="E171" s="9">
        <v>18300</v>
      </c>
      <c r="F171" s="9">
        <v>2550</v>
      </c>
      <c r="G171" s="9">
        <v>20850</v>
      </c>
    </row>
    <row r="172" spans="1:7">
      <c r="A172" s="616"/>
      <c r="B172" s="2003"/>
      <c r="C172" s="124" t="s">
        <v>3652</v>
      </c>
      <c r="D172" s="9"/>
      <c r="E172" s="9">
        <v>5550</v>
      </c>
      <c r="F172" s="9">
        <v>3000</v>
      </c>
      <c r="G172" s="9">
        <v>8550</v>
      </c>
    </row>
    <row r="173" spans="1:7">
      <c r="A173" s="616"/>
      <c r="B173" s="2003"/>
      <c r="C173" s="124" t="s">
        <v>3653</v>
      </c>
      <c r="D173" s="9"/>
      <c r="E173" s="9">
        <v>5010</v>
      </c>
      <c r="F173" s="9">
        <v>2760</v>
      </c>
      <c r="G173" s="9">
        <v>7770</v>
      </c>
    </row>
    <row r="174" spans="1:7">
      <c r="A174" s="616"/>
      <c r="B174" s="2003"/>
      <c r="C174" s="124" t="s">
        <v>3723</v>
      </c>
      <c r="D174" s="9"/>
      <c r="E174" s="9">
        <v>36690</v>
      </c>
      <c r="F174" s="9">
        <v>15510</v>
      </c>
      <c r="G174" s="9">
        <v>52200</v>
      </c>
    </row>
    <row r="175" spans="1:7">
      <c r="A175" s="616"/>
      <c r="B175" s="2003"/>
      <c r="C175" s="124" t="s">
        <v>3655</v>
      </c>
      <c r="D175" s="9"/>
      <c r="E175" s="9">
        <v>44490</v>
      </c>
      <c r="F175" s="9">
        <v>25440</v>
      </c>
      <c r="G175" s="9">
        <v>69930</v>
      </c>
    </row>
    <row r="176" spans="1:7">
      <c r="A176" s="616"/>
      <c r="B176" s="2003"/>
      <c r="C176" s="124" t="s">
        <v>3656</v>
      </c>
      <c r="D176" s="9"/>
      <c r="E176" s="9">
        <v>31920</v>
      </c>
      <c r="F176" s="9">
        <v>17880</v>
      </c>
      <c r="G176" s="9">
        <v>49800</v>
      </c>
    </row>
    <row r="177" spans="1:7">
      <c r="A177" s="616"/>
      <c r="B177" s="2003"/>
      <c r="C177" s="124" t="s">
        <v>3657</v>
      </c>
      <c r="D177" s="9"/>
      <c r="E177" s="9">
        <v>25920</v>
      </c>
      <c r="F177" s="9">
        <v>14160</v>
      </c>
      <c r="G177" s="9">
        <v>40080</v>
      </c>
    </row>
    <row r="178" spans="1:7">
      <c r="A178" s="616"/>
      <c r="B178" s="2003"/>
      <c r="C178" s="11" t="s">
        <v>274</v>
      </c>
      <c r="D178" s="11"/>
      <c r="E178" s="11">
        <v>208770</v>
      </c>
      <c r="F178" s="11">
        <v>40410</v>
      </c>
      <c r="G178" s="11">
        <v>249180</v>
      </c>
    </row>
    <row r="179" spans="1:7">
      <c r="A179" s="616"/>
      <c r="B179" s="1078">
        <v>20</v>
      </c>
      <c r="C179" s="11" t="s">
        <v>656</v>
      </c>
      <c r="D179" s="1078" t="s">
        <v>259</v>
      </c>
      <c r="E179" s="11"/>
      <c r="F179" s="11"/>
      <c r="G179" s="11"/>
    </row>
    <row r="180" spans="1:7">
      <c r="A180" s="616">
        <v>124000000081</v>
      </c>
      <c r="B180" s="2003"/>
      <c r="C180" s="124" t="s">
        <v>3656</v>
      </c>
      <c r="D180" s="9"/>
      <c r="E180" s="9">
        <v>15</v>
      </c>
      <c r="F180" s="9">
        <v>15</v>
      </c>
      <c r="G180" s="9">
        <v>30</v>
      </c>
    </row>
    <row r="181" spans="1:7">
      <c r="A181" s="616"/>
      <c r="B181" s="2003"/>
      <c r="C181" s="124" t="s">
        <v>3657</v>
      </c>
      <c r="D181" s="9"/>
      <c r="E181" s="9">
        <v>6345</v>
      </c>
      <c r="F181" s="9">
        <v>1485</v>
      </c>
      <c r="G181" s="9">
        <v>7830</v>
      </c>
    </row>
    <row r="182" spans="1:7">
      <c r="A182" s="616"/>
      <c r="B182" s="2003"/>
      <c r="C182" s="11" t="s">
        <v>274</v>
      </c>
      <c r="D182" s="11"/>
      <c r="E182" s="11">
        <v>6360</v>
      </c>
      <c r="F182" s="11">
        <v>1500</v>
      </c>
      <c r="G182" s="11">
        <v>7860</v>
      </c>
    </row>
    <row r="183" spans="1:7">
      <c r="A183" s="616"/>
      <c r="B183" s="1078">
        <v>21</v>
      </c>
      <c r="C183" s="11" t="s">
        <v>711</v>
      </c>
      <c r="D183" s="1078" t="s">
        <v>259</v>
      </c>
      <c r="E183" s="11"/>
      <c r="F183" s="11"/>
      <c r="G183" s="11"/>
    </row>
    <row r="184" spans="1:7">
      <c r="A184" s="616">
        <v>125000000044</v>
      </c>
      <c r="B184" s="2003"/>
      <c r="C184" s="124" t="s">
        <v>3651</v>
      </c>
      <c r="D184" s="9"/>
      <c r="E184" s="9">
        <v>1539</v>
      </c>
      <c r="F184" s="9">
        <v>666</v>
      </c>
      <c r="G184" s="9">
        <v>2205</v>
      </c>
    </row>
    <row r="185" spans="1:7">
      <c r="A185" s="616"/>
      <c r="B185" s="2003"/>
      <c r="C185" s="124" t="s">
        <v>3652</v>
      </c>
      <c r="D185" s="9"/>
      <c r="E185" s="9">
        <v>1116</v>
      </c>
      <c r="F185" s="9">
        <v>783</v>
      </c>
      <c r="G185" s="9">
        <v>1899</v>
      </c>
    </row>
    <row r="186" spans="1:7">
      <c r="A186" s="616"/>
      <c r="B186" s="2003"/>
      <c r="C186" s="124" t="s">
        <v>3653</v>
      </c>
      <c r="D186" s="9"/>
      <c r="E186" s="9">
        <v>2016</v>
      </c>
      <c r="F186" s="9">
        <v>1341</v>
      </c>
      <c r="G186" s="9">
        <v>3357</v>
      </c>
    </row>
    <row r="187" spans="1:7">
      <c r="A187" s="616"/>
      <c r="B187" s="2003"/>
      <c r="C187" s="124" t="s">
        <v>3723</v>
      </c>
      <c r="D187" s="9"/>
      <c r="E187" s="9">
        <v>56781</v>
      </c>
      <c r="F187" s="9">
        <v>21681</v>
      </c>
      <c r="G187" s="9">
        <v>78462</v>
      </c>
    </row>
    <row r="188" spans="1:7">
      <c r="A188" s="616"/>
      <c r="B188" s="2003"/>
      <c r="C188" s="124" t="s">
        <v>3655</v>
      </c>
      <c r="D188" s="9"/>
      <c r="E188" s="9">
        <v>27405</v>
      </c>
      <c r="F188" s="9">
        <v>8262</v>
      </c>
      <c r="G188" s="9">
        <v>35667</v>
      </c>
    </row>
    <row r="189" spans="1:7">
      <c r="A189" s="616"/>
      <c r="B189" s="2003"/>
      <c r="C189" s="124" t="s">
        <v>3656</v>
      </c>
      <c r="D189" s="9"/>
      <c r="E189" s="9">
        <v>151425</v>
      </c>
      <c r="F189" s="9">
        <v>23922</v>
      </c>
      <c r="G189" s="9">
        <v>175347</v>
      </c>
    </row>
    <row r="190" spans="1:7">
      <c r="A190" s="616"/>
      <c r="B190" s="2003"/>
      <c r="C190" s="124" t="s">
        <v>3657</v>
      </c>
      <c r="D190" s="9"/>
      <c r="E190" s="9">
        <v>86112</v>
      </c>
      <c r="F190" s="9">
        <v>54648</v>
      </c>
      <c r="G190" s="9">
        <v>140760</v>
      </c>
    </row>
    <row r="191" spans="1:7">
      <c r="A191" s="616"/>
      <c r="B191" s="2003"/>
      <c r="C191" s="11" t="s">
        <v>274</v>
      </c>
      <c r="D191" s="11"/>
      <c r="E191" s="11">
        <v>355311</v>
      </c>
      <c r="F191" s="11">
        <v>82386</v>
      </c>
      <c r="G191" s="11">
        <v>437697</v>
      </c>
    </row>
    <row r="192" spans="1:7">
      <c r="A192" s="616"/>
      <c r="B192" s="1078">
        <v>22</v>
      </c>
      <c r="C192" s="11" t="s">
        <v>708</v>
      </c>
      <c r="D192" s="1078" t="s">
        <v>259</v>
      </c>
      <c r="E192" s="11"/>
      <c r="F192" s="11"/>
      <c r="G192" s="11"/>
    </row>
    <row r="193" spans="1:7">
      <c r="A193" s="616">
        <v>125000000047</v>
      </c>
      <c r="B193" s="2003"/>
      <c r="C193" s="124" t="s">
        <v>3651</v>
      </c>
      <c r="D193" s="9"/>
      <c r="E193" s="9">
        <v>1740</v>
      </c>
      <c r="F193" s="9">
        <v>1110</v>
      </c>
      <c r="G193" s="9">
        <v>2850</v>
      </c>
    </row>
    <row r="194" spans="1:7">
      <c r="A194" s="616"/>
      <c r="B194" s="2003"/>
      <c r="C194" s="124" t="s">
        <v>3652</v>
      </c>
      <c r="D194" s="9"/>
      <c r="E194" s="9">
        <v>1680</v>
      </c>
      <c r="F194" s="9">
        <v>1140</v>
      </c>
      <c r="G194" s="9">
        <v>2820</v>
      </c>
    </row>
    <row r="195" spans="1:7">
      <c r="A195" s="616"/>
      <c r="B195" s="2003"/>
      <c r="C195" s="124" t="s">
        <v>3653</v>
      </c>
      <c r="D195" s="9"/>
      <c r="E195" s="9">
        <v>2310</v>
      </c>
      <c r="F195" s="9">
        <v>1590</v>
      </c>
      <c r="G195" s="9">
        <v>3900</v>
      </c>
    </row>
    <row r="196" spans="1:7">
      <c r="A196" s="616"/>
      <c r="B196" s="2003"/>
      <c r="C196" s="124" t="s">
        <v>3723</v>
      </c>
      <c r="D196" s="9"/>
      <c r="E196" s="9">
        <v>4140</v>
      </c>
      <c r="F196" s="9">
        <v>3000</v>
      </c>
      <c r="G196" s="9">
        <v>7140</v>
      </c>
    </row>
    <row r="197" spans="1:7">
      <c r="A197" s="616"/>
      <c r="B197" s="2003"/>
      <c r="C197" s="124" t="s">
        <v>3655</v>
      </c>
      <c r="D197" s="9"/>
      <c r="E197" s="9">
        <v>8790</v>
      </c>
      <c r="F197" s="9">
        <v>2970</v>
      </c>
      <c r="G197" s="9">
        <v>11760</v>
      </c>
    </row>
    <row r="198" spans="1:7">
      <c r="A198" s="616"/>
      <c r="B198" s="2003"/>
      <c r="C198" s="124" t="s">
        <v>3656</v>
      </c>
      <c r="D198" s="9"/>
      <c r="E198" s="9">
        <v>35250</v>
      </c>
      <c r="F198" s="9">
        <v>8820</v>
      </c>
      <c r="G198" s="9">
        <v>44070</v>
      </c>
    </row>
    <row r="199" spans="1:7">
      <c r="A199" s="616"/>
      <c r="B199" s="2003"/>
      <c r="C199" s="124" t="s">
        <v>3657</v>
      </c>
      <c r="D199" s="9"/>
      <c r="E199" s="9">
        <v>5970</v>
      </c>
      <c r="F199" s="9">
        <v>2370</v>
      </c>
      <c r="G199" s="9">
        <v>8340</v>
      </c>
    </row>
    <row r="200" spans="1:7">
      <c r="A200" s="616"/>
      <c r="B200" s="2003"/>
      <c r="C200" s="11" t="s">
        <v>274</v>
      </c>
      <c r="D200" s="11"/>
      <c r="E200" s="11">
        <v>64680</v>
      </c>
      <c r="F200" s="11">
        <v>16200</v>
      </c>
      <c r="G200" s="11">
        <v>80880</v>
      </c>
    </row>
    <row r="201" spans="1:7">
      <c r="A201" s="616"/>
      <c r="B201" s="1078">
        <v>23</v>
      </c>
      <c r="C201" s="11" t="s">
        <v>658</v>
      </c>
      <c r="D201" s="1078" t="s">
        <v>259</v>
      </c>
      <c r="E201" s="11"/>
      <c r="F201" s="11"/>
      <c r="G201" s="11"/>
    </row>
    <row r="202" spans="1:7">
      <c r="A202" s="616">
        <v>125000000048</v>
      </c>
      <c r="B202" s="2003"/>
      <c r="C202" s="124" t="s">
        <v>3651</v>
      </c>
      <c r="D202" s="9"/>
      <c r="E202" s="9">
        <v>94380</v>
      </c>
      <c r="F202" s="9">
        <v>7740</v>
      </c>
      <c r="G202" s="9">
        <v>102120</v>
      </c>
    </row>
    <row r="203" spans="1:7">
      <c r="A203" s="616"/>
      <c r="B203" s="2003"/>
      <c r="C203" s="124" t="s">
        <v>3652</v>
      </c>
      <c r="D203" s="9"/>
      <c r="E203" s="9">
        <v>41520</v>
      </c>
      <c r="F203" s="9">
        <v>18870</v>
      </c>
      <c r="G203" s="9">
        <v>60390</v>
      </c>
    </row>
    <row r="204" spans="1:7">
      <c r="A204" s="616"/>
      <c r="B204" s="2003"/>
      <c r="C204" s="124" t="s">
        <v>3653</v>
      </c>
      <c r="D204" s="9"/>
      <c r="E204" s="9">
        <v>92650</v>
      </c>
      <c r="F204" s="9">
        <v>55640</v>
      </c>
      <c r="G204" s="9">
        <v>148290</v>
      </c>
    </row>
    <row r="205" spans="1:7">
      <c r="A205" s="616"/>
      <c r="B205" s="2003"/>
      <c r="C205" s="124" t="s">
        <v>3723</v>
      </c>
      <c r="D205" s="9"/>
      <c r="E205" s="9">
        <v>148890</v>
      </c>
      <c r="F205" s="9">
        <v>74820</v>
      </c>
      <c r="G205" s="9">
        <v>223710</v>
      </c>
    </row>
    <row r="206" spans="1:7">
      <c r="A206" s="616"/>
      <c r="B206" s="2003"/>
      <c r="C206" s="124" t="s">
        <v>3655</v>
      </c>
      <c r="D206" s="9"/>
      <c r="E206" s="9">
        <v>124080</v>
      </c>
      <c r="F206" s="9">
        <v>69780</v>
      </c>
      <c r="G206" s="9">
        <v>193860</v>
      </c>
    </row>
    <row r="207" spans="1:7">
      <c r="A207" s="616"/>
      <c r="B207" s="2003"/>
      <c r="C207" s="124" t="s">
        <v>3656</v>
      </c>
      <c r="D207" s="9"/>
      <c r="E207" s="9">
        <v>35100</v>
      </c>
      <c r="F207" s="9">
        <v>24000</v>
      </c>
      <c r="G207" s="9">
        <v>59100</v>
      </c>
    </row>
    <row r="208" spans="1:7">
      <c r="A208" s="616"/>
      <c r="B208" s="2003"/>
      <c r="C208" s="124" t="s">
        <v>3657</v>
      </c>
      <c r="D208" s="9"/>
      <c r="E208" s="9">
        <v>109140</v>
      </c>
      <c r="F208" s="9">
        <v>49500</v>
      </c>
      <c r="G208" s="9">
        <v>158640</v>
      </c>
    </row>
    <row r="209" spans="1:7">
      <c r="A209" s="616"/>
      <c r="B209" s="2003"/>
      <c r="C209" s="11" t="s">
        <v>274</v>
      </c>
      <c r="D209" s="11"/>
      <c r="E209" s="11">
        <v>835170</v>
      </c>
      <c r="F209" s="11">
        <v>110940</v>
      </c>
      <c r="G209" s="11">
        <v>946110</v>
      </c>
    </row>
    <row r="210" spans="1:7">
      <c r="A210" s="616"/>
      <c r="B210" s="1078">
        <v>24</v>
      </c>
      <c r="C210" s="11" t="s">
        <v>626</v>
      </c>
      <c r="D210" s="1078" t="s">
        <v>259</v>
      </c>
      <c r="E210" s="11"/>
      <c r="F210" s="11"/>
      <c r="G210" s="11"/>
    </row>
    <row r="211" spans="1:7">
      <c r="A211" s="616">
        <v>126000000034</v>
      </c>
      <c r="B211" s="2003"/>
      <c r="C211" s="124" t="s">
        <v>3651</v>
      </c>
      <c r="D211" s="9"/>
      <c r="E211" s="9">
        <v>422520</v>
      </c>
      <c r="F211" s="9">
        <v>222600</v>
      </c>
      <c r="G211" s="9">
        <v>645120</v>
      </c>
    </row>
    <row r="212" spans="1:7">
      <c r="A212" s="616"/>
      <c r="B212" s="2003"/>
      <c r="C212" s="124" t="s">
        <v>3652</v>
      </c>
      <c r="D212" s="9"/>
      <c r="E212" s="9">
        <v>694140</v>
      </c>
      <c r="F212" s="9">
        <v>462930</v>
      </c>
      <c r="G212" s="9">
        <v>1157070</v>
      </c>
    </row>
    <row r="213" spans="1:7">
      <c r="A213" s="616"/>
      <c r="B213" s="2003"/>
      <c r="C213" s="124" t="s">
        <v>3653</v>
      </c>
      <c r="D213" s="9"/>
      <c r="E213" s="9">
        <v>678180</v>
      </c>
      <c r="F213" s="9">
        <v>463980</v>
      </c>
      <c r="G213" s="9">
        <v>1142160</v>
      </c>
    </row>
    <row r="214" spans="1:7">
      <c r="A214" s="616"/>
      <c r="B214" s="2003"/>
      <c r="C214" s="124" t="s">
        <v>3723</v>
      </c>
      <c r="D214" s="9"/>
      <c r="E214" s="9">
        <v>758280</v>
      </c>
      <c r="F214" s="9">
        <v>532770</v>
      </c>
      <c r="G214" s="9">
        <v>1291050</v>
      </c>
    </row>
    <row r="215" spans="1:7">
      <c r="A215" s="616"/>
      <c r="B215" s="2003"/>
      <c r="C215" s="124" t="s">
        <v>3655</v>
      </c>
      <c r="D215" s="9"/>
      <c r="E215" s="9">
        <v>659520</v>
      </c>
      <c r="F215" s="9">
        <v>439020</v>
      </c>
      <c r="G215" s="9">
        <v>1098540</v>
      </c>
    </row>
    <row r="216" spans="1:7">
      <c r="A216" s="616"/>
      <c r="B216" s="2003"/>
      <c r="C216" s="124" t="s">
        <v>3656</v>
      </c>
      <c r="D216" s="9"/>
      <c r="E216" s="9">
        <v>520080</v>
      </c>
      <c r="F216" s="9">
        <v>327810</v>
      </c>
      <c r="G216" s="9">
        <v>847890</v>
      </c>
    </row>
    <row r="217" spans="1:7">
      <c r="A217" s="616"/>
      <c r="B217" s="2003"/>
      <c r="C217" s="124" t="s">
        <v>3657</v>
      </c>
      <c r="D217" s="9"/>
      <c r="E217" s="9">
        <v>492570</v>
      </c>
      <c r="F217" s="9">
        <v>266160</v>
      </c>
      <c r="G217" s="9">
        <v>758730</v>
      </c>
    </row>
    <row r="218" spans="1:7">
      <c r="A218" s="616"/>
      <c r="B218" s="2003"/>
      <c r="C218" s="11" t="s">
        <v>274</v>
      </c>
      <c r="D218" s="11"/>
      <c r="E218" s="11">
        <v>4983390</v>
      </c>
      <c r="F218" s="11">
        <v>1957170</v>
      </c>
      <c r="G218" s="11">
        <v>6940560</v>
      </c>
    </row>
    <row r="219" spans="1:7">
      <c r="A219" s="616"/>
      <c r="B219" s="1078">
        <v>25</v>
      </c>
      <c r="C219" s="11" t="s">
        <v>640</v>
      </c>
      <c r="D219" s="1078" t="s">
        <v>259</v>
      </c>
      <c r="E219" s="11"/>
      <c r="F219" s="11"/>
      <c r="G219" s="11"/>
    </row>
    <row r="220" spans="1:7">
      <c r="A220" s="616">
        <v>126000000047</v>
      </c>
      <c r="B220" s="2003"/>
      <c r="C220" s="124" t="s">
        <v>3651</v>
      </c>
      <c r="D220" s="9"/>
      <c r="E220" s="9">
        <v>30270</v>
      </c>
      <c r="F220" s="9">
        <v>6780</v>
      </c>
      <c r="G220" s="9">
        <v>37050</v>
      </c>
    </row>
    <row r="221" spans="1:7">
      <c r="A221" s="616"/>
      <c r="B221" s="2003"/>
      <c r="C221" s="124" t="s">
        <v>3652</v>
      </c>
      <c r="D221" s="9"/>
      <c r="E221" s="9">
        <v>18015</v>
      </c>
      <c r="F221" s="9">
        <v>12525</v>
      </c>
      <c r="G221" s="9">
        <v>30540</v>
      </c>
    </row>
    <row r="222" spans="1:7">
      <c r="A222" s="616"/>
      <c r="B222" s="2003"/>
      <c r="C222" s="124" t="s">
        <v>3653</v>
      </c>
      <c r="D222" s="9"/>
      <c r="E222" s="9">
        <v>18360</v>
      </c>
      <c r="F222" s="9">
        <v>11850</v>
      </c>
      <c r="G222" s="9">
        <v>30210</v>
      </c>
    </row>
    <row r="223" spans="1:7">
      <c r="A223" s="616"/>
      <c r="B223" s="2003"/>
      <c r="C223" s="124" t="s">
        <v>3723</v>
      </c>
      <c r="D223" s="9"/>
      <c r="E223" s="9">
        <v>17460</v>
      </c>
      <c r="F223" s="9">
        <v>12135</v>
      </c>
      <c r="G223" s="9">
        <v>29595</v>
      </c>
    </row>
    <row r="224" spans="1:7">
      <c r="A224" s="616"/>
      <c r="B224" s="2003"/>
      <c r="C224" s="124" t="s">
        <v>3655</v>
      </c>
      <c r="D224" s="9"/>
      <c r="E224" s="9">
        <v>16305</v>
      </c>
      <c r="F224" s="9">
        <v>10965</v>
      </c>
      <c r="G224" s="9">
        <v>27270</v>
      </c>
    </row>
    <row r="225" spans="1:7">
      <c r="A225" s="616"/>
      <c r="B225" s="2003"/>
      <c r="C225" s="124" t="s">
        <v>3656</v>
      </c>
      <c r="D225" s="9"/>
      <c r="E225" s="9">
        <v>18030</v>
      </c>
      <c r="F225" s="9">
        <v>12435</v>
      </c>
      <c r="G225" s="9">
        <v>30465</v>
      </c>
    </row>
    <row r="226" spans="1:7">
      <c r="A226" s="616"/>
      <c r="B226" s="2003"/>
      <c r="C226" s="124" t="s">
        <v>3657</v>
      </c>
      <c r="D226" s="9"/>
      <c r="E226" s="9">
        <v>13110</v>
      </c>
      <c r="F226" s="9">
        <v>8955</v>
      </c>
      <c r="G226" s="9">
        <v>22065</v>
      </c>
    </row>
    <row r="227" spans="1:7">
      <c r="A227" s="616"/>
      <c r="B227" s="2003"/>
      <c r="C227" s="11" t="s">
        <v>274</v>
      </c>
      <c r="D227" s="11"/>
      <c r="E227" s="11">
        <v>156165</v>
      </c>
      <c r="F227" s="11">
        <v>51030</v>
      </c>
      <c r="G227" s="11">
        <v>207195</v>
      </c>
    </row>
    <row r="228" spans="1:7">
      <c r="A228" s="616"/>
      <c r="B228" s="1078">
        <v>26</v>
      </c>
      <c r="C228" s="11" t="s">
        <v>606</v>
      </c>
      <c r="D228" s="1078" t="s">
        <v>271</v>
      </c>
      <c r="E228" s="11"/>
      <c r="F228" s="11"/>
      <c r="G228" s="11"/>
    </row>
    <row r="229" spans="1:7">
      <c r="A229" s="616">
        <v>127000000001</v>
      </c>
      <c r="B229" s="2003"/>
      <c r="C229" s="124" t="s">
        <v>3651</v>
      </c>
      <c r="D229" s="9"/>
      <c r="E229" s="9">
        <v>3904200</v>
      </c>
      <c r="F229" s="9">
        <v>1293240</v>
      </c>
      <c r="G229" s="9">
        <v>5197440</v>
      </c>
    </row>
    <row r="230" spans="1:7">
      <c r="A230" s="616"/>
      <c r="B230" s="2003"/>
      <c r="C230" s="124" t="s">
        <v>3652</v>
      </c>
      <c r="D230" s="9"/>
      <c r="E230" s="9">
        <v>4139640</v>
      </c>
      <c r="F230" s="9">
        <v>1347840</v>
      </c>
      <c r="G230" s="9">
        <v>5487480</v>
      </c>
    </row>
    <row r="231" spans="1:7">
      <c r="A231" s="616"/>
      <c r="B231" s="2003"/>
      <c r="C231" s="124" t="s">
        <v>3653</v>
      </c>
      <c r="D231" s="9"/>
      <c r="E231" s="9">
        <v>2421720</v>
      </c>
      <c r="F231" s="9">
        <v>816840</v>
      </c>
      <c r="G231" s="9">
        <v>3238560</v>
      </c>
    </row>
    <row r="232" spans="1:7">
      <c r="A232" s="616"/>
      <c r="B232" s="2003"/>
      <c r="C232" s="124" t="s">
        <v>3723</v>
      </c>
      <c r="D232" s="9"/>
      <c r="E232" s="9">
        <v>3792480</v>
      </c>
      <c r="F232" s="9">
        <v>1242000</v>
      </c>
      <c r="G232" s="9">
        <v>5034480</v>
      </c>
    </row>
    <row r="233" spans="1:7">
      <c r="A233" s="616"/>
      <c r="B233" s="2003"/>
      <c r="C233" s="124" t="s">
        <v>3655</v>
      </c>
      <c r="D233" s="9"/>
      <c r="E233" s="9">
        <v>3748320</v>
      </c>
      <c r="F233" s="9">
        <v>1237560</v>
      </c>
      <c r="G233" s="9">
        <v>4985880</v>
      </c>
    </row>
    <row r="234" spans="1:7">
      <c r="A234" s="616"/>
      <c r="B234" s="2003"/>
      <c r="C234" s="124" t="s">
        <v>3656</v>
      </c>
      <c r="D234" s="9"/>
      <c r="E234" s="9">
        <v>3868320</v>
      </c>
      <c r="F234" s="9">
        <v>1260840</v>
      </c>
      <c r="G234" s="9">
        <v>5129160</v>
      </c>
    </row>
    <row r="235" spans="1:7">
      <c r="A235" s="616"/>
      <c r="B235" s="2003"/>
      <c r="C235" s="124" t="s">
        <v>3657</v>
      </c>
      <c r="D235" s="9"/>
      <c r="E235" s="9">
        <v>3865800</v>
      </c>
      <c r="F235" s="9">
        <v>1323120</v>
      </c>
      <c r="G235" s="9">
        <v>5188920</v>
      </c>
    </row>
    <row r="236" spans="1:7">
      <c r="A236" s="616"/>
      <c r="B236" s="2003"/>
      <c r="C236" s="11" t="s">
        <v>274</v>
      </c>
      <c r="D236" s="11"/>
      <c r="E236" s="11">
        <v>25740480</v>
      </c>
      <c r="F236" s="11">
        <v>8521440</v>
      </c>
      <c r="G236" s="11">
        <v>34261920</v>
      </c>
    </row>
    <row r="237" spans="1:7">
      <c r="A237" s="616"/>
      <c r="B237" s="1078">
        <v>27</v>
      </c>
      <c r="C237" s="11" t="s">
        <v>714</v>
      </c>
      <c r="D237" s="1078" t="s">
        <v>259</v>
      </c>
      <c r="E237" s="11"/>
      <c r="F237" s="11"/>
      <c r="G237" s="11"/>
    </row>
    <row r="238" spans="1:7">
      <c r="A238" s="616">
        <v>129000000006</v>
      </c>
      <c r="B238" s="2003"/>
      <c r="C238" s="124" t="s">
        <v>3651</v>
      </c>
      <c r="D238" s="9"/>
      <c r="E238" s="9">
        <v>4095</v>
      </c>
      <c r="F238" s="9">
        <v>2070</v>
      </c>
      <c r="G238" s="9">
        <v>6165</v>
      </c>
    </row>
    <row r="239" spans="1:7">
      <c r="A239" s="616"/>
      <c r="B239" s="2003"/>
      <c r="C239" s="124" t="s">
        <v>3652</v>
      </c>
      <c r="D239" s="9"/>
      <c r="E239" s="9">
        <v>1485</v>
      </c>
      <c r="F239" s="9">
        <v>990</v>
      </c>
      <c r="G239" s="9">
        <v>2475</v>
      </c>
    </row>
    <row r="240" spans="1:7">
      <c r="A240" s="616"/>
      <c r="B240" s="2003"/>
      <c r="C240" s="124" t="s">
        <v>3653</v>
      </c>
      <c r="D240" s="9"/>
      <c r="E240" s="9">
        <v>1395</v>
      </c>
      <c r="F240" s="9">
        <v>765</v>
      </c>
      <c r="G240" s="9">
        <v>2160</v>
      </c>
    </row>
    <row r="241" spans="1:7">
      <c r="A241" s="616"/>
      <c r="B241" s="2003"/>
      <c r="C241" s="124" t="s">
        <v>3723</v>
      </c>
      <c r="D241" s="9"/>
      <c r="E241" s="9">
        <v>4050</v>
      </c>
      <c r="F241" s="9">
        <v>3285</v>
      </c>
      <c r="G241" s="9">
        <v>7335</v>
      </c>
    </row>
    <row r="242" spans="1:7">
      <c r="A242" s="616"/>
      <c r="B242" s="2003"/>
      <c r="C242" s="124" t="s">
        <v>3655</v>
      </c>
      <c r="D242" s="9"/>
      <c r="E242" s="9">
        <v>5805</v>
      </c>
      <c r="F242" s="9">
        <v>5535</v>
      </c>
      <c r="G242" s="9">
        <v>11340</v>
      </c>
    </row>
    <row r="243" spans="1:7">
      <c r="A243" s="616"/>
      <c r="B243" s="2003"/>
      <c r="C243" s="124" t="s">
        <v>3656</v>
      </c>
      <c r="D243" s="9"/>
      <c r="E243" s="9">
        <v>10980</v>
      </c>
      <c r="F243" s="9">
        <v>6210</v>
      </c>
      <c r="G243" s="9">
        <v>17190</v>
      </c>
    </row>
    <row r="244" spans="1:7">
      <c r="A244" s="616"/>
      <c r="B244" s="2003"/>
      <c r="C244" s="124" t="s">
        <v>3657</v>
      </c>
      <c r="D244" s="9"/>
      <c r="E244" s="9">
        <v>11025</v>
      </c>
      <c r="F244" s="9">
        <v>4725</v>
      </c>
      <c r="G244" s="9">
        <v>15750</v>
      </c>
    </row>
    <row r="245" spans="1:7">
      <c r="A245" s="616"/>
      <c r="B245" s="2003"/>
      <c r="C245" s="11" t="s">
        <v>274</v>
      </c>
      <c r="D245" s="11"/>
      <c r="E245" s="11">
        <v>45135</v>
      </c>
      <c r="F245" s="11">
        <v>17280</v>
      </c>
      <c r="G245" s="11">
        <v>62415</v>
      </c>
    </row>
    <row r="246" spans="1:7">
      <c r="A246" s="616"/>
      <c r="B246" s="1078">
        <v>28</v>
      </c>
      <c r="C246" s="11" t="s">
        <v>528</v>
      </c>
      <c r="D246" s="1078" t="s">
        <v>271</v>
      </c>
      <c r="E246" s="11"/>
      <c r="F246" s="11"/>
      <c r="G246" s="11"/>
    </row>
    <row r="247" spans="1:7">
      <c r="A247" s="616">
        <v>421000000006</v>
      </c>
      <c r="B247" s="2003"/>
      <c r="C247" s="124" t="s">
        <v>3651</v>
      </c>
      <c r="D247" s="9"/>
      <c r="E247" s="9">
        <v>75840</v>
      </c>
      <c r="F247" s="9">
        <v>31680</v>
      </c>
      <c r="G247" s="9">
        <v>107520</v>
      </c>
    </row>
    <row r="248" spans="1:7">
      <c r="A248" s="616"/>
      <c r="B248" s="2003"/>
      <c r="C248" s="124" t="s">
        <v>3652</v>
      </c>
      <c r="D248" s="9"/>
      <c r="E248" s="9">
        <v>49200</v>
      </c>
      <c r="F248" s="9">
        <v>36240</v>
      </c>
      <c r="G248" s="9">
        <v>85440</v>
      </c>
    </row>
    <row r="249" spans="1:7">
      <c r="A249" s="616"/>
      <c r="B249" s="2003"/>
      <c r="C249" s="124" t="s">
        <v>3653</v>
      </c>
      <c r="D249" s="9"/>
      <c r="E249" s="9">
        <v>42240</v>
      </c>
      <c r="F249" s="9">
        <v>37200</v>
      </c>
      <c r="G249" s="9">
        <v>79440</v>
      </c>
    </row>
    <row r="250" spans="1:7">
      <c r="A250" s="616"/>
      <c r="B250" s="2003"/>
      <c r="C250" s="124" t="s">
        <v>3723</v>
      </c>
      <c r="D250" s="9"/>
      <c r="E250" s="9">
        <v>11760</v>
      </c>
      <c r="F250" s="9">
        <v>6240</v>
      </c>
      <c r="G250" s="9">
        <v>18000</v>
      </c>
    </row>
    <row r="251" spans="1:7">
      <c r="A251" s="616"/>
      <c r="B251" s="2003"/>
      <c r="C251" s="124" t="s">
        <v>3655</v>
      </c>
      <c r="D251" s="9"/>
      <c r="E251" s="9">
        <v>34320</v>
      </c>
      <c r="F251" s="9">
        <v>15360</v>
      </c>
      <c r="G251" s="9">
        <v>49680</v>
      </c>
    </row>
    <row r="252" spans="1:7">
      <c r="A252" s="616"/>
      <c r="B252" s="2003"/>
      <c r="C252" s="124" t="s">
        <v>3656</v>
      </c>
      <c r="D252" s="9"/>
      <c r="E252" s="9">
        <v>720</v>
      </c>
      <c r="F252" s="9">
        <v>720</v>
      </c>
      <c r="G252" s="9">
        <v>1440</v>
      </c>
    </row>
    <row r="253" spans="1:7">
      <c r="A253" s="616"/>
      <c r="B253" s="2003"/>
      <c r="C253" s="124" t="s">
        <v>3657</v>
      </c>
      <c r="D253" s="9"/>
      <c r="E253" s="9">
        <v>720</v>
      </c>
      <c r="F253" s="9">
        <v>480</v>
      </c>
      <c r="G253" s="9">
        <v>1200</v>
      </c>
    </row>
    <row r="254" spans="1:7">
      <c r="A254" s="616"/>
      <c r="B254" s="2003"/>
      <c r="C254" s="11" t="s">
        <v>274</v>
      </c>
      <c r="D254" s="11"/>
      <c r="E254" s="11">
        <v>281280</v>
      </c>
      <c r="F254" s="11">
        <v>61440</v>
      </c>
      <c r="G254" s="11">
        <v>342720</v>
      </c>
    </row>
    <row r="255" spans="1:7">
      <c r="A255" s="616"/>
      <c r="B255" s="1078">
        <v>29</v>
      </c>
      <c r="C255" s="11" t="s">
        <v>597</v>
      </c>
      <c r="D255" s="1078" t="s">
        <v>271</v>
      </c>
      <c r="E255" s="11"/>
      <c r="F255" s="11"/>
      <c r="G255" s="11"/>
    </row>
    <row r="256" spans="1:7">
      <c r="A256" s="616">
        <v>611000000002</v>
      </c>
      <c r="B256" s="2003"/>
      <c r="C256" s="124" t="s">
        <v>3651</v>
      </c>
      <c r="D256" s="9"/>
      <c r="E256" s="9">
        <v>963237</v>
      </c>
      <c r="F256" s="9">
        <v>571303</v>
      </c>
      <c r="G256" s="9">
        <v>1534540</v>
      </c>
    </row>
    <row r="257" spans="1:7">
      <c r="A257" s="616"/>
      <c r="B257" s="2003"/>
      <c r="C257" s="124" t="s">
        <v>3652</v>
      </c>
      <c r="D257" s="9"/>
      <c r="E257" s="9">
        <v>1449873</v>
      </c>
      <c r="F257" s="9">
        <v>896770</v>
      </c>
      <c r="G257" s="9">
        <v>2346643</v>
      </c>
    </row>
    <row r="258" spans="1:7">
      <c r="A258" s="616"/>
      <c r="B258" s="2003"/>
      <c r="C258" s="124" t="s">
        <v>3653</v>
      </c>
      <c r="D258" s="9"/>
      <c r="E258" s="9">
        <v>3926395</v>
      </c>
      <c r="F258" s="9">
        <v>2894966</v>
      </c>
      <c r="G258" s="9">
        <v>6821361</v>
      </c>
    </row>
    <row r="259" spans="1:7">
      <c r="A259" s="616"/>
      <c r="B259" s="2003"/>
      <c r="C259" s="124" t="s">
        <v>3723</v>
      </c>
      <c r="D259" s="9"/>
      <c r="E259" s="9">
        <v>2775175</v>
      </c>
      <c r="F259" s="9">
        <v>2000008</v>
      </c>
      <c r="G259" s="9">
        <v>4775183</v>
      </c>
    </row>
    <row r="260" spans="1:7">
      <c r="A260" s="616"/>
      <c r="B260" s="2003"/>
      <c r="C260" s="124" t="s">
        <v>3655</v>
      </c>
      <c r="D260" s="9"/>
      <c r="E260" s="9">
        <v>3181280</v>
      </c>
      <c r="F260" s="9">
        <v>2338263</v>
      </c>
      <c r="G260" s="9">
        <v>5519543</v>
      </c>
    </row>
    <row r="261" spans="1:7">
      <c r="A261" s="616"/>
      <c r="B261" s="2003"/>
      <c r="C261" s="124" t="s">
        <v>3656</v>
      </c>
      <c r="D261" s="9"/>
      <c r="E261" s="9">
        <v>2178700</v>
      </c>
      <c r="F261" s="9">
        <v>1510470</v>
      </c>
      <c r="G261" s="9">
        <v>3689170</v>
      </c>
    </row>
    <row r="262" spans="1:7">
      <c r="A262" s="616"/>
      <c r="B262" s="2003"/>
      <c r="C262" s="124" t="s">
        <v>3657</v>
      </c>
      <c r="D262" s="9"/>
      <c r="E262" s="9">
        <v>1616121</v>
      </c>
      <c r="F262" s="9">
        <v>1013812</v>
      </c>
      <c r="G262" s="9">
        <v>2629933</v>
      </c>
    </row>
    <row r="263" spans="1:7">
      <c r="A263" s="616"/>
      <c r="B263" s="2003"/>
      <c r="C263" s="11" t="s">
        <v>274</v>
      </c>
      <c r="D263" s="11"/>
      <c r="E263" s="11">
        <f>SUM(E256:E262)</f>
        <v>16090781</v>
      </c>
      <c r="F263" s="11">
        <f>SUM(F256:F262)</f>
        <v>11225592</v>
      </c>
      <c r="G263" s="11">
        <f>SUM(G256:G262)</f>
        <v>27316373</v>
      </c>
    </row>
    <row r="264" spans="1:7">
      <c r="A264" s="616"/>
      <c r="B264" s="1078">
        <v>30</v>
      </c>
      <c r="C264" s="11" t="s">
        <v>660</v>
      </c>
      <c r="D264" s="1078" t="s">
        <v>259</v>
      </c>
      <c r="E264" s="11"/>
      <c r="F264" s="11"/>
      <c r="G264" s="11"/>
    </row>
    <row r="265" spans="1:7">
      <c r="A265" s="616">
        <v>611000000006</v>
      </c>
      <c r="B265" s="1078"/>
      <c r="C265" s="124" t="s">
        <v>3651</v>
      </c>
      <c r="D265" s="1078"/>
      <c r="E265" s="9">
        <v>148500</v>
      </c>
      <c r="F265" s="9">
        <v>89205</v>
      </c>
      <c r="G265" s="9">
        <v>237705</v>
      </c>
    </row>
    <row r="266" spans="1:7">
      <c r="A266" s="616"/>
      <c r="B266" s="2003"/>
      <c r="C266" s="124" t="s">
        <v>3652</v>
      </c>
      <c r="D266" s="9"/>
      <c r="E266" s="9">
        <v>130185</v>
      </c>
      <c r="F266" s="9">
        <v>102810</v>
      </c>
      <c r="G266" s="9">
        <v>232995</v>
      </c>
    </row>
    <row r="267" spans="1:7">
      <c r="A267" s="616"/>
      <c r="B267" s="2003"/>
      <c r="C267" s="124" t="s">
        <v>3653</v>
      </c>
      <c r="D267" s="9"/>
      <c r="E267" s="9">
        <v>134205</v>
      </c>
      <c r="F267" s="9">
        <v>101850</v>
      </c>
      <c r="G267" s="9">
        <v>236055</v>
      </c>
    </row>
    <row r="268" spans="1:7">
      <c r="A268" s="616"/>
      <c r="B268" s="2003"/>
      <c r="C268" s="124" t="s">
        <v>3723</v>
      </c>
      <c r="D268" s="9"/>
      <c r="E268" s="9">
        <v>145755</v>
      </c>
      <c r="F268" s="9">
        <v>117420</v>
      </c>
      <c r="G268" s="9">
        <v>263175</v>
      </c>
    </row>
    <row r="269" spans="1:7">
      <c r="A269" s="616"/>
      <c r="B269" s="2003"/>
      <c r="C269" s="124" t="s">
        <v>3655</v>
      </c>
      <c r="D269" s="9"/>
      <c r="E269" s="9">
        <v>152865</v>
      </c>
      <c r="F269" s="9">
        <v>115110</v>
      </c>
      <c r="G269" s="9">
        <v>267975</v>
      </c>
    </row>
    <row r="270" spans="1:7">
      <c r="A270" s="616"/>
      <c r="B270" s="2003"/>
      <c r="C270" s="124" t="s">
        <v>3656</v>
      </c>
      <c r="D270" s="9"/>
      <c r="E270" s="9">
        <v>168900</v>
      </c>
      <c r="F270" s="9">
        <v>125130</v>
      </c>
      <c r="G270" s="9">
        <v>294030</v>
      </c>
    </row>
    <row r="271" spans="1:7">
      <c r="A271" s="616"/>
      <c r="B271" s="2003"/>
      <c r="C271" s="124" t="s">
        <v>3657</v>
      </c>
      <c r="D271" s="9"/>
      <c r="E271" s="9">
        <v>158835</v>
      </c>
      <c r="F271" s="9">
        <v>126330</v>
      </c>
      <c r="G271" s="9">
        <v>285165</v>
      </c>
    </row>
    <row r="272" spans="1:7">
      <c r="A272" s="616"/>
      <c r="B272" s="2003"/>
      <c r="C272" s="11" t="s">
        <v>274</v>
      </c>
      <c r="D272" s="11"/>
      <c r="E272" s="11">
        <v>1215390</v>
      </c>
      <c r="F272" s="11">
        <v>601710</v>
      </c>
      <c r="G272" s="11">
        <v>1817100</v>
      </c>
    </row>
    <row r="273" spans="1:7">
      <c r="A273" s="616"/>
      <c r="B273" s="1078">
        <v>31</v>
      </c>
      <c r="C273" s="11" t="s">
        <v>628</v>
      </c>
      <c r="D273" s="1078" t="s">
        <v>259</v>
      </c>
      <c r="E273" s="11"/>
      <c r="F273" s="11"/>
      <c r="G273" s="11"/>
    </row>
    <row r="274" spans="1:7">
      <c r="A274" s="616">
        <v>611000000015</v>
      </c>
      <c r="B274" s="2003"/>
      <c r="C274" s="124" t="s">
        <v>3651</v>
      </c>
      <c r="D274" s="9"/>
      <c r="E274" s="9">
        <v>276075</v>
      </c>
      <c r="F274" s="9">
        <v>114645</v>
      </c>
      <c r="G274" s="9">
        <v>390720</v>
      </c>
    </row>
    <row r="275" spans="1:7">
      <c r="A275" s="616"/>
      <c r="B275" s="2003"/>
      <c r="C275" s="124" t="s">
        <v>3652</v>
      </c>
      <c r="D275" s="9"/>
      <c r="E275" s="9">
        <v>275445</v>
      </c>
      <c r="F275" s="9">
        <v>138000</v>
      </c>
      <c r="G275" s="9">
        <v>413445</v>
      </c>
    </row>
    <row r="276" spans="1:7">
      <c r="A276" s="616"/>
      <c r="B276" s="2003"/>
      <c r="C276" s="124" t="s">
        <v>3653</v>
      </c>
      <c r="D276" s="9"/>
      <c r="E276" s="9">
        <v>252600</v>
      </c>
      <c r="F276" s="9">
        <v>134805</v>
      </c>
      <c r="G276" s="9">
        <v>387405</v>
      </c>
    </row>
    <row r="277" spans="1:7">
      <c r="A277" s="616"/>
      <c r="B277" s="2003"/>
      <c r="C277" s="124" t="s">
        <v>3723</v>
      </c>
      <c r="D277" s="9"/>
      <c r="E277" s="9">
        <v>288585</v>
      </c>
      <c r="F277" s="9">
        <v>142020</v>
      </c>
      <c r="G277" s="9">
        <v>430605</v>
      </c>
    </row>
    <row r="278" spans="1:7">
      <c r="A278" s="616"/>
      <c r="B278" s="2003"/>
      <c r="C278" s="124" t="s">
        <v>3655</v>
      </c>
      <c r="D278" s="9"/>
      <c r="E278" s="9">
        <v>279525</v>
      </c>
      <c r="F278" s="9">
        <v>131430</v>
      </c>
      <c r="G278" s="9">
        <v>410955</v>
      </c>
    </row>
    <row r="279" spans="1:7">
      <c r="A279" s="616"/>
      <c r="B279" s="2003"/>
      <c r="C279" s="124" t="s">
        <v>3656</v>
      </c>
      <c r="D279" s="9"/>
      <c r="E279" s="9">
        <v>284085</v>
      </c>
      <c r="F279" s="9">
        <v>139125</v>
      </c>
      <c r="G279" s="9">
        <v>423210</v>
      </c>
    </row>
    <row r="280" spans="1:7">
      <c r="A280" s="616"/>
      <c r="B280" s="2003"/>
      <c r="C280" s="124" t="s">
        <v>3657</v>
      </c>
      <c r="D280" s="9"/>
      <c r="E280" s="9">
        <v>289170</v>
      </c>
      <c r="F280" s="9">
        <v>138300</v>
      </c>
      <c r="G280" s="9">
        <v>427470</v>
      </c>
    </row>
    <row r="281" spans="1:7">
      <c r="A281" s="616"/>
      <c r="B281" s="2003"/>
      <c r="C281" s="11" t="s">
        <v>274</v>
      </c>
      <c r="D281" s="11"/>
      <c r="E281" s="11">
        <v>2203590</v>
      </c>
      <c r="F281" s="11">
        <v>680220</v>
      </c>
      <c r="G281" s="11">
        <v>2883810</v>
      </c>
    </row>
    <row r="282" spans="1:7">
      <c r="A282" s="616"/>
      <c r="B282" s="12">
        <v>32</v>
      </c>
      <c r="C282" s="9" t="s">
        <v>3725</v>
      </c>
      <c r="D282" s="9"/>
      <c r="E282" s="11"/>
      <c r="F282" s="11"/>
      <c r="G282" s="11"/>
    </row>
    <row r="283" spans="1:7">
      <c r="A283" s="616">
        <v>611000000017</v>
      </c>
      <c r="B283" s="2003"/>
      <c r="C283" s="124" t="s">
        <v>3651</v>
      </c>
      <c r="D283" s="9"/>
      <c r="E283" s="9">
        <v>443556</v>
      </c>
      <c r="F283" s="9">
        <v>196191</v>
      </c>
      <c r="G283" s="9">
        <v>639747</v>
      </c>
    </row>
    <row r="284" spans="1:7">
      <c r="A284" s="616"/>
      <c r="B284" s="2003"/>
      <c r="C284" s="124" t="s">
        <v>3652</v>
      </c>
      <c r="D284" s="9"/>
      <c r="E284" s="9">
        <v>415404</v>
      </c>
      <c r="F284" s="9">
        <v>262935</v>
      </c>
      <c r="G284" s="9">
        <v>678339</v>
      </c>
    </row>
    <row r="285" spans="1:7">
      <c r="A285" s="616"/>
      <c r="B285" s="2003"/>
      <c r="C285" s="124" t="s">
        <v>3653</v>
      </c>
      <c r="D285" s="9"/>
      <c r="E285" s="9">
        <v>450153</v>
      </c>
      <c r="F285" s="9">
        <v>270405</v>
      </c>
      <c r="G285" s="9">
        <v>720558</v>
      </c>
    </row>
    <row r="286" spans="1:7">
      <c r="A286" s="616"/>
      <c r="B286" s="2003"/>
      <c r="C286" s="124" t="s">
        <v>3723</v>
      </c>
      <c r="D286" s="9"/>
      <c r="E286" s="9">
        <v>385965</v>
      </c>
      <c r="F286" s="9">
        <v>268632</v>
      </c>
      <c r="G286" s="9">
        <v>654597</v>
      </c>
    </row>
    <row r="287" spans="1:7">
      <c r="A287" s="616"/>
      <c r="B287" s="2003"/>
      <c r="C287" s="124" t="s">
        <v>3655</v>
      </c>
      <c r="D287" s="9"/>
      <c r="E287" s="9">
        <v>390699</v>
      </c>
      <c r="F287" s="9">
        <v>243954</v>
      </c>
      <c r="G287" s="9">
        <v>634653</v>
      </c>
    </row>
    <row r="288" spans="1:7">
      <c r="A288" s="616"/>
      <c r="B288" s="2003"/>
      <c r="C288" s="124" t="s">
        <v>3656</v>
      </c>
      <c r="D288" s="9"/>
      <c r="E288" s="9">
        <v>370773</v>
      </c>
      <c r="F288" s="9">
        <v>250731</v>
      </c>
      <c r="G288" s="9">
        <v>621504</v>
      </c>
    </row>
    <row r="289" spans="1:7">
      <c r="A289" s="616"/>
      <c r="B289" s="2003"/>
      <c r="C289" s="124" t="s">
        <v>3657</v>
      </c>
      <c r="D289" s="9"/>
      <c r="E289" s="9">
        <v>423990</v>
      </c>
      <c r="F289" s="9">
        <v>261090</v>
      </c>
      <c r="G289" s="9">
        <v>685080</v>
      </c>
    </row>
    <row r="290" spans="1:7">
      <c r="A290" s="616"/>
      <c r="B290" s="2003"/>
      <c r="C290" s="11" t="s">
        <v>274</v>
      </c>
      <c r="D290" s="11"/>
      <c r="E290" s="11">
        <v>2880540</v>
      </c>
      <c r="F290" s="11">
        <v>1753938</v>
      </c>
      <c r="G290" s="11">
        <v>4634478</v>
      </c>
    </row>
    <row r="291" spans="1:7">
      <c r="A291" s="616"/>
      <c r="B291" s="1078">
        <v>33</v>
      </c>
      <c r="C291" s="11" t="s">
        <v>662</v>
      </c>
      <c r="D291" s="1078" t="s">
        <v>259</v>
      </c>
      <c r="E291" s="11"/>
      <c r="F291" s="11"/>
      <c r="G291" s="11"/>
    </row>
    <row r="292" spans="1:7">
      <c r="A292" s="616">
        <v>611000000016</v>
      </c>
      <c r="B292" s="2003"/>
      <c r="C292" s="124" t="s">
        <v>3651</v>
      </c>
      <c r="D292" s="9"/>
      <c r="E292" s="9">
        <v>228600</v>
      </c>
      <c r="F292" s="9">
        <v>130500</v>
      </c>
      <c r="G292" s="9">
        <v>359100</v>
      </c>
    </row>
    <row r="293" spans="1:7">
      <c r="A293" s="616"/>
      <c r="B293" s="2003"/>
      <c r="C293" s="124" t="s">
        <v>3652</v>
      </c>
      <c r="D293" s="9"/>
      <c r="E293" s="9">
        <v>307550</v>
      </c>
      <c r="F293" s="9">
        <v>212850</v>
      </c>
      <c r="G293" s="9">
        <v>520400</v>
      </c>
    </row>
    <row r="294" spans="1:7">
      <c r="A294" s="616"/>
      <c r="B294" s="2003"/>
      <c r="C294" s="124" t="s">
        <v>3653</v>
      </c>
      <c r="D294" s="9"/>
      <c r="E294" s="9">
        <v>263050</v>
      </c>
      <c r="F294" s="9">
        <v>188500</v>
      </c>
      <c r="G294" s="9">
        <v>451550</v>
      </c>
    </row>
    <row r="295" spans="1:7">
      <c r="A295" s="616"/>
      <c r="B295" s="2003"/>
      <c r="C295" s="124" t="s">
        <v>3723</v>
      </c>
      <c r="D295" s="9"/>
      <c r="E295" s="9">
        <v>300850</v>
      </c>
      <c r="F295" s="9">
        <v>213500</v>
      </c>
      <c r="G295" s="9">
        <v>514350</v>
      </c>
    </row>
    <row r="296" spans="1:7">
      <c r="A296" s="616"/>
      <c r="B296" s="2003"/>
      <c r="C296" s="124" t="s">
        <v>3655</v>
      </c>
      <c r="D296" s="9"/>
      <c r="E296" s="9">
        <v>207950</v>
      </c>
      <c r="F296" s="9">
        <v>145800</v>
      </c>
      <c r="G296" s="9">
        <v>353750</v>
      </c>
    </row>
    <row r="297" spans="1:7">
      <c r="A297" s="616"/>
      <c r="B297" s="2003"/>
      <c r="C297" s="124" t="s">
        <v>3656</v>
      </c>
      <c r="D297" s="9"/>
      <c r="E297" s="9">
        <v>42950</v>
      </c>
      <c r="F297" s="9">
        <v>31450</v>
      </c>
      <c r="G297" s="9">
        <v>74400</v>
      </c>
    </row>
    <row r="298" spans="1:7">
      <c r="A298" s="616"/>
      <c r="B298" s="2003"/>
      <c r="C298" s="124" t="s">
        <v>3657</v>
      </c>
      <c r="D298" s="9"/>
      <c r="E298" s="9">
        <v>32450</v>
      </c>
      <c r="F298" s="9">
        <v>24750</v>
      </c>
      <c r="G298" s="9">
        <v>57200</v>
      </c>
    </row>
    <row r="299" spans="1:7">
      <c r="A299" s="616"/>
      <c r="B299" s="2003"/>
      <c r="C299" s="11" t="s">
        <v>274</v>
      </c>
      <c r="D299" s="11"/>
      <c r="E299" s="11">
        <v>1699250</v>
      </c>
      <c r="F299" s="11">
        <v>631500</v>
      </c>
      <c r="G299" s="11">
        <v>2330750</v>
      </c>
    </row>
    <row r="300" spans="1:7">
      <c r="A300" s="616"/>
      <c r="B300" s="1078">
        <v>34</v>
      </c>
      <c r="C300" s="11" t="s">
        <v>564</v>
      </c>
      <c r="D300" s="1078" t="s">
        <v>271</v>
      </c>
      <c r="E300" s="11"/>
      <c r="F300" s="11"/>
      <c r="G300" s="11"/>
    </row>
    <row r="301" spans="1:7">
      <c r="A301" s="616">
        <v>611000000021</v>
      </c>
      <c r="B301" s="2003"/>
      <c r="C301" s="124" t="s">
        <v>3651</v>
      </c>
      <c r="D301" s="9"/>
      <c r="E301" s="9">
        <v>3880900</v>
      </c>
      <c r="F301" s="9">
        <v>2010200</v>
      </c>
      <c r="G301" s="9">
        <v>5891100</v>
      </c>
    </row>
    <row r="302" spans="1:7">
      <c r="A302" s="616"/>
      <c r="B302" s="2003"/>
      <c r="C302" s="124" t="s">
        <v>3652</v>
      </c>
      <c r="D302" s="9"/>
      <c r="E302" s="9">
        <v>3877600</v>
      </c>
      <c r="F302" s="9">
        <v>2766900</v>
      </c>
      <c r="G302" s="9">
        <v>6644500</v>
      </c>
    </row>
    <row r="303" spans="1:7">
      <c r="A303" s="616"/>
      <c r="B303" s="2003"/>
      <c r="C303" s="124" t="s">
        <v>3653</v>
      </c>
      <c r="D303" s="9"/>
      <c r="E303" s="9">
        <v>3573500</v>
      </c>
      <c r="F303" s="9">
        <v>2578800</v>
      </c>
      <c r="G303" s="9">
        <v>6152300</v>
      </c>
    </row>
    <row r="304" spans="1:7">
      <c r="A304" s="616"/>
      <c r="B304" s="2003"/>
      <c r="C304" s="124" t="s">
        <v>3723</v>
      </c>
      <c r="D304" s="9"/>
      <c r="E304" s="9">
        <v>3768600</v>
      </c>
      <c r="F304" s="9">
        <v>2720400</v>
      </c>
      <c r="G304" s="9">
        <v>6489000</v>
      </c>
    </row>
    <row r="305" spans="1:7">
      <c r="A305" s="616"/>
      <c r="B305" s="2003"/>
      <c r="C305" s="124" t="s">
        <v>3655</v>
      </c>
      <c r="D305" s="9"/>
      <c r="E305" s="9">
        <v>3728900</v>
      </c>
      <c r="F305" s="9">
        <v>2694800</v>
      </c>
      <c r="G305" s="9">
        <v>6423700</v>
      </c>
    </row>
    <row r="306" spans="1:7">
      <c r="A306" s="616"/>
      <c r="B306" s="2003"/>
      <c r="C306" s="124" t="s">
        <v>3656</v>
      </c>
      <c r="D306" s="9"/>
      <c r="E306" s="9">
        <v>3725100</v>
      </c>
      <c r="F306" s="9">
        <v>2670200</v>
      </c>
      <c r="G306" s="9">
        <v>6395300</v>
      </c>
    </row>
    <row r="307" spans="1:7">
      <c r="A307" s="616"/>
      <c r="B307" s="2003"/>
      <c r="C307" s="124" t="s">
        <v>3657</v>
      </c>
      <c r="D307" s="9"/>
      <c r="E307" s="9">
        <v>3741900</v>
      </c>
      <c r="F307" s="9">
        <v>2684200</v>
      </c>
      <c r="G307" s="9">
        <v>6426100</v>
      </c>
    </row>
    <row r="308" spans="1:7">
      <c r="A308" s="616"/>
      <c r="B308" s="2003"/>
      <c r="C308" s="11" t="s">
        <v>274</v>
      </c>
      <c r="D308" s="11"/>
      <c r="E308" s="11">
        <v>30793500</v>
      </c>
      <c r="F308" s="11">
        <v>13628500</v>
      </c>
      <c r="G308" s="11">
        <v>44422000</v>
      </c>
    </row>
    <row r="309" spans="1:7">
      <c r="A309" s="616"/>
      <c r="B309" s="1078">
        <v>35</v>
      </c>
      <c r="C309" s="11" t="s">
        <v>534</v>
      </c>
      <c r="D309" s="1078" t="s">
        <v>271</v>
      </c>
      <c r="E309" s="11"/>
      <c r="F309" s="11"/>
      <c r="G309" s="11"/>
    </row>
    <row r="310" spans="1:7">
      <c r="A310" s="616">
        <v>611000000022</v>
      </c>
      <c r="B310" s="2003"/>
      <c r="C310" s="124" t="s">
        <v>3651</v>
      </c>
      <c r="D310" s="9"/>
      <c r="E310" s="9">
        <v>10688000</v>
      </c>
      <c r="F310" s="9">
        <v>3899000</v>
      </c>
      <c r="G310" s="9">
        <v>14587000</v>
      </c>
    </row>
    <row r="311" spans="1:7">
      <c r="A311" s="616"/>
      <c r="B311" s="2003"/>
      <c r="C311" s="124" t="s">
        <v>3652</v>
      </c>
      <c r="D311" s="9"/>
      <c r="E311" s="9">
        <v>12139632</v>
      </c>
      <c r="F311" s="9">
        <v>6134136</v>
      </c>
      <c r="G311" s="9">
        <v>18273768</v>
      </c>
    </row>
    <row r="312" spans="1:7">
      <c r="A312" s="616"/>
      <c r="B312" s="2003"/>
      <c r="C312" s="124" t="s">
        <v>3653</v>
      </c>
      <c r="D312" s="9"/>
      <c r="E312" s="9">
        <v>10371879</v>
      </c>
      <c r="F312" s="9">
        <v>7616815</v>
      </c>
      <c r="G312" s="9">
        <v>17988694</v>
      </c>
    </row>
    <row r="313" spans="1:7">
      <c r="A313" s="616"/>
      <c r="B313" s="2003"/>
      <c r="C313" s="124" t="s">
        <v>3723</v>
      </c>
      <c r="D313" s="9"/>
      <c r="E313" s="9">
        <v>10835759</v>
      </c>
      <c r="F313" s="9">
        <v>8098309</v>
      </c>
      <c r="G313" s="9">
        <v>18934068</v>
      </c>
    </row>
    <row r="314" spans="1:7">
      <c r="A314" s="616"/>
      <c r="B314" s="2003"/>
      <c r="C314" s="124" t="s">
        <v>3655</v>
      </c>
      <c r="D314" s="9"/>
      <c r="E314" s="9">
        <v>10282162</v>
      </c>
      <c r="F314" s="9">
        <v>7748144</v>
      </c>
      <c r="G314" s="9">
        <v>18030306</v>
      </c>
    </row>
    <row r="315" spans="1:7">
      <c r="A315" s="616"/>
      <c r="B315" s="2003"/>
      <c r="C315" s="124" t="s">
        <v>3656</v>
      </c>
      <c r="D315" s="9"/>
      <c r="E315" s="9">
        <v>9693601</v>
      </c>
      <c r="F315" s="9">
        <v>6973504</v>
      </c>
      <c r="G315" s="9">
        <v>16667105</v>
      </c>
    </row>
    <row r="316" spans="1:7">
      <c r="A316" s="616"/>
      <c r="B316" s="2003"/>
      <c r="C316" s="124" t="s">
        <v>3657</v>
      </c>
      <c r="D316" s="9"/>
      <c r="E316" s="9">
        <v>11244735</v>
      </c>
      <c r="F316" s="9">
        <v>8509631</v>
      </c>
      <c r="G316" s="9">
        <v>19754366</v>
      </c>
    </row>
    <row r="317" spans="1:7">
      <c r="A317" s="616"/>
      <c r="B317" s="2003"/>
      <c r="C317" s="11" t="s">
        <v>274</v>
      </c>
      <c r="D317" s="11"/>
      <c r="E317" s="11">
        <f>SUM(E310:E316)</f>
        <v>75255768</v>
      </c>
      <c r="F317" s="11">
        <f>SUM(F310:F316)</f>
        <v>48979539</v>
      </c>
      <c r="G317" s="11">
        <f>SUM(G310:G316)</f>
        <v>124235307</v>
      </c>
    </row>
    <row r="318" spans="1:7">
      <c r="A318" s="616"/>
      <c r="B318" s="1078">
        <v>36</v>
      </c>
      <c r="C318" s="11" t="s">
        <v>608</v>
      </c>
      <c r="D318" s="1078" t="s">
        <v>271</v>
      </c>
      <c r="E318" s="11"/>
      <c r="F318" s="11"/>
      <c r="G318" s="11"/>
    </row>
    <row r="319" spans="1:7">
      <c r="A319" s="616">
        <v>611000000025</v>
      </c>
      <c r="B319" s="2003"/>
      <c r="C319" s="124" t="s">
        <v>3651</v>
      </c>
      <c r="D319" s="9"/>
      <c r="E319" s="9">
        <v>5585400</v>
      </c>
      <c r="F319" s="9">
        <v>1770000</v>
      </c>
      <c r="G319" s="9">
        <v>7355400</v>
      </c>
    </row>
    <row r="320" spans="1:7">
      <c r="A320" s="616"/>
      <c r="B320" s="2003"/>
      <c r="C320" s="124" t="s">
        <v>3652</v>
      </c>
      <c r="D320" s="9"/>
      <c r="E320" s="9">
        <v>6302700</v>
      </c>
      <c r="F320" s="9">
        <v>2028000</v>
      </c>
      <c r="G320" s="9">
        <v>8330700</v>
      </c>
    </row>
    <row r="321" spans="1:7">
      <c r="A321" s="616"/>
      <c r="B321" s="2003"/>
      <c r="C321" s="124" t="s">
        <v>3653</v>
      </c>
      <c r="D321" s="9"/>
      <c r="E321" s="9">
        <v>4477900</v>
      </c>
      <c r="F321" s="9">
        <v>1366000</v>
      </c>
      <c r="G321" s="9">
        <v>5843900</v>
      </c>
    </row>
    <row r="322" spans="1:7">
      <c r="A322" s="616"/>
      <c r="B322" s="2003"/>
      <c r="C322" s="124" t="s">
        <v>3723</v>
      </c>
      <c r="D322" s="9"/>
      <c r="E322" s="9">
        <v>6936100</v>
      </c>
      <c r="F322" s="9">
        <v>2249500</v>
      </c>
      <c r="G322" s="9">
        <v>9185600</v>
      </c>
    </row>
    <row r="323" spans="1:7">
      <c r="A323" s="616"/>
      <c r="B323" s="2003"/>
      <c r="C323" s="124" t="s">
        <v>3655</v>
      </c>
      <c r="D323" s="9"/>
      <c r="E323" s="9">
        <v>5593900</v>
      </c>
      <c r="F323" s="9">
        <v>1922100</v>
      </c>
      <c r="G323" s="9">
        <v>7516000</v>
      </c>
    </row>
    <row r="324" spans="1:7">
      <c r="A324" s="616"/>
      <c r="B324" s="2003"/>
      <c r="C324" s="124" t="s">
        <v>3656</v>
      </c>
      <c r="D324" s="9"/>
      <c r="E324" s="9">
        <v>5870500</v>
      </c>
      <c r="F324" s="9">
        <v>1946600</v>
      </c>
      <c r="G324" s="9">
        <v>7817100</v>
      </c>
    </row>
    <row r="325" spans="1:7">
      <c r="A325" s="616"/>
      <c r="B325" s="2003"/>
      <c r="C325" s="124" t="s">
        <v>3657</v>
      </c>
      <c r="D325" s="9"/>
      <c r="E325" s="9">
        <v>6188000</v>
      </c>
      <c r="F325" s="9">
        <v>2001400</v>
      </c>
      <c r="G325" s="9">
        <v>8189400</v>
      </c>
    </row>
    <row r="326" spans="1:7">
      <c r="A326" s="616"/>
      <c r="B326" s="2003"/>
      <c r="C326" s="11" t="s">
        <v>274</v>
      </c>
      <c r="D326" s="11"/>
      <c r="E326" s="11">
        <v>40954500</v>
      </c>
      <c r="F326" s="11">
        <v>13283600</v>
      </c>
      <c r="G326" s="11">
        <v>54238100</v>
      </c>
    </row>
    <row r="327" spans="1:7">
      <c r="A327" s="616"/>
      <c r="B327" s="1078">
        <v>37</v>
      </c>
      <c r="C327" s="11" t="s">
        <v>544</v>
      </c>
      <c r="D327" s="1078" t="s">
        <v>271</v>
      </c>
      <c r="E327" s="11"/>
      <c r="F327" s="11"/>
      <c r="G327" s="11"/>
    </row>
    <row r="328" spans="1:7">
      <c r="A328" s="616">
        <v>611000000032</v>
      </c>
      <c r="B328" s="2003"/>
      <c r="C328" s="124" t="s">
        <v>3651</v>
      </c>
      <c r="D328" s="9"/>
      <c r="E328" s="9">
        <v>14666700</v>
      </c>
      <c r="F328" s="9">
        <v>7809000</v>
      </c>
      <c r="G328" s="9">
        <v>22475700</v>
      </c>
    </row>
    <row r="329" spans="1:7">
      <c r="A329" s="616"/>
      <c r="B329" s="2003"/>
      <c r="C329" s="124" t="s">
        <v>3652</v>
      </c>
      <c r="D329" s="9"/>
      <c r="E329" s="9">
        <v>10453800</v>
      </c>
      <c r="F329" s="9">
        <v>7553100</v>
      </c>
      <c r="G329" s="9">
        <v>18006900</v>
      </c>
    </row>
    <row r="330" spans="1:7">
      <c r="A330" s="616"/>
      <c r="B330" s="2003"/>
      <c r="C330" s="124" t="s">
        <v>3653</v>
      </c>
      <c r="D330" s="9"/>
      <c r="E330" s="9">
        <v>9573300</v>
      </c>
      <c r="F330" s="9">
        <v>6905700</v>
      </c>
      <c r="G330" s="9">
        <v>16479000</v>
      </c>
    </row>
    <row r="331" spans="1:7">
      <c r="A331" s="616"/>
      <c r="B331" s="2003"/>
      <c r="C331" s="124" t="s">
        <v>3723</v>
      </c>
      <c r="D331" s="9"/>
      <c r="E331" s="9">
        <v>10114200</v>
      </c>
      <c r="F331" s="9">
        <v>7313100</v>
      </c>
      <c r="G331" s="9">
        <v>17427300</v>
      </c>
    </row>
    <row r="332" spans="1:7">
      <c r="A332" s="616"/>
      <c r="B332" s="2003"/>
      <c r="C332" s="124" t="s">
        <v>3655</v>
      </c>
      <c r="D332" s="9"/>
      <c r="E332" s="9">
        <v>8500200</v>
      </c>
      <c r="F332" s="9">
        <v>6130200</v>
      </c>
      <c r="G332" s="9">
        <v>14630400</v>
      </c>
    </row>
    <row r="333" spans="1:7">
      <c r="A333" s="616"/>
      <c r="B333" s="2003"/>
      <c r="C333" s="124" t="s">
        <v>3656</v>
      </c>
      <c r="D333" s="9"/>
      <c r="E333" s="9">
        <v>9777900</v>
      </c>
      <c r="F333" s="9">
        <v>6964800</v>
      </c>
      <c r="G333" s="9">
        <v>16742700</v>
      </c>
    </row>
    <row r="334" spans="1:7">
      <c r="A334" s="616"/>
      <c r="B334" s="2003"/>
      <c r="C334" s="124" t="s">
        <v>3657</v>
      </c>
      <c r="D334" s="9"/>
      <c r="E334" s="9">
        <v>11404200</v>
      </c>
      <c r="F334" s="9">
        <v>8203800</v>
      </c>
      <c r="G334" s="9">
        <v>19608000</v>
      </c>
    </row>
    <row r="335" spans="1:7">
      <c r="A335" s="616"/>
      <c r="B335" s="2003"/>
      <c r="C335" s="11" t="s">
        <v>274</v>
      </c>
      <c r="D335" s="11"/>
      <c r="E335" s="11">
        <v>86121600</v>
      </c>
      <c r="F335" s="11">
        <v>39248400</v>
      </c>
      <c r="G335" s="11">
        <v>125370000</v>
      </c>
    </row>
    <row r="336" spans="1:7">
      <c r="A336" s="616"/>
      <c r="B336" s="1078">
        <v>38</v>
      </c>
      <c r="C336" s="11" t="s">
        <v>546</v>
      </c>
      <c r="D336" s="1078" t="s">
        <v>271</v>
      </c>
      <c r="E336" s="11"/>
      <c r="F336" s="11"/>
      <c r="G336" s="11"/>
    </row>
    <row r="337" spans="1:7">
      <c r="A337" s="616">
        <v>611000000035</v>
      </c>
      <c r="B337" s="2003"/>
      <c r="C337" s="124" t="s">
        <v>3651</v>
      </c>
      <c r="D337" s="9"/>
      <c r="E337" s="9">
        <v>7820400</v>
      </c>
      <c r="F337" s="9">
        <v>4337100</v>
      </c>
      <c r="G337" s="9">
        <v>12157500</v>
      </c>
    </row>
    <row r="338" spans="1:7">
      <c r="A338" s="616"/>
      <c r="B338" s="2003"/>
      <c r="C338" s="124" t="s">
        <v>3652</v>
      </c>
      <c r="D338" s="9"/>
      <c r="E338" s="9">
        <v>4166100</v>
      </c>
      <c r="F338" s="9">
        <v>3011100</v>
      </c>
      <c r="G338" s="9">
        <v>7177200</v>
      </c>
    </row>
    <row r="339" spans="1:7">
      <c r="A339" s="616"/>
      <c r="B339" s="2003"/>
      <c r="C339" s="124" t="s">
        <v>3653</v>
      </c>
      <c r="D339" s="9"/>
      <c r="E339" s="9">
        <v>5136300</v>
      </c>
      <c r="F339" s="9">
        <v>3545700</v>
      </c>
      <c r="G339" s="9">
        <v>8682000</v>
      </c>
    </row>
    <row r="340" spans="1:7">
      <c r="A340" s="616"/>
      <c r="B340" s="2003"/>
      <c r="C340" s="124" t="s">
        <v>3723</v>
      </c>
      <c r="D340" s="9"/>
      <c r="E340" s="9">
        <v>3544260</v>
      </c>
      <c r="F340" s="9">
        <v>2658660</v>
      </c>
      <c r="G340" s="9">
        <v>6202920</v>
      </c>
    </row>
    <row r="341" spans="1:7">
      <c r="A341" s="616"/>
      <c r="B341" s="2003"/>
      <c r="C341" s="124" t="s">
        <v>3655</v>
      </c>
      <c r="D341" s="9"/>
      <c r="E341" s="9">
        <v>1545900</v>
      </c>
      <c r="F341" s="9">
        <v>1176900</v>
      </c>
      <c r="G341" s="9">
        <v>2722800</v>
      </c>
    </row>
    <row r="342" spans="1:7">
      <c r="A342" s="616"/>
      <c r="B342" s="2003"/>
      <c r="C342" s="124" t="s">
        <v>3656</v>
      </c>
      <c r="D342" s="9"/>
      <c r="E342" s="9">
        <v>1989600</v>
      </c>
      <c r="F342" s="9">
        <v>1449600</v>
      </c>
      <c r="G342" s="9">
        <v>3439200</v>
      </c>
    </row>
    <row r="343" spans="1:7">
      <c r="A343" s="616"/>
      <c r="B343" s="2003"/>
      <c r="C343" s="124" t="s">
        <v>3657</v>
      </c>
      <c r="D343" s="9"/>
      <c r="E343" s="9">
        <v>742500</v>
      </c>
      <c r="F343" s="9">
        <v>532500</v>
      </c>
      <c r="G343" s="9">
        <v>1275000</v>
      </c>
    </row>
    <row r="344" spans="1:7">
      <c r="A344" s="616"/>
      <c r="B344" s="2003"/>
      <c r="C344" s="11" t="s">
        <v>274</v>
      </c>
      <c r="D344" s="11"/>
      <c r="E344" s="11">
        <f>SUM(E337:E343)</f>
        <v>24945060</v>
      </c>
      <c r="F344" s="11">
        <f>SUM(F337:F343)</f>
        <v>16711560</v>
      </c>
      <c r="G344" s="11">
        <f>SUM(G337:G343)</f>
        <v>41656620</v>
      </c>
    </row>
    <row r="345" spans="1:7">
      <c r="A345" s="616"/>
      <c r="B345" s="1078">
        <v>39</v>
      </c>
      <c r="C345" s="11" t="s">
        <v>566</v>
      </c>
      <c r="D345" s="1078" t="s">
        <v>271</v>
      </c>
      <c r="E345" s="11"/>
      <c r="F345" s="11"/>
      <c r="G345" s="11"/>
    </row>
    <row r="346" spans="1:7">
      <c r="A346" s="616">
        <v>611000000056</v>
      </c>
      <c r="B346" s="2003"/>
      <c r="C346" s="124" t="s">
        <v>3651</v>
      </c>
      <c r="D346" s="9"/>
      <c r="E346" s="9">
        <v>5998140</v>
      </c>
      <c r="F346" s="9">
        <v>3345120</v>
      </c>
      <c r="G346" s="9">
        <v>9343260</v>
      </c>
    </row>
    <row r="347" spans="1:7">
      <c r="A347" s="616"/>
      <c r="B347" s="2003"/>
      <c r="C347" s="124" t="s">
        <v>3652</v>
      </c>
      <c r="D347" s="9"/>
      <c r="E347" s="9">
        <v>5615280</v>
      </c>
      <c r="F347" s="9">
        <v>3854340</v>
      </c>
      <c r="G347" s="9">
        <v>9469620</v>
      </c>
    </row>
    <row r="348" spans="1:7">
      <c r="A348" s="616"/>
      <c r="B348" s="2003"/>
      <c r="C348" s="124" t="s">
        <v>3653</v>
      </c>
      <c r="D348" s="9"/>
      <c r="E348" s="9">
        <v>4344480</v>
      </c>
      <c r="F348" s="9">
        <v>3081960</v>
      </c>
      <c r="G348" s="9">
        <v>7426440</v>
      </c>
    </row>
    <row r="349" spans="1:7">
      <c r="A349" s="616"/>
      <c r="B349" s="2003"/>
      <c r="C349" s="124" t="s">
        <v>3723</v>
      </c>
      <c r="D349" s="9"/>
      <c r="E349" s="9">
        <v>5561460</v>
      </c>
      <c r="F349" s="9">
        <v>4005540</v>
      </c>
      <c r="G349" s="9">
        <v>9567000</v>
      </c>
    </row>
    <row r="350" spans="1:7">
      <c r="A350" s="616"/>
      <c r="B350" s="2003"/>
      <c r="C350" s="124" t="s">
        <v>3655</v>
      </c>
      <c r="D350" s="9"/>
      <c r="E350" s="9">
        <v>5519520</v>
      </c>
      <c r="F350" s="9">
        <v>3956940</v>
      </c>
      <c r="G350" s="9">
        <v>9476460</v>
      </c>
    </row>
    <row r="351" spans="1:7">
      <c r="A351" s="616"/>
      <c r="B351" s="2003"/>
      <c r="C351" s="124" t="s">
        <v>3656</v>
      </c>
      <c r="D351" s="9"/>
      <c r="E351" s="9">
        <v>5411880</v>
      </c>
      <c r="F351" s="9">
        <v>3906900</v>
      </c>
      <c r="G351" s="9">
        <v>9318780</v>
      </c>
    </row>
    <row r="352" spans="1:7">
      <c r="A352" s="616"/>
      <c r="B352" s="2003"/>
      <c r="C352" s="124" t="s">
        <v>3657</v>
      </c>
      <c r="D352" s="9"/>
      <c r="E352" s="9">
        <v>4861620</v>
      </c>
      <c r="F352" s="9">
        <v>3533400</v>
      </c>
      <c r="G352" s="9">
        <v>8395020</v>
      </c>
    </row>
    <row r="353" spans="1:7">
      <c r="A353" s="616"/>
      <c r="B353" s="2003"/>
      <c r="C353" s="11" t="s">
        <v>274</v>
      </c>
      <c r="D353" s="11"/>
      <c r="E353" s="11">
        <v>43752960</v>
      </c>
      <c r="F353" s="11">
        <v>19243620</v>
      </c>
      <c r="G353" s="11">
        <v>62996580</v>
      </c>
    </row>
    <row r="354" spans="1:7">
      <c r="A354" s="616"/>
      <c r="B354" s="1078">
        <v>40</v>
      </c>
      <c r="C354" s="11" t="s">
        <v>664</v>
      </c>
      <c r="D354" s="1078" t="s">
        <v>259</v>
      </c>
      <c r="E354" s="11"/>
      <c r="F354" s="11"/>
      <c r="G354" s="11"/>
    </row>
    <row r="355" spans="1:7">
      <c r="A355" s="616">
        <v>611000000061</v>
      </c>
      <c r="B355" s="2003"/>
      <c r="C355" s="124" t="s">
        <v>3651</v>
      </c>
      <c r="D355" s="9"/>
      <c r="E355" s="9">
        <v>149280</v>
      </c>
      <c r="F355" s="9">
        <v>191580</v>
      </c>
      <c r="G355" s="9">
        <v>340860</v>
      </c>
    </row>
    <row r="356" spans="1:7">
      <c r="A356" s="616"/>
      <c r="B356" s="2003"/>
      <c r="C356" s="124" t="s">
        <v>3652</v>
      </c>
      <c r="D356" s="9"/>
      <c r="E356" s="9">
        <v>193080</v>
      </c>
      <c r="F356" s="9">
        <v>180450</v>
      </c>
      <c r="G356" s="9">
        <v>373530</v>
      </c>
    </row>
    <row r="357" spans="1:7">
      <c r="A357" s="616"/>
      <c r="B357" s="2003"/>
      <c r="C357" s="124" t="s">
        <v>3653</v>
      </c>
      <c r="D357" s="9"/>
      <c r="E357" s="9">
        <v>166320</v>
      </c>
      <c r="F357" s="9">
        <v>178920</v>
      </c>
      <c r="G357" s="9">
        <v>345240</v>
      </c>
    </row>
    <row r="358" spans="1:7">
      <c r="A358" s="616"/>
      <c r="B358" s="2003"/>
      <c r="C358" s="124" t="s">
        <v>3723</v>
      </c>
      <c r="D358" s="9"/>
      <c r="E358" s="9">
        <v>195600</v>
      </c>
      <c r="F358" s="9">
        <v>162240</v>
      </c>
      <c r="G358" s="9">
        <v>357840</v>
      </c>
    </row>
    <row r="359" spans="1:7">
      <c r="A359" s="616"/>
      <c r="B359" s="2003"/>
      <c r="C359" s="124" t="s">
        <v>3655</v>
      </c>
      <c r="D359" s="9"/>
      <c r="E359" s="9">
        <v>173640</v>
      </c>
      <c r="F359" s="9">
        <v>166290</v>
      </c>
      <c r="G359" s="9">
        <v>339930</v>
      </c>
    </row>
    <row r="360" spans="1:7">
      <c r="A360" s="616"/>
      <c r="B360" s="2003"/>
      <c r="C360" s="124" t="s">
        <v>3656</v>
      </c>
      <c r="D360" s="9"/>
      <c r="E360" s="9">
        <v>123780</v>
      </c>
      <c r="F360" s="9">
        <v>143820</v>
      </c>
      <c r="G360" s="9">
        <v>267600</v>
      </c>
    </row>
    <row r="361" spans="1:7">
      <c r="A361" s="616"/>
      <c r="B361" s="2003"/>
      <c r="C361" s="124" t="s">
        <v>3657</v>
      </c>
      <c r="D361" s="9"/>
      <c r="E361" s="9">
        <v>210150</v>
      </c>
      <c r="F361" s="9">
        <v>165660</v>
      </c>
      <c r="G361" s="9">
        <v>375810</v>
      </c>
    </row>
    <row r="362" spans="1:7">
      <c r="A362" s="616"/>
      <c r="B362" s="2003"/>
      <c r="C362" s="11" t="s">
        <v>274</v>
      </c>
      <c r="D362" s="11"/>
      <c r="E362" s="11">
        <v>1233150</v>
      </c>
      <c r="F362" s="11">
        <v>1167660</v>
      </c>
      <c r="G362" s="11">
        <v>2400810</v>
      </c>
    </row>
    <row r="363" spans="1:7">
      <c r="A363" s="616"/>
      <c r="B363" s="1078">
        <v>41</v>
      </c>
      <c r="C363" s="11" t="s">
        <v>568</v>
      </c>
      <c r="D363" s="1078" t="s">
        <v>271</v>
      </c>
      <c r="E363" s="11"/>
      <c r="F363" s="11"/>
      <c r="G363" s="11"/>
    </row>
    <row r="364" spans="1:7">
      <c r="A364" s="616">
        <v>611000000066</v>
      </c>
      <c r="B364" s="2003"/>
      <c r="C364" s="124" t="s">
        <v>3651</v>
      </c>
      <c r="D364" s="9"/>
      <c r="E364" s="9">
        <v>4110480</v>
      </c>
      <c r="F364" s="9">
        <v>2115240</v>
      </c>
      <c r="G364" s="9">
        <v>6225720</v>
      </c>
    </row>
    <row r="365" spans="1:7">
      <c r="A365" s="616"/>
      <c r="B365" s="2003"/>
      <c r="C365" s="124" t="s">
        <v>3652</v>
      </c>
      <c r="D365" s="9"/>
      <c r="E365" s="9">
        <v>127800</v>
      </c>
      <c r="F365" s="9">
        <v>93480</v>
      </c>
      <c r="G365" s="9">
        <v>221280</v>
      </c>
    </row>
    <row r="366" spans="1:7">
      <c r="A366" s="616"/>
      <c r="B366" s="2003"/>
      <c r="C366" s="124" t="s">
        <v>3653</v>
      </c>
      <c r="D366" s="9"/>
      <c r="E366" s="9">
        <v>4385280</v>
      </c>
      <c r="F366" s="9">
        <v>3124680</v>
      </c>
      <c r="G366" s="9">
        <v>7509960</v>
      </c>
    </row>
    <row r="367" spans="1:7">
      <c r="A367" s="616"/>
      <c r="B367" s="2003"/>
      <c r="C367" s="124" t="s">
        <v>3723</v>
      </c>
      <c r="D367" s="9"/>
      <c r="E367" s="9">
        <v>6093960</v>
      </c>
      <c r="F367" s="9">
        <v>4423440</v>
      </c>
      <c r="G367" s="9">
        <v>10517400</v>
      </c>
    </row>
    <row r="368" spans="1:7">
      <c r="A368" s="616"/>
      <c r="B368" s="2003"/>
      <c r="C368" s="124" t="s">
        <v>3655</v>
      </c>
      <c r="D368" s="9"/>
      <c r="E368" s="9">
        <v>5294280</v>
      </c>
      <c r="F368" s="9">
        <v>3822720</v>
      </c>
      <c r="G368" s="9">
        <v>9117000</v>
      </c>
    </row>
    <row r="369" spans="1:7">
      <c r="A369" s="616"/>
      <c r="B369" s="2003"/>
      <c r="C369" s="124" t="s">
        <v>3656</v>
      </c>
      <c r="D369" s="9"/>
      <c r="E369" s="9">
        <v>6023040</v>
      </c>
      <c r="F369" s="9">
        <v>4307880</v>
      </c>
      <c r="G369" s="9">
        <v>10330920</v>
      </c>
    </row>
    <row r="370" spans="1:7">
      <c r="A370" s="616"/>
      <c r="B370" s="2003"/>
      <c r="C370" s="124" t="s">
        <v>3657</v>
      </c>
      <c r="D370" s="9"/>
      <c r="E370" s="9">
        <v>6406560</v>
      </c>
      <c r="F370" s="9">
        <v>4559880</v>
      </c>
      <c r="G370" s="9">
        <v>10966440</v>
      </c>
    </row>
    <row r="371" spans="1:7">
      <c r="A371" s="616"/>
      <c r="B371" s="2003"/>
      <c r="C371" s="11" t="s">
        <v>274</v>
      </c>
      <c r="D371" s="11"/>
      <c r="E371" s="11">
        <v>37018320</v>
      </c>
      <c r="F371" s="11">
        <v>17870400</v>
      </c>
      <c r="G371" s="11">
        <v>54888720</v>
      </c>
    </row>
    <row r="372" spans="1:7">
      <c r="A372" s="616"/>
      <c r="B372" s="1078">
        <v>42</v>
      </c>
      <c r="C372" s="11" t="s">
        <v>610</v>
      </c>
      <c r="D372" s="1078" t="s">
        <v>271</v>
      </c>
      <c r="E372" s="11"/>
      <c r="F372" s="11"/>
      <c r="G372" s="11"/>
    </row>
    <row r="373" spans="1:7">
      <c r="A373" s="616">
        <v>611000000075</v>
      </c>
      <c r="B373" s="2003"/>
      <c r="C373" s="124" t="s">
        <v>3651</v>
      </c>
      <c r="D373" s="9"/>
      <c r="E373" s="9">
        <v>2077200</v>
      </c>
      <c r="F373" s="9">
        <v>947520</v>
      </c>
      <c r="G373" s="9">
        <v>3024720</v>
      </c>
    </row>
    <row r="374" spans="1:7">
      <c r="A374" s="616"/>
      <c r="B374" s="2003"/>
      <c r="C374" s="124" t="s">
        <v>3652</v>
      </c>
      <c r="D374" s="9"/>
      <c r="E374" s="9">
        <v>2082240</v>
      </c>
      <c r="F374" s="9">
        <v>878160</v>
      </c>
      <c r="G374" s="9">
        <v>2960400</v>
      </c>
    </row>
    <row r="375" spans="1:7">
      <c r="A375" s="616"/>
      <c r="B375" s="2003"/>
      <c r="C375" s="124" t="s">
        <v>3653</v>
      </c>
      <c r="D375" s="9"/>
      <c r="E375" s="9">
        <v>2161680</v>
      </c>
      <c r="F375" s="9">
        <v>988080</v>
      </c>
      <c r="G375" s="9">
        <v>3149760</v>
      </c>
    </row>
    <row r="376" spans="1:7">
      <c r="A376" s="616"/>
      <c r="B376" s="2003"/>
      <c r="C376" s="124" t="s">
        <v>3723</v>
      </c>
      <c r="D376" s="9"/>
      <c r="E376" s="9">
        <v>2051520</v>
      </c>
      <c r="F376" s="9">
        <v>879840</v>
      </c>
      <c r="G376" s="9">
        <v>2931360</v>
      </c>
    </row>
    <row r="377" spans="1:7">
      <c r="A377" s="616"/>
      <c r="B377" s="2003"/>
      <c r="C377" s="124" t="s">
        <v>3655</v>
      </c>
      <c r="D377" s="9"/>
      <c r="E377" s="9">
        <v>2068320</v>
      </c>
      <c r="F377" s="9">
        <v>966480</v>
      </c>
      <c r="G377" s="9">
        <v>3034800</v>
      </c>
    </row>
    <row r="378" spans="1:7">
      <c r="A378" s="616"/>
      <c r="B378" s="2003"/>
      <c r="C378" s="124" t="s">
        <v>3656</v>
      </c>
      <c r="D378" s="9"/>
      <c r="E378" s="9">
        <v>1729920</v>
      </c>
      <c r="F378" s="9">
        <v>805200</v>
      </c>
      <c r="G378" s="9">
        <v>2535120</v>
      </c>
    </row>
    <row r="379" spans="1:7">
      <c r="A379" s="616"/>
      <c r="B379" s="2003"/>
      <c r="C379" s="124" t="s">
        <v>3657</v>
      </c>
      <c r="D379" s="9"/>
      <c r="E379" s="9">
        <v>2083200</v>
      </c>
      <c r="F379" s="9">
        <v>1020720</v>
      </c>
      <c r="G379" s="9">
        <v>3103920</v>
      </c>
    </row>
    <row r="380" spans="1:7">
      <c r="A380" s="616"/>
      <c r="B380" s="2003"/>
      <c r="C380" s="11" t="s">
        <v>274</v>
      </c>
      <c r="D380" s="11"/>
      <c r="E380" s="11">
        <v>14254080</v>
      </c>
      <c r="F380" s="11">
        <v>6486000</v>
      </c>
      <c r="G380" s="11">
        <v>20740080</v>
      </c>
    </row>
    <row r="381" spans="1:7">
      <c r="A381" s="616"/>
      <c r="B381" s="1078">
        <v>43</v>
      </c>
      <c r="C381" s="11" t="s">
        <v>540</v>
      </c>
      <c r="D381" s="1078" t="s">
        <v>271</v>
      </c>
      <c r="E381" s="11"/>
      <c r="F381" s="11"/>
      <c r="G381" s="11"/>
    </row>
    <row r="382" spans="1:7">
      <c r="A382" s="616">
        <v>611000000078</v>
      </c>
      <c r="B382" s="2003"/>
      <c r="C382" s="124" t="s">
        <v>3651</v>
      </c>
      <c r="D382" s="9"/>
      <c r="E382" s="9">
        <v>16235685</v>
      </c>
      <c r="F382" s="9">
        <v>5887627</v>
      </c>
      <c r="G382" s="9">
        <v>22123312</v>
      </c>
    </row>
    <row r="383" spans="1:7">
      <c r="A383" s="616"/>
      <c r="B383" s="2003"/>
      <c r="C383" s="124" t="s">
        <v>3652</v>
      </c>
      <c r="D383" s="9"/>
      <c r="E383" s="9">
        <v>10264241</v>
      </c>
      <c r="F383" s="9">
        <v>7933805</v>
      </c>
      <c r="G383" s="9">
        <v>18198046</v>
      </c>
    </row>
    <row r="384" spans="1:7">
      <c r="A384" s="616"/>
      <c r="B384" s="2003"/>
      <c r="C384" s="124" t="s">
        <v>3653</v>
      </c>
      <c r="D384" s="9"/>
      <c r="E384" s="9">
        <v>13894720</v>
      </c>
      <c r="F384" s="9">
        <v>11066551</v>
      </c>
      <c r="G384" s="9">
        <v>24961271</v>
      </c>
    </row>
    <row r="385" spans="1:7">
      <c r="A385" s="616"/>
      <c r="B385" s="2003"/>
      <c r="C385" s="124" t="s">
        <v>3723</v>
      </c>
      <c r="D385" s="9"/>
      <c r="E385" s="9">
        <v>14855337</v>
      </c>
      <c r="F385" s="9">
        <v>11414265</v>
      </c>
      <c r="G385" s="9">
        <v>26269602</v>
      </c>
    </row>
    <row r="386" spans="1:7">
      <c r="A386" s="616"/>
      <c r="B386" s="2003"/>
      <c r="C386" s="124" t="s">
        <v>3655</v>
      </c>
      <c r="D386" s="9"/>
      <c r="E386" s="9">
        <v>23422111</v>
      </c>
      <c r="F386" s="9">
        <v>18304658</v>
      </c>
      <c r="G386" s="9">
        <v>41726769</v>
      </c>
    </row>
    <row r="387" spans="1:7">
      <c r="A387" s="616"/>
      <c r="B387" s="2003"/>
      <c r="C387" s="124" t="s">
        <v>3656</v>
      </c>
      <c r="D387" s="9"/>
      <c r="E387" s="9">
        <v>14945524</v>
      </c>
      <c r="F387" s="9">
        <v>12249482</v>
      </c>
      <c r="G387" s="9">
        <v>27195006</v>
      </c>
    </row>
    <row r="388" spans="1:7">
      <c r="A388" s="616"/>
      <c r="B388" s="2003"/>
      <c r="C388" s="124" t="s">
        <v>3657</v>
      </c>
      <c r="D388" s="9"/>
      <c r="E388" s="9">
        <v>13767805</v>
      </c>
      <c r="F388" s="9">
        <v>9693229</v>
      </c>
      <c r="G388" s="9">
        <v>23461034</v>
      </c>
    </row>
    <row r="389" spans="1:7">
      <c r="A389" s="616"/>
      <c r="B389" s="2003"/>
      <c r="C389" s="11" t="s">
        <v>274</v>
      </c>
      <c r="D389" s="11"/>
      <c r="E389" s="11">
        <v>107385423</v>
      </c>
      <c r="F389" s="11">
        <v>76549617</v>
      </c>
      <c r="G389" s="11">
        <v>183935040</v>
      </c>
    </row>
    <row r="390" spans="1:7">
      <c r="A390" s="616"/>
      <c r="B390" s="1078">
        <v>44</v>
      </c>
      <c r="C390" s="11" t="s">
        <v>3726</v>
      </c>
      <c r="D390" s="11" t="s">
        <v>259</v>
      </c>
      <c r="E390" s="11"/>
      <c r="F390" s="11"/>
      <c r="G390" s="11"/>
    </row>
    <row r="391" spans="1:7">
      <c r="A391" s="616">
        <v>611000000086</v>
      </c>
      <c r="B391" s="2003"/>
      <c r="C391" s="124" t="s">
        <v>3651</v>
      </c>
      <c r="D391" s="9"/>
      <c r="E391" s="9">
        <v>418968</v>
      </c>
      <c r="F391" s="9">
        <v>241983</v>
      </c>
      <c r="G391" s="9">
        <v>660951</v>
      </c>
    </row>
    <row r="392" spans="1:7">
      <c r="A392" s="616"/>
      <c r="B392" s="2003"/>
      <c r="C392" s="124" t="s">
        <v>3652</v>
      </c>
      <c r="D392" s="9"/>
      <c r="E392" s="9">
        <v>328167</v>
      </c>
      <c r="F392" s="9">
        <v>217548</v>
      </c>
      <c r="G392" s="9">
        <v>545715</v>
      </c>
    </row>
    <row r="393" spans="1:7">
      <c r="A393" s="616"/>
      <c r="B393" s="2003"/>
      <c r="C393" s="124" t="s">
        <v>3653</v>
      </c>
      <c r="D393" s="9"/>
      <c r="E393" s="9">
        <v>336942</v>
      </c>
      <c r="F393" s="9">
        <v>241542</v>
      </c>
      <c r="G393" s="9">
        <v>578484</v>
      </c>
    </row>
    <row r="394" spans="1:7">
      <c r="A394" s="616"/>
      <c r="B394" s="2003"/>
      <c r="C394" s="124" t="s">
        <v>3723</v>
      </c>
      <c r="D394" s="9"/>
      <c r="E394" s="9">
        <v>388953</v>
      </c>
      <c r="F394" s="9">
        <v>290826</v>
      </c>
      <c r="G394" s="9">
        <v>679779</v>
      </c>
    </row>
    <row r="395" spans="1:7">
      <c r="A395" s="616"/>
      <c r="B395" s="2003"/>
      <c r="C395" s="124" t="s">
        <v>3655</v>
      </c>
      <c r="D395" s="9"/>
      <c r="E395" s="9">
        <v>402381</v>
      </c>
      <c r="F395" s="9">
        <v>297900</v>
      </c>
      <c r="G395" s="9">
        <v>700281</v>
      </c>
    </row>
    <row r="396" spans="1:7">
      <c r="A396" s="616"/>
      <c r="B396" s="2003"/>
      <c r="C396" s="124" t="s">
        <v>3656</v>
      </c>
      <c r="D396" s="9"/>
      <c r="E396" s="9">
        <v>163467</v>
      </c>
      <c r="F396" s="9">
        <v>119808</v>
      </c>
      <c r="G396" s="9">
        <v>283275</v>
      </c>
    </row>
    <row r="397" spans="1:7">
      <c r="A397" s="616"/>
      <c r="B397" s="2003"/>
      <c r="C397" s="124" t="s">
        <v>3657</v>
      </c>
      <c r="D397" s="9"/>
      <c r="E397" s="9">
        <v>308115</v>
      </c>
      <c r="F397" s="9">
        <v>233271</v>
      </c>
      <c r="G397" s="9">
        <v>541386</v>
      </c>
    </row>
    <row r="398" spans="1:7">
      <c r="A398" s="616"/>
      <c r="B398" s="2003"/>
      <c r="C398" s="11" t="s">
        <v>274</v>
      </c>
      <c r="D398" s="9"/>
      <c r="E398" s="11">
        <v>2346993</v>
      </c>
      <c r="F398" s="11">
        <v>1642878</v>
      </c>
      <c r="G398" s="11">
        <v>3989871</v>
      </c>
    </row>
    <row r="399" spans="1:7">
      <c r="A399" s="616"/>
      <c r="B399" s="1078">
        <v>45</v>
      </c>
      <c r="C399" s="11" t="s">
        <v>3515</v>
      </c>
      <c r="D399" s="1078" t="s">
        <v>259</v>
      </c>
      <c r="E399" s="9"/>
      <c r="F399" s="9"/>
      <c r="G399" s="9"/>
    </row>
    <row r="400" spans="1:7">
      <c r="A400" s="616">
        <v>611000000088</v>
      </c>
      <c r="B400" s="2003"/>
      <c r="C400" s="124" t="s">
        <v>3651</v>
      </c>
      <c r="D400" s="9"/>
      <c r="E400" s="9">
        <v>180066</v>
      </c>
      <c r="F400" s="9">
        <v>127182</v>
      </c>
      <c r="G400" s="9">
        <v>307248</v>
      </c>
    </row>
    <row r="401" spans="1:7">
      <c r="A401" s="616"/>
      <c r="B401" s="2003"/>
      <c r="C401" s="124" t="s">
        <v>3652</v>
      </c>
      <c r="D401" s="9"/>
      <c r="E401" s="9">
        <v>163980</v>
      </c>
      <c r="F401" s="9">
        <v>110874</v>
      </c>
      <c r="G401" s="9">
        <v>274854</v>
      </c>
    </row>
    <row r="402" spans="1:7">
      <c r="A402" s="616"/>
      <c r="B402" s="2003"/>
      <c r="C402" s="124" t="s">
        <v>3653</v>
      </c>
      <c r="D402" s="9"/>
      <c r="E402" s="9">
        <v>142380</v>
      </c>
      <c r="F402" s="9">
        <v>107280</v>
      </c>
      <c r="G402" s="9">
        <v>249660</v>
      </c>
    </row>
    <row r="403" spans="1:7">
      <c r="A403" s="616"/>
      <c r="B403" s="2003"/>
      <c r="C403" s="124" t="s">
        <v>3723</v>
      </c>
      <c r="D403" s="9"/>
      <c r="E403" s="9">
        <v>164334</v>
      </c>
      <c r="F403" s="9">
        <v>118404</v>
      </c>
      <c r="G403" s="9">
        <v>282738</v>
      </c>
    </row>
    <row r="404" spans="1:7">
      <c r="A404" s="616"/>
      <c r="B404" s="2003"/>
      <c r="C404" s="124" t="s">
        <v>3655</v>
      </c>
      <c r="D404" s="9"/>
      <c r="E404" s="9">
        <v>214308</v>
      </c>
      <c r="F404" s="9">
        <v>167814</v>
      </c>
      <c r="G404" s="9">
        <v>382122</v>
      </c>
    </row>
    <row r="405" spans="1:7">
      <c r="A405" s="616"/>
      <c r="B405" s="2003"/>
      <c r="C405" s="124" t="s">
        <v>3656</v>
      </c>
      <c r="D405" s="9"/>
      <c r="E405" s="9">
        <v>213990</v>
      </c>
      <c r="F405" s="9">
        <v>160338</v>
      </c>
      <c r="G405" s="9">
        <v>374328</v>
      </c>
    </row>
    <row r="406" spans="1:7">
      <c r="A406" s="616"/>
      <c r="B406" s="2003"/>
      <c r="C406" s="124" t="s">
        <v>3657</v>
      </c>
      <c r="D406" s="9"/>
      <c r="E406" s="9">
        <v>212196</v>
      </c>
      <c r="F406" s="9">
        <v>160644</v>
      </c>
      <c r="G406" s="9">
        <v>372840</v>
      </c>
    </row>
    <row r="407" spans="1:7">
      <c r="A407" s="616"/>
      <c r="B407" s="2003"/>
      <c r="C407" s="11" t="s">
        <v>274</v>
      </c>
      <c r="D407" s="11"/>
      <c r="E407" s="11">
        <v>1507188</v>
      </c>
      <c r="F407" s="11">
        <v>736602</v>
      </c>
      <c r="G407" s="11">
        <v>2243790</v>
      </c>
    </row>
    <row r="408" spans="1:7">
      <c r="A408" s="616"/>
      <c r="B408" s="1078">
        <v>46</v>
      </c>
      <c r="C408" s="11" t="s">
        <v>548</v>
      </c>
      <c r="D408" s="1078" t="s">
        <v>271</v>
      </c>
      <c r="E408" s="11"/>
      <c r="F408" s="11"/>
      <c r="G408" s="11"/>
    </row>
    <row r="409" spans="1:7">
      <c r="A409" s="616">
        <v>611000000094</v>
      </c>
      <c r="B409" s="2003"/>
      <c r="C409" s="124" t="s">
        <v>3651</v>
      </c>
      <c r="D409" s="9"/>
      <c r="E409" s="9">
        <v>1859400</v>
      </c>
      <c r="F409" s="9">
        <v>1162200</v>
      </c>
      <c r="G409" s="9">
        <v>3021600</v>
      </c>
    </row>
    <row r="410" spans="1:7">
      <c r="A410" s="616"/>
      <c r="B410" s="2003"/>
      <c r="C410" s="124" t="s">
        <v>3652</v>
      </c>
      <c r="D410" s="9"/>
      <c r="E410" s="9">
        <v>1513302</v>
      </c>
      <c r="F410" s="9">
        <v>1263470</v>
      </c>
      <c r="G410" s="9">
        <v>2776772</v>
      </c>
    </row>
    <row r="411" spans="1:7">
      <c r="A411" s="616"/>
      <c r="B411" s="2003"/>
      <c r="C411" s="124" t="s">
        <v>3653</v>
      </c>
      <c r="D411" s="9"/>
      <c r="E411" s="9">
        <v>1377628</v>
      </c>
      <c r="F411" s="9">
        <v>1098803</v>
      </c>
      <c r="G411" s="9">
        <v>2476431</v>
      </c>
    </row>
    <row r="412" spans="1:7">
      <c r="A412" s="616"/>
      <c r="B412" s="2003"/>
      <c r="C412" s="124" t="s">
        <v>3723</v>
      </c>
      <c r="D412" s="9"/>
      <c r="E412" s="9">
        <v>1314756</v>
      </c>
      <c r="F412" s="9">
        <v>892800</v>
      </c>
      <c r="G412" s="9">
        <v>2207556</v>
      </c>
    </row>
    <row r="413" spans="1:7">
      <c r="A413" s="616"/>
      <c r="B413" s="2003"/>
      <c r="C413" s="124" t="s">
        <v>3655</v>
      </c>
      <c r="D413" s="9"/>
      <c r="E413" s="9">
        <v>1400905</v>
      </c>
      <c r="F413" s="9">
        <v>1050900</v>
      </c>
      <c r="G413" s="9">
        <v>2451805</v>
      </c>
    </row>
    <row r="414" spans="1:7">
      <c r="A414" s="616"/>
      <c r="B414" s="2003"/>
      <c r="C414" s="124" t="s">
        <v>3656</v>
      </c>
      <c r="D414" s="9"/>
      <c r="E414" s="9">
        <v>1351200</v>
      </c>
      <c r="F414" s="9">
        <v>977100</v>
      </c>
      <c r="G414" s="9">
        <v>2328300</v>
      </c>
    </row>
    <row r="415" spans="1:7">
      <c r="A415" s="616"/>
      <c r="B415" s="2003"/>
      <c r="C415" s="124" t="s">
        <v>3657</v>
      </c>
      <c r="D415" s="9"/>
      <c r="E415" s="9">
        <v>1270800</v>
      </c>
      <c r="F415" s="9">
        <v>936300</v>
      </c>
      <c r="G415" s="9">
        <v>2207100</v>
      </c>
    </row>
    <row r="416" spans="1:7">
      <c r="A416" s="616"/>
      <c r="B416" s="2003"/>
      <c r="C416" s="11" t="s">
        <v>274</v>
      </c>
      <c r="D416" s="11"/>
      <c r="E416" s="11">
        <v>10087991</v>
      </c>
      <c r="F416" s="11">
        <v>7381573</v>
      </c>
      <c r="G416" s="11">
        <v>17469564</v>
      </c>
    </row>
    <row r="417" spans="1:7">
      <c r="A417" s="616"/>
      <c r="B417" s="1078">
        <v>47</v>
      </c>
      <c r="C417" s="11" t="s">
        <v>668</v>
      </c>
      <c r="D417" s="1078" t="s">
        <v>259</v>
      </c>
      <c r="E417" s="11"/>
      <c r="F417" s="11"/>
      <c r="G417" s="11"/>
    </row>
    <row r="418" spans="1:7">
      <c r="A418" s="616">
        <v>611000000096</v>
      </c>
      <c r="B418" s="2003"/>
      <c r="C418" s="124" t="s">
        <v>3651</v>
      </c>
      <c r="D418" s="9"/>
      <c r="E418" s="9">
        <v>516630</v>
      </c>
      <c r="F418" s="9">
        <v>235395</v>
      </c>
      <c r="G418" s="9">
        <v>752025</v>
      </c>
    </row>
    <row r="419" spans="1:7">
      <c r="A419" s="616"/>
      <c r="B419" s="2003"/>
      <c r="C419" s="124" t="s">
        <v>3652</v>
      </c>
      <c r="D419" s="9"/>
      <c r="E419" s="9">
        <v>448335</v>
      </c>
      <c r="F419" s="9">
        <v>334875</v>
      </c>
      <c r="G419" s="9">
        <v>783210</v>
      </c>
    </row>
    <row r="420" spans="1:7">
      <c r="A420" s="616"/>
      <c r="B420" s="2003"/>
      <c r="C420" s="124" t="s">
        <v>3653</v>
      </c>
      <c r="D420" s="9"/>
      <c r="E420" s="9">
        <v>429390</v>
      </c>
      <c r="F420" s="9">
        <v>322125</v>
      </c>
      <c r="G420" s="9">
        <v>751515</v>
      </c>
    </row>
    <row r="421" spans="1:7">
      <c r="A421" s="616"/>
      <c r="B421" s="2003"/>
      <c r="C421" s="124" t="s">
        <v>3723</v>
      </c>
      <c r="D421" s="9"/>
      <c r="E421" s="9">
        <v>448620</v>
      </c>
      <c r="F421" s="9">
        <v>341325</v>
      </c>
      <c r="G421" s="9">
        <v>789945</v>
      </c>
    </row>
    <row r="422" spans="1:7">
      <c r="A422" s="616"/>
      <c r="B422" s="2003"/>
      <c r="C422" s="124" t="s">
        <v>3655</v>
      </c>
      <c r="D422" s="9"/>
      <c r="E422" s="9">
        <v>434190</v>
      </c>
      <c r="F422" s="9">
        <v>330270</v>
      </c>
      <c r="G422" s="9">
        <v>764460</v>
      </c>
    </row>
    <row r="423" spans="1:7">
      <c r="A423" s="616"/>
      <c r="B423" s="2003"/>
      <c r="C423" s="124" t="s">
        <v>3656</v>
      </c>
      <c r="D423" s="9"/>
      <c r="E423" s="9">
        <v>451290</v>
      </c>
      <c r="F423" s="9">
        <v>343950</v>
      </c>
      <c r="G423" s="9">
        <v>795240</v>
      </c>
    </row>
    <row r="424" spans="1:7">
      <c r="A424" s="616"/>
      <c r="B424" s="2003"/>
      <c r="C424" s="124" t="s">
        <v>3657</v>
      </c>
      <c r="D424" s="9"/>
      <c r="E424" s="9">
        <v>468330</v>
      </c>
      <c r="F424" s="9">
        <v>354060</v>
      </c>
      <c r="G424" s="9">
        <v>822390</v>
      </c>
    </row>
    <row r="425" spans="1:7">
      <c r="A425" s="616"/>
      <c r="B425" s="2003"/>
      <c r="C425" s="11" t="s">
        <v>274</v>
      </c>
      <c r="D425" s="11"/>
      <c r="E425" s="11">
        <v>3782160</v>
      </c>
      <c r="F425" s="11">
        <v>1676625</v>
      </c>
      <c r="G425" s="11">
        <v>5458785</v>
      </c>
    </row>
    <row r="426" spans="1:7">
      <c r="A426" s="616"/>
      <c r="B426" s="1078">
        <v>48</v>
      </c>
      <c r="C426" s="11" t="s">
        <v>570</v>
      </c>
      <c r="D426" s="1078" t="s">
        <v>271</v>
      </c>
      <c r="E426" s="11"/>
      <c r="F426" s="11"/>
      <c r="G426" s="11"/>
    </row>
    <row r="427" spans="1:7">
      <c r="A427" s="616">
        <v>611000000100</v>
      </c>
      <c r="B427" s="2003"/>
      <c r="C427" s="124" t="s">
        <v>3651</v>
      </c>
      <c r="D427" s="9"/>
      <c r="E427" s="9">
        <v>1359630</v>
      </c>
      <c r="F427" s="9">
        <v>793610</v>
      </c>
      <c r="G427" s="9">
        <v>2153240</v>
      </c>
    </row>
    <row r="428" spans="1:7">
      <c r="A428" s="616"/>
      <c r="B428" s="2003"/>
      <c r="C428" s="124" t="s">
        <v>3652</v>
      </c>
      <c r="D428" s="9"/>
      <c r="E428" s="9">
        <v>1141383</v>
      </c>
      <c r="F428" s="9">
        <v>880880</v>
      </c>
      <c r="G428" s="9">
        <v>2022263</v>
      </c>
    </row>
    <row r="429" spans="1:7">
      <c r="A429" s="616"/>
      <c r="B429" s="2003"/>
      <c r="C429" s="124" t="s">
        <v>3653</v>
      </c>
      <c r="D429" s="9"/>
      <c r="E429" s="9">
        <v>1027347</v>
      </c>
      <c r="F429" s="9">
        <v>732360</v>
      </c>
      <c r="G429" s="9">
        <v>1759707</v>
      </c>
    </row>
    <row r="430" spans="1:7">
      <c r="A430" s="616"/>
      <c r="B430" s="2003"/>
      <c r="C430" s="124" t="s">
        <v>3723</v>
      </c>
      <c r="D430" s="9"/>
      <c r="E430" s="9">
        <v>930318</v>
      </c>
      <c r="F430" s="9">
        <v>651729</v>
      </c>
      <c r="G430" s="9">
        <v>1582047</v>
      </c>
    </row>
    <row r="431" spans="1:7">
      <c r="A431" s="616"/>
      <c r="B431" s="2003"/>
      <c r="C431" s="124" t="s">
        <v>3655</v>
      </c>
      <c r="D431" s="9"/>
      <c r="E431" s="9">
        <v>839880</v>
      </c>
      <c r="F431" s="9">
        <v>602086</v>
      </c>
      <c r="G431" s="9">
        <v>1441966</v>
      </c>
    </row>
    <row r="432" spans="1:7">
      <c r="A432" s="616"/>
      <c r="B432" s="2003"/>
      <c r="C432" s="124" t="s">
        <v>3656</v>
      </c>
      <c r="D432" s="9"/>
      <c r="E432" s="9">
        <v>916668</v>
      </c>
      <c r="F432" s="9">
        <v>648840</v>
      </c>
      <c r="G432" s="9">
        <v>1565508</v>
      </c>
    </row>
    <row r="433" spans="1:7">
      <c r="A433" s="616"/>
      <c r="B433" s="2003"/>
      <c r="C433" s="124" t="s">
        <v>3657</v>
      </c>
      <c r="D433" s="9"/>
      <c r="E433" s="9">
        <v>1145520</v>
      </c>
      <c r="F433" s="9">
        <v>816000</v>
      </c>
      <c r="G433" s="9">
        <v>1961520</v>
      </c>
    </row>
    <row r="434" spans="1:7">
      <c r="A434" s="616"/>
      <c r="B434" s="2003"/>
      <c r="C434" s="11" t="s">
        <v>274</v>
      </c>
      <c r="D434" s="11"/>
      <c r="E434" s="11">
        <v>7360746</v>
      </c>
      <c r="F434" s="11">
        <v>5125505</v>
      </c>
      <c r="G434" s="11">
        <v>12486251</v>
      </c>
    </row>
    <row r="435" spans="1:7">
      <c r="A435" s="616"/>
      <c r="B435" s="1078">
        <v>49</v>
      </c>
      <c r="C435" s="11" t="s">
        <v>670</v>
      </c>
      <c r="D435" s="1078" t="s">
        <v>259</v>
      </c>
      <c r="E435" s="11"/>
      <c r="F435" s="11"/>
      <c r="G435" s="11"/>
    </row>
    <row r="436" spans="1:7">
      <c r="A436" s="616">
        <v>611000000103</v>
      </c>
      <c r="B436" s="2003"/>
      <c r="C436" s="124" t="s">
        <v>3651</v>
      </c>
      <c r="D436" s="9"/>
      <c r="E436" s="9">
        <v>370800</v>
      </c>
      <c r="F436" s="9">
        <v>155880</v>
      </c>
      <c r="G436" s="9">
        <v>526680</v>
      </c>
    </row>
    <row r="437" spans="1:7">
      <c r="A437" s="616"/>
      <c r="B437" s="2003"/>
      <c r="C437" s="124" t="s">
        <v>3652</v>
      </c>
      <c r="D437" s="9"/>
      <c r="E437" s="9">
        <v>565200</v>
      </c>
      <c r="F437" s="9">
        <v>382260</v>
      </c>
      <c r="G437" s="9">
        <v>947460</v>
      </c>
    </row>
    <row r="438" spans="1:7">
      <c r="A438" s="616"/>
      <c r="B438" s="2003"/>
      <c r="C438" s="124" t="s">
        <v>3653</v>
      </c>
      <c r="D438" s="9"/>
      <c r="E438" s="9">
        <v>525420</v>
      </c>
      <c r="F438" s="9">
        <v>370020</v>
      </c>
      <c r="G438" s="9">
        <v>895440</v>
      </c>
    </row>
    <row r="439" spans="1:7">
      <c r="A439" s="616"/>
      <c r="B439" s="2003"/>
      <c r="C439" s="124" t="s">
        <v>3723</v>
      </c>
      <c r="D439" s="9"/>
      <c r="E439" s="9">
        <v>732420</v>
      </c>
      <c r="F439" s="9">
        <v>588420</v>
      </c>
      <c r="G439" s="9">
        <v>1320840</v>
      </c>
    </row>
    <row r="440" spans="1:7">
      <c r="A440" s="616"/>
      <c r="B440" s="2003"/>
      <c r="C440" s="124" t="s">
        <v>3655</v>
      </c>
      <c r="D440" s="9"/>
      <c r="E440" s="9">
        <v>818580</v>
      </c>
      <c r="F440" s="9">
        <v>640020</v>
      </c>
      <c r="G440" s="9">
        <v>1458600</v>
      </c>
    </row>
    <row r="441" spans="1:7">
      <c r="A441" s="616"/>
      <c r="B441" s="2003"/>
      <c r="C441" s="124" t="s">
        <v>3656</v>
      </c>
      <c r="D441" s="9"/>
      <c r="E441" s="9">
        <v>845940</v>
      </c>
      <c r="F441" s="9">
        <v>620040</v>
      </c>
      <c r="G441" s="9">
        <v>1465980</v>
      </c>
    </row>
    <row r="442" spans="1:7">
      <c r="A442" s="616"/>
      <c r="B442" s="2003"/>
      <c r="C442" s="124" t="s">
        <v>3657</v>
      </c>
      <c r="D442" s="9"/>
      <c r="E442" s="9">
        <v>773340</v>
      </c>
      <c r="F442" s="9">
        <v>614460</v>
      </c>
      <c r="G442" s="9">
        <v>1387800</v>
      </c>
    </row>
    <row r="443" spans="1:7">
      <c r="A443" s="616"/>
      <c r="B443" s="2003"/>
      <c r="C443" s="11" t="s">
        <v>274</v>
      </c>
      <c r="D443" s="11"/>
      <c r="E443" s="11">
        <v>5568600</v>
      </c>
      <c r="F443" s="11">
        <v>2434200</v>
      </c>
      <c r="G443" s="11">
        <v>8002800</v>
      </c>
    </row>
    <row r="444" spans="1:7">
      <c r="A444" s="616"/>
      <c r="B444" s="1078">
        <v>50</v>
      </c>
      <c r="C444" s="11" t="s">
        <v>550</v>
      </c>
      <c r="D444" s="1078" t="s">
        <v>271</v>
      </c>
      <c r="E444" s="11"/>
      <c r="F444" s="11"/>
      <c r="G444" s="11"/>
    </row>
    <row r="445" spans="1:7">
      <c r="A445" s="616">
        <v>611000000113</v>
      </c>
      <c r="B445" s="2003"/>
      <c r="C445" s="124" t="s">
        <v>3651</v>
      </c>
      <c r="D445" s="9"/>
      <c r="E445" s="9">
        <v>66300</v>
      </c>
      <c r="F445" s="9">
        <v>43500</v>
      </c>
      <c r="G445" s="9">
        <v>109800</v>
      </c>
    </row>
    <row r="446" spans="1:7">
      <c r="A446" s="616"/>
      <c r="B446" s="2003"/>
      <c r="C446" s="124" t="s">
        <v>3652</v>
      </c>
      <c r="D446" s="9"/>
      <c r="E446" s="9">
        <v>10800</v>
      </c>
      <c r="F446" s="9">
        <v>5700</v>
      </c>
      <c r="G446" s="9">
        <v>16500</v>
      </c>
    </row>
    <row r="447" spans="1:7">
      <c r="A447" s="616"/>
      <c r="B447" s="2003"/>
      <c r="C447" s="124" t="s">
        <v>3653</v>
      </c>
      <c r="D447" s="9"/>
      <c r="E447" s="9">
        <v>24900</v>
      </c>
      <c r="F447" s="9">
        <v>23400</v>
      </c>
      <c r="G447" s="9">
        <v>48300</v>
      </c>
    </row>
    <row r="448" spans="1:7">
      <c r="A448" s="616"/>
      <c r="B448" s="2003"/>
      <c r="C448" s="124" t="s">
        <v>3723</v>
      </c>
      <c r="D448" s="9"/>
      <c r="E448" s="9">
        <v>6300</v>
      </c>
      <c r="F448" s="9">
        <v>600</v>
      </c>
      <c r="G448" s="9">
        <v>6900</v>
      </c>
    </row>
    <row r="449" spans="1:7">
      <c r="A449" s="616"/>
      <c r="B449" s="2003"/>
      <c r="C449" s="124" t="s">
        <v>3655</v>
      </c>
      <c r="D449" s="9"/>
      <c r="E449" s="9">
        <v>1800</v>
      </c>
      <c r="F449" s="9">
        <v>9900</v>
      </c>
      <c r="G449" s="9">
        <v>11700</v>
      </c>
    </row>
    <row r="450" spans="1:7">
      <c r="A450" s="616"/>
      <c r="B450" s="2003"/>
      <c r="C450" s="124" t="s">
        <v>3656</v>
      </c>
      <c r="D450" s="9"/>
      <c r="E450" s="9">
        <v>2400</v>
      </c>
      <c r="F450" s="9">
        <v>2100</v>
      </c>
      <c r="G450" s="9">
        <v>4500</v>
      </c>
    </row>
    <row r="451" spans="1:7">
      <c r="A451" s="616"/>
      <c r="B451" s="2003"/>
      <c r="C451" s="124" t="s">
        <v>3657</v>
      </c>
      <c r="D451" s="9"/>
      <c r="E451" s="9">
        <v>1800</v>
      </c>
      <c r="F451" s="9">
        <v>0</v>
      </c>
      <c r="G451" s="9">
        <v>1800</v>
      </c>
    </row>
    <row r="452" spans="1:7">
      <c r="A452" s="616"/>
      <c r="B452" s="2003"/>
      <c r="C452" s="11" t="s">
        <v>274</v>
      </c>
      <c r="D452" s="11"/>
      <c r="E452" s="11">
        <v>127200</v>
      </c>
      <c r="F452" s="11">
        <v>72300</v>
      </c>
      <c r="G452" s="11">
        <v>199500</v>
      </c>
    </row>
    <row r="453" spans="1:7">
      <c r="A453" s="616"/>
      <c r="B453" s="1078">
        <v>51</v>
      </c>
      <c r="C453" s="11" t="s">
        <v>3727</v>
      </c>
      <c r="D453" s="1078" t="s">
        <v>271</v>
      </c>
      <c r="E453" s="11"/>
      <c r="F453" s="11"/>
      <c r="G453" s="11"/>
    </row>
    <row r="454" spans="1:7">
      <c r="A454" s="616">
        <v>611000000119</v>
      </c>
      <c r="B454" s="2003"/>
      <c r="C454" s="124" t="s">
        <v>3651</v>
      </c>
      <c r="D454" s="9"/>
      <c r="E454" s="9">
        <v>2782380</v>
      </c>
      <c r="F454" s="9">
        <v>1617600</v>
      </c>
      <c r="G454" s="9">
        <v>4399980</v>
      </c>
    </row>
    <row r="455" spans="1:7">
      <c r="A455" s="616"/>
      <c r="B455" s="2003"/>
      <c r="C455" s="124" t="s">
        <v>3652</v>
      </c>
      <c r="D455" s="9"/>
      <c r="E455" s="9">
        <v>2754960</v>
      </c>
      <c r="F455" s="9">
        <v>1940820</v>
      </c>
      <c r="G455" s="9">
        <v>4695780</v>
      </c>
    </row>
    <row r="456" spans="1:7">
      <c r="A456" s="616"/>
      <c r="B456" s="2003"/>
      <c r="C456" s="124" t="s">
        <v>3653</v>
      </c>
      <c r="D456" s="9"/>
      <c r="E456" s="9">
        <v>2628060</v>
      </c>
      <c r="F456" s="9">
        <v>1819140</v>
      </c>
      <c r="G456" s="9">
        <v>4447200</v>
      </c>
    </row>
    <row r="457" spans="1:7">
      <c r="A457" s="616"/>
      <c r="B457" s="2003"/>
      <c r="C457" s="124" t="s">
        <v>3723</v>
      </c>
      <c r="D457" s="9"/>
      <c r="E457" s="9">
        <v>2146500</v>
      </c>
      <c r="F457" s="9">
        <v>1543080</v>
      </c>
      <c r="G457" s="9">
        <v>3689580</v>
      </c>
    </row>
    <row r="458" spans="1:7">
      <c r="A458" s="616"/>
      <c r="B458" s="2003"/>
      <c r="C458" s="124" t="s">
        <v>3655</v>
      </c>
      <c r="D458" s="9"/>
      <c r="E458" s="9">
        <v>1418820</v>
      </c>
      <c r="F458" s="9">
        <v>1039200</v>
      </c>
      <c r="G458" s="9">
        <v>2458020</v>
      </c>
    </row>
    <row r="459" spans="1:7">
      <c r="A459" s="616"/>
      <c r="B459" s="2003"/>
      <c r="C459" s="124" t="s">
        <v>3656</v>
      </c>
      <c r="D459" s="9"/>
      <c r="E459" s="9">
        <v>2048160</v>
      </c>
      <c r="F459" s="9">
        <v>1453380</v>
      </c>
      <c r="G459" s="9">
        <v>3501540</v>
      </c>
    </row>
    <row r="460" spans="1:7">
      <c r="A460" s="616"/>
      <c r="B460" s="2003"/>
      <c r="C460" s="124" t="s">
        <v>3657</v>
      </c>
      <c r="D460" s="9"/>
      <c r="E460" s="9">
        <v>2981880</v>
      </c>
      <c r="F460" s="9">
        <v>2118540</v>
      </c>
      <c r="G460" s="9">
        <v>5100420</v>
      </c>
    </row>
    <row r="461" spans="1:7">
      <c r="A461" s="616"/>
      <c r="B461" s="2003"/>
      <c r="C461" s="11" t="s">
        <v>274</v>
      </c>
      <c r="D461" s="11"/>
      <c r="E461" s="11">
        <v>19562460</v>
      </c>
      <c r="F461" s="11">
        <v>8730060</v>
      </c>
      <c r="G461" s="11">
        <v>28292520</v>
      </c>
    </row>
    <row r="462" spans="1:7">
      <c r="A462" s="616"/>
      <c r="B462" s="1078">
        <v>52</v>
      </c>
      <c r="C462" s="11" t="s">
        <v>3510</v>
      </c>
      <c r="D462" s="1078" t="s">
        <v>271</v>
      </c>
      <c r="E462" s="11"/>
      <c r="F462" s="11"/>
      <c r="G462" s="11"/>
    </row>
    <row r="463" spans="1:7">
      <c r="A463" s="616">
        <v>611000000122</v>
      </c>
      <c r="B463" s="2003"/>
      <c r="C463" s="124" t="s">
        <v>3651</v>
      </c>
      <c r="D463" s="9"/>
      <c r="E463" s="9">
        <v>10548300</v>
      </c>
      <c r="F463" s="9">
        <v>6312900</v>
      </c>
      <c r="G463" s="9">
        <v>16861200</v>
      </c>
    </row>
    <row r="464" spans="1:7">
      <c r="A464" s="616"/>
      <c r="B464" s="2003"/>
      <c r="C464" s="124" t="s">
        <v>3652</v>
      </c>
      <c r="D464" s="9"/>
      <c r="E464" s="9">
        <v>10638600</v>
      </c>
      <c r="F464" s="9">
        <v>7711800</v>
      </c>
      <c r="G464" s="9">
        <v>18350400</v>
      </c>
    </row>
    <row r="465" spans="1:7">
      <c r="A465" s="616"/>
      <c r="B465" s="2003"/>
      <c r="C465" s="124" t="s">
        <v>3653</v>
      </c>
      <c r="D465" s="9"/>
      <c r="E465" s="9">
        <v>10637700</v>
      </c>
      <c r="F465" s="9">
        <v>7504200</v>
      </c>
      <c r="G465" s="9">
        <v>18141900</v>
      </c>
    </row>
    <row r="466" spans="1:7">
      <c r="A466" s="616"/>
      <c r="B466" s="2003"/>
      <c r="C466" s="124" t="s">
        <v>3723</v>
      </c>
      <c r="D466" s="9"/>
      <c r="E466" s="9">
        <v>9115200</v>
      </c>
      <c r="F466" s="9">
        <v>6677100</v>
      </c>
      <c r="G466" s="9">
        <v>15792300</v>
      </c>
    </row>
    <row r="467" spans="1:7">
      <c r="A467" s="616"/>
      <c r="B467" s="2003"/>
      <c r="C467" s="124" t="s">
        <v>3655</v>
      </c>
      <c r="D467" s="9"/>
      <c r="E467" s="9">
        <v>3166200</v>
      </c>
      <c r="F467" s="9">
        <v>2300100</v>
      </c>
      <c r="G467" s="9">
        <v>5466300</v>
      </c>
    </row>
    <row r="468" spans="1:7">
      <c r="A468" s="616"/>
      <c r="B468" s="2003"/>
      <c r="C468" s="124" t="s">
        <v>3656</v>
      </c>
      <c r="D468" s="9"/>
      <c r="E468" s="9">
        <v>10602000</v>
      </c>
      <c r="F468" s="9">
        <v>7643400</v>
      </c>
      <c r="G468" s="9">
        <v>18245400</v>
      </c>
    </row>
    <row r="469" spans="1:7">
      <c r="A469" s="616"/>
      <c r="B469" s="2003"/>
      <c r="C469" s="124" t="s">
        <v>3657</v>
      </c>
      <c r="D469" s="9"/>
      <c r="E469" s="9">
        <v>13072800</v>
      </c>
      <c r="F469" s="9">
        <v>9363000</v>
      </c>
      <c r="G469" s="9">
        <v>22435800</v>
      </c>
    </row>
    <row r="470" spans="1:7">
      <c r="A470" s="616"/>
      <c r="B470" s="2003"/>
      <c r="C470" s="11" t="s">
        <v>274</v>
      </c>
      <c r="D470" s="11"/>
      <c r="E470" s="11">
        <v>78328200</v>
      </c>
      <c r="F470" s="11">
        <v>36965100</v>
      </c>
      <c r="G470" s="11">
        <v>115293300</v>
      </c>
    </row>
    <row r="471" spans="1:7">
      <c r="A471" s="616"/>
      <c r="B471" s="1078">
        <v>53</v>
      </c>
      <c r="C471" s="11" t="s">
        <v>716</v>
      </c>
      <c r="D471" s="1078" t="s">
        <v>259</v>
      </c>
      <c r="E471" s="11"/>
      <c r="F471" s="11"/>
      <c r="G471" s="11"/>
    </row>
    <row r="472" spans="1:7">
      <c r="A472" s="616">
        <v>611000000123</v>
      </c>
      <c r="B472" s="2003"/>
      <c r="C472" s="124" t="s">
        <v>3651</v>
      </c>
      <c r="D472" s="9"/>
      <c r="E472" s="9">
        <v>5970</v>
      </c>
      <c r="F472" s="9">
        <v>4260</v>
      </c>
      <c r="G472" s="9">
        <v>10230</v>
      </c>
    </row>
    <row r="473" spans="1:7">
      <c r="A473" s="616"/>
      <c r="B473" s="2003"/>
      <c r="C473" s="124" t="s">
        <v>3652</v>
      </c>
      <c r="D473" s="9"/>
      <c r="E473" s="9">
        <v>6660</v>
      </c>
      <c r="F473" s="9">
        <v>4530</v>
      </c>
      <c r="G473" s="9">
        <v>11190</v>
      </c>
    </row>
    <row r="474" spans="1:7">
      <c r="A474" s="616"/>
      <c r="B474" s="2003"/>
      <c r="C474" s="124" t="s">
        <v>3653</v>
      </c>
      <c r="D474" s="9"/>
      <c r="E474" s="9">
        <v>4530</v>
      </c>
      <c r="F474" s="9">
        <v>3390</v>
      </c>
      <c r="G474" s="9">
        <v>7920</v>
      </c>
    </row>
    <row r="475" spans="1:7">
      <c r="A475" s="616"/>
      <c r="B475" s="2003"/>
      <c r="C475" s="124" t="s">
        <v>3723</v>
      </c>
      <c r="D475" s="9"/>
      <c r="E475" s="9">
        <v>6420</v>
      </c>
      <c r="F475" s="9">
        <v>4620</v>
      </c>
      <c r="G475" s="9">
        <v>11040</v>
      </c>
    </row>
    <row r="476" spans="1:7">
      <c r="A476" s="616"/>
      <c r="B476" s="2003"/>
      <c r="C476" s="124" t="s">
        <v>3655</v>
      </c>
      <c r="D476" s="9"/>
      <c r="E476" s="9">
        <v>12930</v>
      </c>
      <c r="F476" s="9">
        <v>6990</v>
      </c>
      <c r="G476" s="9">
        <v>19920</v>
      </c>
    </row>
    <row r="477" spans="1:7">
      <c r="A477" s="616"/>
      <c r="B477" s="2003"/>
      <c r="C477" s="124" t="s">
        <v>3656</v>
      </c>
      <c r="D477" s="9"/>
      <c r="E477" s="9">
        <v>14970</v>
      </c>
      <c r="F477" s="9">
        <v>6480</v>
      </c>
      <c r="G477" s="9">
        <v>21450</v>
      </c>
    </row>
    <row r="478" spans="1:7">
      <c r="A478" s="616"/>
      <c r="B478" s="2003"/>
      <c r="C478" s="124" t="s">
        <v>3657</v>
      </c>
      <c r="D478" s="9"/>
      <c r="E478" s="9">
        <v>89010</v>
      </c>
      <c r="F478" s="9">
        <v>41520</v>
      </c>
      <c r="G478" s="9">
        <v>130530</v>
      </c>
    </row>
    <row r="479" spans="1:7">
      <c r="A479" s="616"/>
      <c r="B479" s="2003"/>
      <c r="C479" s="11" t="s">
        <v>274</v>
      </c>
      <c r="D479" s="11"/>
      <c r="E479" s="11">
        <v>150570</v>
      </c>
      <c r="F479" s="11">
        <v>61710</v>
      </c>
      <c r="G479" s="11">
        <v>212280</v>
      </c>
    </row>
    <row r="480" spans="1:7">
      <c r="A480" s="616"/>
      <c r="B480" s="1078">
        <v>54</v>
      </c>
      <c r="C480" s="11" t="s">
        <v>612</v>
      </c>
      <c r="D480" s="1078" t="s">
        <v>271</v>
      </c>
      <c r="E480" s="11"/>
      <c r="F480" s="11"/>
      <c r="G480" s="11"/>
    </row>
    <row r="481" spans="1:7">
      <c r="A481" s="616">
        <v>611000000131</v>
      </c>
      <c r="B481" s="2003"/>
      <c r="C481" s="124" t="s">
        <v>3657</v>
      </c>
      <c r="D481" s="9"/>
      <c r="E481" s="9">
        <v>6720</v>
      </c>
      <c r="F481" s="9">
        <v>4320</v>
      </c>
      <c r="G481" s="9">
        <v>11040</v>
      </c>
    </row>
    <row r="482" spans="1:7">
      <c r="A482" s="616"/>
      <c r="B482" s="2003"/>
      <c r="C482" s="11" t="s">
        <v>274</v>
      </c>
      <c r="D482" s="11"/>
      <c r="E482" s="11">
        <v>6720</v>
      </c>
      <c r="F482" s="11">
        <v>4320</v>
      </c>
      <c r="G482" s="11">
        <v>11040</v>
      </c>
    </row>
    <row r="483" spans="1:7">
      <c r="A483" s="616"/>
      <c r="B483" s="1078">
        <v>55</v>
      </c>
      <c r="C483" s="11" t="s">
        <v>672</v>
      </c>
      <c r="D483" s="1078" t="s">
        <v>259</v>
      </c>
      <c r="E483" s="11"/>
      <c r="F483" s="11"/>
      <c r="G483" s="11"/>
    </row>
    <row r="484" spans="1:7">
      <c r="A484" s="616">
        <v>615000000009</v>
      </c>
      <c r="B484" s="2003"/>
      <c r="C484" s="124" t="s">
        <v>3651</v>
      </c>
      <c r="D484" s="9"/>
      <c r="E484" s="9">
        <v>263760</v>
      </c>
      <c r="F484" s="9">
        <v>119880</v>
      </c>
      <c r="G484" s="9">
        <v>383640</v>
      </c>
    </row>
    <row r="485" spans="1:7">
      <c r="A485" s="616"/>
      <c r="B485" s="2003"/>
      <c r="C485" s="124" t="s">
        <v>3652</v>
      </c>
      <c r="D485" s="9"/>
      <c r="E485" s="9">
        <v>0</v>
      </c>
      <c r="F485" s="9">
        <v>0</v>
      </c>
      <c r="G485" s="9">
        <v>0</v>
      </c>
    </row>
    <row r="486" spans="1:7">
      <c r="A486" s="616"/>
      <c r="B486" s="2003"/>
      <c r="C486" s="124" t="s">
        <v>3653</v>
      </c>
      <c r="D486" s="9"/>
      <c r="E486" s="9">
        <v>0</v>
      </c>
      <c r="F486" s="9">
        <v>0</v>
      </c>
      <c r="G486" s="9">
        <v>0</v>
      </c>
    </row>
    <row r="487" spans="1:7">
      <c r="A487" s="616"/>
      <c r="B487" s="2003"/>
      <c r="C487" s="124" t="s">
        <v>3723</v>
      </c>
      <c r="D487" s="9"/>
      <c r="E487" s="9">
        <v>0</v>
      </c>
      <c r="F487" s="9">
        <v>0</v>
      </c>
      <c r="G487" s="9">
        <v>0</v>
      </c>
    </row>
    <row r="488" spans="1:7">
      <c r="A488" s="616"/>
      <c r="B488" s="2003"/>
      <c r="C488" s="124" t="s">
        <v>3655</v>
      </c>
      <c r="D488" s="9"/>
      <c r="E488" s="9">
        <v>1325550</v>
      </c>
      <c r="F488" s="9">
        <v>981300</v>
      </c>
      <c r="G488" s="9">
        <v>2306850</v>
      </c>
    </row>
    <row r="489" spans="1:7">
      <c r="A489" s="616"/>
      <c r="B489" s="2003"/>
      <c r="C489" s="124" t="s">
        <v>3656</v>
      </c>
      <c r="D489" s="9"/>
      <c r="E489" s="9">
        <v>1344540</v>
      </c>
      <c r="F489" s="9">
        <v>955920</v>
      </c>
      <c r="G489" s="9">
        <v>2300460</v>
      </c>
    </row>
    <row r="490" spans="1:7">
      <c r="A490" s="616"/>
      <c r="B490" s="2003"/>
      <c r="C490" s="124" t="s">
        <v>3657</v>
      </c>
      <c r="D490" s="9"/>
      <c r="E490" s="9">
        <v>592980</v>
      </c>
      <c r="F490" s="9">
        <v>445290</v>
      </c>
      <c r="G490" s="9">
        <v>1038270</v>
      </c>
    </row>
    <row r="491" spans="1:7">
      <c r="A491" s="616"/>
      <c r="B491" s="2003"/>
      <c r="C491" s="11" t="s">
        <v>274</v>
      </c>
      <c r="D491" s="11"/>
      <c r="E491" s="11">
        <v>3899820</v>
      </c>
      <c r="F491" s="11">
        <v>2129400</v>
      </c>
      <c r="G491" s="11">
        <v>6029220</v>
      </c>
    </row>
    <row r="492" spans="1:7">
      <c r="A492" s="616"/>
      <c r="B492" s="1078">
        <v>56</v>
      </c>
      <c r="C492" s="11" t="s">
        <v>718</v>
      </c>
      <c r="D492" s="1078" t="s">
        <v>259</v>
      </c>
      <c r="E492" s="11"/>
      <c r="F492" s="11"/>
      <c r="G492" s="11"/>
    </row>
    <row r="493" spans="1:7">
      <c r="A493" s="616">
        <v>615000000035</v>
      </c>
      <c r="B493" s="2003"/>
      <c r="C493" s="124" t="s">
        <v>3651</v>
      </c>
      <c r="D493" s="9"/>
      <c r="E493" s="9">
        <v>7980</v>
      </c>
      <c r="F493" s="9">
        <v>5610</v>
      </c>
      <c r="G493" s="9">
        <v>13590</v>
      </c>
    </row>
    <row r="494" spans="1:7">
      <c r="A494" s="616"/>
      <c r="B494" s="2003"/>
      <c r="C494" s="124" t="s">
        <v>3652</v>
      </c>
      <c r="D494" s="9"/>
      <c r="E494" s="9">
        <v>5910</v>
      </c>
      <c r="F494" s="9">
        <v>4080</v>
      </c>
      <c r="G494" s="9">
        <v>9990</v>
      </c>
    </row>
    <row r="495" spans="1:7">
      <c r="A495" s="616"/>
      <c r="B495" s="2003"/>
      <c r="C495" s="124" t="s">
        <v>3653</v>
      </c>
      <c r="D495" s="9"/>
      <c r="E495" s="9">
        <v>8910</v>
      </c>
      <c r="F495" s="9">
        <v>7380</v>
      </c>
      <c r="G495" s="9">
        <v>16290</v>
      </c>
    </row>
    <row r="496" spans="1:7">
      <c r="A496" s="616"/>
      <c r="B496" s="2003"/>
      <c r="C496" s="124" t="s">
        <v>3723</v>
      </c>
      <c r="D496" s="9"/>
      <c r="E496" s="9">
        <v>95730</v>
      </c>
      <c r="F496" s="9">
        <v>47760</v>
      </c>
      <c r="G496" s="9">
        <v>143490</v>
      </c>
    </row>
    <row r="497" spans="1:7">
      <c r="A497" s="616"/>
      <c r="B497" s="2003"/>
      <c r="C497" s="124" t="s">
        <v>3655</v>
      </c>
      <c r="D497" s="9"/>
      <c r="E497" s="9">
        <v>154200</v>
      </c>
      <c r="F497" s="9">
        <v>70950</v>
      </c>
      <c r="G497" s="9">
        <v>225150</v>
      </c>
    </row>
    <row r="498" spans="1:7">
      <c r="A498" s="616"/>
      <c r="B498" s="2003"/>
      <c r="C498" s="124" t="s">
        <v>3656</v>
      </c>
      <c r="D498" s="9"/>
      <c r="E498" s="9">
        <v>93900</v>
      </c>
      <c r="F498" s="9">
        <v>40290</v>
      </c>
      <c r="G498" s="9">
        <v>134190</v>
      </c>
    </row>
    <row r="499" spans="1:7">
      <c r="A499" s="616"/>
      <c r="B499" s="2003"/>
      <c r="C499" s="124" t="s">
        <v>3657</v>
      </c>
      <c r="D499" s="9"/>
      <c r="E499" s="9">
        <v>51720</v>
      </c>
      <c r="F499" s="9">
        <v>34050</v>
      </c>
      <c r="G499" s="9">
        <v>85770</v>
      </c>
    </row>
    <row r="500" spans="1:7">
      <c r="A500" s="616"/>
      <c r="B500" s="2003"/>
      <c r="C500" s="11" t="s">
        <v>274</v>
      </c>
      <c r="D500" s="11"/>
      <c r="E500" s="11">
        <v>528480</v>
      </c>
      <c r="F500" s="11">
        <v>99990</v>
      </c>
      <c r="G500" s="11">
        <v>628470</v>
      </c>
    </row>
    <row r="501" spans="1:7">
      <c r="A501" s="616"/>
      <c r="B501" s="1078">
        <v>57</v>
      </c>
      <c r="C501" s="11" t="s">
        <v>574</v>
      </c>
      <c r="D501" s="1078" t="s">
        <v>271</v>
      </c>
      <c r="E501" s="11"/>
      <c r="F501" s="11"/>
      <c r="G501" s="11"/>
    </row>
    <row r="502" spans="1:7">
      <c r="A502" s="616">
        <v>615000000040</v>
      </c>
      <c r="B502" s="2003"/>
      <c r="C502" s="124" t="s">
        <v>3651</v>
      </c>
      <c r="D502" s="9"/>
      <c r="E502" s="9">
        <v>2280600</v>
      </c>
      <c r="F502" s="9">
        <v>1302200</v>
      </c>
      <c r="G502" s="9">
        <v>3582800</v>
      </c>
    </row>
    <row r="503" spans="1:7">
      <c r="A503" s="616"/>
      <c r="B503" s="2003"/>
      <c r="C503" s="124" t="s">
        <v>3652</v>
      </c>
      <c r="D503" s="9"/>
      <c r="E503" s="9">
        <v>2281800</v>
      </c>
      <c r="F503" s="9">
        <v>1646000</v>
      </c>
      <c r="G503" s="9">
        <v>3927800</v>
      </c>
    </row>
    <row r="504" spans="1:7">
      <c r="A504" s="616"/>
      <c r="B504" s="2003"/>
      <c r="C504" s="124" t="s">
        <v>3653</v>
      </c>
      <c r="D504" s="9"/>
      <c r="E504" s="9">
        <v>1852200</v>
      </c>
      <c r="F504" s="9">
        <v>1325800</v>
      </c>
      <c r="G504" s="9">
        <v>3178000</v>
      </c>
    </row>
    <row r="505" spans="1:7">
      <c r="A505" s="616"/>
      <c r="B505" s="2003"/>
      <c r="C505" s="124" t="s">
        <v>3723</v>
      </c>
      <c r="D505" s="9"/>
      <c r="E505" s="9">
        <v>2178600</v>
      </c>
      <c r="F505" s="9">
        <v>1553000</v>
      </c>
      <c r="G505" s="9">
        <v>3731600</v>
      </c>
    </row>
    <row r="506" spans="1:7">
      <c r="A506" s="616"/>
      <c r="B506" s="2003"/>
      <c r="C506" s="124" t="s">
        <v>3655</v>
      </c>
      <c r="D506" s="9"/>
      <c r="E506" s="9">
        <v>2200800</v>
      </c>
      <c r="F506" s="9">
        <v>1606200</v>
      </c>
      <c r="G506" s="9">
        <v>3807000</v>
      </c>
    </row>
    <row r="507" spans="1:7">
      <c r="A507" s="616"/>
      <c r="B507" s="2003"/>
      <c r="C507" s="124" t="s">
        <v>3656</v>
      </c>
      <c r="D507" s="9"/>
      <c r="E507" s="9">
        <v>1984600</v>
      </c>
      <c r="F507" s="9">
        <v>1400000</v>
      </c>
      <c r="G507" s="9">
        <v>3384600</v>
      </c>
    </row>
    <row r="508" spans="1:7">
      <c r="A508" s="616"/>
      <c r="B508" s="2003"/>
      <c r="C508" s="124" t="s">
        <v>3657</v>
      </c>
      <c r="D508" s="9"/>
      <c r="E508" s="9">
        <v>1704600</v>
      </c>
      <c r="F508" s="9">
        <v>1186600</v>
      </c>
      <c r="G508" s="9">
        <v>2891200</v>
      </c>
    </row>
    <row r="509" spans="1:7">
      <c r="A509" s="616"/>
      <c r="B509" s="2003"/>
      <c r="C509" s="11" t="s">
        <v>274</v>
      </c>
      <c r="D509" s="11"/>
      <c r="E509" s="11">
        <v>17084600</v>
      </c>
      <c r="F509" s="11">
        <v>7418400</v>
      </c>
      <c r="G509" s="11">
        <v>24503000</v>
      </c>
    </row>
    <row r="510" spans="1:7">
      <c r="A510" s="616"/>
      <c r="B510" s="1078">
        <v>58</v>
      </c>
      <c r="C510" s="11" t="s">
        <v>720</v>
      </c>
      <c r="D510" s="1078" t="s">
        <v>259</v>
      </c>
      <c r="E510" s="11"/>
      <c r="F510" s="11"/>
      <c r="G510" s="11"/>
    </row>
    <row r="511" spans="1:7">
      <c r="A511" s="616">
        <v>615000000049</v>
      </c>
      <c r="B511" s="2003"/>
      <c r="C511" s="124" t="s">
        <v>3651</v>
      </c>
      <c r="D511" s="9"/>
      <c r="E511" s="9">
        <v>2460</v>
      </c>
      <c r="F511" s="9">
        <v>1875</v>
      </c>
      <c r="G511" s="9">
        <v>4335</v>
      </c>
    </row>
    <row r="512" spans="1:7">
      <c r="A512" s="616"/>
      <c r="B512" s="2003"/>
      <c r="C512" s="124" t="s">
        <v>3652</v>
      </c>
      <c r="D512" s="9"/>
      <c r="E512" s="9">
        <v>1770</v>
      </c>
      <c r="F512" s="9">
        <v>1365</v>
      </c>
      <c r="G512" s="9">
        <v>3135</v>
      </c>
    </row>
    <row r="513" spans="1:7">
      <c r="A513" s="616"/>
      <c r="B513" s="2003"/>
      <c r="C513" s="124" t="s">
        <v>3653</v>
      </c>
      <c r="D513" s="9"/>
      <c r="E513" s="9">
        <v>2625</v>
      </c>
      <c r="F513" s="9">
        <v>1965</v>
      </c>
      <c r="G513" s="9">
        <v>4590</v>
      </c>
    </row>
    <row r="514" spans="1:7">
      <c r="A514" s="616"/>
      <c r="B514" s="2003"/>
      <c r="C514" s="124" t="s">
        <v>3723</v>
      </c>
      <c r="D514" s="9"/>
      <c r="E514" s="9">
        <v>22800</v>
      </c>
      <c r="F514" s="9">
        <v>16335</v>
      </c>
      <c r="G514" s="9">
        <v>39135</v>
      </c>
    </row>
    <row r="515" spans="1:7">
      <c r="A515" s="616"/>
      <c r="B515" s="2003"/>
      <c r="C515" s="124" t="s">
        <v>3655</v>
      </c>
      <c r="D515" s="9"/>
      <c r="E515" s="9">
        <v>33435</v>
      </c>
      <c r="F515" s="9">
        <v>15405</v>
      </c>
      <c r="G515" s="9">
        <v>48840</v>
      </c>
    </row>
    <row r="516" spans="1:7">
      <c r="A516" s="616"/>
      <c r="B516" s="2003"/>
      <c r="C516" s="124" t="s">
        <v>3656</v>
      </c>
      <c r="D516" s="9"/>
      <c r="E516" s="9">
        <v>27030</v>
      </c>
      <c r="F516" s="9">
        <v>13365</v>
      </c>
      <c r="G516" s="9">
        <v>40395</v>
      </c>
    </row>
    <row r="517" spans="1:7">
      <c r="A517" s="616"/>
      <c r="B517" s="2003"/>
      <c r="C517" s="124" t="s">
        <v>3657</v>
      </c>
      <c r="D517" s="9"/>
      <c r="E517" s="9">
        <v>18810</v>
      </c>
      <c r="F517" s="9">
        <v>12630</v>
      </c>
      <c r="G517" s="9">
        <v>31440</v>
      </c>
    </row>
    <row r="518" spans="1:7">
      <c r="A518" s="616"/>
      <c r="B518" s="2003"/>
      <c r="C518" s="11" t="s">
        <v>274</v>
      </c>
      <c r="D518" s="11"/>
      <c r="E518" s="11">
        <v>137880</v>
      </c>
      <c r="F518" s="11">
        <v>33990</v>
      </c>
      <c r="G518" s="11">
        <v>171870</v>
      </c>
    </row>
    <row r="519" spans="1:7">
      <c r="A519" s="616"/>
      <c r="B519" s="1078">
        <v>59</v>
      </c>
      <c r="C519" s="11" t="s">
        <v>674</v>
      </c>
      <c r="D519" s="1078" t="s">
        <v>259</v>
      </c>
      <c r="E519" s="11"/>
      <c r="F519" s="11"/>
      <c r="G519" s="11"/>
    </row>
    <row r="520" spans="1:7">
      <c r="A520" s="616">
        <v>621000000004</v>
      </c>
      <c r="B520" s="2003"/>
      <c r="C520" s="124" t="s">
        <v>3651</v>
      </c>
      <c r="D520" s="9"/>
      <c r="E520" s="9">
        <v>1480500</v>
      </c>
      <c r="F520" s="9">
        <v>852120</v>
      </c>
      <c r="G520" s="9">
        <v>2332620</v>
      </c>
    </row>
    <row r="521" spans="1:7">
      <c r="A521" s="616"/>
      <c r="B521" s="2003"/>
      <c r="C521" s="124" t="s">
        <v>3652</v>
      </c>
      <c r="D521" s="9"/>
      <c r="E521" s="9">
        <v>1569870</v>
      </c>
      <c r="F521" s="9">
        <v>1122540</v>
      </c>
      <c r="G521" s="9">
        <v>2692410</v>
      </c>
    </row>
    <row r="522" spans="1:7">
      <c r="A522" s="616"/>
      <c r="B522" s="2003"/>
      <c r="C522" s="124" t="s">
        <v>3653</v>
      </c>
      <c r="D522" s="9"/>
      <c r="E522" s="9">
        <v>1309020</v>
      </c>
      <c r="F522" s="9">
        <v>893880</v>
      </c>
      <c r="G522" s="9">
        <v>2202900</v>
      </c>
    </row>
    <row r="523" spans="1:7">
      <c r="A523" s="616"/>
      <c r="B523" s="2003"/>
      <c r="C523" s="124" t="s">
        <v>3723</v>
      </c>
      <c r="D523" s="9"/>
      <c r="E523" s="9">
        <v>1648650</v>
      </c>
      <c r="F523" s="9">
        <v>1138020</v>
      </c>
      <c r="G523" s="9">
        <v>2786670</v>
      </c>
    </row>
    <row r="524" spans="1:7">
      <c r="A524" s="616"/>
      <c r="B524" s="2003"/>
      <c r="C524" s="124" t="s">
        <v>3655</v>
      </c>
      <c r="D524" s="9"/>
      <c r="E524" s="9">
        <v>1605600</v>
      </c>
      <c r="F524" s="9">
        <v>1140000</v>
      </c>
      <c r="G524" s="9">
        <v>2745600</v>
      </c>
    </row>
    <row r="525" spans="1:7">
      <c r="A525" s="616"/>
      <c r="B525" s="2003"/>
      <c r="C525" s="124" t="s">
        <v>3656</v>
      </c>
      <c r="D525" s="9"/>
      <c r="E525" s="9">
        <v>1390200</v>
      </c>
      <c r="F525" s="9">
        <v>999180</v>
      </c>
      <c r="G525" s="9">
        <v>2389380</v>
      </c>
    </row>
    <row r="526" spans="1:7">
      <c r="A526" s="616"/>
      <c r="B526" s="2003"/>
      <c r="C526" s="124" t="s">
        <v>3657</v>
      </c>
      <c r="D526" s="9"/>
      <c r="E526" s="9">
        <v>1684290</v>
      </c>
      <c r="F526" s="9">
        <v>1178280</v>
      </c>
      <c r="G526" s="9">
        <v>2862570</v>
      </c>
    </row>
    <row r="527" spans="1:7">
      <c r="A527" s="616"/>
      <c r="B527" s="2003"/>
      <c r="C527" s="11" t="s">
        <v>274</v>
      </c>
      <c r="D527" s="11"/>
      <c r="E527" s="11">
        <v>12467850</v>
      </c>
      <c r="F527" s="11">
        <v>5544300</v>
      </c>
      <c r="G527" s="11">
        <v>18012150</v>
      </c>
    </row>
    <row r="528" spans="1:7">
      <c r="A528" s="616"/>
      <c r="B528" s="1078">
        <v>60</v>
      </c>
      <c r="C528" s="11" t="s">
        <v>676</v>
      </c>
      <c r="D528" s="1078" t="s">
        <v>259</v>
      </c>
      <c r="E528" s="11"/>
      <c r="F528" s="11"/>
      <c r="G528" s="11"/>
    </row>
    <row r="529" spans="1:7">
      <c r="A529" s="616">
        <v>621000000005</v>
      </c>
      <c r="B529" s="2003"/>
      <c r="C529" s="124" t="s">
        <v>3651</v>
      </c>
      <c r="D529" s="9"/>
      <c r="E529" s="9">
        <v>78360</v>
      </c>
      <c r="F529" s="9">
        <v>38880</v>
      </c>
      <c r="G529" s="9">
        <v>117240</v>
      </c>
    </row>
    <row r="530" spans="1:7">
      <c r="A530" s="616"/>
      <c r="B530" s="2003"/>
      <c r="C530" s="124" t="s">
        <v>3652</v>
      </c>
      <c r="D530" s="9"/>
      <c r="E530" s="9">
        <v>220080</v>
      </c>
      <c r="F530" s="9">
        <v>148560</v>
      </c>
      <c r="G530" s="9">
        <v>368640</v>
      </c>
    </row>
    <row r="531" spans="1:7">
      <c r="A531" s="616"/>
      <c r="B531" s="2003"/>
      <c r="C531" s="124" t="s">
        <v>3653</v>
      </c>
      <c r="D531" s="9"/>
      <c r="E531" s="9">
        <v>73080</v>
      </c>
      <c r="F531" s="9">
        <v>35880</v>
      </c>
      <c r="G531" s="9">
        <v>108960</v>
      </c>
    </row>
    <row r="532" spans="1:7">
      <c r="A532" s="616"/>
      <c r="B532" s="2003"/>
      <c r="C532" s="124" t="s">
        <v>3723</v>
      </c>
      <c r="D532" s="9"/>
      <c r="E532" s="9">
        <v>42600</v>
      </c>
      <c r="F532" s="9">
        <v>10320</v>
      </c>
      <c r="G532" s="9">
        <v>52920</v>
      </c>
    </row>
    <row r="533" spans="1:7">
      <c r="A533" s="616"/>
      <c r="B533" s="2003"/>
      <c r="C533" s="124" t="s">
        <v>3655</v>
      </c>
      <c r="D533" s="9"/>
      <c r="E533" s="9">
        <v>97920</v>
      </c>
      <c r="F533" s="9">
        <v>53760</v>
      </c>
      <c r="G533" s="9">
        <v>151680</v>
      </c>
    </row>
    <row r="534" spans="1:7">
      <c r="A534" s="616"/>
      <c r="B534" s="2003"/>
      <c r="C534" s="124" t="s">
        <v>3656</v>
      </c>
      <c r="D534" s="9"/>
      <c r="E534" s="9">
        <v>192960</v>
      </c>
      <c r="F534" s="9">
        <v>171600</v>
      </c>
      <c r="G534" s="9">
        <v>364560</v>
      </c>
    </row>
    <row r="535" spans="1:7">
      <c r="A535" s="616"/>
      <c r="B535" s="2003"/>
      <c r="C535" s="124" t="s">
        <v>3657</v>
      </c>
      <c r="D535" s="9"/>
      <c r="E535" s="9">
        <v>48360</v>
      </c>
      <c r="F535" s="9">
        <v>8520</v>
      </c>
      <c r="G535" s="9">
        <v>56880</v>
      </c>
    </row>
    <row r="536" spans="1:7">
      <c r="A536" s="616"/>
      <c r="B536" s="2003"/>
      <c r="C536" s="11" t="s">
        <v>274</v>
      </c>
      <c r="D536" s="11"/>
      <c r="E536" s="11">
        <v>894240</v>
      </c>
      <c r="F536" s="11">
        <v>326640</v>
      </c>
      <c r="G536" s="11">
        <v>1220880</v>
      </c>
    </row>
    <row r="537" spans="1:7">
      <c r="A537" s="616"/>
      <c r="B537" s="1078">
        <v>61</v>
      </c>
      <c r="C537" s="11" t="s">
        <v>576</v>
      </c>
      <c r="D537" s="1078" t="s">
        <v>271</v>
      </c>
      <c r="E537" s="11"/>
      <c r="F537" s="11"/>
      <c r="G537" s="11"/>
    </row>
    <row r="538" spans="1:7">
      <c r="A538" s="616">
        <v>621000000006</v>
      </c>
      <c r="B538" s="2003"/>
      <c r="C538" s="124" t="s">
        <v>3651</v>
      </c>
      <c r="D538" s="9"/>
      <c r="E538" s="9">
        <v>2350020</v>
      </c>
      <c r="F538" s="9">
        <v>1400220</v>
      </c>
      <c r="G538" s="9">
        <v>3750240</v>
      </c>
    </row>
    <row r="539" spans="1:7">
      <c r="A539" s="616"/>
      <c r="B539" s="2003"/>
      <c r="C539" s="124" t="s">
        <v>3652</v>
      </c>
      <c r="D539" s="9"/>
      <c r="E539" s="9">
        <v>2281740</v>
      </c>
      <c r="F539" s="9">
        <v>1693200</v>
      </c>
      <c r="G539" s="9">
        <v>3974940</v>
      </c>
    </row>
    <row r="540" spans="1:7">
      <c r="A540" s="616"/>
      <c r="B540" s="2003"/>
      <c r="C540" s="124" t="s">
        <v>3653</v>
      </c>
      <c r="D540" s="9"/>
      <c r="E540" s="9">
        <v>2244540</v>
      </c>
      <c r="F540" s="9">
        <v>1663020</v>
      </c>
      <c r="G540" s="9">
        <v>3907560</v>
      </c>
    </row>
    <row r="541" spans="1:7">
      <c r="A541" s="616"/>
      <c r="B541" s="2003"/>
      <c r="C541" s="124" t="s">
        <v>3723</v>
      </c>
      <c r="D541" s="9"/>
      <c r="E541" s="9">
        <v>2725560</v>
      </c>
      <c r="F541" s="9">
        <v>2010360</v>
      </c>
      <c r="G541" s="9">
        <v>4735920</v>
      </c>
    </row>
    <row r="542" spans="1:7">
      <c r="A542" s="616"/>
      <c r="B542" s="2003"/>
      <c r="C542" s="124" t="s">
        <v>3655</v>
      </c>
      <c r="D542" s="9"/>
      <c r="E542" s="9">
        <v>4513800</v>
      </c>
      <c r="F542" s="9">
        <v>3296340</v>
      </c>
      <c r="G542" s="9">
        <v>7810140</v>
      </c>
    </row>
    <row r="543" spans="1:7">
      <c r="A543" s="616"/>
      <c r="B543" s="2003"/>
      <c r="C543" s="124" t="s">
        <v>3656</v>
      </c>
      <c r="D543" s="9"/>
      <c r="E543" s="9">
        <v>4528800</v>
      </c>
      <c r="F543" s="9">
        <v>3282300</v>
      </c>
      <c r="G543" s="9">
        <v>7811100</v>
      </c>
    </row>
    <row r="544" spans="1:7">
      <c r="A544" s="616"/>
      <c r="B544" s="2003"/>
      <c r="C544" s="124" t="s">
        <v>3657</v>
      </c>
      <c r="D544" s="9"/>
      <c r="E544" s="9">
        <v>4736820</v>
      </c>
      <c r="F544" s="9">
        <v>3448740</v>
      </c>
      <c r="G544" s="9">
        <v>8185560</v>
      </c>
    </row>
    <row r="545" spans="1:7">
      <c r="A545" s="616"/>
      <c r="B545" s="2003"/>
      <c r="C545" s="11" t="s">
        <v>274</v>
      </c>
      <c r="D545" s="11"/>
      <c r="E545" s="11">
        <v>27058260</v>
      </c>
      <c r="F545" s="11">
        <v>13117200</v>
      </c>
      <c r="G545" s="11">
        <v>40175460</v>
      </c>
    </row>
    <row r="546" spans="1:7">
      <c r="A546" s="616"/>
      <c r="B546" s="1078">
        <v>62</v>
      </c>
      <c r="C546" s="11" t="s">
        <v>615</v>
      </c>
      <c r="D546" s="1078" t="s">
        <v>271</v>
      </c>
      <c r="E546" s="11"/>
      <c r="F546" s="11"/>
      <c r="G546" s="11"/>
    </row>
    <row r="547" spans="1:7">
      <c r="A547" s="616">
        <v>621000000029</v>
      </c>
      <c r="B547" s="2003"/>
      <c r="C547" s="124" t="s">
        <v>3651</v>
      </c>
      <c r="D547" s="9"/>
      <c r="E547" s="9">
        <v>4112640</v>
      </c>
      <c r="F547" s="9">
        <v>1261920</v>
      </c>
      <c r="G547" s="9">
        <v>5374560</v>
      </c>
    </row>
    <row r="548" spans="1:7">
      <c r="A548" s="616"/>
      <c r="B548" s="2003"/>
      <c r="C548" s="124" t="s">
        <v>3652</v>
      </c>
      <c r="D548" s="9"/>
      <c r="E548" s="9">
        <v>3956160</v>
      </c>
      <c r="F548" s="9">
        <v>1233600</v>
      </c>
      <c r="G548" s="9">
        <v>5189760</v>
      </c>
    </row>
    <row r="549" spans="1:7">
      <c r="A549" s="616"/>
      <c r="B549" s="2003"/>
      <c r="C549" s="124" t="s">
        <v>3653</v>
      </c>
      <c r="D549" s="9"/>
      <c r="E549" s="9">
        <v>4009440</v>
      </c>
      <c r="F549" s="9">
        <v>1270320</v>
      </c>
      <c r="G549" s="9">
        <v>5279760</v>
      </c>
    </row>
    <row r="550" spans="1:7">
      <c r="A550" s="616"/>
      <c r="B550" s="2003"/>
      <c r="C550" s="124" t="s">
        <v>3723</v>
      </c>
      <c r="D550" s="9"/>
      <c r="E550" s="9">
        <v>3833760</v>
      </c>
      <c r="F550" s="9">
        <v>1134960</v>
      </c>
      <c r="G550" s="9">
        <v>4968720</v>
      </c>
    </row>
    <row r="551" spans="1:7">
      <c r="A551" s="616"/>
      <c r="B551" s="2003"/>
      <c r="C551" s="124" t="s">
        <v>3655</v>
      </c>
      <c r="D551" s="9"/>
      <c r="E551" s="9">
        <v>3875280</v>
      </c>
      <c r="F551" s="9">
        <v>1130640</v>
      </c>
      <c r="G551" s="9">
        <v>5005920</v>
      </c>
    </row>
    <row r="552" spans="1:7">
      <c r="A552" s="616"/>
      <c r="B552" s="2003"/>
      <c r="C552" s="124" t="s">
        <v>3656</v>
      </c>
      <c r="D552" s="9"/>
      <c r="E552" s="9">
        <v>3517200</v>
      </c>
      <c r="F552" s="9">
        <v>1050480</v>
      </c>
      <c r="G552" s="9">
        <v>4567680</v>
      </c>
    </row>
    <row r="553" spans="1:7">
      <c r="A553" s="616"/>
      <c r="B553" s="2003"/>
      <c r="C553" s="124" t="s">
        <v>3657</v>
      </c>
      <c r="D553" s="9"/>
      <c r="E553" s="9">
        <v>4162800</v>
      </c>
      <c r="F553" s="9">
        <v>1392720</v>
      </c>
      <c r="G553" s="9">
        <v>5555520</v>
      </c>
    </row>
    <row r="554" spans="1:7">
      <c r="A554" s="616"/>
      <c r="B554" s="2003"/>
      <c r="C554" s="11" t="s">
        <v>274</v>
      </c>
      <c r="D554" s="11"/>
      <c r="E554" s="11">
        <v>27467280</v>
      </c>
      <c r="F554" s="11">
        <v>8474640</v>
      </c>
      <c r="G554" s="11">
        <v>35941920</v>
      </c>
    </row>
    <row r="555" spans="1:7">
      <c r="A555" s="616"/>
      <c r="B555" s="1078">
        <v>63</v>
      </c>
      <c r="C555" s="11" t="s">
        <v>678</v>
      </c>
      <c r="D555" s="1078" t="s">
        <v>259</v>
      </c>
      <c r="E555" s="11"/>
      <c r="F555" s="11"/>
      <c r="G555" s="11"/>
    </row>
    <row r="556" spans="1:7">
      <c r="A556" s="616">
        <v>621000000048</v>
      </c>
      <c r="B556" s="2003"/>
      <c r="C556" s="124" t="s">
        <v>3651</v>
      </c>
      <c r="D556" s="9"/>
      <c r="E556" s="9">
        <v>1786620</v>
      </c>
      <c r="F556" s="9">
        <v>753900</v>
      </c>
      <c r="G556" s="9">
        <v>2540520</v>
      </c>
    </row>
    <row r="557" spans="1:7">
      <c r="A557" s="616"/>
      <c r="B557" s="2003"/>
      <c r="C557" s="124" t="s">
        <v>3652</v>
      </c>
      <c r="D557" s="9"/>
      <c r="E557" s="9">
        <v>855060</v>
      </c>
      <c r="F557" s="9">
        <v>624780</v>
      </c>
      <c r="G557" s="9">
        <v>1479840</v>
      </c>
    </row>
    <row r="558" spans="1:7">
      <c r="A558" s="616"/>
      <c r="B558" s="2003"/>
      <c r="C558" s="124" t="s">
        <v>3653</v>
      </c>
      <c r="D558" s="9"/>
      <c r="E558" s="9">
        <v>767220</v>
      </c>
      <c r="F558" s="9">
        <v>538260</v>
      </c>
      <c r="G558" s="9">
        <v>1305480</v>
      </c>
    </row>
    <row r="559" spans="1:7">
      <c r="A559" s="616"/>
      <c r="B559" s="2003"/>
      <c r="C559" s="124" t="s">
        <v>3723</v>
      </c>
      <c r="D559" s="9"/>
      <c r="E559" s="9">
        <v>1806660</v>
      </c>
      <c r="F559" s="9">
        <v>1309140</v>
      </c>
      <c r="G559" s="9">
        <v>3115800</v>
      </c>
    </row>
    <row r="560" spans="1:7">
      <c r="A560" s="616"/>
      <c r="B560" s="2003"/>
      <c r="C560" s="124" t="s">
        <v>3655</v>
      </c>
      <c r="D560" s="9"/>
      <c r="E560" s="9">
        <v>2616480</v>
      </c>
      <c r="F560" s="9">
        <v>1867680</v>
      </c>
      <c r="G560" s="9">
        <v>4484160</v>
      </c>
    </row>
    <row r="561" spans="1:7">
      <c r="A561" s="616"/>
      <c r="B561" s="2003"/>
      <c r="C561" s="124" t="s">
        <v>3656</v>
      </c>
      <c r="D561" s="9"/>
      <c r="E561" s="9">
        <v>2456700</v>
      </c>
      <c r="F561" s="9">
        <v>1748340</v>
      </c>
      <c r="G561" s="9">
        <v>4205040</v>
      </c>
    </row>
    <row r="562" spans="1:7">
      <c r="A562" s="616"/>
      <c r="B562" s="2003"/>
      <c r="C562" s="124" t="s">
        <v>3657</v>
      </c>
      <c r="D562" s="9"/>
      <c r="E562" s="9">
        <v>2651820</v>
      </c>
      <c r="F562" s="9">
        <v>1893480</v>
      </c>
      <c r="G562" s="9">
        <v>4545300</v>
      </c>
    </row>
    <row r="563" spans="1:7">
      <c r="A563" s="616"/>
      <c r="B563" s="2003"/>
      <c r="C563" s="11" t="s">
        <v>274</v>
      </c>
      <c r="D563" s="11"/>
      <c r="E563" s="11">
        <v>12940560</v>
      </c>
      <c r="F563" s="11">
        <v>8735580</v>
      </c>
      <c r="G563" s="11">
        <v>21676140</v>
      </c>
    </row>
    <row r="564" spans="1:7">
      <c r="A564" s="616"/>
      <c r="B564" s="1078">
        <v>64</v>
      </c>
      <c r="C564" s="11" t="s">
        <v>736</v>
      </c>
      <c r="D564" s="1078" t="s">
        <v>259</v>
      </c>
      <c r="E564" s="11"/>
      <c r="F564" s="11"/>
      <c r="G564" s="11"/>
    </row>
    <row r="565" spans="1:7">
      <c r="A565" s="616">
        <v>621000000070</v>
      </c>
      <c r="B565" s="2003"/>
      <c r="C565" s="124" t="s">
        <v>3651</v>
      </c>
      <c r="D565" s="9"/>
      <c r="E565" s="9">
        <v>5070</v>
      </c>
      <c r="F565" s="9">
        <v>1680</v>
      </c>
      <c r="G565" s="9">
        <v>6750</v>
      </c>
    </row>
    <row r="566" spans="1:7">
      <c r="A566" s="616"/>
      <c r="B566" s="2003"/>
      <c r="C566" s="124" t="s">
        <v>3652</v>
      </c>
      <c r="D566" s="9"/>
      <c r="E566" s="9">
        <v>32640</v>
      </c>
      <c r="F566" s="9">
        <v>23370</v>
      </c>
      <c r="G566" s="9">
        <v>56010</v>
      </c>
    </row>
    <row r="567" spans="1:7">
      <c r="A567" s="616"/>
      <c r="B567" s="2003"/>
      <c r="C567" s="124" t="s">
        <v>3653</v>
      </c>
      <c r="D567" s="9"/>
      <c r="E567" s="9">
        <v>40350</v>
      </c>
      <c r="F567" s="9">
        <v>27810</v>
      </c>
      <c r="G567" s="9">
        <v>68160</v>
      </c>
    </row>
    <row r="568" spans="1:7">
      <c r="A568" s="616"/>
      <c r="B568" s="2003"/>
      <c r="C568" s="124" t="s">
        <v>3723</v>
      </c>
      <c r="D568" s="9"/>
      <c r="E568" s="9">
        <v>43770</v>
      </c>
      <c r="F568" s="9">
        <v>30330</v>
      </c>
      <c r="G568" s="9">
        <v>74100</v>
      </c>
    </row>
    <row r="569" spans="1:7">
      <c r="A569" s="616"/>
      <c r="B569" s="2003"/>
      <c r="C569" s="124" t="s">
        <v>3655</v>
      </c>
      <c r="D569" s="9"/>
      <c r="E569" s="9">
        <v>39180</v>
      </c>
      <c r="F569" s="9">
        <v>26460</v>
      </c>
      <c r="G569" s="9">
        <v>65640</v>
      </c>
    </row>
    <row r="570" spans="1:7">
      <c r="A570" s="616"/>
      <c r="B570" s="2003"/>
      <c r="C570" s="124" t="s">
        <v>3656</v>
      </c>
      <c r="D570" s="9"/>
      <c r="E570" s="9">
        <v>35100</v>
      </c>
      <c r="F570" s="9">
        <v>23640</v>
      </c>
      <c r="G570" s="9">
        <v>58740</v>
      </c>
    </row>
    <row r="571" spans="1:7">
      <c r="A571" s="616"/>
      <c r="B571" s="2003"/>
      <c r="C571" s="124" t="s">
        <v>3657</v>
      </c>
      <c r="D571" s="9"/>
      <c r="E571" s="9">
        <v>39060</v>
      </c>
      <c r="F571" s="9">
        <v>26940</v>
      </c>
      <c r="G571" s="9">
        <v>66000</v>
      </c>
    </row>
    <row r="572" spans="1:7">
      <c r="A572" s="616"/>
      <c r="B572" s="2003"/>
      <c r="C572" s="11" t="s">
        <v>274</v>
      </c>
      <c r="D572" s="11"/>
      <c r="E572" s="11">
        <v>285780</v>
      </c>
      <c r="F572" s="11">
        <v>109620</v>
      </c>
      <c r="G572" s="11">
        <v>395400</v>
      </c>
    </row>
    <row r="573" spans="1:7">
      <c r="A573" s="616"/>
      <c r="B573" s="1078">
        <v>65</v>
      </c>
      <c r="C573" s="11" t="s">
        <v>722</v>
      </c>
      <c r="D573" s="1078" t="s">
        <v>259</v>
      </c>
      <c r="E573" s="11"/>
      <c r="F573" s="11"/>
      <c r="G573" s="11"/>
    </row>
    <row r="574" spans="1:7">
      <c r="A574" s="616">
        <v>621000000071</v>
      </c>
      <c r="B574" s="2003"/>
      <c r="C574" s="124" t="s">
        <v>3651</v>
      </c>
      <c r="D574" s="9"/>
      <c r="E574" s="9">
        <v>0</v>
      </c>
      <c r="F574" s="9">
        <v>0</v>
      </c>
      <c r="G574" s="9">
        <v>0</v>
      </c>
    </row>
    <row r="575" spans="1:7">
      <c r="A575" s="616"/>
      <c r="B575" s="2003"/>
      <c r="C575" s="124" t="s">
        <v>3652</v>
      </c>
      <c r="D575" s="9"/>
      <c r="E575" s="9">
        <v>1080</v>
      </c>
      <c r="F575" s="9">
        <v>660</v>
      </c>
      <c r="G575" s="9">
        <v>1740</v>
      </c>
    </row>
    <row r="576" spans="1:7">
      <c r="A576" s="616"/>
      <c r="B576" s="2003"/>
      <c r="C576" s="124" t="s">
        <v>3653</v>
      </c>
      <c r="D576" s="9"/>
      <c r="E576" s="9">
        <v>2460</v>
      </c>
      <c r="F576" s="9">
        <v>1740</v>
      </c>
      <c r="G576" s="9">
        <v>4200</v>
      </c>
    </row>
    <row r="577" spans="1:7">
      <c r="A577" s="616"/>
      <c r="B577" s="2003"/>
      <c r="C577" s="124" t="s">
        <v>3723</v>
      </c>
      <c r="D577" s="9"/>
      <c r="E577" s="9">
        <v>1410</v>
      </c>
      <c r="F577" s="9">
        <v>1020</v>
      </c>
      <c r="G577" s="9">
        <v>2430</v>
      </c>
    </row>
    <row r="578" spans="1:7">
      <c r="A578" s="616"/>
      <c r="B578" s="2003"/>
      <c r="C578" s="124" t="s">
        <v>3655</v>
      </c>
      <c r="D578" s="9"/>
      <c r="E578" s="9">
        <v>3720</v>
      </c>
      <c r="F578" s="9">
        <v>2820</v>
      </c>
      <c r="G578" s="9">
        <v>6540</v>
      </c>
    </row>
    <row r="579" spans="1:7">
      <c r="A579" s="616"/>
      <c r="B579" s="2003"/>
      <c r="C579" s="124" t="s">
        <v>3656</v>
      </c>
      <c r="D579" s="9"/>
      <c r="E579" s="9">
        <v>16740</v>
      </c>
      <c r="F579" s="9">
        <v>6660</v>
      </c>
      <c r="G579" s="9">
        <v>23400</v>
      </c>
    </row>
    <row r="580" spans="1:7">
      <c r="A580" s="616"/>
      <c r="B580" s="2003"/>
      <c r="C580" s="124" t="s">
        <v>3657</v>
      </c>
      <c r="D580" s="9"/>
      <c r="E580" s="9">
        <v>6540</v>
      </c>
      <c r="F580" s="9">
        <v>5760</v>
      </c>
      <c r="G580" s="9">
        <v>12300</v>
      </c>
    </row>
    <row r="581" spans="1:7">
      <c r="A581" s="616"/>
      <c r="B581" s="2003"/>
      <c r="C581" s="11" t="s">
        <v>274</v>
      </c>
      <c r="D581" s="11"/>
      <c r="E581" s="11">
        <v>34890</v>
      </c>
      <c r="F581" s="11">
        <v>15720</v>
      </c>
      <c r="G581" s="11">
        <v>50610</v>
      </c>
    </row>
    <row r="582" spans="1:7">
      <c r="A582" s="616"/>
      <c r="B582" s="1078">
        <v>66</v>
      </c>
      <c r="C582" s="11" t="s">
        <v>617</v>
      </c>
      <c r="D582" s="1078" t="s">
        <v>271</v>
      </c>
      <c r="E582" s="11"/>
      <c r="F582" s="11"/>
      <c r="G582" s="11"/>
    </row>
    <row r="583" spans="1:7">
      <c r="A583" s="616">
        <v>622000000002</v>
      </c>
      <c r="B583" s="2003"/>
      <c r="C583" s="124" t="s">
        <v>3651</v>
      </c>
      <c r="D583" s="9"/>
      <c r="E583" s="9">
        <v>2009520</v>
      </c>
      <c r="F583" s="9">
        <v>979440</v>
      </c>
      <c r="G583" s="9">
        <v>2988960</v>
      </c>
    </row>
    <row r="584" spans="1:7">
      <c r="A584" s="616"/>
      <c r="B584" s="2003"/>
      <c r="C584" s="124" t="s">
        <v>3652</v>
      </c>
      <c r="D584" s="9"/>
      <c r="E584" s="9">
        <v>1965120</v>
      </c>
      <c r="F584" s="9">
        <v>936720</v>
      </c>
      <c r="G584" s="9">
        <v>2901840</v>
      </c>
    </row>
    <row r="585" spans="1:7">
      <c r="A585" s="616"/>
      <c r="B585" s="2003"/>
      <c r="C585" s="124" t="s">
        <v>3653</v>
      </c>
      <c r="D585" s="9"/>
      <c r="E585" s="9">
        <v>1610400</v>
      </c>
      <c r="F585" s="9">
        <v>772080</v>
      </c>
      <c r="G585" s="9">
        <v>2382480</v>
      </c>
    </row>
    <row r="586" spans="1:7">
      <c r="A586" s="616"/>
      <c r="B586" s="2003"/>
      <c r="C586" s="124" t="s">
        <v>3723</v>
      </c>
      <c r="D586" s="9"/>
      <c r="E586" s="9">
        <v>1801440</v>
      </c>
      <c r="F586" s="9">
        <v>856800</v>
      </c>
      <c r="G586" s="9">
        <v>2658240</v>
      </c>
    </row>
    <row r="587" spans="1:7">
      <c r="A587" s="616"/>
      <c r="B587" s="2003"/>
      <c r="C587" s="124" t="s">
        <v>3655</v>
      </c>
      <c r="D587" s="9"/>
      <c r="E587" s="9">
        <v>1780560</v>
      </c>
      <c r="F587" s="9">
        <v>868080</v>
      </c>
      <c r="G587" s="9">
        <v>2648640</v>
      </c>
    </row>
    <row r="588" spans="1:7">
      <c r="A588" s="616"/>
      <c r="B588" s="2003"/>
      <c r="C588" s="124" t="s">
        <v>3656</v>
      </c>
      <c r="D588" s="9"/>
      <c r="E588" s="9">
        <v>1622160</v>
      </c>
      <c r="F588" s="9">
        <v>790560</v>
      </c>
      <c r="G588" s="9">
        <v>2412720</v>
      </c>
    </row>
    <row r="589" spans="1:7">
      <c r="A589" s="616"/>
      <c r="B589" s="2003"/>
      <c r="C589" s="124" t="s">
        <v>3657</v>
      </c>
      <c r="D589" s="9"/>
      <c r="E589" s="9">
        <v>1767600</v>
      </c>
      <c r="F589" s="9">
        <v>860880</v>
      </c>
      <c r="G589" s="9">
        <v>2628480</v>
      </c>
    </row>
    <row r="590" spans="1:7">
      <c r="A590" s="616"/>
      <c r="B590" s="2003"/>
      <c r="C590" s="11" t="s">
        <v>274</v>
      </c>
      <c r="D590" s="11"/>
      <c r="E590" s="11">
        <v>12556800</v>
      </c>
      <c r="F590" s="11">
        <v>6064560</v>
      </c>
      <c r="G590" s="11">
        <v>18621360</v>
      </c>
    </row>
    <row r="591" spans="1:7">
      <c r="A591" s="616"/>
      <c r="B591" s="1078">
        <v>67</v>
      </c>
      <c r="C591" s="11" t="s">
        <v>599</v>
      </c>
      <c r="D591" s="1078" t="s">
        <v>271</v>
      </c>
      <c r="E591" s="11"/>
      <c r="F591" s="11"/>
      <c r="G591" s="11"/>
    </row>
    <row r="592" spans="1:7">
      <c r="A592" s="616">
        <v>622000000003</v>
      </c>
      <c r="B592" s="2003"/>
      <c r="C592" s="124" t="s">
        <v>3651</v>
      </c>
      <c r="D592" s="9"/>
      <c r="E592" s="9">
        <v>1927928</v>
      </c>
      <c r="F592" s="9">
        <v>1100144</v>
      </c>
      <c r="G592" s="9">
        <v>3028072</v>
      </c>
    </row>
    <row r="593" spans="1:7">
      <c r="A593" s="616"/>
      <c r="B593" s="2003"/>
      <c r="C593" s="124" t="s">
        <v>3652</v>
      </c>
      <c r="D593" s="9"/>
      <c r="E593" s="9">
        <v>1472829</v>
      </c>
      <c r="F593" s="9">
        <v>779592</v>
      </c>
      <c r="G593" s="9">
        <v>2252421</v>
      </c>
    </row>
    <row r="594" spans="1:7">
      <c r="A594" s="616"/>
      <c r="B594" s="2003"/>
      <c r="C594" s="124" t="s">
        <v>3653</v>
      </c>
      <c r="D594" s="9"/>
      <c r="E594" s="9">
        <v>3245515</v>
      </c>
      <c r="F594" s="9">
        <v>2377737</v>
      </c>
      <c r="G594" s="9">
        <v>5623252</v>
      </c>
    </row>
    <row r="595" spans="1:7">
      <c r="A595" s="616"/>
      <c r="B595" s="2003"/>
      <c r="C595" s="124" t="s">
        <v>3723</v>
      </c>
      <c r="D595" s="9"/>
      <c r="E595" s="9">
        <v>1673694</v>
      </c>
      <c r="F595" s="9">
        <v>1242531</v>
      </c>
      <c r="G595" s="9">
        <v>2916225</v>
      </c>
    </row>
    <row r="596" spans="1:7">
      <c r="A596" s="616"/>
      <c r="B596" s="2003"/>
      <c r="C596" s="124" t="s">
        <v>3655</v>
      </c>
      <c r="D596" s="9"/>
      <c r="E596" s="9">
        <v>2886971</v>
      </c>
      <c r="F596" s="9">
        <v>2240749</v>
      </c>
      <c r="G596" s="9">
        <v>5127720</v>
      </c>
    </row>
    <row r="597" spans="1:7">
      <c r="A597" s="616"/>
      <c r="B597" s="2003"/>
      <c r="C597" s="124" t="s">
        <v>3656</v>
      </c>
      <c r="D597" s="9"/>
      <c r="E597" s="9">
        <v>2219933</v>
      </c>
      <c r="F597" s="9">
        <v>1315034</v>
      </c>
      <c r="G597" s="9">
        <v>3534967</v>
      </c>
    </row>
    <row r="598" spans="1:7">
      <c r="A598" s="616"/>
      <c r="B598" s="2003"/>
      <c r="C598" s="124" t="s">
        <v>3657</v>
      </c>
      <c r="D598" s="9"/>
      <c r="E598" s="9">
        <v>1533827</v>
      </c>
      <c r="F598" s="9">
        <v>1117427</v>
      </c>
      <c r="G598" s="9">
        <v>2651254</v>
      </c>
    </row>
    <row r="599" spans="1:7">
      <c r="A599" s="616"/>
      <c r="B599" s="2003"/>
      <c r="C599" s="11" t="s">
        <v>274</v>
      </c>
      <c r="D599" s="11"/>
      <c r="E599" s="11">
        <v>14960697</v>
      </c>
      <c r="F599" s="11">
        <v>10173214</v>
      </c>
      <c r="G599" s="11">
        <v>25133911</v>
      </c>
    </row>
    <row r="600" spans="1:7">
      <c r="A600" s="616"/>
      <c r="B600" s="1078">
        <v>68</v>
      </c>
      <c r="C600" s="11" t="s">
        <v>578</v>
      </c>
      <c r="D600" s="1078" t="s">
        <v>271</v>
      </c>
      <c r="E600" s="11"/>
      <c r="F600" s="11"/>
      <c r="G600" s="11"/>
    </row>
    <row r="601" spans="1:7">
      <c r="A601" s="616">
        <v>622000000004</v>
      </c>
      <c r="B601" s="2003"/>
      <c r="C601" s="124" t="s">
        <v>3651</v>
      </c>
      <c r="D601" s="9"/>
      <c r="E601" s="9">
        <v>1250640</v>
      </c>
      <c r="F601" s="9">
        <v>580080</v>
      </c>
      <c r="G601" s="9">
        <v>1830720</v>
      </c>
    </row>
    <row r="602" spans="1:7">
      <c r="A602" s="616"/>
      <c r="B602" s="2003"/>
      <c r="C602" s="124" t="s">
        <v>3652</v>
      </c>
      <c r="D602" s="9"/>
      <c r="E602" s="9">
        <v>1156920</v>
      </c>
      <c r="F602" s="9">
        <v>637560</v>
      </c>
      <c r="G602" s="9">
        <v>1794480</v>
      </c>
    </row>
    <row r="603" spans="1:7">
      <c r="A603" s="616"/>
      <c r="B603" s="2003"/>
      <c r="C603" s="124" t="s">
        <v>3653</v>
      </c>
      <c r="D603" s="9"/>
      <c r="E603" s="9">
        <v>1088985</v>
      </c>
      <c r="F603" s="9">
        <v>669195</v>
      </c>
      <c r="G603" s="9">
        <v>1758180</v>
      </c>
    </row>
    <row r="604" spans="1:7">
      <c r="A604" s="616"/>
      <c r="B604" s="2003"/>
      <c r="C604" s="124" t="s">
        <v>3723</v>
      </c>
      <c r="D604" s="9"/>
      <c r="E604" s="9">
        <v>1136493</v>
      </c>
      <c r="F604" s="9">
        <v>669122</v>
      </c>
      <c r="G604" s="9">
        <v>1805615</v>
      </c>
    </row>
    <row r="605" spans="1:7">
      <c r="A605" s="616"/>
      <c r="B605" s="2003"/>
      <c r="C605" s="124" t="s">
        <v>3655</v>
      </c>
      <c r="D605" s="9"/>
      <c r="E605" s="9">
        <v>1181160</v>
      </c>
      <c r="F605" s="9">
        <v>690960</v>
      </c>
      <c r="G605" s="9">
        <v>1872120</v>
      </c>
    </row>
    <row r="606" spans="1:7">
      <c r="A606" s="616"/>
      <c r="B606" s="2003"/>
      <c r="C606" s="124" t="s">
        <v>3656</v>
      </c>
      <c r="D606" s="9"/>
      <c r="E606" s="9">
        <v>1145040</v>
      </c>
      <c r="F606" s="9">
        <v>684720</v>
      </c>
      <c r="G606" s="9">
        <v>1829760</v>
      </c>
    </row>
    <row r="607" spans="1:7">
      <c r="A607" s="616"/>
      <c r="B607" s="2003"/>
      <c r="C607" s="124" t="s">
        <v>3657</v>
      </c>
      <c r="D607" s="9"/>
      <c r="E607" s="9">
        <v>1161600</v>
      </c>
      <c r="F607" s="9">
        <v>684240</v>
      </c>
      <c r="G607" s="9">
        <v>1845840</v>
      </c>
    </row>
    <row r="608" spans="1:7">
      <c r="A608" s="616"/>
      <c r="B608" s="2003"/>
      <c r="C608" s="11" t="s">
        <v>274</v>
      </c>
      <c r="D608" s="11"/>
      <c r="E608" s="11">
        <v>9195745</v>
      </c>
      <c r="F608" s="11">
        <v>3540970</v>
      </c>
      <c r="G608" s="11">
        <v>12736715</v>
      </c>
    </row>
    <row r="609" spans="1:7">
      <c r="A609" s="616"/>
      <c r="B609" s="1078">
        <v>69</v>
      </c>
      <c r="C609" s="11" t="s">
        <v>523</v>
      </c>
      <c r="D609" s="1078" t="s">
        <v>271</v>
      </c>
      <c r="E609" s="11"/>
      <c r="F609" s="11"/>
      <c r="G609" s="11"/>
    </row>
    <row r="610" spans="1:7">
      <c r="A610" s="616">
        <v>622000000005</v>
      </c>
      <c r="B610" s="2003"/>
      <c r="C610" s="124" t="s">
        <v>3651</v>
      </c>
      <c r="D610" s="9"/>
      <c r="E610" s="9">
        <v>0</v>
      </c>
      <c r="F610" s="9">
        <v>0</v>
      </c>
      <c r="G610" s="9">
        <v>0</v>
      </c>
    </row>
    <row r="611" spans="1:7">
      <c r="A611" s="616"/>
      <c r="B611" s="2003"/>
      <c r="C611" s="124" t="s">
        <v>3652</v>
      </c>
      <c r="D611" s="9"/>
      <c r="E611" s="9">
        <v>0</v>
      </c>
      <c r="F611" s="9">
        <v>0</v>
      </c>
      <c r="G611" s="9">
        <v>0</v>
      </c>
    </row>
    <row r="612" spans="1:7">
      <c r="A612" s="616"/>
      <c r="B612" s="2003"/>
      <c r="C612" s="124" t="s">
        <v>3653</v>
      </c>
      <c r="D612" s="9"/>
      <c r="E612" s="9">
        <v>300</v>
      </c>
      <c r="F612" s="9">
        <v>0</v>
      </c>
      <c r="G612" s="9">
        <v>300</v>
      </c>
    </row>
    <row r="613" spans="1:7">
      <c r="A613" s="616"/>
      <c r="B613" s="2003"/>
      <c r="C613" s="124" t="s">
        <v>3723</v>
      </c>
      <c r="D613" s="9"/>
      <c r="E613" s="9">
        <v>600</v>
      </c>
      <c r="F613" s="9">
        <v>0</v>
      </c>
      <c r="G613" s="9">
        <v>600</v>
      </c>
    </row>
    <row r="614" spans="1:7">
      <c r="A614" s="616"/>
      <c r="B614" s="2003"/>
      <c r="C614" s="124" t="s">
        <v>3655</v>
      </c>
      <c r="D614" s="9"/>
      <c r="E614" s="9">
        <v>6300</v>
      </c>
      <c r="F614" s="9">
        <v>5400</v>
      </c>
      <c r="G614" s="9">
        <v>11700</v>
      </c>
    </row>
    <row r="615" spans="1:7">
      <c r="A615" s="616"/>
      <c r="B615" s="2003"/>
      <c r="C615" s="124" t="s">
        <v>3656</v>
      </c>
      <c r="D615" s="9"/>
      <c r="E615" s="9">
        <v>0</v>
      </c>
      <c r="F615" s="9">
        <v>0</v>
      </c>
      <c r="G615" s="9">
        <v>0</v>
      </c>
    </row>
    <row r="616" spans="1:7">
      <c r="A616" s="616"/>
      <c r="B616" s="2003"/>
      <c r="C616" s="124" t="s">
        <v>3657</v>
      </c>
      <c r="D616" s="9"/>
      <c r="E616" s="9">
        <v>2700</v>
      </c>
      <c r="F616" s="9">
        <v>600</v>
      </c>
      <c r="G616" s="9">
        <v>3300</v>
      </c>
    </row>
    <row r="617" spans="1:7">
      <c r="A617" s="616"/>
      <c r="B617" s="2003"/>
      <c r="C617" s="11" t="s">
        <v>274</v>
      </c>
      <c r="D617" s="11"/>
      <c r="E617" s="11">
        <f>SUM(E610:E616)</f>
        <v>9900</v>
      </c>
      <c r="F617" s="11">
        <f>SUM(F610:F616)</f>
        <v>6000</v>
      </c>
      <c r="G617" s="11">
        <f>SUM(G610:G616)</f>
        <v>15900</v>
      </c>
    </row>
    <row r="618" spans="1:7">
      <c r="A618" s="616"/>
      <c r="B618" s="1078">
        <v>70</v>
      </c>
      <c r="C618" s="11" t="s">
        <v>580</v>
      </c>
      <c r="D618" s="1078" t="s">
        <v>271</v>
      </c>
      <c r="E618" s="11"/>
      <c r="F618" s="11"/>
      <c r="G618" s="11"/>
    </row>
    <row r="619" spans="1:7">
      <c r="A619" s="616">
        <v>622000000006</v>
      </c>
      <c r="B619" s="2003"/>
      <c r="C619" s="124" t="s">
        <v>3651</v>
      </c>
      <c r="D619" s="9"/>
      <c r="E619" s="9">
        <v>3581820</v>
      </c>
      <c r="F619" s="9">
        <v>1991220</v>
      </c>
      <c r="G619" s="9">
        <v>5573040</v>
      </c>
    </row>
    <row r="620" spans="1:7">
      <c r="A620" s="616"/>
      <c r="B620" s="2003"/>
      <c r="C620" s="124" t="s">
        <v>3652</v>
      </c>
      <c r="D620" s="9"/>
      <c r="E620" s="9">
        <v>1596120</v>
      </c>
      <c r="F620" s="9">
        <v>1156200</v>
      </c>
      <c r="G620" s="9">
        <v>2752320</v>
      </c>
    </row>
    <row r="621" spans="1:7">
      <c r="A621" s="616"/>
      <c r="B621" s="2003"/>
      <c r="C621" s="124" t="s">
        <v>3653</v>
      </c>
      <c r="D621" s="9"/>
      <c r="E621" s="9">
        <v>835980</v>
      </c>
      <c r="F621" s="9">
        <v>552660</v>
      </c>
      <c r="G621" s="9">
        <v>1388640</v>
      </c>
    </row>
    <row r="622" spans="1:7">
      <c r="A622" s="616"/>
      <c r="B622" s="2003"/>
      <c r="C622" s="124" t="s">
        <v>3723</v>
      </c>
      <c r="D622" s="9"/>
      <c r="E622" s="9">
        <v>3222300</v>
      </c>
      <c r="F622" s="9">
        <v>2285760</v>
      </c>
      <c r="G622" s="9">
        <v>5508060</v>
      </c>
    </row>
    <row r="623" spans="1:7">
      <c r="A623" s="616"/>
      <c r="B623" s="2003"/>
      <c r="C623" s="124" t="s">
        <v>3655</v>
      </c>
      <c r="D623" s="9"/>
      <c r="E623" s="9">
        <v>3169320</v>
      </c>
      <c r="F623" s="9">
        <v>2247720</v>
      </c>
      <c r="G623" s="9">
        <v>5417040</v>
      </c>
    </row>
    <row r="624" spans="1:7">
      <c r="A624" s="616"/>
      <c r="B624" s="2003"/>
      <c r="C624" s="124" t="s">
        <v>3656</v>
      </c>
      <c r="D624" s="9"/>
      <c r="E624" s="9">
        <v>3061920</v>
      </c>
      <c r="F624" s="9">
        <v>2177880</v>
      </c>
      <c r="G624" s="9">
        <v>5239800</v>
      </c>
    </row>
    <row r="625" spans="1:7">
      <c r="A625" s="616"/>
      <c r="B625" s="2003"/>
      <c r="C625" s="124" t="s">
        <v>3657</v>
      </c>
      <c r="D625" s="9"/>
      <c r="E625" s="9">
        <v>3132840</v>
      </c>
      <c r="F625" s="9">
        <v>2209800</v>
      </c>
      <c r="G625" s="9">
        <v>5342640</v>
      </c>
    </row>
    <row r="626" spans="1:7">
      <c r="A626" s="616"/>
      <c r="B626" s="2003"/>
      <c r="C626" s="11" t="s">
        <v>274</v>
      </c>
      <c r="D626" s="11"/>
      <c r="E626" s="11">
        <v>21379020</v>
      </c>
      <c r="F626" s="11">
        <v>9842520</v>
      </c>
      <c r="G626" s="11">
        <v>31221540</v>
      </c>
    </row>
    <row r="627" spans="1:7">
      <c r="A627" s="616"/>
      <c r="B627" s="1078">
        <v>71</v>
      </c>
      <c r="C627" s="11" t="s">
        <v>537</v>
      </c>
      <c r="D627" s="1078" t="s">
        <v>271</v>
      </c>
      <c r="E627" s="11"/>
      <c r="F627" s="11"/>
      <c r="G627" s="11"/>
    </row>
    <row r="628" spans="1:7">
      <c r="A628" s="616">
        <v>622000000007</v>
      </c>
      <c r="B628" s="2003"/>
      <c r="C628" s="124" t="s">
        <v>3651</v>
      </c>
      <c r="D628" s="9"/>
      <c r="E628" s="9">
        <v>8257518</v>
      </c>
      <c r="F628" s="9">
        <v>4812921</v>
      </c>
      <c r="G628" s="9">
        <v>13070439</v>
      </c>
    </row>
    <row r="629" spans="1:7">
      <c r="A629" s="616"/>
      <c r="B629" s="2003"/>
      <c r="C629" s="124" t="s">
        <v>3652</v>
      </c>
      <c r="D629" s="9"/>
      <c r="E629" s="9">
        <v>6519651</v>
      </c>
      <c r="F629" s="9">
        <v>4601134</v>
      </c>
      <c r="G629" s="9">
        <v>11120785</v>
      </c>
    </row>
    <row r="630" spans="1:7">
      <c r="A630" s="616"/>
      <c r="B630" s="2003"/>
      <c r="C630" s="124" t="s">
        <v>3653</v>
      </c>
      <c r="D630" s="9"/>
      <c r="E630" s="9">
        <v>2503817</v>
      </c>
      <c r="F630" s="9">
        <v>1757323</v>
      </c>
      <c r="G630" s="9">
        <v>4261140</v>
      </c>
    </row>
    <row r="631" spans="1:7">
      <c r="A631" s="616"/>
      <c r="B631" s="2003"/>
      <c r="C631" s="124" t="s">
        <v>3723</v>
      </c>
      <c r="D631" s="9"/>
      <c r="E631" s="9">
        <v>8380646</v>
      </c>
      <c r="F631" s="9">
        <v>5975486</v>
      </c>
      <c r="G631" s="9">
        <v>14356132</v>
      </c>
    </row>
    <row r="632" spans="1:7">
      <c r="A632" s="616"/>
      <c r="B632" s="2003"/>
      <c r="C632" s="124" t="s">
        <v>3655</v>
      </c>
      <c r="D632" s="9"/>
      <c r="E632" s="9">
        <v>9037812</v>
      </c>
      <c r="F632" s="9">
        <v>6421175</v>
      </c>
      <c r="G632" s="9">
        <v>15458987</v>
      </c>
    </row>
    <row r="633" spans="1:7">
      <c r="A633" s="616"/>
      <c r="B633" s="2003"/>
      <c r="C633" s="124" t="s">
        <v>3656</v>
      </c>
      <c r="D633" s="9"/>
      <c r="E633" s="9">
        <v>7141254</v>
      </c>
      <c r="F633" s="9">
        <v>5227170</v>
      </c>
      <c r="G633" s="9">
        <v>12368424</v>
      </c>
    </row>
    <row r="634" spans="1:7">
      <c r="A634" s="616"/>
      <c r="B634" s="2003"/>
      <c r="C634" s="124" t="s">
        <v>3657</v>
      </c>
      <c r="D634" s="9"/>
      <c r="E634" s="9">
        <v>7372642</v>
      </c>
      <c r="F634" s="9">
        <v>5362265</v>
      </c>
      <c r="G634" s="9">
        <v>12734907</v>
      </c>
    </row>
    <row r="635" spans="1:7">
      <c r="A635" s="616"/>
      <c r="B635" s="2003"/>
      <c r="C635" s="11" t="s">
        <v>274</v>
      </c>
      <c r="D635" s="11"/>
      <c r="E635" s="11">
        <v>49213340</v>
      </c>
      <c r="F635" s="11">
        <v>34157474</v>
      </c>
      <c r="G635" s="11">
        <v>83370814</v>
      </c>
    </row>
    <row r="636" spans="1:7">
      <c r="A636" s="616"/>
      <c r="B636" s="1078">
        <v>72</v>
      </c>
      <c r="C636" s="11" t="s">
        <v>568</v>
      </c>
      <c r="D636" s="1078" t="s">
        <v>271</v>
      </c>
      <c r="E636" s="11"/>
      <c r="F636" s="11"/>
      <c r="G636" s="11"/>
    </row>
    <row r="637" spans="1:7">
      <c r="A637" s="616">
        <v>622000000026</v>
      </c>
      <c r="B637" s="2003"/>
      <c r="C637" s="124" t="s">
        <v>3651</v>
      </c>
      <c r="D637" s="9"/>
      <c r="E637" s="9">
        <v>2188800</v>
      </c>
      <c r="F637" s="9">
        <v>1191240</v>
      </c>
      <c r="G637" s="9">
        <v>3380040</v>
      </c>
    </row>
    <row r="638" spans="1:7">
      <c r="A638" s="616"/>
      <c r="B638" s="2003"/>
      <c r="C638" s="124" t="s">
        <v>3652</v>
      </c>
      <c r="D638" s="9"/>
      <c r="E638" s="9">
        <v>138720</v>
      </c>
      <c r="F638" s="9">
        <v>99960</v>
      </c>
      <c r="G638" s="9">
        <v>238680</v>
      </c>
    </row>
    <row r="639" spans="1:7">
      <c r="A639" s="616"/>
      <c r="B639" s="2003"/>
      <c r="C639" s="124" t="s">
        <v>3653</v>
      </c>
      <c r="D639" s="9"/>
      <c r="E639" s="9">
        <v>2897880</v>
      </c>
      <c r="F639" s="9">
        <v>2043480</v>
      </c>
      <c r="G639" s="9">
        <v>4941360</v>
      </c>
    </row>
    <row r="640" spans="1:7">
      <c r="A640" s="616"/>
      <c r="B640" s="2003"/>
      <c r="C640" s="124" t="s">
        <v>3723</v>
      </c>
      <c r="D640" s="9"/>
      <c r="E640" s="9">
        <v>3582600</v>
      </c>
      <c r="F640" s="9">
        <v>2600160</v>
      </c>
      <c r="G640" s="9">
        <v>6182760</v>
      </c>
    </row>
    <row r="641" spans="1:7">
      <c r="A641" s="616"/>
      <c r="B641" s="2003"/>
      <c r="C641" s="124" t="s">
        <v>3655</v>
      </c>
      <c r="D641" s="9"/>
      <c r="E641" s="9">
        <v>3078960</v>
      </c>
      <c r="F641" s="9">
        <v>2190960</v>
      </c>
      <c r="G641" s="9">
        <v>5269920</v>
      </c>
    </row>
    <row r="642" spans="1:7">
      <c r="A642" s="616"/>
      <c r="B642" s="2003"/>
      <c r="C642" s="124" t="s">
        <v>3656</v>
      </c>
      <c r="D642" s="9"/>
      <c r="E642" s="9">
        <v>3470400</v>
      </c>
      <c r="F642" s="9">
        <v>2534280</v>
      </c>
      <c r="G642" s="9">
        <v>6004680</v>
      </c>
    </row>
    <row r="643" spans="1:7">
      <c r="A643" s="616"/>
      <c r="B643" s="2003"/>
      <c r="C643" s="124" t="s">
        <v>3657</v>
      </c>
      <c r="D643" s="9"/>
      <c r="E643" s="9">
        <v>3686160</v>
      </c>
      <c r="F643" s="9">
        <v>2771280</v>
      </c>
      <c r="G643" s="9">
        <v>6457440</v>
      </c>
    </row>
    <row r="644" spans="1:7">
      <c r="A644" s="616"/>
      <c r="B644" s="2003"/>
      <c r="C644" s="11" t="s">
        <v>274</v>
      </c>
      <c r="D644" s="11"/>
      <c r="E644" s="11">
        <v>21777600</v>
      </c>
      <c r="F644" s="11">
        <v>10697280</v>
      </c>
      <c r="G644" s="11">
        <v>32474880</v>
      </c>
    </row>
    <row r="645" spans="1:7">
      <c r="A645" s="616"/>
      <c r="B645" s="1078">
        <v>73</v>
      </c>
      <c r="C645" s="11" t="s">
        <v>694</v>
      </c>
      <c r="D645" s="1078" t="s">
        <v>259</v>
      </c>
      <c r="E645" s="11"/>
      <c r="F645" s="11"/>
      <c r="G645" s="11"/>
    </row>
    <row r="646" spans="1:7">
      <c r="A646" s="616">
        <v>622000000028</v>
      </c>
      <c r="B646" s="2003"/>
      <c r="C646" s="124" t="s">
        <v>3651</v>
      </c>
      <c r="D646" s="9"/>
      <c r="E646" s="9">
        <v>405830</v>
      </c>
      <c r="F646" s="9">
        <v>119990</v>
      </c>
      <c r="G646" s="9">
        <v>525820</v>
      </c>
    </row>
    <row r="647" spans="1:7">
      <c r="A647" s="616"/>
      <c r="B647" s="2003"/>
      <c r="C647" s="124" t="s">
        <v>3652</v>
      </c>
      <c r="D647" s="9"/>
      <c r="E647" s="9">
        <v>310340</v>
      </c>
      <c r="F647" s="9">
        <v>197840</v>
      </c>
      <c r="G647" s="9">
        <v>508180</v>
      </c>
    </row>
    <row r="648" spans="1:7">
      <c r="A648" s="616"/>
      <c r="B648" s="2003"/>
      <c r="C648" s="124" t="s">
        <v>3653</v>
      </c>
      <c r="D648" s="9"/>
      <c r="E648" s="9">
        <v>418740</v>
      </c>
      <c r="F648" s="9">
        <v>272890</v>
      </c>
      <c r="G648" s="9">
        <v>691630</v>
      </c>
    </row>
    <row r="649" spans="1:7">
      <c r="A649" s="616"/>
      <c r="B649" s="2003"/>
      <c r="C649" s="124" t="s">
        <v>3723</v>
      </c>
      <c r="D649" s="9"/>
      <c r="E649" s="9">
        <v>344420</v>
      </c>
      <c r="F649" s="9">
        <v>211350</v>
      </c>
      <c r="G649" s="9">
        <v>555770</v>
      </c>
    </row>
    <row r="650" spans="1:7">
      <c r="A650" s="616"/>
      <c r="B650" s="2003"/>
      <c r="C650" s="124" t="s">
        <v>3655</v>
      </c>
      <c r="D650" s="9"/>
      <c r="E650" s="9">
        <v>383840</v>
      </c>
      <c r="F650" s="9">
        <v>230440</v>
      </c>
      <c r="G650" s="9">
        <v>614280</v>
      </c>
    </row>
    <row r="651" spans="1:7">
      <c r="A651" s="616"/>
      <c r="B651" s="2003"/>
      <c r="C651" s="124" t="s">
        <v>3656</v>
      </c>
      <c r="D651" s="9"/>
      <c r="E651" s="9">
        <v>386850</v>
      </c>
      <c r="F651" s="9">
        <v>247150</v>
      </c>
      <c r="G651" s="9">
        <v>634000</v>
      </c>
    </row>
    <row r="652" spans="1:7">
      <c r="A652" s="616"/>
      <c r="B652" s="2003"/>
      <c r="C652" s="124" t="s">
        <v>3657</v>
      </c>
      <c r="D652" s="9"/>
      <c r="E652" s="9">
        <v>403850</v>
      </c>
      <c r="F652" s="9">
        <v>259850</v>
      </c>
      <c r="G652" s="9">
        <v>663700</v>
      </c>
    </row>
    <row r="653" spans="1:7">
      <c r="A653" s="616"/>
      <c r="B653" s="2003"/>
      <c r="C653" s="11" t="s">
        <v>274</v>
      </c>
      <c r="D653" s="11"/>
      <c r="E653" s="11">
        <v>3022800</v>
      </c>
      <c r="F653" s="11">
        <v>1170580</v>
      </c>
      <c r="G653" s="11">
        <v>4193380</v>
      </c>
    </row>
    <row r="654" spans="1:7">
      <c r="A654" s="616"/>
      <c r="B654" s="1078">
        <v>74</v>
      </c>
      <c r="C654" s="11" t="s">
        <v>3521</v>
      </c>
      <c r="D654" s="1078" t="s">
        <v>259</v>
      </c>
      <c r="E654" s="11"/>
      <c r="F654" s="11"/>
      <c r="G654" s="11"/>
    </row>
    <row r="655" spans="1:7">
      <c r="A655" s="616">
        <v>622000000038</v>
      </c>
      <c r="B655" s="2003"/>
      <c r="C655" s="124" t="s">
        <v>3651</v>
      </c>
      <c r="D655" s="9"/>
      <c r="E655" s="9">
        <v>547065</v>
      </c>
      <c r="F655" s="9">
        <v>237615</v>
      </c>
      <c r="G655" s="9">
        <v>784680</v>
      </c>
    </row>
    <row r="656" spans="1:7">
      <c r="A656" s="616"/>
      <c r="B656" s="2003"/>
      <c r="C656" s="124" t="s">
        <v>3652</v>
      </c>
      <c r="D656" s="9"/>
      <c r="E656" s="9">
        <v>528945</v>
      </c>
      <c r="F656" s="9">
        <v>387645</v>
      </c>
      <c r="G656" s="9">
        <v>916590</v>
      </c>
    </row>
    <row r="657" spans="1:7">
      <c r="A657" s="616"/>
      <c r="B657" s="2003"/>
      <c r="C657" s="124" t="s">
        <v>3653</v>
      </c>
      <c r="D657" s="9"/>
      <c r="E657" s="9">
        <v>487140</v>
      </c>
      <c r="F657" s="9">
        <v>355005</v>
      </c>
      <c r="G657" s="9">
        <v>842145</v>
      </c>
    </row>
    <row r="658" spans="1:7">
      <c r="A658" s="616"/>
      <c r="B658" s="2003"/>
      <c r="C658" s="124" t="s">
        <v>3723</v>
      </c>
      <c r="D658" s="9"/>
      <c r="E658" s="9">
        <v>486945</v>
      </c>
      <c r="F658" s="9">
        <v>356865</v>
      </c>
      <c r="G658" s="9">
        <v>843810</v>
      </c>
    </row>
    <row r="659" spans="1:7">
      <c r="A659" s="616"/>
      <c r="B659" s="2003"/>
      <c r="C659" s="124" t="s">
        <v>3655</v>
      </c>
      <c r="D659" s="9"/>
      <c r="E659" s="9">
        <v>450465</v>
      </c>
      <c r="F659" s="9">
        <v>327645</v>
      </c>
      <c r="G659" s="9">
        <v>778110</v>
      </c>
    </row>
    <row r="660" spans="1:7">
      <c r="A660" s="616"/>
      <c r="B660" s="2003"/>
      <c r="C660" s="124" t="s">
        <v>3656</v>
      </c>
      <c r="D660" s="9"/>
      <c r="E660" s="9">
        <v>497625</v>
      </c>
      <c r="F660" s="9">
        <v>362100</v>
      </c>
      <c r="G660" s="9">
        <v>859725</v>
      </c>
    </row>
    <row r="661" spans="1:7">
      <c r="A661" s="616"/>
      <c r="B661" s="2003"/>
      <c r="C661" s="124" t="s">
        <v>3657</v>
      </c>
      <c r="D661" s="9"/>
      <c r="E661" s="9">
        <v>405330</v>
      </c>
      <c r="F661" s="9">
        <v>296970</v>
      </c>
      <c r="G661" s="9">
        <v>702300</v>
      </c>
    </row>
    <row r="662" spans="1:7">
      <c r="A662" s="616"/>
      <c r="B662" s="2003"/>
      <c r="C662" s="11" t="s">
        <v>274</v>
      </c>
      <c r="D662" s="11"/>
      <c r="E662" s="11">
        <v>3403515</v>
      </c>
      <c r="F662" s="11">
        <v>2323845</v>
      </c>
      <c r="G662" s="11">
        <v>5727360</v>
      </c>
    </row>
    <row r="663" spans="1:7">
      <c r="A663" s="616"/>
      <c r="B663" s="1078">
        <v>75</v>
      </c>
      <c r="C663" s="11" t="s">
        <v>682</v>
      </c>
      <c r="D663" s="1078" t="s">
        <v>259</v>
      </c>
      <c r="E663" s="11"/>
      <c r="F663" s="11"/>
      <c r="G663" s="11"/>
    </row>
    <row r="664" spans="1:7">
      <c r="A664" s="616">
        <v>622000000057</v>
      </c>
      <c r="B664" s="2003"/>
      <c r="C664" s="124" t="s">
        <v>3651</v>
      </c>
      <c r="D664" s="9"/>
      <c r="E664" s="9">
        <v>201750</v>
      </c>
      <c r="F664" s="9">
        <v>88080</v>
      </c>
      <c r="G664" s="9">
        <v>289830</v>
      </c>
    </row>
    <row r="665" spans="1:7">
      <c r="A665" s="616"/>
      <c r="B665" s="2003"/>
      <c r="C665" s="124" t="s">
        <v>3652</v>
      </c>
      <c r="D665" s="9"/>
      <c r="E665" s="9">
        <v>233670</v>
      </c>
      <c r="F665" s="9">
        <v>126120</v>
      </c>
      <c r="G665" s="9">
        <v>359790</v>
      </c>
    </row>
    <row r="666" spans="1:7">
      <c r="A666" s="616"/>
      <c r="B666" s="2003"/>
      <c r="C666" s="124" t="s">
        <v>3653</v>
      </c>
      <c r="D666" s="9"/>
      <c r="E666" s="9">
        <v>204030</v>
      </c>
      <c r="F666" s="9">
        <v>111720</v>
      </c>
      <c r="G666" s="9">
        <v>315750</v>
      </c>
    </row>
    <row r="667" spans="1:7">
      <c r="A667" s="616"/>
      <c r="B667" s="2003"/>
      <c r="C667" s="124" t="s">
        <v>3723</v>
      </c>
      <c r="D667" s="9"/>
      <c r="E667" s="9">
        <v>211830</v>
      </c>
      <c r="F667" s="9">
        <v>107520</v>
      </c>
      <c r="G667" s="9">
        <v>319350</v>
      </c>
    </row>
    <row r="668" spans="1:7">
      <c r="A668" s="616"/>
      <c r="B668" s="2003"/>
      <c r="C668" s="124" t="s">
        <v>3655</v>
      </c>
      <c r="D668" s="9"/>
      <c r="E668" s="9">
        <v>208710</v>
      </c>
      <c r="F668" s="9">
        <v>104280</v>
      </c>
      <c r="G668" s="9">
        <v>312990</v>
      </c>
    </row>
    <row r="669" spans="1:7">
      <c r="A669" s="616"/>
      <c r="B669" s="2003"/>
      <c r="C669" s="124" t="s">
        <v>3656</v>
      </c>
      <c r="D669" s="9"/>
      <c r="E669" s="9">
        <v>204510</v>
      </c>
      <c r="F669" s="9">
        <v>102120</v>
      </c>
      <c r="G669" s="9">
        <v>306630</v>
      </c>
    </row>
    <row r="670" spans="1:7">
      <c r="A670" s="616"/>
      <c r="B670" s="2003"/>
      <c r="C670" s="124" t="s">
        <v>3657</v>
      </c>
      <c r="D670" s="9"/>
      <c r="E670" s="9">
        <v>199470</v>
      </c>
      <c r="F670" s="9">
        <v>103560</v>
      </c>
      <c r="G670" s="9">
        <v>303030</v>
      </c>
    </row>
    <row r="671" spans="1:7">
      <c r="A671" s="616"/>
      <c r="B671" s="2003"/>
      <c r="C671" s="11" t="s">
        <v>274</v>
      </c>
      <c r="D671" s="11"/>
      <c r="E671" s="11">
        <f>SUM(E664:E670)</f>
        <v>1463970</v>
      </c>
      <c r="F671" s="11">
        <f>SUM(F664:F670)</f>
        <v>743400</v>
      </c>
      <c r="G671" s="11">
        <f>SUM(G664:G670)</f>
        <v>2207370</v>
      </c>
    </row>
    <row r="672" spans="1:7">
      <c r="A672" s="616"/>
      <c r="B672" s="1078">
        <v>76</v>
      </c>
      <c r="C672" s="11" t="s">
        <v>583</v>
      </c>
      <c r="D672" s="1078" t="s">
        <v>271</v>
      </c>
      <c r="E672" s="11"/>
      <c r="F672" s="11"/>
      <c r="G672" s="11"/>
    </row>
    <row r="673" spans="1:7">
      <c r="A673" s="616">
        <v>622000000080</v>
      </c>
      <c r="B673" s="2003"/>
      <c r="C673" s="124" t="s">
        <v>3651</v>
      </c>
      <c r="D673" s="9"/>
      <c r="E673" s="9">
        <v>234641</v>
      </c>
      <c r="F673" s="9">
        <v>116880</v>
      </c>
      <c r="G673" s="9">
        <v>351521</v>
      </c>
    </row>
    <row r="674" spans="1:7">
      <c r="A674" s="616"/>
      <c r="B674" s="2003"/>
      <c r="C674" s="124" t="s">
        <v>3652</v>
      </c>
      <c r="D674" s="9"/>
      <c r="E674" s="9">
        <v>2400</v>
      </c>
      <c r="F674" s="9">
        <v>3720</v>
      </c>
      <c r="G674" s="9">
        <v>6120</v>
      </c>
    </row>
    <row r="675" spans="1:7">
      <c r="A675" s="616"/>
      <c r="B675" s="2003"/>
      <c r="C675" s="124" t="s">
        <v>3653</v>
      </c>
      <c r="D675" s="9"/>
      <c r="E675" s="9">
        <v>7800</v>
      </c>
      <c r="F675" s="9">
        <v>5520</v>
      </c>
      <c r="G675" s="9">
        <v>13320</v>
      </c>
    </row>
    <row r="676" spans="1:7">
      <c r="A676" s="616"/>
      <c r="B676" s="2003"/>
      <c r="C676" s="124" t="s">
        <v>3723</v>
      </c>
      <c r="D676" s="9"/>
      <c r="E676" s="9">
        <v>1052234</v>
      </c>
      <c r="F676" s="9">
        <v>716159</v>
      </c>
      <c r="G676" s="9">
        <v>1768393</v>
      </c>
    </row>
    <row r="677" spans="1:7">
      <c r="A677" s="616"/>
      <c r="B677" s="2003"/>
      <c r="C677" s="124" t="s">
        <v>3655</v>
      </c>
      <c r="D677" s="9"/>
      <c r="E677" s="9">
        <v>4920</v>
      </c>
      <c r="F677" s="9">
        <v>11640</v>
      </c>
      <c r="G677" s="9">
        <v>16560</v>
      </c>
    </row>
    <row r="678" spans="1:7">
      <c r="A678" s="616"/>
      <c r="B678" s="2003"/>
      <c r="C678" s="124" t="s">
        <v>3656</v>
      </c>
      <c r="D678" s="9"/>
      <c r="E678" s="9">
        <v>7680</v>
      </c>
      <c r="F678" s="9">
        <v>4800</v>
      </c>
      <c r="G678" s="9">
        <v>12480</v>
      </c>
    </row>
    <row r="679" spans="1:7">
      <c r="A679" s="616"/>
      <c r="B679" s="2003"/>
      <c r="C679" s="124" t="s">
        <v>3657</v>
      </c>
      <c r="D679" s="9"/>
      <c r="E679" s="9">
        <v>4080</v>
      </c>
      <c r="F679" s="9">
        <v>0</v>
      </c>
      <c r="G679" s="9">
        <v>4080</v>
      </c>
    </row>
    <row r="680" spans="1:7">
      <c r="A680" s="616"/>
      <c r="B680" s="2003"/>
      <c r="C680" s="11" t="s">
        <v>274</v>
      </c>
      <c r="D680" s="11"/>
      <c r="E680" s="11">
        <v>1313755</v>
      </c>
      <c r="F680" s="11">
        <v>858719</v>
      </c>
      <c r="G680" s="11">
        <v>2172474</v>
      </c>
    </row>
    <row r="681" spans="1:7">
      <c r="A681" s="616"/>
      <c r="B681" s="1078">
        <v>77</v>
      </c>
      <c r="C681" s="11" t="s">
        <v>3520</v>
      </c>
      <c r="D681" s="1078" t="s">
        <v>259</v>
      </c>
      <c r="E681" s="11"/>
      <c r="F681" s="11"/>
      <c r="G681" s="11"/>
    </row>
    <row r="682" spans="1:7">
      <c r="A682" s="616">
        <v>622000000084</v>
      </c>
      <c r="B682" s="2003"/>
      <c r="C682" s="124" t="s">
        <v>3651</v>
      </c>
      <c r="D682" s="9"/>
      <c r="E682" s="9">
        <v>60</v>
      </c>
      <c r="F682" s="9">
        <v>0</v>
      </c>
      <c r="G682" s="9">
        <v>60</v>
      </c>
    </row>
    <row r="683" spans="1:7">
      <c r="A683" s="616"/>
      <c r="B683" s="2003"/>
      <c r="C683" s="124" t="s">
        <v>3652</v>
      </c>
      <c r="D683" s="9"/>
      <c r="E683" s="9">
        <v>60</v>
      </c>
      <c r="F683" s="9">
        <v>1260</v>
      </c>
      <c r="G683" s="9">
        <v>1320</v>
      </c>
    </row>
    <row r="684" spans="1:7">
      <c r="A684" s="616"/>
      <c r="B684" s="2003"/>
      <c r="C684" s="124" t="s">
        <v>3653</v>
      </c>
      <c r="D684" s="9"/>
      <c r="E684" s="9">
        <v>120</v>
      </c>
      <c r="F684" s="9">
        <v>60</v>
      </c>
      <c r="G684" s="9">
        <v>180</v>
      </c>
    </row>
    <row r="685" spans="1:7">
      <c r="A685" s="616"/>
      <c r="B685" s="2003"/>
      <c r="C685" s="124" t="s">
        <v>3723</v>
      </c>
      <c r="D685" s="9"/>
      <c r="E685" s="9">
        <v>180</v>
      </c>
      <c r="F685" s="9">
        <v>120</v>
      </c>
      <c r="G685" s="9">
        <v>300</v>
      </c>
    </row>
    <row r="686" spans="1:7">
      <c r="A686" s="616"/>
      <c r="B686" s="2003"/>
      <c r="C686" s="124" t="s">
        <v>3655</v>
      </c>
      <c r="D686" s="9"/>
      <c r="E686" s="9">
        <v>2460</v>
      </c>
      <c r="F686" s="9">
        <v>120</v>
      </c>
      <c r="G686" s="9">
        <v>2580</v>
      </c>
    </row>
    <row r="687" spans="1:7">
      <c r="A687" s="616"/>
      <c r="B687" s="2003"/>
      <c r="C687" s="124" t="s">
        <v>3656</v>
      </c>
      <c r="D687" s="9"/>
      <c r="E687" s="9">
        <v>5340</v>
      </c>
      <c r="F687" s="9">
        <v>8580</v>
      </c>
      <c r="G687" s="9">
        <v>13920</v>
      </c>
    </row>
    <row r="688" spans="1:7">
      <c r="A688" s="616"/>
      <c r="B688" s="2003"/>
      <c r="C688" s="124" t="s">
        <v>3657</v>
      </c>
      <c r="D688" s="9"/>
      <c r="E688" s="9">
        <v>0</v>
      </c>
      <c r="F688" s="9">
        <v>180</v>
      </c>
      <c r="G688" s="9">
        <v>180</v>
      </c>
    </row>
    <row r="689" spans="1:7">
      <c r="A689" s="616"/>
      <c r="B689" s="2003"/>
      <c r="C689" s="11" t="s">
        <v>274</v>
      </c>
      <c r="D689" s="11"/>
      <c r="E689" s="11">
        <v>8220</v>
      </c>
      <c r="F689" s="11">
        <v>10320</v>
      </c>
      <c r="G689" s="11">
        <v>18540</v>
      </c>
    </row>
    <row r="690" spans="1:7">
      <c r="A690" s="616"/>
      <c r="B690" s="1078">
        <v>78</v>
      </c>
      <c r="C690" s="11" t="s">
        <v>633</v>
      </c>
      <c r="D690" s="1078" t="s">
        <v>259</v>
      </c>
      <c r="E690" s="11"/>
      <c r="F690" s="11"/>
      <c r="G690" s="11"/>
    </row>
    <row r="691" spans="1:7">
      <c r="A691" s="616">
        <v>622000000111</v>
      </c>
      <c r="B691" s="2003"/>
      <c r="C691" s="124" t="s">
        <v>3651</v>
      </c>
      <c r="D691" s="9"/>
      <c r="E691" s="9">
        <v>0</v>
      </c>
      <c r="F691" s="9">
        <v>0</v>
      </c>
      <c r="G691" s="9">
        <v>0</v>
      </c>
    </row>
    <row r="692" spans="1:7">
      <c r="A692" s="616"/>
      <c r="B692" s="2003"/>
      <c r="C692" s="124" t="s">
        <v>3652</v>
      </c>
      <c r="D692" s="9"/>
      <c r="E692" s="9">
        <v>0</v>
      </c>
      <c r="F692" s="9">
        <v>0</v>
      </c>
      <c r="G692" s="9">
        <v>0</v>
      </c>
    </row>
    <row r="693" spans="1:7">
      <c r="A693" s="616"/>
      <c r="B693" s="2003"/>
      <c r="C693" s="124" t="s">
        <v>3653</v>
      </c>
      <c r="D693" s="9"/>
      <c r="E693" s="9">
        <v>6720</v>
      </c>
      <c r="F693" s="9">
        <v>120</v>
      </c>
      <c r="G693" s="9">
        <v>6840</v>
      </c>
    </row>
    <row r="694" spans="1:7">
      <c r="A694" s="616"/>
      <c r="B694" s="2003"/>
      <c r="C694" s="124" t="s">
        <v>3723</v>
      </c>
      <c r="D694" s="9"/>
      <c r="E694" s="9">
        <v>162240</v>
      </c>
      <c r="F694" s="9">
        <v>45120</v>
      </c>
      <c r="G694" s="9">
        <v>207360</v>
      </c>
    </row>
    <row r="695" spans="1:7">
      <c r="A695" s="616"/>
      <c r="B695" s="2003"/>
      <c r="C695" s="124" t="s">
        <v>3655</v>
      </c>
      <c r="D695" s="9"/>
      <c r="E695" s="9">
        <v>105360</v>
      </c>
      <c r="F695" s="9">
        <v>25200</v>
      </c>
      <c r="G695" s="9">
        <v>130560</v>
      </c>
    </row>
    <row r="696" spans="1:7">
      <c r="A696" s="616"/>
      <c r="B696" s="2003"/>
      <c r="C696" s="124" t="s">
        <v>3656</v>
      </c>
      <c r="D696" s="9"/>
      <c r="E696" s="9">
        <v>0</v>
      </c>
      <c r="F696" s="9">
        <v>0</v>
      </c>
      <c r="G696" s="9">
        <v>0</v>
      </c>
    </row>
    <row r="697" spans="1:7">
      <c r="A697" s="616"/>
      <c r="B697" s="2003"/>
      <c r="C697" s="124" t="s">
        <v>3657</v>
      </c>
      <c r="D697" s="9"/>
      <c r="E697" s="9">
        <v>120</v>
      </c>
      <c r="F697" s="9">
        <v>0</v>
      </c>
      <c r="G697" s="9">
        <v>120</v>
      </c>
    </row>
    <row r="698" spans="1:7">
      <c r="A698" s="616"/>
      <c r="B698" s="2003"/>
      <c r="C698" s="11" t="s">
        <v>274</v>
      </c>
      <c r="D698" s="11"/>
      <c r="E698" s="11">
        <v>274440</v>
      </c>
      <c r="F698" s="11">
        <v>70440</v>
      </c>
      <c r="G698" s="11">
        <v>344880</v>
      </c>
    </row>
    <row r="699" spans="1:7">
      <c r="A699" s="616"/>
      <c r="B699" s="1078">
        <v>79</v>
      </c>
      <c r="C699" s="11" t="s">
        <v>3424</v>
      </c>
      <c r="D699" s="1078" t="s">
        <v>259</v>
      </c>
      <c r="E699" s="11"/>
      <c r="F699" s="11"/>
      <c r="G699" s="11"/>
    </row>
    <row r="700" spans="1:7">
      <c r="A700" s="616">
        <v>622000000129</v>
      </c>
      <c r="B700" s="2003"/>
      <c r="C700" s="124" t="s">
        <v>3651</v>
      </c>
      <c r="D700" s="9"/>
      <c r="E700" s="9">
        <v>263813</v>
      </c>
      <c r="F700" s="9">
        <v>146617</v>
      </c>
      <c r="G700" s="9">
        <v>410430</v>
      </c>
    </row>
    <row r="701" spans="1:7">
      <c r="A701" s="616"/>
      <c r="B701" s="2003"/>
      <c r="C701" s="124" t="s">
        <v>3652</v>
      </c>
      <c r="D701" s="9"/>
      <c r="E701" s="9">
        <v>152573</v>
      </c>
      <c r="F701" s="9">
        <v>123045</v>
      </c>
      <c r="G701" s="9">
        <v>275618</v>
      </c>
    </row>
    <row r="702" spans="1:7">
      <c r="A702" s="616"/>
      <c r="B702" s="2003"/>
      <c r="C702" s="124" t="s">
        <v>3653</v>
      </c>
      <c r="D702" s="9"/>
      <c r="E702" s="9">
        <v>209063</v>
      </c>
      <c r="F702" s="9">
        <v>173452</v>
      </c>
      <c r="G702" s="9">
        <v>382515</v>
      </c>
    </row>
    <row r="703" spans="1:7">
      <c r="A703" s="616"/>
      <c r="B703" s="2003"/>
      <c r="C703" s="124" t="s">
        <v>3723</v>
      </c>
      <c r="D703" s="9"/>
      <c r="E703" s="9">
        <v>184837</v>
      </c>
      <c r="F703" s="9">
        <v>157590</v>
      </c>
      <c r="G703" s="9">
        <v>342427</v>
      </c>
    </row>
    <row r="704" spans="1:7">
      <c r="A704" s="616"/>
      <c r="B704" s="2003"/>
      <c r="C704" s="124" t="s">
        <v>3655</v>
      </c>
      <c r="D704" s="9"/>
      <c r="E704" s="9">
        <v>200310</v>
      </c>
      <c r="F704" s="9">
        <v>159997</v>
      </c>
      <c r="G704" s="9">
        <v>360307</v>
      </c>
    </row>
    <row r="705" spans="1:7">
      <c r="A705" s="616"/>
      <c r="B705" s="2003"/>
      <c r="C705" s="124" t="s">
        <v>3656</v>
      </c>
      <c r="D705" s="9"/>
      <c r="E705" s="9">
        <v>195922</v>
      </c>
      <c r="F705" s="9">
        <v>154568</v>
      </c>
      <c r="G705" s="9">
        <v>350490</v>
      </c>
    </row>
    <row r="706" spans="1:7">
      <c r="A706" s="616"/>
      <c r="B706" s="2003"/>
      <c r="C706" s="124" t="s">
        <v>3657</v>
      </c>
      <c r="D706" s="9"/>
      <c r="E706" s="9">
        <v>223597</v>
      </c>
      <c r="F706" s="9">
        <v>176520</v>
      </c>
      <c r="G706" s="9">
        <v>400117</v>
      </c>
    </row>
    <row r="707" spans="1:7">
      <c r="A707" s="616"/>
      <c r="B707" s="2003"/>
      <c r="C707" s="11" t="s">
        <v>274</v>
      </c>
      <c r="D707" s="11"/>
      <c r="E707" s="11">
        <v>1642905</v>
      </c>
      <c r="F707" s="11">
        <v>878999</v>
      </c>
      <c r="G707" s="11">
        <v>2521904</v>
      </c>
    </row>
    <row r="708" spans="1:7">
      <c r="A708" s="616"/>
      <c r="B708" s="1078">
        <v>80</v>
      </c>
      <c r="C708" s="11" t="s">
        <v>619</v>
      </c>
      <c r="D708" s="1078" t="s">
        <v>271</v>
      </c>
      <c r="E708" s="11"/>
      <c r="F708" s="11"/>
      <c r="G708" s="11"/>
    </row>
    <row r="709" spans="1:7">
      <c r="A709" s="616">
        <v>622000000159</v>
      </c>
      <c r="B709" s="2003"/>
      <c r="C709" s="124" t="s">
        <v>3651</v>
      </c>
      <c r="D709" s="9"/>
      <c r="E709" s="9">
        <v>3051120</v>
      </c>
      <c r="F709" s="9">
        <v>1395600</v>
      </c>
      <c r="G709" s="9">
        <v>4446720</v>
      </c>
    </row>
    <row r="710" spans="1:7">
      <c r="A710" s="616"/>
      <c r="B710" s="2003"/>
      <c r="C710" s="124" t="s">
        <v>3652</v>
      </c>
      <c r="D710" s="9"/>
      <c r="E710" s="9">
        <v>3352080</v>
      </c>
      <c r="F710" s="9">
        <v>1562880</v>
      </c>
      <c r="G710" s="9">
        <v>4914960</v>
      </c>
    </row>
    <row r="711" spans="1:7">
      <c r="A711" s="616"/>
      <c r="B711" s="2003"/>
      <c r="C711" s="124" t="s">
        <v>3653</v>
      </c>
      <c r="D711" s="9"/>
      <c r="E711" s="9">
        <v>3079200</v>
      </c>
      <c r="F711" s="9">
        <v>1465680</v>
      </c>
      <c r="G711" s="9">
        <v>4544880</v>
      </c>
    </row>
    <row r="712" spans="1:7">
      <c r="A712" s="616"/>
      <c r="B712" s="2003"/>
      <c r="C712" s="124" t="s">
        <v>3723</v>
      </c>
      <c r="D712" s="9"/>
      <c r="E712" s="9">
        <v>3421680</v>
      </c>
      <c r="F712" s="9">
        <v>1678080</v>
      </c>
      <c r="G712" s="9">
        <v>5099760</v>
      </c>
    </row>
    <row r="713" spans="1:7">
      <c r="A713" s="616"/>
      <c r="B713" s="2003"/>
      <c r="C713" s="124" t="s">
        <v>3655</v>
      </c>
      <c r="D713" s="9"/>
      <c r="E713" s="9">
        <v>3630480</v>
      </c>
      <c r="F713" s="9">
        <v>1769760</v>
      </c>
      <c r="G713" s="9">
        <v>5400240</v>
      </c>
    </row>
    <row r="714" spans="1:7">
      <c r="A714" s="616"/>
      <c r="B714" s="2003"/>
      <c r="C714" s="124" t="s">
        <v>3656</v>
      </c>
      <c r="D714" s="9"/>
      <c r="E714" s="9">
        <v>3431280</v>
      </c>
      <c r="F714" s="9">
        <v>1623120</v>
      </c>
      <c r="G714" s="9">
        <v>5054400</v>
      </c>
    </row>
    <row r="715" spans="1:7">
      <c r="A715" s="616"/>
      <c r="B715" s="2003"/>
      <c r="C715" s="124" t="s">
        <v>3657</v>
      </c>
      <c r="D715" s="9"/>
      <c r="E715" s="9">
        <v>3816960</v>
      </c>
      <c r="F715" s="9">
        <v>1812240</v>
      </c>
      <c r="G715" s="9">
        <v>5629200</v>
      </c>
    </row>
    <row r="716" spans="1:7">
      <c r="A716" s="616"/>
      <c r="B716" s="2003"/>
      <c r="C716" s="11" t="s">
        <v>274</v>
      </c>
      <c r="D716" s="11"/>
      <c r="E716" s="11">
        <v>23782800</v>
      </c>
      <c r="F716" s="11">
        <v>11307360</v>
      </c>
      <c r="G716" s="11">
        <v>35090160</v>
      </c>
    </row>
    <row r="717" spans="1:7">
      <c r="A717" s="616"/>
      <c r="B717" s="1078">
        <v>81</v>
      </c>
      <c r="C717" s="11" t="s">
        <v>585</v>
      </c>
      <c r="D717" s="1078" t="s">
        <v>271</v>
      </c>
      <c r="E717" s="11"/>
      <c r="F717" s="11"/>
      <c r="G717" s="11"/>
    </row>
    <row r="718" spans="1:7">
      <c r="A718" s="616">
        <v>622000000170</v>
      </c>
      <c r="B718" s="2003"/>
      <c r="C718" s="124" t="s">
        <v>3651</v>
      </c>
      <c r="D718" s="9"/>
      <c r="E718" s="9">
        <v>4733400</v>
      </c>
      <c r="F718" s="9">
        <v>2648160</v>
      </c>
      <c r="G718" s="9">
        <v>7381560</v>
      </c>
    </row>
    <row r="719" spans="1:7">
      <c r="A719" s="616"/>
      <c r="B719" s="2003"/>
      <c r="C719" s="124" t="s">
        <v>3652</v>
      </c>
      <c r="D719" s="9"/>
      <c r="E719" s="9">
        <v>4989480</v>
      </c>
      <c r="F719" s="9">
        <v>3558720</v>
      </c>
      <c r="G719" s="9">
        <v>8548200</v>
      </c>
    </row>
    <row r="720" spans="1:7">
      <c r="A720" s="616"/>
      <c r="B720" s="2003"/>
      <c r="C720" s="124" t="s">
        <v>3653</v>
      </c>
      <c r="D720" s="9"/>
      <c r="E720" s="9">
        <v>4365720</v>
      </c>
      <c r="F720" s="9">
        <v>3124080</v>
      </c>
      <c r="G720" s="9">
        <v>7489800</v>
      </c>
    </row>
    <row r="721" spans="1:7">
      <c r="A721" s="616"/>
      <c r="B721" s="2003"/>
      <c r="C721" s="124" t="s">
        <v>3723</v>
      </c>
      <c r="D721" s="9"/>
      <c r="E721" s="9">
        <v>5219160</v>
      </c>
      <c r="F721" s="9">
        <v>3787200</v>
      </c>
      <c r="G721" s="9">
        <v>9006360</v>
      </c>
    </row>
    <row r="722" spans="1:7">
      <c r="A722" s="616"/>
      <c r="B722" s="2003"/>
      <c r="C722" s="124" t="s">
        <v>3655</v>
      </c>
      <c r="D722" s="9"/>
      <c r="E722" s="9">
        <v>5397720</v>
      </c>
      <c r="F722" s="9">
        <v>3956520</v>
      </c>
      <c r="G722" s="9">
        <v>9354240</v>
      </c>
    </row>
    <row r="723" spans="1:7">
      <c r="A723" s="616"/>
      <c r="B723" s="2003"/>
      <c r="C723" s="124" t="s">
        <v>3656</v>
      </c>
      <c r="D723" s="9"/>
      <c r="E723" s="9">
        <v>5256840</v>
      </c>
      <c r="F723" s="9">
        <v>3718200</v>
      </c>
      <c r="G723" s="9">
        <v>8975040</v>
      </c>
    </row>
    <row r="724" spans="1:7">
      <c r="A724" s="616"/>
      <c r="B724" s="2003"/>
      <c r="C724" s="124" t="s">
        <v>3657</v>
      </c>
      <c r="D724" s="9"/>
      <c r="E724" s="9">
        <v>6182880</v>
      </c>
      <c r="F724" s="9">
        <v>4447560</v>
      </c>
      <c r="G724" s="9">
        <v>10630440</v>
      </c>
    </row>
    <row r="725" spans="1:7">
      <c r="A725" s="616"/>
      <c r="B725" s="2003"/>
      <c r="C725" s="11" t="s">
        <v>274</v>
      </c>
      <c r="D725" s="11"/>
      <c r="E725" s="11">
        <v>41742480</v>
      </c>
      <c r="F725" s="11">
        <v>19643160</v>
      </c>
      <c r="G725" s="11">
        <v>61385640</v>
      </c>
    </row>
    <row r="726" spans="1:7">
      <c r="A726" s="616"/>
      <c r="B726" s="1078">
        <v>82</v>
      </c>
      <c r="C726" s="11" t="s">
        <v>696</v>
      </c>
      <c r="D726" s="1078" t="s">
        <v>259</v>
      </c>
      <c r="E726" s="11"/>
      <c r="F726" s="11"/>
      <c r="G726" s="11"/>
    </row>
    <row r="727" spans="1:7">
      <c r="A727" s="616">
        <v>622000000171</v>
      </c>
      <c r="B727" s="2003"/>
      <c r="C727" s="124" t="s">
        <v>3651</v>
      </c>
      <c r="D727" s="9"/>
      <c r="E727" s="9">
        <v>13440</v>
      </c>
      <c r="F727" s="9">
        <v>15150</v>
      </c>
      <c r="G727" s="9">
        <v>28590</v>
      </c>
    </row>
    <row r="728" spans="1:7">
      <c r="A728" s="616"/>
      <c r="B728" s="2003"/>
      <c r="C728" s="124" t="s">
        <v>3652</v>
      </c>
      <c r="D728" s="9"/>
      <c r="E728" s="9">
        <v>11810</v>
      </c>
      <c r="F728" s="9">
        <v>10310</v>
      </c>
      <c r="G728" s="9">
        <v>22120</v>
      </c>
    </row>
    <row r="729" spans="1:7">
      <c r="A729" s="616"/>
      <c r="B729" s="2003"/>
      <c r="C729" s="124" t="s">
        <v>3653</v>
      </c>
      <c r="D729" s="9"/>
      <c r="E729" s="9">
        <v>13400</v>
      </c>
      <c r="F729" s="9">
        <v>10310</v>
      </c>
      <c r="G729" s="9">
        <v>23710</v>
      </c>
    </row>
    <row r="730" spans="1:7">
      <c r="A730" s="616"/>
      <c r="B730" s="2003"/>
      <c r="C730" s="124" t="s">
        <v>3723</v>
      </c>
      <c r="D730" s="9"/>
      <c r="E730" s="9">
        <v>13300</v>
      </c>
      <c r="F730" s="9">
        <v>11370</v>
      </c>
      <c r="G730" s="9">
        <v>24670</v>
      </c>
    </row>
    <row r="731" spans="1:7">
      <c r="A731" s="616"/>
      <c r="B731" s="2003"/>
      <c r="C731" s="124" t="s">
        <v>3655</v>
      </c>
      <c r="D731" s="9"/>
      <c r="E731" s="9">
        <v>13600</v>
      </c>
      <c r="F731" s="9">
        <v>12120</v>
      </c>
      <c r="G731" s="9">
        <v>25720</v>
      </c>
    </row>
    <row r="732" spans="1:7">
      <c r="A732" s="616"/>
      <c r="B732" s="2003"/>
      <c r="C732" s="124" t="s">
        <v>3656</v>
      </c>
      <c r="D732" s="9"/>
      <c r="E732" s="9">
        <v>12650</v>
      </c>
      <c r="F732" s="9">
        <v>11040</v>
      </c>
      <c r="G732" s="9">
        <v>23690</v>
      </c>
    </row>
    <row r="733" spans="1:7">
      <c r="A733" s="616"/>
      <c r="B733" s="2003"/>
      <c r="C733" s="124" t="s">
        <v>3657</v>
      </c>
      <c r="D733" s="9"/>
      <c r="E733" s="9">
        <v>15110</v>
      </c>
      <c r="F733" s="9">
        <v>13550</v>
      </c>
      <c r="G733" s="9">
        <v>28660</v>
      </c>
    </row>
    <row r="734" spans="1:7">
      <c r="A734" s="616"/>
      <c r="B734" s="2003"/>
      <c r="C734" s="11" t="s">
        <v>274</v>
      </c>
      <c r="D734" s="11"/>
      <c r="E734" s="11">
        <v>99580</v>
      </c>
      <c r="F734" s="11">
        <v>77580</v>
      </c>
      <c r="G734" s="11">
        <v>177160</v>
      </c>
    </row>
    <row r="735" spans="1:7">
      <c r="A735" s="616"/>
      <c r="B735" s="1078">
        <v>83</v>
      </c>
      <c r="C735" s="11" t="s">
        <v>684</v>
      </c>
      <c r="D735" s="1078" t="s">
        <v>259</v>
      </c>
      <c r="E735" s="11"/>
      <c r="F735" s="11"/>
      <c r="G735" s="11"/>
    </row>
    <row r="736" spans="1:7">
      <c r="A736" s="616">
        <v>622000000172</v>
      </c>
      <c r="B736" s="2003"/>
      <c r="C736" s="124" t="s">
        <v>3651</v>
      </c>
      <c r="D736" s="9"/>
      <c r="E736" s="9">
        <v>141840</v>
      </c>
      <c r="F736" s="9">
        <v>110220</v>
      </c>
      <c r="G736" s="9">
        <v>252060</v>
      </c>
    </row>
    <row r="737" spans="1:7">
      <c r="A737" s="616"/>
      <c r="B737" s="2003"/>
      <c r="C737" s="124" t="s">
        <v>3652</v>
      </c>
      <c r="D737" s="9"/>
      <c r="E737" s="9">
        <v>113940</v>
      </c>
      <c r="F737" s="9">
        <v>108180</v>
      </c>
      <c r="G737" s="9">
        <v>222120</v>
      </c>
    </row>
    <row r="738" spans="1:7">
      <c r="A738" s="616"/>
      <c r="B738" s="2003"/>
      <c r="C738" s="124" t="s">
        <v>3653</v>
      </c>
      <c r="D738" s="9"/>
      <c r="E738" s="9">
        <v>175470</v>
      </c>
      <c r="F738" s="9">
        <v>151980</v>
      </c>
      <c r="G738" s="9">
        <v>327450</v>
      </c>
    </row>
    <row r="739" spans="1:7">
      <c r="A739" s="616"/>
      <c r="B739" s="2003"/>
      <c r="C739" s="124" t="s">
        <v>3723</v>
      </c>
      <c r="D739" s="9"/>
      <c r="E739" s="9">
        <v>177690</v>
      </c>
      <c r="F739" s="9">
        <v>147180</v>
      </c>
      <c r="G739" s="9">
        <v>324870</v>
      </c>
    </row>
    <row r="740" spans="1:7">
      <c r="A740" s="616"/>
      <c r="B740" s="2003"/>
      <c r="C740" s="124" t="s">
        <v>3655</v>
      </c>
      <c r="D740" s="9"/>
      <c r="E740" s="9">
        <v>174900</v>
      </c>
      <c r="F740" s="9">
        <v>136350</v>
      </c>
      <c r="G740" s="9">
        <v>311250</v>
      </c>
    </row>
    <row r="741" spans="1:7">
      <c r="A741" s="616"/>
      <c r="B741" s="2003"/>
      <c r="C741" s="124" t="s">
        <v>3656</v>
      </c>
      <c r="D741" s="9"/>
      <c r="E741" s="9">
        <v>193080</v>
      </c>
      <c r="F741" s="9">
        <v>142260</v>
      </c>
      <c r="G741" s="9">
        <v>335340</v>
      </c>
    </row>
    <row r="742" spans="1:7">
      <c r="A742" s="616"/>
      <c r="B742" s="2003"/>
      <c r="C742" s="124" t="s">
        <v>3657</v>
      </c>
      <c r="D742" s="9"/>
      <c r="E742" s="9">
        <v>237540</v>
      </c>
      <c r="F742" s="9">
        <v>166770</v>
      </c>
      <c r="G742" s="9">
        <v>404310</v>
      </c>
    </row>
    <row r="743" spans="1:7">
      <c r="A743" s="616"/>
      <c r="B743" s="2003"/>
      <c r="C743" s="11" t="s">
        <v>274</v>
      </c>
      <c r="D743" s="11"/>
      <c r="E743" s="11">
        <v>1387980</v>
      </c>
      <c r="F743" s="11">
        <v>789420</v>
      </c>
      <c r="G743" s="11">
        <v>2177400</v>
      </c>
    </row>
    <row r="744" spans="1:7">
      <c r="A744" s="616"/>
      <c r="B744" s="1078">
        <v>84</v>
      </c>
      <c r="C744" s="11" t="s">
        <v>686</v>
      </c>
      <c r="D744" s="1078" t="s">
        <v>259</v>
      </c>
      <c r="E744" s="11"/>
      <c r="F744" s="11"/>
      <c r="G744" s="11"/>
    </row>
    <row r="745" spans="1:7">
      <c r="A745" s="616">
        <v>622000000175</v>
      </c>
      <c r="B745" s="2003"/>
      <c r="C745" s="124" t="s">
        <v>3651</v>
      </c>
      <c r="D745" s="9"/>
      <c r="E745" s="9">
        <v>2814960</v>
      </c>
      <c r="F745" s="9">
        <v>1378320</v>
      </c>
      <c r="G745" s="9">
        <v>4193280</v>
      </c>
    </row>
    <row r="746" spans="1:7">
      <c r="A746" s="616"/>
      <c r="B746" s="2003"/>
      <c r="C746" s="124" t="s">
        <v>3652</v>
      </c>
      <c r="D746" s="9"/>
      <c r="E746" s="9">
        <v>646320</v>
      </c>
      <c r="F746" s="9">
        <v>513960</v>
      </c>
      <c r="G746" s="9">
        <v>1160280</v>
      </c>
    </row>
    <row r="747" spans="1:7">
      <c r="A747" s="616"/>
      <c r="B747" s="2003"/>
      <c r="C747" s="124" t="s">
        <v>3653</v>
      </c>
      <c r="D747" s="9"/>
      <c r="E747" s="9">
        <v>2172840</v>
      </c>
      <c r="F747" s="9">
        <v>1594200</v>
      </c>
      <c r="G747" s="9">
        <v>3767040</v>
      </c>
    </row>
    <row r="748" spans="1:7">
      <c r="A748" s="616"/>
      <c r="B748" s="2003"/>
      <c r="C748" s="124" t="s">
        <v>3723</v>
      </c>
      <c r="D748" s="9"/>
      <c r="E748" s="9">
        <v>1722240</v>
      </c>
      <c r="F748" s="9">
        <v>1229400</v>
      </c>
      <c r="G748" s="9">
        <v>2951640</v>
      </c>
    </row>
    <row r="749" spans="1:7">
      <c r="A749" s="616"/>
      <c r="B749" s="2003"/>
      <c r="C749" s="124" t="s">
        <v>3655</v>
      </c>
      <c r="D749" s="9"/>
      <c r="E749" s="9">
        <v>2594532</v>
      </c>
      <c r="F749" s="9">
        <v>1060416</v>
      </c>
      <c r="G749" s="9">
        <v>3654948</v>
      </c>
    </row>
    <row r="750" spans="1:7">
      <c r="A750" s="616"/>
      <c r="B750" s="2003"/>
      <c r="C750" s="124" t="s">
        <v>3656</v>
      </c>
      <c r="D750" s="9"/>
      <c r="E750" s="9">
        <v>2642400</v>
      </c>
      <c r="F750" s="9">
        <v>1203960</v>
      </c>
      <c r="G750" s="9">
        <v>3846360</v>
      </c>
    </row>
    <row r="751" spans="1:7">
      <c r="A751" s="616"/>
      <c r="B751" s="2003"/>
      <c r="C751" s="124" t="s">
        <v>3657</v>
      </c>
      <c r="D751" s="9"/>
      <c r="E751" s="9">
        <v>2165640</v>
      </c>
      <c r="F751" s="9">
        <v>1582320</v>
      </c>
      <c r="G751" s="9">
        <v>3747960</v>
      </c>
    </row>
    <row r="752" spans="1:7">
      <c r="A752" s="616"/>
      <c r="B752" s="2003"/>
      <c r="C752" s="11" t="s">
        <v>274</v>
      </c>
      <c r="D752" s="11"/>
      <c r="E752" s="11">
        <v>16203972</v>
      </c>
      <c r="F752" s="11">
        <v>7117536</v>
      </c>
      <c r="G752" s="11">
        <v>23321508</v>
      </c>
    </row>
    <row r="753" spans="1:7">
      <c r="A753" s="616"/>
      <c r="B753" s="1078">
        <v>85</v>
      </c>
      <c r="C753" s="11" t="s">
        <v>554</v>
      </c>
      <c r="D753" s="1078" t="s">
        <v>271</v>
      </c>
      <c r="E753" s="11"/>
      <c r="F753" s="11"/>
      <c r="G753" s="11"/>
    </row>
    <row r="754" spans="1:7">
      <c r="A754" s="616">
        <v>622000000181</v>
      </c>
      <c r="B754" s="2003"/>
      <c r="C754" s="124" t="s">
        <v>3651</v>
      </c>
      <c r="D754" s="9"/>
      <c r="E754" s="9">
        <v>3163500</v>
      </c>
      <c r="F754" s="9">
        <v>1746300</v>
      </c>
      <c r="G754" s="9">
        <v>4909800</v>
      </c>
    </row>
    <row r="755" spans="1:7">
      <c r="A755" s="616"/>
      <c r="B755" s="2003"/>
      <c r="C755" s="124" t="s">
        <v>3652</v>
      </c>
      <c r="D755" s="9"/>
      <c r="E755" s="9">
        <v>3304800</v>
      </c>
      <c r="F755" s="9">
        <v>2265600</v>
      </c>
      <c r="G755" s="9">
        <v>5570400</v>
      </c>
    </row>
    <row r="756" spans="1:7">
      <c r="A756" s="616"/>
      <c r="B756" s="2003"/>
      <c r="C756" s="124" t="s">
        <v>3653</v>
      </c>
      <c r="D756" s="9"/>
      <c r="E756" s="9">
        <v>2803800</v>
      </c>
      <c r="F756" s="9">
        <v>1920900</v>
      </c>
      <c r="G756" s="9">
        <v>4724700</v>
      </c>
    </row>
    <row r="757" spans="1:7">
      <c r="A757" s="616"/>
      <c r="B757" s="2003"/>
      <c r="C757" s="124" t="s">
        <v>3723</v>
      </c>
      <c r="D757" s="9"/>
      <c r="E757" s="9">
        <v>2999400</v>
      </c>
      <c r="F757" s="9">
        <v>2035200</v>
      </c>
      <c r="G757" s="9">
        <v>5034600</v>
      </c>
    </row>
    <row r="758" spans="1:7">
      <c r="A758" s="616"/>
      <c r="B758" s="2003"/>
      <c r="C758" s="124" t="s">
        <v>3655</v>
      </c>
      <c r="D758" s="9"/>
      <c r="E758" s="9">
        <v>2909100</v>
      </c>
      <c r="F758" s="9">
        <v>2029800</v>
      </c>
      <c r="G758" s="9">
        <v>4938900</v>
      </c>
    </row>
    <row r="759" spans="1:7">
      <c r="A759" s="616"/>
      <c r="B759" s="2003"/>
      <c r="C759" s="124" t="s">
        <v>3656</v>
      </c>
      <c r="D759" s="9"/>
      <c r="E759" s="9">
        <v>2850300</v>
      </c>
      <c r="F759" s="9">
        <v>1969200</v>
      </c>
      <c r="G759" s="9">
        <v>4819500</v>
      </c>
    </row>
    <row r="760" spans="1:7">
      <c r="A760" s="616"/>
      <c r="B760" s="2003"/>
      <c r="C760" s="124" t="s">
        <v>3657</v>
      </c>
      <c r="D760" s="9"/>
      <c r="E760" s="9">
        <v>2846100</v>
      </c>
      <c r="F760" s="9">
        <v>2005800</v>
      </c>
      <c r="G760" s="9">
        <v>4851900</v>
      </c>
    </row>
    <row r="761" spans="1:7">
      <c r="A761" s="616"/>
      <c r="B761" s="2003"/>
      <c r="C761" s="11" t="s">
        <v>274</v>
      </c>
      <c r="D761" s="11"/>
      <c r="E761" s="11">
        <v>24197700</v>
      </c>
      <c r="F761" s="11">
        <v>10652100</v>
      </c>
      <c r="G761" s="11">
        <v>34849800</v>
      </c>
    </row>
    <row r="762" spans="1:7">
      <c r="A762" s="616"/>
      <c r="B762" s="1078">
        <v>86</v>
      </c>
      <c r="C762" s="11" t="s">
        <v>732</v>
      </c>
      <c r="D762" s="1078" t="s">
        <v>259</v>
      </c>
      <c r="E762" s="11"/>
      <c r="F762" s="11"/>
      <c r="G762" s="11"/>
    </row>
    <row r="763" spans="1:7">
      <c r="A763" s="616">
        <v>622000000184</v>
      </c>
      <c r="B763" s="2003"/>
      <c r="C763" s="124" t="s">
        <v>3651</v>
      </c>
      <c r="D763" s="9"/>
      <c r="E763" s="9">
        <v>71586</v>
      </c>
      <c r="F763" s="9">
        <v>10512</v>
      </c>
      <c r="G763" s="9">
        <v>82098</v>
      </c>
    </row>
    <row r="764" spans="1:7">
      <c r="A764" s="616"/>
      <c r="B764" s="2003"/>
      <c r="C764" s="124" t="s">
        <v>3652</v>
      </c>
      <c r="D764" s="9"/>
      <c r="E764" s="9">
        <v>57177</v>
      </c>
      <c r="F764" s="9">
        <v>29448</v>
      </c>
      <c r="G764" s="9">
        <v>86625</v>
      </c>
    </row>
    <row r="765" spans="1:7">
      <c r="A765" s="616"/>
      <c r="B765" s="2003"/>
      <c r="C765" s="124" t="s">
        <v>3653</v>
      </c>
      <c r="D765" s="9"/>
      <c r="E765" s="9">
        <v>70533</v>
      </c>
      <c r="F765" s="9">
        <v>28377</v>
      </c>
      <c r="G765" s="9">
        <v>98910</v>
      </c>
    </row>
    <row r="766" spans="1:7">
      <c r="A766" s="616"/>
      <c r="B766" s="2003"/>
      <c r="C766" s="124" t="s">
        <v>3723</v>
      </c>
      <c r="D766" s="9"/>
      <c r="E766" s="9">
        <v>67626</v>
      </c>
      <c r="F766" s="9">
        <v>26559</v>
      </c>
      <c r="G766" s="9">
        <v>94185</v>
      </c>
    </row>
    <row r="767" spans="1:7">
      <c r="A767" s="616"/>
      <c r="B767" s="2003"/>
      <c r="C767" s="124" t="s">
        <v>3655</v>
      </c>
      <c r="D767" s="9"/>
      <c r="E767" s="9">
        <v>58833</v>
      </c>
      <c r="F767" s="9">
        <v>28107</v>
      </c>
      <c r="G767" s="9">
        <v>86940</v>
      </c>
    </row>
    <row r="768" spans="1:7">
      <c r="A768" s="616"/>
      <c r="B768" s="2003"/>
      <c r="C768" s="124" t="s">
        <v>3656</v>
      </c>
      <c r="D768" s="9"/>
      <c r="E768" s="9">
        <v>55305</v>
      </c>
      <c r="F768" s="9">
        <v>23832</v>
      </c>
      <c r="G768" s="9">
        <v>79137</v>
      </c>
    </row>
    <row r="769" spans="1:7">
      <c r="A769" s="616"/>
      <c r="B769" s="2003"/>
      <c r="C769" s="124" t="s">
        <v>3657</v>
      </c>
      <c r="D769" s="9"/>
      <c r="E769" s="9">
        <v>64341</v>
      </c>
      <c r="F769" s="9">
        <v>31653</v>
      </c>
      <c r="G769" s="9">
        <v>95994</v>
      </c>
    </row>
    <row r="770" spans="1:7">
      <c r="A770" s="616"/>
      <c r="B770" s="2003"/>
      <c r="C770" s="11" t="s">
        <v>274</v>
      </c>
      <c r="D770" s="11"/>
      <c r="E770" s="11">
        <v>560340</v>
      </c>
      <c r="F770" s="11">
        <v>63549</v>
      </c>
      <c r="G770" s="11">
        <v>623889</v>
      </c>
    </row>
    <row r="771" spans="1:7">
      <c r="A771" s="616"/>
      <c r="B771" s="1078">
        <v>87</v>
      </c>
      <c r="C771" s="11" t="s">
        <v>3525</v>
      </c>
      <c r="D771" s="1078" t="s">
        <v>259</v>
      </c>
      <c r="E771" s="11"/>
      <c r="F771" s="11"/>
      <c r="G771" s="11"/>
    </row>
    <row r="772" spans="1:7">
      <c r="A772" s="616">
        <v>622000000191</v>
      </c>
      <c r="B772" s="2003"/>
      <c r="C772" s="124" t="s">
        <v>3651</v>
      </c>
      <c r="D772" s="9"/>
      <c r="E772" s="9">
        <v>1992300</v>
      </c>
      <c r="F772" s="9">
        <v>1155960</v>
      </c>
      <c r="G772" s="9">
        <v>3148260</v>
      </c>
    </row>
    <row r="773" spans="1:7">
      <c r="A773" s="616"/>
      <c r="B773" s="2003"/>
      <c r="C773" s="124" t="s">
        <v>3652</v>
      </c>
      <c r="D773" s="9"/>
      <c r="E773" s="9">
        <v>2194920</v>
      </c>
      <c r="F773" s="9">
        <v>1820640</v>
      </c>
      <c r="G773" s="9">
        <v>4015560</v>
      </c>
    </row>
    <row r="774" spans="1:7">
      <c r="A774" s="616"/>
      <c r="B774" s="2003"/>
      <c r="C774" s="124" t="s">
        <v>3653</v>
      </c>
      <c r="D774" s="9"/>
      <c r="E774" s="9">
        <v>2372820</v>
      </c>
      <c r="F774" s="9">
        <v>1825920</v>
      </c>
      <c r="G774" s="9">
        <v>4198740</v>
      </c>
    </row>
    <row r="775" spans="1:7">
      <c r="A775" s="616"/>
      <c r="B775" s="2003"/>
      <c r="C775" s="124" t="s">
        <v>3723</v>
      </c>
      <c r="D775" s="9"/>
      <c r="E775" s="9">
        <v>1965780</v>
      </c>
      <c r="F775" s="9">
        <v>1707600</v>
      </c>
      <c r="G775" s="9">
        <v>3673380</v>
      </c>
    </row>
    <row r="776" spans="1:7">
      <c r="A776" s="616"/>
      <c r="B776" s="2003"/>
      <c r="C776" s="124" t="s">
        <v>3655</v>
      </c>
      <c r="D776" s="9"/>
      <c r="E776" s="9">
        <v>1940580</v>
      </c>
      <c r="F776" s="9">
        <v>1451340</v>
      </c>
      <c r="G776" s="9">
        <v>3391920</v>
      </c>
    </row>
    <row r="777" spans="1:7">
      <c r="A777" s="616"/>
      <c r="B777" s="2003"/>
      <c r="C777" s="124" t="s">
        <v>3656</v>
      </c>
      <c r="D777" s="9"/>
      <c r="E777" s="9">
        <v>2176140</v>
      </c>
      <c r="F777" s="9">
        <v>1620420</v>
      </c>
      <c r="G777" s="9">
        <v>3796560</v>
      </c>
    </row>
    <row r="778" spans="1:7">
      <c r="A778" s="616"/>
      <c r="B778" s="2003"/>
      <c r="C778" s="124" t="s">
        <v>3657</v>
      </c>
      <c r="D778" s="9"/>
      <c r="E778" s="9">
        <v>2273640</v>
      </c>
      <c r="F778" s="9">
        <v>1773840</v>
      </c>
      <c r="G778" s="9">
        <v>4047480</v>
      </c>
    </row>
    <row r="779" spans="1:7">
      <c r="A779" s="616"/>
      <c r="B779" s="2003"/>
      <c r="C779" s="11" t="s">
        <v>274</v>
      </c>
      <c r="D779" s="11"/>
      <c r="E779" s="11">
        <v>14916180</v>
      </c>
      <c r="F779" s="11">
        <v>11355720</v>
      </c>
      <c r="G779" s="11">
        <v>26271900</v>
      </c>
    </row>
    <row r="780" spans="1:7">
      <c r="A780" s="616"/>
      <c r="B780" s="1078">
        <v>88</v>
      </c>
      <c r="C780" s="11" t="s">
        <v>690</v>
      </c>
      <c r="D780" s="1078" t="s">
        <v>259</v>
      </c>
      <c r="E780" s="11"/>
      <c r="F780" s="11"/>
      <c r="G780" s="11"/>
    </row>
    <row r="781" spans="1:7">
      <c r="A781" s="616">
        <v>622000000194</v>
      </c>
      <c r="B781" s="2003"/>
      <c r="C781" s="124" t="s">
        <v>3651</v>
      </c>
      <c r="D781" s="9"/>
      <c r="E781" s="9">
        <v>250660</v>
      </c>
      <c r="F781" s="9">
        <v>71770</v>
      </c>
      <c r="G781" s="9">
        <v>322430</v>
      </c>
    </row>
    <row r="782" spans="1:7">
      <c r="A782" s="616"/>
      <c r="B782" s="2003"/>
      <c r="C782" s="124" t="s">
        <v>3652</v>
      </c>
      <c r="D782" s="9"/>
      <c r="E782" s="9">
        <v>198030</v>
      </c>
      <c r="F782" s="9">
        <v>161220</v>
      </c>
      <c r="G782" s="9">
        <v>359250</v>
      </c>
    </row>
    <row r="783" spans="1:7">
      <c r="A783" s="616"/>
      <c r="B783" s="2003"/>
      <c r="C783" s="124" t="s">
        <v>3653</v>
      </c>
      <c r="D783" s="9"/>
      <c r="E783" s="9">
        <v>142230</v>
      </c>
      <c r="F783" s="9">
        <v>109980</v>
      </c>
      <c r="G783" s="9">
        <v>252210</v>
      </c>
    </row>
    <row r="784" spans="1:7">
      <c r="A784" s="616"/>
      <c r="B784" s="2003"/>
      <c r="C784" s="124" t="s">
        <v>3723</v>
      </c>
      <c r="D784" s="9"/>
      <c r="E784" s="9">
        <v>119070</v>
      </c>
      <c r="F784" s="9">
        <v>94770</v>
      </c>
      <c r="G784" s="9">
        <v>213840</v>
      </c>
    </row>
    <row r="785" spans="1:7">
      <c r="A785" s="616"/>
      <c r="B785" s="2003"/>
      <c r="C785" s="124" t="s">
        <v>3655</v>
      </c>
      <c r="D785" s="9"/>
      <c r="E785" s="9">
        <v>118830</v>
      </c>
      <c r="F785" s="9">
        <v>95610</v>
      </c>
      <c r="G785" s="9">
        <v>214440</v>
      </c>
    </row>
    <row r="786" spans="1:7">
      <c r="A786" s="616"/>
      <c r="B786" s="2003"/>
      <c r="C786" s="124" t="s">
        <v>3656</v>
      </c>
      <c r="D786" s="9"/>
      <c r="E786" s="9">
        <v>161850</v>
      </c>
      <c r="F786" s="9">
        <v>127890</v>
      </c>
      <c r="G786" s="9">
        <v>289740</v>
      </c>
    </row>
    <row r="787" spans="1:7">
      <c r="A787" s="616"/>
      <c r="B787" s="2003"/>
      <c r="C787" s="124" t="s">
        <v>3657</v>
      </c>
      <c r="D787" s="9"/>
      <c r="E787" s="9">
        <v>193110</v>
      </c>
      <c r="F787" s="9">
        <v>156390</v>
      </c>
      <c r="G787" s="9">
        <v>349500</v>
      </c>
    </row>
    <row r="788" spans="1:7">
      <c r="A788" s="616"/>
      <c r="B788" s="2003"/>
      <c r="C788" s="11" t="s">
        <v>274</v>
      </c>
      <c r="D788" s="11"/>
      <c r="E788" s="11">
        <v>1523830</v>
      </c>
      <c r="F788" s="11">
        <v>477580</v>
      </c>
      <c r="G788" s="11">
        <v>2001410</v>
      </c>
    </row>
    <row r="789" spans="1:7">
      <c r="A789" s="616"/>
      <c r="B789" s="1078">
        <v>89</v>
      </c>
      <c r="C789" s="11" t="s">
        <v>692</v>
      </c>
      <c r="D789" s="1078" t="s">
        <v>259</v>
      </c>
      <c r="E789" s="11"/>
      <c r="F789" s="11"/>
      <c r="G789" s="11"/>
    </row>
    <row r="790" spans="1:7">
      <c r="A790" s="616">
        <v>622000000196</v>
      </c>
      <c r="B790" s="2003"/>
      <c r="C790" s="124" t="s">
        <v>3651</v>
      </c>
      <c r="D790" s="9"/>
      <c r="E790" s="9">
        <v>203745</v>
      </c>
      <c r="F790" s="9">
        <v>147390</v>
      </c>
      <c r="G790" s="9">
        <v>351135</v>
      </c>
    </row>
    <row r="791" spans="1:7">
      <c r="A791" s="616"/>
      <c r="B791" s="2003"/>
      <c r="C791" s="124" t="s">
        <v>3652</v>
      </c>
      <c r="D791" s="9"/>
      <c r="E791" s="9">
        <v>273045</v>
      </c>
      <c r="F791" s="9">
        <v>233730</v>
      </c>
      <c r="G791" s="9">
        <v>506775</v>
      </c>
    </row>
    <row r="792" spans="1:7">
      <c r="A792" s="616"/>
      <c r="B792" s="2003"/>
      <c r="C792" s="124" t="s">
        <v>3653</v>
      </c>
      <c r="D792" s="9"/>
      <c r="E792" s="9">
        <v>103260</v>
      </c>
      <c r="F792" s="9">
        <v>76155</v>
      </c>
      <c r="G792" s="9">
        <v>179415</v>
      </c>
    </row>
    <row r="793" spans="1:7">
      <c r="A793" s="616"/>
      <c r="B793" s="2003"/>
      <c r="C793" s="124" t="s">
        <v>3723</v>
      </c>
      <c r="D793" s="9"/>
      <c r="E793" s="9">
        <v>111825</v>
      </c>
      <c r="F793" s="9">
        <v>77505</v>
      </c>
      <c r="G793" s="9">
        <v>189330</v>
      </c>
    </row>
    <row r="794" spans="1:7">
      <c r="A794" s="616"/>
      <c r="B794" s="2003"/>
      <c r="C794" s="124" t="s">
        <v>3655</v>
      </c>
      <c r="D794" s="9"/>
      <c r="E794" s="9">
        <v>169770</v>
      </c>
      <c r="F794" s="9">
        <v>148680</v>
      </c>
      <c r="G794" s="9">
        <v>318450</v>
      </c>
    </row>
    <row r="795" spans="1:7">
      <c r="A795" s="616"/>
      <c r="B795" s="2003"/>
      <c r="C795" s="124" t="s">
        <v>3656</v>
      </c>
      <c r="D795" s="9"/>
      <c r="E795" s="9">
        <v>188160</v>
      </c>
      <c r="F795" s="9">
        <v>180450</v>
      </c>
      <c r="G795" s="9">
        <v>368610</v>
      </c>
    </row>
    <row r="796" spans="1:7">
      <c r="A796" s="616"/>
      <c r="B796" s="2003"/>
      <c r="C796" s="124" t="s">
        <v>3657</v>
      </c>
      <c r="D796" s="9"/>
      <c r="E796" s="9">
        <v>189465</v>
      </c>
      <c r="F796" s="9">
        <v>159345</v>
      </c>
      <c r="G796" s="9">
        <v>348810</v>
      </c>
    </row>
    <row r="797" spans="1:7">
      <c r="A797" s="616"/>
      <c r="B797" s="2003"/>
      <c r="C797" s="11" t="s">
        <v>274</v>
      </c>
      <c r="D797" s="11"/>
      <c r="E797" s="11">
        <v>1435215</v>
      </c>
      <c r="F797" s="11">
        <v>827310</v>
      </c>
      <c r="G797" s="11">
        <v>2262525</v>
      </c>
    </row>
    <row r="798" spans="1:7">
      <c r="A798" s="616"/>
      <c r="B798" s="1078">
        <v>90</v>
      </c>
      <c r="C798" s="11" t="s">
        <v>587</v>
      </c>
      <c r="D798" s="1078" t="s">
        <v>271</v>
      </c>
      <c r="E798" s="11"/>
      <c r="F798" s="11"/>
      <c r="G798" s="11"/>
    </row>
    <row r="799" spans="1:7">
      <c r="A799" s="616">
        <v>622000000200</v>
      </c>
      <c r="B799" s="2003"/>
      <c r="C799" s="124" t="s">
        <v>3651</v>
      </c>
      <c r="D799" s="9"/>
      <c r="E799" s="9">
        <v>462060</v>
      </c>
      <c r="F799" s="9">
        <v>277920</v>
      </c>
      <c r="G799" s="9">
        <v>739980</v>
      </c>
    </row>
    <row r="800" spans="1:7">
      <c r="A800" s="616"/>
      <c r="B800" s="2003"/>
      <c r="C800" s="124" t="s">
        <v>3652</v>
      </c>
      <c r="D800" s="9"/>
      <c r="E800" s="9">
        <v>952560</v>
      </c>
      <c r="F800" s="9">
        <v>731700</v>
      </c>
      <c r="G800" s="9">
        <v>1684260</v>
      </c>
    </row>
    <row r="801" spans="1:7">
      <c r="A801" s="616"/>
      <c r="B801" s="2003"/>
      <c r="C801" s="124" t="s">
        <v>3653</v>
      </c>
      <c r="D801" s="9"/>
      <c r="E801" s="9">
        <v>467180</v>
      </c>
      <c r="F801" s="9">
        <v>525100</v>
      </c>
      <c r="G801" s="9">
        <v>992280</v>
      </c>
    </row>
    <row r="802" spans="1:7">
      <c r="A802" s="616"/>
      <c r="B802" s="2003"/>
      <c r="C802" s="124" t="s">
        <v>3723</v>
      </c>
      <c r="D802" s="9"/>
      <c r="E802" s="9">
        <v>22740</v>
      </c>
      <c r="F802" s="9">
        <v>20520</v>
      </c>
      <c r="G802" s="9">
        <v>43260</v>
      </c>
    </row>
    <row r="803" spans="1:7">
      <c r="A803" s="616"/>
      <c r="B803" s="2003"/>
      <c r="C803" s="124" t="s">
        <v>3655</v>
      </c>
      <c r="D803" s="9"/>
      <c r="E803" s="9">
        <v>194760</v>
      </c>
      <c r="F803" s="9">
        <v>135300</v>
      </c>
      <c r="G803" s="9">
        <v>330060</v>
      </c>
    </row>
    <row r="804" spans="1:7">
      <c r="A804" s="616"/>
      <c r="B804" s="2003"/>
      <c r="C804" s="124" t="s">
        <v>3656</v>
      </c>
      <c r="D804" s="9"/>
      <c r="E804" s="9">
        <v>22029</v>
      </c>
      <c r="F804" s="9">
        <v>19042</v>
      </c>
      <c r="G804" s="9">
        <v>41071</v>
      </c>
    </row>
    <row r="805" spans="1:7">
      <c r="A805" s="616"/>
      <c r="B805" s="2003"/>
      <c r="C805" s="124" t="s">
        <v>3657</v>
      </c>
      <c r="D805" s="9"/>
      <c r="E805" s="9">
        <v>103320</v>
      </c>
      <c r="F805" s="9">
        <v>67320</v>
      </c>
      <c r="G805" s="9">
        <v>170640</v>
      </c>
    </row>
    <row r="806" spans="1:7">
      <c r="A806" s="616"/>
      <c r="B806" s="2003"/>
      <c r="C806" s="11" t="s">
        <v>274</v>
      </c>
      <c r="D806" s="11"/>
      <c r="E806" s="11">
        <v>2224649</v>
      </c>
      <c r="F806" s="11">
        <v>1776902</v>
      </c>
      <c r="G806" s="11">
        <v>4001551</v>
      </c>
    </row>
    <row r="807" spans="1:7">
      <c r="A807" s="616"/>
      <c r="B807" s="1078">
        <v>91</v>
      </c>
      <c r="C807" s="11" t="s">
        <v>589</v>
      </c>
      <c r="D807" s="1078" t="s">
        <v>271</v>
      </c>
      <c r="E807" s="11"/>
      <c r="F807" s="11"/>
      <c r="G807" s="11"/>
    </row>
    <row r="808" spans="1:7">
      <c r="A808" s="616">
        <v>622000000204</v>
      </c>
      <c r="B808" s="2003"/>
      <c r="C808" s="124" t="s">
        <v>3651</v>
      </c>
      <c r="D808" s="9"/>
      <c r="E808" s="9">
        <v>352140</v>
      </c>
      <c r="F808" s="9">
        <v>219960</v>
      </c>
      <c r="G808" s="9">
        <v>572100</v>
      </c>
    </row>
    <row r="809" spans="1:7">
      <c r="A809" s="616"/>
      <c r="B809" s="2003"/>
      <c r="C809" s="124" t="s">
        <v>3652</v>
      </c>
      <c r="D809" s="9"/>
      <c r="E809" s="9">
        <v>136320</v>
      </c>
      <c r="F809" s="9">
        <v>95040</v>
      </c>
      <c r="G809" s="9">
        <v>231360</v>
      </c>
    </row>
    <row r="810" spans="1:7">
      <c r="A810" s="616"/>
      <c r="B810" s="2003"/>
      <c r="C810" s="124" t="s">
        <v>3653</v>
      </c>
      <c r="D810" s="9"/>
      <c r="E810" s="9">
        <v>163020</v>
      </c>
      <c r="F810" s="9">
        <v>113760</v>
      </c>
      <c r="G810" s="9">
        <v>276780</v>
      </c>
    </row>
    <row r="811" spans="1:7">
      <c r="A811" s="616"/>
      <c r="B811" s="2003"/>
      <c r="C811" s="124" t="s">
        <v>3723</v>
      </c>
      <c r="D811" s="9"/>
      <c r="E811" s="9">
        <v>335160</v>
      </c>
      <c r="F811" s="9">
        <v>266160</v>
      </c>
      <c r="G811" s="9">
        <v>601320</v>
      </c>
    </row>
    <row r="812" spans="1:7">
      <c r="A812" s="616"/>
      <c r="B812" s="2003"/>
      <c r="C812" s="124" t="s">
        <v>3655</v>
      </c>
      <c r="D812" s="9"/>
      <c r="E812" s="9">
        <v>354000</v>
      </c>
      <c r="F812" s="9">
        <v>238620</v>
      </c>
      <c r="G812" s="9">
        <v>592620</v>
      </c>
    </row>
    <row r="813" spans="1:7">
      <c r="A813" s="616"/>
      <c r="B813" s="2003"/>
      <c r="C813" s="124" t="s">
        <v>3656</v>
      </c>
      <c r="D813" s="9"/>
      <c r="E813" s="9">
        <v>116640</v>
      </c>
      <c r="F813" s="9">
        <v>126240</v>
      </c>
      <c r="G813" s="9">
        <v>242880</v>
      </c>
    </row>
    <row r="814" spans="1:7">
      <c r="A814" s="616"/>
      <c r="B814" s="2003"/>
      <c r="C814" s="124" t="s">
        <v>3657</v>
      </c>
      <c r="D814" s="9"/>
      <c r="E814" s="9">
        <v>107820</v>
      </c>
      <c r="F814" s="9">
        <v>82320</v>
      </c>
      <c r="G814" s="9">
        <v>190140</v>
      </c>
    </row>
    <row r="815" spans="1:7">
      <c r="A815" s="616"/>
      <c r="B815" s="2003"/>
      <c r="C815" s="11" t="s">
        <v>274</v>
      </c>
      <c r="D815" s="11"/>
      <c r="E815" s="11">
        <v>1942260</v>
      </c>
      <c r="F815" s="11">
        <v>764940</v>
      </c>
      <c r="G815" s="11">
        <v>2707200</v>
      </c>
    </row>
    <row r="816" spans="1:7">
      <c r="A816" s="616"/>
      <c r="B816" s="1078">
        <v>92</v>
      </c>
      <c r="C816" s="11" t="s">
        <v>3512</v>
      </c>
      <c r="D816" s="1078" t="s">
        <v>259</v>
      </c>
      <c r="E816" s="11"/>
      <c r="F816" s="11"/>
      <c r="G816" s="11"/>
    </row>
    <row r="817" spans="1:7">
      <c r="A817" s="616">
        <v>622000000209</v>
      </c>
      <c r="B817" s="1078"/>
      <c r="C817" s="124" t="s">
        <v>3651</v>
      </c>
      <c r="D817" s="9"/>
      <c r="E817" s="9">
        <v>2010</v>
      </c>
      <c r="F817" s="9">
        <v>1260</v>
      </c>
      <c r="G817" s="9">
        <v>3270</v>
      </c>
    </row>
    <row r="818" spans="1:7">
      <c r="A818" s="616"/>
      <c r="B818" s="2003"/>
      <c r="C818" s="124" t="s">
        <v>3652</v>
      </c>
      <c r="D818" s="9"/>
      <c r="E818" s="9">
        <v>15285</v>
      </c>
      <c r="F818" s="9">
        <v>11325</v>
      </c>
      <c r="G818" s="9">
        <v>26610</v>
      </c>
    </row>
    <row r="819" spans="1:7">
      <c r="A819" s="616"/>
      <c r="B819" s="2003"/>
      <c r="C819" s="124" t="s">
        <v>3653</v>
      </c>
      <c r="D819" s="9"/>
      <c r="E819" s="9">
        <v>36399</v>
      </c>
      <c r="F819" s="9">
        <v>27552</v>
      </c>
      <c r="G819" s="9">
        <v>63951</v>
      </c>
    </row>
    <row r="820" spans="1:7">
      <c r="A820" s="616"/>
      <c r="B820" s="2003"/>
      <c r="C820" s="124" t="s">
        <v>3723</v>
      </c>
      <c r="D820" s="9"/>
      <c r="E820" s="9">
        <v>26487</v>
      </c>
      <c r="F820" s="9">
        <v>21528</v>
      </c>
      <c r="G820" s="9">
        <v>48015</v>
      </c>
    </row>
    <row r="821" spans="1:7">
      <c r="A821" s="616"/>
      <c r="B821" s="2003"/>
      <c r="C821" s="124" t="s">
        <v>3655</v>
      </c>
      <c r="D821" s="9"/>
      <c r="E821" s="9">
        <v>27594</v>
      </c>
      <c r="F821" s="9">
        <v>21663</v>
      </c>
      <c r="G821" s="9">
        <v>49257</v>
      </c>
    </row>
    <row r="822" spans="1:7">
      <c r="A822" s="616"/>
      <c r="B822" s="2003"/>
      <c r="C822" s="124" t="s">
        <v>3656</v>
      </c>
      <c r="D822" s="9"/>
      <c r="E822" s="9">
        <v>23841</v>
      </c>
      <c r="F822" s="9">
        <v>17100</v>
      </c>
      <c r="G822" s="9">
        <v>40941</v>
      </c>
    </row>
    <row r="823" spans="1:7">
      <c r="A823" s="616"/>
      <c r="B823" s="2003"/>
      <c r="C823" s="124" t="s">
        <v>3657</v>
      </c>
      <c r="D823" s="9"/>
      <c r="E823" s="9">
        <v>25938</v>
      </c>
      <c r="F823" s="9">
        <v>18540</v>
      </c>
      <c r="G823" s="9">
        <v>44478</v>
      </c>
    </row>
    <row r="824" spans="1:7">
      <c r="A824" s="616"/>
      <c r="B824" s="2003"/>
      <c r="C824" s="11" t="s">
        <v>274</v>
      </c>
      <c r="D824" s="9"/>
      <c r="E824" s="11">
        <v>192600</v>
      </c>
      <c r="F824" s="11">
        <v>83922</v>
      </c>
      <c r="G824" s="11">
        <v>276522</v>
      </c>
    </row>
    <row r="825" spans="1:7">
      <c r="A825" s="616"/>
      <c r="B825" s="1078">
        <v>93</v>
      </c>
      <c r="C825" s="11" t="s">
        <v>724</v>
      </c>
      <c r="D825" s="1078" t="s">
        <v>259</v>
      </c>
      <c r="E825" s="11"/>
      <c r="F825" s="11"/>
      <c r="G825" s="11"/>
    </row>
    <row r="826" spans="1:7">
      <c r="A826" s="616">
        <v>622000000211</v>
      </c>
      <c r="B826" s="1078"/>
      <c r="C826" s="124" t="s">
        <v>3651</v>
      </c>
      <c r="D826" s="9"/>
      <c r="E826" s="9">
        <v>5220</v>
      </c>
      <c r="F826" s="9">
        <v>3180</v>
      </c>
      <c r="G826" s="9">
        <v>8400</v>
      </c>
    </row>
    <row r="827" spans="1:7">
      <c r="A827" s="616"/>
      <c r="B827" s="2003"/>
      <c r="C827" s="124" t="s">
        <v>3652</v>
      </c>
      <c r="D827" s="9"/>
      <c r="E827" s="9">
        <v>5460</v>
      </c>
      <c r="F827" s="9">
        <v>3360</v>
      </c>
      <c r="G827" s="9">
        <v>8820</v>
      </c>
    </row>
    <row r="828" spans="1:7">
      <c r="A828" s="616"/>
      <c r="B828" s="2003"/>
      <c r="C828" s="124" t="s">
        <v>3653</v>
      </c>
      <c r="D828" s="9"/>
      <c r="E828" s="9">
        <v>5400</v>
      </c>
      <c r="F828" s="9">
        <v>3480</v>
      </c>
      <c r="G828" s="9">
        <v>8880</v>
      </c>
    </row>
    <row r="829" spans="1:7">
      <c r="A829" s="616"/>
      <c r="B829" s="2003"/>
      <c r="C829" s="124" t="s">
        <v>3723</v>
      </c>
      <c r="D829" s="9"/>
      <c r="E829" s="9">
        <v>5160</v>
      </c>
      <c r="F829" s="9">
        <v>3000</v>
      </c>
      <c r="G829" s="9">
        <v>8160</v>
      </c>
    </row>
    <row r="830" spans="1:7">
      <c r="A830" s="616"/>
      <c r="B830" s="2003"/>
      <c r="C830" s="124" t="s">
        <v>3655</v>
      </c>
      <c r="D830" s="9"/>
      <c r="E830" s="9">
        <v>4440</v>
      </c>
      <c r="F830" s="9">
        <v>3120</v>
      </c>
      <c r="G830" s="9">
        <v>7560</v>
      </c>
    </row>
    <row r="831" spans="1:7">
      <c r="A831" s="616"/>
      <c r="B831" s="2003"/>
      <c r="C831" s="124" t="s">
        <v>3656</v>
      </c>
      <c r="D831" s="9"/>
      <c r="E831" s="9">
        <v>3360</v>
      </c>
      <c r="F831" s="9">
        <v>2520</v>
      </c>
      <c r="G831" s="9">
        <v>5880</v>
      </c>
    </row>
    <row r="832" spans="1:7">
      <c r="A832" s="616"/>
      <c r="B832" s="2003"/>
      <c r="C832" s="124" t="s">
        <v>3657</v>
      </c>
      <c r="D832" s="9"/>
      <c r="E832" s="9">
        <v>3060</v>
      </c>
      <c r="F832" s="9">
        <v>2580</v>
      </c>
      <c r="G832" s="9">
        <v>5640</v>
      </c>
    </row>
    <row r="833" spans="1:7">
      <c r="A833" s="616"/>
      <c r="B833" s="2003"/>
      <c r="C833" s="11" t="s">
        <v>274</v>
      </c>
      <c r="D833" s="11"/>
      <c r="E833" s="11">
        <v>35760</v>
      </c>
      <c r="F833" s="11">
        <v>17580</v>
      </c>
      <c r="G833" s="11">
        <v>53340</v>
      </c>
    </row>
  </sheetData>
  <pageMargins left="0.11811023622047245" right="0" top="0.19685039370078741" bottom="0"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8000"/>
  </sheetPr>
  <dimension ref="A1:G9"/>
  <sheetViews>
    <sheetView view="pageBreakPreview" zoomScale="80" zoomScaleNormal="100" zoomScaleSheetLayoutView="80" workbookViewId="0">
      <selection activeCell="J8" sqref="J8"/>
    </sheetView>
  </sheetViews>
  <sheetFormatPr defaultRowHeight="36.75" customHeight="1"/>
  <cols>
    <col min="1" max="1" width="8.42578125" style="116" customWidth="1"/>
    <col min="2" max="2" width="43.140625" style="116" customWidth="1"/>
    <col min="3" max="3" width="32.28515625" style="116" customWidth="1"/>
    <col min="4" max="4" width="29.28515625" style="116" customWidth="1"/>
    <col min="5" max="5" width="32.85546875" style="116" customWidth="1"/>
    <col min="6" max="9" width="9.140625" style="116"/>
    <col min="10" max="10" width="11.5703125" style="116" bestFit="1" customWidth="1"/>
    <col min="11" max="12" width="13.42578125" style="116" bestFit="1" customWidth="1"/>
    <col min="13" max="256" width="9.140625" style="116"/>
    <col min="257" max="257" width="8.42578125" style="116" customWidth="1"/>
    <col min="258" max="258" width="43.140625" style="116" customWidth="1"/>
    <col min="259" max="259" width="32.28515625" style="116" customWidth="1"/>
    <col min="260" max="260" width="28" style="116" customWidth="1"/>
    <col min="261" max="261" width="32.85546875" style="116" customWidth="1"/>
    <col min="262" max="265" width="9.140625" style="116"/>
    <col min="266" max="266" width="11.5703125" style="116" bestFit="1" customWidth="1"/>
    <col min="267" max="268" width="13.42578125" style="116" bestFit="1" customWidth="1"/>
    <col min="269" max="512" width="9.140625" style="116"/>
    <col min="513" max="513" width="8.42578125" style="116" customWidth="1"/>
    <col min="514" max="514" width="43.140625" style="116" customWidth="1"/>
    <col min="515" max="515" width="32.28515625" style="116" customWidth="1"/>
    <col min="516" max="516" width="28" style="116" customWidth="1"/>
    <col min="517" max="517" width="32.85546875" style="116" customWidth="1"/>
    <col min="518" max="521" width="9.140625" style="116"/>
    <col min="522" max="522" width="11.5703125" style="116" bestFit="1" customWidth="1"/>
    <col min="523" max="524" width="13.42578125" style="116" bestFit="1" customWidth="1"/>
    <col min="525" max="768" width="9.140625" style="116"/>
    <col min="769" max="769" width="8.42578125" style="116" customWidth="1"/>
    <col min="770" max="770" width="43.140625" style="116" customWidth="1"/>
    <col min="771" max="771" width="32.28515625" style="116" customWidth="1"/>
    <col min="772" max="772" width="28" style="116" customWidth="1"/>
    <col min="773" max="773" width="32.85546875" style="116" customWidth="1"/>
    <col min="774" max="777" width="9.140625" style="116"/>
    <col min="778" max="778" width="11.5703125" style="116" bestFit="1" customWidth="1"/>
    <col min="779" max="780" width="13.42578125" style="116" bestFit="1" customWidth="1"/>
    <col min="781" max="1024" width="9.140625" style="116"/>
    <col min="1025" max="1025" width="8.42578125" style="116" customWidth="1"/>
    <col min="1026" max="1026" width="43.140625" style="116" customWidth="1"/>
    <col min="1027" max="1027" width="32.28515625" style="116" customWidth="1"/>
    <col min="1028" max="1028" width="28" style="116" customWidth="1"/>
    <col min="1029" max="1029" width="32.85546875" style="116" customWidth="1"/>
    <col min="1030" max="1033" width="9.140625" style="116"/>
    <col min="1034" max="1034" width="11.5703125" style="116" bestFit="1" customWidth="1"/>
    <col min="1035" max="1036" width="13.42578125" style="116" bestFit="1" customWidth="1"/>
    <col min="1037" max="1280" width="9.140625" style="116"/>
    <col min="1281" max="1281" width="8.42578125" style="116" customWidth="1"/>
    <col min="1282" max="1282" width="43.140625" style="116" customWidth="1"/>
    <col min="1283" max="1283" width="32.28515625" style="116" customWidth="1"/>
    <col min="1284" max="1284" width="28" style="116" customWidth="1"/>
    <col min="1285" max="1285" width="32.85546875" style="116" customWidth="1"/>
    <col min="1286" max="1289" width="9.140625" style="116"/>
    <col min="1290" max="1290" width="11.5703125" style="116" bestFit="1" customWidth="1"/>
    <col min="1291" max="1292" width="13.42578125" style="116" bestFit="1" customWidth="1"/>
    <col min="1293" max="1536" width="9.140625" style="116"/>
    <col min="1537" max="1537" width="8.42578125" style="116" customWidth="1"/>
    <col min="1538" max="1538" width="43.140625" style="116" customWidth="1"/>
    <col min="1539" max="1539" width="32.28515625" style="116" customWidth="1"/>
    <col min="1540" max="1540" width="28" style="116" customWidth="1"/>
    <col min="1541" max="1541" width="32.85546875" style="116" customWidth="1"/>
    <col min="1542" max="1545" width="9.140625" style="116"/>
    <col min="1546" max="1546" width="11.5703125" style="116" bestFit="1" customWidth="1"/>
    <col min="1547" max="1548" width="13.42578125" style="116" bestFit="1" customWidth="1"/>
    <col min="1549" max="1792" width="9.140625" style="116"/>
    <col min="1793" max="1793" width="8.42578125" style="116" customWidth="1"/>
    <col min="1794" max="1794" width="43.140625" style="116" customWidth="1"/>
    <col min="1795" max="1795" width="32.28515625" style="116" customWidth="1"/>
    <col min="1796" max="1796" width="28" style="116" customWidth="1"/>
    <col min="1797" max="1797" width="32.85546875" style="116" customWidth="1"/>
    <col min="1798" max="1801" width="9.140625" style="116"/>
    <col min="1802" max="1802" width="11.5703125" style="116" bestFit="1" customWidth="1"/>
    <col min="1803" max="1804" width="13.42578125" style="116" bestFit="1" customWidth="1"/>
    <col min="1805" max="2048" width="9.140625" style="116"/>
    <col min="2049" max="2049" width="8.42578125" style="116" customWidth="1"/>
    <col min="2050" max="2050" width="43.140625" style="116" customWidth="1"/>
    <col min="2051" max="2051" width="32.28515625" style="116" customWidth="1"/>
    <col min="2052" max="2052" width="28" style="116" customWidth="1"/>
    <col min="2053" max="2053" width="32.85546875" style="116" customWidth="1"/>
    <col min="2054" max="2057" width="9.140625" style="116"/>
    <col min="2058" max="2058" width="11.5703125" style="116" bestFit="1" customWidth="1"/>
    <col min="2059" max="2060" width="13.42578125" style="116" bestFit="1" customWidth="1"/>
    <col min="2061" max="2304" width="9.140625" style="116"/>
    <col min="2305" max="2305" width="8.42578125" style="116" customWidth="1"/>
    <col min="2306" max="2306" width="43.140625" style="116" customWidth="1"/>
    <col min="2307" max="2307" width="32.28515625" style="116" customWidth="1"/>
    <col min="2308" max="2308" width="28" style="116" customWidth="1"/>
    <col min="2309" max="2309" width="32.85546875" style="116" customWidth="1"/>
    <col min="2310" max="2313" width="9.140625" style="116"/>
    <col min="2314" max="2314" width="11.5703125" style="116" bestFit="1" customWidth="1"/>
    <col min="2315" max="2316" width="13.42578125" style="116" bestFit="1" customWidth="1"/>
    <col min="2317" max="2560" width="9.140625" style="116"/>
    <col min="2561" max="2561" width="8.42578125" style="116" customWidth="1"/>
    <col min="2562" max="2562" width="43.140625" style="116" customWidth="1"/>
    <col min="2563" max="2563" width="32.28515625" style="116" customWidth="1"/>
    <col min="2564" max="2564" width="28" style="116" customWidth="1"/>
    <col min="2565" max="2565" width="32.85546875" style="116" customWidth="1"/>
    <col min="2566" max="2569" width="9.140625" style="116"/>
    <col min="2570" max="2570" width="11.5703125" style="116" bestFit="1" customWidth="1"/>
    <col min="2571" max="2572" width="13.42578125" style="116" bestFit="1" customWidth="1"/>
    <col min="2573" max="2816" width="9.140625" style="116"/>
    <col min="2817" max="2817" width="8.42578125" style="116" customWidth="1"/>
    <col min="2818" max="2818" width="43.140625" style="116" customWidth="1"/>
    <col min="2819" max="2819" width="32.28515625" style="116" customWidth="1"/>
    <col min="2820" max="2820" width="28" style="116" customWidth="1"/>
    <col min="2821" max="2821" width="32.85546875" style="116" customWidth="1"/>
    <col min="2822" max="2825" width="9.140625" style="116"/>
    <col min="2826" max="2826" width="11.5703125" style="116" bestFit="1" customWidth="1"/>
    <col min="2827" max="2828" width="13.42578125" style="116" bestFit="1" customWidth="1"/>
    <col min="2829" max="3072" width="9.140625" style="116"/>
    <col min="3073" max="3073" width="8.42578125" style="116" customWidth="1"/>
    <col min="3074" max="3074" width="43.140625" style="116" customWidth="1"/>
    <col min="3075" max="3075" width="32.28515625" style="116" customWidth="1"/>
    <col min="3076" max="3076" width="28" style="116" customWidth="1"/>
    <col min="3077" max="3077" width="32.85546875" style="116" customWidth="1"/>
    <col min="3078" max="3081" width="9.140625" style="116"/>
    <col min="3082" max="3082" width="11.5703125" style="116" bestFit="1" customWidth="1"/>
    <col min="3083" max="3084" width="13.42578125" style="116" bestFit="1" customWidth="1"/>
    <col min="3085" max="3328" width="9.140625" style="116"/>
    <col min="3329" max="3329" width="8.42578125" style="116" customWidth="1"/>
    <col min="3330" max="3330" width="43.140625" style="116" customWidth="1"/>
    <col min="3331" max="3331" width="32.28515625" style="116" customWidth="1"/>
    <col min="3332" max="3332" width="28" style="116" customWidth="1"/>
    <col min="3333" max="3333" width="32.85546875" style="116" customWidth="1"/>
    <col min="3334" max="3337" width="9.140625" style="116"/>
    <col min="3338" max="3338" width="11.5703125" style="116" bestFit="1" customWidth="1"/>
    <col min="3339" max="3340" width="13.42578125" style="116" bestFit="1" customWidth="1"/>
    <col min="3341" max="3584" width="9.140625" style="116"/>
    <col min="3585" max="3585" width="8.42578125" style="116" customWidth="1"/>
    <col min="3586" max="3586" width="43.140625" style="116" customWidth="1"/>
    <col min="3587" max="3587" width="32.28515625" style="116" customWidth="1"/>
    <col min="3588" max="3588" width="28" style="116" customWidth="1"/>
    <col min="3589" max="3589" width="32.85546875" style="116" customWidth="1"/>
    <col min="3590" max="3593" width="9.140625" style="116"/>
    <col min="3594" max="3594" width="11.5703125" style="116" bestFit="1" customWidth="1"/>
    <col min="3595" max="3596" width="13.42578125" style="116" bestFit="1" customWidth="1"/>
    <col min="3597" max="3840" width="9.140625" style="116"/>
    <col min="3841" max="3841" width="8.42578125" style="116" customWidth="1"/>
    <col min="3842" max="3842" width="43.140625" style="116" customWidth="1"/>
    <col min="3843" max="3843" width="32.28515625" style="116" customWidth="1"/>
    <col min="3844" max="3844" width="28" style="116" customWidth="1"/>
    <col min="3845" max="3845" width="32.85546875" style="116" customWidth="1"/>
    <col min="3846" max="3849" width="9.140625" style="116"/>
    <col min="3850" max="3850" width="11.5703125" style="116" bestFit="1" customWidth="1"/>
    <col min="3851" max="3852" width="13.42578125" style="116" bestFit="1" customWidth="1"/>
    <col min="3853" max="4096" width="9.140625" style="116"/>
    <col min="4097" max="4097" width="8.42578125" style="116" customWidth="1"/>
    <col min="4098" max="4098" width="43.140625" style="116" customWidth="1"/>
    <col min="4099" max="4099" width="32.28515625" style="116" customWidth="1"/>
    <col min="4100" max="4100" width="28" style="116" customWidth="1"/>
    <col min="4101" max="4101" width="32.85546875" style="116" customWidth="1"/>
    <col min="4102" max="4105" width="9.140625" style="116"/>
    <col min="4106" max="4106" width="11.5703125" style="116" bestFit="1" customWidth="1"/>
    <col min="4107" max="4108" width="13.42578125" style="116" bestFit="1" customWidth="1"/>
    <col min="4109" max="4352" width="9.140625" style="116"/>
    <col min="4353" max="4353" width="8.42578125" style="116" customWidth="1"/>
    <col min="4354" max="4354" width="43.140625" style="116" customWidth="1"/>
    <col min="4355" max="4355" width="32.28515625" style="116" customWidth="1"/>
    <col min="4356" max="4356" width="28" style="116" customWidth="1"/>
    <col min="4357" max="4357" width="32.85546875" style="116" customWidth="1"/>
    <col min="4358" max="4361" width="9.140625" style="116"/>
    <col min="4362" max="4362" width="11.5703125" style="116" bestFit="1" customWidth="1"/>
    <col min="4363" max="4364" width="13.42578125" style="116" bestFit="1" customWidth="1"/>
    <col min="4365" max="4608" width="9.140625" style="116"/>
    <col min="4609" max="4609" width="8.42578125" style="116" customWidth="1"/>
    <col min="4610" max="4610" width="43.140625" style="116" customWidth="1"/>
    <col min="4611" max="4611" width="32.28515625" style="116" customWidth="1"/>
    <col min="4612" max="4612" width="28" style="116" customWidth="1"/>
    <col min="4613" max="4613" width="32.85546875" style="116" customWidth="1"/>
    <col min="4614" max="4617" width="9.140625" style="116"/>
    <col min="4618" max="4618" width="11.5703125" style="116" bestFit="1" customWidth="1"/>
    <col min="4619" max="4620" width="13.42578125" style="116" bestFit="1" customWidth="1"/>
    <col min="4621" max="4864" width="9.140625" style="116"/>
    <col min="4865" max="4865" width="8.42578125" style="116" customWidth="1"/>
    <col min="4866" max="4866" width="43.140625" style="116" customWidth="1"/>
    <col min="4867" max="4867" width="32.28515625" style="116" customWidth="1"/>
    <col min="4868" max="4868" width="28" style="116" customWidth="1"/>
    <col min="4869" max="4869" width="32.85546875" style="116" customWidth="1"/>
    <col min="4870" max="4873" width="9.140625" style="116"/>
    <col min="4874" max="4874" width="11.5703125" style="116" bestFit="1" customWidth="1"/>
    <col min="4875" max="4876" width="13.42578125" style="116" bestFit="1" customWidth="1"/>
    <col min="4877" max="5120" width="9.140625" style="116"/>
    <col min="5121" max="5121" width="8.42578125" style="116" customWidth="1"/>
    <col min="5122" max="5122" width="43.140625" style="116" customWidth="1"/>
    <col min="5123" max="5123" width="32.28515625" style="116" customWidth="1"/>
    <col min="5124" max="5124" width="28" style="116" customWidth="1"/>
    <col min="5125" max="5125" width="32.85546875" style="116" customWidth="1"/>
    <col min="5126" max="5129" width="9.140625" style="116"/>
    <col min="5130" max="5130" width="11.5703125" style="116" bestFit="1" customWidth="1"/>
    <col min="5131" max="5132" width="13.42578125" style="116" bestFit="1" customWidth="1"/>
    <col min="5133" max="5376" width="9.140625" style="116"/>
    <col min="5377" max="5377" width="8.42578125" style="116" customWidth="1"/>
    <col min="5378" max="5378" width="43.140625" style="116" customWidth="1"/>
    <col min="5379" max="5379" width="32.28515625" style="116" customWidth="1"/>
    <col min="5380" max="5380" width="28" style="116" customWidth="1"/>
    <col min="5381" max="5381" width="32.85546875" style="116" customWidth="1"/>
    <col min="5382" max="5385" width="9.140625" style="116"/>
    <col min="5386" max="5386" width="11.5703125" style="116" bestFit="1" customWidth="1"/>
    <col min="5387" max="5388" width="13.42578125" style="116" bestFit="1" customWidth="1"/>
    <col min="5389" max="5632" width="9.140625" style="116"/>
    <col min="5633" max="5633" width="8.42578125" style="116" customWidth="1"/>
    <col min="5634" max="5634" width="43.140625" style="116" customWidth="1"/>
    <col min="5635" max="5635" width="32.28515625" style="116" customWidth="1"/>
    <col min="5636" max="5636" width="28" style="116" customWidth="1"/>
    <col min="5637" max="5637" width="32.85546875" style="116" customWidth="1"/>
    <col min="5638" max="5641" width="9.140625" style="116"/>
    <col min="5642" max="5642" width="11.5703125" style="116" bestFit="1" customWidth="1"/>
    <col min="5643" max="5644" width="13.42578125" style="116" bestFit="1" customWidth="1"/>
    <col min="5645" max="5888" width="9.140625" style="116"/>
    <col min="5889" max="5889" width="8.42578125" style="116" customWidth="1"/>
    <col min="5890" max="5890" width="43.140625" style="116" customWidth="1"/>
    <col min="5891" max="5891" width="32.28515625" style="116" customWidth="1"/>
    <col min="5892" max="5892" width="28" style="116" customWidth="1"/>
    <col min="5893" max="5893" width="32.85546875" style="116" customWidth="1"/>
    <col min="5894" max="5897" width="9.140625" style="116"/>
    <col min="5898" max="5898" width="11.5703125" style="116" bestFit="1" customWidth="1"/>
    <col min="5899" max="5900" width="13.42578125" style="116" bestFit="1" customWidth="1"/>
    <col min="5901" max="6144" width="9.140625" style="116"/>
    <col min="6145" max="6145" width="8.42578125" style="116" customWidth="1"/>
    <col min="6146" max="6146" width="43.140625" style="116" customWidth="1"/>
    <col min="6147" max="6147" width="32.28515625" style="116" customWidth="1"/>
    <col min="6148" max="6148" width="28" style="116" customWidth="1"/>
    <col min="6149" max="6149" width="32.85546875" style="116" customWidth="1"/>
    <col min="6150" max="6153" width="9.140625" style="116"/>
    <col min="6154" max="6154" width="11.5703125" style="116" bestFit="1" customWidth="1"/>
    <col min="6155" max="6156" width="13.42578125" style="116" bestFit="1" customWidth="1"/>
    <col min="6157" max="6400" width="9.140625" style="116"/>
    <col min="6401" max="6401" width="8.42578125" style="116" customWidth="1"/>
    <col min="6402" max="6402" width="43.140625" style="116" customWidth="1"/>
    <col min="6403" max="6403" width="32.28515625" style="116" customWidth="1"/>
    <col min="6404" max="6404" width="28" style="116" customWidth="1"/>
    <col min="6405" max="6405" width="32.85546875" style="116" customWidth="1"/>
    <col min="6406" max="6409" width="9.140625" style="116"/>
    <col min="6410" max="6410" width="11.5703125" style="116" bestFit="1" customWidth="1"/>
    <col min="6411" max="6412" width="13.42578125" style="116" bestFit="1" customWidth="1"/>
    <col min="6413" max="6656" width="9.140625" style="116"/>
    <col min="6657" max="6657" width="8.42578125" style="116" customWidth="1"/>
    <col min="6658" max="6658" width="43.140625" style="116" customWidth="1"/>
    <col min="6659" max="6659" width="32.28515625" style="116" customWidth="1"/>
    <col min="6660" max="6660" width="28" style="116" customWidth="1"/>
    <col min="6661" max="6661" width="32.85546875" style="116" customWidth="1"/>
    <col min="6662" max="6665" width="9.140625" style="116"/>
    <col min="6666" max="6666" width="11.5703125" style="116" bestFit="1" customWidth="1"/>
    <col min="6667" max="6668" width="13.42578125" style="116" bestFit="1" customWidth="1"/>
    <col min="6669" max="6912" width="9.140625" style="116"/>
    <col min="6913" max="6913" width="8.42578125" style="116" customWidth="1"/>
    <col min="6914" max="6914" width="43.140625" style="116" customWidth="1"/>
    <col min="6915" max="6915" width="32.28515625" style="116" customWidth="1"/>
    <col min="6916" max="6916" width="28" style="116" customWidth="1"/>
    <col min="6917" max="6917" width="32.85546875" style="116" customWidth="1"/>
    <col min="6918" max="6921" width="9.140625" style="116"/>
    <col min="6922" max="6922" width="11.5703125" style="116" bestFit="1" customWidth="1"/>
    <col min="6923" max="6924" width="13.42578125" style="116" bestFit="1" customWidth="1"/>
    <col min="6925" max="7168" width="9.140625" style="116"/>
    <col min="7169" max="7169" width="8.42578125" style="116" customWidth="1"/>
    <col min="7170" max="7170" width="43.140625" style="116" customWidth="1"/>
    <col min="7171" max="7171" width="32.28515625" style="116" customWidth="1"/>
    <col min="7172" max="7172" width="28" style="116" customWidth="1"/>
    <col min="7173" max="7173" width="32.85546875" style="116" customWidth="1"/>
    <col min="7174" max="7177" width="9.140625" style="116"/>
    <col min="7178" max="7178" width="11.5703125" style="116" bestFit="1" customWidth="1"/>
    <col min="7179" max="7180" width="13.42578125" style="116" bestFit="1" customWidth="1"/>
    <col min="7181" max="7424" width="9.140625" style="116"/>
    <col min="7425" max="7425" width="8.42578125" style="116" customWidth="1"/>
    <col min="7426" max="7426" width="43.140625" style="116" customWidth="1"/>
    <col min="7427" max="7427" width="32.28515625" style="116" customWidth="1"/>
    <col min="7428" max="7428" width="28" style="116" customWidth="1"/>
    <col min="7429" max="7429" width="32.85546875" style="116" customWidth="1"/>
    <col min="7430" max="7433" width="9.140625" style="116"/>
    <col min="7434" max="7434" width="11.5703125" style="116" bestFit="1" customWidth="1"/>
    <col min="7435" max="7436" width="13.42578125" style="116" bestFit="1" customWidth="1"/>
    <col min="7437" max="7680" width="9.140625" style="116"/>
    <col min="7681" max="7681" width="8.42578125" style="116" customWidth="1"/>
    <col min="7682" max="7682" width="43.140625" style="116" customWidth="1"/>
    <col min="7683" max="7683" width="32.28515625" style="116" customWidth="1"/>
    <col min="7684" max="7684" width="28" style="116" customWidth="1"/>
    <col min="7685" max="7685" width="32.85546875" style="116" customWidth="1"/>
    <col min="7686" max="7689" width="9.140625" style="116"/>
    <col min="7690" max="7690" width="11.5703125" style="116" bestFit="1" customWidth="1"/>
    <col min="7691" max="7692" width="13.42578125" style="116" bestFit="1" customWidth="1"/>
    <col min="7693" max="7936" width="9.140625" style="116"/>
    <col min="7937" max="7937" width="8.42578125" style="116" customWidth="1"/>
    <col min="7938" max="7938" width="43.140625" style="116" customWidth="1"/>
    <col min="7939" max="7939" width="32.28515625" style="116" customWidth="1"/>
    <col min="7940" max="7940" width="28" style="116" customWidth="1"/>
    <col min="7941" max="7941" width="32.85546875" style="116" customWidth="1"/>
    <col min="7942" max="7945" width="9.140625" style="116"/>
    <col min="7946" max="7946" width="11.5703125" style="116" bestFit="1" customWidth="1"/>
    <col min="7947" max="7948" width="13.42578125" style="116" bestFit="1" customWidth="1"/>
    <col min="7949" max="8192" width="9.140625" style="116"/>
    <col min="8193" max="8193" width="8.42578125" style="116" customWidth="1"/>
    <col min="8194" max="8194" width="43.140625" style="116" customWidth="1"/>
    <col min="8195" max="8195" width="32.28515625" style="116" customWidth="1"/>
    <col min="8196" max="8196" width="28" style="116" customWidth="1"/>
    <col min="8197" max="8197" width="32.85546875" style="116" customWidth="1"/>
    <col min="8198" max="8201" width="9.140625" style="116"/>
    <col min="8202" max="8202" width="11.5703125" style="116" bestFit="1" customWidth="1"/>
    <col min="8203" max="8204" width="13.42578125" style="116" bestFit="1" customWidth="1"/>
    <col min="8205" max="8448" width="9.140625" style="116"/>
    <col min="8449" max="8449" width="8.42578125" style="116" customWidth="1"/>
    <col min="8450" max="8450" width="43.140625" style="116" customWidth="1"/>
    <col min="8451" max="8451" width="32.28515625" style="116" customWidth="1"/>
    <col min="8452" max="8452" width="28" style="116" customWidth="1"/>
    <col min="8453" max="8453" width="32.85546875" style="116" customWidth="1"/>
    <col min="8454" max="8457" width="9.140625" style="116"/>
    <col min="8458" max="8458" width="11.5703125" style="116" bestFit="1" customWidth="1"/>
    <col min="8459" max="8460" width="13.42578125" style="116" bestFit="1" customWidth="1"/>
    <col min="8461" max="8704" width="9.140625" style="116"/>
    <col min="8705" max="8705" width="8.42578125" style="116" customWidth="1"/>
    <col min="8706" max="8706" width="43.140625" style="116" customWidth="1"/>
    <col min="8707" max="8707" width="32.28515625" style="116" customWidth="1"/>
    <col min="8708" max="8708" width="28" style="116" customWidth="1"/>
    <col min="8709" max="8709" width="32.85546875" style="116" customWidth="1"/>
    <col min="8710" max="8713" width="9.140625" style="116"/>
    <col min="8714" max="8714" width="11.5703125" style="116" bestFit="1" customWidth="1"/>
    <col min="8715" max="8716" width="13.42578125" style="116" bestFit="1" customWidth="1"/>
    <col min="8717" max="8960" width="9.140625" style="116"/>
    <col min="8961" max="8961" width="8.42578125" style="116" customWidth="1"/>
    <col min="8962" max="8962" width="43.140625" style="116" customWidth="1"/>
    <col min="8963" max="8963" width="32.28515625" style="116" customWidth="1"/>
    <col min="8964" max="8964" width="28" style="116" customWidth="1"/>
    <col min="8965" max="8965" width="32.85546875" style="116" customWidth="1"/>
    <col min="8966" max="8969" width="9.140625" style="116"/>
    <col min="8970" max="8970" width="11.5703125" style="116" bestFit="1" customWidth="1"/>
    <col min="8971" max="8972" width="13.42578125" style="116" bestFit="1" customWidth="1"/>
    <col min="8973" max="9216" width="9.140625" style="116"/>
    <col min="9217" max="9217" width="8.42578125" style="116" customWidth="1"/>
    <col min="9218" max="9218" width="43.140625" style="116" customWidth="1"/>
    <col min="9219" max="9219" width="32.28515625" style="116" customWidth="1"/>
    <col min="9220" max="9220" width="28" style="116" customWidth="1"/>
    <col min="9221" max="9221" width="32.85546875" style="116" customWidth="1"/>
    <col min="9222" max="9225" width="9.140625" style="116"/>
    <col min="9226" max="9226" width="11.5703125" style="116" bestFit="1" customWidth="1"/>
    <col min="9227" max="9228" width="13.42578125" style="116" bestFit="1" customWidth="1"/>
    <col min="9229" max="9472" width="9.140625" style="116"/>
    <col min="9473" max="9473" width="8.42578125" style="116" customWidth="1"/>
    <col min="9474" max="9474" width="43.140625" style="116" customWidth="1"/>
    <col min="9475" max="9475" width="32.28515625" style="116" customWidth="1"/>
    <col min="9476" max="9476" width="28" style="116" customWidth="1"/>
    <col min="9477" max="9477" width="32.85546875" style="116" customWidth="1"/>
    <col min="9478" max="9481" width="9.140625" style="116"/>
    <col min="9482" max="9482" width="11.5703125" style="116" bestFit="1" customWidth="1"/>
    <col min="9483" max="9484" width="13.42578125" style="116" bestFit="1" customWidth="1"/>
    <col min="9485" max="9728" width="9.140625" style="116"/>
    <col min="9729" max="9729" width="8.42578125" style="116" customWidth="1"/>
    <col min="9730" max="9730" width="43.140625" style="116" customWidth="1"/>
    <col min="9731" max="9731" width="32.28515625" style="116" customWidth="1"/>
    <col min="9732" max="9732" width="28" style="116" customWidth="1"/>
    <col min="9733" max="9733" width="32.85546875" style="116" customWidth="1"/>
    <col min="9734" max="9737" width="9.140625" style="116"/>
    <col min="9738" max="9738" width="11.5703125" style="116" bestFit="1" customWidth="1"/>
    <col min="9739" max="9740" width="13.42578125" style="116" bestFit="1" customWidth="1"/>
    <col min="9741" max="9984" width="9.140625" style="116"/>
    <col min="9985" max="9985" width="8.42578125" style="116" customWidth="1"/>
    <col min="9986" max="9986" width="43.140625" style="116" customWidth="1"/>
    <col min="9987" max="9987" width="32.28515625" style="116" customWidth="1"/>
    <col min="9988" max="9988" width="28" style="116" customWidth="1"/>
    <col min="9989" max="9989" width="32.85546875" style="116" customWidth="1"/>
    <col min="9990" max="9993" width="9.140625" style="116"/>
    <col min="9994" max="9994" width="11.5703125" style="116" bestFit="1" customWidth="1"/>
    <col min="9995" max="9996" width="13.42578125" style="116" bestFit="1" customWidth="1"/>
    <col min="9997" max="10240" width="9.140625" style="116"/>
    <col min="10241" max="10241" width="8.42578125" style="116" customWidth="1"/>
    <col min="10242" max="10242" width="43.140625" style="116" customWidth="1"/>
    <col min="10243" max="10243" width="32.28515625" style="116" customWidth="1"/>
    <col min="10244" max="10244" width="28" style="116" customWidth="1"/>
    <col min="10245" max="10245" width="32.85546875" style="116" customWidth="1"/>
    <col min="10246" max="10249" width="9.140625" style="116"/>
    <col min="10250" max="10250" width="11.5703125" style="116" bestFit="1" customWidth="1"/>
    <col min="10251" max="10252" width="13.42578125" style="116" bestFit="1" customWidth="1"/>
    <col min="10253" max="10496" width="9.140625" style="116"/>
    <col min="10497" max="10497" width="8.42578125" style="116" customWidth="1"/>
    <col min="10498" max="10498" width="43.140625" style="116" customWidth="1"/>
    <col min="10499" max="10499" width="32.28515625" style="116" customWidth="1"/>
    <col min="10500" max="10500" width="28" style="116" customWidth="1"/>
    <col min="10501" max="10501" width="32.85546875" style="116" customWidth="1"/>
    <col min="10502" max="10505" width="9.140625" style="116"/>
    <col min="10506" max="10506" width="11.5703125" style="116" bestFit="1" customWidth="1"/>
    <col min="10507" max="10508" width="13.42578125" style="116" bestFit="1" customWidth="1"/>
    <col min="10509" max="10752" width="9.140625" style="116"/>
    <col min="10753" max="10753" width="8.42578125" style="116" customWidth="1"/>
    <col min="10754" max="10754" width="43.140625" style="116" customWidth="1"/>
    <col min="10755" max="10755" width="32.28515625" style="116" customWidth="1"/>
    <col min="10756" max="10756" width="28" style="116" customWidth="1"/>
    <col min="10757" max="10757" width="32.85546875" style="116" customWidth="1"/>
    <col min="10758" max="10761" width="9.140625" style="116"/>
    <col min="10762" max="10762" width="11.5703125" style="116" bestFit="1" customWidth="1"/>
    <col min="10763" max="10764" width="13.42578125" style="116" bestFit="1" customWidth="1"/>
    <col min="10765" max="11008" width="9.140625" style="116"/>
    <col min="11009" max="11009" width="8.42578125" style="116" customWidth="1"/>
    <col min="11010" max="11010" width="43.140625" style="116" customWidth="1"/>
    <col min="11011" max="11011" width="32.28515625" style="116" customWidth="1"/>
    <col min="11012" max="11012" width="28" style="116" customWidth="1"/>
    <col min="11013" max="11013" width="32.85546875" style="116" customWidth="1"/>
    <col min="11014" max="11017" width="9.140625" style="116"/>
    <col min="11018" max="11018" width="11.5703125" style="116" bestFit="1" customWidth="1"/>
    <col min="11019" max="11020" width="13.42578125" style="116" bestFit="1" customWidth="1"/>
    <col min="11021" max="11264" width="9.140625" style="116"/>
    <col min="11265" max="11265" width="8.42578125" style="116" customWidth="1"/>
    <col min="11266" max="11266" width="43.140625" style="116" customWidth="1"/>
    <col min="11267" max="11267" width="32.28515625" style="116" customWidth="1"/>
    <col min="11268" max="11268" width="28" style="116" customWidth="1"/>
    <col min="11269" max="11269" width="32.85546875" style="116" customWidth="1"/>
    <col min="11270" max="11273" width="9.140625" style="116"/>
    <col min="11274" max="11274" width="11.5703125" style="116" bestFit="1" customWidth="1"/>
    <col min="11275" max="11276" width="13.42578125" style="116" bestFit="1" customWidth="1"/>
    <col min="11277" max="11520" width="9.140625" style="116"/>
    <col min="11521" max="11521" width="8.42578125" style="116" customWidth="1"/>
    <col min="11522" max="11522" width="43.140625" style="116" customWidth="1"/>
    <col min="11523" max="11523" width="32.28515625" style="116" customWidth="1"/>
    <col min="11524" max="11524" width="28" style="116" customWidth="1"/>
    <col min="11525" max="11525" width="32.85546875" style="116" customWidth="1"/>
    <col min="11526" max="11529" width="9.140625" style="116"/>
    <col min="11530" max="11530" width="11.5703125" style="116" bestFit="1" customWidth="1"/>
    <col min="11531" max="11532" width="13.42578125" style="116" bestFit="1" customWidth="1"/>
    <col min="11533" max="11776" width="9.140625" style="116"/>
    <col min="11777" max="11777" width="8.42578125" style="116" customWidth="1"/>
    <col min="11778" max="11778" width="43.140625" style="116" customWidth="1"/>
    <col min="11779" max="11779" width="32.28515625" style="116" customWidth="1"/>
    <col min="11780" max="11780" width="28" style="116" customWidth="1"/>
    <col min="11781" max="11781" width="32.85546875" style="116" customWidth="1"/>
    <col min="11782" max="11785" width="9.140625" style="116"/>
    <col min="11786" max="11786" width="11.5703125" style="116" bestFit="1" customWidth="1"/>
    <col min="11787" max="11788" width="13.42578125" style="116" bestFit="1" customWidth="1"/>
    <col min="11789" max="12032" width="9.140625" style="116"/>
    <col min="12033" max="12033" width="8.42578125" style="116" customWidth="1"/>
    <col min="12034" max="12034" width="43.140625" style="116" customWidth="1"/>
    <col min="12035" max="12035" width="32.28515625" style="116" customWidth="1"/>
    <col min="12036" max="12036" width="28" style="116" customWidth="1"/>
    <col min="12037" max="12037" width="32.85546875" style="116" customWidth="1"/>
    <col min="12038" max="12041" width="9.140625" style="116"/>
    <col min="12042" max="12042" width="11.5703125" style="116" bestFit="1" customWidth="1"/>
    <col min="12043" max="12044" width="13.42578125" style="116" bestFit="1" customWidth="1"/>
    <col min="12045" max="12288" width="9.140625" style="116"/>
    <col min="12289" max="12289" width="8.42578125" style="116" customWidth="1"/>
    <col min="12290" max="12290" width="43.140625" style="116" customWidth="1"/>
    <col min="12291" max="12291" width="32.28515625" style="116" customWidth="1"/>
    <col min="12292" max="12292" width="28" style="116" customWidth="1"/>
    <col min="12293" max="12293" width="32.85546875" style="116" customWidth="1"/>
    <col min="12294" max="12297" width="9.140625" style="116"/>
    <col min="12298" max="12298" width="11.5703125" style="116" bestFit="1" customWidth="1"/>
    <col min="12299" max="12300" width="13.42578125" style="116" bestFit="1" customWidth="1"/>
    <col min="12301" max="12544" width="9.140625" style="116"/>
    <col min="12545" max="12545" width="8.42578125" style="116" customWidth="1"/>
    <col min="12546" max="12546" width="43.140625" style="116" customWidth="1"/>
    <col min="12547" max="12547" width="32.28515625" style="116" customWidth="1"/>
    <col min="12548" max="12548" width="28" style="116" customWidth="1"/>
    <col min="12549" max="12549" width="32.85546875" style="116" customWidth="1"/>
    <col min="12550" max="12553" width="9.140625" style="116"/>
    <col min="12554" max="12554" width="11.5703125" style="116" bestFit="1" customWidth="1"/>
    <col min="12555" max="12556" width="13.42578125" style="116" bestFit="1" customWidth="1"/>
    <col min="12557" max="12800" width="9.140625" style="116"/>
    <col min="12801" max="12801" width="8.42578125" style="116" customWidth="1"/>
    <col min="12802" max="12802" width="43.140625" style="116" customWidth="1"/>
    <col min="12803" max="12803" width="32.28515625" style="116" customWidth="1"/>
    <col min="12804" max="12804" width="28" style="116" customWidth="1"/>
    <col min="12805" max="12805" width="32.85546875" style="116" customWidth="1"/>
    <col min="12806" max="12809" width="9.140625" style="116"/>
    <col min="12810" max="12810" width="11.5703125" style="116" bestFit="1" customWidth="1"/>
    <col min="12811" max="12812" width="13.42578125" style="116" bestFit="1" customWidth="1"/>
    <col min="12813" max="13056" width="9.140625" style="116"/>
    <col min="13057" max="13057" width="8.42578125" style="116" customWidth="1"/>
    <col min="13058" max="13058" width="43.140625" style="116" customWidth="1"/>
    <col min="13059" max="13059" width="32.28515625" style="116" customWidth="1"/>
    <col min="13060" max="13060" width="28" style="116" customWidth="1"/>
    <col min="13061" max="13061" width="32.85546875" style="116" customWidth="1"/>
    <col min="13062" max="13065" width="9.140625" style="116"/>
    <col min="13066" max="13066" width="11.5703125" style="116" bestFit="1" customWidth="1"/>
    <col min="13067" max="13068" width="13.42578125" style="116" bestFit="1" customWidth="1"/>
    <col min="13069" max="13312" width="9.140625" style="116"/>
    <col min="13313" max="13313" width="8.42578125" style="116" customWidth="1"/>
    <col min="13314" max="13314" width="43.140625" style="116" customWidth="1"/>
    <col min="13315" max="13315" width="32.28515625" style="116" customWidth="1"/>
    <col min="13316" max="13316" width="28" style="116" customWidth="1"/>
    <col min="13317" max="13317" width="32.85546875" style="116" customWidth="1"/>
    <col min="13318" max="13321" width="9.140625" style="116"/>
    <col min="13322" max="13322" width="11.5703125" style="116" bestFit="1" customWidth="1"/>
    <col min="13323" max="13324" width="13.42578125" style="116" bestFit="1" customWidth="1"/>
    <col min="13325" max="13568" width="9.140625" style="116"/>
    <col min="13569" max="13569" width="8.42578125" style="116" customWidth="1"/>
    <col min="13570" max="13570" width="43.140625" style="116" customWidth="1"/>
    <col min="13571" max="13571" width="32.28515625" style="116" customWidth="1"/>
    <col min="13572" max="13572" width="28" style="116" customWidth="1"/>
    <col min="13573" max="13573" width="32.85546875" style="116" customWidth="1"/>
    <col min="13574" max="13577" width="9.140625" style="116"/>
    <col min="13578" max="13578" width="11.5703125" style="116" bestFit="1" customWidth="1"/>
    <col min="13579" max="13580" width="13.42578125" style="116" bestFit="1" customWidth="1"/>
    <col min="13581" max="13824" width="9.140625" style="116"/>
    <col min="13825" max="13825" width="8.42578125" style="116" customWidth="1"/>
    <col min="13826" max="13826" width="43.140625" style="116" customWidth="1"/>
    <col min="13827" max="13827" width="32.28515625" style="116" customWidth="1"/>
    <col min="13828" max="13828" width="28" style="116" customWidth="1"/>
    <col min="13829" max="13829" width="32.85546875" style="116" customWidth="1"/>
    <col min="13830" max="13833" width="9.140625" style="116"/>
    <col min="13834" max="13834" width="11.5703125" style="116" bestFit="1" customWidth="1"/>
    <col min="13835" max="13836" width="13.42578125" style="116" bestFit="1" customWidth="1"/>
    <col min="13837" max="14080" width="9.140625" style="116"/>
    <col min="14081" max="14081" width="8.42578125" style="116" customWidth="1"/>
    <col min="14082" max="14082" width="43.140625" style="116" customWidth="1"/>
    <col min="14083" max="14083" width="32.28515625" style="116" customWidth="1"/>
    <col min="14084" max="14084" width="28" style="116" customWidth="1"/>
    <col min="14085" max="14085" width="32.85546875" style="116" customWidth="1"/>
    <col min="14086" max="14089" width="9.140625" style="116"/>
    <col min="14090" max="14090" width="11.5703125" style="116" bestFit="1" customWidth="1"/>
    <col min="14091" max="14092" width="13.42578125" style="116" bestFit="1" customWidth="1"/>
    <col min="14093" max="14336" width="9.140625" style="116"/>
    <col min="14337" max="14337" width="8.42578125" style="116" customWidth="1"/>
    <col min="14338" max="14338" width="43.140625" style="116" customWidth="1"/>
    <col min="14339" max="14339" width="32.28515625" style="116" customWidth="1"/>
    <col min="14340" max="14340" width="28" style="116" customWidth="1"/>
    <col min="14341" max="14341" width="32.85546875" style="116" customWidth="1"/>
    <col min="14342" max="14345" width="9.140625" style="116"/>
    <col min="14346" max="14346" width="11.5703125" style="116" bestFit="1" customWidth="1"/>
    <col min="14347" max="14348" width="13.42578125" style="116" bestFit="1" customWidth="1"/>
    <col min="14349" max="14592" width="9.140625" style="116"/>
    <col min="14593" max="14593" width="8.42578125" style="116" customWidth="1"/>
    <col min="14594" max="14594" width="43.140625" style="116" customWidth="1"/>
    <col min="14595" max="14595" width="32.28515625" style="116" customWidth="1"/>
    <col min="14596" max="14596" width="28" style="116" customWidth="1"/>
    <col min="14597" max="14597" width="32.85546875" style="116" customWidth="1"/>
    <col min="14598" max="14601" width="9.140625" style="116"/>
    <col min="14602" max="14602" width="11.5703125" style="116" bestFit="1" customWidth="1"/>
    <col min="14603" max="14604" width="13.42578125" style="116" bestFit="1" customWidth="1"/>
    <col min="14605" max="14848" width="9.140625" style="116"/>
    <col min="14849" max="14849" width="8.42578125" style="116" customWidth="1"/>
    <col min="14850" max="14850" width="43.140625" style="116" customWidth="1"/>
    <col min="14851" max="14851" width="32.28515625" style="116" customWidth="1"/>
    <col min="14852" max="14852" width="28" style="116" customWidth="1"/>
    <col min="14853" max="14853" width="32.85546875" style="116" customWidth="1"/>
    <col min="14854" max="14857" width="9.140625" style="116"/>
    <col min="14858" max="14858" width="11.5703125" style="116" bestFit="1" customWidth="1"/>
    <col min="14859" max="14860" width="13.42578125" style="116" bestFit="1" customWidth="1"/>
    <col min="14861" max="15104" width="9.140625" style="116"/>
    <col min="15105" max="15105" width="8.42578125" style="116" customWidth="1"/>
    <col min="15106" max="15106" width="43.140625" style="116" customWidth="1"/>
    <col min="15107" max="15107" width="32.28515625" style="116" customWidth="1"/>
    <col min="15108" max="15108" width="28" style="116" customWidth="1"/>
    <col min="15109" max="15109" width="32.85546875" style="116" customWidth="1"/>
    <col min="15110" max="15113" width="9.140625" style="116"/>
    <col min="15114" max="15114" width="11.5703125" style="116" bestFit="1" customWidth="1"/>
    <col min="15115" max="15116" width="13.42578125" style="116" bestFit="1" customWidth="1"/>
    <col min="15117" max="15360" width="9.140625" style="116"/>
    <col min="15361" max="15361" width="8.42578125" style="116" customWidth="1"/>
    <col min="15362" max="15362" width="43.140625" style="116" customWidth="1"/>
    <col min="15363" max="15363" width="32.28515625" style="116" customWidth="1"/>
    <col min="15364" max="15364" width="28" style="116" customWidth="1"/>
    <col min="15365" max="15365" width="32.85546875" style="116" customWidth="1"/>
    <col min="15366" max="15369" width="9.140625" style="116"/>
    <col min="15370" max="15370" width="11.5703125" style="116" bestFit="1" customWidth="1"/>
    <col min="15371" max="15372" width="13.42578125" style="116" bestFit="1" customWidth="1"/>
    <col min="15373" max="15616" width="9.140625" style="116"/>
    <col min="15617" max="15617" width="8.42578125" style="116" customWidth="1"/>
    <col min="15618" max="15618" width="43.140625" style="116" customWidth="1"/>
    <col min="15619" max="15619" width="32.28515625" style="116" customWidth="1"/>
    <col min="15620" max="15620" width="28" style="116" customWidth="1"/>
    <col min="15621" max="15621" width="32.85546875" style="116" customWidth="1"/>
    <col min="15622" max="15625" width="9.140625" style="116"/>
    <col min="15626" max="15626" width="11.5703125" style="116" bestFit="1" customWidth="1"/>
    <col min="15627" max="15628" width="13.42578125" style="116" bestFit="1" customWidth="1"/>
    <col min="15629" max="15872" width="9.140625" style="116"/>
    <col min="15873" max="15873" width="8.42578125" style="116" customWidth="1"/>
    <col min="15874" max="15874" width="43.140625" style="116" customWidth="1"/>
    <col min="15875" max="15875" width="32.28515625" style="116" customWidth="1"/>
    <col min="15876" max="15876" width="28" style="116" customWidth="1"/>
    <col min="15877" max="15877" width="32.85546875" style="116" customWidth="1"/>
    <col min="15878" max="15881" width="9.140625" style="116"/>
    <col min="15882" max="15882" width="11.5703125" style="116" bestFit="1" customWidth="1"/>
    <col min="15883" max="15884" width="13.42578125" style="116" bestFit="1" customWidth="1"/>
    <col min="15885" max="16128" width="9.140625" style="116"/>
    <col min="16129" max="16129" width="8.42578125" style="116" customWidth="1"/>
    <col min="16130" max="16130" width="43.140625" style="116" customWidth="1"/>
    <col min="16131" max="16131" width="32.28515625" style="116" customWidth="1"/>
    <col min="16132" max="16132" width="28" style="116" customWidth="1"/>
    <col min="16133" max="16133" width="32.85546875" style="116" customWidth="1"/>
    <col min="16134" max="16137" width="9.140625" style="116"/>
    <col min="16138" max="16138" width="11.5703125" style="116" bestFit="1" customWidth="1"/>
    <col min="16139" max="16140" width="13.42578125" style="116" bestFit="1" customWidth="1"/>
    <col min="16141" max="16384" width="9.140625" style="116"/>
  </cols>
  <sheetData>
    <row r="1" spans="1:7" s="89" customFormat="1" ht="36.75" customHeight="1">
      <c r="A1" s="2791" t="s">
        <v>2830</v>
      </c>
      <c r="B1" s="2792"/>
      <c r="C1" s="2004"/>
      <c r="D1" s="2793" t="s">
        <v>3728</v>
      </c>
      <c r="E1" s="2794"/>
    </row>
    <row r="2" spans="1:7" ht="36.75" customHeight="1">
      <c r="A2" s="2795" t="s">
        <v>3729</v>
      </c>
      <c r="B2" s="2796"/>
      <c r="C2" s="2796"/>
      <c r="D2" s="2796"/>
      <c r="E2" s="2797"/>
    </row>
    <row r="3" spans="1:7" ht="36.75" customHeight="1">
      <c r="A3" s="2005" t="s">
        <v>829</v>
      </c>
      <c r="B3" s="1165" t="s">
        <v>3730</v>
      </c>
      <c r="C3" s="1166" t="s">
        <v>3731</v>
      </c>
      <c r="D3" s="1166" t="s">
        <v>2864</v>
      </c>
      <c r="E3" s="1166" t="s">
        <v>2865</v>
      </c>
    </row>
    <row r="4" spans="1:7" ht="36.75" customHeight="1">
      <c r="A4" s="2006">
        <v>1</v>
      </c>
      <c r="B4" s="2007" t="s">
        <v>3732</v>
      </c>
      <c r="C4" s="2006">
        <v>0</v>
      </c>
      <c r="D4" s="2006">
        <v>0</v>
      </c>
      <c r="E4" s="2008">
        <v>46</v>
      </c>
      <c r="F4" s="197"/>
      <c r="G4" s="197"/>
    </row>
    <row r="5" spans="1:7" ht="36.75" customHeight="1">
      <c r="A5" s="2006">
        <v>2</v>
      </c>
      <c r="B5" s="2007" t="s">
        <v>3733</v>
      </c>
      <c r="C5" s="2009">
        <v>0</v>
      </c>
      <c r="D5" s="2009">
        <v>0</v>
      </c>
      <c r="E5" s="2010">
        <v>1.6743055555555555</v>
      </c>
      <c r="F5" s="197"/>
      <c r="G5" s="197"/>
    </row>
    <row r="6" spans="1:7" ht="36.75" customHeight="1">
      <c r="A6" s="2006">
        <v>3</v>
      </c>
      <c r="B6" s="2007" t="s">
        <v>3734</v>
      </c>
      <c r="C6" s="2011">
        <v>0</v>
      </c>
      <c r="D6" s="2011">
        <v>0</v>
      </c>
      <c r="E6" s="2008">
        <v>1134</v>
      </c>
      <c r="F6" s="197"/>
      <c r="G6" s="197"/>
    </row>
    <row r="7" spans="1:7" ht="36.75" customHeight="1">
      <c r="A7" s="2006"/>
      <c r="B7" s="2007" t="s">
        <v>3735</v>
      </c>
      <c r="C7" s="2006"/>
      <c r="D7" s="2006"/>
      <c r="E7" s="2006"/>
      <c r="F7" s="197"/>
      <c r="G7" s="197"/>
    </row>
    <row r="8" spans="1:7" ht="45" customHeight="1">
      <c r="A8" s="2006"/>
      <c r="B8" s="2007" t="s">
        <v>3736</v>
      </c>
      <c r="C8" s="2006"/>
      <c r="D8" s="2006"/>
      <c r="E8" s="2006"/>
      <c r="F8" s="197"/>
      <c r="G8" s="197"/>
    </row>
    <row r="9" spans="1:7" ht="67.5" customHeight="1">
      <c r="A9" s="2006">
        <v>4</v>
      </c>
      <c r="B9" s="2007" t="s">
        <v>3737</v>
      </c>
      <c r="C9" s="2006"/>
      <c r="D9" s="2006"/>
      <c r="E9" s="2006"/>
      <c r="F9" s="197"/>
      <c r="G9" s="197"/>
    </row>
  </sheetData>
  <mergeCells count="3">
    <mergeCell ref="A1:B1"/>
    <mergeCell ref="D1:E1"/>
    <mergeCell ref="A2:E2"/>
  </mergeCells>
  <pageMargins left="0.70866141732283472" right="0.70866141732283472" top="0.74803149606299213" bottom="0.74803149606299213" header="0.31496062992125984" footer="0.31496062992125984"/>
  <pageSetup paperSize="9" scale="85" orientation="landscape"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8000"/>
  </sheetPr>
  <dimension ref="A1:Q37"/>
  <sheetViews>
    <sheetView view="pageBreakPreview" topLeftCell="A2" zoomScaleNormal="100" zoomScaleSheetLayoutView="100" workbookViewId="0">
      <pane xSplit="1" ySplit="3" topLeftCell="E26" activePane="bottomRight" state="frozen"/>
      <selection pane="bottomRight" activeCell="H39" sqref="H39"/>
      <selection pane="bottomLeft" activeCell="A5" sqref="A5"/>
      <selection pane="topRight" activeCell="B2" sqref="B2"/>
    </sheetView>
  </sheetViews>
  <sheetFormatPr defaultRowHeight="15"/>
  <cols>
    <col min="1" max="1" width="34.7109375" style="165" customWidth="1"/>
    <col min="2" max="2" width="12" style="165" customWidth="1"/>
    <col min="3" max="3" width="11.7109375" style="165" customWidth="1"/>
    <col min="4" max="4" width="10.7109375" style="165" customWidth="1"/>
    <col min="5" max="5" width="12.7109375" style="165" customWidth="1"/>
    <col min="6" max="6" width="12.140625" style="165" customWidth="1"/>
    <col min="7" max="7" width="12.5703125" style="165" customWidth="1"/>
    <col min="8" max="8" width="10.85546875" style="165" customWidth="1"/>
    <col min="9" max="9" width="11.5703125" style="165" customWidth="1"/>
    <col min="10" max="10" width="12.28515625" style="165" customWidth="1"/>
    <col min="11" max="11" width="10" style="165" customWidth="1"/>
    <col min="12" max="12" width="9.85546875" style="165" customWidth="1"/>
    <col min="13" max="13" width="10.7109375" style="165" customWidth="1"/>
    <col min="14" max="14" width="10.140625" style="165" customWidth="1"/>
    <col min="15" max="15" width="13" style="165" customWidth="1"/>
    <col min="16" max="16" width="11.85546875" style="165" customWidth="1"/>
    <col min="17" max="17" width="10.85546875" style="165" customWidth="1"/>
    <col min="18" max="16384" width="9.140625" style="165"/>
  </cols>
  <sheetData>
    <row r="1" spans="1:17" ht="22.5" customHeight="1">
      <c r="A1" s="995" t="s">
        <v>209</v>
      </c>
      <c r="D1" s="166"/>
      <c r="F1" s="166"/>
      <c r="G1" s="166"/>
      <c r="I1" s="166"/>
      <c r="N1" s="167"/>
      <c r="O1" s="167" t="s">
        <v>210</v>
      </c>
      <c r="P1" s="2798" t="s">
        <v>3738</v>
      </c>
      <c r="Q1" s="2798"/>
    </row>
    <row r="2" spans="1:17" ht="21" customHeight="1">
      <c r="A2" s="2799" t="s">
        <v>3739</v>
      </c>
      <c r="B2" s="2799"/>
      <c r="C2" s="2799"/>
      <c r="D2" s="2799"/>
      <c r="E2" s="2799"/>
      <c r="F2" s="2799"/>
      <c r="G2" s="2799"/>
      <c r="H2" s="2799"/>
      <c r="I2" s="2799"/>
      <c r="J2" s="2799"/>
      <c r="K2" s="2799"/>
      <c r="L2" s="2799"/>
      <c r="M2" s="2799"/>
      <c r="N2" s="2799"/>
      <c r="O2" s="2799"/>
      <c r="P2" s="2799"/>
      <c r="Q2" s="2799"/>
    </row>
    <row r="3" spans="1:17" ht="25.5">
      <c r="A3" s="2800" t="s">
        <v>512</v>
      </c>
      <c r="B3" s="168" t="s">
        <v>3740</v>
      </c>
      <c r="C3" s="168" t="s">
        <v>3741</v>
      </c>
      <c r="D3" s="168" t="s">
        <v>3742</v>
      </c>
      <c r="E3" s="168" t="s">
        <v>3743</v>
      </c>
      <c r="F3" s="168" t="s">
        <v>3744</v>
      </c>
      <c r="G3" s="168" t="s">
        <v>3745</v>
      </c>
      <c r="H3" s="168" t="s">
        <v>3746</v>
      </c>
      <c r="I3" s="168" t="s">
        <v>3747</v>
      </c>
      <c r="J3" s="168" t="s">
        <v>3748</v>
      </c>
      <c r="K3" s="168" t="s">
        <v>3749</v>
      </c>
      <c r="L3" s="168" t="s">
        <v>3750</v>
      </c>
      <c r="M3" s="168" t="s">
        <v>3751</v>
      </c>
      <c r="N3" s="169" t="s">
        <v>3752</v>
      </c>
      <c r="O3" s="170" t="s">
        <v>3753</v>
      </c>
      <c r="P3" s="168" t="s">
        <v>3754</v>
      </c>
      <c r="Q3" s="168" t="s">
        <v>3755</v>
      </c>
    </row>
    <row r="4" spans="1:17" s="172" customFormat="1" ht="56.25">
      <c r="A4" s="2800"/>
      <c r="B4" s="171" t="s">
        <v>3756</v>
      </c>
      <c r="C4" s="171" t="s">
        <v>3757</v>
      </c>
      <c r="D4" s="171" t="s">
        <v>3758</v>
      </c>
      <c r="E4" s="171" t="s">
        <v>3759</v>
      </c>
      <c r="F4" s="171" t="s">
        <v>3760</v>
      </c>
      <c r="G4" s="171" t="s">
        <v>3761</v>
      </c>
      <c r="H4" s="171" t="s">
        <v>3762</v>
      </c>
      <c r="I4" s="171" t="s">
        <v>3763</v>
      </c>
      <c r="J4" s="171" t="s">
        <v>3764</v>
      </c>
      <c r="K4" s="171" t="s">
        <v>3765</v>
      </c>
      <c r="L4" s="171" t="s">
        <v>3766</v>
      </c>
      <c r="M4" s="171" t="s">
        <v>3767</v>
      </c>
      <c r="N4" s="171" t="s">
        <v>3768</v>
      </c>
      <c r="O4" s="171" t="s">
        <v>3769</v>
      </c>
      <c r="P4" s="171" t="s">
        <v>3770</v>
      </c>
      <c r="Q4" s="171" t="s">
        <v>3771</v>
      </c>
    </row>
    <row r="5" spans="1:17">
      <c r="A5" s="173" t="s">
        <v>3772</v>
      </c>
      <c r="B5" s="174">
        <v>42329</v>
      </c>
      <c r="C5" s="174">
        <v>19855</v>
      </c>
      <c r="D5" s="174">
        <v>40983</v>
      </c>
      <c r="E5" s="174">
        <v>0</v>
      </c>
      <c r="F5" s="174">
        <v>0</v>
      </c>
      <c r="G5" s="174">
        <v>0</v>
      </c>
      <c r="H5" s="174">
        <v>19658</v>
      </c>
      <c r="I5" s="174">
        <v>1346</v>
      </c>
      <c r="J5" s="174">
        <v>197</v>
      </c>
      <c r="K5" s="174">
        <v>20486</v>
      </c>
      <c r="L5" s="174">
        <v>4475</v>
      </c>
      <c r="M5" s="174">
        <v>965</v>
      </c>
      <c r="N5" s="174">
        <v>4976</v>
      </c>
      <c r="O5" s="174">
        <v>4475</v>
      </c>
      <c r="P5" s="174">
        <v>0</v>
      </c>
      <c r="Q5" s="174">
        <v>7</v>
      </c>
    </row>
    <row r="6" spans="1:17">
      <c r="A6" s="175" t="s">
        <v>3773</v>
      </c>
      <c r="B6" s="174">
        <v>207534</v>
      </c>
      <c r="C6" s="174">
        <v>209703</v>
      </c>
      <c r="D6" s="174">
        <v>208224</v>
      </c>
      <c r="E6" s="174">
        <v>340</v>
      </c>
      <c r="F6" s="174">
        <v>6467</v>
      </c>
      <c r="G6" s="174">
        <v>6807</v>
      </c>
      <c r="H6" s="174">
        <v>209089</v>
      </c>
      <c r="I6" s="165">
        <v>5502</v>
      </c>
      <c r="J6" s="174">
        <v>614</v>
      </c>
      <c r="K6" s="174">
        <v>10340</v>
      </c>
      <c r="L6" s="174">
        <v>13318</v>
      </c>
      <c r="M6" s="174">
        <v>8530</v>
      </c>
      <c r="N6" s="174">
        <v>5552</v>
      </c>
      <c r="O6" s="174">
        <v>20125</v>
      </c>
      <c r="P6" s="174">
        <v>16</v>
      </c>
      <c r="Q6" s="174">
        <v>14762</v>
      </c>
    </row>
    <row r="7" spans="1:17">
      <c r="A7" s="175" t="s">
        <v>3774</v>
      </c>
      <c r="B7" s="174">
        <v>1623188</v>
      </c>
      <c r="C7" s="174">
        <v>1540796</v>
      </c>
      <c r="D7" s="174">
        <v>1585490</v>
      </c>
      <c r="E7" s="174">
        <v>998</v>
      </c>
      <c r="F7" s="174">
        <v>32116</v>
      </c>
      <c r="G7" s="174">
        <v>33114</v>
      </c>
      <c r="H7" s="174">
        <v>1537589</v>
      </c>
      <c r="I7" s="174">
        <v>31506</v>
      </c>
      <c r="J7" s="174">
        <v>3207</v>
      </c>
      <c r="K7" s="174">
        <v>215767</v>
      </c>
      <c r="L7" s="174">
        <v>171168</v>
      </c>
      <c r="M7" s="174">
        <v>18623</v>
      </c>
      <c r="N7" s="174">
        <v>75222</v>
      </c>
      <c r="O7" s="174">
        <v>204282</v>
      </c>
      <c r="P7" s="174">
        <v>0</v>
      </c>
      <c r="Q7" s="174">
        <v>0</v>
      </c>
    </row>
    <row r="8" spans="1:17">
      <c r="A8" s="175" t="s">
        <v>3775</v>
      </c>
      <c r="B8" s="174">
        <v>44969</v>
      </c>
      <c r="C8" s="174">
        <v>45176</v>
      </c>
      <c r="D8" s="174">
        <v>45128</v>
      </c>
      <c r="E8" s="174">
        <v>52</v>
      </c>
      <c r="F8" s="174">
        <v>1459</v>
      </c>
      <c r="G8" s="174">
        <v>1511</v>
      </c>
      <c r="H8" s="174">
        <v>45171</v>
      </c>
      <c r="I8" s="165">
        <v>35</v>
      </c>
      <c r="J8" s="174">
        <v>5</v>
      </c>
      <c r="K8" s="174">
        <v>1505</v>
      </c>
      <c r="L8" s="174">
        <v>5693</v>
      </c>
      <c r="M8" s="174">
        <v>4990</v>
      </c>
      <c r="N8" s="174">
        <v>802</v>
      </c>
      <c r="O8" s="174">
        <v>7204</v>
      </c>
      <c r="P8" s="174">
        <v>1228</v>
      </c>
      <c r="Q8" s="174">
        <v>13561</v>
      </c>
    </row>
    <row r="9" spans="1:17">
      <c r="A9" s="175" t="s">
        <v>3776</v>
      </c>
      <c r="B9" s="174">
        <v>63941</v>
      </c>
      <c r="C9" s="174">
        <v>68771</v>
      </c>
      <c r="D9" s="174">
        <v>63571</v>
      </c>
      <c r="E9" s="174">
        <v>81</v>
      </c>
      <c r="F9" s="174">
        <v>5171</v>
      </c>
      <c r="G9" s="174">
        <v>5252</v>
      </c>
      <c r="H9" s="174">
        <v>68718</v>
      </c>
      <c r="I9" s="174">
        <v>176</v>
      </c>
      <c r="J9" s="174">
        <v>53</v>
      </c>
      <c r="K9" s="174">
        <v>3328</v>
      </c>
      <c r="L9" s="174">
        <v>5440</v>
      </c>
      <c r="M9" s="174">
        <v>4026</v>
      </c>
      <c r="N9" s="174">
        <v>1914</v>
      </c>
      <c r="O9" s="174">
        <v>10692</v>
      </c>
      <c r="P9" s="174">
        <v>0</v>
      </c>
      <c r="Q9" s="174">
        <v>0</v>
      </c>
    </row>
    <row r="10" spans="1:17">
      <c r="A10" s="175" t="s">
        <v>3777</v>
      </c>
      <c r="B10" s="174">
        <v>4357</v>
      </c>
      <c r="C10" s="174">
        <v>4353</v>
      </c>
      <c r="D10" s="174">
        <v>4357</v>
      </c>
      <c r="E10" s="174">
        <v>10</v>
      </c>
      <c r="F10" s="174">
        <v>22</v>
      </c>
      <c r="G10" s="174">
        <v>32</v>
      </c>
      <c r="H10" s="174">
        <v>4353</v>
      </c>
      <c r="I10" s="174">
        <v>0</v>
      </c>
      <c r="J10" s="174">
        <v>0</v>
      </c>
      <c r="K10" s="174">
        <v>7</v>
      </c>
      <c r="L10" s="174">
        <v>1609</v>
      </c>
      <c r="M10" s="174">
        <v>1614</v>
      </c>
      <c r="N10" s="174">
        <v>12</v>
      </c>
      <c r="O10" s="174">
        <v>1641</v>
      </c>
      <c r="P10" s="174">
        <v>1</v>
      </c>
      <c r="Q10" s="174">
        <v>1885</v>
      </c>
    </row>
    <row r="11" spans="1:17">
      <c r="A11" s="175" t="s">
        <v>3778</v>
      </c>
      <c r="B11" s="174">
        <v>1132</v>
      </c>
      <c r="C11" s="174">
        <v>1131</v>
      </c>
      <c r="D11" s="174">
        <v>1132</v>
      </c>
      <c r="E11" s="174">
        <v>0</v>
      </c>
      <c r="F11" s="174">
        <v>15</v>
      </c>
      <c r="G11" s="174">
        <v>15</v>
      </c>
      <c r="H11" s="174">
        <v>1131</v>
      </c>
      <c r="I11" s="174">
        <v>0</v>
      </c>
      <c r="J11" s="174">
        <v>0</v>
      </c>
      <c r="K11" s="174">
        <v>1</v>
      </c>
      <c r="L11" s="174">
        <v>208</v>
      </c>
      <c r="M11" s="174">
        <v>208</v>
      </c>
      <c r="N11" s="174">
        <v>1</v>
      </c>
      <c r="O11" s="174">
        <v>223</v>
      </c>
      <c r="P11" s="174">
        <v>0</v>
      </c>
      <c r="Q11" s="174">
        <v>616</v>
      </c>
    </row>
    <row r="12" spans="1:17">
      <c r="A12" s="175" t="s">
        <v>755</v>
      </c>
      <c r="B12" s="174">
        <v>28815</v>
      </c>
      <c r="C12" s="174">
        <v>25449</v>
      </c>
      <c r="D12" s="174">
        <v>25691</v>
      </c>
      <c r="E12" s="174">
        <v>484</v>
      </c>
      <c r="F12" s="174">
        <v>1543</v>
      </c>
      <c r="G12" s="174">
        <v>2027</v>
      </c>
      <c r="H12" s="174">
        <v>23248</v>
      </c>
      <c r="I12" s="174">
        <v>3124</v>
      </c>
      <c r="J12" s="174">
        <v>2201</v>
      </c>
      <c r="K12" s="174">
        <v>5757</v>
      </c>
      <c r="L12" s="174">
        <v>1495</v>
      </c>
      <c r="M12" s="174">
        <v>800</v>
      </c>
      <c r="N12" s="174">
        <v>5062</v>
      </c>
      <c r="O12" s="174">
        <v>3522</v>
      </c>
      <c r="P12" s="174">
        <v>2</v>
      </c>
      <c r="Q12" s="174">
        <v>1438</v>
      </c>
    </row>
    <row r="13" spans="1:17">
      <c r="A13" s="175" t="s">
        <v>246</v>
      </c>
      <c r="B13" s="174">
        <v>2603</v>
      </c>
      <c r="C13" s="174">
        <v>3190</v>
      </c>
      <c r="D13" s="174">
        <v>2597</v>
      </c>
      <c r="E13" s="174">
        <v>8</v>
      </c>
      <c r="F13" s="174">
        <v>512</v>
      </c>
      <c r="G13" s="174">
        <v>520</v>
      </c>
      <c r="H13" s="174">
        <v>3185</v>
      </c>
      <c r="I13" s="174">
        <v>6</v>
      </c>
      <c r="J13" s="174">
        <v>5</v>
      </c>
      <c r="K13" s="174">
        <v>56</v>
      </c>
      <c r="L13" s="174">
        <v>324</v>
      </c>
      <c r="M13" s="174">
        <v>329</v>
      </c>
      <c r="N13" s="174">
        <v>61</v>
      </c>
      <c r="O13" s="174">
        <v>844</v>
      </c>
      <c r="P13" s="174">
        <v>0</v>
      </c>
      <c r="Q13" s="174">
        <v>667</v>
      </c>
    </row>
    <row r="14" spans="1:17">
      <c r="A14" s="175" t="s">
        <v>247</v>
      </c>
      <c r="B14" s="174">
        <v>57</v>
      </c>
      <c r="C14" s="174">
        <v>64</v>
      </c>
      <c r="D14" s="174">
        <v>57</v>
      </c>
      <c r="E14" s="174">
        <v>1</v>
      </c>
      <c r="F14" s="174">
        <v>3</v>
      </c>
      <c r="G14" s="174">
        <v>4</v>
      </c>
      <c r="H14" s="174">
        <v>64</v>
      </c>
      <c r="I14" s="174">
        <v>0</v>
      </c>
      <c r="J14" s="174">
        <v>0</v>
      </c>
      <c r="K14" s="174">
        <v>1</v>
      </c>
      <c r="L14" s="174">
        <v>15</v>
      </c>
      <c r="M14" s="174">
        <v>14</v>
      </c>
      <c r="N14" s="174">
        <v>0</v>
      </c>
      <c r="O14" s="174">
        <v>19</v>
      </c>
      <c r="P14" s="174">
        <v>0</v>
      </c>
      <c r="Q14" s="174">
        <v>21</v>
      </c>
    </row>
    <row r="15" spans="1:17">
      <c r="A15" s="175" t="s">
        <v>3779</v>
      </c>
      <c r="B15" s="174">
        <v>1421</v>
      </c>
      <c r="C15" s="174">
        <v>1783</v>
      </c>
      <c r="D15" s="174">
        <v>769</v>
      </c>
      <c r="E15" s="174">
        <v>11</v>
      </c>
      <c r="F15" s="174">
        <v>322</v>
      </c>
      <c r="G15" s="174">
        <v>333</v>
      </c>
      <c r="H15" s="174">
        <v>1140</v>
      </c>
      <c r="I15" s="174">
        <v>652</v>
      </c>
      <c r="J15" s="174">
        <v>643</v>
      </c>
      <c r="K15" s="174">
        <v>166</v>
      </c>
      <c r="L15" s="174">
        <v>21</v>
      </c>
      <c r="M15" s="174">
        <v>46</v>
      </c>
      <c r="N15" s="174">
        <v>191</v>
      </c>
      <c r="O15" s="174">
        <v>354</v>
      </c>
      <c r="P15" s="174">
        <v>4</v>
      </c>
      <c r="Q15" s="174">
        <v>72</v>
      </c>
    </row>
    <row r="16" spans="1:17">
      <c r="A16" s="175" t="s">
        <v>3780</v>
      </c>
      <c r="B16" s="174">
        <v>4490</v>
      </c>
      <c r="C16" s="174">
        <v>4705</v>
      </c>
      <c r="D16" s="174">
        <v>4471</v>
      </c>
      <c r="E16" s="174">
        <v>43</v>
      </c>
      <c r="F16" s="174">
        <v>180</v>
      </c>
      <c r="G16" s="174">
        <v>223</v>
      </c>
      <c r="H16" s="174">
        <v>4695</v>
      </c>
      <c r="I16" s="174">
        <v>19</v>
      </c>
      <c r="J16" s="174">
        <v>10</v>
      </c>
      <c r="K16" s="174">
        <v>57</v>
      </c>
      <c r="L16" s="174">
        <v>1988</v>
      </c>
      <c r="M16" s="174">
        <v>1980</v>
      </c>
      <c r="N16" s="174">
        <v>49</v>
      </c>
      <c r="O16" s="174">
        <v>2211</v>
      </c>
      <c r="P16" s="174">
        <v>45</v>
      </c>
      <c r="Q16" s="174">
        <v>2621</v>
      </c>
    </row>
    <row r="17" spans="1:17">
      <c r="A17" s="175" t="s">
        <v>3781</v>
      </c>
      <c r="B17" s="174">
        <v>16052</v>
      </c>
      <c r="C17" s="174">
        <v>17843</v>
      </c>
      <c r="D17" s="174">
        <v>15847</v>
      </c>
      <c r="E17" s="174">
        <v>8</v>
      </c>
      <c r="F17" s="174">
        <v>1691</v>
      </c>
      <c r="G17" s="174">
        <v>1699</v>
      </c>
      <c r="H17" s="174">
        <v>17696</v>
      </c>
      <c r="I17" s="174">
        <v>205</v>
      </c>
      <c r="J17" s="174">
        <v>147</v>
      </c>
      <c r="K17" s="174">
        <v>1050</v>
      </c>
      <c r="L17" s="174">
        <v>4726</v>
      </c>
      <c r="M17" s="174">
        <v>4437</v>
      </c>
      <c r="N17" s="174">
        <v>761</v>
      </c>
      <c r="O17" s="174">
        <v>6425</v>
      </c>
      <c r="P17" s="174">
        <v>4935</v>
      </c>
      <c r="Q17" s="174">
        <v>11007</v>
      </c>
    </row>
    <row r="18" spans="1:17" ht="15.75">
      <c r="A18" s="176" t="s">
        <v>3782</v>
      </c>
      <c r="B18" s="177">
        <f t="shared" ref="B18:Q18" si="0">SUM(B5:B17)</f>
        <v>2040888</v>
      </c>
      <c r="C18" s="177">
        <f t="shared" si="0"/>
        <v>1942819</v>
      </c>
      <c r="D18" s="177">
        <f t="shared" si="0"/>
        <v>1998317</v>
      </c>
      <c r="E18" s="177">
        <f>SUM(E5:E17)</f>
        <v>2036</v>
      </c>
      <c r="F18" s="177">
        <f>SUM(F5:F17)</f>
        <v>49501</v>
      </c>
      <c r="G18" s="177">
        <f t="shared" si="0"/>
        <v>51537</v>
      </c>
      <c r="H18" s="177">
        <f t="shared" si="0"/>
        <v>1935737</v>
      </c>
      <c r="I18" s="177">
        <f t="shared" si="0"/>
        <v>42571</v>
      </c>
      <c r="J18" s="177">
        <f t="shared" si="0"/>
        <v>7082</v>
      </c>
      <c r="K18" s="177">
        <f t="shared" si="0"/>
        <v>258521</v>
      </c>
      <c r="L18" s="177">
        <f t="shared" si="0"/>
        <v>210480</v>
      </c>
      <c r="M18" s="177">
        <f t="shared" si="0"/>
        <v>46562</v>
      </c>
      <c r="N18" s="177">
        <f t="shared" si="0"/>
        <v>94603</v>
      </c>
      <c r="O18" s="177">
        <f t="shared" si="0"/>
        <v>262017</v>
      </c>
      <c r="P18" s="177">
        <f t="shared" si="0"/>
        <v>6231</v>
      </c>
      <c r="Q18" s="177">
        <f t="shared" si="0"/>
        <v>46657</v>
      </c>
    </row>
    <row r="19" spans="1:17">
      <c r="A19" s="175" t="s">
        <v>3783</v>
      </c>
      <c r="B19" s="174">
        <v>342</v>
      </c>
      <c r="C19" s="174">
        <v>364</v>
      </c>
      <c r="D19" s="174">
        <v>342</v>
      </c>
      <c r="E19" s="174">
        <v>22</v>
      </c>
      <c r="F19" s="174">
        <v>0</v>
      </c>
      <c r="G19" s="174">
        <v>22</v>
      </c>
      <c r="H19" s="174">
        <v>364</v>
      </c>
      <c r="I19" s="174">
        <v>0</v>
      </c>
      <c r="J19" s="174">
        <v>0</v>
      </c>
      <c r="K19" s="174">
        <v>0</v>
      </c>
      <c r="L19" s="174">
        <v>0</v>
      </c>
      <c r="M19" s="174">
        <v>0</v>
      </c>
      <c r="N19" s="174">
        <v>0</v>
      </c>
      <c r="O19" s="174">
        <v>22</v>
      </c>
      <c r="P19" s="174">
        <v>0</v>
      </c>
      <c r="Q19" s="178">
        <v>356</v>
      </c>
    </row>
    <row r="20" spans="1:17">
      <c r="A20" s="175" t="s">
        <v>3784</v>
      </c>
      <c r="B20" s="174">
        <v>1</v>
      </c>
      <c r="C20" s="174">
        <v>1</v>
      </c>
      <c r="D20" s="174">
        <v>1</v>
      </c>
      <c r="E20" s="174">
        <v>0</v>
      </c>
      <c r="F20" s="174">
        <v>0</v>
      </c>
      <c r="G20" s="174">
        <v>0</v>
      </c>
      <c r="H20" s="174">
        <v>1</v>
      </c>
      <c r="I20" s="174">
        <v>0</v>
      </c>
      <c r="J20" s="174">
        <v>0</v>
      </c>
      <c r="K20" s="174">
        <v>0</v>
      </c>
      <c r="L20" s="174">
        <v>0</v>
      </c>
      <c r="M20" s="174">
        <v>0</v>
      </c>
      <c r="N20" s="174">
        <v>0</v>
      </c>
      <c r="O20" s="174">
        <v>0</v>
      </c>
      <c r="P20" s="174">
        <v>0</v>
      </c>
      <c r="Q20" s="174">
        <v>1</v>
      </c>
    </row>
    <row r="21" spans="1:17">
      <c r="A21" s="175" t="s">
        <v>532</v>
      </c>
      <c r="B21" s="174">
        <v>127</v>
      </c>
      <c r="C21" s="174">
        <v>140</v>
      </c>
      <c r="D21" s="174">
        <v>127</v>
      </c>
      <c r="E21" s="174">
        <v>13</v>
      </c>
      <c r="F21" s="174">
        <v>0</v>
      </c>
      <c r="G21" s="174">
        <v>13</v>
      </c>
      <c r="H21" s="174">
        <v>140</v>
      </c>
      <c r="I21" s="174">
        <v>0</v>
      </c>
      <c r="J21" s="174">
        <v>0</v>
      </c>
      <c r="K21" s="174">
        <v>0</v>
      </c>
      <c r="L21" s="174">
        <v>0</v>
      </c>
      <c r="M21" s="174">
        <v>0</v>
      </c>
      <c r="N21" s="174">
        <v>0</v>
      </c>
      <c r="O21" s="174">
        <v>13</v>
      </c>
      <c r="P21" s="174">
        <v>0</v>
      </c>
      <c r="Q21" s="178">
        <v>140</v>
      </c>
    </row>
    <row r="22" spans="1:17">
      <c r="A22" s="175" t="s">
        <v>3785</v>
      </c>
      <c r="B22" s="174">
        <v>26</v>
      </c>
      <c r="C22" s="174">
        <v>26</v>
      </c>
      <c r="D22" s="174">
        <v>26</v>
      </c>
      <c r="E22" s="174">
        <v>0</v>
      </c>
      <c r="F22" s="174">
        <v>0</v>
      </c>
      <c r="G22" s="174">
        <v>0</v>
      </c>
      <c r="H22" s="174">
        <v>26</v>
      </c>
      <c r="I22" s="174">
        <v>0</v>
      </c>
      <c r="J22" s="174">
        <v>0</v>
      </c>
      <c r="K22" s="174">
        <v>0</v>
      </c>
      <c r="L22" s="174">
        <v>0</v>
      </c>
      <c r="M22" s="174">
        <v>0</v>
      </c>
      <c r="N22" s="174">
        <v>0</v>
      </c>
      <c r="O22" s="174">
        <v>0</v>
      </c>
      <c r="P22" s="174">
        <v>0</v>
      </c>
      <c r="Q22" s="174">
        <v>26</v>
      </c>
    </row>
    <row r="23" spans="1:17">
      <c r="A23" s="175" t="s">
        <v>3786</v>
      </c>
      <c r="B23" s="174">
        <v>20</v>
      </c>
      <c r="C23" s="174">
        <v>31</v>
      </c>
      <c r="D23" s="174">
        <v>20</v>
      </c>
      <c r="E23" s="174">
        <v>11</v>
      </c>
      <c r="F23" s="174">
        <v>0</v>
      </c>
      <c r="G23" s="174">
        <v>11</v>
      </c>
      <c r="H23" s="174">
        <v>31</v>
      </c>
      <c r="I23" s="174">
        <v>0</v>
      </c>
      <c r="J23" s="174">
        <v>0</v>
      </c>
      <c r="K23" s="174">
        <v>0</v>
      </c>
      <c r="L23" s="174">
        <v>0</v>
      </c>
      <c r="M23" s="174">
        <v>0</v>
      </c>
      <c r="N23" s="174">
        <v>0</v>
      </c>
      <c r="O23" s="174">
        <v>11</v>
      </c>
      <c r="P23" s="174">
        <v>0</v>
      </c>
      <c r="Q23" s="174">
        <v>31</v>
      </c>
    </row>
    <row r="24" spans="1:17">
      <c r="A24" s="175" t="s">
        <v>3787</v>
      </c>
      <c r="B24" s="174">
        <v>46</v>
      </c>
      <c r="C24" s="174">
        <v>47</v>
      </c>
      <c r="D24" s="174">
        <v>46</v>
      </c>
      <c r="E24" s="174">
        <v>1</v>
      </c>
      <c r="F24" s="174">
        <v>0</v>
      </c>
      <c r="G24" s="174">
        <v>1</v>
      </c>
      <c r="H24" s="174">
        <v>47</v>
      </c>
      <c r="I24" s="174">
        <v>0</v>
      </c>
      <c r="J24" s="174">
        <v>0</v>
      </c>
      <c r="K24" s="174">
        <v>0</v>
      </c>
      <c r="L24" s="174">
        <v>0</v>
      </c>
      <c r="M24" s="174">
        <v>0</v>
      </c>
      <c r="N24" s="174">
        <v>0</v>
      </c>
      <c r="O24" s="174">
        <v>1</v>
      </c>
      <c r="P24" s="174">
        <v>0</v>
      </c>
      <c r="Q24" s="174">
        <v>47</v>
      </c>
    </row>
    <row r="25" spans="1:17">
      <c r="A25" s="175" t="s">
        <v>3788</v>
      </c>
      <c r="B25" s="174">
        <v>9</v>
      </c>
      <c r="C25" s="174">
        <v>10</v>
      </c>
      <c r="D25" s="174">
        <v>9</v>
      </c>
      <c r="E25" s="174">
        <v>1</v>
      </c>
      <c r="F25" s="174">
        <v>0</v>
      </c>
      <c r="G25" s="174">
        <v>1</v>
      </c>
      <c r="H25" s="174">
        <v>10</v>
      </c>
      <c r="I25" s="174">
        <v>0</v>
      </c>
      <c r="J25" s="174">
        <v>0</v>
      </c>
      <c r="K25" s="174">
        <v>0</v>
      </c>
      <c r="L25" s="174">
        <v>0</v>
      </c>
      <c r="M25" s="174">
        <v>0</v>
      </c>
      <c r="N25" s="174">
        <v>0</v>
      </c>
      <c r="O25" s="174">
        <v>1</v>
      </c>
      <c r="P25" s="174">
        <v>0</v>
      </c>
      <c r="Q25" s="174">
        <v>10</v>
      </c>
    </row>
    <row r="26" spans="1:17">
      <c r="A26" s="175" t="s">
        <v>246</v>
      </c>
      <c r="B26" s="174">
        <v>73</v>
      </c>
      <c r="C26" s="174">
        <v>76</v>
      </c>
      <c r="D26" s="174">
        <v>73</v>
      </c>
      <c r="E26" s="174">
        <v>3</v>
      </c>
      <c r="F26" s="174">
        <v>0</v>
      </c>
      <c r="G26" s="174">
        <v>3</v>
      </c>
      <c r="H26" s="174">
        <v>76</v>
      </c>
      <c r="I26" s="174">
        <v>0</v>
      </c>
      <c r="J26" s="174">
        <v>0</v>
      </c>
      <c r="K26" s="174">
        <v>0</v>
      </c>
      <c r="L26" s="174">
        <v>0</v>
      </c>
      <c r="M26" s="174">
        <v>0</v>
      </c>
      <c r="N26" s="174">
        <v>0</v>
      </c>
      <c r="O26" s="174">
        <v>3</v>
      </c>
      <c r="P26" s="174">
        <v>0</v>
      </c>
      <c r="Q26" s="174">
        <v>76</v>
      </c>
    </row>
    <row r="27" spans="1:17">
      <c r="A27" s="175" t="s">
        <v>247</v>
      </c>
      <c r="B27" s="174">
        <v>13</v>
      </c>
      <c r="C27" s="174">
        <v>16</v>
      </c>
      <c r="D27" s="174">
        <v>13</v>
      </c>
      <c r="E27" s="174">
        <v>3</v>
      </c>
      <c r="F27" s="174">
        <v>0</v>
      </c>
      <c r="G27" s="174">
        <v>3</v>
      </c>
      <c r="H27" s="174">
        <v>16</v>
      </c>
      <c r="I27" s="174">
        <v>0</v>
      </c>
      <c r="J27" s="174">
        <v>0</v>
      </c>
      <c r="K27" s="174">
        <v>0</v>
      </c>
      <c r="L27" s="174">
        <v>0</v>
      </c>
      <c r="M27" s="174">
        <v>0</v>
      </c>
      <c r="N27" s="174">
        <v>0</v>
      </c>
      <c r="O27" s="174">
        <v>3</v>
      </c>
      <c r="P27" s="174">
        <v>0</v>
      </c>
      <c r="Q27" s="174">
        <v>16</v>
      </c>
    </row>
    <row r="28" spans="1:17">
      <c r="A28" s="186" t="s">
        <v>266</v>
      </c>
      <c r="B28" s="174">
        <v>2</v>
      </c>
      <c r="C28" s="174">
        <v>2</v>
      </c>
      <c r="D28" s="174">
        <v>2</v>
      </c>
      <c r="E28" s="174">
        <v>0</v>
      </c>
      <c r="F28" s="174">
        <v>0</v>
      </c>
      <c r="G28" s="174">
        <v>0</v>
      </c>
      <c r="H28" s="174">
        <v>2</v>
      </c>
      <c r="I28" s="174">
        <v>0</v>
      </c>
      <c r="J28" s="174">
        <v>0</v>
      </c>
      <c r="K28" s="174">
        <v>0</v>
      </c>
      <c r="L28" s="174">
        <v>0</v>
      </c>
      <c r="M28" s="174">
        <v>0</v>
      </c>
      <c r="N28" s="174">
        <v>0</v>
      </c>
      <c r="O28" s="174">
        <v>0</v>
      </c>
      <c r="P28" s="174">
        <v>0</v>
      </c>
      <c r="Q28" s="174">
        <v>2</v>
      </c>
    </row>
    <row r="29" spans="1:17" ht="15.75">
      <c r="A29" s="176" t="s">
        <v>3789</v>
      </c>
      <c r="B29" s="177">
        <f t="shared" ref="B29:Q29" si="1">SUM(B19:B28)</f>
        <v>659</v>
      </c>
      <c r="C29" s="177">
        <f t="shared" si="1"/>
        <v>713</v>
      </c>
      <c r="D29" s="177">
        <f t="shared" si="1"/>
        <v>659</v>
      </c>
      <c r="E29" s="177">
        <f t="shared" si="1"/>
        <v>54</v>
      </c>
      <c r="F29" s="177">
        <f t="shared" si="1"/>
        <v>0</v>
      </c>
      <c r="G29" s="177">
        <f t="shared" si="1"/>
        <v>54</v>
      </c>
      <c r="H29" s="177">
        <f t="shared" si="1"/>
        <v>713</v>
      </c>
      <c r="I29" s="177">
        <f t="shared" si="1"/>
        <v>0</v>
      </c>
      <c r="J29" s="177">
        <f t="shared" si="1"/>
        <v>0</v>
      </c>
      <c r="K29" s="177">
        <f t="shared" si="1"/>
        <v>0</v>
      </c>
      <c r="L29" s="177">
        <f t="shared" si="1"/>
        <v>0</v>
      </c>
      <c r="M29" s="177">
        <f t="shared" si="1"/>
        <v>0</v>
      </c>
      <c r="N29" s="177">
        <f t="shared" si="1"/>
        <v>0</v>
      </c>
      <c r="O29" s="177">
        <f t="shared" si="1"/>
        <v>54</v>
      </c>
      <c r="P29" s="177">
        <f t="shared" si="1"/>
        <v>0</v>
      </c>
      <c r="Q29" s="177">
        <f t="shared" si="1"/>
        <v>705</v>
      </c>
    </row>
    <row r="30" spans="1:17">
      <c r="A30" s="175" t="s">
        <v>3790</v>
      </c>
      <c r="B30" s="174">
        <v>1</v>
      </c>
      <c r="C30" s="174">
        <v>1</v>
      </c>
      <c r="D30" s="174">
        <v>1</v>
      </c>
      <c r="E30" s="174">
        <v>0</v>
      </c>
      <c r="F30" s="174">
        <v>0</v>
      </c>
      <c r="G30" s="174">
        <v>0</v>
      </c>
      <c r="H30" s="174">
        <v>1</v>
      </c>
      <c r="I30" s="174">
        <v>0</v>
      </c>
      <c r="J30" s="174">
        <v>0</v>
      </c>
      <c r="K30" s="174">
        <v>0</v>
      </c>
      <c r="L30" s="174">
        <v>0</v>
      </c>
      <c r="M30" s="174">
        <v>0</v>
      </c>
      <c r="N30" s="174">
        <v>0</v>
      </c>
      <c r="O30" s="174">
        <v>0</v>
      </c>
      <c r="P30" s="174">
        <v>0</v>
      </c>
      <c r="Q30" s="174">
        <v>1</v>
      </c>
    </row>
    <row r="31" spans="1:17">
      <c r="A31" s="175" t="s">
        <v>3791</v>
      </c>
      <c r="B31" s="174">
        <v>3</v>
      </c>
      <c r="C31" s="174">
        <v>3</v>
      </c>
      <c r="D31" s="174">
        <v>3</v>
      </c>
      <c r="E31" s="174">
        <v>0</v>
      </c>
      <c r="F31" s="174">
        <v>0</v>
      </c>
      <c r="G31" s="174">
        <v>0</v>
      </c>
      <c r="H31" s="174">
        <v>3</v>
      </c>
      <c r="I31" s="174">
        <v>0</v>
      </c>
      <c r="J31" s="174">
        <v>0</v>
      </c>
      <c r="K31" s="174">
        <v>0</v>
      </c>
      <c r="L31" s="174">
        <v>0</v>
      </c>
      <c r="M31" s="174">
        <v>0</v>
      </c>
      <c r="N31" s="174">
        <v>0</v>
      </c>
      <c r="O31" s="174">
        <v>0</v>
      </c>
      <c r="P31" s="174">
        <v>0</v>
      </c>
      <c r="Q31" s="174">
        <v>3</v>
      </c>
    </row>
    <row r="32" spans="1:17">
      <c r="A32" s="175" t="s">
        <v>602</v>
      </c>
      <c r="B32" s="174">
        <v>8</v>
      </c>
      <c r="C32" s="174">
        <v>8</v>
      </c>
      <c r="D32" s="174">
        <v>8</v>
      </c>
      <c r="E32" s="174">
        <v>0</v>
      </c>
      <c r="F32" s="174">
        <v>0</v>
      </c>
      <c r="G32" s="174">
        <v>0</v>
      </c>
      <c r="H32" s="174">
        <v>8</v>
      </c>
      <c r="I32" s="174">
        <v>0</v>
      </c>
      <c r="J32" s="174">
        <v>0</v>
      </c>
      <c r="K32" s="174">
        <v>0</v>
      </c>
      <c r="L32" s="174">
        <v>0</v>
      </c>
      <c r="M32" s="174">
        <v>0</v>
      </c>
      <c r="N32" s="174">
        <v>0</v>
      </c>
      <c r="O32" s="174">
        <v>0</v>
      </c>
      <c r="P32" s="174">
        <v>0</v>
      </c>
      <c r="Q32" s="174">
        <v>8</v>
      </c>
    </row>
    <row r="33" spans="1:17">
      <c r="A33" s="175" t="s">
        <v>266</v>
      </c>
      <c r="B33" s="174">
        <v>2</v>
      </c>
      <c r="C33" s="174">
        <v>2</v>
      </c>
      <c r="D33" s="174">
        <v>2</v>
      </c>
      <c r="E33" s="174">
        <v>0</v>
      </c>
      <c r="F33" s="174">
        <v>0</v>
      </c>
      <c r="G33" s="174">
        <v>0</v>
      </c>
      <c r="H33" s="174">
        <v>2</v>
      </c>
      <c r="I33" s="174">
        <v>0</v>
      </c>
      <c r="J33" s="174">
        <v>0</v>
      </c>
      <c r="K33" s="174">
        <v>0</v>
      </c>
      <c r="L33" s="174">
        <v>0</v>
      </c>
      <c r="M33" s="174">
        <v>0</v>
      </c>
      <c r="N33" s="174">
        <v>0</v>
      </c>
      <c r="O33" s="174">
        <v>0</v>
      </c>
      <c r="P33" s="174">
        <v>0</v>
      </c>
      <c r="Q33" s="174">
        <v>2</v>
      </c>
    </row>
    <row r="34" spans="1:17">
      <c r="A34" s="175" t="s">
        <v>270</v>
      </c>
      <c r="B34" s="174">
        <v>1</v>
      </c>
      <c r="C34" s="174">
        <v>1</v>
      </c>
      <c r="D34" s="174">
        <v>1</v>
      </c>
      <c r="E34" s="174">
        <v>0</v>
      </c>
      <c r="F34" s="174">
        <v>0</v>
      </c>
      <c r="G34" s="174">
        <v>0</v>
      </c>
      <c r="H34" s="174">
        <v>1</v>
      </c>
      <c r="I34" s="174">
        <v>0</v>
      </c>
      <c r="J34" s="174">
        <v>0</v>
      </c>
      <c r="K34" s="174">
        <v>0</v>
      </c>
      <c r="L34" s="174">
        <v>0</v>
      </c>
      <c r="M34" s="174">
        <v>0</v>
      </c>
      <c r="N34" s="174">
        <v>0</v>
      </c>
      <c r="O34" s="174">
        <v>0</v>
      </c>
      <c r="P34" s="174">
        <v>0</v>
      </c>
      <c r="Q34" s="174">
        <v>1</v>
      </c>
    </row>
    <row r="35" spans="1:17" ht="20.25" customHeight="1">
      <c r="A35" s="175" t="s">
        <v>3792</v>
      </c>
      <c r="B35" s="174">
        <v>26</v>
      </c>
      <c r="C35" s="174">
        <v>26</v>
      </c>
      <c r="D35" s="174">
        <v>26</v>
      </c>
      <c r="E35" s="174">
        <v>0</v>
      </c>
      <c r="F35" s="174">
        <v>0</v>
      </c>
      <c r="G35" s="174">
        <v>0</v>
      </c>
      <c r="H35" s="174">
        <v>26</v>
      </c>
      <c r="I35" s="174">
        <v>0</v>
      </c>
      <c r="J35" s="174">
        <v>0</v>
      </c>
      <c r="K35" s="174">
        <v>0</v>
      </c>
      <c r="L35" s="174">
        <v>0</v>
      </c>
      <c r="M35" s="174">
        <v>0</v>
      </c>
      <c r="N35" s="174">
        <v>0</v>
      </c>
      <c r="O35" s="174">
        <v>0</v>
      </c>
      <c r="P35" s="174">
        <v>0</v>
      </c>
      <c r="Q35" s="174">
        <v>26</v>
      </c>
    </row>
    <row r="36" spans="1:17" ht="20.25" customHeight="1">
      <c r="A36" s="176" t="s">
        <v>3793</v>
      </c>
      <c r="B36" s="177">
        <f t="shared" ref="B36:Q36" si="2">SUM(B30:B35)</f>
        <v>41</v>
      </c>
      <c r="C36" s="177">
        <f t="shared" si="2"/>
        <v>41</v>
      </c>
      <c r="D36" s="177">
        <f t="shared" si="2"/>
        <v>41</v>
      </c>
      <c r="E36" s="177">
        <f t="shared" si="2"/>
        <v>0</v>
      </c>
      <c r="F36" s="177">
        <f t="shared" si="2"/>
        <v>0</v>
      </c>
      <c r="G36" s="177">
        <f t="shared" si="2"/>
        <v>0</v>
      </c>
      <c r="H36" s="177">
        <f t="shared" si="2"/>
        <v>41</v>
      </c>
      <c r="I36" s="177">
        <f t="shared" si="2"/>
        <v>0</v>
      </c>
      <c r="J36" s="177">
        <f t="shared" si="2"/>
        <v>0</v>
      </c>
      <c r="K36" s="177">
        <f t="shared" si="2"/>
        <v>0</v>
      </c>
      <c r="L36" s="177">
        <f t="shared" si="2"/>
        <v>0</v>
      </c>
      <c r="M36" s="177">
        <f t="shared" si="2"/>
        <v>0</v>
      </c>
      <c r="N36" s="177">
        <f t="shared" si="2"/>
        <v>0</v>
      </c>
      <c r="O36" s="177">
        <f t="shared" si="2"/>
        <v>0</v>
      </c>
      <c r="P36" s="177">
        <f t="shared" si="2"/>
        <v>0</v>
      </c>
      <c r="Q36" s="177">
        <f t="shared" si="2"/>
        <v>41</v>
      </c>
    </row>
    <row r="37" spans="1:17" ht="20.25" customHeight="1">
      <c r="A37" s="180" t="s">
        <v>274</v>
      </c>
      <c r="B37" s="177">
        <f t="shared" ref="B37:Q37" si="3">+B18+B29+B36</f>
        <v>2041588</v>
      </c>
      <c r="C37" s="177">
        <f t="shared" si="3"/>
        <v>1943573</v>
      </c>
      <c r="D37" s="177">
        <f t="shared" si="3"/>
        <v>1999017</v>
      </c>
      <c r="E37" s="177">
        <f t="shared" si="3"/>
        <v>2090</v>
      </c>
      <c r="F37" s="177">
        <f t="shared" si="3"/>
        <v>49501</v>
      </c>
      <c r="G37" s="177">
        <f t="shared" si="3"/>
        <v>51591</v>
      </c>
      <c r="H37" s="177">
        <f t="shared" si="3"/>
        <v>1936491</v>
      </c>
      <c r="I37" s="177">
        <f t="shared" si="3"/>
        <v>42571</v>
      </c>
      <c r="J37" s="177">
        <f t="shared" si="3"/>
        <v>7082</v>
      </c>
      <c r="K37" s="177">
        <f t="shared" si="3"/>
        <v>258521</v>
      </c>
      <c r="L37" s="177">
        <f t="shared" si="3"/>
        <v>210480</v>
      </c>
      <c r="M37" s="177">
        <f t="shared" si="3"/>
        <v>46562</v>
      </c>
      <c r="N37" s="177">
        <f t="shared" si="3"/>
        <v>94603</v>
      </c>
      <c r="O37" s="177">
        <f t="shared" si="3"/>
        <v>262071</v>
      </c>
      <c r="P37" s="177">
        <f t="shared" si="3"/>
        <v>6231</v>
      </c>
      <c r="Q37" s="177">
        <f t="shared" si="3"/>
        <v>47403</v>
      </c>
    </row>
  </sheetData>
  <mergeCells count="3">
    <mergeCell ref="P1:Q1"/>
    <mergeCell ref="A2:Q2"/>
    <mergeCell ref="A3:A4"/>
  </mergeCells>
  <pageMargins left="0.16" right="0.16" top="0.51" bottom="0.23" header="0.41" footer="0.16"/>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A1:O68"/>
  <sheetViews>
    <sheetView view="pageBreakPreview" topLeftCell="A37" zoomScale="80" zoomScaleSheetLayoutView="80" workbookViewId="0">
      <selection activeCell="J75" sqref="J75"/>
    </sheetView>
  </sheetViews>
  <sheetFormatPr defaultColWidth="14.7109375" defaultRowHeight="15"/>
  <cols>
    <col min="1" max="1" width="6.28515625" style="308" customWidth="1"/>
    <col min="2" max="2" width="29.140625" style="308" customWidth="1"/>
    <col min="3" max="9" width="10.85546875" style="308" customWidth="1"/>
    <col min="10" max="10" width="13" style="308" customWidth="1"/>
    <col min="11" max="11" width="11.5703125" style="308" customWidth="1"/>
    <col min="12" max="12" width="13.7109375" style="308" customWidth="1"/>
    <col min="13" max="13" width="12.85546875" style="308" customWidth="1"/>
    <col min="14" max="16384" width="14.7109375" style="308"/>
  </cols>
  <sheetData>
    <row r="1" spans="1:14" ht="26.25" customHeight="1">
      <c r="A1" s="343" t="s">
        <v>209</v>
      </c>
      <c r="E1" s="338"/>
      <c r="L1" s="311" t="s">
        <v>210</v>
      </c>
      <c r="M1" s="330" t="s">
        <v>341</v>
      </c>
    </row>
    <row r="2" spans="1:14" ht="27.75" customHeight="1">
      <c r="A2" s="2492" t="s">
        <v>342</v>
      </c>
      <c r="B2" s="2492"/>
      <c r="C2" s="2492"/>
      <c r="D2" s="2492"/>
      <c r="E2" s="2492"/>
      <c r="F2" s="2492"/>
      <c r="G2" s="2492"/>
      <c r="H2" s="2492"/>
      <c r="I2" s="2492"/>
      <c r="J2" s="2492"/>
      <c r="K2" s="2492"/>
      <c r="L2" s="2492"/>
      <c r="M2" s="2492"/>
    </row>
    <row r="3" spans="1:14" ht="24.75" customHeight="1">
      <c r="E3" s="338"/>
      <c r="F3" s="338"/>
      <c r="G3" s="338"/>
      <c r="H3" s="338"/>
      <c r="I3" s="338"/>
    </row>
    <row r="4" spans="1:14" s="379" customFormat="1" ht="22.5" customHeight="1">
      <c r="A4" s="2493" t="s">
        <v>343</v>
      </c>
      <c r="B4" s="2495"/>
      <c r="C4" s="2496" t="s">
        <v>344</v>
      </c>
      <c r="D4" s="2488" t="s">
        <v>345</v>
      </c>
      <c r="E4" s="2488"/>
      <c r="F4" s="2488"/>
      <c r="G4" s="2488"/>
      <c r="H4" s="2488"/>
      <c r="I4" s="2488"/>
      <c r="J4" s="2488"/>
      <c r="K4" s="2488"/>
      <c r="L4" s="2488"/>
      <c r="M4" s="2497" t="s">
        <v>346</v>
      </c>
    </row>
    <row r="5" spans="1:14" s="155" customFormat="1" ht="47.25" customHeight="1">
      <c r="A5" s="2494"/>
      <c r="B5" s="2495"/>
      <c r="C5" s="2496"/>
      <c r="D5" s="163" t="s">
        <v>347</v>
      </c>
      <c r="E5" s="163" t="s">
        <v>348</v>
      </c>
      <c r="F5" s="163" t="s">
        <v>349</v>
      </c>
      <c r="G5" s="163" t="s">
        <v>350</v>
      </c>
      <c r="H5" s="163" t="s">
        <v>351</v>
      </c>
      <c r="I5" s="163" t="s">
        <v>352</v>
      </c>
      <c r="J5" s="162" t="s">
        <v>353</v>
      </c>
      <c r="K5" s="162" t="s">
        <v>354</v>
      </c>
      <c r="L5" s="1676" t="s">
        <v>355</v>
      </c>
      <c r="M5" s="2497"/>
    </row>
    <row r="6" spans="1:14" s="151" customFormat="1" ht="30.75" customHeight="1">
      <c r="A6" s="158"/>
      <c r="B6" s="161" t="s">
        <v>356</v>
      </c>
      <c r="C6" s="1135">
        <f>'T-1'!F62</f>
        <v>6473.3230000000003</v>
      </c>
      <c r="D6" s="157">
        <v>623.923</v>
      </c>
      <c r="E6" s="157">
        <v>639.78899999999999</v>
      </c>
      <c r="F6" s="157">
        <v>641.24900000000002</v>
      </c>
      <c r="G6" s="157">
        <v>665.74199999999996</v>
      </c>
      <c r="H6" s="157">
        <v>647.54</v>
      </c>
      <c r="I6" s="157">
        <v>624.58000000000015</v>
      </c>
      <c r="J6" s="153">
        <f>SUM(D6:I6)</f>
        <v>3842.8230000000003</v>
      </c>
      <c r="K6" s="156">
        <f>+J6/6</f>
        <v>640.47050000000002</v>
      </c>
      <c r="L6" s="1136">
        <f>+'[18]T-1'!K62</f>
        <v>7717.8639999999996</v>
      </c>
      <c r="M6" s="1137">
        <f>+'[18]T-1'!O62</f>
        <v>8161.085</v>
      </c>
      <c r="N6" s="1138"/>
    </row>
    <row r="7" spans="1:14" s="151" customFormat="1" ht="21.95" customHeight="1">
      <c r="A7" s="158"/>
      <c r="B7" s="160"/>
      <c r="C7" s="159"/>
      <c r="D7" s="157"/>
      <c r="E7" s="157"/>
      <c r="F7" s="157"/>
      <c r="G7" s="157"/>
      <c r="H7" s="157"/>
      <c r="I7" s="157"/>
      <c r="J7" s="153"/>
      <c r="K7" s="156"/>
      <c r="L7" s="157"/>
      <c r="M7" s="156"/>
    </row>
    <row r="8" spans="1:14" s="151" customFormat="1" ht="26.25" customHeight="1">
      <c r="A8" s="158"/>
      <c r="B8" s="154" t="s">
        <v>357</v>
      </c>
      <c r="C8" s="152"/>
      <c r="D8" s="157"/>
      <c r="E8" s="157"/>
      <c r="F8" s="157"/>
      <c r="G8" s="157"/>
      <c r="H8" s="157"/>
      <c r="I8" s="157"/>
      <c r="J8" s="153"/>
      <c r="K8" s="156"/>
      <c r="L8" s="157"/>
      <c r="M8" s="156"/>
    </row>
    <row r="9" spans="1:14" s="151" customFormat="1" ht="26.25" customHeight="1">
      <c r="A9" s="320">
        <v>1</v>
      </c>
      <c r="B9" s="319" t="s">
        <v>231</v>
      </c>
      <c r="C9" s="152"/>
      <c r="D9" s="157"/>
      <c r="E9" s="157"/>
      <c r="F9" s="157"/>
      <c r="G9" s="157"/>
      <c r="H9" s="157"/>
      <c r="I9" s="157"/>
      <c r="J9" s="153"/>
      <c r="K9" s="156"/>
      <c r="L9" s="157"/>
      <c r="M9" s="156"/>
    </row>
    <row r="10" spans="1:14" s="151" customFormat="1" ht="26.25" customHeight="1">
      <c r="A10" s="320"/>
      <c r="B10" s="320" t="s">
        <v>233</v>
      </c>
      <c r="C10" s="152">
        <f>'T-1'!F9</f>
        <v>5.9350000000000005</v>
      </c>
      <c r="D10" s="157">
        <v>0.46200000000000008</v>
      </c>
      <c r="E10" s="157">
        <v>0.38600000000000012</v>
      </c>
      <c r="F10" s="157">
        <v>0.33900000000000008</v>
      </c>
      <c r="G10" s="157">
        <v>0.29200000000000004</v>
      </c>
      <c r="H10" s="157">
        <v>0.28900000000000003</v>
      </c>
      <c r="I10" s="157">
        <v>0.254</v>
      </c>
      <c r="J10" s="153">
        <f t="shared" ref="J10:J15" si="0">SUM(D10:I10)</f>
        <v>2.0220000000000002</v>
      </c>
      <c r="K10" s="156">
        <f t="shared" ref="K10:K29" si="1">+J10/6</f>
        <v>0.33700000000000002</v>
      </c>
      <c r="L10" s="157">
        <f>+'[18]T-1'!K9</f>
        <v>5.0599999999999996</v>
      </c>
      <c r="M10" s="156">
        <f>+'[18]T-1'!O9</f>
        <v>5.468</v>
      </c>
    </row>
    <row r="11" spans="1:14" s="151" customFormat="1" ht="26.25" customHeight="1">
      <c r="A11" s="320"/>
      <c r="B11" s="320" t="s">
        <v>234</v>
      </c>
      <c r="C11" s="152">
        <f>'T-1'!F10</f>
        <v>1441.4240000000002</v>
      </c>
      <c r="D11" s="157">
        <v>132.75100000000003</v>
      </c>
      <c r="E11" s="157">
        <v>138.114</v>
      </c>
      <c r="F11" s="157">
        <v>177.58799999999999</v>
      </c>
      <c r="G11" s="157">
        <v>165.25999999999996</v>
      </c>
      <c r="H11" s="157">
        <v>162.56600000000003</v>
      </c>
      <c r="I11" s="157">
        <v>165.39099999999999</v>
      </c>
      <c r="J11" s="153">
        <f t="shared" si="0"/>
        <v>941.67</v>
      </c>
      <c r="K11" s="156">
        <f t="shared" si="1"/>
        <v>156.94499999999999</v>
      </c>
      <c r="L11" s="157">
        <f>+'[18]T-1'!K10</f>
        <v>1660.7170000000001</v>
      </c>
      <c r="M11" s="156">
        <f>+'[18]T-1'!O10</f>
        <v>1710.049</v>
      </c>
    </row>
    <row r="12" spans="1:14" s="151" customFormat="1" ht="26.25" customHeight="1">
      <c r="A12" s="320"/>
      <c r="B12" s="320" t="s">
        <v>235</v>
      </c>
      <c r="C12" s="152">
        <f>'T-1'!F11</f>
        <v>664.18200000000013</v>
      </c>
      <c r="D12" s="157">
        <v>64.650999999999996</v>
      </c>
      <c r="E12" s="157">
        <v>69.98</v>
      </c>
      <c r="F12" s="157">
        <v>68.123000000000005</v>
      </c>
      <c r="G12" s="157">
        <v>69.769000000000005</v>
      </c>
      <c r="H12" s="157">
        <v>68.599000000000004</v>
      </c>
      <c r="I12" s="157">
        <v>67.825000000000003</v>
      </c>
      <c r="J12" s="153">
        <f t="shared" si="0"/>
        <v>408.947</v>
      </c>
      <c r="K12" s="156">
        <f t="shared" si="1"/>
        <v>68.157833333333329</v>
      </c>
      <c r="L12" s="157">
        <f>+'[18]T-1'!K11</f>
        <v>721.21362579141305</v>
      </c>
      <c r="M12" s="156">
        <f>+'[18]T-1'!O11</f>
        <v>742.63745091486396</v>
      </c>
    </row>
    <row r="13" spans="1:14" s="151" customFormat="1" ht="26.25" customHeight="1">
      <c r="A13" s="320"/>
      <c r="B13" s="320" t="s">
        <v>236</v>
      </c>
      <c r="C13" s="152">
        <f>'T-1'!F12</f>
        <v>632.55900000000008</v>
      </c>
      <c r="D13" s="157">
        <v>50.988999999999997</v>
      </c>
      <c r="E13" s="157">
        <v>51.13</v>
      </c>
      <c r="F13" s="157">
        <v>76.887</v>
      </c>
      <c r="G13" s="157">
        <v>65.965999999999994</v>
      </c>
      <c r="H13" s="157">
        <v>64.89</v>
      </c>
      <c r="I13" s="157">
        <v>66.018000000000001</v>
      </c>
      <c r="J13" s="153">
        <f t="shared" si="0"/>
        <v>375.88</v>
      </c>
      <c r="K13" s="156">
        <f t="shared" si="1"/>
        <v>62.646666666666668</v>
      </c>
      <c r="L13" s="157">
        <f>+'[18]T-1'!K12</f>
        <v>662.8970934191384</v>
      </c>
      <c r="M13" s="156">
        <f>+'[18]T-1'!O12</f>
        <v>682.58861184916157</v>
      </c>
    </row>
    <row r="14" spans="1:14" s="151" customFormat="1" ht="26.25" customHeight="1">
      <c r="A14" s="320"/>
      <c r="B14" s="320" t="s">
        <v>237</v>
      </c>
      <c r="C14" s="152">
        <f>'T-1'!F13</f>
        <v>94.992999999999995</v>
      </c>
      <c r="D14" s="157">
        <v>14.164</v>
      </c>
      <c r="E14" s="157">
        <v>14.817</v>
      </c>
      <c r="F14" s="157">
        <v>21.623000000000001</v>
      </c>
      <c r="G14" s="157">
        <v>20.122</v>
      </c>
      <c r="H14" s="157">
        <v>21.794</v>
      </c>
      <c r="I14" s="157">
        <v>22.135999999999999</v>
      </c>
      <c r="J14" s="153">
        <f t="shared" si="0"/>
        <v>114.65599999999999</v>
      </c>
      <c r="K14" s="156">
        <f t="shared" si="1"/>
        <v>19.109333333333332</v>
      </c>
      <c r="L14" s="157">
        <f>+'[18]T-1'!K13</f>
        <v>202.20583468943477</v>
      </c>
      <c r="M14" s="156">
        <f>+'[18]T-1'!O13</f>
        <v>208.21240789660922</v>
      </c>
    </row>
    <row r="15" spans="1:14" s="151" customFormat="1" ht="26.25" customHeight="1">
      <c r="A15" s="320"/>
      <c r="B15" s="320" t="s">
        <v>238</v>
      </c>
      <c r="C15" s="152">
        <f>'T-1'!F14</f>
        <v>49.690000000000005</v>
      </c>
      <c r="D15" s="157">
        <v>2.9470000000000596</v>
      </c>
      <c r="E15" s="157">
        <v>2.1869999999999834</v>
      </c>
      <c r="F15" s="157">
        <v>10.955000000000013</v>
      </c>
      <c r="G15" s="157">
        <v>9.4029999999999347</v>
      </c>
      <c r="H15" s="157">
        <v>7.2830000000000155</v>
      </c>
      <c r="I15" s="157">
        <v>9.4119999999999777</v>
      </c>
      <c r="J15" s="153">
        <f t="shared" si="0"/>
        <v>42.186999999999983</v>
      </c>
      <c r="K15" s="156">
        <f t="shared" si="1"/>
        <v>7.0311666666666639</v>
      </c>
      <c r="L15" s="157">
        <f>+'[18]T-1'!K14</f>
        <v>74.400446100013809</v>
      </c>
      <c r="M15" s="156">
        <f>+'[18]T-1'!O14</f>
        <v>76.610529339365158</v>
      </c>
    </row>
    <row r="16" spans="1:14" s="151" customFormat="1" ht="26.25" customHeight="1">
      <c r="A16" s="320"/>
      <c r="B16" s="332" t="s">
        <v>239</v>
      </c>
      <c r="C16" s="153">
        <f t="shared" ref="C16:J16" si="2">+C10+C11</f>
        <v>1447.3590000000002</v>
      </c>
      <c r="D16" s="153">
        <f t="shared" si="2"/>
        <v>133.21300000000002</v>
      </c>
      <c r="E16" s="153">
        <f t="shared" si="2"/>
        <v>138.5</v>
      </c>
      <c r="F16" s="153">
        <f t="shared" si="2"/>
        <v>177.92699999999999</v>
      </c>
      <c r="G16" s="153">
        <f t="shared" si="2"/>
        <v>165.55199999999996</v>
      </c>
      <c r="H16" s="153">
        <f t="shared" si="2"/>
        <v>162.85500000000002</v>
      </c>
      <c r="I16" s="153">
        <f t="shared" si="2"/>
        <v>165.64499999999998</v>
      </c>
      <c r="J16" s="153">
        <f t="shared" si="2"/>
        <v>943.69200000000001</v>
      </c>
      <c r="K16" s="152">
        <f t="shared" si="1"/>
        <v>157.28200000000001</v>
      </c>
      <c r="L16" s="153">
        <f>+L10+L11</f>
        <v>1665.777</v>
      </c>
      <c r="M16" s="153">
        <f>+M10+M11</f>
        <v>1715.5170000000001</v>
      </c>
    </row>
    <row r="17" spans="1:15" s="151" customFormat="1" ht="26.25" customHeight="1">
      <c r="A17" s="320">
        <v>2</v>
      </c>
      <c r="B17" s="319" t="s">
        <v>241</v>
      </c>
      <c r="C17" s="152">
        <f>'T-1'!F16</f>
        <v>385.149</v>
      </c>
      <c r="D17" s="157">
        <v>33.858999999999995</v>
      </c>
      <c r="E17" s="157">
        <v>38.137</v>
      </c>
      <c r="F17" s="157">
        <v>41.193999999999996</v>
      </c>
      <c r="G17" s="157">
        <v>40.135999999999996</v>
      </c>
      <c r="H17" s="157">
        <v>39.997</v>
      </c>
      <c r="I17" s="157">
        <v>40.430999999999997</v>
      </c>
      <c r="J17" s="153">
        <f>SUM(D17:I17)</f>
        <v>233.75399999999996</v>
      </c>
      <c r="K17" s="156">
        <f t="shared" si="1"/>
        <v>38.958999999999996</v>
      </c>
      <c r="L17" s="157">
        <f>+'[18]T-1'!K16</f>
        <v>465.07799999999997</v>
      </c>
      <c r="M17" s="156">
        <f>+'[18]T-1'!O16</f>
        <v>515.88699999999994</v>
      </c>
    </row>
    <row r="18" spans="1:15" s="151" customFormat="1" ht="26.25" customHeight="1">
      <c r="A18" s="320"/>
      <c r="B18" s="320" t="s">
        <v>242</v>
      </c>
      <c r="C18" s="152">
        <f>'T-1'!F17</f>
        <v>113.488</v>
      </c>
      <c r="D18" s="157">
        <v>7.9240000000000004</v>
      </c>
      <c r="E18" s="157">
        <v>8.4870000000000001</v>
      </c>
      <c r="F18" s="157">
        <v>9.1760000000000002</v>
      </c>
      <c r="G18" s="157">
        <v>9.1370000000000005</v>
      </c>
      <c r="H18" s="157">
        <v>8.9060000000000006</v>
      </c>
      <c r="I18" s="157">
        <v>9.0039999999999996</v>
      </c>
      <c r="J18" s="153">
        <f>SUM(D18:I18)</f>
        <v>52.634</v>
      </c>
      <c r="K18" s="156">
        <f t="shared" si="1"/>
        <v>8.772333333333334</v>
      </c>
      <c r="L18" s="157">
        <f>+'[18]T-1'!K17</f>
        <v>104.72084093534227</v>
      </c>
      <c r="M18" s="156">
        <f>+'[18]T-1'!O17</f>
        <v>116.16141909015458</v>
      </c>
    </row>
    <row r="19" spans="1:15" s="151" customFormat="1" ht="26.25" customHeight="1">
      <c r="A19" s="320"/>
      <c r="B19" s="320" t="s">
        <v>243</v>
      </c>
      <c r="C19" s="152">
        <f>'T-1'!F18</f>
        <v>106.56800000000001</v>
      </c>
      <c r="D19" s="157">
        <v>6.4749999999999996</v>
      </c>
      <c r="E19" s="157">
        <v>7.2809999999999997</v>
      </c>
      <c r="F19" s="157">
        <v>7.8559999999999999</v>
      </c>
      <c r="G19" s="157">
        <v>7.4569999999999999</v>
      </c>
      <c r="H19" s="157">
        <v>7.431</v>
      </c>
      <c r="I19" s="157">
        <v>7.5119999999999996</v>
      </c>
      <c r="J19" s="153">
        <f>SUM(D19:I19)</f>
        <v>44.012</v>
      </c>
      <c r="K19" s="156">
        <f t="shared" si="1"/>
        <v>7.3353333333333337</v>
      </c>
      <c r="L19" s="157">
        <f>+'[18]T-1'!K18</f>
        <v>87.566471315998868</v>
      </c>
      <c r="M19" s="156">
        <f>+'[18]T-1'!O18</f>
        <v>97.132963046621654</v>
      </c>
    </row>
    <row r="20" spans="1:15" s="151" customFormat="1" ht="26.25" customHeight="1">
      <c r="A20" s="320"/>
      <c r="B20" s="320" t="s">
        <v>244</v>
      </c>
      <c r="C20" s="152">
        <f>'T-1'!F19</f>
        <v>165.09299999999999</v>
      </c>
      <c r="D20" s="157">
        <v>19.459999999999994</v>
      </c>
      <c r="E20" s="157">
        <v>22.369</v>
      </c>
      <c r="F20" s="157">
        <v>24.161999999999995</v>
      </c>
      <c r="G20" s="157">
        <v>23.541999999999994</v>
      </c>
      <c r="H20" s="157">
        <v>23.66</v>
      </c>
      <c r="I20" s="157">
        <v>23.914999999999999</v>
      </c>
      <c r="J20" s="153">
        <f>SUM(D20:I20)</f>
        <v>137.10799999999998</v>
      </c>
      <c r="K20" s="156">
        <f t="shared" si="1"/>
        <v>22.851333333333329</v>
      </c>
      <c r="L20" s="157">
        <f>+'[18]T-1'!K19</f>
        <v>272.7906877486588</v>
      </c>
      <c r="M20" s="156">
        <f>+'[18]T-1'!O19</f>
        <v>302.59261786322367</v>
      </c>
    </row>
    <row r="21" spans="1:15" s="151" customFormat="1" ht="26.25" customHeight="1">
      <c r="A21" s="320"/>
      <c r="B21" s="332" t="s">
        <v>239</v>
      </c>
      <c r="C21" s="153">
        <f t="shared" ref="C21:J21" si="3">+C17</f>
        <v>385.149</v>
      </c>
      <c r="D21" s="153">
        <f t="shared" si="3"/>
        <v>33.858999999999995</v>
      </c>
      <c r="E21" s="153">
        <f t="shared" si="3"/>
        <v>38.137</v>
      </c>
      <c r="F21" s="153">
        <f t="shared" si="3"/>
        <v>41.193999999999996</v>
      </c>
      <c r="G21" s="153">
        <f t="shared" si="3"/>
        <v>40.135999999999996</v>
      </c>
      <c r="H21" s="153">
        <f t="shared" si="3"/>
        <v>39.997</v>
      </c>
      <c r="I21" s="153">
        <f t="shared" si="3"/>
        <v>40.430999999999997</v>
      </c>
      <c r="J21" s="153">
        <f t="shared" si="3"/>
        <v>233.75399999999996</v>
      </c>
      <c r="K21" s="152">
        <f t="shared" si="1"/>
        <v>38.958999999999996</v>
      </c>
      <c r="L21" s="153">
        <f>+L17</f>
        <v>465.07799999999997</v>
      </c>
      <c r="M21" s="153">
        <f>+M17</f>
        <v>515.88699999999994</v>
      </c>
    </row>
    <row r="22" spans="1:15" s="151" customFormat="1" ht="26.25" customHeight="1">
      <c r="A22" s="320">
        <v>3</v>
      </c>
      <c r="B22" s="319" t="s">
        <v>245</v>
      </c>
      <c r="C22" s="152">
        <f>'T-1'!F21</f>
        <v>84.522999999999996</v>
      </c>
      <c r="D22" s="157">
        <v>8.9529999999999994</v>
      </c>
      <c r="E22" s="1764">
        <v>4.4050000000000002</v>
      </c>
      <c r="F22" s="1764">
        <v>1.256</v>
      </c>
      <c r="G22" s="1764">
        <v>5.0579999999999998</v>
      </c>
      <c r="H22" s="1764">
        <v>5.894000000000001</v>
      </c>
      <c r="I22" s="157">
        <v>5.5429999999999993</v>
      </c>
      <c r="J22" s="153">
        <f t="shared" ref="J22:J29" si="4">SUM(D22:I22)</f>
        <v>31.109000000000002</v>
      </c>
      <c r="K22" s="156">
        <f t="shared" si="1"/>
        <v>5.1848333333333336</v>
      </c>
      <c r="L22" s="157">
        <f>+'[18]T-1'!K21</f>
        <v>86.043000000000006</v>
      </c>
      <c r="M22" s="156">
        <f>+'[18]T-1'!O21</f>
        <v>133.52500000000001</v>
      </c>
      <c r="O22" s="1158"/>
    </row>
    <row r="23" spans="1:15" s="151" customFormat="1" ht="26.25" customHeight="1">
      <c r="A23" s="320">
        <f t="shared" ref="A23:A32" si="5">A22+1</f>
        <v>4</v>
      </c>
      <c r="B23" s="319" t="s">
        <v>246</v>
      </c>
      <c r="C23" s="152">
        <f>'T-1'!F22</f>
        <v>38.568999999999996</v>
      </c>
      <c r="D23" s="157">
        <v>3.5779999999999998</v>
      </c>
      <c r="E23" s="1764">
        <v>6.3109999999999999</v>
      </c>
      <c r="F23" s="1764">
        <v>2.6769999999999996</v>
      </c>
      <c r="G23" s="1764">
        <v>6.5279999999999996</v>
      </c>
      <c r="H23" s="1764">
        <v>4.2619999999999996</v>
      </c>
      <c r="I23" s="157">
        <v>4.3689999999999998</v>
      </c>
      <c r="J23" s="153">
        <f t="shared" si="4"/>
        <v>27.724999999999998</v>
      </c>
      <c r="K23" s="156">
        <f t="shared" si="1"/>
        <v>4.6208333333333327</v>
      </c>
      <c r="L23" s="157">
        <f>+'[18]T-1'!K22</f>
        <v>60.427999999999997</v>
      </c>
      <c r="M23" s="156">
        <f>+'[18]T-1'!O22</f>
        <v>81.510000000000005</v>
      </c>
      <c r="O23" s="1158"/>
    </row>
    <row r="24" spans="1:15" s="151" customFormat="1" ht="26.25" customHeight="1">
      <c r="A24" s="320">
        <f t="shared" si="5"/>
        <v>5</v>
      </c>
      <c r="B24" s="319" t="s">
        <v>247</v>
      </c>
      <c r="C24" s="152">
        <f>'T-1'!F23</f>
        <v>0.97000000000000031</v>
      </c>
      <c r="D24" s="157">
        <v>8.5999999999999993E-2</v>
      </c>
      <c r="E24" s="157">
        <v>0.11600000000000001</v>
      </c>
      <c r="F24" s="157">
        <v>0.14000000000000001</v>
      </c>
      <c r="G24" s="157">
        <v>0.15400000000000003</v>
      </c>
      <c r="H24" s="157">
        <v>0.16200000000000001</v>
      </c>
      <c r="I24" s="157">
        <v>0.15</v>
      </c>
      <c r="J24" s="153">
        <f t="shared" si="4"/>
        <v>0.80800000000000005</v>
      </c>
      <c r="K24" s="156">
        <f t="shared" si="1"/>
        <v>0.13466666666666668</v>
      </c>
      <c r="L24" s="157">
        <f>+'[18]T-1'!K23</f>
        <v>1.734</v>
      </c>
      <c r="M24" s="156">
        <f>+'[18]T-1'!O23</f>
        <v>2.0659999999999998</v>
      </c>
      <c r="O24" s="1158"/>
    </row>
    <row r="25" spans="1:15" s="151" customFormat="1" ht="26.25" customHeight="1">
      <c r="A25" s="320">
        <f t="shared" si="5"/>
        <v>6</v>
      </c>
      <c r="B25" s="319" t="s">
        <v>248</v>
      </c>
      <c r="C25" s="152">
        <f>'T-1'!F24</f>
        <v>23.964000000000002</v>
      </c>
      <c r="D25" s="157">
        <v>2.1500000000000004</v>
      </c>
      <c r="E25" s="157">
        <v>2.294</v>
      </c>
      <c r="F25" s="157">
        <v>2.242</v>
      </c>
      <c r="G25" s="157">
        <v>2.2190000000000003</v>
      </c>
      <c r="H25" s="157">
        <v>2.649</v>
      </c>
      <c r="I25" s="157">
        <v>3.0090000000000003</v>
      </c>
      <c r="J25" s="153">
        <f t="shared" si="4"/>
        <v>14.563000000000002</v>
      </c>
      <c r="K25" s="156">
        <f t="shared" si="1"/>
        <v>2.4271666666666669</v>
      </c>
      <c r="L25" s="157">
        <f>+'[18]T-1'!K24</f>
        <v>29.614000000000001</v>
      </c>
      <c r="M25" s="156">
        <f>+'[18]T-1'!O24</f>
        <v>36.634</v>
      </c>
      <c r="O25" s="1158"/>
    </row>
    <row r="26" spans="1:15" s="151" customFormat="1" ht="26.25" customHeight="1">
      <c r="A26" s="320">
        <f t="shared" si="5"/>
        <v>7</v>
      </c>
      <c r="B26" s="319" t="s">
        <v>249</v>
      </c>
      <c r="C26" s="152">
        <f>'T-1'!F25</f>
        <v>19.751000000000001</v>
      </c>
      <c r="D26" s="157">
        <v>1.923</v>
      </c>
      <c r="E26" s="157">
        <v>1.8440000000000001</v>
      </c>
      <c r="F26" s="157">
        <v>1.7220000000000002</v>
      </c>
      <c r="G26" s="157">
        <v>1.653</v>
      </c>
      <c r="H26" s="157">
        <v>1.4</v>
      </c>
      <c r="I26" s="157">
        <v>1.1879999999999999</v>
      </c>
      <c r="J26" s="153">
        <f t="shared" si="4"/>
        <v>9.7300000000000022</v>
      </c>
      <c r="K26" s="156">
        <f t="shared" si="1"/>
        <v>1.621666666666667</v>
      </c>
      <c r="L26" s="157">
        <f>+'[18]T-1'!K25</f>
        <v>22.155999999999999</v>
      </c>
      <c r="M26" s="156">
        <f>+'[18]T-1'!O25</f>
        <v>22.963999999999999</v>
      </c>
    </row>
    <row r="27" spans="1:15" s="151" customFormat="1" ht="26.25" customHeight="1">
      <c r="A27" s="320">
        <f t="shared" si="5"/>
        <v>8</v>
      </c>
      <c r="B27" s="319" t="s">
        <v>250</v>
      </c>
      <c r="C27" s="152">
        <f>'T-1'!F26</f>
        <v>37.713000000000001</v>
      </c>
      <c r="D27" s="157">
        <v>3.1959999999999997</v>
      </c>
      <c r="E27" s="157">
        <v>3.3929999999999998</v>
      </c>
      <c r="F27" s="157">
        <v>3.5450000000000004</v>
      </c>
      <c r="G27" s="157">
        <v>4.0200000000000005</v>
      </c>
      <c r="H27" s="157">
        <v>3.452</v>
      </c>
      <c r="I27" s="157">
        <v>3.3290000000000002</v>
      </c>
      <c r="J27" s="153">
        <f t="shared" si="4"/>
        <v>20.935000000000002</v>
      </c>
      <c r="K27" s="156">
        <f t="shared" si="1"/>
        <v>3.4891666666666672</v>
      </c>
      <c r="L27" s="157">
        <f>+'[18]T-1'!K26</f>
        <v>42.741999999999997</v>
      </c>
      <c r="M27" s="156">
        <f>+'[18]T-1'!O26</f>
        <v>45.781999999999996</v>
      </c>
    </row>
    <row r="28" spans="1:15" s="151" customFormat="1" ht="26.25" customHeight="1">
      <c r="A28" s="320">
        <f t="shared" si="5"/>
        <v>9</v>
      </c>
      <c r="B28" s="319" t="s">
        <v>251</v>
      </c>
      <c r="C28" s="152">
        <f>'T-1'!F27</f>
        <v>41.929000000000002</v>
      </c>
      <c r="D28" s="157">
        <v>3.661999999999999</v>
      </c>
      <c r="E28" s="157">
        <v>3.4119999999999999</v>
      </c>
      <c r="F28" s="157">
        <v>2.6959999999999997</v>
      </c>
      <c r="G28" s="157">
        <v>3.1160000000000001</v>
      </c>
      <c r="H28" s="157">
        <v>4.1909999999999998</v>
      </c>
      <c r="I28" s="157">
        <v>4.6460000000000008</v>
      </c>
      <c r="J28" s="153">
        <f t="shared" si="4"/>
        <v>21.722999999999999</v>
      </c>
      <c r="K28" s="156">
        <f t="shared" si="1"/>
        <v>3.6204999999999998</v>
      </c>
      <c r="L28" s="157">
        <f>+'[18]T-1'!K27</f>
        <v>49.100999999999999</v>
      </c>
      <c r="M28" s="156">
        <f>+'[18]T-1'!O27</f>
        <v>58.494999999999997</v>
      </c>
    </row>
    <row r="29" spans="1:15" s="151" customFormat="1" ht="26.25" customHeight="1">
      <c r="A29" s="320">
        <f t="shared" si="5"/>
        <v>10</v>
      </c>
      <c r="B29" s="319" t="s">
        <v>252</v>
      </c>
      <c r="C29" s="152">
        <f>'T-1'!F28</f>
        <v>52.777000000000001</v>
      </c>
      <c r="D29" s="157">
        <v>4.6999999999999993</v>
      </c>
      <c r="E29" s="157">
        <v>5.0020000000000007</v>
      </c>
      <c r="F29" s="157">
        <v>5.0659999999999998</v>
      </c>
      <c r="G29" s="157">
        <v>5.3390000000000004</v>
      </c>
      <c r="H29" s="157">
        <v>4.91</v>
      </c>
      <c r="I29" s="157">
        <v>4.7330000000000005</v>
      </c>
      <c r="J29" s="153">
        <f t="shared" si="4"/>
        <v>29.75</v>
      </c>
      <c r="K29" s="156">
        <f t="shared" si="1"/>
        <v>4.958333333333333</v>
      </c>
      <c r="L29" s="157">
        <f>+'[18]T-1'!K28</f>
        <v>60.904000000000003</v>
      </c>
      <c r="M29" s="156">
        <f>+'[18]T-1'!O28</f>
        <v>66.402000000000001</v>
      </c>
    </row>
    <row r="30" spans="1:15" s="151" customFormat="1" ht="26.25" customHeight="1">
      <c r="A30" s="320">
        <f t="shared" si="5"/>
        <v>11</v>
      </c>
      <c r="B30" s="319" t="s">
        <v>253</v>
      </c>
      <c r="C30" s="152"/>
      <c r="D30" s="157"/>
      <c r="E30" s="157"/>
      <c r="F30" s="157"/>
      <c r="G30" s="157"/>
      <c r="H30" s="157"/>
      <c r="I30" s="157"/>
      <c r="J30" s="153"/>
      <c r="K30" s="156"/>
      <c r="L30" s="157"/>
      <c r="M30" s="156"/>
    </row>
    <row r="31" spans="1:15" s="151" customFormat="1" ht="26.25" customHeight="1">
      <c r="A31" s="320">
        <f t="shared" si="5"/>
        <v>12</v>
      </c>
      <c r="B31" s="319" t="s">
        <v>254</v>
      </c>
      <c r="C31" s="152"/>
      <c r="D31" s="157"/>
      <c r="E31" s="157"/>
      <c r="F31" s="157"/>
      <c r="G31" s="157"/>
      <c r="H31" s="157"/>
      <c r="I31" s="157"/>
      <c r="J31" s="153"/>
      <c r="K31" s="156"/>
      <c r="L31" s="157"/>
      <c r="M31" s="156"/>
    </row>
    <row r="32" spans="1:15" s="151" customFormat="1" ht="26.25" customHeight="1">
      <c r="A32" s="320">
        <f t="shared" si="5"/>
        <v>13</v>
      </c>
      <c r="B32" s="319" t="s">
        <v>255</v>
      </c>
      <c r="C32" s="152"/>
      <c r="D32" s="157"/>
      <c r="E32" s="157"/>
      <c r="F32" s="157"/>
      <c r="G32" s="157"/>
      <c r="H32" s="157"/>
      <c r="I32" s="157"/>
      <c r="J32" s="153"/>
      <c r="K32" s="156"/>
      <c r="L32" s="157"/>
      <c r="M32" s="156"/>
    </row>
    <row r="33" spans="1:13" s="151" customFormat="1" ht="26.25" customHeight="1">
      <c r="A33" s="320"/>
      <c r="B33" s="328" t="s">
        <v>256</v>
      </c>
      <c r="C33" s="153">
        <f>+C16+C21+SUM(C22:C32)</f>
        <v>2132.7040000000002</v>
      </c>
      <c r="D33" s="153">
        <f t="shared" ref="D33:I33" si="6">+D16+D21+SUM(D22:D32)</f>
        <v>195.32</v>
      </c>
      <c r="E33" s="153">
        <f t="shared" si="6"/>
        <v>203.41399999999999</v>
      </c>
      <c r="F33" s="153">
        <f t="shared" si="6"/>
        <v>238.46499999999997</v>
      </c>
      <c r="G33" s="153">
        <f t="shared" si="6"/>
        <v>233.77499999999998</v>
      </c>
      <c r="H33" s="153">
        <f t="shared" si="6"/>
        <v>229.77200000000005</v>
      </c>
      <c r="I33" s="153">
        <f t="shared" si="6"/>
        <v>233.04299999999998</v>
      </c>
      <c r="J33" s="153">
        <f>+J16+J21+SUM(J22:J32)</f>
        <v>1333.789</v>
      </c>
      <c r="K33" s="152">
        <f>+J33/6</f>
        <v>222.29816666666667</v>
      </c>
      <c r="L33" s="153">
        <f>+L16+L21+SUM(L22:L32)</f>
        <v>2483.5770000000002</v>
      </c>
      <c r="M33" s="153">
        <f>+M16+M21+SUM(M22:M32)</f>
        <v>2678.7820000000002</v>
      </c>
    </row>
    <row r="34" spans="1:13" s="151" customFormat="1" ht="26.25" customHeight="1">
      <c r="A34" s="319"/>
      <c r="B34" s="317" t="s">
        <v>257</v>
      </c>
      <c r="C34" s="152"/>
      <c r="D34" s="157"/>
      <c r="E34" s="157"/>
      <c r="F34" s="157"/>
      <c r="G34" s="157"/>
      <c r="H34" s="157"/>
      <c r="I34" s="157"/>
      <c r="J34" s="153"/>
      <c r="K34" s="156"/>
      <c r="L34" s="157"/>
      <c r="M34" s="156"/>
    </row>
    <row r="35" spans="1:13" s="151" customFormat="1" ht="26.25" customHeight="1">
      <c r="A35" s="320">
        <v>13</v>
      </c>
      <c r="B35" s="319" t="s">
        <v>258</v>
      </c>
      <c r="C35" s="152">
        <f>'T-1'!F34</f>
        <v>17.201999999999998</v>
      </c>
      <c r="D35" s="157">
        <v>1.381</v>
      </c>
      <c r="E35" s="157">
        <v>1.5490000000000002</v>
      </c>
      <c r="F35" s="157">
        <v>1.55</v>
      </c>
      <c r="G35" s="157">
        <v>1.5109999999999999</v>
      </c>
      <c r="H35" s="157">
        <v>1.3979999999999997</v>
      </c>
      <c r="I35" s="157">
        <v>1.4319999999999999</v>
      </c>
      <c r="J35" s="153">
        <f>SUM(D35:I35)</f>
        <v>8.8209999999999997</v>
      </c>
      <c r="K35" s="156">
        <f>+J35/6</f>
        <v>1.4701666666666666</v>
      </c>
      <c r="L35" s="157">
        <f>+'[18]T-1'!K34</f>
        <v>16.71</v>
      </c>
      <c r="M35" s="156">
        <f>+'[18]T-1'!O34</f>
        <v>16.989000000000001</v>
      </c>
    </row>
    <row r="36" spans="1:13" s="151" customFormat="1" ht="26.25" customHeight="1">
      <c r="A36" s="320">
        <f t="shared" ref="A36:A49" si="7">A35+1</f>
        <v>14</v>
      </c>
      <c r="B36" s="319" t="s">
        <v>245</v>
      </c>
      <c r="C36" s="152">
        <f>'T-1'!F35</f>
        <v>0.82400000000000007</v>
      </c>
      <c r="D36" s="157">
        <v>7.2000000000000008E-2</v>
      </c>
      <c r="E36" s="157">
        <v>5.3999999999999999E-2</v>
      </c>
      <c r="F36" s="157">
        <v>6.2E-2</v>
      </c>
      <c r="G36" s="157">
        <v>0.35699999999999998</v>
      </c>
      <c r="H36" s="157">
        <v>0.44800000000000006</v>
      </c>
      <c r="I36" s="157">
        <v>0.55600000000000005</v>
      </c>
      <c r="J36" s="153">
        <f>SUM(D36:I36)</f>
        <v>1.5489999999999999</v>
      </c>
      <c r="K36" s="156">
        <f>+J36/6</f>
        <v>0.25816666666666666</v>
      </c>
      <c r="L36" s="157">
        <f>+'[18]T-1'!K35</f>
        <v>4.5270000000000001</v>
      </c>
      <c r="M36" s="156">
        <f>+'[18]T-1'!O35</f>
        <v>6.2210000000000001</v>
      </c>
    </row>
    <row r="37" spans="1:13" s="151" customFormat="1" ht="26.25" customHeight="1">
      <c r="A37" s="320">
        <f t="shared" si="7"/>
        <v>15</v>
      </c>
      <c r="B37" s="319" t="s">
        <v>246</v>
      </c>
      <c r="C37" s="152">
        <f>'T-1'!F36</f>
        <v>17.382999999999999</v>
      </c>
      <c r="D37" s="157">
        <v>2.0099999999999998</v>
      </c>
      <c r="E37" s="157">
        <v>2.2489999999999997</v>
      </c>
      <c r="F37" s="157">
        <v>1.9009999999999998</v>
      </c>
      <c r="G37" s="157">
        <v>1.8869999999999996</v>
      </c>
      <c r="H37" s="157">
        <v>1.9789999999999999</v>
      </c>
      <c r="I37" s="157">
        <v>1.732</v>
      </c>
      <c r="J37" s="153">
        <f>SUM(D37:I37)</f>
        <v>11.757999999999997</v>
      </c>
      <c r="K37" s="156">
        <f>+J37/6</f>
        <v>1.9596666666666662</v>
      </c>
      <c r="L37" s="157">
        <f>+'[18]T-1'!K36</f>
        <v>21.719000000000001</v>
      </c>
      <c r="M37" s="156">
        <f>+'[18]T-1'!O36</f>
        <v>24.324000000000002</v>
      </c>
    </row>
    <row r="38" spans="1:13" s="151" customFormat="1" ht="26.25" customHeight="1">
      <c r="A38" s="320">
        <f t="shared" si="7"/>
        <v>16</v>
      </c>
      <c r="B38" s="319" t="s">
        <v>247</v>
      </c>
      <c r="C38" s="152">
        <f>'T-1'!F37</f>
        <v>31.821999999999999</v>
      </c>
      <c r="D38" s="157">
        <v>2.1529999999999996</v>
      </c>
      <c r="E38" s="157">
        <v>3.9329999999999998</v>
      </c>
      <c r="F38" s="157">
        <v>4.0129999999999999</v>
      </c>
      <c r="G38" s="157">
        <v>4.1719999999999988</v>
      </c>
      <c r="H38" s="157">
        <v>3.7249999999999996</v>
      </c>
      <c r="I38" s="157">
        <v>3.4170000000000003</v>
      </c>
      <c r="J38" s="153">
        <f>SUM(D38:I38)</f>
        <v>21.413</v>
      </c>
      <c r="K38" s="156">
        <f>+J38/6</f>
        <v>3.5688333333333335</v>
      </c>
      <c r="L38" s="157">
        <f>+'[18]T-1'!K37</f>
        <v>42.414000000000001</v>
      </c>
      <c r="M38" s="156">
        <f>+'[18]T-1'!O37</f>
        <v>47.619</v>
      </c>
    </row>
    <row r="39" spans="1:13" s="151" customFormat="1" ht="26.25" customHeight="1">
      <c r="A39" s="320">
        <f t="shared" si="7"/>
        <v>17</v>
      </c>
      <c r="B39" s="319" t="s">
        <v>251</v>
      </c>
      <c r="C39" s="152">
        <f>'T-1'!F38</f>
        <v>12.153</v>
      </c>
      <c r="D39" s="157">
        <v>1.2430000000000001</v>
      </c>
      <c r="E39" s="157">
        <v>1.429</v>
      </c>
      <c r="F39" s="157">
        <v>1.3380000000000001</v>
      </c>
      <c r="G39" s="157">
        <v>1.5619999999999998</v>
      </c>
      <c r="H39" s="157">
        <v>1.4959999999999998</v>
      </c>
      <c r="I39" s="157">
        <v>1.4569999999999996</v>
      </c>
      <c r="J39" s="153">
        <f>SUM(D39:I39)</f>
        <v>8.5249999999999986</v>
      </c>
      <c r="K39" s="156">
        <f>+J39/6</f>
        <v>1.4208333333333332</v>
      </c>
      <c r="L39" s="157">
        <f>+'[18]T-1'!K38</f>
        <v>16.690999999999999</v>
      </c>
      <c r="M39" s="156">
        <f>+'[18]T-1'!O38</f>
        <v>25.443000000000001</v>
      </c>
    </row>
    <row r="40" spans="1:13" s="151" customFormat="1" ht="26.25" customHeight="1">
      <c r="A40" s="320">
        <f t="shared" si="7"/>
        <v>18</v>
      </c>
      <c r="B40" s="319" t="s">
        <v>260</v>
      </c>
      <c r="C40" s="152"/>
      <c r="D40" s="157"/>
      <c r="E40" s="157"/>
      <c r="F40" s="157"/>
      <c r="G40" s="157"/>
      <c r="H40" s="157"/>
      <c r="I40" s="157"/>
      <c r="J40" s="153"/>
      <c r="K40" s="156"/>
      <c r="L40" s="157"/>
      <c r="M40" s="156"/>
    </row>
    <row r="41" spans="1:13" s="151" customFormat="1" ht="26.25" customHeight="1">
      <c r="A41" s="320">
        <f t="shared" si="7"/>
        <v>19</v>
      </c>
      <c r="B41" s="319" t="s">
        <v>254</v>
      </c>
      <c r="C41" s="152">
        <f>'T-1'!F40</f>
        <v>54.703000000000003</v>
      </c>
      <c r="D41" s="157">
        <v>5.1669999999999998</v>
      </c>
      <c r="E41" s="157">
        <v>5.7549999999999999</v>
      </c>
      <c r="F41" s="157">
        <v>5.7249999999999988</v>
      </c>
      <c r="G41" s="157">
        <v>5.4059999999999988</v>
      </c>
      <c r="H41" s="157">
        <v>5.38</v>
      </c>
      <c r="I41" s="157">
        <v>5.1109999999999998</v>
      </c>
      <c r="J41" s="153">
        <f>SUM(D41:I41)</f>
        <v>32.543999999999997</v>
      </c>
      <c r="K41" s="156">
        <f>+J41/6</f>
        <v>5.4239999999999995</v>
      </c>
      <c r="L41" s="157">
        <f>+'[18]T-1'!K40</f>
        <v>59.686</v>
      </c>
      <c r="M41" s="156">
        <f>+'[18]T-1'!O40</f>
        <v>69.808999999999997</v>
      </c>
    </row>
    <row r="42" spans="1:13" s="151" customFormat="1" ht="26.25" customHeight="1">
      <c r="A42" s="320">
        <f t="shared" si="7"/>
        <v>20</v>
      </c>
      <c r="B42" s="319" t="s">
        <v>261</v>
      </c>
      <c r="C42" s="152"/>
      <c r="D42" s="157"/>
      <c r="E42" s="157"/>
      <c r="F42" s="157"/>
      <c r="G42" s="157"/>
      <c r="H42" s="157"/>
      <c r="I42" s="157"/>
      <c r="J42" s="153"/>
      <c r="K42" s="156"/>
      <c r="L42" s="157"/>
      <c r="M42" s="156"/>
    </row>
    <row r="43" spans="1:13" s="151" customFormat="1" ht="26.25" customHeight="1">
      <c r="A43" s="320">
        <f t="shared" si="7"/>
        <v>21</v>
      </c>
      <c r="B43" s="319" t="s">
        <v>262</v>
      </c>
      <c r="C43" s="152">
        <f>'T-1'!F42</f>
        <v>10.523999999999999</v>
      </c>
      <c r="D43" s="157">
        <v>1.04</v>
      </c>
      <c r="E43" s="157">
        <v>1.0840000000000001</v>
      </c>
      <c r="F43" s="157">
        <v>1.0990000000000002</v>
      </c>
      <c r="G43" s="157">
        <v>1.1680000000000001</v>
      </c>
      <c r="H43" s="157">
        <v>1.224</v>
      </c>
      <c r="I43" s="157">
        <v>1.206</v>
      </c>
      <c r="J43" s="153">
        <f>SUM(D43:I43)</f>
        <v>6.8209999999999997</v>
      </c>
      <c r="K43" s="156">
        <f>+J43/6</f>
        <v>1.1368333333333334</v>
      </c>
      <c r="L43" s="157">
        <f>+'[18]T-1'!K42</f>
        <v>14.752000000000001</v>
      </c>
      <c r="M43" s="156">
        <f>+'[18]T-1'!O42</f>
        <v>18.518000000000001</v>
      </c>
    </row>
    <row r="44" spans="1:13" s="151" customFormat="1" ht="26.25" customHeight="1">
      <c r="A44" s="320">
        <f t="shared" si="7"/>
        <v>22</v>
      </c>
      <c r="B44" s="319" t="s">
        <v>255</v>
      </c>
      <c r="C44" s="152">
        <f>'T-1'!F43</f>
        <v>470.03200000000004</v>
      </c>
      <c r="D44" s="157">
        <v>38.936</v>
      </c>
      <c r="E44" s="157">
        <v>38.097999999999999</v>
      </c>
      <c r="F44" s="157">
        <v>38.152999999999999</v>
      </c>
      <c r="G44" s="157">
        <v>41.198999999999998</v>
      </c>
      <c r="H44" s="157">
        <v>43.186</v>
      </c>
      <c r="I44" s="157">
        <v>41.777999999999999</v>
      </c>
      <c r="J44" s="153">
        <f>SUM(D44:I44)</f>
        <v>241.34999999999997</v>
      </c>
      <c r="K44" s="156">
        <f>+J44/6</f>
        <v>40.224999999999994</v>
      </c>
      <c r="L44" s="157">
        <f>+'[18]T-1'!K43</f>
        <v>482.03399999999999</v>
      </c>
      <c r="M44" s="156">
        <f>+'[18]T-1'!O43</f>
        <v>538.78499999999997</v>
      </c>
    </row>
    <row r="45" spans="1:13" s="151" customFormat="1" ht="26.25" customHeight="1">
      <c r="A45" s="320">
        <f t="shared" si="7"/>
        <v>23</v>
      </c>
      <c r="B45" s="319" t="s">
        <v>263</v>
      </c>
      <c r="C45" s="152">
        <f>'T-1'!F44</f>
        <v>10.631999999999998</v>
      </c>
      <c r="D45" s="157">
        <v>6.8000000000000005E-2</v>
      </c>
      <c r="E45" s="157">
        <v>5.8000000000000003E-2</v>
      </c>
      <c r="F45" s="157">
        <v>6.0999999999999999E-2</v>
      </c>
      <c r="G45" s="157">
        <v>4.8000000000000001E-2</v>
      </c>
      <c r="H45" s="157">
        <v>6.2E-2</v>
      </c>
      <c r="I45" s="157">
        <v>7.1999999999999995E-2</v>
      </c>
      <c r="J45" s="153">
        <f>SUM(D45:I45)</f>
        <v>0.36899999999999999</v>
      </c>
      <c r="K45" s="156">
        <f>+J45/6</f>
        <v>6.1499999999999999E-2</v>
      </c>
      <c r="L45" s="157">
        <f>+'[18]T-1'!K44</f>
        <v>6.6639999999999997</v>
      </c>
      <c r="M45" s="156">
        <f>+'[18]T-1'!O44</f>
        <v>25.32</v>
      </c>
    </row>
    <row r="46" spans="1:13" s="151" customFormat="1" ht="26.25" customHeight="1">
      <c r="A46" s="320">
        <f t="shared" si="7"/>
        <v>24</v>
      </c>
      <c r="B46" s="319" t="s">
        <v>264</v>
      </c>
      <c r="C46" s="152"/>
      <c r="D46" s="157"/>
      <c r="E46" s="157"/>
      <c r="F46" s="157"/>
      <c r="G46" s="157"/>
      <c r="H46" s="157"/>
      <c r="I46" s="157"/>
      <c r="J46" s="153"/>
      <c r="K46" s="156"/>
      <c r="L46" s="157"/>
      <c r="M46" s="156"/>
    </row>
    <row r="47" spans="1:13" s="151" customFormat="1" ht="26.25" customHeight="1">
      <c r="A47" s="320">
        <f t="shared" si="7"/>
        <v>25</v>
      </c>
      <c r="B47" s="319" t="s">
        <v>265</v>
      </c>
      <c r="C47" s="152"/>
      <c r="D47" s="157"/>
      <c r="E47" s="157"/>
      <c r="F47" s="157"/>
      <c r="G47" s="157"/>
      <c r="H47" s="157"/>
      <c r="I47" s="157"/>
      <c r="J47" s="153"/>
      <c r="K47" s="156"/>
      <c r="L47" s="157"/>
      <c r="M47" s="156"/>
    </row>
    <row r="48" spans="1:13" s="151" customFormat="1" ht="26.25" customHeight="1">
      <c r="A48" s="320">
        <f t="shared" si="7"/>
        <v>26</v>
      </c>
      <c r="B48" s="319" t="s">
        <v>266</v>
      </c>
      <c r="C48" s="152">
        <f>'T-1'!F47</f>
        <v>0.14200000000000002</v>
      </c>
      <c r="D48" s="157">
        <v>0</v>
      </c>
      <c r="E48" s="157">
        <v>1E-3</v>
      </c>
      <c r="F48" s="157">
        <v>7.0000000000000001E-3</v>
      </c>
      <c r="G48" s="157">
        <v>0.20799999999999999</v>
      </c>
      <c r="H48" s="157">
        <v>0.13300000000000001</v>
      </c>
      <c r="I48" s="157">
        <v>1.4E-2</v>
      </c>
      <c r="J48" s="153">
        <f>SUM(D48:I48)</f>
        <v>0.36299999999999999</v>
      </c>
      <c r="K48" s="156">
        <f>+J48/6</f>
        <v>6.0499999999999998E-2</v>
      </c>
      <c r="L48" s="157">
        <f>+'[18]T-1'!K47</f>
        <v>0.371</v>
      </c>
      <c r="M48" s="156">
        <f>+'[18]T-1'!O47</f>
        <v>1.7999999999999999E-2</v>
      </c>
    </row>
    <row r="49" spans="1:13" s="151" customFormat="1" ht="26.25" customHeight="1">
      <c r="A49" s="320">
        <f t="shared" si="7"/>
        <v>27</v>
      </c>
      <c r="B49" s="319" t="s">
        <v>267</v>
      </c>
      <c r="C49" s="152"/>
      <c r="D49" s="157"/>
      <c r="E49" s="157"/>
      <c r="F49" s="157"/>
      <c r="G49" s="157"/>
      <c r="H49" s="157"/>
      <c r="I49" s="157"/>
      <c r="J49" s="153"/>
      <c r="K49" s="156"/>
      <c r="L49" s="157"/>
      <c r="M49" s="156"/>
    </row>
    <row r="50" spans="1:13" s="151" customFormat="1" ht="26.25" customHeight="1">
      <c r="A50" s="320"/>
      <c r="B50" s="328" t="s">
        <v>256</v>
      </c>
      <c r="C50" s="153">
        <f>SUM(C35:C49)</f>
        <v>625.41700000000003</v>
      </c>
      <c r="D50" s="153">
        <f t="shared" ref="D50:I50" si="8">SUM(D35:D49)</f>
        <v>52.069999999999993</v>
      </c>
      <c r="E50" s="153">
        <f t="shared" si="8"/>
        <v>54.209999999999994</v>
      </c>
      <c r="F50" s="153">
        <f t="shared" si="8"/>
        <v>53.908999999999992</v>
      </c>
      <c r="G50" s="153">
        <f t="shared" si="8"/>
        <v>57.517999999999994</v>
      </c>
      <c r="H50" s="153">
        <f t="shared" si="8"/>
        <v>59.030999999999999</v>
      </c>
      <c r="I50" s="153">
        <f t="shared" si="8"/>
        <v>56.774999999999999</v>
      </c>
      <c r="J50" s="153">
        <f>SUM(J35:J49)</f>
        <v>333.51299999999998</v>
      </c>
      <c r="K50" s="152">
        <f>+J50/6</f>
        <v>55.585499999999996</v>
      </c>
      <c r="L50" s="153">
        <f>SUM(L35:L49)</f>
        <v>665.56799999999998</v>
      </c>
      <c r="M50" s="153">
        <f>SUM(M35:M49)</f>
        <v>773.04600000000005</v>
      </c>
    </row>
    <row r="51" spans="1:13" s="151" customFormat="1" ht="26.25" customHeight="1">
      <c r="A51" s="319"/>
      <c r="B51" s="317" t="s">
        <v>268</v>
      </c>
      <c r="C51" s="152"/>
      <c r="D51" s="157"/>
      <c r="E51" s="157"/>
      <c r="F51" s="157"/>
      <c r="G51" s="157"/>
      <c r="H51" s="157"/>
      <c r="I51" s="157"/>
      <c r="J51" s="153"/>
      <c r="K51" s="156"/>
      <c r="L51" s="157"/>
      <c r="M51" s="156"/>
    </row>
    <row r="52" spans="1:13" s="151" customFormat="1" ht="26.25" customHeight="1">
      <c r="A52" s="320">
        <f>A49+1</f>
        <v>28</v>
      </c>
      <c r="B52" s="319" t="s">
        <v>270</v>
      </c>
      <c r="C52" s="152">
        <f>'T-1'!F51</f>
        <v>85.942999999999998</v>
      </c>
      <c r="D52" s="157">
        <v>7.5759999999999996</v>
      </c>
      <c r="E52" s="157">
        <v>7.4260000000000002</v>
      </c>
      <c r="F52" s="157">
        <v>6.0970000000000004</v>
      </c>
      <c r="G52" s="157">
        <v>6.2350000000000003</v>
      </c>
      <c r="H52" s="157">
        <v>7.8940000000000001</v>
      </c>
      <c r="I52" s="157">
        <v>7.077</v>
      </c>
      <c r="J52" s="153">
        <f>SUM(D52:I52)</f>
        <v>42.305</v>
      </c>
      <c r="K52" s="156">
        <f>+J52/6</f>
        <v>7.0508333333333333</v>
      </c>
      <c r="L52" s="157">
        <f>+'[18]T-1'!K51</f>
        <v>91.807000000000002</v>
      </c>
      <c r="M52" s="156">
        <f>+'[18]T-1'!O51</f>
        <v>93.081999999999994</v>
      </c>
    </row>
    <row r="53" spans="1:13" s="151" customFormat="1" ht="26.25" customHeight="1">
      <c r="A53" s="320">
        <f t="shared" ref="A53:A59" si="9">A52+1</f>
        <v>29</v>
      </c>
      <c r="B53" s="319" t="s">
        <v>255</v>
      </c>
      <c r="C53" s="152">
        <f>'T-1'!F52</f>
        <v>1758.4170000000004</v>
      </c>
      <c r="D53" s="157">
        <v>190.88399999999999</v>
      </c>
      <c r="E53" s="157">
        <v>174.35599999999999</v>
      </c>
      <c r="F53" s="157">
        <v>177.79</v>
      </c>
      <c r="G53" s="157">
        <v>181.006</v>
      </c>
      <c r="H53" s="157">
        <v>180.06699999999998</v>
      </c>
      <c r="I53" s="157">
        <v>174.214</v>
      </c>
      <c r="J53" s="153">
        <f>SUM(D53:I53)</f>
        <v>1078.317</v>
      </c>
      <c r="K53" s="156">
        <f>+J53/6</f>
        <v>179.71950000000001</v>
      </c>
      <c r="L53" s="157">
        <f>+'[18]T-1'!K52</f>
        <v>2246.2269999999999</v>
      </c>
      <c r="M53" s="156">
        <f>+'[18]T-1'!O52</f>
        <v>2417.232</v>
      </c>
    </row>
    <row r="54" spans="1:13" s="151" customFormat="1" ht="26.25" customHeight="1">
      <c r="A54" s="320">
        <f t="shared" si="9"/>
        <v>30</v>
      </c>
      <c r="B54" s="319" t="s">
        <v>265</v>
      </c>
      <c r="C54" s="152">
        <f>'T-1'!F53</f>
        <v>463.17399999999998</v>
      </c>
      <c r="D54" s="157">
        <v>39.338999999999999</v>
      </c>
      <c r="E54" s="157">
        <v>41.728000000000002</v>
      </c>
      <c r="F54" s="157">
        <v>31.873000000000001</v>
      </c>
      <c r="G54" s="157">
        <v>39.413000000000004</v>
      </c>
      <c r="H54" s="157">
        <v>39.463999999999999</v>
      </c>
      <c r="I54" s="157">
        <v>39.012</v>
      </c>
      <c r="J54" s="153">
        <f>SUM(D54:I54)</f>
        <v>230.82900000000001</v>
      </c>
      <c r="K54" s="156">
        <f>+J54/6</f>
        <v>38.471499999999999</v>
      </c>
      <c r="L54" s="157">
        <f>+'[18]T-1'!K53</f>
        <v>470.77600000000001</v>
      </c>
      <c r="M54" s="156">
        <f>+'[18]T-1'!O53</f>
        <v>477.31400000000002</v>
      </c>
    </row>
    <row r="55" spans="1:13" s="151" customFormat="1" ht="26.25" customHeight="1">
      <c r="A55" s="320">
        <f t="shared" si="9"/>
        <v>31</v>
      </c>
      <c r="B55" s="319" t="s">
        <v>276</v>
      </c>
      <c r="C55" s="152">
        <f>'T-1'!F54</f>
        <v>139.803</v>
      </c>
      <c r="D55" s="157">
        <v>27.658000000000001</v>
      </c>
      <c r="E55" s="157">
        <v>29.395000000000003</v>
      </c>
      <c r="F55" s="157">
        <v>22.25</v>
      </c>
      <c r="G55" s="157">
        <v>33.29</v>
      </c>
      <c r="H55" s="157">
        <v>33.489000000000004</v>
      </c>
      <c r="I55" s="157">
        <v>29.036000000000001</v>
      </c>
      <c r="J55" s="153">
        <f>SUM(D55:I55)</f>
        <v>175.11799999999999</v>
      </c>
      <c r="K55" s="156">
        <f>+J55/6</f>
        <v>29.186333333333334</v>
      </c>
      <c r="L55" s="157">
        <f>+'[18]T-1'!K54</f>
        <v>374.166</v>
      </c>
      <c r="M55" s="156">
        <f>+'[18]T-1'!O54</f>
        <v>434.55099999999999</v>
      </c>
    </row>
    <row r="56" spans="1:13" s="151" customFormat="1" ht="26.25" customHeight="1">
      <c r="A56" s="320">
        <f t="shared" si="9"/>
        <v>32</v>
      </c>
      <c r="B56" s="319" t="s">
        <v>263</v>
      </c>
      <c r="C56" s="152">
        <f>'T-1'!F55</f>
        <v>203.44499999999999</v>
      </c>
      <c r="D56" s="157">
        <v>8.94</v>
      </c>
      <c r="E56" s="157">
        <v>6.1349999999999998</v>
      </c>
      <c r="F56" s="157">
        <v>16.782</v>
      </c>
      <c r="G56" s="157">
        <v>15.622</v>
      </c>
      <c r="H56" s="157">
        <v>16.814999999999998</v>
      </c>
      <c r="I56" s="157">
        <v>13.690000000000001</v>
      </c>
      <c r="J56" s="153">
        <f>SUM(D56:I56)</f>
        <v>77.983999999999995</v>
      </c>
      <c r="K56" s="156">
        <f>+J56/6</f>
        <v>12.997333333333332</v>
      </c>
      <c r="L56" s="157">
        <f>+'[18]T-1'!K55</f>
        <v>131.20699999999999</v>
      </c>
      <c r="M56" s="156">
        <f>+'[18]T-1'!O55</f>
        <v>133.029</v>
      </c>
    </row>
    <row r="57" spans="1:13" s="151" customFormat="1" ht="26.25" customHeight="1">
      <c r="A57" s="320">
        <f t="shared" si="9"/>
        <v>33</v>
      </c>
      <c r="B57" s="319" t="s">
        <v>264</v>
      </c>
      <c r="C57" s="152"/>
      <c r="D57" s="157"/>
      <c r="E57" s="157"/>
      <c r="F57" s="157"/>
      <c r="G57" s="157"/>
      <c r="H57" s="157"/>
      <c r="I57" s="157"/>
      <c r="J57" s="153"/>
      <c r="K57" s="156"/>
      <c r="L57" s="157"/>
      <c r="M57" s="156"/>
    </row>
    <row r="58" spans="1:13" s="151" customFormat="1" ht="26.25" customHeight="1">
      <c r="A58" s="320">
        <f t="shared" si="9"/>
        <v>34</v>
      </c>
      <c r="B58" s="319" t="s">
        <v>280</v>
      </c>
      <c r="C58" s="152">
        <f>'T-1'!F57</f>
        <v>1.149</v>
      </c>
      <c r="D58" s="157">
        <v>0.108</v>
      </c>
      <c r="E58" s="157">
        <v>8.5000000000000006E-2</v>
      </c>
      <c r="F58" s="157">
        <v>7.9000000000000001E-2</v>
      </c>
      <c r="G58" s="157">
        <v>1.9E-2</v>
      </c>
      <c r="H58" s="157">
        <v>5.6000000000000001E-2</v>
      </c>
      <c r="I58" s="157">
        <v>1E-3</v>
      </c>
      <c r="J58" s="153">
        <f>SUM(D58:I58)</f>
        <v>0.34800000000000003</v>
      </c>
      <c r="K58" s="156">
        <f>+J58/6</f>
        <v>5.8000000000000003E-2</v>
      </c>
      <c r="L58" s="157">
        <f>+'[18]T-1'!K57</f>
        <v>0.38300000000000001</v>
      </c>
      <c r="M58" s="156">
        <f>+'[18]T-1'!O57</f>
        <v>7.1999999999999995E-2</v>
      </c>
    </row>
    <row r="59" spans="1:13" s="151" customFormat="1" ht="26.25" customHeight="1">
      <c r="A59" s="320">
        <f t="shared" si="9"/>
        <v>35</v>
      </c>
      <c r="B59" s="319" t="s">
        <v>267</v>
      </c>
      <c r="C59" s="152"/>
      <c r="D59" s="157"/>
      <c r="E59" s="157"/>
      <c r="F59" s="157"/>
      <c r="G59" s="157"/>
      <c r="H59" s="157"/>
      <c r="I59" s="157"/>
      <c r="J59" s="153"/>
      <c r="K59" s="156"/>
      <c r="L59" s="157"/>
      <c r="M59" s="156"/>
    </row>
    <row r="60" spans="1:13" s="151" customFormat="1" ht="26.25" customHeight="1">
      <c r="A60" s="320"/>
      <c r="B60" s="328" t="s">
        <v>256</v>
      </c>
      <c r="C60" s="153">
        <f>SUM(C52:C59)</f>
        <v>2651.9310000000005</v>
      </c>
      <c r="D60" s="153">
        <f t="shared" ref="D60:I60" si="10">SUM(D52:D59)</f>
        <v>274.505</v>
      </c>
      <c r="E60" s="153">
        <f t="shared" si="10"/>
        <v>259.125</v>
      </c>
      <c r="F60" s="153">
        <f t="shared" si="10"/>
        <v>254.87100000000001</v>
      </c>
      <c r="G60" s="153">
        <f t="shared" si="10"/>
        <v>275.58500000000004</v>
      </c>
      <c r="H60" s="153">
        <f t="shared" si="10"/>
        <v>277.78499999999997</v>
      </c>
      <c r="I60" s="153">
        <f t="shared" si="10"/>
        <v>263.02999999999997</v>
      </c>
      <c r="J60" s="153">
        <f>SUM(J52:J59)</f>
        <v>1604.9009999999998</v>
      </c>
      <c r="K60" s="152">
        <f>+J60/6</f>
        <v>267.48349999999999</v>
      </c>
      <c r="L60" s="153">
        <f>SUM(L52:L59)</f>
        <v>3314.5659999999993</v>
      </c>
      <c r="M60" s="153">
        <f>SUM(M52:M59)</f>
        <v>3555.2799999999997</v>
      </c>
    </row>
    <row r="61" spans="1:13" s="151" customFormat="1" ht="26.25" customHeight="1">
      <c r="A61" s="320"/>
      <c r="B61" s="328"/>
      <c r="C61" s="157"/>
      <c r="D61" s="157"/>
      <c r="E61" s="157"/>
      <c r="F61" s="157"/>
      <c r="G61" s="157"/>
      <c r="H61" s="157"/>
      <c r="I61" s="157"/>
      <c r="J61" s="153"/>
      <c r="K61" s="156"/>
      <c r="L61" s="153"/>
      <c r="M61" s="153"/>
    </row>
    <row r="62" spans="1:13" s="151" customFormat="1" ht="26.25" customHeight="1">
      <c r="A62" s="320"/>
      <c r="B62" s="317" t="s">
        <v>282</v>
      </c>
      <c r="C62" s="153">
        <f t="shared" ref="C62:J62" si="11">+C33+C50+C60</f>
        <v>5410.0520000000006</v>
      </c>
      <c r="D62" s="153">
        <f t="shared" si="11"/>
        <v>521.89499999999998</v>
      </c>
      <c r="E62" s="153">
        <f t="shared" si="11"/>
        <v>516.74900000000002</v>
      </c>
      <c r="F62" s="153">
        <f t="shared" si="11"/>
        <v>547.245</v>
      </c>
      <c r="G62" s="153">
        <f t="shared" si="11"/>
        <v>566.87799999999993</v>
      </c>
      <c r="H62" s="153">
        <f t="shared" si="11"/>
        <v>566.58799999999997</v>
      </c>
      <c r="I62" s="153">
        <f t="shared" si="11"/>
        <v>552.84799999999996</v>
      </c>
      <c r="J62" s="153">
        <f t="shared" si="11"/>
        <v>3272.2029999999995</v>
      </c>
      <c r="K62" s="152">
        <f>+J62/6</f>
        <v>545.36716666666655</v>
      </c>
      <c r="L62" s="153">
        <f>+L33+L50+L60</f>
        <v>6463.7109999999993</v>
      </c>
      <c r="M62" s="153">
        <f>+M33+M50+M60</f>
        <v>7007.1080000000002</v>
      </c>
    </row>
    <row r="63" spans="1:13">
      <c r="C63" s="356"/>
      <c r="D63" s="356"/>
      <c r="E63" s="356"/>
      <c r="F63" s="356"/>
      <c r="G63" s="356"/>
      <c r="H63" s="356"/>
      <c r="I63" s="356"/>
      <c r="J63" s="356"/>
      <c r="K63" s="356"/>
      <c r="L63" s="356"/>
      <c r="M63" s="356"/>
    </row>
    <row r="64" spans="1:13" ht="18">
      <c r="B64" s="343" t="s">
        <v>358</v>
      </c>
      <c r="C64" s="356"/>
      <c r="D64" s="356"/>
      <c r="E64" s="356"/>
      <c r="F64" s="356"/>
      <c r="G64" s="356"/>
      <c r="H64" s="356"/>
      <c r="I64" s="356"/>
      <c r="J64" s="356"/>
      <c r="K64" s="356"/>
      <c r="L64" s="356"/>
      <c r="M64" s="356"/>
    </row>
    <row r="65" spans="2:13">
      <c r="C65" s="356"/>
      <c r="D65" s="356"/>
      <c r="E65" s="356"/>
      <c r="F65" s="356"/>
      <c r="G65" s="356"/>
      <c r="H65" s="356"/>
      <c r="I65" s="356"/>
      <c r="J65" s="356"/>
      <c r="K65" s="356"/>
      <c r="L65" s="356"/>
      <c r="M65" s="356"/>
    </row>
    <row r="66" spans="2:13" s="379" customFormat="1" ht="25.5" customHeight="1">
      <c r="B66" s="2488"/>
      <c r="C66" s="2489" t="s">
        <v>359</v>
      </c>
      <c r="D66" s="2489" t="s">
        <v>360</v>
      </c>
      <c r="E66" s="2490" t="s">
        <v>345</v>
      </c>
      <c r="F66" s="2490"/>
      <c r="G66" s="2490"/>
      <c r="H66" s="2490"/>
      <c r="I66" s="2490"/>
      <c r="J66" s="2490"/>
      <c r="K66" s="2490"/>
      <c r="L66" s="2490"/>
      <c r="M66" s="2491" t="s">
        <v>346</v>
      </c>
    </row>
    <row r="67" spans="2:13" s="155" customFormat="1" ht="49.5" customHeight="1">
      <c r="B67" s="2488"/>
      <c r="C67" s="2489"/>
      <c r="D67" s="2489"/>
      <c r="E67" s="1677" t="s">
        <v>347</v>
      </c>
      <c r="F67" s="1677" t="s">
        <v>348</v>
      </c>
      <c r="G67" s="1677" t="s">
        <v>349</v>
      </c>
      <c r="H67" s="1677" t="s">
        <v>350</v>
      </c>
      <c r="I67" s="1677" t="s">
        <v>351</v>
      </c>
      <c r="J67" s="1677" t="s">
        <v>352</v>
      </c>
      <c r="K67" s="1677" t="s">
        <v>354</v>
      </c>
      <c r="L67" s="1677" t="s">
        <v>355</v>
      </c>
      <c r="M67" s="2491"/>
    </row>
    <row r="68" spans="2:13" s="151" customFormat="1" ht="33" customHeight="1">
      <c r="B68" s="154" t="s">
        <v>361</v>
      </c>
      <c r="C68" s="2358">
        <v>1022.211</v>
      </c>
      <c r="D68" s="2358">
        <v>1154.6500000000001</v>
      </c>
      <c r="E68" s="2269">
        <v>1216.3209999999999</v>
      </c>
      <c r="F68" s="2269">
        <v>1123.153</v>
      </c>
      <c r="G68" s="2269">
        <v>1267.1949999999999</v>
      </c>
      <c r="H68" s="2269">
        <v>1207.9559999999999</v>
      </c>
      <c r="I68" s="2269">
        <v>1203.31</v>
      </c>
      <c r="J68" s="2269">
        <v>1220.8499999999999</v>
      </c>
      <c r="K68" s="2358">
        <v>1206.46</v>
      </c>
      <c r="L68" s="2357"/>
      <c r="M68" s="2358">
        <v>1400</v>
      </c>
    </row>
  </sheetData>
  <mergeCells count="11">
    <mergeCell ref="A2:M2"/>
    <mergeCell ref="A4:A5"/>
    <mergeCell ref="B4:B5"/>
    <mergeCell ref="C4:C5"/>
    <mergeCell ref="D4:L4"/>
    <mergeCell ref="M4:M5"/>
    <mergeCell ref="B66:B67"/>
    <mergeCell ref="C66:C67"/>
    <mergeCell ref="D66:D67"/>
    <mergeCell ref="E66:L66"/>
    <mergeCell ref="M66:M67"/>
  </mergeCells>
  <pageMargins left="0.47244094488188981" right="0.23622047244094491" top="0.47244094488188981" bottom="0.27559055118110237" header="0.31496062992125984" footer="0.19685039370078741"/>
  <pageSetup paperSize="9" scale="6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8000"/>
  </sheetPr>
  <dimension ref="A1:AO85"/>
  <sheetViews>
    <sheetView view="pageBreakPreview" topLeftCell="A13" zoomScale="90" zoomScaleNormal="100" zoomScaleSheetLayoutView="90" workbookViewId="0">
      <selection activeCell="K26" sqref="K26"/>
    </sheetView>
  </sheetViews>
  <sheetFormatPr defaultColWidth="13" defaultRowHeight="14.25"/>
  <cols>
    <col min="1" max="1" width="8.7109375" style="90" bestFit="1" customWidth="1"/>
    <col min="2" max="2" width="52.42578125" style="92" customWidth="1"/>
    <col min="3" max="3" width="10" style="90" bestFit="1" customWidth="1"/>
    <col min="4" max="4" width="12.42578125" style="90" hidden="1" customWidth="1"/>
    <col min="5" max="5" width="11.42578125" style="90" hidden="1" customWidth="1"/>
    <col min="6" max="7" width="16" style="90" hidden="1" customWidth="1"/>
    <col min="8" max="8" width="18" style="90" customWidth="1"/>
    <col min="9" max="10" width="17.42578125" style="90" customWidth="1"/>
    <col min="11" max="11" width="22.5703125" style="90" customWidth="1"/>
    <col min="12" max="12" width="33.85546875" style="90" customWidth="1"/>
    <col min="13" max="13" width="13" style="90" customWidth="1"/>
    <col min="14" max="14" width="9.5703125" style="90" customWidth="1"/>
    <col min="15" max="258" width="13" style="90"/>
    <col min="259" max="259" width="8.7109375" style="90" bestFit="1" customWidth="1"/>
    <col min="260" max="260" width="62.7109375" style="90" customWidth="1"/>
    <col min="261" max="261" width="11.85546875" style="90" bestFit="1" customWidth="1"/>
    <col min="262" max="262" width="19" style="90" bestFit="1" customWidth="1"/>
    <col min="263" max="263" width="16.7109375" style="90" customWidth="1"/>
    <col min="264" max="264" width="17.5703125" style="90" bestFit="1" customWidth="1"/>
    <col min="265" max="266" width="22.5703125" style="90" customWidth="1"/>
    <col min="267" max="267" width="13" style="90" customWidth="1"/>
    <col min="268" max="268" width="12.5703125" style="90" customWidth="1"/>
    <col min="269" max="269" width="13" style="90" customWidth="1"/>
    <col min="270" max="270" width="9.5703125" style="90" customWidth="1"/>
    <col min="271" max="514" width="13" style="90"/>
    <col min="515" max="515" width="8.7109375" style="90" bestFit="1" customWidth="1"/>
    <col min="516" max="516" width="62.7109375" style="90" customWidth="1"/>
    <col min="517" max="517" width="11.85546875" style="90" bestFit="1" customWidth="1"/>
    <col min="518" max="518" width="19" style="90" bestFit="1" customWidth="1"/>
    <col min="519" max="519" width="16.7109375" style="90" customWidth="1"/>
    <col min="520" max="520" width="17.5703125" style="90" bestFit="1" customWidth="1"/>
    <col min="521" max="522" width="22.5703125" style="90" customWidth="1"/>
    <col min="523" max="523" width="13" style="90" customWidth="1"/>
    <col min="524" max="524" width="12.5703125" style="90" customWidth="1"/>
    <col min="525" max="525" width="13" style="90" customWidth="1"/>
    <col min="526" max="526" width="9.5703125" style="90" customWidth="1"/>
    <col min="527" max="770" width="13" style="90"/>
    <col min="771" max="771" width="8.7109375" style="90" bestFit="1" customWidth="1"/>
    <col min="772" max="772" width="62.7109375" style="90" customWidth="1"/>
    <col min="773" max="773" width="11.85546875" style="90" bestFit="1" customWidth="1"/>
    <col min="774" max="774" width="19" style="90" bestFit="1" customWidth="1"/>
    <col min="775" max="775" width="16.7109375" style="90" customWidth="1"/>
    <col min="776" max="776" width="17.5703125" style="90" bestFit="1" customWidth="1"/>
    <col min="777" max="778" width="22.5703125" style="90" customWidth="1"/>
    <col min="779" max="779" width="13" style="90" customWidth="1"/>
    <col min="780" max="780" width="12.5703125" style="90" customWidth="1"/>
    <col min="781" max="781" width="13" style="90" customWidth="1"/>
    <col min="782" max="782" width="9.5703125" style="90" customWidth="1"/>
    <col min="783" max="1026" width="13" style="90"/>
    <col min="1027" max="1027" width="8.7109375" style="90" bestFit="1" customWidth="1"/>
    <col min="1028" max="1028" width="62.7109375" style="90" customWidth="1"/>
    <col min="1029" max="1029" width="11.85546875" style="90" bestFit="1" customWidth="1"/>
    <col min="1030" max="1030" width="19" style="90" bestFit="1" customWidth="1"/>
    <col min="1031" max="1031" width="16.7109375" style="90" customWidth="1"/>
    <col min="1032" max="1032" width="17.5703125" style="90" bestFit="1" customWidth="1"/>
    <col min="1033" max="1034" width="22.5703125" style="90" customWidth="1"/>
    <col min="1035" max="1035" width="13" style="90" customWidth="1"/>
    <col min="1036" max="1036" width="12.5703125" style="90" customWidth="1"/>
    <col min="1037" max="1037" width="13" style="90" customWidth="1"/>
    <col min="1038" max="1038" width="9.5703125" style="90" customWidth="1"/>
    <col min="1039" max="1282" width="13" style="90"/>
    <col min="1283" max="1283" width="8.7109375" style="90" bestFit="1" customWidth="1"/>
    <col min="1284" max="1284" width="62.7109375" style="90" customWidth="1"/>
    <col min="1285" max="1285" width="11.85546875" style="90" bestFit="1" customWidth="1"/>
    <col min="1286" max="1286" width="19" style="90" bestFit="1" customWidth="1"/>
    <col min="1287" max="1287" width="16.7109375" style="90" customWidth="1"/>
    <col min="1288" max="1288" width="17.5703125" style="90" bestFit="1" customWidth="1"/>
    <col min="1289" max="1290" width="22.5703125" style="90" customWidth="1"/>
    <col min="1291" max="1291" width="13" style="90" customWidth="1"/>
    <col min="1292" max="1292" width="12.5703125" style="90" customWidth="1"/>
    <col min="1293" max="1293" width="13" style="90" customWidth="1"/>
    <col min="1294" max="1294" width="9.5703125" style="90" customWidth="1"/>
    <col min="1295" max="1538" width="13" style="90"/>
    <col min="1539" max="1539" width="8.7109375" style="90" bestFit="1" customWidth="1"/>
    <col min="1540" max="1540" width="62.7109375" style="90" customWidth="1"/>
    <col min="1541" max="1541" width="11.85546875" style="90" bestFit="1" customWidth="1"/>
    <col min="1542" max="1542" width="19" style="90" bestFit="1" customWidth="1"/>
    <col min="1543" max="1543" width="16.7109375" style="90" customWidth="1"/>
    <col min="1544" max="1544" width="17.5703125" style="90" bestFit="1" customWidth="1"/>
    <col min="1545" max="1546" width="22.5703125" style="90" customWidth="1"/>
    <col min="1547" max="1547" width="13" style="90" customWidth="1"/>
    <col min="1548" max="1548" width="12.5703125" style="90" customWidth="1"/>
    <col min="1549" max="1549" width="13" style="90" customWidth="1"/>
    <col min="1550" max="1550" width="9.5703125" style="90" customWidth="1"/>
    <col min="1551" max="1794" width="13" style="90"/>
    <col min="1795" max="1795" width="8.7109375" style="90" bestFit="1" customWidth="1"/>
    <col min="1796" max="1796" width="62.7109375" style="90" customWidth="1"/>
    <col min="1797" max="1797" width="11.85546875" style="90" bestFit="1" customWidth="1"/>
    <col min="1798" max="1798" width="19" style="90" bestFit="1" customWidth="1"/>
    <col min="1799" max="1799" width="16.7109375" style="90" customWidth="1"/>
    <col min="1800" max="1800" width="17.5703125" style="90" bestFit="1" customWidth="1"/>
    <col min="1801" max="1802" width="22.5703125" style="90" customWidth="1"/>
    <col min="1803" max="1803" width="13" style="90" customWidth="1"/>
    <col min="1804" max="1804" width="12.5703125" style="90" customWidth="1"/>
    <col min="1805" max="1805" width="13" style="90" customWidth="1"/>
    <col min="1806" max="1806" width="9.5703125" style="90" customWidth="1"/>
    <col min="1807" max="2050" width="13" style="90"/>
    <col min="2051" max="2051" width="8.7109375" style="90" bestFit="1" customWidth="1"/>
    <col min="2052" max="2052" width="62.7109375" style="90" customWidth="1"/>
    <col min="2053" max="2053" width="11.85546875" style="90" bestFit="1" customWidth="1"/>
    <col min="2054" max="2054" width="19" style="90" bestFit="1" customWidth="1"/>
    <col min="2055" max="2055" width="16.7109375" style="90" customWidth="1"/>
    <col min="2056" max="2056" width="17.5703125" style="90" bestFit="1" customWidth="1"/>
    <col min="2057" max="2058" width="22.5703125" style="90" customWidth="1"/>
    <col min="2059" max="2059" width="13" style="90" customWidth="1"/>
    <col min="2060" max="2060" width="12.5703125" style="90" customWidth="1"/>
    <col min="2061" max="2061" width="13" style="90" customWidth="1"/>
    <col min="2062" max="2062" width="9.5703125" style="90" customWidth="1"/>
    <col min="2063" max="2306" width="13" style="90"/>
    <col min="2307" max="2307" width="8.7109375" style="90" bestFit="1" customWidth="1"/>
    <col min="2308" max="2308" width="62.7109375" style="90" customWidth="1"/>
    <col min="2309" max="2309" width="11.85546875" style="90" bestFit="1" customWidth="1"/>
    <col min="2310" max="2310" width="19" style="90" bestFit="1" customWidth="1"/>
    <col min="2311" max="2311" width="16.7109375" style="90" customWidth="1"/>
    <col min="2312" max="2312" width="17.5703125" style="90" bestFit="1" customWidth="1"/>
    <col min="2313" max="2314" width="22.5703125" style="90" customWidth="1"/>
    <col min="2315" max="2315" width="13" style="90" customWidth="1"/>
    <col min="2316" max="2316" width="12.5703125" style="90" customWidth="1"/>
    <col min="2317" max="2317" width="13" style="90" customWidth="1"/>
    <col min="2318" max="2318" width="9.5703125" style="90" customWidth="1"/>
    <col min="2319" max="2562" width="13" style="90"/>
    <col min="2563" max="2563" width="8.7109375" style="90" bestFit="1" customWidth="1"/>
    <col min="2564" max="2564" width="62.7109375" style="90" customWidth="1"/>
    <col min="2565" max="2565" width="11.85546875" style="90" bestFit="1" customWidth="1"/>
    <col min="2566" max="2566" width="19" style="90" bestFit="1" customWidth="1"/>
    <col min="2567" max="2567" width="16.7109375" style="90" customWidth="1"/>
    <col min="2568" max="2568" width="17.5703125" style="90" bestFit="1" customWidth="1"/>
    <col min="2569" max="2570" width="22.5703125" style="90" customWidth="1"/>
    <col min="2571" max="2571" width="13" style="90" customWidth="1"/>
    <col min="2572" max="2572" width="12.5703125" style="90" customWidth="1"/>
    <col min="2573" max="2573" width="13" style="90" customWidth="1"/>
    <col min="2574" max="2574" width="9.5703125" style="90" customWidth="1"/>
    <col min="2575" max="2818" width="13" style="90"/>
    <col min="2819" max="2819" width="8.7109375" style="90" bestFit="1" customWidth="1"/>
    <col min="2820" max="2820" width="62.7109375" style="90" customWidth="1"/>
    <col min="2821" max="2821" width="11.85546875" style="90" bestFit="1" customWidth="1"/>
    <col min="2822" max="2822" width="19" style="90" bestFit="1" customWidth="1"/>
    <col min="2823" max="2823" width="16.7109375" style="90" customWidth="1"/>
    <col min="2824" max="2824" width="17.5703125" style="90" bestFit="1" customWidth="1"/>
    <col min="2825" max="2826" width="22.5703125" style="90" customWidth="1"/>
    <col min="2827" max="2827" width="13" style="90" customWidth="1"/>
    <col min="2828" max="2828" width="12.5703125" style="90" customWidth="1"/>
    <col min="2829" max="2829" width="13" style="90" customWidth="1"/>
    <col min="2830" max="2830" width="9.5703125" style="90" customWidth="1"/>
    <col min="2831" max="3074" width="13" style="90"/>
    <col min="3075" max="3075" width="8.7109375" style="90" bestFit="1" customWidth="1"/>
    <col min="3076" max="3076" width="62.7109375" style="90" customWidth="1"/>
    <col min="3077" max="3077" width="11.85546875" style="90" bestFit="1" customWidth="1"/>
    <col min="3078" max="3078" width="19" style="90" bestFit="1" customWidth="1"/>
    <col min="3079" max="3079" width="16.7109375" style="90" customWidth="1"/>
    <col min="3080" max="3080" width="17.5703125" style="90" bestFit="1" customWidth="1"/>
    <col min="3081" max="3082" width="22.5703125" style="90" customWidth="1"/>
    <col min="3083" max="3083" width="13" style="90" customWidth="1"/>
    <col min="3084" max="3084" width="12.5703125" style="90" customWidth="1"/>
    <col min="3085" max="3085" width="13" style="90" customWidth="1"/>
    <col min="3086" max="3086" width="9.5703125" style="90" customWidth="1"/>
    <col min="3087" max="3330" width="13" style="90"/>
    <col min="3331" max="3331" width="8.7109375" style="90" bestFit="1" customWidth="1"/>
    <col min="3332" max="3332" width="62.7109375" style="90" customWidth="1"/>
    <col min="3333" max="3333" width="11.85546875" style="90" bestFit="1" customWidth="1"/>
    <col min="3334" max="3334" width="19" style="90" bestFit="1" customWidth="1"/>
    <col min="3335" max="3335" width="16.7109375" style="90" customWidth="1"/>
    <col min="3336" max="3336" width="17.5703125" style="90" bestFit="1" customWidth="1"/>
    <col min="3337" max="3338" width="22.5703125" style="90" customWidth="1"/>
    <col min="3339" max="3339" width="13" style="90" customWidth="1"/>
    <col min="3340" max="3340" width="12.5703125" style="90" customWidth="1"/>
    <col min="3341" max="3341" width="13" style="90" customWidth="1"/>
    <col min="3342" max="3342" width="9.5703125" style="90" customWidth="1"/>
    <col min="3343" max="3586" width="13" style="90"/>
    <col min="3587" max="3587" width="8.7109375" style="90" bestFit="1" customWidth="1"/>
    <col min="3588" max="3588" width="62.7109375" style="90" customWidth="1"/>
    <col min="3589" max="3589" width="11.85546875" style="90" bestFit="1" customWidth="1"/>
    <col min="3590" max="3590" width="19" style="90" bestFit="1" customWidth="1"/>
    <col min="3591" max="3591" width="16.7109375" style="90" customWidth="1"/>
    <col min="3592" max="3592" width="17.5703125" style="90" bestFit="1" customWidth="1"/>
    <col min="3593" max="3594" width="22.5703125" style="90" customWidth="1"/>
    <col min="3595" max="3595" width="13" style="90" customWidth="1"/>
    <col min="3596" max="3596" width="12.5703125" style="90" customWidth="1"/>
    <col min="3597" max="3597" width="13" style="90" customWidth="1"/>
    <col min="3598" max="3598" width="9.5703125" style="90" customWidth="1"/>
    <col min="3599" max="3842" width="13" style="90"/>
    <col min="3843" max="3843" width="8.7109375" style="90" bestFit="1" customWidth="1"/>
    <col min="3844" max="3844" width="62.7109375" style="90" customWidth="1"/>
    <col min="3845" max="3845" width="11.85546875" style="90" bestFit="1" customWidth="1"/>
    <col min="3846" max="3846" width="19" style="90" bestFit="1" customWidth="1"/>
    <col min="3847" max="3847" width="16.7109375" style="90" customWidth="1"/>
    <col min="3848" max="3848" width="17.5703125" style="90" bestFit="1" customWidth="1"/>
    <col min="3849" max="3850" width="22.5703125" style="90" customWidth="1"/>
    <col min="3851" max="3851" width="13" style="90" customWidth="1"/>
    <col min="3852" max="3852" width="12.5703125" style="90" customWidth="1"/>
    <col min="3853" max="3853" width="13" style="90" customWidth="1"/>
    <col min="3854" max="3854" width="9.5703125" style="90" customWidth="1"/>
    <col min="3855" max="4098" width="13" style="90"/>
    <col min="4099" max="4099" width="8.7109375" style="90" bestFit="1" customWidth="1"/>
    <col min="4100" max="4100" width="62.7109375" style="90" customWidth="1"/>
    <col min="4101" max="4101" width="11.85546875" style="90" bestFit="1" customWidth="1"/>
    <col min="4102" max="4102" width="19" style="90" bestFit="1" customWidth="1"/>
    <col min="4103" max="4103" width="16.7109375" style="90" customWidth="1"/>
    <col min="4104" max="4104" width="17.5703125" style="90" bestFit="1" customWidth="1"/>
    <col min="4105" max="4106" width="22.5703125" style="90" customWidth="1"/>
    <col min="4107" max="4107" width="13" style="90" customWidth="1"/>
    <col min="4108" max="4108" width="12.5703125" style="90" customWidth="1"/>
    <col min="4109" max="4109" width="13" style="90" customWidth="1"/>
    <col min="4110" max="4110" width="9.5703125" style="90" customWidth="1"/>
    <col min="4111" max="4354" width="13" style="90"/>
    <col min="4355" max="4355" width="8.7109375" style="90" bestFit="1" customWidth="1"/>
    <col min="4356" max="4356" width="62.7109375" style="90" customWidth="1"/>
    <col min="4357" max="4357" width="11.85546875" style="90" bestFit="1" customWidth="1"/>
    <col min="4358" max="4358" width="19" style="90" bestFit="1" customWidth="1"/>
    <col min="4359" max="4359" width="16.7109375" style="90" customWidth="1"/>
    <col min="4360" max="4360" width="17.5703125" style="90" bestFit="1" customWidth="1"/>
    <col min="4361" max="4362" width="22.5703125" style="90" customWidth="1"/>
    <col min="4363" max="4363" width="13" style="90" customWidth="1"/>
    <col min="4364" max="4364" width="12.5703125" style="90" customWidth="1"/>
    <col min="4365" max="4365" width="13" style="90" customWidth="1"/>
    <col min="4366" max="4366" width="9.5703125" style="90" customWidth="1"/>
    <col min="4367" max="4610" width="13" style="90"/>
    <col min="4611" max="4611" width="8.7109375" style="90" bestFit="1" customWidth="1"/>
    <col min="4612" max="4612" width="62.7109375" style="90" customWidth="1"/>
    <col min="4613" max="4613" width="11.85546875" style="90" bestFit="1" customWidth="1"/>
    <col min="4614" max="4614" width="19" style="90" bestFit="1" customWidth="1"/>
    <col min="4615" max="4615" width="16.7109375" style="90" customWidth="1"/>
    <col min="4616" max="4616" width="17.5703125" style="90" bestFit="1" customWidth="1"/>
    <col min="4617" max="4618" width="22.5703125" style="90" customWidth="1"/>
    <col min="4619" max="4619" width="13" style="90" customWidth="1"/>
    <col min="4620" max="4620" width="12.5703125" style="90" customWidth="1"/>
    <col min="4621" max="4621" width="13" style="90" customWidth="1"/>
    <col min="4622" max="4622" width="9.5703125" style="90" customWidth="1"/>
    <col min="4623" max="4866" width="13" style="90"/>
    <col min="4867" max="4867" width="8.7109375" style="90" bestFit="1" customWidth="1"/>
    <col min="4868" max="4868" width="62.7109375" style="90" customWidth="1"/>
    <col min="4869" max="4869" width="11.85546875" style="90" bestFit="1" customWidth="1"/>
    <col min="4870" max="4870" width="19" style="90" bestFit="1" customWidth="1"/>
    <col min="4871" max="4871" width="16.7109375" style="90" customWidth="1"/>
    <col min="4872" max="4872" width="17.5703125" style="90" bestFit="1" customWidth="1"/>
    <col min="4873" max="4874" width="22.5703125" style="90" customWidth="1"/>
    <col min="4875" max="4875" width="13" style="90" customWidth="1"/>
    <col min="4876" max="4876" width="12.5703125" style="90" customWidth="1"/>
    <col min="4877" max="4877" width="13" style="90" customWidth="1"/>
    <col min="4878" max="4878" width="9.5703125" style="90" customWidth="1"/>
    <col min="4879" max="5122" width="13" style="90"/>
    <col min="5123" max="5123" width="8.7109375" style="90" bestFit="1" customWidth="1"/>
    <col min="5124" max="5124" width="62.7109375" style="90" customWidth="1"/>
    <col min="5125" max="5125" width="11.85546875" style="90" bestFit="1" customWidth="1"/>
    <col min="5126" max="5126" width="19" style="90" bestFit="1" customWidth="1"/>
    <col min="5127" max="5127" width="16.7109375" style="90" customWidth="1"/>
    <col min="5128" max="5128" width="17.5703125" style="90" bestFit="1" customWidth="1"/>
    <col min="5129" max="5130" width="22.5703125" style="90" customWidth="1"/>
    <col min="5131" max="5131" width="13" style="90" customWidth="1"/>
    <col min="5132" max="5132" width="12.5703125" style="90" customWidth="1"/>
    <col min="5133" max="5133" width="13" style="90" customWidth="1"/>
    <col min="5134" max="5134" width="9.5703125" style="90" customWidth="1"/>
    <col min="5135" max="5378" width="13" style="90"/>
    <col min="5379" max="5379" width="8.7109375" style="90" bestFit="1" customWidth="1"/>
    <col min="5380" max="5380" width="62.7109375" style="90" customWidth="1"/>
    <col min="5381" max="5381" width="11.85546875" style="90" bestFit="1" customWidth="1"/>
    <col min="5382" max="5382" width="19" style="90" bestFit="1" customWidth="1"/>
    <col min="5383" max="5383" width="16.7109375" style="90" customWidth="1"/>
    <col min="5384" max="5384" width="17.5703125" style="90" bestFit="1" customWidth="1"/>
    <col min="5385" max="5386" width="22.5703125" style="90" customWidth="1"/>
    <col min="5387" max="5387" width="13" style="90" customWidth="1"/>
    <col min="5388" max="5388" width="12.5703125" style="90" customWidth="1"/>
    <col min="5389" max="5389" width="13" style="90" customWidth="1"/>
    <col min="5390" max="5390" width="9.5703125" style="90" customWidth="1"/>
    <col min="5391" max="5634" width="13" style="90"/>
    <col min="5635" max="5635" width="8.7109375" style="90" bestFit="1" customWidth="1"/>
    <col min="5636" max="5636" width="62.7109375" style="90" customWidth="1"/>
    <col min="5637" max="5637" width="11.85546875" style="90" bestFit="1" customWidth="1"/>
    <col min="5638" max="5638" width="19" style="90" bestFit="1" customWidth="1"/>
    <col min="5639" max="5639" width="16.7109375" style="90" customWidth="1"/>
    <col min="5640" max="5640" width="17.5703125" style="90" bestFit="1" customWidth="1"/>
    <col min="5641" max="5642" width="22.5703125" style="90" customWidth="1"/>
    <col min="5643" max="5643" width="13" style="90" customWidth="1"/>
    <col min="5644" max="5644" width="12.5703125" style="90" customWidth="1"/>
    <col min="5645" max="5645" width="13" style="90" customWidth="1"/>
    <col min="5646" max="5646" width="9.5703125" style="90" customWidth="1"/>
    <col min="5647" max="5890" width="13" style="90"/>
    <col min="5891" max="5891" width="8.7109375" style="90" bestFit="1" customWidth="1"/>
    <col min="5892" max="5892" width="62.7109375" style="90" customWidth="1"/>
    <col min="5893" max="5893" width="11.85546875" style="90" bestFit="1" customWidth="1"/>
    <col min="5894" max="5894" width="19" style="90" bestFit="1" customWidth="1"/>
    <col min="5895" max="5895" width="16.7109375" style="90" customWidth="1"/>
    <col min="5896" max="5896" width="17.5703125" style="90" bestFit="1" customWidth="1"/>
    <col min="5897" max="5898" width="22.5703125" style="90" customWidth="1"/>
    <col min="5899" max="5899" width="13" style="90" customWidth="1"/>
    <col min="5900" max="5900" width="12.5703125" style="90" customWidth="1"/>
    <col min="5901" max="5901" width="13" style="90" customWidth="1"/>
    <col min="5902" max="5902" width="9.5703125" style="90" customWidth="1"/>
    <col min="5903" max="6146" width="13" style="90"/>
    <col min="6147" max="6147" width="8.7109375" style="90" bestFit="1" customWidth="1"/>
    <col min="6148" max="6148" width="62.7109375" style="90" customWidth="1"/>
    <col min="6149" max="6149" width="11.85546875" style="90" bestFit="1" customWidth="1"/>
    <col min="6150" max="6150" width="19" style="90" bestFit="1" customWidth="1"/>
    <col min="6151" max="6151" width="16.7109375" style="90" customWidth="1"/>
    <col min="6152" max="6152" width="17.5703125" style="90" bestFit="1" customWidth="1"/>
    <col min="6153" max="6154" width="22.5703125" style="90" customWidth="1"/>
    <col min="6155" max="6155" width="13" style="90" customWidth="1"/>
    <col min="6156" max="6156" width="12.5703125" style="90" customWidth="1"/>
    <col min="6157" max="6157" width="13" style="90" customWidth="1"/>
    <col min="6158" max="6158" width="9.5703125" style="90" customWidth="1"/>
    <col min="6159" max="6402" width="13" style="90"/>
    <col min="6403" max="6403" width="8.7109375" style="90" bestFit="1" customWidth="1"/>
    <col min="6404" max="6404" width="62.7109375" style="90" customWidth="1"/>
    <col min="6405" max="6405" width="11.85546875" style="90" bestFit="1" customWidth="1"/>
    <col min="6406" max="6406" width="19" style="90" bestFit="1" customWidth="1"/>
    <col min="6407" max="6407" width="16.7109375" style="90" customWidth="1"/>
    <col min="6408" max="6408" width="17.5703125" style="90" bestFit="1" customWidth="1"/>
    <col min="6409" max="6410" width="22.5703125" style="90" customWidth="1"/>
    <col min="6411" max="6411" width="13" style="90" customWidth="1"/>
    <col min="6412" max="6412" width="12.5703125" style="90" customWidth="1"/>
    <col min="6413" max="6413" width="13" style="90" customWidth="1"/>
    <col min="6414" max="6414" width="9.5703125" style="90" customWidth="1"/>
    <col min="6415" max="6658" width="13" style="90"/>
    <col min="6659" max="6659" width="8.7109375" style="90" bestFit="1" customWidth="1"/>
    <col min="6660" max="6660" width="62.7109375" style="90" customWidth="1"/>
    <col min="6661" max="6661" width="11.85546875" style="90" bestFit="1" customWidth="1"/>
    <col min="6662" max="6662" width="19" style="90" bestFit="1" customWidth="1"/>
    <col min="6663" max="6663" width="16.7109375" style="90" customWidth="1"/>
    <col min="6664" max="6664" width="17.5703125" style="90" bestFit="1" customWidth="1"/>
    <col min="6665" max="6666" width="22.5703125" style="90" customWidth="1"/>
    <col min="6667" max="6667" width="13" style="90" customWidth="1"/>
    <col min="6668" max="6668" width="12.5703125" style="90" customWidth="1"/>
    <col min="6669" max="6669" width="13" style="90" customWidth="1"/>
    <col min="6670" max="6670" width="9.5703125" style="90" customWidth="1"/>
    <col min="6671" max="6914" width="13" style="90"/>
    <col min="6915" max="6915" width="8.7109375" style="90" bestFit="1" customWidth="1"/>
    <col min="6916" max="6916" width="62.7109375" style="90" customWidth="1"/>
    <col min="6917" max="6917" width="11.85546875" style="90" bestFit="1" customWidth="1"/>
    <col min="6918" max="6918" width="19" style="90" bestFit="1" customWidth="1"/>
    <col min="6919" max="6919" width="16.7109375" style="90" customWidth="1"/>
    <col min="6920" max="6920" width="17.5703125" style="90" bestFit="1" customWidth="1"/>
    <col min="6921" max="6922" width="22.5703125" style="90" customWidth="1"/>
    <col min="6923" max="6923" width="13" style="90" customWidth="1"/>
    <col min="6924" max="6924" width="12.5703125" style="90" customWidth="1"/>
    <col min="6925" max="6925" width="13" style="90" customWidth="1"/>
    <col min="6926" max="6926" width="9.5703125" style="90" customWidth="1"/>
    <col min="6927" max="7170" width="13" style="90"/>
    <col min="7171" max="7171" width="8.7109375" style="90" bestFit="1" customWidth="1"/>
    <col min="7172" max="7172" width="62.7109375" style="90" customWidth="1"/>
    <col min="7173" max="7173" width="11.85546875" style="90" bestFit="1" customWidth="1"/>
    <col min="7174" max="7174" width="19" style="90" bestFit="1" customWidth="1"/>
    <col min="7175" max="7175" width="16.7109375" style="90" customWidth="1"/>
    <col min="7176" max="7176" width="17.5703125" style="90" bestFit="1" customWidth="1"/>
    <col min="7177" max="7178" width="22.5703125" style="90" customWidth="1"/>
    <col min="7179" max="7179" width="13" style="90" customWidth="1"/>
    <col min="7180" max="7180" width="12.5703125" style="90" customWidth="1"/>
    <col min="7181" max="7181" width="13" style="90" customWidth="1"/>
    <col min="7182" max="7182" width="9.5703125" style="90" customWidth="1"/>
    <col min="7183" max="7426" width="13" style="90"/>
    <col min="7427" max="7427" width="8.7109375" style="90" bestFit="1" customWidth="1"/>
    <col min="7428" max="7428" width="62.7109375" style="90" customWidth="1"/>
    <col min="7429" max="7429" width="11.85546875" style="90" bestFit="1" customWidth="1"/>
    <col min="7430" max="7430" width="19" style="90" bestFit="1" customWidth="1"/>
    <col min="7431" max="7431" width="16.7109375" style="90" customWidth="1"/>
    <col min="7432" max="7432" width="17.5703125" style="90" bestFit="1" customWidth="1"/>
    <col min="7433" max="7434" width="22.5703125" style="90" customWidth="1"/>
    <col min="7435" max="7435" width="13" style="90" customWidth="1"/>
    <col min="7436" max="7436" width="12.5703125" style="90" customWidth="1"/>
    <col min="7437" max="7437" width="13" style="90" customWidth="1"/>
    <col min="7438" max="7438" width="9.5703125" style="90" customWidth="1"/>
    <col min="7439" max="7682" width="13" style="90"/>
    <col min="7683" max="7683" width="8.7109375" style="90" bestFit="1" customWidth="1"/>
    <col min="7684" max="7684" width="62.7109375" style="90" customWidth="1"/>
    <col min="7685" max="7685" width="11.85546875" style="90" bestFit="1" customWidth="1"/>
    <col min="7686" max="7686" width="19" style="90" bestFit="1" customWidth="1"/>
    <col min="7687" max="7687" width="16.7109375" style="90" customWidth="1"/>
    <col min="7688" max="7688" width="17.5703125" style="90" bestFit="1" customWidth="1"/>
    <col min="7689" max="7690" width="22.5703125" style="90" customWidth="1"/>
    <col min="7691" max="7691" width="13" style="90" customWidth="1"/>
    <col min="7692" max="7692" width="12.5703125" style="90" customWidth="1"/>
    <col min="7693" max="7693" width="13" style="90" customWidth="1"/>
    <col min="7694" max="7694" width="9.5703125" style="90" customWidth="1"/>
    <col min="7695" max="7938" width="13" style="90"/>
    <col min="7939" max="7939" width="8.7109375" style="90" bestFit="1" customWidth="1"/>
    <col min="7940" max="7940" width="62.7109375" style="90" customWidth="1"/>
    <col min="7941" max="7941" width="11.85546875" style="90" bestFit="1" customWidth="1"/>
    <col min="7942" max="7942" width="19" style="90" bestFit="1" customWidth="1"/>
    <col min="7943" max="7943" width="16.7109375" style="90" customWidth="1"/>
    <col min="7944" max="7944" width="17.5703125" style="90" bestFit="1" customWidth="1"/>
    <col min="7945" max="7946" width="22.5703125" style="90" customWidth="1"/>
    <col min="7947" max="7947" width="13" style="90" customWidth="1"/>
    <col min="7948" max="7948" width="12.5703125" style="90" customWidth="1"/>
    <col min="7949" max="7949" width="13" style="90" customWidth="1"/>
    <col min="7950" max="7950" width="9.5703125" style="90" customWidth="1"/>
    <col min="7951" max="8194" width="13" style="90"/>
    <col min="8195" max="8195" width="8.7109375" style="90" bestFit="1" customWidth="1"/>
    <col min="8196" max="8196" width="62.7109375" style="90" customWidth="1"/>
    <col min="8197" max="8197" width="11.85546875" style="90" bestFit="1" customWidth="1"/>
    <col min="8198" max="8198" width="19" style="90" bestFit="1" customWidth="1"/>
    <col min="8199" max="8199" width="16.7109375" style="90" customWidth="1"/>
    <col min="8200" max="8200" width="17.5703125" style="90" bestFit="1" customWidth="1"/>
    <col min="8201" max="8202" width="22.5703125" style="90" customWidth="1"/>
    <col min="8203" max="8203" width="13" style="90" customWidth="1"/>
    <col min="8204" max="8204" width="12.5703125" style="90" customWidth="1"/>
    <col min="8205" max="8205" width="13" style="90" customWidth="1"/>
    <col min="8206" max="8206" width="9.5703125" style="90" customWidth="1"/>
    <col min="8207" max="8450" width="13" style="90"/>
    <col min="8451" max="8451" width="8.7109375" style="90" bestFit="1" customWidth="1"/>
    <col min="8452" max="8452" width="62.7109375" style="90" customWidth="1"/>
    <col min="8453" max="8453" width="11.85546875" style="90" bestFit="1" customWidth="1"/>
    <col min="8454" max="8454" width="19" style="90" bestFit="1" customWidth="1"/>
    <col min="8455" max="8455" width="16.7109375" style="90" customWidth="1"/>
    <col min="8456" max="8456" width="17.5703125" style="90" bestFit="1" customWidth="1"/>
    <col min="8457" max="8458" width="22.5703125" style="90" customWidth="1"/>
    <col min="8459" max="8459" width="13" style="90" customWidth="1"/>
    <col min="8460" max="8460" width="12.5703125" style="90" customWidth="1"/>
    <col min="8461" max="8461" width="13" style="90" customWidth="1"/>
    <col min="8462" max="8462" width="9.5703125" style="90" customWidth="1"/>
    <col min="8463" max="8706" width="13" style="90"/>
    <col min="8707" max="8707" width="8.7109375" style="90" bestFit="1" customWidth="1"/>
    <col min="8708" max="8708" width="62.7109375" style="90" customWidth="1"/>
    <col min="8709" max="8709" width="11.85546875" style="90" bestFit="1" customWidth="1"/>
    <col min="8710" max="8710" width="19" style="90" bestFit="1" customWidth="1"/>
    <col min="8711" max="8711" width="16.7109375" style="90" customWidth="1"/>
    <col min="8712" max="8712" width="17.5703125" style="90" bestFit="1" customWidth="1"/>
    <col min="8713" max="8714" width="22.5703125" style="90" customWidth="1"/>
    <col min="8715" max="8715" width="13" style="90" customWidth="1"/>
    <col min="8716" max="8716" width="12.5703125" style="90" customWidth="1"/>
    <col min="8717" max="8717" width="13" style="90" customWidth="1"/>
    <col min="8718" max="8718" width="9.5703125" style="90" customWidth="1"/>
    <col min="8719" max="8962" width="13" style="90"/>
    <col min="8963" max="8963" width="8.7109375" style="90" bestFit="1" customWidth="1"/>
    <col min="8964" max="8964" width="62.7109375" style="90" customWidth="1"/>
    <col min="8965" max="8965" width="11.85546875" style="90" bestFit="1" customWidth="1"/>
    <col min="8966" max="8966" width="19" style="90" bestFit="1" customWidth="1"/>
    <col min="8967" max="8967" width="16.7109375" style="90" customWidth="1"/>
    <col min="8968" max="8968" width="17.5703125" style="90" bestFit="1" customWidth="1"/>
    <col min="8969" max="8970" width="22.5703125" style="90" customWidth="1"/>
    <col min="8971" max="8971" width="13" style="90" customWidth="1"/>
    <col min="8972" max="8972" width="12.5703125" style="90" customWidth="1"/>
    <col min="8973" max="8973" width="13" style="90" customWidth="1"/>
    <col min="8974" max="8974" width="9.5703125" style="90" customWidth="1"/>
    <col min="8975" max="9218" width="13" style="90"/>
    <col min="9219" max="9219" width="8.7109375" style="90" bestFit="1" customWidth="1"/>
    <col min="9220" max="9220" width="62.7109375" style="90" customWidth="1"/>
    <col min="9221" max="9221" width="11.85546875" style="90" bestFit="1" customWidth="1"/>
    <col min="9222" max="9222" width="19" style="90" bestFit="1" customWidth="1"/>
    <col min="9223" max="9223" width="16.7109375" style="90" customWidth="1"/>
    <col min="9224" max="9224" width="17.5703125" style="90" bestFit="1" customWidth="1"/>
    <col min="9225" max="9226" width="22.5703125" style="90" customWidth="1"/>
    <col min="9227" max="9227" width="13" style="90" customWidth="1"/>
    <col min="9228" max="9228" width="12.5703125" style="90" customWidth="1"/>
    <col min="9229" max="9229" width="13" style="90" customWidth="1"/>
    <col min="9230" max="9230" width="9.5703125" style="90" customWidth="1"/>
    <col min="9231" max="9474" width="13" style="90"/>
    <col min="9475" max="9475" width="8.7109375" style="90" bestFit="1" customWidth="1"/>
    <col min="9476" max="9476" width="62.7109375" style="90" customWidth="1"/>
    <col min="9477" max="9477" width="11.85546875" style="90" bestFit="1" customWidth="1"/>
    <col min="9478" max="9478" width="19" style="90" bestFit="1" customWidth="1"/>
    <col min="9479" max="9479" width="16.7109375" style="90" customWidth="1"/>
    <col min="9480" max="9480" width="17.5703125" style="90" bestFit="1" customWidth="1"/>
    <col min="9481" max="9482" width="22.5703125" style="90" customWidth="1"/>
    <col min="9483" max="9483" width="13" style="90" customWidth="1"/>
    <col min="9484" max="9484" width="12.5703125" style="90" customWidth="1"/>
    <col min="9485" max="9485" width="13" style="90" customWidth="1"/>
    <col min="9486" max="9486" width="9.5703125" style="90" customWidth="1"/>
    <col min="9487" max="9730" width="13" style="90"/>
    <col min="9731" max="9731" width="8.7109375" style="90" bestFit="1" customWidth="1"/>
    <col min="9732" max="9732" width="62.7109375" style="90" customWidth="1"/>
    <col min="9733" max="9733" width="11.85546875" style="90" bestFit="1" customWidth="1"/>
    <col min="9734" max="9734" width="19" style="90" bestFit="1" customWidth="1"/>
    <col min="9735" max="9735" width="16.7109375" style="90" customWidth="1"/>
    <col min="9736" max="9736" width="17.5703125" style="90" bestFit="1" customWidth="1"/>
    <col min="9737" max="9738" width="22.5703125" style="90" customWidth="1"/>
    <col min="9739" max="9739" width="13" style="90" customWidth="1"/>
    <col min="9740" max="9740" width="12.5703125" style="90" customWidth="1"/>
    <col min="9741" max="9741" width="13" style="90" customWidth="1"/>
    <col min="9742" max="9742" width="9.5703125" style="90" customWidth="1"/>
    <col min="9743" max="9986" width="13" style="90"/>
    <col min="9987" max="9987" width="8.7109375" style="90" bestFit="1" customWidth="1"/>
    <col min="9988" max="9988" width="62.7109375" style="90" customWidth="1"/>
    <col min="9989" max="9989" width="11.85546875" style="90" bestFit="1" customWidth="1"/>
    <col min="9990" max="9990" width="19" style="90" bestFit="1" customWidth="1"/>
    <col min="9991" max="9991" width="16.7109375" style="90" customWidth="1"/>
    <col min="9992" max="9992" width="17.5703125" style="90" bestFit="1" customWidth="1"/>
    <col min="9993" max="9994" width="22.5703125" style="90" customWidth="1"/>
    <col min="9995" max="9995" width="13" style="90" customWidth="1"/>
    <col min="9996" max="9996" width="12.5703125" style="90" customWidth="1"/>
    <col min="9997" max="9997" width="13" style="90" customWidth="1"/>
    <col min="9998" max="9998" width="9.5703125" style="90" customWidth="1"/>
    <col min="9999" max="10242" width="13" style="90"/>
    <col min="10243" max="10243" width="8.7109375" style="90" bestFit="1" customWidth="1"/>
    <col min="10244" max="10244" width="62.7109375" style="90" customWidth="1"/>
    <col min="10245" max="10245" width="11.85546875" style="90" bestFit="1" customWidth="1"/>
    <col min="10246" max="10246" width="19" style="90" bestFit="1" customWidth="1"/>
    <col min="10247" max="10247" width="16.7109375" style="90" customWidth="1"/>
    <col min="10248" max="10248" width="17.5703125" style="90" bestFit="1" customWidth="1"/>
    <col min="10249" max="10250" width="22.5703125" style="90" customWidth="1"/>
    <col min="10251" max="10251" width="13" style="90" customWidth="1"/>
    <col min="10252" max="10252" width="12.5703125" style="90" customWidth="1"/>
    <col min="10253" max="10253" width="13" style="90" customWidth="1"/>
    <col min="10254" max="10254" width="9.5703125" style="90" customWidth="1"/>
    <col min="10255" max="10498" width="13" style="90"/>
    <col min="10499" max="10499" width="8.7109375" style="90" bestFit="1" customWidth="1"/>
    <col min="10500" max="10500" width="62.7109375" style="90" customWidth="1"/>
    <col min="10501" max="10501" width="11.85546875" style="90" bestFit="1" customWidth="1"/>
    <col min="10502" max="10502" width="19" style="90" bestFit="1" customWidth="1"/>
    <col min="10503" max="10503" width="16.7109375" style="90" customWidth="1"/>
    <col min="10504" max="10504" width="17.5703125" style="90" bestFit="1" customWidth="1"/>
    <col min="10505" max="10506" width="22.5703125" style="90" customWidth="1"/>
    <col min="10507" max="10507" width="13" style="90" customWidth="1"/>
    <col min="10508" max="10508" width="12.5703125" style="90" customWidth="1"/>
    <col min="10509" max="10509" width="13" style="90" customWidth="1"/>
    <col min="10510" max="10510" width="9.5703125" style="90" customWidth="1"/>
    <col min="10511" max="10754" width="13" style="90"/>
    <col min="10755" max="10755" width="8.7109375" style="90" bestFit="1" customWidth="1"/>
    <col min="10756" max="10756" width="62.7109375" style="90" customWidth="1"/>
    <col min="10757" max="10757" width="11.85546875" style="90" bestFit="1" customWidth="1"/>
    <col min="10758" max="10758" width="19" style="90" bestFit="1" customWidth="1"/>
    <col min="10759" max="10759" width="16.7109375" style="90" customWidth="1"/>
    <col min="10760" max="10760" width="17.5703125" style="90" bestFit="1" customWidth="1"/>
    <col min="10761" max="10762" width="22.5703125" style="90" customWidth="1"/>
    <col min="10763" max="10763" width="13" style="90" customWidth="1"/>
    <col min="10764" max="10764" width="12.5703125" style="90" customWidth="1"/>
    <col min="10765" max="10765" width="13" style="90" customWidth="1"/>
    <col min="10766" max="10766" width="9.5703125" style="90" customWidth="1"/>
    <col min="10767" max="11010" width="13" style="90"/>
    <col min="11011" max="11011" width="8.7109375" style="90" bestFit="1" customWidth="1"/>
    <col min="11012" max="11012" width="62.7109375" style="90" customWidth="1"/>
    <col min="11013" max="11013" width="11.85546875" style="90" bestFit="1" customWidth="1"/>
    <col min="11014" max="11014" width="19" style="90" bestFit="1" customWidth="1"/>
    <col min="11015" max="11015" width="16.7109375" style="90" customWidth="1"/>
    <col min="11016" max="11016" width="17.5703125" style="90" bestFit="1" customWidth="1"/>
    <col min="11017" max="11018" width="22.5703125" style="90" customWidth="1"/>
    <col min="11019" max="11019" width="13" style="90" customWidth="1"/>
    <col min="11020" max="11020" width="12.5703125" style="90" customWidth="1"/>
    <col min="11021" max="11021" width="13" style="90" customWidth="1"/>
    <col min="11022" max="11022" width="9.5703125" style="90" customWidth="1"/>
    <col min="11023" max="11266" width="13" style="90"/>
    <col min="11267" max="11267" width="8.7109375" style="90" bestFit="1" customWidth="1"/>
    <col min="11268" max="11268" width="62.7109375" style="90" customWidth="1"/>
    <col min="11269" max="11269" width="11.85546875" style="90" bestFit="1" customWidth="1"/>
    <col min="11270" max="11270" width="19" style="90" bestFit="1" customWidth="1"/>
    <col min="11271" max="11271" width="16.7109375" style="90" customWidth="1"/>
    <col min="11272" max="11272" width="17.5703125" style="90" bestFit="1" customWidth="1"/>
    <col min="11273" max="11274" width="22.5703125" style="90" customWidth="1"/>
    <col min="11275" max="11275" width="13" style="90" customWidth="1"/>
    <col min="11276" max="11276" width="12.5703125" style="90" customWidth="1"/>
    <col min="11277" max="11277" width="13" style="90" customWidth="1"/>
    <col min="11278" max="11278" width="9.5703125" style="90" customWidth="1"/>
    <col min="11279" max="11522" width="13" style="90"/>
    <col min="11523" max="11523" width="8.7109375" style="90" bestFit="1" customWidth="1"/>
    <col min="11524" max="11524" width="62.7109375" style="90" customWidth="1"/>
    <col min="11525" max="11525" width="11.85546875" style="90" bestFit="1" customWidth="1"/>
    <col min="11526" max="11526" width="19" style="90" bestFit="1" customWidth="1"/>
    <col min="11527" max="11527" width="16.7109375" style="90" customWidth="1"/>
    <col min="11528" max="11528" width="17.5703125" style="90" bestFit="1" customWidth="1"/>
    <col min="11529" max="11530" width="22.5703125" style="90" customWidth="1"/>
    <col min="11531" max="11531" width="13" style="90" customWidth="1"/>
    <col min="11532" max="11532" width="12.5703125" style="90" customWidth="1"/>
    <col min="11533" max="11533" width="13" style="90" customWidth="1"/>
    <col min="11534" max="11534" width="9.5703125" style="90" customWidth="1"/>
    <col min="11535" max="11778" width="13" style="90"/>
    <col min="11779" max="11779" width="8.7109375" style="90" bestFit="1" customWidth="1"/>
    <col min="11780" max="11780" width="62.7109375" style="90" customWidth="1"/>
    <col min="11781" max="11781" width="11.85546875" style="90" bestFit="1" customWidth="1"/>
    <col min="11782" max="11782" width="19" style="90" bestFit="1" customWidth="1"/>
    <col min="11783" max="11783" width="16.7109375" style="90" customWidth="1"/>
    <col min="11784" max="11784" width="17.5703125" style="90" bestFit="1" customWidth="1"/>
    <col min="11785" max="11786" width="22.5703125" style="90" customWidth="1"/>
    <col min="11787" max="11787" width="13" style="90" customWidth="1"/>
    <col min="11788" max="11788" width="12.5703125" style="90" customWidth="1"/>
    <col min="11789" max="11789" width="13" style="90" customWidth="1"/>
    <col min="11790" max="11790" width="9.5703125" style="90" customWidth="1"/>
    <col min="11791" max="12034" width="13" style="90"/>
    <col min="12035" max="12035" width="8.7109375" style="90" bestFit="1" customWidth="1"/>
    <col min="12036" max="12036" width="62.7109375" style="90" customWidth="1"/>
    <col min="12037" max="12037" width="11.85546875" style="90" bestFit="1" customWidth="1"/>
    <col min="12038" max="12038" width="19" style="90" bestFit="1" customWidth="1"/>
    <col min="12039" max="12039" width="16.7109375" style="90" customWidth="1"/>
    <col min="12040" max="12040" width="17.5703125" style="90" bestFit="1" customWidth="1"/>
    <col min="12041" max="12042" width="22.5703125" style="90" customWidth="1"/>
    <col min="12043" max="12043" width="13" style="90" customWidth="1"/>
    <col min="12044" max="12044" width="12.5703125" style="90" customWidth="1"/>
    <col min="12045" max="12045" width="13" style="90" customWidth="1"/>
    <col min="12046" max="12046" width="9.5703125" style="90" customWidth="1"/>
    <col min="12047" max="12290" width="13" style="90"/>
    <col min="12291" max="12291" width="8.7109375" style="90" bestFit="1" customWidth="1"/>
    <col min="12292" max="12292" width="62.7109375" style="90" customWidth="1"/>
    <col min="12293" max="12293" width="11.85546875" style="90" bestFit="1" customWidth="1"/>
    <col min="12294" max="12294" width="19" style="90" bestFit="1" customWidth="1"/>
    <col min="12295" max="12295" width="16.7109375" style="90" customWidth="1"/>
    <col min="12296" max="12296" width="17.5703125" style="90" bestFit="1" customWidth="1"/>
    <col min="12297" max="12298" width="22.5703125" style="90" customWidth="1"/>
    <col min="12299" max="12299" width="13" style="90" customWidth="1"/>
    <col min="12300" max="12300" width="12.5703125" style="90" customWidth="1"/>
    <col min="12301" max="12301" width="13" style="90" customWidth="1"/>
    <col min="12302" max="12302" width="9.5703125" style="90" customWidth="1"/>
    <col min="12303" max="12546" width="13" style="90"/>
    <col min="12547" max="12547" width="8.7109375" style="90" bestFit="1" customWidth="1"/>
    <col min="12548" max="12548" width="62.7109375" style="90" customWidth="1"/>
    <col min="12549" max="12549" width="11.85546875" style="90" bestFit="1" customWidth="1"/>
    <col min="12550" max="12550" width="19" style="90" bestFit="1" customWidth="1"/>
    <col min="12551" max="12551" width="16.7109375" style="90" customWidth="1"/>
    <col min="12552" max="12552" width="17.5703125" style="90" bestFit="1" customWidth="1"/>
    <col min="12553" max="12554" width="22.5703125" style="90" customWidth="1"/>
    <col min="12555" max="12555" width="13" style="90" customWidth="1"/>
    <col min="12556" max="12556" width="12.5703125" style="90" customWidth="1"/>
    <col min="12557" max="12557" width="13" style="90" customWidth="1"/>
    <col min="12558" max="12558" width="9.5703125" style="90" customWidth="1"/>
    <col min="12559" max="12802" width="13" style="90"/>
    <col min="12803" max="12803" width="8.7109375" style="90" bestFit="1" customWidth="1"/>
    <col min="12804" max="12804" width="62.7109375" style="90" customWidth="1"/>
    <col min="12805" max="12805" width="11.85546875" style="90" bestFit="1" customWidth="1"/>
    <col min="12806" max="12806" width="19" style="90" bestFit="1" customWidth="1"/>
    <col min="12807" max="12807" width="16.7109375" style="90" customWidth="1"/>
    <col min="12808" max="12808" width="17.5703125" style="90" bestFit="1" customWidth="1"/>
    <col min="12809" max="12810" width="22.5703125" style="90" customWidth="1"/>
    <col min="12811" max="12811" width="13" style="90" customWidth="1"/>
    <col min="12812" max="12812" width="12.5703125" style="90" customWidth="1"/>
    <col min="12813" max="12813" width="13" style="90" customWidth="1"/>
    <col min="12814" max="12814" width="9.5703125" style="90" customWidth="1"/>
    <col min="12815" max="13058" width="13" style="90"/>
    <col min="13059" max="13059" width="8.7109375" style="90" bestFit="1" customWidth="1"/>
    <col min="13060" max="13060" width="62.7109375" style="90" customWidth="1"/>
    <col min="13061" max="13061" width="11.85546875" style="90" bestFit="1" customWidth="1"/>
    <col min="13062" max="13062" width="19" style="90" bestFit="1" customWidth="1"/>
    <col min="13063" max="13063" width="16.7109375" style="90" customWidth="1"/>
    <col min="13064" max="13064" width="17.5703125" style="90" bestFit="1" customWidth="1"/>
    <col min="13065" max="13066" width="22.5703125" style="90" customWidth="1"/>
    <col min="13067" max="13067" width="13" style="90" customWidth="1"/>
    <col min="13068" max="13068" width="12.5703125" style="90" customWidth="1"/>
    <col min="13069" max="13069" width="13" style="90" customWidth="1"/>
    <col min="13070" max="13070" width="9.5703125" style="90" customWidth="1"/>
    <col min="13071" max="13314" width="13" style="90"/>
    <col min="13315" max="13315" width="8.7109375" style="90" bestFit="1" customWidth="1"/>
    <col min="13316" max="13316" width="62.7109375" style="90" customWidth="1"/>
    <col min="13317" max="13317" width="11.85546875" style="90" bestFit="1" customWidth="1"/>
    <col min="13318" max="13318" width="19" style="90" bestFit="1" customWidth="1"/>
    <col min="13319" max="13319" width="16.7109375" style="90" customWidth="1"/>
    <col min="13320" max="13320" width="17.5703125" style="90" bestFit="1" customWidth="1"/>
    <col min="13321" max="13322" width="22.5703125" style="90" customWidth="1"/>
    <col min="13323" max="13323" width="13" style="90" customWidth="1"/>
    <col min="13324" max="13324" width="12.5703125" style="90" customWidth="1"/>
    <col min="13325" max="13325" width="13" style="90" customWidth="1"/>
    <col min="13326" max="13326" width="9.5703125" style="90" customWidth="1"/>
    <col min="13327" max="13570" width="13" style="90"/>
    <col min="13571" max="13571" width="8.7109375" style="90" bestFit="1" customWidth="1"/>
    <col min="13572" max="13572" width="62.7109375" style="90" customWidth="1"/>
    <col min="13573" max="13573" width="11.85546875" style="90" bestFit="1" customWidth="1"/>
    <col min="13574" max="13574" width="19" style="90" bestFit="1" customWidth="1"/>
    <col min="13575" max="13575" width="16.7109375" style="90" customWidth="1"/>
    <col min="13576" max="13576" width="17.5703125" style="90" bestFit="1" customWidth="1"/>
    <col min="13577" max="13578" width="22.5703125" style="90" customWidth="1"/>
    <col min="13579" max="13579" width="13" style="90" customWidth="1"/>
    <col min="13580" max="13580" width="12.5703125" style="90" customWidth="1"/>
    <col min="13581" max="13581" width="13" style="90" customWidth="1"/>
    <col min="13582" max="13582" width="9.5703125" style="90" customWidth="1"/>
    <col min="13583" max="13826" width="13" style="90"/>
    <col min="13827" max="13827" width="8.7109375" style="90" bestFit="1" customWidth="1"/>
    <col min="13828" max="13828" width="62.7109375" style="90" customWidth="1"/>
    <col min="13829" max="13829" width="11.85546875" style="90" bestFit="1" customWidth="1"/>
    <col min="13830" max="13830" width="19" style="90" bestFit="1" customWidth="1"/>
    <col min="13831" max="13831" width="16.7109375" style="90" customWidth="1"/>
    <col min="13832" max="13832" width="17.5703125" style="90" bestFit="1" customWidth="1"/>
    <col min="13833" max="13834" width="22.5703125" style="90" customWidth="1"/>
    <col min="13835" max="13835" width="13" style="90" customWidth="1"/>
    <col min="13836" max="13836" width="12.5703125" style="90" customWidth="1"/>
    <col min="13837" max="13837" width="13" style="90" customWidth="1"/>
    <col min="13838" max="13838" width="9.5703125" style="90" customWidth="1"/>
    <col min="13839" max="14082" width="13" style="90"/>
    <col min="14083" max="14083" width="8.7109375" style="90" bestFit="1" customWidth="1"/>
    <col min="14084" max="14084" width="62.7109375" style="90" customWidth="1"/>
    <col min="14085" max="14085" width="11.85546875" style="90" bestFit="1" customWidth="1"/>
    <col min="14086" max="14086" width="19" style="90" bestFit="1" customWidth="1"/>
    <col min="14087" max="14087" width="16.7109375" style="90" customWidth="1"/>
    <col min="14088" max="14088" width="17.5703125" style="90" bestFit="1" customWidth="1"/>
    <col min="14089" max="14090" width="22.5703125" style="90" customWidth="1"/>
    <col min="14091" max="14091" width="13" style="90" customWidth="1"/>
    <col min="14092" max="14092" width="12.5703125" style="90" customWidth="1"/>
    <col min="14093" max="14093" width="13" style="90" customWidth="1"/>
    <col min="14094" max="14094" width="9.5703125" style="90" customWidth="1"/>
    <col min="14095" max="14338" width="13" style="90"/>
    <col min="14339" max="14339" width="8.7109375" style="90" bestFit="1" customWidth="1"/>
    <col min="14340" max="14340" width="62.7109375" style="90" customWidth="1"/>
    <col min="14341" max="14341" width="11.85546875" style="90" bestFit="1" customWidth="1"/>
    <col min="14342" max="14342" width="19" style="90" bestFit="1" customWidth="1"/>
    <col min="14343" max="14343" width="16.7109375" style="90" customWidth="1"/>
    <col min="14344" max="14344" width="17.5703125" style="90" bestFit="1" customWidth="1"/>
    <col min="14345" max="14346" width="22.5703125" style="90" customWidth="1"/>
    <col min="14347" max="14347" width="13" style="90" customWidth="1"/>
    <col min="14348" max="14348" width="12.5703125" style="90" customWidth="1"/>
    <col min="14349" max="14349" width="13" style="90" customWidth="1"/>
    <col min="14350" max="14350" width="9.5703125" style="90" customWidth="1"/>
    <col min="14351" max="14594" width="13" style="90"/>
    <col min="14595" max="14595" width="8.7109375" style="90" bestFit="1" customWidth="1"/>
    <col min="14596" max="14596" width="62.7109375" style="90" customWidth="1"/>
    <col min="14597" max="14597" width="11.85546875" style="90" bestFit="1" customWidth="1"/>
    <col min="14598" max="14598" width="19" style="90" bestFit="1" customWidth="1"/>
    <col min="14599" max="14599" width="16.7109375" style="90" customWidth="1"/>
    <col min="14600" max="14600" width="17.5703125" style="90" bestFit="1" customWidth="1"/>
    <col min="14601" max="14602" width="22.5703125" style="90" customWidth="1"/>
    <col min="14603" max="14603" width="13" style="90" customWidth="1"/>
    <col min="14604" max="14604" width="12.5703125" style="90" customWidth="1"/>
    <col min="14605" max="14605" width="13" style="90" customWidth="1"/>
    <col min="14606" max="14606" width="9.5703125" style="90" customWidth="1"/>
    <col min="14607" max="14850" width="13" style="90"/>
    <col min="14851" max="14851" width="8.7109375" style="90" bestFit="1" customWidth="1"/>
    <col min="14852" max="14852" width="62.7109375" style="90" customWidth="1"/>
    <col min="14853" max="14853" width="11.85546875" style="90" bestFit="1" customWidth="1"/>
    <col min="14854" max="14854" width="19" style="90" bestFit="1" customWidth="1"/>
    <col min="14855" max="14855" width="16.7109375" style="90" customWidth="1"/>
    <col min="14856" max="14856" width="17.5703125" style="90" bestFit="1" customWidth="1"/>
    <col min="14857" max="14858" width="22.5703125" style="90" customWidth="1"/>
    <col min="14859" max="14859" width="13" style="90" customWidth="1"/>
    <col min="14860" max="14860" width="12.5703125" style="90" customWidth="1"/>
    <col min="14861" max="14861" width="13" style="90" customWidth="1"/>
    <col min="14862" max="14862" width="9.5703125" style="90" customWidth="1"/>
    <col min="14863" max="15106" width="13" style="90"/>
    <col min="15107" max="15107" width="8.7109375" style="90" bestFit="1" customWidth="1"/>
    <col min="15108" max="15108" width="62.7109375" style="90" customWidth="1"/>
    <col min="15109" max="15109" width="11.85546875" style="90" bestFit="1" customWidth="1"/>
    <col min="15110" max="15110" width="19" style="90" bestFit="1" customWidth="1"/>
    <col min="15111" max="15111" width="16.7109375" style="90" customWidth="1"/>
    <col min="15112" max="15112" width="17.5703125" style="90" bestFit="1" customWidth="1"/>
    <col min="15113" max="15114" width="22.5703125" style="90" customWidth="1"/>
    <col min="15115" max="15115" width="13" style="90" customWidth="1"/>
    <col min="15116" max="15116" width="12.5703125" style="90" customWidth="1"/>
    <col min="15117" max="15117" width="13" style="90" customWidth="1"/>
    <col min="15118" max="15118" width="9.5703125" style="90" customWidth="1"/>
    <col min="15119" max="15362" width="13" style="90"/>
    <col min="15363" max="15363" width="8.7109375" style="90" bestFit="1" customWidth="1"/>
    <col min="15364" max="15364" width="62.7109375" style="90" customWidth="1"/>
    <col min="15365" max="15365" width="11.85546875" style="90" bestFit="1" customWidth="1"/>
    <col min="15366" max="15366" width="19" style="90" bestFit="1" customWidth="1"/>
    <col min="15367" max="15367" width="16.7109375" style="90" customWidth="1"/>
    <col min="15368" max="15368" width="17.5703125" style="90" bestFit="1" customWidth="1"/>
    <col min="15369" max="15370" width="22.5703125" style="90" customWidth="1"/>
    <col min="15371" max="15371" width="13" style="90" customWidth="1"/>
    <col min="15372" max="15372" width="12.5703125" style="90" customWidth="1"/>
    <col min="15373" max="15373" width="13" style="90" customWidth="1"/>
    <col min="15374" max="15374" width="9.5703125" style="90" customWidth="1"/>
    <col min="15375" max="15618" width="13" style="90"/>
    <col min="15619" max="15619" width="8.7109375" style="90" bestFit="1" customWidth="1"/>
    <col min="15620" max="15620" width="62.7109375" style="90" customWidth="1"/>
    <col min="15621" max="15621" width="11.85546875" style="90" bestFit="1" customWidth="1"/>
    <col min="15622" max="15622" width="19" style="90" bestFit="1" customWidth="1"/>
    <col min="15623" max="15623" width="16.7109375" style="90" customWidth="1"/>
    <col min="15624" max="15624" width="17.5703125" style="90" bestFit="1" customWidth="1"/>
    <col min="15625" max="15626" width="22.5703125" style="90" customWidth="1"/>
    <col min="15627" max="15627" width="13" style="90" customWidth="1"/>
    <col min="15628" max="15628" width="12.5703125" style="90" customWidth="1"/>
    <col min="15629" max="15629" width="13" style="90" customWidth="1"/>
    <col min="15630" max="15630" width="9.5703125" style="90" customWidth="1"/>
    <col min="15631" max="15874" width="13" style="90"/>
    <col min="15875" max="15875" width="8.7109375" style="90" bestFit="1" customWidth="1"/>
    <col min="15876" max="15876" width="62.7109375" style="90" customWidth="1"/>
    <col min="15877" max="15877" width="11.85546875" style="90" bestFit="1" customWidth="1"/>
    <col min="15878" max="15878" width="19" style="90" bestFit="1" customWidth="1"/>
    <col min="15879" max="15879" width="16.7109375" style="90" customWidth="1"/>
    <col min="15880" max="15880" width="17.5703125" style="90" bestFit="1" customWidth="1"/>
    <col min="15881" max="15882" width="22.5703125" style="90" customWidth="1"/>
    <col min="15883" max="15883" width="13" style="90" customWidth="1"/>
    <col min="15884" max="15884" width="12.5703125" style="90" customWidth="1"/>
    <col min="15885" max="15885" width="13" style="90" customWidth="1"/>
    <col min="15886" max="15886" width="9.5703125" style="90" customWidth="1"/>
    <col min="15887" max="16130" width="13" style="90"/>
    <col min="16131" max="16131" width="8.7109375" style="90" bestFit="1" customWidth="1"/>
    <col min="16132" max="16132" width="62.7109375" style="90" customWidth="1"/>
    <col min="16133" max="16133" width="11.85546875" style="90" bestFit="1" customWidth="1"/>
    <col min="16134" max="16134" width="19" style="90" bestFit="1" customWidth="1"/>
    <col min="16135" max="16135" width="16.7109375" style="90" customWidth="1"/>
    <col min="16136" max="16136" width="17.5703125" style="90" bestFit="1" customWidth="1"/>
    <col min="16137" max="16138" width="22.5703125" style="90" customWidth="1"/>
    <col min="16139" max="16139" width="13" style="90" customWidth="1"/>
    <col min="16140" max="16140" width="12.5703125" style="90" customWidth="1"/>
    <col min="16141" max="16141" width="13" style="90" customWidth="1"/>
    <col min="16142" max="16142" width="9.5703125" style="90" customWidth="1"/>
    <col min="16143" max="16384" width="13" style="90"/>
  </cols>
  <sheetData>
    <row r="1" spans="1:11" ht="17.25" customHeight="1">
      <c r="A1" s="2791" t="s">
        <v>2830</v>
      </c>
      <c r="B1" s="2792"/>
      <c r="C1" s="2004"/>
      <c r="D1" s="2012"/>
      <c r="E1" s="2004"/>
      <c r="F1" s="2004"/>
      <c r="G1" s="2004"/>
      <c r="H1" s="2793" t="s">
        <v>3794</v>
      </c>
      <c r="I1" s="2793"/>
      <c r="J1" s="2805"/>
    </row>
    <row r="2" spans="1:11" ht="14.25" customHeight="1">
      <c r="A2" s="2806" t="s">
        <v>3795</v>
      </c>
      <c r="B2" s="2807"/>
      <c r="C2" s="2807"/>
      <c r="D2" s="2807"/>
      <c r="E2" s="2807"/>
      <c r="F2" s="2807"/>
      <c r="G2" s="2807"/>
      <c r="H2" s="2807"/>
      <c r="I2" s="2807"/>
      <c r="J2" s="2013"/>
    </row>
    <row r="3" spans="1:11" ht="57">
      <c r="A3" s="1015" t="s">
        <v>746</v>
      </c>
      <c r="B3" s="1015" t="s">
        <v>3796</v>
      </c>
      <c r="C3" s="1015" t="s">
        <v>1512</v>
      </c>
      <c r="D3" s="1015" t="s">
        <v>3797</v>
      </c>
      <c r="E3" s="1015" t="s">
        <v>3798</v>
      </c>
      <c r="F3" s="1015" t="s">
        <v>3799</v>
      </c>
      <c r="G3" s="1015" t="s">
        <v>3800</v>
      </c>
      <c r="H3" s="1015" t="s">
        <v>3801</v>
      </c>
      <c r="I3" s="1015" t="s">
        <v>3802</v>
      </c>
      <c r="J3" s="1015" t="s">
        <v>3803</v>
      </c>
    </row>
    <row r="4" spans="1:11">
      <c r="A4" s="1015">
        <v>1</v>
      </c>
      <c r="B4" s="632" t="s">
        <v>3804</v>
      </c>
      <c r="C4" s="1799"/>
      <c r="D4" s="1015"/>
      <c r="E4" s="1015"/>
      <c r="F4" s="1015"/>
      <c r="G4" s="1015"/>
      <c r="H4" s="1015"/>
      <c r="I4" s="1799"/>
      <c r="J4" s="1799"/>
    </row>
    <row r="5" spans="1:11">
      <c r="A5" s="1015" t="s">
        <v>2674</v>
      </c>
      <c r="B5" s="633" t="s">
        <v>3805</v>
      </c>
      <c r="C5" s="634" t="s">
        <v>1760</v>
      </c>
      <c r="D5" s="1015">
        <v>0</v>
      </c>
      <c r="E5" s="1015">
        <v>0</v>
      </c>
      <c r="F5" s="1015">
        <v>0</v>
      </c>
      <c r="G5" s="1015">
        <v>0</v>
      </c>
      <c r="H5" s="1015">
        <v>0</v>
      </c>
      <c r="I5" s="1015">
        <v>0</v>
      </c>
      <c r="J5" s="1015">
        <v>0</v>
      </c>
    </row>
    <row r="6" spans="1:11">
      <c r="A6" s="1799"/>
      <c r="B6" s="635" t="s">
        <v>3806</v>
      </c>
      <c r="C6" s="636" t="s">
        <v>3807</v>
      </c>
      <c r="D6" s="637">
        <v>0.8</v>
      </c>
      <c r="E6" s="637">
        <f>D6*108%</f>
        <v>0.8640000000000001</v>
      </c>
      <c r="F6" s="637">
        <f>E6*108%</f>
        <v>0.93312000000000017</v>
      </c>
      <c r="G6" s="117">
        <v>0</v>
      </c>
      <c r="H6" s="117">
        <v>0</v>
      </c>
      <c r="I6" s="117">
        <f>H6*108%</f>
        <v>0</v>
      </c>
      <c r="J6" s="117">
        <v>2.1</v>
      </c>
    </row>
    <row r="7" spans="1:11">
      <c r="A7" s="1799"/>
      <c r="B7" s="635" t="s">
        <v>3808</v>
      </c>
      <c r="C7" s="636" t="s">
        <v>3807</v>
      </c>
      <c r="D7" s="638">
        <f>D5*D6</f>
        <v>0</v>
      </c>
      <c r="E7" s="638">
        <f>E5*E6</f>
        <v>0</v>
      </c>
      <c r="F7" s="638">
        <f>F5*F6</f>
        <v>0</v>
      </c>
      <c r="G7" s="638">
        <f>G6*G5</f>
        <v>0</v>
      </c>
      <c r="H7" s="638">
        <f>H6*H5</f>
        <v>0</v>
      </c>
      <c r="I7" s="638">
        <f>I6*I5</f>
        <v>0</v>
      </c>
      <c r="J7" s="1015">
        <f>J6*J5</f>
        <v>0</v>
      </c>
    </row>
    <row r="8" spans="1:11">
      <c r="A8" s="1799"/>
      <c r="B8" s="635" t="s">
        <v>3809</v>
      </c>
      <c r="C8" s="636" t="s">
        <v>469</v>
      </c>
      <c r="D8" s="639">
        <f t="shared" ref="D8:J8" si="0">+(D62/D61)*D7</f>
        <v>0</v>
      </c>
      <c r="E8" s="639">
        <f t="shared" si="0"/>
        <v>0</v>
      </c>
      <c r="F8" s="639">
        <f t="shared" si="0"/>
        <v>0</v>
      </c>
      <c r="G8" s="639" t="e">
        <f>+(G62/G61)*G7</f>
        <v>#DIV/0!</v>
      </c>
      <c r="H8" s="639">
        <f>+(H62/H61)*H7</f>
        <v>0</v>
      </c>
      <c r="I8" s="639">
        <f t="shared" si="0"/>
        <v>0</v>
      </c>
      <c r="J8" s="639">
        <f t="shared" si="0"/>
        <v>0</v>
      </c>
    </row>
    <row r="9" spans="1:11">
      <c r="A9" s="1015" t="s">
        <v>2676</v>
      </c>
      <c r="B9" s="632" t="s">
        <v>3810</v>
      </c>
      <c r="C9" s="1799"/>
      <c r="D9" s="1799"/>
      <c r="E9" s="1799"/>
      <c r="F9" s="1799"/>
      <c r="G9" s="1799"/>
      <c r="H9" s="1799"/>
      <c r="I9" s="1799"/>
      <c r="J9" s="1799"/>
    </row>
    <row r="10" spans="1:11">
      <c r="A10" s="1799" t="s">
        <v>3811</v>
      </c>
      <c r="B10" s="634" t="s">
        <v>3812</v>
      </c>
      <c r="C10" s="634" t="s">
        <v>3813</v>
      </c>
      <c r="D10" s="1015">
        <v>10</v>
      </c>
      <c r="E10" s="1015">
        <v>20</v>
      </c>
      <c r="F10" s="640">
        <v>30</v>
      </c>
      <c r="G10" s="640">
        <v>0</v>
      </c>
      <c r="H10" s="1015">
        <v>114.5</v>
      </c>
      <c r="I10" s="1015">
        <v>80</v>
      </c>
      <c r="J10" s="1015">
        <v>94</v>
      </c>
    </row>
    <row r="11" spans="1:11">
      <c r="A11" s="1799"/>
      <c r="B11" s="635" t="s">
        <v>3806</v>
      </c>
      <c r="C11" s="636" t="s">
        <v>3807</v>
      </c>
      <c r="D11" s="117">
        <v>1.8</v>
      </c>
      <c r="E11" s="637">
        <f>D11*108%</f>
        <v>1.9440000000000002</v>
      </c>
      <c r="F11" s="117">
        <f>E11*108%</f>
        <v>2.0995200000000005</v>
      </c>
      <c r="G11" s="117">
        <v>13.48</v>
      </c>
      <c r="H11" s="117">
        <v>13.48</v>
      </c>
      <c r="I11" s="117">
        <f>H11*108%</f>
        <v>14.558400000000001</v>
      </c>
      <c r="J11" s="117">
        <v>26.33</v>
      </c>
    </row>
    <row r="12" spans="1:11">
      <c r="A12" s="1799"/>
      <c r="B12" s="635" t="s">
        <v>3808</v>
      </c>
      <c r="C12" s="636" t="s">
        <v>3807</v>
      </c>
      <c r="D12" s="638">
        <f t="shared" ref="D12:I12" si="1">D10*D11</f>
        <v>18</v>
      </c>
      <c r="E12" s="638">
        <f t="shared" si="1"/>
        <v>38.880000000000003</v>
      </c>
      <c r="F12" s="638">
        <f t="shared" si="1"/>
        <v>62.985600000000012</v>
      </c>
      <c r="G12" s="638">
        <f>G10*G11</f>
        <v>0</v>
      </c>
      <c r="H12" s="638">
        <f t="shared" si="1"/>
        <v>1543.46</v>
      </c>
      <c r="I12" s="638">
        <f t="shared" si="1"/>
        <v>1164.672</v>
      </c>
      <c r="J12" s="638">
        <f>J10*J11</f>
        <v>2475.02</v>
      </c>
    </row>
    <row r="13" spans="1:11">
      <c r="A13" s="1799"/>
      <c r="B13" s="635" t="s">
        <v>3809</v>
      </c>
      <c r="C13" s="636" t="s">
        <v>469</v>
      </c>
      <c r="D13" s="639">
        <f t="shared" ref="D13:J13" si="2">+(D62/D61)*D12</f>
        <v>5.8266569555717409E-5</v>
      </c>
      <c r="E13" s="639">
        <f t="shared" si="2"/>
        <v>1.8687545961846259E-4</v>
      </c>
      <c r="F13" s="639">
        <f t="shared" si="2"/>
        <v>2.1386121186390267E-4</v>
      </c>
      <c r="G13" s="639" t="e">
        <f t="shared" si="2"/>
        <v>#DIV/0!</v>
      </c>
      <c r="H13" s="639">
        <f t="shared" si="2"/>
        <v>4.6594667210058801E-3</v>
      </c>
      <c r="I13" s="639">
        <f t="shared" si="2"/>
        <v>2.0803773384712584E-3</v>
      </c>
      <c r="J13" s="639">
        <f t="shared" si="2"/>
        <v>1.9036798834695817E-3</v>
      </c>
    </row>
    <row r="14" spans="1:11">
      <c r="A14" s="1799"/>
      <c r="B14" s="634" t="s">
        <v>3814</v>
      </c>
      <c r="C14" s="634" t="s">
        <v>3813</v>
      </c>
      <c r="D14" s="1015">
        <v>45</v>
      </c>
      <c r="E14" s="1015">
        <v>50</v>
      </c>
      <c r="F14" s="640">
        <v>50</v>
      </c>
      <c r="G14" s="1015">
        <v>0</v>
      </c>
      <c r="H14" s="1015">
        <v>0</v>
      </c>
      <c r="I14" s="1015">
        <v>0</v>
      </c>
      <c r="J14" s="1015">
        <v>80</v>
      </c>
    </row>
    <row r="15" spans="1:11">
      <c r="A15" s="1799"/>
      <c r="B15" s="635" t="s">
        <v>3806</v>
      </c>
      <c r="C15" s="636" t="s">
        <v>3807</v>
      </c>
      <c r="D15" s="117">
        <v>0.6</v>
      </c>
      <c r="E15" s="637">
        <f>D15*108%</f>
        <v>0.64800000000000002</v>
      </c>
      <c r="F15" s="117">
        <f>E15*108%</f>
        <v>0.69984000000000002</v>
      </c>
      <c r="G15" s="117">
        <v>0</v>
      </c>
      <c r="H15" s="117">
        <v>0</v>
      </c>
      <c r="I15" s="117">
        <f>H15*108%</f>
        <v>0</v>
      </c>
      <c r="J15" s="117">
        <v>26.24</v>
      </c>
      <c r="K15" s="2014"/>
    </row>
    <row r="16" spans="1:11">
      <c r="A16" s="1799"/>
      <c r="B16" s="635" t="s">
        <v>3808</v>
      </c>
      <c r="C16" s="636" t="s">
        <v>3807</v>
      </c>
      <c r="D16" s="638">
        <f t="shared" ref="D16:J16" si="3">D14*D15</f>
        <v>27</v>
      </c>
      <c r="E16" s="638">
        <f t="shared" si="3"/>
        <v>32.4</v>
      </c>
      <c r="F16" s="638">
        <f t="shared" si="3"/>
        <v>34.992000000000004</v>
      </c>
      <c r="G16" s="638">
        <f t="shared" si="3"/>
        <v>0</v>
      </c>
      <c r="H16" s="638">
        <f t="shared" si="3"/>
        <v>0</v>
      </c>
      <c r="I16" s="638">
        <f t="shared" si="3"/>
        <v>0</v>
      </c>
      <c r="J16" s="638">
        <f t="shared" si="3"/>
        <v>2099.1999999999998</v>
      </c>
    </row>
    <row r="17" spans="1:12">
      <c r="A17" s="1799"/>
      <c r="B17" s="635" t="s">
        <v>3809</v>
      </c>
      <c r="C17" s="636" t="s">
        <v>469</v>
      </c>
      <c r="D17" s="639">
        <f t="shared" ref="D17:J17" si="4">+(D62/D61)*D16</f>
        <v>8.7399854333576114E-5</v>
      </c>
      <c r="E17" s="639">
        <f t="shared" si="4"/>
        <v>1.5572954968205214E-4</v>
      </c>
      <c r="F17" s="639">
        <f t="shared" si="4"/>
        <v>1.1881178436883481E-4</v>
      </c>
      <c r="G17" s="639" t="e">
        <f>+(G62/G61)*G16</f>
        <v>#DIV/0!</v>
      </c>
      <c r="H17" s="639">
        <f>+(H62/H61)*H16</f>
        <v>0</v>
      </c>
      <c r="I17" s="639">
        <f t="shared" si="4"/>
        <v>0</v>
      </c>
      <c r="J17" s="639">
        <f t="shared" si="4"/>
        <v>1.6146151592226913E-3</v>
      </c>
    </row>
    <row r="18" spans="1:12">
      <c r="A18" s="1799"/>
      <c r="B18" s="634" t="s">
        <v>3815</v>
      </c>
      <c r="C18" s="634" t="s">
        <v>3813</v>
      </c>
      <c r="D18" s="1015">
        <v>45</v>
      </c>
      <c r="E18" s="1015">
        <v>50</v>
      </c>
      <c r="F18" s="640">
        <v>50</v>
      </c>
      <c r="G18" s="1015">
        <v>0</v>
      </c>
      <c r="H18" s="1015">
        <v>0</v>
      </c>
      <c r="I18" s="1015">
        <v>0</v>
      </c>
      <c r="J18" s="1015">
        <v>0</v>
      </c>
    </row>
    <row r="19" spans="1:12">
      <c r="A19" s="1799"/>
      <c r="B19" s="635" t="s">
        <v>3806</v>
      </c>
      <c r="C19" s="636" t="s">
        <v>3807</v>
      </c>
      <c r="D19" s="117">
        <v>0.6</v>
      </c>
      <c r="E19" s="637">
        <f>D19*108%</f>
        <v>0.64800000000000002</v>
      </c>
      <c r="F19" s="117">
        <f>E19*108%</f>
        <v>0.69984000000000002</v>
      </c>
      <c r="G19" s="117">
        <v>0</v>
      </c>
      <c r="H19" s="117">
        <v>0</v>
      </c>
      <c r="I19" s="117">
        <f>H19*108%</f>
        <v>0</v>
      </c>
      <c r="J19" s="117">
        <v>0</v>
      </c>
      <c r="K19" s="2014"/>
    </row>
    <row r="20" spans="1:12">
      <c r="A20" s="1799"/>
      <c r="B20" s="635" t="s">
        <v>3808</v>
      </c>
      <c r="C20" s="636" t="s">
        <v>3807</v>
      </c>
      <c r="D20" s="638">
        <f t="shared" ref="D20:J20" si="5">D18*D19</f>
        <v>27</v>
      </c>
      <c r="E20" s="638">
        <f t="shared" si="5"/>
        <v>32.4</v>
      </c>
      <c r="F20" s="638">
        <f t="shared" si="5"/>
        <v>34.992000000000004</v>
      </c>
      <c r="G20" s="638">
        <f>G18*G19</f>
        <v>0</v>
      </c>
      <c r="H20" s="638">
        <f>H18*H19</f>
        <v>0</v>
      </c>
      <c r="I20" s="638">
        <f t="shared" si="5"/>
        <v>0</v>
      </c>
      <c r="J20" s="638">
        <f t="shared" si="5"/>
        <v>0</v>
      </c>
    </row>
    <row r="21" spans="1:12">
      <c r="A21" s="1799"/>
      <c r="B21" s="635" t="s">
        <v>3809</v>
      </c>
      <c r="C21" s="636" t="s">
        <v>469</v>
      </c>
      <c r="D21" s="639" t="e">
        <f t="shared" ref="D21:F21" si="6">+(D66/D65)*D20</f>
        <v>#DIV/0!</v>
      </c>
      <c r="E21" s="639" t="e">
        <f t="shared" si="6"/>
        <v>#DIV/0!</v>
      </c>
      <c r="F21" s="639" t="e">
        <f t="shared" si="6"/>
        <v>#DIV/0!</v>
      </c>
      <c r="G21" s="639" t="e">
        <f>+(G62/G61)*G20</f>
        <v>#DIV/0!</v>
      </c>
      <c r="H21" s="639">
        <f>+(H62/H61)*H20</f>
        <v>0</v>
      </c>
      <c r="I21" s="639">
        <f>+(I62/I61)*I20</f>
        <v>0</v>
      </c>
      <c r="J21" s="639">
        <f>+(J62/J61)*J20</f>
        <v>0</v>
      </c>
    </row>
    <row r="22" spans="1:12">
      <c r="A22" s="1799" t="s">
        <v>3816</v>
      </c>
      <c r="B22" s="634" t="s">
        <v>3817</v>
      </c>
      <c r="C22" s="634" t="s">
        <v>3813</v>
      </c>
      <c r="D22" s="1015">
        <v>55</v>
      </c>
      <c r="E22" s="1015">
        <v>80</v>
      </c>
      <c r="F22" s="640">
        <v>100</v>
      </c>
      <c r="G22" s="640">
        <v>0</v>
      </c>
      <c r="H22" s="1015">
        <v>164</v>
      </c>
      <c r="I22" s="1015">
        <v>80</v>
      </c>
      <c r="J22" s="1015">
        <v>169</v>
      </c>
      <c r="K22" s="2014"/>
    </row>
    <row r="23" spans="1:12">
      <c r="A23" s="1799"/>
      <c r="B23" s="635" t="s">
        <v>3806</v>
      </c>
      <c r="C23" s="636" t="s">
        <v>3807</v>
      </c>
      <c r="D23" s="641">
        <v>0.5</v>
      </c>
      <c r="E23" s="637">
        <f>D23*108%</f>
        <v>0.54</v>
      </c>
      <c r="F23" s="117">
        <f>E23*108%</f>
        <v>0.58320000000000005</v>
      </c>
      <c r="G23" s="117">
        <v>0</v>
      </c>
      <c r="H23" s="117">
        <v>12.69</v>
      </c>
      <c r="I23" s="117">
        <f>H23*108%</f>
        <v>13.7052</v>
      </c>
      <c r="J23" s="117">
        <v>16.899999999999999</v>
      </c>
    </row>
    <row r="24" spans="1:12">
      <c r="A24" s="1799"/>
      <c r="B24" s="635" t="s">
        <v>3808</v>
      </c>
      <c r="C24" s="636" t="s">
        <v>3807</v>
      </c>
      <c r="D24" s="638">
        <f>D22*D23</f>
        <v>27.5</v>
      </c>
      <c r="E24" s="638">
        <v>150</v>
      </c>
      <c r="F24" s="638">
        <v>250</v>
      </c>
      <c r="G24" s="638">
        <f>G22*G23</f>
        <v>0</v>
      </c>
      <c r="H24" s="638">
        <f>H22*H23</f>
        <v>2081.16</v>
      </c>
      <c r="I24" s="638">
        <f>I22*I23</f>
        <v>1096.4159999999999</v>
      </c>
      <c r="J24" s="638">
        <f>J22*J23</f>
        <v>2856.1</v>
      </c>
    </row>
    <row r="25" spans="1:12">
      <c r="A25" s="1799"/>
      <c r="B25" s="635" t="s">
        <v>3809</v>
      </c>
      <c r="C25" s="636" t="s">
        <v>469</v>
      </c>
      <c r="D25" s="639">
        <f t="shared" ref="D25:J25" si="7">+(D62/D61)*D24</f>
        <v>8.9018370154568259E-5</v>
      </c>
      <c r="E25" s="639">
        <f t="shared" si="7"/>
        <v>7.2097013741690807E-4</v>
      </c>
      <c r="F25" s="639">
        <f t="shared" si="7"/>
        <v>8.4884962540605566E-4</v>
      </c>
      <c r="G25" s="639" t="e">
        <f t="shared" si="7"/>
        <v>#DIV/0!</v>
      </c>
      <c r="H25" s="639">
        <f t="shared" si="7"/>
        <v>6.2826997532094099E-3</v>
      </c>
      <c r="I25" s="639">
        <f t="shared" si="7"/>
        <v>1.9584561146291E-3</v>
      </c>
      <c r="J25" s="639">
        <f t="shared" si="7"/>
        <v>2.1967903755030151E-3</v>
      </c>
    </row>
    <row r="26" spans="1:12">
      <c r="A26" s="1799" t="s">
        <v>3818</v>
      </c>
      <c r="B26" s="634" t="s">
        <v>232</v>
      </c>
      <c r="C26" s="634" t="s">
        <v>3813</v>
      </c>
      <c r="D26" s="640">
        <v>70</v>
      </c>
      <c r="E26" s="640">
        <v>100</v>
      </c>
      <c r="F26" s="640">
        <v>150</v>
      </c>
      <c r="G26" s="640">
        <v>0</v>
      </c>
      <c r="H26" s="1015">
        <v>220</v>
      </c>
      <c r="I26" s="1015">
        <v>240</v>
      </c>
      <c r="J26" s="1015">
        <v>333</v>
      </c>
    </row>
    <row r="27" spans="1:12">
      <c r="A27" s="1799"/>
      <c r="B27" s="635" t="s">
        <v>3806</v>
      </c>
      <c r="C27" s="636" t="s">
        <v>3807</v>
      </c>
      <c r="D27" s="117">
        <v>1.3</v>
      </c>
      <c r="E27" s="637">
        <f>D27*108%</f>
        <v>1.4040000000000001</v>
      </c>
      <c r="F27" s="117">
        <f>E27*108%</f>
        <v>1.5163200000000003</v>
      </c>
      <c r="G27" s="117">
        <v>0</v>
      </c>
      <c r="H27" s="117">
        <v>6.16</v>
      </c>
      <c r="I27" s="117">
        <f>H27*108%</f>
        <v>6.6528000000000009</v>
      </c>
      <c r="J27" s="117">
        <v>11.984999999999999</v>
      </c>
      <c r="L27" s="2014"/>
    </row>
    <row r="28" spans="1:12">
      <c r="A28" s="1799"/>
      <c r="B28" s="635" t="s">
        <v>3808</v>
      </c>
      <c r="C28" s="636" t="s">
        <v>3807</v>
      </c>
      <c r="D28" s="638">
        <f>D26*D27</f>
        <v>91</v>
      </c>
      <c r="E28" s="638">
        <v>300</v>
      </c>
      <c r="F28" s="638">
        <v>500</v>
      </c>
      <c r="G28" s="638">
        <f>G26*G27</f>
        <v>0</v>
      </c>
      <c r="H28" s="638">
        <f>H26*H27</f>
        <v>1355.2</v>
      </c>
      <c r="I28" s="638">
        <f>I26*I27</f>
        <v>1596.6720000000003</v>
      </c>
      <c r="J28" s="638">
        <f>J26*J27</f>
        <v>3991.0049999999997</v>
      </c>
    </row>
    <row r="29" spans="1:12">
      <c r="A29" s="1799"/>
      <c r="B29" s="635" t="s">
        <v>3809</v>
      </c>
      <c r="C29" s="636" t="s">
        <v>469</v>
      </c>
      <c r="D29" s="639">
        <f t="shared" ref="D29:J29" si="8">+(D62/D61)*D28</f>
        <v>2.9456987942057136E-4</v>
      </c>
      <c r="E29" s="639">
        <f t="shared" si="8"/>
        <v>1.4419402748338161E-3</v>
      </c>
      <c r="F29" s="639">
        <f t="shared" si="8"/>
        <v>1.6976992508121113E-3</v>
      </c>
      <c r="G29" s="639" t="e">
        <f t="shared" si="8"/>
        <v>#DIV/0!</v>
      </c>
      <c r="H29" s="639">
        <f t="shared" si="8"/>
        <v>4.0911389348004925E-3</v>
      </c>
      <c r="I29" s="639">
        <f t="shared" si="8"/>
        <v>2.8520306539279567E-3</v>
      </c>
      <c r="J29" s="639">
        <f t="shared" si="8"/>
        <v>3.0697109248921288E-3</v>
      </c>
    </row>
    <row r="30" spans="1:12">
      <c r="A30" s="1015" t="s">
        <v>3819</v>
      </c>
      <c r="B30" s="632" t="s">
        <v>3820</v>
      </c>
      <c r="C30" s="636"/>
      <c r="D30" s="642"/>
      <c r="E30" s="1799"/>
      <c r="F30" s="642"/>
      <c r="G30" s="642"/>
      <c r="H30" s="1799"/>
      <c r="I30" s="1799"/>
      <c r="J30" s="1799"/>
    </row>
    <row r="31" spans="1:12">
      <c r="A31" s="1799" t="s">
        <v>3811</v>
      </c>
      <c r="B31" s="634" t="s">
        <v>3821</v>
      </c>
      <c r="C31" s="636" t="s">
        <v>3822</v>
      </c>
      <c r="D31" s="1015">
        <v>0</v>
      </c>
      <c r="E31" s="1015">
        <v>1</v>
      </c>
      <c r="F31" s="640">
        <v>1</v>
      </c>
      <c r="G31" s="640">
        <v>0</v>
      </c>
      <c r="H31" s="1015">
        <v>0</v>
      </c>
      <c r="I31" s="1015">
        <v>0</v>
      </c>
      <c r="J31" s="1015">
        <v>2</v>
      </c>
    </row>
    <row r="32" spans="1:12">
      <c r="A32" s="1799"/>
      <c r="B32" s="635" t="s">
        <v>3806</v>
      </c>
      <c r="C32" s="636" t="s">
        <v>3807</v>
      </c>
      <c r="D32" s="117">
        <v>90</v>
      </c>
      <c r="E32" s="637">
        <f>D32*108%</f>
        <v>97.2</v>
      </c>
      <c r="F32" s="117">
        <f>E32*108%</f>
        <v>104.97600000000001</v>
      </c>
      <c r="G32" s="117">
        <v>0</v>
      </c>
      <c r="H32" s="117">
        <v>0</v>
      </c>
      <c r="I32" s="117">
        <f>H32*108%</f>
        <v>0</v>
      </c>
      <c r="J32" s="117">
        <v>2380</v>
      </c>
    </row>
    <row r="33" spans="1:11">
      <c r="A33" s="1799"/>
      <c r="B33" s="635" t="s">
        <v>3808</v>
      </c>
      <c r="C33" s="636" t="s">
        <v>3807</v>
      </c>
      <c r="D33" s="638">
        <f t="shared" ref="D33:J33" si="9">D31*D32</f>
        <v>0</v>
      </c>
      <c r="E33" s="638">
        <f t="shared" si="9"/>
        <v>97.2</v>
      </c>
      <c r="F33" s="638">
        <f t="shared" si="9"/>
        <v>104.97600000000001</v>
      </c>
      <c r="G33" s="638">
        <f t="shared" si="9"/>
        <v>0</v>
      </c>
      <c r="H33" s="638">
        <f t="shared" si="9"/>
        <v>0</v>
      </c>
      <c r="I33" s="638">
        <f t="shared" si="9"/>
        <v>0</v>
      </c>
      <c r="J33" s="638">
        <f t="shared" si="9"/>
        <v>4760</v>
      </c>
    </row>
    <row r="34" spans="1:11">
      <c r="A34" s="1799"/>
      <c r="B34" s="635" t="s">
        <v>3809</v>
      </c>
      <c r="C34" s="636" t="s">
        <v>469</v>
      </c>
      <c r="D34" s="639">
        <f t="shared" ref="D34:J34" si="10">+(D62/D61)*D33</f>
        <v>0</v>
      </c>
      <c r="E34" s="639">
        <f t="shared" si="10"/>
        <v>4.6718864904615645E-4</v>
      </c>
      <c r="F34" s="639">
        <f t="shared" si="10"/>
        <v>3.5643535310650443E-4</v>
      </c>
      <c r="G34" s="639" t="e">
        <f t="shared" si="10"/>
        <v>#DIV/0!</v>
      </c>
      <c r="H34" s="639">
        <f t="shared" si="10"/>
        <v>0</v>
      </c>
      <c r="I34" s="639">
        <f t="shared" si="10"/>
        <v>0</v>
      </c>
      <c r="J34" s="639">
        <f t="shared" si="10"/>
        <v>3.6611890996093802E-3</v>
      </c>
    </row>
    <row r="35" spans="1:11">
      <c r="A35" s="1799"/>
      <c r="B35" s="634" t="s">
        <v>3823</v>
      </c>
      <c r="C35" s="636" t="s">
        <v>3822</v>
      </c>
      <c r="D35" s="1015">
        <v>2</v>
      </c>
      <c r="E35" s="1015">
        <v>2</v>
      </c>
      <c r="F35" s="640">
        <v>5</v>
      </c>
      <c r="G35" s="640">
        <v>0</v>
      </c>
      <c r="H35" s="1015">
        <v>9</v>
      </c>
      <c r="I35" s="1015">
        <v>15</v>
      </c>
      <c r="J35" s="1015">
        <v>4</v>
      </c>
    </row>
    <row r="36" spans="1:11">
      <c r="A36" s="1799"/>
      <c r="B36" s="635" t="s">
        <v>3806</v>
      </c>
      <c r="C36" s="636" t="s">
        <v>3807</v>
      </c>
      <c r="D36" s="117">
        <v>40</v>
      </c>
      <c r="E36" s="637">
        <f>D36*108%</f>
        <v>43.2</v>
      </c>
      <c r="F36" s="117">
        <f>E36*108%</f>
        <v>46.656000000000006</v>
      </c>
      <c r="G36" s="117">
        <v>0</v>
      </c>
      <c r="H36" s="117">
        <v>99.57</v>
      </c>
      <c r="I36" s="117">
        <f>H36*108%</f>
        <v>107.5356</v>
      </c>
      <c r="J36" s="117">
        <v>1285</v>
      </c>
    </row>
    <row r="37" spans="1:11">
      <c r="A37" s="1799"/>
      <c r="B37" s="635" t="s">
        <v>3808</v>
      </c>
      <c r="C37" s="636" t="s">
        <v>3807</v>
      </c>
      <c r="D37" s="638">
        <f>D35*D36</f>
        <v>80</v>
      </c>
      <c r="E37" s="638">
        <f>E35*E36</f>
        <v>86.4</v>
      </c>
      <c r="F37" s="638">
        <f>F35*F36</f>
        <v>233.28000000000003</v>
      </c>
      <c r="G37" s="638">
        <f>G36*G35</f>
        <v>0</v>
      </c>
      <c r="H37" s="638">
        <f>H36*H35</f>
        <v>896.12999999999988</v>
      </c>
      <c r="I37" s="638">
        <f>I36*I35</f>
        <v>1613.0340000000001</v>
      </c>
      <c r="J37" s="638">
        <f>J36*J35</f>
        <v>5140</v>
      </c>
    </row>
    <row r="38" spans="1:11">
      <c r="A38" s="1799"/>
      <c r="B38" s="635" t="s">
        <v>3809</v>
      </c>
      <c r="C38" s="636" t="s">
        <v>469</v>
      </c>
      <c r="D38" s="639">
        <f t="shared" ref="D38:J38" si="11">+(D62/D61)*D37</f>
        <v>2.5896253135874406E-4</v>
      </c>
      <c r="E38" s="639">
        <f t="shared" si="11"/>
        <v>4.1527879915213909E-4</v>
      </c>
      <c r="F38" s="639">
        <f t="shared" si="11"/>
        <v>7.9207856245889878E-4</v>
      </c>
      <c r="G38" s="639" t="e">
        <f t="shared" si="11"/>
        <v>#DIV/0!</v>
      </c>
      <c r="H38" s="639">
        <f t="shared" si="11"/>
        <v>2.7052776960173885E-3</v>
      </c>
      <c r="I38" s="639">
        <f t="shared" si="11"/>
        <v>2.881257023250879E-3</v>
      </c>
      <c r="J38" s="639">
        <f t="shared" si="11"/>
        <v>3.9534689016790369E-3</v>
      </c>
    </row>
    <row r="39" spans="1:11">
      <c r="A39" s="1799" t="s">
        <v>3816</v>
      </c>
      <c r="B39" s="634" t="s">
        <v>3824</v>
      </c>
      <c r="C39" s="636" t="s">
        <v>3822</v>
      </c>
      <c r="D39" s="1015">
        <v>0</v>
      </c>
      <c r="E39" s="1015">
        <v>0</v>
      </c>
      <c r="F39" s="1015">
        <v>0</v>
      </c>
      <c r="G39" s="1015">
        <v>0</v>
      </c>
      <c r="H39" s="1015">
        <v>0</v>
      </c>
      <c r="I39" s="1015">
        <v>0</v>
      </c>
      <c r="J39" s="2015">
        <v>0</v>
      </c>
    </row>
    <row r="40" spans="1:11">
      <c r="A40" s="1799"/>
      <c r="B40" s="635" t="s">
        <v>3806</v>
      </c>
      <c r="C40" s="636" t="s">
        <v>3807</v>
      </c>
      <c r="D40" s="1799"/>
      <c r="E40" s="1015"/>
      <c r="F40" s="117">
        <f>E40*108%</f>
        <v>0</v>
      </c>
      <c r="G40" s="117">
        <v>0</v>
      </c>
      <c r="H40" s="117">
        <f>F40*108%</f>
        <v>0</v>
      </c>
      <c r="I40" s="117">
        <f>H40*108%</f>
        <v>0</v>
      </c>
      <c r="J40" s="117">
        <v>12</v>
      </c>
    </row>
    <row r="41" spans="1:11">
      <c r="A41" s="1799"/>
      <c r="B41" s="635" t="s">
        <v>3808</v>
      </c>
      <c r="C41" s="636" t="s">
        <v>3807</v>
      </c>
      <c r="D41" s="638">
        <f t="shared" ref="D41:J41" si="12">D39*D40</f>
        <v>0</v>
      </c>
      <c r="E41" s="638">
        <f t="shared" si="12"/>
        <v>0</v>
      </c>
      <c r="F41" s="638">
        <f t="shared" si="12"/>
        <v>0</v>
      </c>
      <c r="G41" s="638">
        <f t="shared" si="12"/>
        <v>0</v>
      </c>
      <c r="H41" s="638">
        <f t="shared" si="12"/>
        <v>0</v>
      </c>
      <c r="I41" s="638">
        <f t="shared" si="12"/>
        <v>0</v>
      </c>
      <c r="J41" s="638">
        <f t="shared" si="12"/>
        <v>0</v>
      </c>
    </row>
    <row r="42" spans="1:11">
      <c r="A42" s="1799"/>
      <c r="B42" s="635" t="s">
        <v>3809</v>
      </c>
      <c r="C42" s="636" t="s">
        <v>469</v>
      </c>
      <c r="D42" s="1799"/>
      <c r="E42" s="1799"/>
      <c r="F42" s="1799"/>
      <c r="G42" s="1799"/>
      <c r="H42" s="1799"/>
      <c r="I42" s="1799"/>
      <c r="J42" s="1799"/>
    </row>
    <row r="43" spans="1:11">
      <c r="A43" s="1799" t="s">
        <v>3818</v>
      </c>
      <c r="B43" s="634" t="s">
        <v>3825</v>
      </c>
      <c r="C43" s="636" t="s">
        <v>3822</v>
      </c>
      <c r="D43" s="1015">
        <v>30</v>
      </c>
      <c r="E43" s="1015">
        <v>30</v>
      </c>
      <c r="F43" s="640">
        <v>30</v>
      </c>
      <c r="G43" s="640">
        <v>0</v>
      </c>
      <c r="H43" s="1015">
        <v>110</v>
      </c>
      <c r="I43" s="1015">
        <v>320</v>
      </c>
      <c r="J43" s="1015">
        <v>206</v>
      </c>
      <c r="K43" s="2014"/>
    </row>
    <row r="44" spans="1:11">
      <c r="A44" s="1799"/>
      <c r="B44" s="635" t="s">
        <v>3806</v>
      </c>
      <c r="C44" s="636" t="s">
        <v>3807</v>
      </c>
      <c r="D44" s="117">
        <v>1.1000000000000001</v>
      </c>
      <c r="E44" s="637">
        <f>D44*108%</f>
        <v>1.1880000000000002</v>
      </c>
      <c r="F44" s="117">
        <f>E44*108%</f>
        <v>1.2830400000000002</v>
      </c>
      <c r="G44" s="117">
        <v>0</v>
      </c>
      <c r="H44" s="117">
        <v>6.81</v>
      </c>
      <c r="I44" s="117">
        <f>H44*108%</f>
        <v>7.3548</v>
      </c>
      <c r="J44" s="117">
        <v>11.321</v>
      </c>
    </row>
    <row r="45" spans="1:11">
      <c r="A45" s="1799"/>
      <c r="B45" s="635" t="s">
        <v>3808</v>
      </c>
      <c r="C45" s="636" t="s">
        <v>3807</v>
      </c>
      <c r="D45" s="638">
        <f t="shared" ref="D45:J45" si="13">D43*D44</f>
        <v>33</v>
      </c>
      <c r="E45" s="638">
        <f t="shared" si="13"/>
        <v>35.640000000000008</v>
      </c>
      <c r="F45" s="638">
        <f t="shared" si="13"/>
        <v>38.491200000000006</v>
      </c>
      <c r="G45" s="638">
        <f t="shared" si="13"/>
        <v>0</v>
      </c>
      <c r="H45" s="638">
        <f t="shared" si="13"/>
        <v>749.09999999999991</v>
      </c>
      <c r="I45" s="638">
        <f t="shared" si="13"/>
        <v>2353.5360000000001</v>
      </c>
      <c r="J45" s="638">
        <f t="shared" si="13"/>
        <v>2332.1259999999997</v>
      </c>
    </row>
    <row r="46" spans="1:11">
      <c r="A46" s="1799"/>
      <c r="B46" s="635" t="s">
        <v>3809</v>
      </c>
      <c r="C46" s="636" t="s">
        <v>469</v>
      </c>
      <c r="D46" s="639">
        <f t="shared" ref="D46:J46" si="14">+(D62/D61)*D45</f>
        <v>1.0682204418548192E-4</v>
      </c>
      <c r="E46" s="639">
        <f t="shared" si="14"/>
        <v>1.7130250465025739E-4</v>
      </c>
      <c r="F46" s="639">
        <f t="shared" si="14"/>
        <v>1.3069296280571831E-4</v>
      </c>
      <c r="G46" s="639" t="e">
        <f t="shared" si="14"/>
        <v>#DIV/0!</v>
      </c>
      <c r="H46" s="639">
        <f t="shared" si="14"/>
        <v>2.2614168949668303E-3</v>
      </c>
      <c r="I46" s="639">
        <f t="shared" si="14"/>
        <v>4.2039672626080918E-3</v>
      </c>
      <c r="J46" s="639">
        <f t="shared" si="14"/>
        <v>1.7937719096881564E-3</v>
      </c>
    </row>
    <row r="47" spans="1:11">
      <c r="A47" s="1015" t="s">
        <v>3826</v>
      </c>
      <c r="B47" s="632" t="s">
        <v>3827</v>
      </c>
      <c r="C47" s="636"/>
      <c r="D47" s="1799"/>
      <c r="E47" s="1799"/>
      <c r="F47" s="1799"/>
      <c r="G47" s="1799"/>
      <c r="H47" s="1799"/>
      <c r="I47" s="1799"/>
      <c r="J47" s="1799"/>
    </row>
    <row r="48" spans="1:11">
      <c r="A48" s="1799" t="s">
        <v>3811</v>
      </c>
      <c r="B48" s="634" t="s">
        <v>3828</v>
      </c>
      <c r="C48" s="636" t="s">
        <v>3822</v>
      </c>
      <c r="D48" s="1015">
        <v>36</v>
      </c>
      <c r="E48" s="1015">
        <v>62</v>
      </c>
      <c r="F48" s="640">
        <v>38</v>
      </c>
      <c r="G48" s="640">
        <v>0</v>
      </c>
      <c r="H48" s="1015">
        <v>0</v>
      </c>
      <c r="I48" s="1015">
        <v>0</v>
      </c>
      <c r="J48" s="1015">
        <v>0</v>
      </c>
    </row>
    <row r="49" spans="1:11">
      <c r="A49" s="1799"/>
      <c r="B49" s="635" t="s">
        <v>3806</v>
      </c>
      <c r="C49" s="636" t="s">
        <v>3807</v>
      </c>
      <c r="D49" s="639">
        <v>50</v>
      </c>
      <c r="E49" s="637">
        <f>D49*108%</f>
        <v>54</v>
      </c>
      <c r="F49" s="117">
        <f>E49*108%</f>
        <v>58.320000000000007</v>
      </c>
      <c r="G49" s="117">
        <v>0</v>
      </c>
      <c r="H49" s="117">
        <f>F49*108%</f>
        <v>62.985600000000012</v>
      </c>
      <c r="I49" s="117">
        <f>H49*108%</f>
        <v>68.024448000000021</v>
      </c>
      <c r="J49" s="117">
        <v>101.7</v>
      </c>
    </row>
    <row r="50" spans="1:11">
      <c r="A50" s="1799"/>
      <c r="B50" s="635" t="s">
        <v>3808</v>
      </c>
      <c r="C50" s="636" t="s">
        <v>3807</v>
      </c>
      <c r="D50" s="638">
        <f t="shared" ref="D50:J50" si="15">D48*D49</f>
        <v>1800</v>
      </c>
      <c r="E50" s="638">
        <f t="shared" si="15"/>
        <v>3348</v>
      </c>
      <c r="F50" s="638">
        <f t="shared" si="15"/>
        <v>2216.1600000000003</v>
      </c>
      <c r="G50" s="638">
        <f t="shared" si="15"/>
        <v>0</v>
      </c>
      <c r="H50" s="638">
        <f t="shared" si="15"/>
        <v>0</v>
      </c>
      <c r="I50" s="638">
        <f t="shared" si="15"/>
        <v>0</v>
      </c>
      <c r="J50" s="638">
        <f t="shared" si="15"/>
        <v>0</v>
      </c>
    </row>
    <row r="51" spans="1:11">
      <c r="A51" s="1799"/>
      <c r="B51" s="635" t="s">
        <v>3809</v>
      </c>
      <c r="C51" s="636" t="s">
        <v>469</v>
      </c>
      <c r="D51" s="639">
        <f>+(D62/D61)*D50</f>
        <v>5.826656955571741E-3</v>
      </c>
      <c r="E51" s="639">
        <f>+(E62/E61)*E50</f>
        <v>1.6092053467145387E-2</v>
      </c>
      <c r="F51" s="639">
        <f>+(F62/F61)*F50</f>
        <v>7.5247463433595384E-3</v>
      </c>
      <c r="G51" s="639"/>
      <c r="H51" s="1799"/>
      <c r="I51" s="1799"/>
      <c r="J51" s="1799"/>
    </row>
    <row r="52" spans="1:11">
      <c r="A52" s="1799" t="s">
        <v>3816</v>
      </c>
      <c r="B52" s="634" t="s">
        <v>3824</v>
      </c>
      <c r="C52" s="636" t="s">
        <v>3822</v>
      </c>
      <c r="D52" s="1015">
        <v>0</v>
      </c>
      <c r="E52" s="1015">
        <v>0</v>
      </c>
      <c r="F52" s="1015">
        <v>0</v>
      </c>
      <c r="G52" s="1015">
        <v>0</v>
      </c>
      <c r="H52" s="1015">
        <v>0</v>
      </c>
      <c r="I52" s="1015">
        <v>20</v>
      </c>
      <c r="J52" s="1015">
        <v>5</v>
      </c>
    </row>
    <row r="53" spans="1:11">
      <c r="A53" s="1799"/>
      <c r="B53" s="635" t="s">
        <v>3806</v>
      </c>
      <c r="C53" s="636" t="s">
        <v>3807</v>
      </c>
      <c r="D53" s="1015"/>
      <c r="E53" s="117"/>
      <c r="F53" s="117">
        <f>E53*108%</f>
        <v>0</v>
      </c>
      <c r="G53" s="117">
        <v>0</v>
      </c>
      <c r="H53" s="1799">
        <v>12.01</v>
      </c>
      <c r="I53" s="117">
        <f>H53*108%</f>
        <v>12.970800000000001</v>
      </c>
      <c r="J53" s="117">
        <v>12</v>
      </c>
    </row>
    <row r="54" spans="1:11">
      <c r="A54" s="1799"/>
      <c r="B54" s="635" t="s">
        <v>3808</v>
      </c>
      <c r="C54" s="636" t="s">
        <v>3807</v>
      </c>
      <c r="D54" s="638">
        <f>D52*D53</f>
        <v>0</v>
      </c>
      <c r="E54" s="638">
        <f>E52*E53</f>
        <v>0</v>
      </c>
      <c r="F54" s="638">
        <f>F52*F53</f>
        <v>0</v>
      </c>
      <c r="G54" s="638">
        <f>G53*G52</f>
        <v>0</v>
      </c>
      <c r="H54" s="638">
        <f>H53*H52</f>
        <v>0</v>
      </c>
      <c r="I54" s="638">
        <f>I53*I52</f>
        <v>259.416</v>
      </c>
      <c r="J54" s="638">
        <f>J53*J52</f>
        <v>60</v>
      </c>
    </row>
    <row r="55" spans="1:11">
      <c r="A55" s="1799"/>
      <c r="B55" s="635" t="s">
        <v>3809</v>
      </c>
      <c r="C55" s="636" t="s">
        <v>469</v>
      </c>
      <c r="D55" s="1799"/>
      <c r="E55" s="1799"/>
      <c r="F55" s="1799"/>
      <c r="G55" s="1799"/>
      <c r="H55" s="1015"/>
      <c r="I55" s="1015"/>
      <c r="J55" s="1015"/>
    </row>
    <row r="56" spans="1:11">
      <c r="A56" s="1799" t="s">
        <v>3818</v>
      </c>
      <c r="B56" s="634" t="s">
        <v>3829</v>
      </c>
      <c r="C56" s="636" t="s">
        <v>3822</v>
      </c>
      <c r="D56" s="1015">
        <v>2930</v>
      </c>
      <c r="E56" s="1015">
        <v>2800</v>
      </c>
      <c r="F56" s="1015">
        <v>1500</v>
      </c>
      <c r="G56" s="1015">
        <v>0</v>
      </c>
      <c r="H56" s="1015">
        <v>0</v>
      </c>
      <c r="I56" s="1015">
        <v>240</v>
      </c>
      <c r="J56" s="1015">
        <v>123</v>
      </c>
      <c r="K56" s="2014"/>
    </row>
    <row r="57" spans="1:11">
      <c r="A57" s="1799"/>
      <c r="B57" s="635" t="s">
        <v>3806</v>
      </c>
      <c r="C57" s="636" t="s">
        <v>3807</v>
      </c>
      <c r="D57" s="117">
        <v>1.4</v>
      </c>
      <c r="E57" s="637">
        <f>D57*108%</f>
        <v>1.512</v>
      </c>
      <c r="F57" s="117">
        <f>E57*108%</f>
        <v>1.6329600000000002</v>
      </c>
      <c r="G57" s="117">
        <v>0</v>
      </c>
      <c r="H57" s="117">
        <v>12.01</v>
      </c>
      <c r="I57" s="117">
        <f>H57*108%</f>
        <v>12.970800000000001</v>
      </c>
      <c r="J57" s="117">
        <v>18.61</v>
      </c>
    </row>
    <row r="58" spans="1:11">
      <c r="A58" s="1799"/>
      <c r="B58" s="635" t="s">
        <v>3808</v>
      </c>
      <c r="C58" s="636" t="s">
        <v>3807</v>
      </c>
      <c r="D58" s="638">
        <f t="shared" ref="D58:J58" si="16">D56*D57</f>
        <v>4102</v>
      </c>
      <c r="E58" s="638">
        <f t="shared" si="16"/>
        <v>4233.6000000000004</v>
      </c>
      <c r="F58" s="638">
        <f t="shared" si="16"/>
        <v>2449.4400000000005</v>
      </c>
      <c r="G58" s="638">
        <f t="shared" si="16"/>
        <v>0</v>
      </c>
      <c r="H58" s="638">
        <f t="shared" si="16"/>
        <v>0</v>
      </c>
      <c r="I58" s="638">
        <f t="shared" si="16"/>
        <v>3112.9920000000002</v>
      </c>
      <c r="J58" s="638">
        <f t="shared" si="16"/>
        <v>2289.0299999999997</v>
      </c>
    </row>
    <row r="59" spans="1:11">
      <c r="A59" s="1799"/>
      <c r="B59" s="635" t="s">
        <v>3809</v>
      </c>
      <c r="C59" s="636" t="s">
        <v>469</v>
      </c>
      <c r="D59" s="639">
        <f t="shared" ref="D59:J59" si="17">+(D62/D61)*D58</f>
        <v>1.3278303795419602E-2</v>
      </c>
      <c r="E59" s="639">
        <f t="shared" si="17"/>
        <v>2.0348661158454816E-2</v>
      </c>
      <c r="F59" s="639">
        <f t="shared" si="17"/>
        <v>8.3168249058184381E-3</v>
      </c>
      <c r="G59" s="639" t="e">
        <f>+(G62/G61)*G58</f>
        <v>#DIV/0!</v>
      </c>
      <c r="H59" s="639">
        <f>+(H62/H61)*H58</f>
        <v>0</v>
      </c>
      <c r="I59" s="639">
        <f t="shared" si="17"/>
        <v>5.5605337911809674E-3</v>
      </c>
      <c r="J59" s="639">
        <f t="shared" si="17"/>
        <v>1.7606243035039619E-3</v>
      </c>
    </row>
    <row r="60" spans="1:11">
      <c r="A60" s="1799"/>
      <c r="B60" s="632" t="s">
        <v>3830</v>
      </c>
      <c r="C60" s="636"/>
      <c r="D60" s="1799"/>
      <c r="E60" s="1799"/>
      <c r="F60" s="1799"/>
      <c r="G60" s="1799"/>
      <c r="H60" s="1015"/>
      <c r="I60" s="1015"/>
      <c r="J60" s="1015"/>
    </row>
    <row r="61" spans="1:11">
      <c r="A61" s="1799"/>
      <c r="B61" s="643" t="s">
        <v>3808</v>
      </c>
      <c r="C61" s="636" t="s">
        <v>3807</v>
      </c>
      <c r="D61" s="638">
        <f t="shared" ref="D61:I61" si="18">+D7+D12+D16+D24+D28+D33+D37+D41+D45+D50+D54+D58</f>
        <v>6178.5</v>
      </c>
      <c r="E61" s="638">
        <f t="shared" si="18"/>
        <v>8322.1200000000008</v>
      </c>
      <c r="F61" s="638">
        <f t="shared" si="18"/>
        <v>5890.3248000000003</v>
      </c>
      <c r="G61" s="638">
        <f>+G7+G12+G16+G24+G28+G33+G37+G41+G45+G50+G54+G58</f>
        <v>0</v>
      </c>
      <c r="H61" s="638">
        <f t="shared" si="18"/>
        <v>6625.0499999999993</v>
      </c>
      <c r="I61" s="638">
        <f t="shared" si="18"/>
        <v>11196.738000000001</v>
      </c>
      <c r="J61" s="638">
        <f>+J7+J12+J16+J20+J24+J28+J33+J37+J41+J45+J50+J54+J58</f>
        <v>26002.480999999996</v>
      </c>
    </row>
    <row r="62" spans="1:11">
      <c r="A62" s="1799"/>
      <c r="B62" s="635" t="s">
        <v>3809</v>
      </c>
      <c r="C62" s="636" t="s">
        <v>469</v>
      </c>
      <c r="D62" s="638">
        <v>0.02</v>
      </c>
      <c r="E62" s="638">
        <v>0.04</v>
      </c>
      <c r="F62" s="638">
        <v>0.02</v>
      </c>
      <c r="G62" s="1015">
        <v>0.02</v>
      </c>
      <c r="H62" s="1015">
        <v>0.02</v>
      </c>
      <c r="I62" s="1015">
        <v>0.02</v>
      </c>
      <c r="J62" s="1015">
        <v>0.02</v>
      </c>
    </row>
    <row r="63" spans="1:11" ht="28.5">
      <c r="A63" s="1015">
        <v>2</v>
      </c>
      <c r="B63" s="643" t="s">
        <v>3831</v>
      </c>
      <c r="C63" s="1799"/>
      <c r="D63" s="642">
        <v>7593</v>
      </c>
      <c r="E63" s="642">
        <v>4681</v>
      </c>
      <c r="F63" s="1015">
        <v>6000</v>
      </c>
      <c r="G63" s="1015"/>
      <c r="H63" s="2016">
        <v>36424</v>
      </c>
      <c r="I63" s="2016">
        <v>36000</v>
      </c>
      <c r="J63" s="2016">
        <v>38000</v>
      </c>
    </row>
    <row r="64" spans="1:11" ht="31.5" customHeight="1">
      <c r="A64" s="1799" t="s">
        <v>2370</v>
      </c>
      <c r="B64" s="643" t="s">
        <v>3832</v>
      </c>
      <c r="C64" s="636" t="s">
        <v>1760</v>
      </c>
      <c r="D64" s="2802">
        <v>1</v>
      </c>
      <c r="E64" s="2802"/>
      <c r="F64" s="2802"/>
      <c r="G64" s="1015"/>
      <c r="H64" s="2017">
        <v>29</v>
      </c>
      <c r="I64" s="2018">
        <v>0</v>
      </c>
      <c r="J64" s="2019" t="s">
        <v>2491</v>
      </c>
      <c r="K64" s="2801"/>
    </row>
    <row r="65" spans="1:41">
      <c r="A65" s="1799" t="s">
        <v>2372</v>
      </c>
      <c r="B65" s="643" t="s">
        <v>3833</v>
      </c>
      <c r="C65" s="636" t="s">
        <v>1760</v>
      </c>
      <c r="D65" s="2802">
        <v>0</v>
      </c>
      <c r="E65" s="2802"/>
      <c r="F65" s="2802"/>
      <c r="G65" s="1015"/>
      <c r="H65" s="2017">
        <v>9</v>
      </c>
      <c r="I65" s="2018">
        <v>0</v>
      </c>
      <c r="J65" s="2018" t="s">
        <v>2491</v>
      </c>
      <c r="K65" s="2801"/>
    </row>
    <row r="66" spans="1:41">
      <c r="A66" s="1799" t="s">
        <v>1098</v>
      </c>
      <c r="B66" s="635" t="s">
        <v>3834</v>
      </c>
      <c r="C66" s="636" t="s">
        <v>1760</v>
      </c>
      <c r="D66" s="2803">
        <v>0</v>
      </c>
      <c r="E66" s="2803"/>
      <c r="F66" s="2803"/>
      <c r="G66" s="1799"/>
      <c r="H66" s="2017">
        <v>0</v>
      </c>
      <c r="I66" s="2018">
        <v>0</v>
      </c>
      <c r="J66" s="2019" t="s">
        <v>2491</v>
      </c>
      <c r="K66" s="2801"/>
    </row>
    <row r="67" spans="1:41">
      <c r="A67" s="1799"/>
      <c r="B67" s="635" t="s">
        <v>3835</v>
      </c>
      <c r="C67" s="636" t="s">
        <v>469</v>
      </c>
      <c r="D67" s="117">
        <v>0.01</v>
      </c>
      <c r="E67" s="117">
        <v>0.01</v>
      </c>
      <c r="F67" s="117">
        <v>0.01</v>
      </c>
      <c r="G67" s="117"/>
      <c r="H67" s="1799">
        <v>0.01</v>
      </c>
      <c r="I67" s="1799">
        <v>0.01</v>
      </c>
      <c r="J67" s="1799">
        <v>0.01</v>
      </c>
    </row>
    <row r="68" spans="1:41">
      <c r="A68" s="1799"/>
      <c r="B68" s="633" t="s">
        <v>3836</v>
      </c>
      <c r="C68" s="636" t="s">
        <v>469</v>
      </c>
      <c r="D68" s="638">
        <f>D62+D67</f>
        <v>0.03</v>
      </c>
      <c r="E68" s="638">
        <f>E62+E67</f>
        <v>0.05</v>
      </c>
      <c r="F68" s="638">
        <f>F62+F67</f>
        <v>0.03</v>
      </c>
      <c r="G68" s="638"/>
      <c r="H68" s="1015">
        <v>0.61</v>
      </c>
      <c r="I68" s="1015">
        <v>1.67</v>
      </c>
      <c r="J68" s="1015">
        <f>18.35-16.25</f>
        <v>2.1000000000000014</v>
      </c>
    </row>
    <row r="69" spans="1:41" ht="23.25" customHeight="1">
      <c r="A69" s="2804" t="s">
        <v>3837</v>
      </c>
      <c r="B69" s="2804"/>
      <c r="C69" s="2804"/>
      <c r="D69" s="2804"/>
      <c r="E69" s="2804"/>
      <c r="F69" s="2804"/>
      <c r="G69" s="1797"/>
      <c r="H69" s="644"/>
      <c r="I69" s="2020"/>
      <c r="J69" s="2021"/>
    </row>
    <row r="70" spans="1:41">
      <c r="C70" s="93"/>
      <c r="H70" s="1014"/>
      <c r="I70" s="1014"/>
      <c r="J70" s="1014"/>
      <c r="U70" s="93"/>
      <c r="AF70" s="93"/>
      <c r="AO70" s="93"/>
    </row>
    <row r="71" spans="1:41">
      <c r="B71" s="94"/>
      <c r="C71" s="93"/>
      <c r="U71" s="93"/>
      <c r="AF71" s="93"/>
      <c r="AO71" s="93"/>
    </row>
    <row r="72" spans="1:41">
      <c r="B72" s="94"/>
      <c r="C72" s="93"/>
      <c r="H72" s="1798"/>
      <c r="L72" s="91"/>
      <c r="Q72" s="1798"/>
      <c r="T72" s="95"/>
      <c r="U72" s="93"/>
      <c r="W72" s="91"/>
      <c r="AB72" s="1798"/>
      <c r="AE72" s="95"/>
      <c r="AF72" s="93"/>
      <c r="AH72" s="91"/>
      <c r="AM72" s="1798"/>
      <c r="AO72" s="93"/>
    </row>
    <row r="73" spans="1:41">
      <c r="B73" s="94"/>
      <c r="C73" s="93"/>
      <c r="E73" s="91"/>
      <c r="H73" s="1798"/>
      <c r="N73" s="91"/>
      <c r="P73" s="91"/>
      <c r="Q73" s="1798"/>
      <c r="U73" s="93"/>
      <c r="Y73" s="91"/>
      <c r="AA73" s="91"/>
      <c r="AB73" s="1798"/>
      <c r="AF73" s="93"/>
      <c r="AJ73" s="91"/>
      <c r="AL73" s="91"/>
      <c r="AM73" s="1798"/>
      <c r="AO73" s="93"/>
    </row>
    <row r="74" spans="1:41">
      <c r="B74" s="94"/>
      <c r="C74" s="93"/>
      <c r="F74" s="91"/>
      <c r="G74" s="91"/>
      <c r="H74" s="1798"/>
      <c r="L74" s="1798"/>
      <c r="O74" s="91"/>
      <c r="Q74" s="1798"/>
      <c r="T74" s="1798"/>
      <c r="U74" s="93"/>
      <c r="W74" s="1798"/>
      <c r="Z74" s="91"/>
      <c r="AB74" s="1798"/>
      <c r="AE74" s="1798"/>
      <c r="AF74" s="93"/>
      <c r="AH74" s="1798"/>
      <c r="AK74" s="91"/>
      <c r="AM74" s="1798"/>
      <c r="AO74" s="93"/>
    </row>
    <row r="75" spans="1:41">
      <c r="B75" s="94"/>
      <c r="C75" s="93"/>
      <c r="H75" s="91"/>
      <c r="K75" s="95"/>
      <c r="Q75" s="91"/>
      <c r="T75" s="91"/>
      <c r="U75" s="93"/>
      <c r="V75" s="95"/>
      <c r="AB75" s="91"/>
      <c r="AE75" s="91"/>
      <c r="AF75" s="93"/>
      <c r="AG75" s="95"/>
      <c r="AM75" s="91"/>
      <c r="AO75" s="93"/>
    </row>
    <row r="76" spans="1:41">
      <c r="B76" s="96"/>
      <c r="C76" s="91"/>
      <c r="U76" s="91"/>
      <c r="AF76" s="91"/>
      <c r="AO76" s="91"/>
    </row>
    <row r="77" spans="1:41">
      <c r="B77" s="94"/>
      <c r="C77" s="93"/>
      <c r="P77" s="91"/>
      <c r="U77" s="93"/>
      <c r="AA77" s="91"/>
      <c r="AF77" s="93"/>
      <c r="AL77" s="91"/>
      <c r="AO77" s="93"/>
    </row>
    <row r="78" spans="1:41">
      <c r="B78" s="94"/>
      <c r="C78" s="93"/>
      <c r="P78" s="91"/>
      <c r="U78" s="93"/>
      <c r="AA78" s="91"/>
      <c r="AF78" s="93"/>
      <c r="AL78" s="91"/>
      <c r="AO78" s="93"/>
    </row>
    <row r="79" spans="1:41">
      <c r="B79" s="94"/>
      <c r="C79" s="93"/>
      <c r="H79" s="91"/>
      <c r="L79" s="91"/>
      <c r="Q79" s="91"/>
      <c r="U79" s="93"/>
      <c r="W79" s="91"/>
      <c r="AB79" s="91"/>
      <c r="AF79" s="93"/>
      <c r="AH79" s="91"/>
      <c r="AM79" s="91"/>
      <c r="AO79" s="93"/>
    </row>
    <row r="80" spans="1:41">
      <c r="B80" s="94"/>
      <c r="C80" s="93"/>
      <c r="E80" s="91"/>
      <c r="F80" s="91"/>
      <c r="G80" s="91"/>
      <c r="H80" s="91"/>
      <c r="L80" s="91"/>
      <c r="N80" s="91"/>
      <c r="O80" s="91"/>
      <c r="Q80" s="91"/>
      <c r="U80" s="93"/>
      <c r="W80" s="91"/>
      <c r="Y80" s="91"/>
      <c r="Z80" s="91"/>
      <c r="AB80" s="91"/>
      <c r="AF80" s="93"/>
      <c r="AH80" s="91"/>
      <c r="AJ80" s="91"/>
      <c r="AK80" s="91"/>
      <c r="AM80" s="91"/>
      <c r="AO80" s="93"/>
    </row>
    <row r="81" spans="2:41">
      <c r="B81" s="94"/>
      <c r="C81" s="93"/>
      <c r="F81" s="91"/>
      <c r="G81" s="91"/>
      <c r="H81" s="91"/>
      <c r="L81" s="91"/>
      <c r="O81" s="91"/>
      <c r="Q81" s="91"/>
      <c r="U81" s="93"/>
      <c r="W81" s="91"/>
      <c r="Z81" s="91"/>
      <c r="AB81" s="91"/>
      <c r="AF81" s="93"/>
      <c r="AH81" s="91"/>
      <c r="AK81" s="91"/>
      <c r="AM81" s="91"/>
      <c r="AO81" s="93"/>
    </row>
    <row r="82" spans="2:41">
      <c r="B82" s="94"/>
      <c r="C82" s="93"/>
      <c r="F82" s="91"/>
      <c r="G82" s="91"/>
      <c r="H82" s="91"/>
      <c r="L82" s="91"/>
      <c r="O82" s="91"/>
      <c r="Q82" s="91"/>
      <c r="U82" s="93"/>
      <c r="W82" s="91"/>
      <c r="Z82" s="91"/>
      <c r="AB82" s="91"/>
      <c r="AF82" s="93"/>
      <c r="AH82" s="91"/>
      <c r="AK82" s="91"/>
      <c r="AM82" s="91"/>
      <c r="AO82" s="93"/>
    </row>
    <row r="83" spans="2:41">
      <c r="B83" s="97"/>
      <c r="C83" s="98"/>
      <c r="E83" s="91"/>
      <c r="N83" s="91"/>
      <c r="U83" s="98"/>
      <c r="Y83" s="91"/>
      <c r="AF83" s="98"/>
      <c r="AJ83" s="91"/>
      <c r="AO83" s="98"/>
    </row>
    <row r="84" spans="2:41">
      <c r="B84" s="97"/>
      <c r="C84" s="98"/>
      <c r="E84" s="91"/>
      <c r="N84" s="91"/>
      <c r="U84" s="98"/>
      <c r="Y84" s="91"/>
      <c r="AF84" s="98"/>
      <c r="AJ84" s="91"/>
      <c r="AO84" s="98"/>
    </row>
    <row r="85" spans="2:41">
      <c r="B85" s="97"/>
      <c r="C85" s="98"/>
      <c r="E85" s="91"/>
      <c r="N85" s="91"/>
      <c r="U85" s="98"/>
      <c r="Y85" s="91"/>
      <c r="AF85" s="98"/>
      <c r="AJ85" s="91"/>
      <c r="AO85" s="98"/>
    </row>
  </sheetData>
  <mergeCells count="8">
    <mergeCell ref="K64:K66"/>
    <mergeCell ref="D65:F65"/>
    <mergeCell ref="D66:F66"/>
    <mergeCell ref="A69:F69"/>
    <mergeCell ref="A1:B1"/>
    <mergeCell ref="H1:J1"/>
    <mergeCell ref="A2:I2"/>
    <mergeCell ref="D64:F64"/>
  </mergeCells>
  <pageMargins left="0.7" right="0.7" top="0.75" bottom="0.75" header="0.3" footer="0.3"/>
  <pageSetup paperSize="9" scale="69" orientation="portrait"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8000"/>
  </sheetPr>
  <dimension ref="A1:M13"/>
  <sheetViews>
    <sheetView view="pageBreakPreview" zoomScale="80" zoomScaleNormal="75" zoomScaleSheetLayoutView="80" workbookViewId="0">
      <selection activeCell="K10" sqref="K10"/>
    </sheetView>
  </sheetViews>
  <sheetFormatPr defaultRowHeight="14.25"/>
  <cols>
    <col min="1" max="1" width="11.5703125" style="197" customWidth="1"/>
    <col min="2" max="2" width="63.5703125" style="197" customWidth="1"/>
    <col min="3" max="3" width="24.85546875" style="197" customWidth="1"/>
    <col min="4" max="4" width="22.42578125" style="197" customWidth="1"/>
    <col min="5" max="5" width="22.7109375" style="197" customWidth="1"/>
    <col min="6" max="7" width="9.140625" style="197"/>
    <col min="8" max="8" width="9.85546875" style="197" bestFit="1" customWidth="1"/>
    <col min="9" max="9" width="9.140625" style="197"/>
    <col min="10" max="10" width="9.85546875" style="197" bestFit="1" customWidth="1"/>
    <col min="11" max="256" width="9.140625" style="197"/>
    <col min="257" max="257" width="11.5703125" style="197" customWidth="1"/>
    <col min="258" max="258" width="63.5703125" style="197" customWidth="1"/>
    <col min="259" max="259" width="21.85546875" style="197" customWidth="1"/>
    <col min="260" max="260" width="22.42578125" style="197" customWidth="1"/>
    <col min="261" max="261" width="22.7109375" style="197" customWidth="1"/>
    <col min="262" max="512" width="9.140625" style="197"/>
    <col min="513" max="513" width="11.5703125" style="197" customWidth="1"/>
    <col min="514" max="514" width="63.5703125" style="197" customWidth="1"/>
    <col min="515" max="515" width="21.85546875" style="197" customWidth="1"/>
    <col min="516" max="516" width="22.42578125" style="197" customWidth="1"/>
    <col min="517" max="517" width="22.7109375" style="197" customWidth="1"/>
    <col min="518" max="768" width="9.140625" style="197"/>
    <col min="769" max="769" width="11.5703125" style="197" customWidth="1"/>
    <col min="770" max="770" width="63.5703125" style="197" customWidth="1"/>
    <col min="771" max="771" width="21.85546875" style="197" customWidth="1"/>
    <col min="772" max="772" width="22.42578125" style="197" customWidth="1"/>
    <col min="773" max="773" width="22.7109375" style="197" customWidth="1"/>
    <col min="774" max="1024" width="9.140625" style="197"/>
    <col min="1025" max="1025" width="11.5703125" style="197" customWidth="1"/>
    <col min="1026" max="1026" width="63.5703125" style="197" customWidth="1"/>
    <col min="1027" max="1027" width="21.85546875" style="197" customWidth="1"/>
    <col min="1028" max="1028" width="22.42578125" style="197" customWidth="1"/>
    <col min="1029" max="1029" width="22.7109375" style="197" customWidth="1"/>
    <col min="1030" max="1280" width="9.140625" style="197"/>
    <col min="1281" max="1281" width="11.5703125" style="197" customWidth="1"/>
    <col min="1282" max="1282" width="63.5703125" style="197" customWidth="1"/>
    <col min="1283" max="1283" width="21.85546875" style="197" customWidth="1"/>
    <col min="1284" max="1284" width="22.42578125" style="197" customWidth="1"/>
    <col min="1285" max="1285" width="22.7109375" style="197" customWidth="1"/>
    <col min="1286" max="1536" width="9.140625" style="197"/>
    <col min="1537" max="1537" width="11.5703125" style="197" customWidth="1"/>
    <col min="1538" max="1538" width="63.5703125" style="197" customWidth="1"/>
    <col min="1539" max="1539" width="21.85546875" style="197" customWidth="1"/>
    <col min="1540" max="1540" width="22.42578125" style="197" customWidth="1"/>
    <col min="1541" max="1541" width="22.7109375" style="197" customWidth="1"/>
    <col min="1542" max="1792" width="9.140625" style="197"/>
    <col min="1793" max="1793" width="11.5703125" style="197" customWidth="1"/>
    <col min="1794" max="1794" width="63.5703125" style="197" customWidth="1"/>
    <col min="1795" max="1795" width="21.85546875" style="197" customWidth="1"/>
    <col min="1796" max="1796" width="22.42578125" style="197" customWidth="1"/>
    <col min="1797" max="1797" width="22.7109375" style="197" customWidth="1"/>
    <col min="1798" max="2048" width="9.140625" style="197"/>
    <col min="2049" max="2049" width="11.5703125" style="197" customWidth="1"/>
    <col min="2050" max="2050" width="63.5703125" style="197" customWidth="1"/>
    <col min="2051" max="2051" width="21.85546875" style="197" customWidth="1"/>
    <col min="2052" max="2052" width="22.42578125" style="197" customWidth="1"/>
    <col min="2053" max="2053" width="22.7109375" style="197" customWidth="1"/>
    <col min="2054" max="2304" width="9.140625" style="197"/>
    <col min="2305" max="2305" width="11.5703125" style="197" customWidth="1"/>
    <col min="2306" max="2306" width="63.5703125" style="197" customWidth="1"/>
    <col min="2307" max="2307" width="21.85546875" style="197" customWidth="1"/>
    <col min="2308" max="2308" width="22.42578125" style="197" customWidth="1"/>
    <col min="2309" max="2309" width="22.7109375" style="197" customWidth="1"/>
    <col min="2310" max="2560" width="9.140625" style="197"/>
    <col min="2561" max="2561" width="11.5703125" style="197" customWidth="1"/>
    <col min="2562" max="2562" width="63.5703125" style="197" customWidth="1"/>
    <col min="2563" max="2563" width="21.85546875" style="197" customWidth="1"/>
    <col min="2564" max="2564" width="22.42578125" style="197" customWidth="1"/>
    <col min="2565" max="2565" width="22.7109375" style="197" customWidth="1"/>
    <col min="2566" max="2816" width="9.140625" style="197"/>
    <col min="2817" max="2817" width="11.5703125" style="197" customWidth="1"/>
    <col min="2818" max="2818" width="63.5703125" style="197" customWidth="1"/>
    <col min="2819" max="2819" width="21.85546875" style="197" customWidth="1"/>
    <col min="2820" max="2820" width="22.42578125" style="197" customWidth="1"/>
    <col min="2821" max="2821" width="22.7109375" style="197" customWidth="1"/>
    <col min="2822" max="3072" width="9.140625" style="197"/>
    <col min="3073" max="3073" width="11.5703125" style="197" customWidth="1"/>
    <col min="3074" max="3074" width="63.5703125" style="197" customWidth="1"/>
    <col min="3075" max="3075" width="21.85546875" style="197" customWidth="1"/>
    <col min="3076" max="3076" width="22.42578125" style="197" customWidth="1"/>
    <col min="3077" max="3077" width="22.7109375" style="197" customWidth="1"/>
    <col min="3078" max="3328" width="9.140625" style="197"/>
    <col min="3329" max="3329" width="11.5703125" style="197" customWidth="1"/>
    <col min="3330" max="3330" width="63.5703125" style="197" customWidth="1"/>
    <col min="3331" max="3331" width="21.85546875" style="197" customWidth="1"/>
    <col min="3332" max="3332" width="22.42578125" style="197" customWidth="1"/>
    <col min="3333" max="3333" width="22.7109375" style="197" customWidth="1"/>
    <col min="3334" max="3584" width="9.140625" style="197"/>
    <col min="3585" max="3585" width="11.5703125" style="197" customWidth="1"/>
    <col min="3586" max="3586" width="63.5703125" style="197" customWidth="1"/>
    <col min="3587" max="3587" width="21.85546875" style="197" customWidth="1"/>
    <col min="3588" max="3588" width="22.42578125" style="197" customWidth="1"/>
    <col min="3589" max="3589" width="22.7109375" style="197" customWidth="1"/>
    <col min="3590" max="3840" width="9.140625" style="197"/>
    <col min="3841" max="3841" width="11.5703125" style="197" customWidth="1"/>
    <col min="3842" max="3842" width="63.5703125" style="197" customWidth="1"/>
    <col min="3843" max="3843" width="21.85546875" style="197" customWidth="1"/>
    <col min="3844" max="3844" width="22.42578125" style="197" customWidth="1"/>
    <col min="3845" max="3845" width="22.7109375" style="197" customWidth="1"/>
    <col min="3846" max="4096" width="9.140625" style="197"/>
    <col min="4097" max="4097" width="11.5703125" style="197" customWidth="1"/>
    <col min="4098" max="4098" width="63.5703125" style="197" customWidth="1"/>
    <col min="4099" max="4099" width="21.85546875" style="197" customWidth="1"/>
    <col min="4100" max="4100" width="22.42578125" style="197" customWidth="1"/>
    <col min="4101" max="4101" width="22.7109375" style="197" customWidth="1"/>
    <col min="4102" max="4352" width="9.140625" style="197"/>
    <col min="4353" max="4353" width="11.5703125" style="197" customWidth="1"/>
    <col min="4354" max="4354" width="63.5703125" style="197" customWidth="1"/>
    <col min="4355" max="4355" width="21.85546875" style="197" customWidth="1"/>
    <col min="4356" max="4356" width="22.42578125" style="197" customWidth="1"/>
    <col min="4357" max="4357" width="22.7109375" style="197" customWidth="1"/>
    <col min="4358" max="4608" width="9.140625" style="197"/>
    <col min="4609" max="4609" width="11.5703125" style="197" customWidth="1"/>
    <col min="4610" max="4610" width="63.5703125" style="197" customWidth="1"/>
    <col min="4611" max="4611" width="21.85546875" style="197" customWidth="1"/>
    <col min="4612" max="4612" width="22.42578125" style="197" customWidth="1"/>
    <col min="4613" max="4613" width="22.7109375" style="197" customWidth="1"/>
    <col min="4614" max="4864" width="9.140625" style="197"/>
    <col min="4865" max="4865" width="11.5703125" style="197" customWidth="1"/>
    <col min="4866" max="4866" width="63.5703125" style="197" customWidth="1"/>
    <col min="4867" max="4867" width="21.85546875" style="197" customWidth="1"/>
    <col min="4868" max="4868" width="22.42578125" style="197" customWidth="1"/>
    <col min="4869" max="4869" width="22.7109375" style="197" customWidth="1"/>
    <col min="4870" max="5120" width="9.140625" style="197"/>
    <col min="5121" max="5121" width="11.5703125" style="197" customWidth="1"/>
    <col min="5122" max="5122" width="63.5703125" style="197" customWidth="1"/>
    <col min="5123" max="5123" width="21.85546875" style="197" customWidth="1"/>
    <col min="5124" max="5124" width="22.42578125" style="197" customWidth="1"/>
    <col min="5125" max="5125" width="22.7109375" style="197" customWidth="1"/>
    <col min="5126" max="5376" width="9.140625" style="197"/>
    <col min="5377" max="5377" width="11.5703125" style="197" customWidth="1"/>
    <col min="5378" max="5378" width="63.5703125" style="197" customWidth="1"/>
    <col min="5379" max="5379" width="21.85546875" style="197" customWidth="1"/>
    <col min="5380" max="5380" width="22.42578125" style="197" customWidth="1"/>
    <col min="5381" max="5381" width="22.7109375" style="197" customWidth="1"/>
    <col min="5382" max="5632" width="9.140625" style="197"/>
    <col min="5633" max="5633" width="11.5703125" style="197" customWidth="1"/>
    <col min="5634" max="5634" width="63.5703125" style="197" customWidth="1"/>
    <col min="5635" max="5635" width="21.85546875" style="197" customWidth="1"/>
    <col min="5636" max="5636" width="22.42578125" style="197" customWidth="1"/>
    <col min="5637" max="5637" width="22.7109375" style="197" customWidth="1"/>
    <col min="5638" max="5888" width="9.140625" style="197"/>
    <col min="5889" max="5889" width="11.5703125" style="197" customWidth="1"/>
    <col min="5890" max="5890" width="63.5703125" style="197" customWidth="1"/>
    <col min="5891" max="5891" width="21.85546875" style="197" customWidth="1"/>
    <col min="5892" max="5892" width="22.42578125" style="197" customWidth="1"/>
    <col min="5893" max="5893" width="22.7109375" style="197" customWidth="1"/>
    <col min="5894" max="6144" width="9.140625" style="197"/>
    <col min="6145" max="6145" width="11.5703125" style="197" customWidth="1"/>
    <col min="6146" max="6146" width="63.5703125" style="197" customWidth="1"/>
    <col min="6147" max="6147" width="21.85546875" style="197" customWidth="1"/>
    <col min="6148" max="6148" width="22.42578125" style="197" customWidth="1"/>
    <col min="6149" max="6149" width="22.7109375" style="197" customWidth="1"/>
    <col min="6150" max="6400" width="9.140625" style="197"/>
    <col min="6401" max="6401" width="11.5703125" style="197" customWidth="1"/>
    <col min="6402" max="6402" width="63.5703125" style="197" customWidth="1"/>
    <col min="6403" max="6403" width="21.85546875" style="197" customWidth="1"/>
    <col min="6404" max="6404" width="22.42578125" style="197" customWidth="1"/>
    <col min="6405" max="6405" width="22.7109375" style="197" customWidth="1"/>
    <col min="6406" max="6656" width="9.140625" style="197"/>
    <col min="6657" max="6657" width="11.5703125" style="197" customWidth="1"/>
    <col min="6658" max="6658" width="63.5703125" style="197" customWidth="1"/>
    <col min="6659" max="6659" width="21.85546875" style="197" customWidth="1"/>
    <col min="6660" max="6660" width="22.42578125" style="197" customWidth="1"/>
    <col min="6661" max="6661" width="22.7109375" style="197" customWidth="1"/>
    <col min="6662" max="6912" width="9.140625" style="197"/>
    <col min="6913" max="6913" width="11.5703125" style="197" customWidth="1"/>
    <col min="6914" max="6914" width="63.5703125" style="197" customWidth="1"/>
    <col min="6915" max="6915" width="21.85546875" style="197" customWidth="1"/>
    <col min="6916" max="6916" width="22.42578125" style="197" customWidth="1"/>
    <col min="6917" max="6917" width="22.7109375" style="197" customWidth="1"/>
    <col min="6918" max="7168" width="9.140625" style="197"/>
    <col min="7169" max="7169" width="11.5703125" style="197" customWidth="1"/>
    <col min="7170" max="7170" width="63.5703125" style="197" customWidth="1"/>
    <col min="7171" max="7171" width="21.85546875" style="197" customWidth="1"/>
    <col min="7172" max="7172" width="22.42578125" style="197" customWidth="1"/>
    <col min="7173" max="7173" width="22.7109375" style="197" customWidth="1"/>
    <col min="7174" max="7424" width="9.140625" style="197"/>
    <col min="7425" max="7425" width="11.5703125" style="197" customWidth="1"/>
    <col min="7426" max="7426" width="63.5703125" style="197" customWidth="1"/>
    <col min="7427" max="7427" width="21.85546875" style="197" customWidth="1"/>
    <col min="7428" max="7428" width="22.42578125" style="197" customWidth="1"/>
    <col min="7429" max="7429" width="22.7109375" style="197" customWidth="1"/>
    <col min="7430" max="7680" width="9.140625" style="197"/>
    <col min="7681" max="7681" width="11.5703125" style="197" customWidth="1"/>
    <col min="7682" max="7682" width="63.5703125" style="197" customWidth="1"/>
    <col min="7683" max="7683" width="21.85546875" style="197" customWidth="1"/>
    <col min="7684" max="7684" width="22.42578125" style="197" customWidth="1"/>
    <col min="7685" max="7685" width="22.7109375" style="197" customWidth="1"/>
    <col min="7686" max="7936" width="9.140625" style="197"/>
    <col min="7937" max="7937" width="11.5703125" style="197" customWidth="1"/>
    <col min="7938" max="7938" width="63.5703125" style="197" customWidth="1"/>
    <col min="7939" max="7939" width="21.85546875" style="197" customWidth="1"/>
    <col min="7940" max="7940" width="22.42578125" style="197" customWidth="1"/>
    <col min="7941" max="7941" width="22.7109375" style="197" customWidth="1"/>
    <col min="7942" max="8192" width="9.140625" style="197"/>
    <col min="8193" max="8193" width="11.5703125" style="197" customWidth="1"/>
    <col min="8194" max="8194" width="63.5703125" style="197" customWidth="1"/>
    <col min="8195" max="8195" width="21.85546875" style="197" customWidth="1"/>
    <col min="8196" max="8196" width="22.42578125" style="197" customWidth="1"/>
    <col min="8197" max="8197" width="22.7109375" style="197" customWidth="1"/>
    <col min="8198" max="8448" width="9.140625" style="197"/>
    <col min="8449" max="8449" width="11.5703125" style="197" customWidth="1"/>
    <col min="8450" max="8450" width="63.5703125" style="197" customWidth="1"/>
    <col min="8451" max="8451" width="21.85546875" style="197" customWidth="1"/>
    <col min="8452" max="8452" width="22.42578125" style="197" customWidth="1"/>
    <col min="8453" max="8453" width="22.7109375" style="197" customWidth="1"/>
    <col min="8454" max="8704" width="9.140625" style="197"/>
    <col min="8705" max="8705" width="11.5703125" style="197" customWidth="1"/>
    <col min="8706" max="8706" width="63.5703125" style="197" customWidth="1"/>
    <col min="8707" max="8707" width="21.85546875" style="197" customWidth="1"/>
    <col min="8708" max="8708" width="22.42578125" style="197" customWidth="1"/>
    <col min="8709" max="8709" width="22.7109375" style="197" customWidth="1"/>
    <col min="8710" max="8960" width="9.140625" style="197"/>
    <col min="8961" max="8961" width="11.5703125" style="197" customWidth="1"/>
    <col min="8962" max="8962" width="63.5703125" style="197" customWidth="1"/>
    <col min="8963" max="8963" width="21.85546875" style="197" customWidth="1"/>
    <col min="8964" max="8964" width="22.42578125" style="197" customWidth="1"/>
    <col min="8965" max="8965" width="22.7109375" style="197" customWidth="1"/>
    <col min="8966" max="9216" width="9.140625" style="197"/>
    <col min="9217" max="9217" width="11.5703125" style="197" customWidth="1"/>
    <col min="9218" max="9218" width="63.5703125" style="197" customWidth="1"/>
    <col min="9219" max="9219" width="21.85546875" style="197" customWidth="1"/>
    <col min="9220" max="9220" width="22.42578125" style="197" customWidth="1"/>
    <col min="9221" max="9221" width="22.7109375" style="197" customWidth="1"/>
    <col min="9222" max="9472" width="9.140625" style="197"/>
    <col min="9473" max="9473" width="11.5703125" style="197" customWidth="1"/>
    <col min="9474" max="9474" width="63.5703125" style="197" customWidth="1"/>
    <col min="9475" max="9475" width="21.85546875" style="197" customWidth="1"/>
    <col min="9476" max="9476" width="22.42578125" style="197" customWidth="1"/>
    <col min="9477" max="9477" width="22.7109375" style="197" customWidth="1"/>
    <col min="9478" max="9728" width="9.140625" style="197"/>
    <col min="9729" max="9729" width="11.5703125" style="197" customWidth="1"/>
    <col min="9730" max="9730" width="63.5703125" style="197" customWidth="1"/>
    <col min="9731" max="9731" width="21.85546875" style="197" customWidth="1"/>
    <col min="9732" max="9732" width="22.42578125" style="197" customWidth="1"/>
    <col min="9733" max="9733" width="22.7109375" style="197" customWidth="1"/>
    <col min="9734" max="9984" width="9.140625" style="197"/>
    <col min="9985" max="9985" width="11.5703125" style="197" customWidth="1"/>
    <col min="9986" max="9986" width="63.5703125" style="197" customWidth="1"/>
    <col min="9987" max="9987" width="21.85546875" style="197" customWidth="1"/>
    <col min="9988" max="9988" width="22.42578125" style="197" customWidth="1"/>
    <col min="9989" max="9989" width="22.7109375" style="197" customWidth="1"/>
    <col min="9990" max="10240" width="9.140625" style="197"/>
    <col min="10241" max="10241" width="11.5703125" style="197" customWidth="1"/>
    <col min="10242" max="10242" width="63.5703125" style="197" customWidth="1"/>
    <col min="10243" max="10243" width="21.85546875" style="197" customWidth="1"/>
    <col min="10244" max="10244" width="22.42578125" style="197" customWidth="1"/>
    <col min="10245" max="10245" width="22.7109375" style="197" customWidth="1"/>
    <col min="10246" max="10496" width="9.140625" style="197"/>
    <col min="10497" max="10497" width="11.5703125" style="197" customWidth="1"/>
    <col min="10498" max="10498" width="63.5703125" style="197" customWidth="1"/>
    <col min="10499" max="10499" width="21.85546875" style="197" customWidth="1"/>
    <col min="10500" max="10500" width="22.42578125" style="197" customWidth="1"/>
    <col min="10501" max="10501" width="22.7109375" style="197" customWidth="1"/>
    <col min="10502" max="10752" width="9.140625" style="197"/>
    <col min="10753" max="10753" width="11.5703125" style="197" customWidth="1"/>
    <col min="10754" max="10754" width="63.5703125" style="197" customWidth="1"/>
    <col min="10755" max="10755" width="21.85546875" style="197" customWidth="1"/>
    <col min="10756" max="10756" width="22.42578125" style="197" customWidth="1"/>
    <col min="10757" max="10757" width="22.7109375" style="197" customWidth="1"/>
    <col min="10758" max="11008" width="9.140625" style="197"/>
    <col min="11009" max="11009" width="11.5703125" style="197" customWidth="1"/>
    <col min="11010" max="11010" width="63.5703125" style="197" customWidth="1"/>
    <col min="11011" max="11011" width="21.85546875" style="197" customWidth="1"/>
    <col min="11012" max="11012" width="22.42578125" style="197" customWidth="1"/>
    <col min="11013" max="11013" width="22.7109375" style="197" customWidth="1"/>
    <col min="11014" max="11264" width="9.140625" style="197"/>
    <col min="11265" max="11265" width="11.5703125" style="197" customWidth="1"/>
    <col min="11266" max="11266" width="63.5703125" style="197" customWidth="1"/>
    <col min="11267" max="11267" width="21.85546875" style="197" customWidth="1"/>
    <col min="11268" max="11268" width="22.42578125" style="197" customWidth="1"/>
    <col min="11269" max="11269" width="22.7109375" style="197" customWidth="1"/>
    <col min="11270" max="11520" width="9.140625" style="197"/>
    <col min="11521" max="11521" width="11.5703125" style="197" customWidth="1"/>
    <col min="11522" max="11522" width="63.5703125" style="197" customWidth="1"/>
    <col min="11523" max="11523" width="21.85546875" style="197" customWidth="1"/>
    <col min="11524" max="11524" width="22.42578125" style="197" customWidth="1"/>
    <col min="11525" max="11525" width="22.7109375" style="197" customWidth="1"/>
    <col min="11526" max="11776" width="9.140625" style="197"/>
    <col min="11777" max="11777" width="11.5703125" style="197" customWidth="1"/>
    <col min="11778" max="11778" width="63.5703125" style="197" customWidth="1"/>
    <col min="11779" max="11779" width="21.85546875" style="197" customWidth="1"/>
    <col min="11780" max="11780" width="22.42578125" style="197" customWidth="1"/>
    <col min="11781" max="11781" width="22.7109375" style="197" customWidth="1"/>
    <col min="11782" max="12032" width="9.140625" style="197"/>
    <col min="12033" max="12033" width="11.5703125" style="197" customWidth="1"/>
    <col min="12034" max="12034" width="63.5703125" style="197" customWidth="1"/>
    <col min="12035" max="12035" width="21.85546875" style="197" customWidth="1"/>
    <col min="12036" max="12036" width="22.42578125" style="197" customWidth="1"/>
    <col min="12037" max="12037" width="22.7109375" style="197" customWidth="1"/>
    <col min="12038" max="12288" width="9.140625" style="197"/>
    <col min="12289" max="12289" width="11.5703125" style="197" customWidth="1"/>
    <col min="12290" max="12290" width="63.5703125" style="197" customWidth="1"/>
    <col min="12291" max="12291" width="21.85546875" style="197" customWidth="1"/>
    <col min="12292" max="12292" width="22.42578125" style="197" customWidth="1"/>
    <col min="12293" max="12293" width="22.7109375" style="197" customWidth="1"/>
    <col min="12294" max="12544" width="9.140625" style="197"/>
    <col min="12545" max="12545" width="11.5703125" style="197" customWidth="1"/>
    <col min="12546" max="12546" width="63.5703125" style="197" customWidth="1"/>
    <col min="12547" max="12547" width="21.85546875" style="197" customWidth="1"/>
    <col min="12548" max="12548" width="22.42578125" style="197" customWidth="1"/>
    <col min="12549" max="12549" width="22.7109375" style="197" customWidth="1"/>
    <col min="12550" max="12800" width="9.140625" style="197"/>
    <col min="12801" max="12801" width="11.5703125" style="197" customWidth="1"/>
    <col min="12802" max="12802" width="63.5703125" style="197" customWidth="1"/>
    <col min="12803" max="12803" width="21.85546875" style="197" customWidth="1"/>
    <col min="12804" max="12804" width="22.42578125" style="197" customWidth="1"/>
    <col min="12805" max="12805" width="22.7109375" style="197" customWidth="1"/>
    <col min="12806" max="13056" width="9.140625" style="197"/>
    <col min="13057" max="13057" width="11.5703125" style="197" customWidth="1"/>
    <col min="13058" max="13058" width="63.5703125" style="197" customWidth="1"/>
    <col min="13059" max="13059" width="21.85546875" style="197" customWidth="1"/>
    <col min="13060" max="13060" width="22.42578125" style="197" customWidth="1"/>
    <col min="13061" max="13061" width="22.7109375" style="197" customWidth="1"/>
    <col min="13062" max="13312" width="9.140625" style="197"/>
    <col min="13313" max="13313" width="11.5703125" style="197" customWidth="1"/>
    <col min="13314" max="13314" width="63.5703125" style="197" customWidth="1"/>
    <col min="13315" max="13315" width="21.85546875" style="197" customWidth="1"/>
    <col min="13316" max="13316" width="22.42578125" style="197" customWidth="1"/>
    <col min="13317" max="13317" width="22.7109375" style="197" customWidth="1"/>
    <col min="13318" max="13568" width="9.140625" style="197"/>
    <col min="13569" max="13569" width="11.5703125" style="197" customWidth="1"/>
    <col min="13570" max="13570" width="63.5703125" style="197" customWidth="1"/>
    <col min="13571" max="13571" width="21.85546875" style="197" customWidth="1"/>
    <col min="13572" max="13572" width="22.42578125" style="197" customWidth="1"/>
    <col min="13573" max="13573" width="22.7109375" style="197" customWidth="1"/>
    <col min="13574" max="13824" width="9.140625" style="197"/>
    <col min="13825" max="13825" width="11.5703125" style="197" customWidth="1"/>
    <col min="13826" max="13826" width="63.5703125" style="197" customWidth="1"/>
    <col min="13827" max="13827" width="21.85546875" style="197" customWidth="1"/>
    <col min="13828" max="13828" width="22.42578125" style="197" customWidth="1"/>
    <col min="13829" max="13829" width="22.7109375" style="197" customWidth="1"/>
    <col min="13830" max="14080" width="9.140625" style="197"/>
    <col min="14081" max="14081" width="11.5703125" style="197" customWidth="1"/>
    <col min="14082" max="14082" width="63.5703125" style="197" customWidth="1"/>
    <col min="14083" max="14083" width="21.85546875" style="197" customWidth="1"/>
    <col min="14084" max="14084" width="22.42578125" style="197" customWidth="1"/>
    <col min="14085" max="14085" width="22.7109375" style="197" customWidth="1"/>
    <col min="14086" max="14336" width="9.140625" style="197"/>
    <col min="14337" max="14337" width="11.5703125" style="197" customWidth="1"/>
    <col min="14338" max="14338" width="63.5703125" style="197" customWidth="1"/>
    <col min="14339" max="14339" width="21.85546875" style="197" customWidth="1"/>
    <col min="14340" max="14340" width="22.42578125" style="197" customWidth="1"/>
    <col min="14341" max="14341" width="22.7109375" style="197" customWidth="1"/>
    <col min="14342" max="14592" width="9.140625" style="197"/>
    <col min="14593" max="14593" width="11.5703125" style="197" customWidth="1"/>
    <col min="14594" max="14594" width="63.5703125" style="197" customWidth="1"/>
    <col min="14595" max="14595" width="21.85546875" style="197" customWidth="1"/>
    <col min="14596" max="14596" width="22.42578125" style="197" customWidth="1"/>
    <col min="14597" max="14597" width="22.7109375" style="197" customWidth="1"/>
    <col min="14598" max="14848" width="9.140625" style="197"/>
    <col min="14849" max="14849" width="11.5703125" style="197" customWidth="1"/>
    <col min="14850" max="14850" width="63.5703125" style="197" customWidth="1"/>
    <col min="14851" max="14851" width="21.85546875" style="197" customWidth="1"/>
    <col min="14852" max="14852" width="22.42578125" style="197" customWidth="1"/>
    <col min="14853" max="14853" width="22.7109375" style="197" customWidth="1"/>
    <col min="14854" max="15104" width="9.140625" style="197"/>
    <col min="15105" max="15105" width="11.5703125" style="197" customWidth="1"/>
    <col min="15106" max="15106" width="63.5703125" style="197" customWidth="1"/>
    <col min="15107" max="15107" width="21.85546875" style="197" customWidth="1"/>
    <col min="15108" max="15108" width="22.42578125" style="197" customWidth="1"/>
    <col min="15109" max="15109" width="22.7109375" style="197" customWidth="1"/>
    <col min="15110" max="15360" width="9.140625" style="197"/>
    <col min="15361" max="15361" width="11.5703125" style="197" customWidth="1"/>
    <col min="15362" max="15362" width="63.5703125" style="197" customWidth="1"/>
    <col min="15363" max="15363" width="21.85546875" style="197" customWidth="1"/>
    <col min="15364" max="15364" width="22.42578125" style="197" customWidth="1"/>
    <col min="15365" max="15365" width="22.7109375" style="197" customWidth="1"/>
    <col min="15366" max="15616" width="9.140625" style="197"/>
    <col min="15617" max="15617" width="11.5703125" style="197" customWidth="1"/>
    <col min="15618" max="15618" width="63.5703125" style="197" customWidth="1"/>
    <col min="15619" max="15619" width="21.85546875" style="197" customWidth="1"/>
    <col min="15620" max="15620" width="22.42578125" style="197" customWidth="1"/>
    <col min="15621" max="15621" width="22.7109375" style="197" customWidth="1"/>
    <col min="15622" max="15872" width="9.140625" style="197"/>
    <col min="15873" max="15873" width="11.5703125" style="197" customWidth="1"/>
    <col min="15874" max="15874" width="63.5703125" style="197" customWidth="1"/>
    <col min="15875" max="15875" width="21.85546875" style="197" customWidth="1"/>
    <col min="15876" max="15876" width="22.42578125" style="197" customWidth="1"/>
    <col min="15877" max="15877" width="22.7109375" style="197" customWidth="1"/>
    <col min="15878" max="16128" width="9.140625" style="197"/>
    <col min="16129" max="16129" width="11.5703125" style="197" customWidth="1"/>
    <col min="16130" max="16130" width="63.5703125" style="197" customWidth="1"/>
    <col min="16131" max="16131" width="21.85546875" style="197" customWidth="1"/>
    <col min="16132" max="16132" width="22.42578125" style="197" customWidth="1"/>
    <col min="16133" max="16133" width="22.7109375" style="197" customWidth="1"/>
    <col min="16134" max="16384" width="9.140625" style="197"/>
  </cols>
  <sheetData>
    <row r="1" spans="1:13" s="90" customFormat="1" ht="33" customHeight="1">
      <c r="A1" s="2761" t="s">
        <v>2830</v>
      </c>
      <c r="B1" s="2761"/>
      <c r="D1" s="2762" t="s">
        <v>3838</v>
      </c>
      <c r="E1" s="2810"/>
    </row>
    <row r="2" spans="1:13" ht="30" customHeight="1">
      <c r="A2" s="2811" t="s">
        <v>3839</v>
      </c>
      <c r="B2" s="2811"/>
      <c r="C2" s="2811"/>
      <c r="D2" s="2811"/>
      <c r="E2" s="2811"/>
    </row>
    <row r="3" spans="1:13" ht="28.5" customHeight="1">
      <c r="A3" s="2812" t="s">
        <v>3</v>
      </c>
      <c r="B3" s="2814" t="s">
        <v>3840</v>
      </c>
      <c r="C3" s="2816" t="s">
        <v>3841</v>
      </c>
      <c r="D3" s="2816"/>
      <c r="E3" s="2817"/>
    </row>
    <row r="4" spans="1:13" ht="60.75" customHeight="1">
      <c r="A4" s="2813"/>
      <c r="B4" s="2815"/>
      <c r="C4" s="118" t="s">
        <v>3842</v>
      </c>
      <c r="D4" s="118" t="s">
        <v>3843</v>
      </c>
      <c r="E4" s="118" t="s">
        <v>3844</v>
      </c>
    </row>
    <row r="5" spans="1:13" ht="29.25" customHeight="1">
      <c r="A5" s="2808">
        <v>1</v>
      </c>
      <c r="B5" s="119" t="s">
        <v>3845</v>
      </c>
      <c r="C5" s="120"/>
      <c r="D5" s="120"/>
      <c r="E5" s="120"/>
      <c r="J5" s="197">
        <v>104721</v>
      </c>
    </row>
    <row r="6" spans="1:13" ht="78" customHeight="1">
      <c r="A6" s="2809"/>
      <c r="B6" s="121" t="s">
        <v>3846</v>
      </c>
      <c r="C6" s="2022">
        <v>152231</v>
      </c>
      <c r="D6" s="2022">
        <v>108409</v>
      </c>
      <c r="E6" s="2022">
        <v>192226</v>
      </c>
      <c r="J6" s="197">
        <v>87505</v>
      </c>
    </row>
    <row r="7" spans="1:13" ht="30.75" customHeight="1">
      <c r="A7" s="2809">
        <v>2</v>
      </c>
      <c r="B7" s="122" t="s">
        <v>3847</v>
      </c>
      <c r="C7" s="2022"/>
      <c r="D7" s="2022"/>
      <c r="E7" s="2022"/>
    </row>
    <row r="8" spans="1:13" ht="99" customHeight="1">
      <c r="A8" s="2809"/>
      <c r="B8" s="121" t="s">
        <v>3848</v>
      </c>
      <c r="C8" s="2022">
        <v>171176</v>
      </c>
      <c r="D8" s="2022">
        <v>136654</v>
      </c>
      <c r="E8" s="2022">
        <v>194763</v>
      </c>
      <c r="H8" s="197">
        <v>20496</v>
      </c>
      <c r="K8" s="197">
        <v>48963</v>
      </c>
      <c r="M8" s="197" t="s">
        <v>3849</v>
      </c>
    </row>
    <row r="9" spans="1:13" ht="27" customHeight="1">
      <c r="A9" s="2809">
        <v>3</v>
      </c>
      <c r="B9" s="122" t="s">
        <v>3850</v>
      </c>
      <c r="C9" s="2022"/>
      <c r="D9" s="2022"/>
      <c r="E9" s="2022"/>
      <c r="H9" s="197">
        <v>15135</v>
      </c>
      <c r="K9" s="197">
        <v>87691</v>
      </c>
    </row>
    <row r="10" spans="1:13" ht="93.75" customHeight="1">
      <c r="A10" s="2809"/>
      <c r="B10" s="121" t="s">
        <v>3851</v>
      </c>
      <c r="C10" s="2022">
        <v>135952</v>
      </c>
      <c r="D10" s="2022">
        <v>186573</v>
      </c>
      <c r="E10" s="2022">
        <v>132685</v>
      </c>
      <c r="H10" s="197">
        <v>19536</v>
      </c>
    </row>
    <row r="11" spans="1:13" ht="35.25" customHeight="1">
      <c r="A11" s="1800">
        <v>4</v>
      </c>
      <c r="B11" s="1801" t="s">
        <v>3834</v>
      </c>
      <c r="C11" s="123"/>
      <c r="D11" s="123"/>
      <c r="E11" s="123"/>
      <c r="H11" s="197">
        <v>32308</v>
      </c>
    </row>
    <row r="12" spans="1:13">
      <c r="H12" s="197">
        <v>39967</v>
      </c>
    </row>
    <row r="13" spans="1:13">
      <c r="H13" s="197">
        <v>43734</v>
      </c>
    </row>
  </sheetData>
  <mergeCells count="9">
    <mergeCell ref="A5:A6"/>
    <mergeCell ref="A7:A8"/>
    <mergeCell ref="A9:A10"/>
    <mergeCell ref="A1:B1"/>
    <mergeCell ref="D1:E1"/>
    <mergeCell ref="A2:E2"/>
    <mergeCell ref="A3:A4"/>
    <mergeCell ref="B3:B4"/>
    <mergeCell ref="C3:E3"/>
  </mergeCells>
  <printOptions horizontalCentered="1"/>
  <pageMargins left="0.16" right="0.17" top="0.28000000000000003" bottom="0.23" header="0.22" footer="0.15"/>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8000"/>
  </sheetPr>
  <dimension ref="A1:E448"/>
  <sheetViews>
    <sheetView view="pageBreakPreview" zoomScaleSheetLayoutView="100" workbookViewId="0">
      <pane xSplit="1" ySplit="2" topLeftCell="B57" activePane="bottomRight" state="frozen"/>
      <selection pane="bottomRight" activeCell="E67" sqref="E67"/>
      <selection pane="bottomLeft" activeCell="H6" sqref="H6"/>
      <selection pane="topRight" activeCell="H6" sqref="H6"/>
    </sheetView>
  </sheetViews>
  <sheetFormatPr defaultColWidth="9.140625" defaultRowHeight="15"/>
  <cols>
    <col min="1" max="1" width="46.28515625" style="538" customWidth="1"/>
    <col min="2" max="2" width="16.28515625" style="538" customWidth="1"/>
    <col min="3" max="3" width="19.28515625" style="537" customWidth="1"/>
    <col min="4" max="4" width="19.85546875" style="537" customWidth="1"/>
    <col min="5" max="5" width="19.42578125" style="537" customWidth="1"/>
    <col min="6" max="16384" width="9.140625" style="538"/>
  </cols>
  <sheetData>
    <row r="1" spans="1:5" ht="19.5" customHeight="1">
      <c r="A1" s="2023" t="s">
        <v>3852</v>
      </c>
      <c r="B1" s="2023"/>
      <c r="C1" s="2024"/>
      <c r="D1" s="2818" t="s">
        <v>3853</v>
      </c>
      <c r="E1" s="2819"/>
    </row>
    <row r="2" spans="1:5" ht="60">
      <c r="A2" s="2025" t="s">
        <v>887</v>
      </c>
      <c r="B2" s="2026" t="s">
        <v>3854</v>
      </c>
      <c r="C2" s="2026" t="s">
        <v>3855</v>
      </c>
      <c r="D2" s="2026" t="s">
        <v>3856</v>
      </c>
      <c r="E2" s="2026" t="s">
        <v>3857</v>
      </c>
    </row>
    <row r="3" spans="1:5">
      <c r="A3" s="2027" t="s">
        <v>3858</v>
      </c>
      <c r="B3" s="2028"/>
      <c r="C3" s="2028"/>
      <c r="D3" s="2028"/>
      <c r="E3" s="2028"/>
    </row>
    <row r="4" spans="1:5">
      <c r="A4" s="2029" t="s">
        <v>271</v>
      </c>
      <c r="B4" s="2030">
        <v>41</v>
      </c>
      <c r="C4" s="2030">
        <v>41</v>
      </c>
      <c r="D4" s="2030">
        <v>42</v>
      </c>
      <c r="E4" s="2030">
        <v>44</v>
      </c>
    </row>
    <row r="5" spans="1:5">
      <c r="A5" s="2029" t="s">
        <v>259</v>
      </c>
      <c r="B5" s="2030">
        <v>659</v>
      </c>
      <c r="C5" s="2031">
        <v>713</v>
      </c>
      <c r="D5" s="2032">
        <v>818</v>
      </c>
      <c r="E5" s="2032">
        <v>869</v>
      </c>
    </row>
    <row r="6" spans="1:5">
      <c r="A6" s="2029" t="s">
        <v>232</v>
      </c>
      <c r="B6" s="2030">
        <v>2040888</v>
      </c>
      <c r="C6" s="2031">
        <v>1942819</v>
      </c>
      <c r="D6" s="2032">
        <v>1993549</v>
      </c>
      <c r="E6" s="2032">
        <v>2089473</v>
      </c>
    </row>
    <row r="7" spans="1:5">
      <c r="A7" s="2033" t="s">
        <v>239</v>
      </c>
      <c r="B7" s="2034">
        <f>SUM(B4:B6)</f>
        <v>2041588</v>
      </c>
      <c r="C7" s="2034">
        <f t="shared" ref="C7:E7" si="0">SUM(C4:C6)</f>
        <v>1943573</v>
      </c>
      <c r="D7" s="2034">
        <f t="shared" si="0"/>
        <v>1994409</v>
      </c>
      <c r="E7" s="2034">
        <f t="shared" si="0"/>
        <v>2090386</v>
      </c>
    </row>
    <row r="8" spans="1:5">
      <c r="A8" s="2033" t="s">
        <v>3859</v>
      </c>
      <c r="B8" s="2032">
        <v>11726</v>
      </c>
      <c r="C8" s="2032">
        <v>11726</v>
      </c>
      <c r="D8" s="2032">
        <v>11726</v>
      </c>
      <c r="E8" s="2032">
        <v>11726</v>
      </c>
    </row>
    <row r="9" spans="1:5">
      <c r="A9" s="2033" t="s">
        <v>3860</v>
      </c>
      <c r="B9" s="2032">
        <v>11726</v>
      </c>
      <c r="C9" s="2032">
        <v>11726</v>
      </c>
      <c r="D9" s="2032">
        <v>11726</v>
      </c>
      <c r="E9" s="2032">
        <v>11726</v>
      </c>
    </row>
    <row r="10" spans="1:5">
      <c r="A10" s="2027" t="s">
        <v>3861</v>
      </c>
      <c r="B10" s="2035"/>
      <c r="C10" s="2035"/>
      <c r="D10" s="2035"/>
      <c r="E10" s="2035"/>
    </row>
    <row r="11" spans="1:5">
      <c r="A11" s="2036" t="s">
        <v>3862</v>
      </c>
      <c r="B11" s="2037">
        <v>3024.0720000000001</v>
      </c>
      <c r="C11" s="2035">
        <v>3074.1329999999998</v>
      </c>
      <c r="D11" s="2032">
        <v>3124</v>
      </c>
      <c r="E11" s="2032">
        <v>3436</v>
      </c>
    </row>
    <row r="12" spans="1:5">
      <c r="A12" s="2036" t="s">
        <v>3863</v>
      </c>
      <c r="B12" s="2037">
        <v>40188.504169999993</v>
      </c>
      <c r="C12" s="2035">
        <v>40747.564169999998</v>
      </c>
      <c r="D12" s="2032">
        <v>41307</v>
      </c>
      <c r="E12" s="2032">
        <v>45437</v>
      </c>
    </row>
    <row r="13" spans="1:5">
      <c r="A13" s="2036" t="s">
        <v>3864</v>
      </c>
      <c r="B13" s="2037">
        <v>67486.438500000004</v>
      </c>
      <c r="C13" s="2035">
        <v>67850.564400000003</v>
      </c>
      <c r="D13" s="2032">
        <v>68215</v>
      </c>
      <c r="E13" s="2032">
        <v>75036</v>
      </c>
    </row>
    <row r="14" spans="1:5">
      <c r="A14" s="2036" t="s">
        <v>3865</v>
      </c>
      <c r="B14" s="2038">
        <v>27.13</v>
      </c>
      <c r="C14" s="2035">
        <v>8.65</v>
      </c>
      <c r="D14" s="2039" t="s">
        <v>2491</v>
      </c>
      <c r="E14" s="2039" t="s">
        <v>2491</v>
      </c>
    </row>
    <row r="15" spans="1:5">
      <c r="A15" s="2036" t="s">
        <v>3866</v>
      </c>
      <c r="B15" s="2038">
        <v>0.23</v>
      </c>
      <c r="C15" s="2035">
        <v>0.23</v>
      </c>
      <c r="D15" s="2039" t="s">
        <v>2491</v>
      </c>
      <c r="E15" s="2039" t="s">
        <v>2491</v>
      </c>
    </row>
    <row r="16" spans="1:5" ht="28.5">
      <c r="A16" s="2036" t="s">
        <v>3867</v>
      </c>
      <c r="B16" s="2037">
        <v>102</v>
      </c>
      <c r="C16" s="2035" t="s">
        <v>3868</v>
      </c>
      <c r="D16" s="2035" t="s">
        <v>3869</v>
      </c>
      <c r="E16" s="2035" t="s">
        <v>3870</v>
      </c>
    </row>
    <row r="17" spans="1:5" ht="28.5">
      <c r="A17" s="2036" t="s">
        <v>3871</v>
      </c>
      <c r="B17" s="2037">
        <v>71</v>
      </c>
      <c r="C17" s="2035" t="s">
        <v>3872</v>
      </c>
      <c r="D17" s="2035">
        <v>18</v>
      </c>
      <c r="E17" s="2039">
        <v>32</v>
      </c>
    </row>
    <row r="18" spans="1:5" ht="28.5">
      <c r="A18" s="2036" t="s">
        <v>3873</v>
      </c>
      <c r="B18" s="2037">
        <v>147</v>
      </c>
      <c r="C18" s="2035" t="s">
        <v>3874</v>
      </c>
      <c r="D18" s="2035" t="s">
        <v>3875</v>
      </c>
      <c r="E18" s="2035" t="s">
        <v>3876</v>
      </c>
    </row>
    <row r="19" spans="1:5" ht="28.5">
      <c r="A19" s="2036" t="s">
        <v>3877</v>
      </c>
      <c r="B19" s="2037">
        <v>107</v>
      </c>
      <c r="C19" s="2035" t="s">
        <v>3878</v>
      </c>
      <c r="D19" s="2035">
        <v>51</v>
      </c>
      <c r="E19" s="2039">
        <v>58</v>
      </c>
    </row>
    <row r="20" spans="1:5">
      <c r="A20" s="2027" t="s">
        <v>3879</v>
      </c>
      <c r="B20" s="2040"/>
      <c r="C20" s="2040"/>
      <c r="D20" s="2040"/>
      <c r="E20" s="2040"/>
    </row>
    <row r="21" spans="1:5" ht="28.5">
      <c r="A21" s="2036" t="s">
        <v>3880</v>
      </c>
      <c r="B21" s="2030">
        <v>108</v>
      </c>
      <c r="C21" s="2032">
        <v>114</v>
      </c>
      <c r="D21" s="2032">
        <v>120</v>
      </c>
      <c r="E21" s="2032">
        <v>128</v>
      </c>
    </row>
    <row r="22" spans="1:5">
      <c r="A22" s="2036" t="s">
        <v>3881</v>
      </c>
      <c r="B22" s="2030">
        <v>108</v>
      </c>
      <c r="C22" s="2032">
        <v>114</v>
      </c>
      <c r="D22" s="2032" t="s">
        <v>2491</v>
      </c>
      <c r="E22" s="2032" t="s">
        <v>2491</v>
      </c>
    </row>
    <row r="23" spans="1:5">
      <c r="A23" s="2036" t="s">
        <v>3882</v>
      </c>
      <c r="B23" s="2030">
        <v>825</v>
      </c>
      <c r="C23" s="2032">
        <v>835</v>
      </c>
      <c r="D23" s="2032">
        <v>845</v>
      </c>
      <c r="E23" s="2032">
        <v>880</v>
      </c>
    </row>
    <row r="24" spans="1:5">
      <c r="A24" s="2036" t="s">
        <v>3883</v>
      </c>
      <c r="B24" s="2030">
        <v>825</v>
      </c>
      <c r="C24" s="2032">
        <v>835</v>
      </c>
      <c r="D24" s="2032">
        <v>845</v>
      </c>
      <c r="E24" s="2032">
        <v>880</v>
      </c>
    </row>
    <row r="25" spans="1:5">
      <c r="A25" s="2036" t="s">
        <v>3884</v>
      </c>
      <c r="B25" s="2030">
        <v>550</v>
      </c>
      <c r="C25" s="2041">
        <v>553</v>
      </c>
      <c r="D25" s="2032">
        <v>556</v>
      </c>
      <c r="E25" s="2032">
        <v>565</v>
      </c>
    </row>
    <row r="26" spans="1:5">
      <c r="A26" s="2036" t="s">
        <v>3885</v>
      </c>
      <c r="B26" s="2030">
        <v>244</v>
      </c>
      <c r="C26" s="2032">
        <v>275</v>
      </c>
      <c r="D26" s="2032">
        <v>556</v>
      </c>
      <c r="E26" s="2032">
        <v>565</v>
      </c>
    </row>
    <row r="27" spans="1:5" ht="28.5">
      <c r="A27" s="2036" t="s">
        <v>3886</v>
      </c>
      <c r="B27" s="2030">
        <v>74726</v>
      </c>
      <c r="C27" s="2041">
        <v>76366</v>
      </c>
      <c r="D27" s="2032">
        <v>78006</v>
      </c>
      <c r="E27" s="2032">
        <v>80000</v>
      </c>
    </row>
    <row r="28" spans="1:5" ht="28.5">
      <c r="A28" s="2036" t="s">
        <v>3887</v>
      </c>
      <c r="B28" s="2030">
        <v>2883</v>
      </c>
      <c r="C28" s="2041">
        <v>4256</v>
      </c>
      <c r="D28" s="2032">
        <v>9063</v>
      </c>
      <c r="E28" s="2032">
        <v>16763</v>
      </c>
    </row>
    <row r="29" spans="1:5">
      <c r="A29" s="2036" t="s">
        <v>3888</v>
      </c>
      <c r="B29" s="2030">
        <v>2786.77</v>
      </c>
      <c r="C29" s="2041">
        <v>2861.9479999999999</v>
      </c>
      <c r="D29" s="2032">
        <v>2937</v>
      </c>
      <c r="E29" s="2032">
        <v>3230</v>
      </c>
    </row>
    <row r="30" spans="1:5">
      <c r="A30" s="2036" t="s">
        <v>3889</v>
      </c>
      <c r="B30" s="2030">
        <v>92</v>
      </c>
      <c r="C30" s="2042">
        <v>114</v>
      </c>
      <c r="D30" s="2032">
        <v>6</v>
      </c>
      <c r="E30" s="2032">
        <v>8</v>
      </c>
    </row>
    <row r="31" spans="1:5">
      <c r="A31" s="2036" t="s">
        <v>3890</v>
      </c>
      <c r="B31" s="2030">
        <v>316</v>
      </c>
      <c r="C31" s="2042">
        <v>425</v>
      </c>
      <c r="D31" s="2032">
        <v>104</v>
      </c>
      <c r="E31" s="2042">
        <v>35</v>
      </c>
    </row>
    <row r="32" spans="1:5">
      <c r="A32" s="2036" t="s">
        <v>3891</v>
      </c>
      <c r="B32" s="2030">
        <v>471</v>
      </c>
      <c r="C32" s="2042">
        <v>508</v>
      </c>
      <c r="D32" s="2032">
        <v>520</v>
      </c>
      <c r="E32" s="2032">
        <v>550</v>
      </c>
    </row>
    <row r="33" spans="1:5">
      <c r="A33" s="2043" t="s">
        <v>3892</v>
      </c>
      <c r="B33" s="2035"/>
      <c r="C33" s="2035"/>
      <c r="D33" s="2035"/>
      <c r="E33" s="2035"/>
    </row>
    <row r="34" spans="1:5">
      <c r="A34" s="2036" t="s">
        <v>3893</v>
      </c>
      <c r="B34" s="2042">
        <v>36424</v>
      </c>
      <c r="C34" s="2044">
        <v>20260</v>
      </c>
      <c r="D34" s="2044">
        <v>36000</v>
      </c>
      <c r="E34" s="2044">
        <v>38000</v>
      </c>
    </row>
    <row r="35" spans="1:5">
      <c r="A35" s="2036" t="s">
        <v>3894</v>
      </c>
      <c r="B35" s="2042">
        <v>36387</v>
      </c>
      <c r="C35" s="2044">
        <v>20260</v>
      </c>
      <c r="D35" s="2044">
        <v>36000</v>
      </c>
      <c r="E35" s="2044">
        <v>38000</v>
      </c>
    </row>
    <row r="36" spans="1:5">
      <c r="A36" s="2036" t="s">
        <v>3895</v>
      </c>
      <c r="B36" s="2045">
        <v>49.03</v>
      </c>
      <c r="C36" s="2046">
        <v>29.13</v>
      </c>
      <c r="D36" s="2044">
        <v>60</v>
      </c>
      <c r="E36" s="2044">
        <v>65</v>
      </c>
    </row>
    <row r="37" spans="1:5">
      <c r="A37" s="2036" t="s">
        <v>3896</v>
      </c>
      <c r="B37" s="2045">
        <v>37.6</v>
      </c>
      <c r="C37" s="2046">
        <v>14.99</v>
      </c>
      <c r="D37" s="2044">
        <v>40</v>
      </c>
      <c r="E37" s="2044">
        <v>50</v>
      </c>
    </row>
    <row r="38" spans="1:5">
      <c r="A38" s="2036" t="s">
        <v>3897</v>
      </c>
      <c r="B38" s="2042">
        <v>29</v>
      </c>
      <c r="C38" s="2044">
        <v>18</v>
      </c>
      <c r="D38" s="2044" t="s">
        <v>2491</v>
      </c>
      <c r="E38" s="2044" t="s">
        <v>2491</v>
      </c>
    </row>
    <row r="39" spans="1:5" ht="28.5">
      <c r="A39" s="2036" t="s">
        <v>3898</v>
      </c>
      <c r="B39" s="2047">
        <v>9</v>
      </c>
      <c r="C39" s="2044">
        <v>3</v>
      </c>
      <c r="D39" s="2044" t="s">
        <v>2491</v>
      </c>
      <c r="E39" s="2044" t="s">
        <v>2491</v>
      </c>
    </row>
    <row r="40" spans="1:5">
      <c r="A40" s="2036" t="s">
        <v>3899</v>
      </c>
      <c r="B40" s="2048">
        <v>110245</v>
      </c>
      <c r="C40" s="2048">
        <v>188808</v>
      </c>
      <c r="D40" s="2032">
        <v>200000</v>
      </c>
      <c r="E40" s="2032">
        <v>100000</v>
      </c>
    </row>
    <row r="41" spans="1:5">
      <c r="A41" s="2049" t="s">
        <v>3900</v>
      </c>
      <c r="B41" s="2045"/>
      <c r="C41" s="2045"/>
      <c r="D41" s="2045"/>
      <c r="E41" s="2045"/>
    </row>
    <row r="42" spans="1:5">
      <c r="A42" s="2050" t="s">
        <v>3901</v>
      </c>
      <c r="B42" s="2031">
        <v>301</v>
      </c>
      <c r="C42" s="2031">
        <v>301</v>
      </c>
      <c r="D42" s="2031">
        <v>330</v>
      </c>
      <c r="E42" s="2031">
        <v>400</v>
      </c>
    </row>
    <row r="43" spans="1:5">
      <c r="A43" s="2050" t="s">
        <v>3902</v>
      </c>
      <c r="B43" s="2031">
        <v>218583</v>
      </c>
      <c r="C43" s="2031">
        <v>218583</v>
      </c>
      <c r="D43" s="2031">
        <v>240000</v>
      </c>
      <c r="E43" s="2031">
        <v>270000</v>
      </c>
    </row>
    <row r="44" spans="1:5">
      <c r="A44" s="2050" t="s">
        <v>3903</v>
      </c>
      <c r="B44" s="2031">
        <v>0</v>
      </c>
      <c r="C44" s="2031">
        <v>0</v>
      </c>
      <c r="D44" s="2031">
        <v>0</v>
      </c>
      <c r="E44" s="2031">
        <v>0</v>
      </c>
    </row>
    <row r="45" spans="1:5">
      <c r="A45" s="2050" t="s">
        <v>3902</v>
      </c>
      <c r="B45" s="2031">
        <v>0</v>
      </c>
      <c r="C45" s="2031">
        <v>0</v>
      </c>
      <c r="D45" s="2031">
        <v>0</v>
      </c>
      <c r="E45" s="2031">
        <v>0</v>
      </c>
    </row>
    <row r="46" spans="1:5">
      <c r="A46" s="2050" t="s">
        <v>3904</v>
      </c>
      <c r="B46" s="2031">
        <v>0</v>
      </c>
      <c r="C46" s="2031">
        <v>0</v>
      </c>
      <c r="D46" s="2031">
        <v>0</v>
      </c>
      <c r="E46" s="2031">
        <v>0</v>
      </c>
    </row>
    <row r="47" spans="1:5">
      <c r="A47" s="2050" t="s">
        <v>3902</v>
      </c>
      <c r="B47" s="2031">
        <v>0</v>
      </c>
      <c r="C47" s="2031">
        <v>0</v>
      </c>
      <c r="D47" s="2031">
        <v>0</v>
      </c>
      <c r="E47" s="2031">
        <v>0</v>
      </c>
    </row>
    <row r="48" spans="1:5" ht="28.5">
      <c r="A48" s="2050" t="s">
        <v>3905</v>
      </c>
      <c r="B48" s="2031">
        <v>218583</v>
      </c>
      <c r="C48" s="2031">
        <v>218583</v>
      </c>
      <c r="D48" s="2031">
        <v>240000</v>
      </c>
      <c r="E48" s="2031">
        <v>270000</v>
      </c>
    </row>
    <row r="49" spans="1:5" ht="30">
      <c r="A49" s="2049" t="s">
        <v>3906</v>
      </c>
      <c r="B49" s="2051"/>
      <c r="C49" s="2051"/>
      <c r="D49" s="2051"/>
      <c r="E49" s="2051"/>
    </row>
    <row r="50" spans="1:5">
      <c r="A50" s="2036" t="s">
        <v>3907</v>
      </c>
      <c r="B50" s="2032">
        <v>415</v>
      </c>
      <c r="C50" s="2032">
        <v>500</v>
      </c>
      <c r="D50" s="2032">
        <v>520</v>
      </c>
      <c r="E50" s="2032">
        <v>550</v>
      </c>
    </row>
    <row r="51" spans="1:5">
      <c r="A51" s="2036" t="s">
        <v>3908</v>
      </c>
      <c r="B51" s="2032">
        <v>399</v>
      </c>
      <c r="C51" s="2032">
        <v>407</v>
      </c>
      <c r="D51" s="2032">
        <v>700</v>
      </c>
      <c r="E51" s="2032">
        <v>750</v>
      </c>
    </row>
    <row r="52" spans="1:5">
      <c r="A52" s="2036" t="s">
        <v>3909</v>
      </c>
      <c r="B52" s="2032">
        <v>358</v>
      </c>
      <c r="C52" s="2032">
        <v>238</v>
      </c>
      <c r="D52" s="2032">
        <v>640</v>
      </c>
      <c r="E52" s="2032">
        <v>690</v>
      </c>
    </row>
    <row r="53" spans="1:5">
      <c r="A53" s="2049" t="s">
        <v>3910</v>
      </c>
      <c r="B53" s="2032"/>
      <c r="C53" s="2032"/>
      <c r="D53" s="2032"/>
      <c r="E53" s="2032"/>
    </row>
    <row r="54" spans="1:5">
      <c r="A54" s="2052" t="s">
        <v>3911</v>
      </c>
      <c r="B54" s="2041">
        <v>337</v>
      </c>
      <c r="C54" s="2041">
        <v>110</v>
      </c>
      <c r="D54" s="2041">
        <v>523</v>
      </c>
      <c r="E54" s="2041">
        <v>580</v>
      </c>
    </row>
    <row r="55" spans="1:5" ht="32.25" customHeight="1">
      <c r="A55" s="2052" t="s">
        <v>3912</v>
      </c>
      <c r="B55" s="2041">
        <v>12</v>
      </c>
      <c r="C55" s="2041">
        <v>18</v>
      </c>
      <c r="D55" s="2041">
        <v>36</v>
      </c>
      <c r="E55" s="2041">
        <v>40</v>
      </c>
    </row>
    <row r="56" spans="1:5" ht="28.5">
      <c r="A56" s="2052" t="s">
        <v>3913</v>
      </c>
      <c r="B56" s="2041">
        <v>27</v>
      </c>
      <c r="C56" s="2041">
        <v>9</v>
      </c>
      <c r="D56" s="2041">
        <v>19</v>
      </c>
      <c r="E56" s="2041">
        <v>21</v>
      </c>
    </row>
    <row r="57" spans="1:5" ht="28.5">
      <c r="A57" s="2052" t="s">
        <v>3914</v>
      </c>
      <c r="B57" s="2053">
        <v>20.329999999999998</v>
      </c>
      <c r="C57" s="2053">
        <v>17.97</v>
      </c>
      <c r="D57" s="2053">
        <v>39.53</v>
      </c>
      <c r="E57" s="2053">
        <v>43.48</v>
      </c>
    </row>
    <row r="58" spans="1:5">
      <c r="B58" s="539"/>
      <c r="C58" s="540"/>
      <c r="D58" s="540"/>
      <c r="E58" s="540"/>
    </row>
    <row r="60" spans="1:5">
      <c r="B60" s="539"/>
      <c r="C60" s="540"/>
      <c r="D60" s="540"/>
      <c r="E60" s="540"/>
    </row>
    <row r="61" spans="1:5">
      <c r="B61" s="539"/>
      <c r="C61" s="540"/>
      <c r="D61" s="540"/>
      <c r="E61" s="540"/>
    </row>
    <row r="62" spans="1:5">
      <c r="B62" s="539"/>
      <c r="C62" s="540"/>
      <c r="D62" s="540"/>
      <c r="E62" s="540"/>
    </row>
    <row r="63" spans="1:5">
      <c r="B63" s="539"/>
      <c r="C63" s="540"/>
      <c r="D63" s="540"/>
      <c r="E63" s="540"/>
    </row>
    <row r="64" spans="1:5">
      <c r="B64" s="539"/>
      <c r="C64" s="540"/>
      <c r="D64" s="540"/>
      <c r="E64" s="540"/>
    </row>
    <row r="65" spans="2:5">
      <c r="B65" s="539"/>
      <c r="C65" s="540"/>
      <c r="D65" s="540"/>
      <c r="E65" s="540"/>
    </row>
    <row r="66" spans="2:5">
      <c r="B66" s="539"/>
      <c r="C66" s="540"/>
      <c r="D66" s="540"/>
      <c r="E66" s="540"/>
    </row>
    <row r="67" spans="2:5">
      <c r="B67" s="539"/>
      <c r="C67" s="540"/>
      <c r="D67" s="540"/>
      <c r="E67" s="540"/>
    </row>
    <row r="68" spans="2:5">
      <c r="B68" s="539"/>
      <c r="C68" s="540"/>
      <c r="D68" s="540"/>
      <c r="E68" s="540"/>
    </row>
    <row r="69" spans="2:5">
      <c r="B69" s="539"/>
      <c r="C69" s="540"/>
      <c r="D69" s="540"/>
      <c r="E69" s="540"/>
    </row>
    <row r="70" spans="2:5">
      <c r="B70" s="539"/>
      <c r="C70" s="540"/>
      <c r="D70" s="540"/>
      <c r="E70" s="540"/>
    </row>
    <row r="71" spans="2:5">
      <c r="B71" s="539"/>
      <c r="C71" s="540"/>
      <c r="D71" s="540"/>
      <c r="E71" s="540"/>
    </row>
    <row r="72" spans="2:5">
      <c r="B72" s="539"/>
      <c r="C72" s="540"/>
      <c r="D72" s="540"/>
      <c r="E72" s="540"/>
    </row>
    <row r="73" spans="2:5">
      <c r="B73" s="539"/>
      <c r="C73" s="540"/>
      <c r="D73" s="540"/>
      <c r="E73" s="540"/>
    </row>
    <row r="74" spans="2:5">
      <c r="B74" s="539"/>
      <c r="C74" s="540"/>
      <c r="D74" s="540"/>
      <c r="E74" s="540"/>
    </row>
    <row r="75" spans="2:5">
      <c r="B75" s="539"/>
      <c r="C75" s="540"/>
      <c r="D75" s="540"/>
      <c r="E75" s="540"/>
    </row>
    <row r="76" spans="2:5">
      <c r="B76" s="539"/>
      <c r="C76" s="540"/>
      <c r="D76" s="540"/>
      <c r="E76" s="540"/>
    </row>
    <row r="77" spans="2:5">
      <c r="B77" s="539"/>
      <c r="C77" s="540"/>
      <c r="D77" s="540"/>
      <c r="E77" s="540"/>
    </row>
    <row r="78" spans="2:5">
      <c r="B78" s="539"/>
      <c r="C78" s="540"/>
      <c r="D78" s="540"/>
      <c r="E78" s="540"/>
    </row>
    <row r="79" spans="2:5">
      <c r="B79" s="539"/>
      <c r="C79" s="540"/>
      <c r="D79" s="540"/>
      <c r="E79" s="540"/>
    </row>
    <row r="80" spans="2:5">
      <c r="B80" s="539"/>
      <c r="C80" s="540"/>
      <c r="D80" s="540"/>
      <c r="E80" s="540"/>
    </row>
    <row r="81" spans="2:5">
      <c r="B81" s="539"/>
      <c r="C81" s="540"/>
      <c r="D81" s="540"/>
      <c r="E81" s="540"/>
    </row>
    <row r="82" spans="2:5">
      <c r="B82" s="539"/>
      <c r="C82" s="540"/>
      <c r="D82" s="540"/>
      <c r="E82" s="540"/>
    </row>
    <row r="83" spans="2:5">
      <c r="B83" s="539"/>
      <c r="C83" s="540"/>
      <c r="D83" s="540"/>
      <c r="E83" s="540"/>
    </row>
    <row r="84" spans="2:5">
      <c r="B84" s="539"/>
      <c r="C84" s="540"/>
      <c r="D84" s="540"/>
      <c r="E84" s="540"/>
    </row>
    <row r="85" spans="2:5">
      <c r="B85" s="539"/>
      <c r="C85" s="540"/>
      <c r="D85" s="540"/>
      <c r="E85" s="540"/>
    </row>
    <row r="86" spans="2:5">
      <c r="B86" s="539"/>
      <c r="C86" s="540"/>
      <c r="D86" s="540"/>
      <c r="E86" s="540"/>
    </row>
    <row r="87" spans="2:5">
      <c r="B87" s="539"/>
      <c r="C87" s="540"/>
      <c r="D87" s="540"/>
      <c r="E87" s="540"/>
    </row>
    <row r="88" spans="2:5">
      <c r="B88" s="539"/>
      <c r="C88" s="540"/>
      <c r="D88" s="540"/>
      <c r="E88" s="540"/>
    </row>
    <row r="89" spans="2:5">
      <c r="B89" s="539"/>
      <c r="C89" s="540"/>
      <c r="D89" s="540"/>
      <c r="E89" s="540"/>
    </row>
    <row r="90" spans="2:5">
      <c r="C90" s="540"/>
      <c r="D90" s="540"/>
      <c r="E90" s="540"/>
    </row>
    <row r="91" spans="2:5">
      <c r="C91" s="540"/>
      <c r="D91" s="540"/>
      <c r="E91" s="540"/>
    </row>
    <row r="92" spans="2:5">
      <c r="C92" s="540"/>
      <c r="D92" s="540"/>
      <c r="E92" s="540"/>
    </row>
    <row r="93" spans="2:5">
      <c r="C93" s="540"/>
      <c r="D93" s="540"/>
      <c r="E93" s="540"/>
    </row>
    <row r="94" spans="2:5">
      <c r="C94" s="540"/>
      <c r="D94" s="540"/>
      <c r="E94" s="540"/>
    </row>
    <row r="95" spans="2:5">
      <c r="C95" s="540"/>
      <c r="D95" s="540"/>
      <c r="E95" s="540"/>
    </row>
    <row r="96" spans="2:5">
      <c r="C96" s="540"/>
      <c r="D96" s="540"/>
      <c r="E96" s="540"/>
    </row>
    <row r="97" spans="3:5">
      <c r="C97" s="540"/>
      <c r="D97" s="540"/>
      <c r="E97" s="540"/>
    </row>
    <row r="98" spans="3:5">
      <c r="C98" s="540"/>
      <c r="D98" s="540"/>
      <c r="E98" s="540"/>
    </row>
    <row r="99" spans="3:5">
      <c r="C99" s="540"/>
      <c r="D99" s="540"/>
      <c r="E99" s="540"/>
    </row>
    <row r="100" spans="3:5">
      <c r="C100" s="540"/>
      <c r="D100" s="540"/>
      <c r="E100" s="540"/>
    </row>
    <row r="101" spans="3:5">
      <c r="C101" s="540"/>
      <c r="D101" s="540"/>
      <c r="E101" s="540"/>
    </row>
    <row r="102" spans="3:5">
      <c r="C102" s="540"/>
      <c r="D102" s="540"/>
      <c r="E102" s="540"/>
    </row>
    <row r="103" spans="3:5">
      <c r="C103" s="540"/>
      <c r="D103" s="540"/>
      <c r="E103" s="540"/>
    </row>
    <row r="104" spans="3:5">
      <c r="C104" s="540"/>
      <c r="D104" s="540"/>
      <c r="E104" s="540"/>
    </row>
    <row r="105" spans="3:5">
      <c r="C105" s="540"/>
      <c r="D105" s="540"/>
      <c r="E105" s="540"/>
    </row>
    <row r="106" spans="3:5">
      <c r="C106" s="540"/>
      <c r="D106" s="540"/>
      <c r="E106" s="540"/>
    </row>
    <row r="107" spans="3:5">
      <c r="C107" s="540"/>
      <c r="D107" s="540"/>
      <c r="E107" s="540"/>
    </row>
    <row r="108" spans="3:5">
      <c r="C108" s="540"/>
      <c r="D108" s="540"/>
      <c r="E108" s="540"/>
    </row>
    <row r="109" spans="3:5">
      <c r="C109" s="540"/>
      <c r="D109" s="540"/>
      <c r="E109" s="540"/>
    </row>
    <row r="110" spans="3:5">
      <c r="C110" s="540"/>
      <c r="D110" s="540"/>
      <c r="E110" s="540"/>
    </row>
    <row r="111" spans="3:5">
      <c r="C111" s="540"/>
      <c r="D111" s="540"/>
      <c r="E111" s="540"/>
    </row>
    <row r="112" spans="3:5">
      <c r="C112" s="540"/>
      <c r="D112" s="540"/>
      <c r="E112" s="540"/>
    </row>
    <row r="113" spans="3:5">
      <c r="C113" s="540"/>
      <c r="D113" s="540"/>
      <c r="E113" s="540"/>
    </row>
    <row r="114" spans="3:5">
      <c r="C114" s="540"/>
      <c r="D114" s="540"/>
      <c r="E114" s="540"/>
    </row>
    <row r="115" spans="3:5">
      <c r="C115" s="540"/>
      <c r="D115" s="540"/>
      <c r="E115" s="540"/>
    </row>
    <row r="116" spans="3:5">
      <c r="C116" s="540"/>
      <c r="D116" s="540"/>
      <c r="E116" s="540"/>
    </row>
    <row r="117" spans="3:5">
      <c r="C117" s="540"/>
      <c r="D117" s="540"/>
      <c r="E117" s="540"/>
    </row>
    <row r="118" spans="3:5">
      <c r="C118" s="540"/>
      <c r="D118" s="540"/>
      <c r="E118" s="540"/>
    </row>
    <row r="119" spans="3:5">
      <c r="C119" s="540"/>
      <c r="D119" s="540"/>
      <c r="E119" s="540"/>
    </row>
    <row r="120" spans="3:5">
      <c r="C120" s="540"/>
      <c r="D120" s="540"/>
      <c r="E120" s="540"/>
    </row>
    <row r="121" spans="3:5">
      <c r="C121" s="540"/>
      <c r="D121" s="540"/>
      <c r="E121" s="540"/>
    </row>
    <row r="122" spans="3:5">
      <c r="C122" s="540"/>
      <c r="D122" s="540"/>
      <c r="E122" s="540"/>
    </row>
    <row r="123" spans="3:5">
      <c r="C123" s="540"/>
      <c r="D123" s="540"/>
      <c r="E123" s="540"/>
    </row>
    <row r="124" spans="3:5">
      <c r="C124" s="540"/>
      <c r="D124" s="540"/>
      <c r="E124" s="540"/>
    </row>
    <row r="125" spans="3:5">
      <c r="C125" s="540"/>
      <c r="D125" s="540"/>
      <c r="E125" s="540"/>
    </row>
    <row r="126" spans="3:5">
      <c r="C126" s="540"/>
      <c r="D126" s="540"/>
      <c r="E126" s="540"/>
    </row>
    <row r="127" spans="3:5">
      <c r="C127" s="540"/>
      <c r="D127" s="540"/>
      <c r="E127" s="540"/>
    </row>
    <row r="128" spans="3:5">
      <c r="C128" s="540"/>
      <c r="D128" s="540"/>
      <c r="E128" s="540"/>
    </row>
    <row r="129" spans="3:5">
      <c r="C129" s="540"/>
      <c r="D129" s="540"/>
      <c r="E129" s="540"/>
    </row>
    <row r="130" spans="3:5">
      <c r="C130" s="540"/>
      <c r="D130" s="540"/>
      <c r="E130" s="540"/>
    </row>
    <row r="131" spans="3:5">
      <c r="C131" s="540"/>
      <c r="D131" s="540"/>
      <c r="E131" s="540"/>
    </row>
    <row r="132" spans="3:5">
      <c r="C132" s="540"/>
      <c r="D132" s="540"/>
      <c r="E132" s="540"/>
    </row>
    <row r="133" spans="3:5">
      <c r="C133" s="540"/>
      <c r="D133" s="540"/>
      <c r="E133" s="540"/>
    </row>
    <row r="134" spans="3:5">
      <c r="C134" s="540"/>
      <c r="D134" s="540"/>
      <c r="E134" s="540"/>
    </row>
    <row r="135" spans="3:5">
      <c r="C135" s="540"/>
      <c r="D135" s="540"/>
      <c r="E135" s="540"/>
    </row>
    <row r="136" spans="3:5">
      <c r="C136" s="540"/>
      <c r="D136" s="540"/>
      <c r="E136" s="540"/>
    </row>
    <row r="137" spans="3:5">
      <c r="C137" s="540"/>
      <c r="D137" s="540"/>
      <c r="E137" s="540"/>
    </row>
    <row r="138" spans="3:5">
      <c r="C138" s="540"/>
      <c r="D138" s="540"/>
      <c r="E138" s="540"/>
    </row>
    <row r="139" spans="3:5">
      <c r="C139" s="540"/>
      <c r="D139" s="540"/>
      <c r="E139" s="540"/>
    </row>
    <row r="140" spans="3:5">
      <c r="C140" s="540"/>
      <c r="D140" s="540"/>
      <c r="E140" s="540"/>
    </row>
    <row r="141" spans="3:5">
      <c r="C141" s="540"/>
      <c r="D141" s="540"/>
      <c r="E141" s="540"/>
    </row>
    <row r="142" spans="3:5">
      <c r="C142" s="540"/>
      <c r="D142" s="540"/>
      <c r="E142" s="540"/>
    </row>
    <row r="143" spans="3:5">
      <c r="C143" s="540"/>
      <c r="D143" s="540"/>
      <c r="E143" s="540"/>
    </row>
    <row r="144" spans="3:5">
      <c r="C144" s="540"/>
      <c r="D144" s="540"/>
      <c r="E144" s="540"/>
    </row>
    <row r="145" spans="3:5">
      <c r="C145" s="540"/>
      <c r="D145" s="540"/>
      <c r="E145" s="540"/>
    </row>
    <row r="146" spans="3:5">
      <c r="C146" s="540"/>
      <c r="D146" s="540"/>
      <c r="E146" s="540"/>
    </row>
    <row r="147" spans="3:5">
      <c r="C147" s="540"/>
      <c r="D147" s="540"/>
      <c r="E147" s="540"/>
    </row>
    <row r="148" spans="3:5">
      <c r="C148" s="540"/>
      <c r="D148" s="540"/>
      <c r="E148" s="540"/>
    </row>
    <row r="149" spans="3:5">
      <c r="C149" s="540"/>
      <c r="D149" s="540"/>
      <c r="E149" s="540"/>
    </row>
    <row r="150" spans="3:5">
      <c r="C150" s="540"/>
      <c r="D150" s="540"/>
      <c r="E150" s="540"/>
    </row>
    <row r="151" spans="3:5">
      <c r="C151" s="540"/>
      <c r="D151" s="540"/>
      <c r="E151" s="540"/>
    </row>
    <row r="152" spans="3:5">
      <c r="C152" s="540"/>
      <c r="D152" s="540"/>
      <c r="E152" s="540"/>
    </row>
    <row r="153" spans="3:5">
      <c r="C153" s="540"/>
      <c r="D153" s="540"/>
      <c r="E153" s="540"/>
    </row>
    <row r="154" spans="3:5">
      <c r="C154" s="540"/>
      <c r="D154" s="540"/>
      <c r="E154" s="540"/>
    </row>
    <row r="155" spans="3:5">
      <c r="C155" s="540"/>
      <c r="D155" s="540"/>
      <c r="E155" s="540"/>
    </row>
    <row r="156" spans="3:5">
      <c r="C156" s="540"/>
      <c r="D156" s="540"/>
      <c r="E156" s="540"/>
    </row>
    <row r="157" spans="3:5">
      <c r="C157" s="540"/>
      <c r="D157" s="540"/>
      <c r="E157" s="540"/>
    </row>
    <row r="158" spans="3:5">
      <c r="C158" s="540"/>
      <c r="D158" s="540"/>
      <c r="E158" s="540"/>
    </row>
    <row r="159" spans="3:5">
      <c r="C159" s="540"/>
      <c r="D159" s="540"/>
      <c r="E159" s="540"/>
    </row>
    <row r="160" spans="3:5">
      <c r="C160" s="540"/>
      <c r="D160" s="540"/>
      <c r="E160" s="540"/>
    </row>
    <row r="161" spans="3:5">
      <c r="C161" s="540"/>
      <c r="D161" s="540"/>
      <c r="E161" s="540"/>
    </row>
    <row r="162" spans="3:5">
      <c r="C162" s="540"/>
      <c r="D162" s="540"/>
      <c r="E162" s="540"/>
    </row>
    <row r="163" spans="3:5">
      <c r="C163" s="540"/>
      <c r="D163" s="540"/>
      <c r="E163" s="540"/>
    </row>
    <row r="164" spans="3:5">
      <c r="C164" s="540"/>
      <c r="D164" s="540"/>
      <c r="E164" s="540"/>
    </row>
    <row r="165" spans="3:5">
      <c r="C165" s="540"/>
      <c r="D165" s="540"/>
      <c r="E165" s="540"/>
    </row>
    <row r="166" spans="3:5">
      <c r="C166" s="540"/>
      <c r="D166" s="540"/>
      <c r="E166" s="540"/>
    </row>
    <row r="167" spans="3:5">
      <c r="C167" s="540"/>
      <c r="D167" s="540"/>
      <c r="E167" s="540"/>
    </row>
    <row r="168" spans="3:5">
      <c r="C168" s="540"/>
      <c r="D168" s="540"/>
      <c r="E168" s="540"/>
    </row>
    <row r="169" spans="3:5">
      <c r="C169" s="540"/>
      <c r="D169" s="540"/>
      <c r="E169" s="540"/>
    </row>
    <row r="170" spans="3:5">
      <c r="C170" s="540"/>
      <c r="D170" s="540"/>
      <c r="E170" s="540"/>
    </row>
    <row r="171" spans="3:5">
      <c r="C171" s="540"/>
      <c r="D171" s="540"/>
      <c r="E171" s="540"/>
    </row>
    <row r="172" spans="3:5">
      <c r="C172" s="540"/>
      <c r="D172" s="540"/>
      <c r="E172" s="540"/>
    </row>
    <row r="173" spans="3:5">
      <c r="C173" s="540"/>
      <c r="D173" s="540"/>
      <c r="E173" s="540"/>
    </row>
    <row r="174" spans="3:5">
      <c r="C174" s="540"/>
      <c r="D174" s="540"/>
      <c r="E174" s="540"/>
    </row>
    <row r="175" spans="3:5">
      <c r="C175" s="540"/>
      <c r="D175" s="540"/>
      <c r="E175" s="540"/>
    </row>
    <row r="176" spans="3:5">
      <c r="C176" s="540"/>
      <c r="D176" s="540"/>
      <c r="E176" s="540"/>
    </row>
    <row r="177" spans="3:5">
      <c r="C177" s="540"/>
      <c r="D177" s="540"/>
      <c r="E177" s="540"/>
    </row>
    <row r="178" spans="3:5">
      <c r="C178" s="540"/>
      <c r="D178" s="540"/>
      <c r="E178" s="540"/>
    </row>
    <row r="179" spans="3:5">
      <c r="C179" s="540"/>
      <c r="D179" s="540"/>
      <c r="E179" s="540"/>
    </row>
    <row r="180" spans="3:5">
      <c r="C180" s="540"/>
      <c r="D180" s="540"/>
      <c r="E180" s="540"/>
    </row>
    <row r="181" spans="3:5">
      <c r="C181" s="540"/>
      <c r="D181" s="540"/>
      <c r="E181" s="540"/>
    </row>
    <row r="182" spans="3:5">
      <c r="C182" s="540"/>
      <c r="D182" s="540"/>
      <c r="E182" s="540"/>
    </row>
    <row r="183" spans="3:5">
      <c r="C183" s="540"/>
      <c r="D183" s="540"/>
      <c r="E183" s="540"/>
    </row>
    <row r="184" spans="3:5">
      <c r="C184" s="540"/>
      <c r="D184" s="540"/>
      <c r="E184" s="540"/>
    </row>
    <row r="185" spans="3:5">
      <c r="C185" s="540"/>
      <c r="D185" s="540"/>
      <c r="E185" s="540"/>
    </row>
    <row r="186" spans="3:5">
      <c r="C186" s="540"/>
      <c r="D186" s="540"/>
      <c r="E186" s="540"/>
    </row>
    <row r="187" spans="3:5">
      <c r="C187" s="540"/>
      <c r="D187" s="540"/>
      <c r="E187" s="540"/>
    </row>
    <row r="188" spans="3:5">
      <c r="C188" s="540"/>
      <c r="D188" s="540"/>
      <c r="E188" s="540"/>
    </row>
    <row r="189" spans="3:5">
      <c r="C189" s="540"/>
      <c r="D189" s="540"/>
      <c r="E189" s="540"/>
    </row>
    <row r="190" spans="3:5">
      <c r="C190" s="540"/>
      <c r="D190" s="540"/>
      <c r="E190" s="540"/>
    </row>
    <row r="191" spans="3:5">
      <c r="C191" s="540"/>
      <c r="D191" s="540"/>
      <c r="E191" s="540"/>
    </row>
    <row r="192" spans="3:5">
      <c r="C192" s="540"/>
      <c r="D192" s="540"/>
      <c r="E192" s="540"/>
    </row>
    <row r="193" spans="3:5">
      <c r="C193" s="540"/>
      <c r="D193" s="540"/>
      <c r="E193" s="540"/>
    </row>
    <row r="194" spans="3:5">
      <c r="C194" s="540"/>
      <c r="D194" s="540"/>
      <c r="E194" s="540"/>
    </row>
    <row r="195" spans="3:5">
      <c r="C195" s="540"/>
      <c r="D195" s="540"/>
      <c r="E195" s="540"/>
    </row>
    <row r="196" spans="3:5">
      <c r="C196" s="540"/>
      <c r="D196" s="540"/>
      <c r="E196" s="540"/>
    </row>
    <row r="197" spans="3:5">
      <c r="C197" s="540"/>
      <c r="D197" s="540"/>
      <c r="E197" s="540"/>
    </row>
    <row r="198" spans="3:5">
      <c r="C198" s="540"/>
      <c r="D198" s="540"/>
      <c r="E198" s="540"/>
    </row>
    <row r="199" spans="3:5">
      <c r="C199" s="540"/>
      <c r="D199" s="540"/>
      <c r="E199" s="540"/>
    </row>
    <row r="200" spans="3:5">
      <c r="C200" s="540"/>
      <c r="D200" s="540"/>
      <c r="E200" s="540"/>
    </row>
    <row r="201" spans="3:5">
      <c r="C201" s="540"/>
      <c r="D201" s="540"/>
      <c r="E201" s="540"/>
    </row>
    <row r="202" spans="3:5">
      <c r="C202" s="540"/>
      <c r="D202" s="540"/>
      <c r="E202" s="540"/>
    </row>
    <row r="203" spans="3:5">
      <c r="C203" s="540"/>
      <c r="D203" s="540"/>
      <c r="E203" s="540"/>
    </row>
    <row r="204" spans="3:5">
      <c r="C204" s="540"/>
      <c r="D204" s="540"/>
      <c r="E204" s="540"/>
    </row>
    <row r="205" spans="3:5">
      <c r="C205" s="540"/>
      <c r="D205" s="540"/>
      <c r="E205" s="540"/>
    </row>
    <row r="206" spans="3:5">
      <c r="C206" s="540"/>
      <c r="D206" s="540"/>
      <c r="E206" s="540"/>
    </row>
    <row r="207" spans="3:5">
      <c r="C207" s="540"/>
      <c r="D207" s="540"/>
      <c r="E207" s="540"/>
    </row>
    <row r="208" spans="3:5">
      <c r="C208" s="540"/>
      <c r="D208" s="540"/>
      <c r="E208" s="540"/>
    </row>
    <row r="209" spans="3:5">
      <c r="C209" s="540"/>
      <c r="D209" s="540"/>
      <c r="E209" s="540"/>
    </row>
    <row r="210" spans="3:5">
      <c r="C210" s="540"/>
      <c r="D210" s="540"/>
      <c r="E210" s="540"/>
    </row>
    <row r="211" spans="3:5">
      <c r="C211" s="540"/>
      <c r="D211" s="540"/>
      <c r="E211" s="540"/>
    </row>
    <row r="212" spans="3:5">
      <c r="C212" s="540"/>
      <c r="D212" s="540"/>
      <c r="E212" s="540"/>
    </row>
    <row r="213" spans="3:5">
      <c r="C213" s="540"/>
      <c r="D213" s="540"/>
      <c r="E213" s="540"/>
    </row>
    <row r="214" spans="3:5">
      <c r="C214" s="540"/>
      <c r="D214" s="540"/>
      <c r="E214" s="540"/>
    </row>
    <row r="215" spans="3:5">
      <c r="C215" s="540"/>
      <c r="D215" s="540"/>
      <c r="E215" s="540"/>
    </row>
    <row r="216" spans="3:5">
      <c r="C216" s="540"/>
      <c r="D216" s="540"/>
      <c r="E216" s="540"/>
    </row>
    <row r="217" spans="3:5">
      <c r="C217" s="540"/>
      <c r="D217" s="540"/>
      <c r="E217" s="540"/>
    </row>
    <row r="218" spans="3:5">
      <c r="C218" s="540"/>
      <c r="D218" s="540"/>
      <c r="E218" s="540"/>
    </row>
    <row r="219" spans="3:5">
      <c r="C219" s="540"/>
      <c r="D219" s="540"/>
      <c r="E219" s="540"/>
    </row>
    <row r="220" spans="3:5">
      <c r="C220" s="540"/>
      <c r="D220" s="540"/>
      <c r="E220" s="540"/>
    </row>
    <row r="221" spans="3:5">
      <c r="C221" s="540"/>
      <c r="D221" s="540"/>
      <c r="E221" s="540"/>
    </row>
    <row r="222" spans="3:5">
      <c r="C222" s="540"/>
      <c r="D222" s="540"/>
      <c r="E222" s="540"/>
    </row>
    <row r="223" spans="3:5">
      <c r="C223" s="540"/>
      <c r="D223" s="540"/>
      <c r="E223" s="540"/>
    </row>
    <row r="224" spans="3:5">
      <c r="C224" s="540"/>
      <c r="D224" s="540"/>
      <c r="E224" s="540"/>
    </row>
    <row r="225" spans="3:5">
      <c r="C225" s="540"/>
      <c r="D225" s="540"/>
      <c r="E225" s="540"/>
    </row>
    <row r="226" spans="3:5">
      <c r="C226" s="540"/>
      <c r="D226" s="540"/>
      <c r="E226" s="540"/>
    </row>
    <row r="227" spans="3:5">
      <c r="C227" s="540"/>
      <c r="D227" s="540"/>
      <c r="E227" s="540"/>
    </row>
    <row r="228" spans="3:5">
      <c r="C228" s="540"/>
      <c r="D228" s="540"/>
      <c r="E228" s="540"/>
    </row>
    <row r="229" spans="3:5">
      <c r="C229" s="540"/>
      <c r="D229" s="540"/>
      <c r="E229" s="540"/>
    </row>
    <row r="230" spans="3:5">
      <c r="C230" s="540"/>
      <c r="D230" s="540"/>
      <c r="E230" s="540"/>
    </row>
    <row r="231" spans="3:5">
      <c r="C231" s="540"/>
      <c r="D231" s="540"/>
      <c r="E231" s="540"/>
    </row>
    <row r="232" spans="3:5">
      <c r="C232" s="540"/>
      <c r="D232" s="540"/>
      <c r="E232" s="540"/>
    </row>
    <row r="233" spans="3:5">
      <c r="C233" s="540"/>
      <c r="D233" s="540"/>
      <c r="E233" s="540"/>
    </row>
    <row r="234" spans="3:5">
      <c r="C234" s="540"/>
      <c r="D234" s="540"/>
      <c r="E234" s="540"/>
    </row>
    <row r="235" spans="3:5">
      <c r="C235" s="540"/>
      <c r="D235" s="540"/>
      <c r="E235" s="540"/>
    </row>
    <row r="236" spans="3:5">
      <c r="C236" s="540"/>
      <c r="D236" s="540"/>
      <c r="E236" s="540"/>
    </row>
    <row r="237" spans="3:5">
      <c r="C237" s="540"/>
      <c r="D237" s="540"/>
      <c r="E237" s="540"/>
    </row>
    <row r="238" spans="3:5">
      <c r="C238" s="540"/>
      <c r="D238" s="540"/>
      <c r="E238" s="540"/>
    </row>
    <row r="239" spans="3:5">
      <c r="C239" s="540"/>
      <c r="D239" s="540"/>
      <c r="E239" s="540"/>
    </row>
    <row r="240" spans="3:5">
      <c r="C240" s="540"/>
      <c r="D240" s="540"/>
      <c r="E240" s="540"/>
    </row>
    <row r="241" spans="3:5">
      <c r="C241" s="540"/>
      <c r="D241" s="540"/>
      <c r="E241" s="540"/>
    </row>
    <row r="242" spans="3:5">
      <c r="C242" s="540"/>
      <c r="D242" s="540"/>
      <c r="E242" s="540"/>
    </row>
    <row r="243" spans="3:5">
      <c r="C243" s="540"/>
      <c r="D243" s="540"/>
      <c r="E243" s="540"/>
    </row>
    <row r="244" spans="3:5">
      <c r="C244" s="540"/>
      <c r="D244" s="540"/>
      <c r="E244" s="540"/>
    </row>
    <row r="245" spans="3:5">
      <c r="C245" s="540"/>
      <c r="D245" s="540"/>
      <c r="E245" s="540"/>
    </row>
    <row r="246" spans="3:5">
      <c r="C246" s="540"/>
      <c r="D246" s="540"/>
      <c r="E246" s="540"/>
    </row>
    <row r="247" spans="3:5">
      <c r="C247" s="540"/>
      <c r="D247" s="540"/>
      <c r="E247" s="540"/>
    </row>
    <row r="248" spans="3:5">
      <c r="C248" s="540"/>
      <c r="D248" s="540"/>
      <c r="E248" s="540"/>
    </row>
    <row r="249" spans="3:5">
      <c r="C249" s="540"/>
      <c r="D249" s="540"/>
      <c r="E249" s="540"/>
    </row>
    <row r="250" spans="3:5">
      <c r="C250" s="540"/>
      <c r="D250" s="540"/>
      <c r="E250" s="540"/>
    </row>
    <row r="251" spans="3:5">
      <c r="C251" s="540"/>
      <c r="D251" s="540"/>
      <c r="E251" s="540"/>
    </row>
    <row r="252" spans="3:5">
      <c r="C252" s="540"/>
      <c r="D252" s="540"/>
      <c r="E252" s="540"/>
    </row>
    <row r="253" spans="3:5">
      <c r="C253" s="540"/>
      <c r="D253" s="540"/>
      <c r="E253" s="540"/>
    </row>
    <row r="254" spans="3:5">
      <c r="C254" s="540"/>
      <c r="D254" s="540"/>
      <c r="E254" s="540"/>
    </row>
    <row r="255" spans="3:5">
      <c r="C255" s="540"/>
      <c r="D255" s="540"/>
      <c r="E255" s="540"/>
    </row>
    <row r="256" spans="3:5">
      <c r="C256" s="540"/>
      <c r="D256" s="540"/>
      <c r="E256" s="540"/>
    </row>
    <row r="257" spans="3:5">
      <c r="C257" s="540"/>
      <c r="D257" s="540"/>
      <c r="E257" s="540"/>
    </row>
    <row r="258" spans="3:5">
      <c r="C258" s="540"/>
      <c r="D258" s="540"/>
      <c r="E258" s="540"/>
    </row>
    <row r="259" spans="3:5">
      <c r="C259" s="540"/>
      <c r="D259" s="540"/>
      <c r="E259" s="540"/>
    </row>
    <row r="260" spans="3:5">
      <c r="C260" s="540"/>
      <c r="D260" s="540"/>
      <c r="E260" s="540"/>
    </row>
    <row r="261" spans="3:5">
      <c r="C261" s="540"/>
      <c r="D261" s="540"/>
      <c r="E261" s="540"/>
    </row>
    <row r="262" spans="3:5">
      <c r="C262" s="540"/>
      <c r="D262" s="540"/>
      <c r="E262" s="540"/>
    </row>
    <row r="263" spans="3:5">
      <c r="C263" s="540"/>
      <c r="D263" s="540"/>
      <c r="E263" s="540"/>
    </row>
    <row r="264" spans="3:5">
      <c r="C264" s="540"/>
      <c r="D264" s="540"/>
      <c r="E264" s="540"/>
    </row>
    <row r="265" spans="3:5">
      <c r="C265" s="540"/>
      <c r="D265" s="540"/>
      <c r="E265" s="540"/>
    </row>
    <row r="266" spans="3:5">
      <c r="C266" s="540"/>
      <c r="D266" s="540"/>
      <c r="E266" s="540"/>
    </row>
    <row r="267" spans="3:5">
      <c r="C267" s="540"/>
      <c r="D267" s="540"/>
      <c r="E267" s="540"/>
    </row>
    <row r="268" spans="3:5">
      <c r="C268" s="540"/>
      <c r="D268" s="540"/>
      <c r="E268" s="540"/>
    </row>
    <row r="269" spans="3:5">
      <c r="C269" s="540"/>
      <c r="D269" s="540"/>
      <c r="E269" s="540"/>
    </row>
    <row r="270" spans="3:5">
      <c r="C270" s="540"/>
      <c r="D270" s="540"/>
      <c r="E270" s="540"/>
    </row>
    <row r="271" spans="3:5">
      <c r="C271" s="540"/>
      <c r="D271" s="540"/>
      <c r="E271" s="540"/>
    </row>
    <row r="272" spans="3:5">
      <c r="C272" s="540"/>
      <c r="D272" s="540"/>
      <c r="E272" s="540"/>
    </row>
    <row r="273" spans="3:5">
      <c r="C273" s="540"/>
      <c r="D273" s="540"/>
      <c r="E273" s="540"/>
    </row>
    <row r="274" spans="3:5">
      <c r="C274" s="540"/>
      <c r="D274" s="540"/>
      <c r="E274" s="540"/>
    </row>
    <row r="275" spans="3:5">
      <c r="C275" s="540"/>
      <c r="D275" s="540"/>
      <c r="E275" s="540"/>
    </row>
    <row r="276" spans="3:5">
      <c r="C276" s="540"/>
      <c r="D276" s="540"/>
      <c r="E276" s="540"/>
    </row>
    <row r="277" spans="3:5">
      <c r="C277" s="540"/>
      <c r="D277" s="540"/>
      <c r="E277" s="540"/>
    </row>
    <row r="278" spans="3:5">
      <c r="C278" s="540"/>
      <c r="D278" s="540"/>
      <c r="E278" s="540"/>
    </row>
    <row r="279" spans="3:5">
      <c r="C279" s="540"/>
      <c r="D279" s="540"/>
      <c r="E279" s="540"/>
    </row>
    <row r="280" spans="3:5">
      <c r="C280" s="540"/>
      <c r="D280" s="540"/>
      <c r="E280" s="540"/>
    </row>
    <row r="281" spans="3:5">
      <c r="C281" s="540"/>
      <c r="D281" s="540"/>
      <c r="E281" s="540"/>
    </row>
    <row r="282" spans="3:5">
      <c r="C282" s="540"/>
      <c r="D282" s="540"/>
      <c r="E282" s="540"/>
    </row>
    <row r="283" spans="3:5">
      <c r="C283" s="540"/>
      <c r="D283" s="540"/>
      <c r="E283" s="540"/>
    </row>
    <row r="284" spans="3:5">
      <c r="C284" s="540"/>
      <c r="D284" s="540"/>
      <c r="E284" s="540"/>
    </row>
    <row r="285" spans="3:5">
      <c r="C285" s="540"/>
      <c r="D285" s="540"/>
      <c r="E285" s="540"/>
    </row>
    <row r="286" spans="3:5">
      <c r="C286" s="540"/>
      <c r="D286" s="540"/>
      <c r="E286" s="540"/>
    </row>
    <row r="287" spans="3:5">
      <c r="C287" s="540"/>
      <c r="D287" s="540"/>
      <c r="E287" s="540"/>
    </row>
    <row r="288" spans="3:5">
      <c r="C288" s="540"/>
      <c r="D288" s="540"/>
      <c r="E288" s="540"/>
    </row>
    <row r="289" spans="3:5">
      <c r="C289" s="540"/>
      <c r="D289" s="540"/>
      <c r="E289" s="540"/>
    </row>
    <row r="290" spans="3:5">
      <c r="C290" s="540"/>
      <c r="D290" s="540"/>
      <c r="E290" s="540"/>
    </row>
    <row r="291" spans="3:5">
      <c r="C291" s="540"/>
      <c r="D291" s="540"/>
      <c r="E291" s="540"/>
    </row>
    <row r="292" spans="3:5">
      <c r="C292" s="540"/>
      <c r="D292" s="540"/>
      <c r="E292" s="540"/>
    </row>
    <row r="293" spans="3:5">
      <c r="C293" s="540"/>
      <c r="D293" s="540"/>
      <c r="E293" s="540"/>
    </row>
    <row r="294" spans="3:5">
      <c r="C294" s="540"/>
      <c r="D294" s="540"/>
      <c r="E294" s="540"/>
    </row>
    <row r="295" spans="3:5">
      <c r="C295" s="540"/>
      <c r="D295" s="540"/>
      <c r="E295" s="540"/>
    </row>
    <row r="296" spans="3:5">
      <c r="C296" s="540"/>
      <c r="D296" s="540"/>
      <c r="E296" s="540"/>
    </row>
    <row r="297" spans="3:5">
      <c r="C297" s="540"/>
      <c r="D297" s="540"/>
      <c r="E297" s="540"/>
    </row>
    <row r="298" spans="3:5">
      <c r="C298" s="540"/>
      <c r="D298" s="540"/>
      <c r="E298" s="540"/>
    </row>
    <row r="299" spans="3:5">
      <c r="C299" s="540"/>
      <c r="D299" s="540"/>
      <c r="E299" s="540"/>
    </row>
    <row r="300" spans="3:5">
      <c r="C300" s="540"/>
      <c r="D300" s="540"/>
      <c r="E300" s="540"/>
    </row>
    <row r="301" spans="3:5">
      <c r="C301" s="540"/>
      <c r="D301" s="540"/>
      <c r="E301" s="540"/>
    </row>
    <row r="302" spans="3:5">
      <c r="C302" s="540"/>
      <c r="D302" s="540"/>
      <c r="E302" s="540"/>
    </row>
    <row r="303" spans="3:5">
      <c r="C303" s="540"/>
      <c r="D303" s="540"/>
      <c r="E303" s="540"/>
    </row>
    <row r="304" spans="3:5">
      <c r="C304" s="540"/>
      <c r="D304" s="540"/>
      <c r="E304" s="540"/>
    </row>
    <row r="305" spans="3:5">
      <c r="C305" s="540"/>
      <c r="D305" s="540"/>
      <c r="E305" s="540"/>
    </row>
    <row r="306" spans="3:5">
      <c r="C306" s="540"/>
      <c r="D306" s="540"/>
      <c r="E306" s="540"/>
    </row>
    <row r="307" spans="3:5">
      <c r="C307" s="540"/>
      <c r="D307" s="540"/>
      <c r="E307" s="540"/>
    </row>
    <row r="308" spans="3:5">
      <c r="C308" s="540"/>
      <c r="D308" s="540"/>
      <c r="E308" s="540"/>
    </row>
    <row r="309" spans="3:5">
      <c r="C309" s="540"/>
      <c r="D309" s="540"/>
      <c r="E309" s="540"/>
    </row>
    <row r="310" spans="3:5">
      <c r="C310" s="540"/>
      <c r="D310" s="540"/>
      <c r="E310" s="540"/>
    </row>
    <row r="311" spans="3:5">
      <c r="C311" s="540"/>
      <c r="D311" s="540"/>
      <c r="E311" s="540"/>
    </row>
    <row r="312" spans="3:5">
      <c r="C312" s="540"/>
      <c r="D312" s="540"/>
      <c r="E312" s="540"/>
    </row>
    <row r="313" spans="3:5">
      <c r="C313" s="540"/>
      <c r="D313" s="540"/>
      <c r="E313" s="540"/>
    </row>
    <row r="314" spans="3:5">
      <c r="C314" s="540"/>
      <c r="D314" s="540"/>
      <c r="E314" s="540"/>
    </row>
    <row r="315" spans="3:5">
      <c r="C315" s="540"/>
      <c r="D315" s="540"/>
      <c r="E315" s="540"/>
    </row>
    <row r="316" spans="3:5">
      <c r="C316" s="540"/>
      <c r="D316" s="540"/>
      <c r="E316" s="540"/>
    </row>
    <row r="317" spans="3:5">
      <c r="C317" s="540"/>
      <c r="D317" s="540"/>
      <c r="E317" s="540"/>
    </row>
    <row r="318" spans="3:5">
      <c r="C318" s="540"/>
      <c r="D318" s="540"/>
      <c r="E318" s="540"/>
    </row>
    <row r="319" spans="3:5">
      <c r="C319" s="540"/>
      <c r="D319" s="540"/>
      <c r="E319" s="540"/>
    </row>
    <row r="320" spans="3:5">
      <c r="C320" s="540"/>
      <c r="D320" s="540"/>
      <c r="E320" s="540"/>
    </row>
    <row r="321" spans="3:5">
      <c r="C321" s="540"/>
      <c r="D321" s="540"/>
      <c r="E321" s="540"/>
    </row>
    <row r="322" spans="3:5">
      <c r="C322" s="540"/>
      <c r="D322" s="540"/>
      <c r="E322" s="540"/>
    </row>
    <row r="323" spans="3:5">
      <c r="C323" s="540"/>
      <c r="D323" s="540"/>
      <c r="E323" s="540"/>
    </row>
    <row r="324" spans="3:5">
      <c r="C324" s="540"/>
      <c r="D324" s="540"/>
      <c r="E324" s="540"/>
    </row>
    <row r="325" spans="3:5">
      <c r="C325" s="540"/>
      <c r="D325" s="540"/>
      <c r="E325" s="540"/>
    </row>
    <row r="326" spans="3:5">
      <c r="C326" s="540"/>
      <c r="D326" s="540"/>
      <c r="E326" s="540"/>
    </row>
    <row r="327" spans="3:5">
      <c r="C327" s="540"/>
      <c r="D327" s="540"/>
      <c r="E327" s="540"/>
    </row>
    <row r="328" spans="3:5">
      <c r="C328" s="540"/>
      <c r="D328" s="540"/>
      <c r="E328" s="540"/>
    </row>
    <row r="329" spans="3:5">
      <c r="C329" s="540"/>
      <c r="D329" s="540"/>
      <c r="E329" s="540"/>
    </row>
    <row r="330" spans="3:5">
      <c r="C330" s="540"/>
      <c r="D330" s="540"/>
      <c r="E330" s="540"/>
    </row>
    <row r="331" spans="3:5">
      <c r="C331" s="540"/>
      <c r="D331" s="540"/>
      <c r="E331" s="540"/>
    </row>
    <row r="332" spans="3:5">
      <c r="C332" s="540"/>
      <c r="D332" s="540"/>
      <c r="E332" s="540"/>
    </row>
    <row r="333" spans="3:5">
      <c r="C333" s="540"/>
      <c r="D333" s="540"/>
      <c r="E333" s="540"/>
    </row>
    <row r="334" spans="3:5">
      <c r="C334" s="540"/>
      <c r="D334" s="540"/>
      <c r="E334" s="540"/>
    </row>
    <row r="335" spans="3:5">
      <c r="C335" s="540"/>
      <c r="D335" s="540"/>
      <c r="E335" s="540"/>
    </row>
    <row r="336" spans="3:5">
      <c r="C336" s="540"/>
      <c r="D336" s="540"/>
      <c r="E336" s="540"/>
    </row>
    <row r="337" spans="3:5">
      <c r="C337" s="540"/>
      <c r="D337" s="540"/>
      <c r="E337" s="540"/>
    </row>
    <row r="338" spans="3:5">
      <c r="C338" s="540"/>
      <c r="D338" s="540"/>
      <c r="E338" s="540"/>
    </row>
    <row r="339" spans="3:5">
      <c r="C339" s="540"/>
      <c r="D339" s="540"/>
      <c r="E339" s="540"/>
    </row>
    <row r="340" spans="3:5">
      <c r="C340" s="540"/>
      <c r="D340" s="540"/>
      <c r="E340" s="540"/>
    </row>
    <row r="341" spans="3:5">
      <c r="C341" s="540"/>
      <c r="D341" s="540"/>
      <c r="E341" s="540"/>
    </row>
    <row r="342" spans="3:5">
      <c r="C342" s="540"/>
      <c r="D342" s="540"/>
      <c r="E342" s="540"/>
    </row>
    <row r="343" spans="3:5">
      <c r="C343" s="540"/>
      <c r="D343" s="540"/>
      <c r="E343" s="540"/>
    </row>
    <row r="344" spans="3:5">
      <c r="C344" s="540"/>
      <c r="D344" s="540"/>
      <c r="E344" s="540"/>
    </row>
    <row r="345" spans="3:5">
      <c r="C345" s="540"/>
      <c r="D345" s="540"/>
      <c r="E345" s="540"/>
    </row>
    <row r="346" spans="3:5">
      <c r="C346" s="540"/>
      <c r="D346" s="540"/>
      <c r="E346" s="540"/>
    </row>
    <row r="347" spans="3:5">
      <c r="C347" s="540"/>
      <c r="D347" s="540"/>
      <c r="E347" s="540"/>
    </row>
    <row r="348" spans="3:5">
      <c r="C348" s="540"/>
      <c r="D348" s="540"/>
      <c r="E348" s="540"/>
    </row>
    <row r="349" spans="3:5">
      <c r="C349" s="540"/>
      <c r="D349" s="540"/>
      <c r="E349" s="540"/>
    </row>
    <row r="350" spans="3:5">
      <c r="C350" s="540"/>
      <c r="D350" s="540"/>
      <c r="E350" s="540"/>
    </row>
    <row r="351" spans="3:5">
      <c r="C351" s="540"/>
      <c r="D351" s="540"/>
      <c r="E351" s="540"/>
    </row>
    <row r="352" spans="3:5">
      <c r="C352" s="540"/>
      <c r="D352" s="540"/>
      <c r="E352" s="540"/>
    </row>
    <row r="353" spans="3:5">
      <c r="C353" s="540"/>
      <c r="D353" s="540"/>
      <c r="E353" s="540"/>
    </row>
    <row r="354" spans="3:5">
      <c r="C354" s="540"/>
      <c r="D354" s="540"/>
      <c r="E354" s="540"/>
    </row>
    <row r="355" spans="3:5">
      <c r="C355" s="540"/>
      <c r="D355" s="540"/>
      <c r="E355" s="540"/>
    </row>
    <row r="356" spans="3:5">
      <c r="C356" s="540"/>
      <c r="D356" s="540"/>
      <c r="E356" s="540"/>
    </row>
    <row r="357" spans="3:5">
      <c r="C357" s="540"/>
      <c r="D357" s="540"/>
      <c r="E357" s="540"/>
    </row>
    <row r="358" spans="3:5">
      <c r="C358" s="540"/>
      <c r="D358" s="540"/>
      <c r="E358" s="540"/>
    </row>
    <row r="359" spans="3:5">
      <c r="C359" s="540"/>
      <c r="D359" s="540"/>
      <c r="E359" s="540"/>
    </row>
    <row r="360" spans="3:5">
      <c r="C360" s="540"/>
      <c r="D360" s="540"/>
      <c r="E360" s="540"/>
    </row>
    <row r="361" spans="3:5">
      <c r="C361" s="540"/>
      <c r="D361" s="540"/>
      <c r="E361" s="540"/>
    </row>
    <row r="362" spans="3:5">
      <c r="C362" s="540"/>
      <c r="D362" s="540"/>
      <c r="E362" s="540"/>
    </row>
    <row r="363" spans="3:5">
      <c r="C363" s="540"/>
      <c r="D363" s="540"/>
      <c r="E363" s="540"/>
    </row>
    <row r="364" spans="3:5">
      <c r="C364" s="540"/>
      <c r="D364" s="540"/>
      <c r="E364" s="540"/>
    </row>
    <row r="365" spans="3:5">
      <c r="C365" s="540"/>
      <c r="D365" s="540"/>
      <c r="E365" s="540"/>
    </row>
    <row r="366" spans="3:5">
      <c r="C366" s="540"/>
      <c r="D366" s="540"/>
      <c r="E366" s="540"/>
    </row>
    <row r="367" spans="3:5">
      <c r="C367" s="540"/>
      <c r="D367" s="540"/>
      <c r="E367" s="540"/>
    </row>
    <row r="368" spans="3:5">
      <c r="C368" s="540"/>
      <c r="D368" s="540"/>
      <c r="E368" s="540"/>
    </row>
    <row r="369" spans="3:5">
      <c r="C369" s="540"/>
      <c r="D369" s="540"/>
      <c r="E369" s="540"/>
    </row>
    <row r="370" spans="3:5">
      <c r="C370" s="540"/>
      <c r="D370" s="540"/>
      <c r="E370" s="540"/>
    </row>
    <row r="371" spans="3:5">
      <c r="C371" s="540"/>
      <c r="D371" s="540"/>
      <c r="E371" s="540"/>
    </row>
    <row r="372" spans="3:5">
      <c r="C372" s="540"/>
      <c r="D372" s="540"/>
      <c r="E372" s="540"/>
    </row>
    <row r="373" spans="3:5">
      <c r="C373" s="540"/>
      <c r="D373" s="540"/>
      <c r="E373" s="540"/>
    </row>
    <row r="374" spans="3:5">
      <c r="C374" s="540"/>
      <c r="D374" s="540"/>
      <c r="E374" s="540"/>
    </row>
    <row r="375" spans="3:5">
      <c r="C375" s="540"/>
      <c r="D375" s="540"/>
      <c r="E375" s="540"/>
    </row>
    <row r="376" spans="3:5">
      <c r="C376" s="540"/>
      <c r="D376" s="540"/>
      <c r="E376" s="540"/>
    </row>
    <row r="377" spans="3:5">
      <c r="C377" s="540"/>
      <c r="D377" s="540"/>
      <c r="E377" s="540"/>
    </row>
    <row r="378" spans="3:5">
      <c r="C378" s="540"/>
      <c r="D378" s="540"/>
      <c r="E378" s="540"/>
    </row>
    <row r="379" spans="3:5">
      <c r="C379" s="540"/>
      <c r="D379" s="540"/>
      <c r="E379" s="540"/>
    </row>
    <row r="380" spans="3:5">
      <c r="C380" s="540"/>
      <c r="D380" s="540"/>
      <c r="E380" s="540"/>
    </row>
    <row r="381" spans="3:5">
      <c r="C381" s="540"/>
      <c r="D381" s="540"/>
      <c r="E381" s="540"/>
    </row>
    <row r="382" spans="3:5">
      <c r="C382" s="540"/>
      <c r="D382" s="540"/>
      <c r="E382" s="540"/>
    </row>
    <row r="383" spans="3:5">
      <c r="C383" s="540"/>
      <c r="D383" s="540"/>
      <c r="E383" s="540"/>
    </row>
    <row r="384" spans="3:5">
      <c r="C384" s="540"/>
      <c r="D384" s="540"/>
      <c r="E384" s="540"/>
    </row>
    <row r="385" spans="3:5">
      <c r="C385" s="540"/>
      <c r="D385" s="540"/>
      <c r="E385" s="540"/>
    </row>
    <row r="386" spans="3:5">
      <c r="C386" s="540"/>
      <c r="D386" s="540"/>
      <c r="E386" s="540"/>
    </row>
    <row r="387" spans="3:5">
      <c r="C387" s="540"/>
      <c r="D387" s="540"/>
      <c r="E387" s="540"/>
    </row>
    <row r="388" spans="3:5">
      <c r="C388" s="540"/>
      <c r="D388" s="540"/>
      <c r="E388" s="540"/>
    </row>
    <row r="389" spans="3:5">
      <c r="C389" s="540"/>
      <c r="D389" s="540"/>
      <c r="E389" s="540"/>
    </row>
    <row r="390" spans="3:5">
      <c r="C390" s="540"/>
      <c r="D390" s="540"/>
      <c r="E390" s="540"/>
    </row>
    <row r="391" spans="3:5">
      <c r="C391" s="540"/>
      <c r="D391" s="540"/>
      <c r="E391" s="540"/>
    </row>
    <row r="392" spans="3:5">
      <c r="C392" s="540"/>
      <c r="D392" s="540"/>
      <c r="E392" s="540"/>
    </row>
    <row r="393" spans="3:5">
      <c r="C393" s="540"/>
      <c r="D393" s="540"/>
      <c r="E393" s="540"/>
    </row>
    <row r="394" spans="3:5">
      <c r="C394" s="540"/>
      <c r="D394" s="540"/>
      <c r="E394" s="540"/>
    </row>
    <row r="395" spans="3:5">
      <c r="C395" s="540"/>
      <c r="D395" s="540"/>
      <c r="E395" s="540"/>
    </row>
    <row r="396" spans="3:5">
      <c r="C396" s="540"/>
      <c r="D396" s="540"/>
      <c r="E396" s="540"/>
    </row>
    <row r="397" spans="3:5">
      <c r="C397" s="540"/>
      <c r="D397" s="540"/>
      <c r="E397" s="540"/>
    </row>
    <row r="398" spans="3:5">
      <c r="C398" s="540"/>
      <c r="D398" s="540"/>
      <c r="E398" s="540"/>
    </row>
    <row r="399" spans="3:5">
      <c r="C399" s="540"/>
      <c r="D399" s="540"/>
      <c r="E399" s="540"/>
    </row>
    <row r="400" spans="3:5">
      <c r="C400" s="540"/>
      <c r="D400" s="540"/>
      <c r="E400" s="540"/>
    </row>
    <row r="401" spans="3:5">
      <c r="C401" s="540"/>
      <c r="D401" s="540"/>
      <c r="E401" s="540"/>
    </row>
    <row r="402" spans="3:5">
      <c r="C402" s="540"/>
      <c r="D402" s="540"/>
      <c r="E402" s="540"/>
    </row>
    <row r="403" spans="3:5">
      <c r="C403" s="540"/>
      <c r="D403" s="540"/>
      <c r="E403" s="540"/>
    </row>
    <row r="404" spans="3:5">
      <c r="C404" s="540"/>
      <c r="D404" s="540"/>
      <c r="E404" s="540"/>
    </row>
    <row r="405" spans="3:5">
      <c r="C405" s="540"/>
      <c r="D405" s="540"/>
      <c r="E405" s="540"/>
    </row>
    <row r="406" spans="3:5">
      <c r="C406" s="540"/>
      <c r="D406" s="540"/>
      <c r="E406" s="540"/>
    </row>
    <row r="407" spans="3:5">
      <c r="C407" s="540"/>
      <c r="D407" s="540"/>
      <c r="E407" s="540"/>
    </row>
    <row r="408" spans="3:5">
      <c r="C408" s="540"/>
      <c r="D408" s="540"/>
      <c r="E408" s="540"/>
    </row>
    <row r="409" spans="3:5">
      <c r="C409" s="540"/>
      <c r="D409" s="540"/>
      <c r="E409" s="540"/>
    </row>
    <row r="410" spans="3:5">
      <c r="C410" s="540"/>
      <c r="D410" s="540"/>
      <c r="E410" s="540"/>
    </row>
    <row r="411" spans="3:5">
      <c r="C411" s="540"/>
      <c r="D411" s="540"/>
      <c r="E411" s="540"/>
    </row>
    <row r="412" spans="3:5">
      <c r="C412" s="540"/>
      <c r="D412" s="540"/>
      <c r="E412" s="540"/>
    </row>
    <row r="413" spans="3:5">
      <c r="C413" s="540"/>
      <c r="D413" s="540"/>
      <c r="E413" s="540"/>
    </row>
    <row r="414" spans="3:5">
      <c r="C414" s="540"/>
      <c r="D414" s="540"/>
      <c r="E414" s="540"/>
    </row>
    <row r="415" spans="3:5">
      <c r="C415" s="540"/>
      <c r="D415" s="540"/>
      <c r="E415" s="540"/>
    </row>
    <row r="416" spans="3:5">
      <c r="C416" s="540"/>
      <c r="D416" s="540"/>
      <c r="E416" s="540"/>
    </row>
    <row r="417" spans="3:5">
      <c r="C417" s="540"/>
      <c r="D417" s="540"/>
      <c r="E417" s="540"/>
    </row>
    <row r="418" spans="3:5">
      <c r="C418" s="540"/>
      <c r="D418" s="540"/>
      <c r="E418" s="540"/>
    </row>
    <row r="419" spans="3:5">
      <c r="C419" s="540"/>
      <c r="D419" s="540"/>
      <c r="E419" s="540"/>
    </row>
    <row r="420" spans="3:5">
      <c r="C420" s="540"/>
      <c r="D420" s="540"/>
      <c r="E420" s="540"/>
    </row>
    <row r="421" spans="3:5">
      <c r="C421" s="540"/>
      <c r="D421" s="540"/>
      <c r="E421" s="540"/>
    </row>
    <row r="422" spans="3:5">
      <c r="C422" s="540"/>
      <c r="D422" s="540"/>
      <c r="E422" s="540"/>
    </row>
    <row r="423" spans="3:5">
      <c r="C423" s="540"/>
      <c r="D423" s="540"/>
      <c r="E423" s="540"/>
    </row>
    <row r="424" spans="3:5">
      <c r="C424" s="540"/>
      <c r="D424" s="540"/>
      <c r="E424" s="540"/>
    </row>
    <row r="425" spans="3:5">
      <c r="C425" s="540"/>
      <c r="D425" s="540"/>
      <c r="E425" s="540"/>
    </row>
    <row r="426" spans="3:5">
      <c r="C426" s="540"/>
      <c r="D426" s="540"/>
      <c r="E426" s="540"/>
    </row>
    <row r="427" spans="3:5">
      <c r="C427" s="540"/>
      <c r="D427" s="540"/>
      <c r="E427" s="540"/>
    </row>
    <row r="428" spans="3:5">
      <c r="C428" s="540"/>
      <c r="D428" s="540"/>
      <c r="E428" s="540"/>
    </row>
    <row r="429" spans="3:5">
      <c r="C429" s="540"/>
      <c r="D429" s="540"/>
      <c r="E429" s="540"/>
    </row>
    <row r="430" spans="3:5">
      <c r="C430" s="540"/>
      <c r="D430" s="540"/>
      <c r="E430" s="540"/>
    </row>
    <row r="431" spans="3:5">
      <c r="C431" s="540"/>
      <c r="D431" s="540"/>
      <c r="E431" s="540"/>
    </row>
    <row r="432" spans="3:5">
      <c r="C432" s="540"/>
      <c r="D432" s="540"/>
      <c r="E432" s="540"/>
    </row>
    <row r="433" spans="3:5">
      <c r="C433" s="540"/>
      <c r="D433" s="540"/>
      <c r="E433" s="540"/>
    </row>
    <row r="434" spans="3:5">
      <c r="C434" s="540"/>
      <c r="D434" s="540"/>
      <c r="E434" s="540"/>
    </row>
    <row r="435" spans="3:5">
      <c r="C435" s="540"/>
      <c r="D435" s="540"/>
      <c r="E435" s="540"/>
    </row>
    <row r="436" spans="3:5">
      <c r="C436" s="540"/>
      <c r="D436" s="540"/>
      <c r="E436" s="540"/>
    </row>
    <row r="437" spans="3:5">
      <c r="C437" s="540"/>
      <c r="D437" s="540"/>
      <c r="E437" s="540"/>
    </row>
    <row r="438" spans="3:5">
      <c r="C438" s="540"/>
      <c r="D438" s="540"/>
      <c r="E438" s="540"/>
    </row>
    <row r="439" spans="3:5">
      <c r="C439" s="540"/>
      <c r="D439" s="540"/>
      <c r="E439" s="540"/>
    </row>
    <row r="440" spans="3:5">
      <c r="C440" s="540"/>
      <c r="D440" s="540"/>
      <c r="E440" s="540"/>
    </row>
    <row r="441" spans="3:5">
      <c r="C441" s="540"/>
      <c r="D441" s="540"/>
      <c r="E441" s="540"/>
    </row>
    <row r="442" spans="3:5">
      <c r="C442" s="540"/>
      <c r="D442" s="540"/>
      <c r="E442" s="540"/>
    </row>
    <row r="443" spans="3:5">
      <c r="C443" s="540"/>
      <c r="D443" s="540"/>
      <c r="E443" s="540"/>
    </row>
    <row r="444" spans="3:5">
      <c r="C444" s="540"/>
      <c r="D444" s="540"/>
      <c r="E444" s="540"/>
    </row>
    <row r="445" spans="3:5">
      <c r="C445" s="540"/>
      <c r="D445" s="540"/>
      <c r="E445" s="540"/>
    </row>
    <row r="446" spans="3:5">
      <c r="C446" s="540"/>
      <c r="D446" s="540"/>
      <c r="E446" s="540"/>
    </row>
    <row r="447" spans="3:5">
      <c r="C447" s="540"/>
      <c r="D447" s="540"/>
      <c r="E447" s="540"/>
    </row>
    <row r="448" spans="3:5">
      <c r="C448" s="540"/>
      <c r="D448" s="540"/>
      <c r="E448" s="540"/>
    </row>
  </sheetData>
  <mergeCells count="1">
    <mergeCell ref="D1:E1"/>
  </mergeCells>
  <printOptions horizontalCentered="1"/>
  <pageMargins left="0.27559055118110237" right="0.19685039370078741" top="0.23622047244094491" bottom="0.31496062992125984" header="0.15748031496062992" footer="0.27559055118110237"/>
  <pageSetup scale="68"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8000"/>
  </sheetPr>
  <dimension ref="A1:I260"/>
  <sheetViews>
    <sheetView view="pageBreakPreview" zoomScaleSheetLayoutView="100" workbookViewId="0">
      <pane xSplit="1" ySplit="5" topLeftCell="B6" activePane="bottomRight" state="frozen"/>
      <selection pane="bottomRight" activeCell="M11" sqref="M11"/>
      <selection pane="bottomLeft" activeCell="H21" sqref="H21"/>
      <selection pane="topRight" activeCell="H21" sqref="H21"/>
    </sheetView>
  </sheetViews>
  <sheetFormatPr defaultColWidth="9.140625" defaultRowHeight="12.75"/>
  <cols>
    <col min="1" max="1" width="9.140625" style="517"/>
    <col min="2" max="2" width="11.28515625" style="517" customWidth="1"/>
    <col min="3" max="3" width="9.140625" style="517"/>
    <col min="4" max="4" width="10.85546875" style="517" customWidth="1"/>
    <col min="5" max="5" width="9.140625" style="517"/>
    <col min="6" max="6" width="11.5703125" style="517" customWidth="1"/>
    <col min="7" max="7" width="9.140625" style="517"/>
    <col min="8" max="8" width="11.140625" style="517" customWidth="1"/>
    <col min="9" max="16384" width="9.140625" style="517"/>
  </cols>
  <sheetData>
    <row r="1" spans="1:9" ht="25.5" customHeight="1">
      <c r="A1" s="2820" t="s">
        <v>3915</v>
      </c>
      <c r="B1" s="2820"/>
      <c r="C1" s="510"/>
      <c r="D1" s="510"/>
      <c r="E1" s="510"/>
      <c r="F1" s="510"/>
      <c r="G1" s="2820" t="s">
        <v>3916</v>
      </c>
      <c r="H1" s="2820"/>
      <c r="I1" s="2820"/>
    </row>
    <row r="2" spans="1:9" ht="15.75">
      <c r="A2" s="564" t="s">
        <v>3917</v>
      </c>
      <c r="B2" s="511"/>
      <c r="C2" s="511"/>
      <c r="D2" s="511"/>
      <c r="E2" s="511"/>
      <c r="F2" s="511"/>
      <c r="G2" s="511"/>
      <c r="H2" s="564"/>
      <c r="I2" s="564"/>
    </row>
    <row r="3" spans="1:9" ht="12" customHeight="1">
      <c r="A3" s="511"/>
      <c r="B3" s="511"/>
      <c r="C3" s="511"/>
      <c r="D3" s="511"/>
      <c r="E3" s="511"/>
      <c r="F3" s="511"/>
      <c r="G3" s="511"/>
      <c r="H3" s="564"/>
      <c r="I3" s="564"/>
    </row>
    <row r="4" spans="1:9" s="564" customFormat="1" ht="18" customHeight="1">
      <c r="A4" s="516"/>
      <c r="B4" s="2821" t="s">
        <v>271</v>
      </c>
      <c r="C4" s="2821"/>
      <c r="D4" s="2821" t="s">
        <v>259</v>
      </c>
      <c r="E4" s="2821"/>
      <c r="F4" s="2821" t="s">
        <v>232</v>
      </c>
      <c r="G4" s="2821"/>
      <c r="H4" s="2821" t="s">
        <v>274</v>
      </c>
      <c r="I4" s="2821"/>
    </row>
    <row r="5" spans="1:9" s="565" customFormat="1" ht="47.25">
      <c r="A5" s="512" t="s">
        <v>2879</v>
      </c>
      <c r="B5" s="512" t="s">
        <v>3918</v>
      </c>
      <c r="C5" s="512" t="s">
        <v>3919</v>
      </c>
      <c r="D5" s="512" t="s">
        <v>3918</v>
      </c>
      <c r="E5" s="512" t="s">
        <v>3919</v>
      </c>
      <c r="F5" s="512" t="s">
        <v>3918</v>
      </c>
      <c r="G5" s="512" t="s">
        <v>3919</v>
      </c>
      <c r="H5" s="512" t="s">
        <v>3918</v>
      </c>
      <c r="I5" s="512" t="s">
        <v>3919</v>
      </c>
    </row>
    <row r="6" spans="1:9" s="565" customFormat="1" ht="18" customHeight="1">
      <c r="A6" s="514"/>
      <c r="B6" s="513"/>
      <c r="C6" s="513"/>
      <c r="D6" s="513"/>
      <c r="E6" s="513"/>
      <c r="F6" s="514"/>
      <c r="G6" s="514"/>
      <c r="H6" s="512"/>
      <c r="I6" s="512"/>
    </row>
    <row r="7" spans="1:9" s="565" customFormat="1" ht="18" customHeight="1">
      <c r="A7" s="589" t="s">
        <v>3920</v>
      </c>
      <c r="B7" s="588"/>
      <c r="C7" s="587"/>
      <c r="D7" s="514"/>
      <c r="E7" s="514"/>
      <c r="F7" s="514"/>
      <c r="G7" s="514"/>
      <c r="H7" s="512"/>
      <c r="I7" s="512"/>
    </row>
    <row r="8" spans="1:9" s="511" customFormat="1" ht="18" customHeight="1">
      <c r="A8" s="628">
        <v>44652</v>
      </c>
      <c r="B8" s="629">
        <v>1</v>
      </c>
      <c r="C8" s="629">
        <v>1</v>
      </c>
      <c r="D8" s="629">
        <v>70</v>
      </c>
      <c r="E8" s="629">
        <v>70</v>
      </c>
      <c r="F8" s="629">
        <v>61111</v>
      </c>
      <c r="G8" s="629">
        <v>53601</v>
      </c>
      <c r="H8" s="513">
        <f t="shared" ref="H8:I19" si="0">+B8+D8+F8</f>
        <v>61182</v>
      </c>
      <c r="I8" s="513">
        <f t="shared" si="0"/>
        <v>53672</v>
      </c>
    </row>
    <row r="9" spans="1:9" s="511" customFormat="1" ht="18" customHeight="1">
      <c r="A9" s="628">
        <v>44682</v>
      </c>
      <c r="B9" s="629">
        <v>1</v>
      </c>
      <c r="C9" s="629">
        <v>1</v>
      </c>
      <c r="D9" s="629">
        <v>70</v>
      </c>
      <c r="E9" s="629">
        <v>70</v>
      </c>
      <c r="F9" s="629">
        <v>61784</v>
      </c>
      <c r="G9" s="629">
        <v>53943</v>
      </c>
      <c r="H9" s="513">
        <f t="shared" si="0"/>
        <v>61855</v>
      </c>
      <c r="I9" s="513">
        <f t="shared" si="0"/>
        <v>54014</v>
      </c>
    </row>
    <row r="10" spans="1:9" s="511" customFormat="1" ht="18" customHeight="1">
      <c r="A10" s="628">
        <v>44713</v>
      </c>
      <c r="B10" s="629">
        <v>1</v>
      </c>
      <c r="C10" s="629">
        <v>1</v>
      </c>
      <c r="D10" s="629">
        <v>69</v>
      </c>
      <c r="E10" s="629">
        <v>69</v>
      </c>
      <c r="F10" s="629">
        <v>62320</v>
      </c>
      <c r="G10" s="629">
        <v>56916</v>
      </c>
      <c r="H10" s="513">
        <f t="shared" si="0"/>
        <v>62390</v>
      </c>
      <c r="I10" s="513">
        <f t="shared" si="0"/>
        <v>56986</v>
      </c>
    </row>
    <row r="11" spans="1:9" s="511" customFormat="1" ht="18" customHeight="1">
      <c r="A11" s="628">
        <v>44743</v>
      </c>
      <c r="B11" s="629">
        <v>1</v>
      </c>
      <c r="C11" s="629">
        <v>1</v>
      </c>
      <c r="D11" s="629">
        <v>69</v>
      </c>
      <c r="E11" s="629">
        <v>69</v>
      </c>
      <c r="F11" s="629">
        <v>64584</v>
      </c>
      <c r="G11" s="629">
        <v>56537</v>
      </c>
      <c r="H11" s="513">
        <f t="shared" si="0"/>
        <v>64654</v>
      </c>
      <c r="I11" s="513">
        <f t="shared" si="0"/>
        <v>56607</v>
      </c>
    </row>
    <row r="12" spans="1:9" s="511" customFormat="1" ht="18" customHeight="1">
      <c r="A12" s="628">
        <v>44774</v>
      </c>
      <c r="B12" s="629">
        <v>1</v>
      </c>
      <c r="C12" s="629">
        <v>1</v>
      </c>
      <c r="D12" s="629">
        <v>68</v>
      </c>
      <c r="E12" s="629">
        <v>68</v>
      </c>
      <c r="F12" s="629">
        <v>62389</v>
      </c>
      <c r="G12" s="629">
        <v>58027</v>
      </c>
      <c r="H12" s="513">
        <f t="shared" si="0"/>
        <v>62458</v>
      </c>
      <c r="I12" s="513">
        <f t="shared" si="0"/>
        <v>58096</v>
      </c>
    </row>
    <row r="13" spans="1:9" s="511" customFormat="1" ht="18" customHeight="1">
      <c r="A13" s="628">
        <v>44805</v>
      </c>
      <c r="B13" s="629">
        <v>1</v>
      </c>
      <c r="C13" s="629">
        <v>1</v>
      </c>
      <c r="D13" s="629">
        <v>68</v>
      </c>
      <c r="E13" s="629">
        <v>68</v>
      </c>
      <c r="F13" s="629">
        <v>64787</v>
      </c>
      <c r="G13" s="629">
        <v>59430</v>
      </c>
      <c r="H13" s="513">
        <f t="shared" si="0"/>
        <v>64856</v>
      </c>
      <c r="I13" s="513">
        <f t="shared" si="0"/>
        <v>59499</v>
      </c>
    </row>
    <row r="14" spans="1:9" s="511" customFormat="1" ht="18" customHeight="1">
      <c r="A14" s="628">
        <v>44835</v>
      </c>
      <c r="B14" s="629">
        <v>1</v>
      </c>
      <c r="C14" s="629">
        <v>1</v>
      </c>
      <c r="D14" s="629">
        <v>68</v>
      </c>
      <c r="E14" s="629">
        <v>68</v>
      </c>
      <c r="F14" s="629">
        <v>65152</v>
      </c>
      <c r="G14" s="629">
        <v>60274</v>
      </c>
      <c r="H14" s="516">
        <f t="shared" si="0"/>
        <v>65221</v>
      </c>
      <c r="I14" s="516">
        <f t="shared" si="0"/>
        <v>60343</v>
      </c>
    </row>
    <row r="15" spans="1:9" s="511" customFormat="1" ht="18" customHeight="1">
      <c r="A15" s="628">
        <v>44866</v>
      </c>
      <c r="B15" s="629">
        <v>1</v>
      </c>
      <c r="C15" s="629">
        <v>1</v>
      </c>
      <c r="D15" s="629">
        <v>69</v>
      </c>
      <c r="E15" s="629">
        <v>69</v>
      </c>
      <c r="F15" s="629">
        <v>65341</v>
      </c>
      <c r="G15" s="629">
        <v>61151</v>
      </c>
      <c r="H15" s="516">
        <f t="shared" si="0"/>
        <v>65411</v>
      </c>
      <c r="I15" s="516">
        <f t="shared" si="0"/>
        <v>61221</v>
      </c>
    </row>
    <row r="16" spans="1:9" s="511" customFormat="1" ht="18" customHeight="1">
      <c r="A16" s="628">
        <v>44896</v>
      </c>
      <c r="B16" s="629">
        <v>1</v>
      </c>
      <c r="C16" s="629">
        <v>1</v>
      </c>
      <c r="D16" s="629">
        <v>68</v>
      </c>
      <c r="E16" s="629">
        <v>68</v>
      </c>
      <c r="F16" s="629">
        <v>65155</v>
      </c>
      <c r="G16" s="629">
        <v>61279</v>
      </c>
      <c r="H16" s="516">
        <f t="shared" si="0"/>
        <v>65224</v>
      </c>
      <c r="I16" s="516">
        <f t="shared" si="0"/>
        <v>61348</v>
      </c>
    </row>
    <row r="17" spans="1:9" s="511" customFormat="1" ht="18" customHeight="1">
      <c r="A17" s="628">
        <v>44927</v>
      </c>
      <c r="B17" s="629">
        <v>1</v>
      </c>
      <c r="C17" s="629">
        <v>1</v>
      </c>
      <c r="D17" s="629">
        <v>69</v>
      </c>
      <c r="E17" s="629">
        <v>69</v>
      </c>
      <c r="F17" s="629">
        <v>65133</v>
      </c>
      <c r="G17" s="629">
        <v>61230</v>
      </c>
      <c r="H17" s="516">
        <f t="shared" si="0"/>
        <v>65203</v>
      </c>
      <c r="I17" s="516">
        <f t="shared" si="0"/>
        <v>61300</v>
      </c>
    </row>
    <row r="18" spans="1:9" s="511" customFormat="1" ht="18" customHeight="1">
      <c r="A18" s="628">
        <v>44958</v>
      </c>
      <c r="B18" s="629">
        <v>1</v>
      </c>
      <c r="C18" s="629">
        <v>1</v>
      </c>
      <c r="D18" s="629">
        <v>69</v>
      </c>
      <c r="E18" s="629">
        <v>69</v>
      </c>
      <c r="F18" s="629">
        <v>65331</v>
      </c>
      <c r="G18" s="629">
        <v>60637</v>
      </c>
      <c r="H18" s="516">
        <f t="shared" si="0"/>
        <v>65401</v>
      </c>
      <c r="I18" s="516">
        <f t="shared" si="0"/>
        <v>60707</v>
      </c>
    </row>
    <row r="19" spans="1:9" s="511" customFormat="1" ht="18" customHeight="1">
      <c r="A19" s="628">
        <v>44986</v>
      </c>
      <c r="B19" s="629">
        <v>1</v>
      </c>
      <c r="C19" s="629">
        <v>1</v>
      </c>
      <c r="D19" s="629">
        <v>69</v>
      </c>
      <c r="E19" s="629">
        <v>69</v>
      </c>
      <c r="F19" s="629">
        <v>65239</v>
      </c>
      <c r="G19" s="629">
        <v>60850</v>
      </c>
      <c r="H19" s="516">
        <f t="shared" si="0"/>
        <v>65309</v>
      </c>
      <c r="I19" s="516">
        <f t="shared" si="0"/>
        <v>60920</v>
      </c>
    </row>
    <row r="20" spans="1:9" s="564" customFormat="1" ht="18" customHeight="1">
      <c r="A20" s="516" t="s">
        <v>274</v>
      </c>
      <c r="B20" s="516">
        <f t="shared" ref="B20:F20" si="1">SUM(B8:B19)</f>
        <v>12</v>
      </c>
      <c r="C20" s="516">
        <f t="shared" si="1"/>
        <v>12</v>
      </c>
      <c r="D20" s="516">
        <f t="shared" si="1"/>
        <v>826</v>
      </c>
      <c r="E20" s="516">
        <f t="shared" si="1"/>
        <v>826</v>
      </c>
      <c r="F20" s="516">
        <f t="shared" si="1"/>
        <v>768326</v>
      </c>
      <c r="G20" s="516">
        <f t="shared" ref="G20:I20" si="2">SUM(G8:G19)</f>
        <v>703875</v>
      </c>
      <c r="H20" s="516">
        <f t="shared" si="2"/>
        <v>769164</v>
      </c>
      <c r="I20" s="516">
        <f t="shared" si="2"/>
        <v>704713</v>
      </c>
    </row>
    <row r="21" spans="1:9" s="511" customFormat="1" ht="15.75">
      <c r="A21" s="515"/>
      <c r="B21" s="515"/>
      <c r="C21" s="515"/>
      <c r="D21" s="515"/>
      <c r="E21" s="515"/>
      <c r="F21" s="515"/>
      <c r="G21" s="515"/>
      <c r="H21" s="516"/>
      <c r="I21" s="516"/>
    </row>
    <row r="22" spans="1:9" s="511" customFormat="1" ht="15.75">
      <c r="A22" s="589" t="s">
        <v>3921</v>
      </c>
      <c r="B22" s="588"/>
      <c r="C22" s="587"/>
      <c r="D22" s="514"/>
      <c r="E22" s="514"/>
      <c r="F22" s="514"/>
      <c r="G22" s="514"/>
      <c r="H22" s="512"/>
      <c r="I22" s="512"/>
    </row>
    <row r="23" spans="1:9" s="511" customFormat="1" ht="15.75">
      <c r="A23" s="628">
        <v>44652</v>
      </c>
      <c r="B23" s="629">
        <v>0</v>
      </c>
      <c r="C23" s="629">
        <v>0</v>
      </c>
      <c r="D23" s="629">
        <v>2</v>
      </c>
      <c r="E23" s="629">
        <v>2</v>
      </c>
      <c r="F23" s="629">
        <v>83048</v>
      </c>
      <c r="G23" s="629">
        <v>70139</v>
      </c>
      <c r="H23" s="516">
        <f t="shared" ref="H23:I34" si="3">+B23+D23+F23</f>
        <v>83050</v>
      </c>
      <c r="I23" s="516">
        <f t="shared" si="3"/>
        <v>70141</v>
      </c>
    </row>
    <row r="24" spans="1:9" s="511" customFormat="1" ht="15.75">
      <c r="A24" s="628">
        <v>44682</v>
      </c>
      <c r="B24" s="629">
        <v>0</v>
      </c>
      <c r="C24" s="629">
        <v>0</v>
      </c>
      <c r="D24" s="629">
        <v>2</v>
      </c>
      <c r="E24" s="629">
        <v>2</v>
      </c>
      <c r="F24" s="629">
        <v>83472</v>
      </c>
      <c r="G24" s="629">
        <v>76856</v>
      </c>
      <c r="H24" s="516">
        <f t="shared" si="3"/>
        <v>83474</v>
      </c>
      <c r="I24" s="516">
        <f t="shared" si="3"/>
        <v>76858</v>
      </c>
    </row>
    <row r="25" spans="1:9" s="511" customFormat="1" ht="15.75">
      <c r="A25" s="628">
        <v>44713</v>
      </c>
      <c r="B25" s="629">
        <v>0</v>
      </c>
      <c r="C25" s="629">
        <v>0</v>
      </c>
      <c r="D25" s="629">
        <v>2</v>
      </c>
      <c r="E25" s="629">
        <v>2</v>
      </c>
      <c r="F25" s="629">
        <v>83877</v>
      </c>
      <c r="G25" s="629">
        <v>80061</v>
      </c>
      <c r="H25" s="516">
        <f t="shared" si="3"/>
        <v>83879</v>
      </c>
      <c r="I25" s="516">
        <f t="shared" si="3"/>
        <v>80063</v>
      </c>
    </row>
    <row r="26" spans="1:9" s="511" customFormat="1" ht="15.75">
      <c r="A26" s="628">
        <v>44743</v>
      </c>
      <c r="B26" s="629">
        <v>0</v>
      </c>
      <c r="C26" s="629">
        <v>0</v>
      </c>
      <c r="D26" s="629">
        <v>2</v>
      </c>
      <c r="E26" s="629">
        <v>2</v>
      </c>
      <c r="F26" s="629">
        <v>84077</v>
      </c>
      <c r="G26" s="629">
        <v>81242</v>
      </c>
      <c r="H26" s="516">
        <f t="shared" si="3"/>
        <v>84079</v>
      </c>
      <c r="I26" s="516">
        <f t="shared" si="3"/>
        <v>81244</v>
      </c>
    </row>
    <row r="27" spans="1:9" s="511" customFormat="1" ht="15.75">
      <c r="A27" s="628">
        <v>44774</v>
      </c>
      <c r="B27" s="629">
        <v>0</v>
      </c>
      <c r="C27" s="629">
        <v>0</v>
      </c>
      <c r="D27" s="629">
        <v>2</v>
      </c>
      <c r="E27" s="629">
        <v>2</v>
      </c>
      <c r="F27" s="629">
        <v>83967</v>
      </c>
      <c r="G27" s="629">
        <v>80261</v>
      </c>
      <c r="H27" s="516">
        <f t="shared" si="3"/>
        <v>83969</v>
      </c>
      <c r="I27" s="516">
        <f t="shared" si="3"/>
        <v>80263</v>
      </c>
    </row>
    <row r="28" spans="1:9" s="511" customFormat="1" ht="15.75">
      <c r="A28" s="628">
        <v>44805</v>
      </c>
      <c r="B28" s="629">
        <v>0</v>
      </c>
      <c r="C28" s="629">
        <v>0</v>
      </c>
      <c r="D28" s="629">
        <v>2</v>
      </c>
      <c r="E28" s="629">
        <v>2</v>
      </c>
      <c r="F28" s="629">
        <v>83985</v>
      </c>
      <c r="G28" s="629">
        <v>76684</v>
      </c>
      <c r="H28" s="516">
        <f t="shared" si="3"/>
        <v>83987</v>
      </c>
      <c r="I28" s="516">
        <f t="shared" si="3"/>
        <v>76686</v>
      </c>
    </row>
    <row r="29" spans="1:9" s="511" customFormat="1" ht="15.75">
      <c r="A29" s="628">
        <v>44835</v>
      </c>
      <c r="B29" s="629">
        <v>0</v>
      </c>
      <c r="C29" s="629">
        <v>0</v>
      </c>
      <c r="D29" s="629">
        <v>2</v>
      </c>
      <c r="E29" s="629">
        <v>2</v>
      </c>
      <c r="F29" s="629">
        <v>86048</v>
      </c>
      <c r="G29" s="629">
        <v>77558</v>
      </c>
      <c r="H29" s="516">
        <f t="shared" si="3"/>
        <v>86050</v>
      </c>
      <c r="I29" s="516">
        <f t="shared" si="3"/>
        <v>77560</v>
      </c>
    </row>
    <row r="30" spans="1:9" s="511" customFormat="1" ht="15.75">
      <c r="A30" s="628">
        <v>44866</v>
      </c>
      <c r="B30" s="629">
        <v>0</v>
      </c>
      <c r="C30" s="629">
        <v>0</v>
      </c>
      <c r="D30" s="629">
        <v>2</v>
      </c>
      <c r="E30" s="629">
        <v>2</v>
      </c>
      <c r="F30" s="629">
        <v>86200</v>
      </c>
      <c r="G30" s="629">
        <v>77730</v>
      </c>
      <c r="H30" s="516">
        <f t="shared" si="3"/>
        <v>86202</v>
      </c>
      <c r="I30" s="516">
        <f t="shared" si="3"/>
        <v>77732</v>
      </c>
    </row>
    <row r="31" spans="1:9" s="511" customFormat="1" ht="15.75">
      <c r="A31" s="628">
        <v>44896</v>
      </c>
      <c r="B31" s="629">
        <v>0</v>
      </c>
      <c r="C31" s="629">
        <v>0</v>
      </c>
      <c r="D31" s="629">
        <v>2</v>
      </c>
      <c r="E31" s="629">
        <v>2</v>
      </c>
      <c r="F31" s="629">
        <v>85345</v>
      </c>
      <c r="G31" s="629">
        <v>77041</v>
      </c>
      <c r="H31" s="516">
        <f t="shared" si="3"/>
        <v>85347</v>
      </c>
      <c r="I31" s="516">
        <f t="shared" si="3"/>
        <v>77043</v>
      </c>
    </row>
    <row r="32" spans="1:9" s="511" customFormat="1" ht="15.75">
      <c r="A32" s="628">
        <v>44927</v>
      </c>
      <c r="B32" s="629">
        <v>0</v>
      </c>
      <c r="C32" s="629">
        <v>0</v>
      </c>
      <c r="D32" s="629">
        <v>2</v>
      </c>
      <c r="E32" s="629">
        <v>2</v>
      </c>
      <c r="F32" s="629">
        <v>85535</v>
      </c>
      <c r="G32" s="629">
        <v>76845</v>
      </c>
      <c r="H32" s="516">
        <f t="shared" si="3"/>
        <v>85537</v>
      </c>
      <c r="I32" s="516">
        <f t="shared" si="3"/>
        <v>76847</v>
      </c>
    </row>
    <row r="33" spans="1:9" s="511" customFormat="1" ht="15.75">
      <c r="A33" s="628">
        <v>44958</v>
      </c>
      <c r="B33" s="629">
        <v>0</v>
      </c>
      <c r="C33" s="629">
        <v>0</v>
      </c>
      <c r="D33" s="629">
        <v>2</v>
      </c>
      <c r="E33" s="629">
        <v>2</v>
      </c>
      <c r="F33" s="629">
        <v>84575</v>
      </c>
      <c r="G33" s="629">
        <v>76050</v>
      </c>
      <c r="H33" s="516">
        <f t="shared" si="3"/>
        <v>84577</v>
      </c>
      <c r="I33" s="516">
        <f t="shared" si="3"/>
        <v>76052</v>
      </c>
    </row>
    <row r="34" spans="1:9" s="511" customFormat="1" ht="15.75">
      <c r="A34" s="628">
        <v>44986</v>
      </c>
      <c r="B34" s="629">
        <v>0</v>
      </c>
      <c r="C34" s="629">
        <v>0</v>
      </c>
      <c r="D34" s="629">
        <v>2</v>
      </c>
      <c r="E34" s="629">
        <v>2</v>
      </c>
      <c r="F34" s="629">
        <v>84496</v>
      </c>
      <c r="G34" s="629">
        <v>78715</v>
      </c>
      <c r="H34" s="516">
        <f t="shared" si="3"/>
        <v>84498</v>
      </c>
      <c r="I34" s="516">
        <f t="shared" si="3"/>
        <v>78717</v>
      </c>
    </row>
    <row r="35" spans="1:9" s="564" customFormat="1" ht="15.75">
      <c r="A35" s="516" t="s">
        <v>274</v>
      </c>
      <c r="B35" s="516">
        <f t="shared" ref="B35:F35" si="4">SUM(B23:B34)</f>
        <v>0</v>
      </c>
      <c r="C35" s="516">
        <f t="shared" si="4"/>
        <v>0</v>
      </c>
      <c r="D35" s="516">
        <f t="shared" si="4"/>
        <v>24</v>
      </c>
      <c r="E35" s="516">
        <f t="shared" si="4"/>
        <v>24</v>
      </c>
      <c r="F35" s="516">
        <f t="shared" si="4"/>
        <v>1014625</v>
      </c>
      <c r="G35" s="516">
        <f t="shared" ref="G35:I35" si="5">SUM(G23:G34)</f>
        <v>929182</v>
      </c>
      <c r="H35" s="516">
        <f t="shared" si="5"/>
        <v>1014649</v>
      </c>
      <c r="I35" s="516">
        <f t="shared" si="5"/>
        <v>929206</v>
      </c>
    </row>
    <row r="36" spans="1:9" s="511" customFormat="1" ht="15.75">
      <c r="A36" s="515"/>
      <c r="B36" s="515"/>
      <c r="C36" s="515"/>
      <c r="D36" s="515"/>
      <c r="E36" s="515"/>
      <c r="F36" s="515"/>
      <c r="G36" s="515"/>
      <c r="H36" s="516"/>
      <c r="I36" s="516"/>
    </row>
    <row r="37" spans="1:9" s="511" customFormat="1" ht="15.75">
      <c r="A37" s="589" t="s">
        <v>3922</v>
      </c>
      <c r="B37" s="588"/>
      <c r="C37" s="587"/>
      <c r="D37" s="514"/>
      <c r="E37" s="514"/>
      <c r="F37" s="514"/>
      <c r="G37" s="514"/>
      <c r="H37" s="512"/>
      <c r="I37" s="512"/>
    </row>
    <row r="38" spans="1:9" s="511" customFormat="1" ht="15.75">
      <c r="A38" s="628">
        <v>44652</v>
      </c>
      <c r="B38" s="629">
        <v>1</v>
      </c>
      <c r="C38" s="629">
        <v>1</v>
      </c>
      <c r="D38" s="629">
        <v>16</v>
      </c>
      <c r="E38" s="629">
        <v>16</v>
      </c>
      <c r="F38" s="629">
        <v>116211</v>
      </c>
      <c r="G38" s="629">
        <v>81751</v>
      </c>
      <c r="H38" s="516">
        <f t="shared" ref="H38:I49" si="6">+B38+D38+F38</f>
        <v>116228</v>
      </c>
      <c r="I38" s="516">
        <f t="shared" si="6"/>
        <v>81768</v>
      </c>
    </row>
    <row r="39" spans="1:9" s="511" customFormat="1" ht="15.75">
      <c r="A39" s="628">
        <v>44682</v>
      </c>
      <c r="B39" s="629">
        <v>1</v>
      </c>
      <c r="C39" s="629">
        <v>1</v>
      </c>
      <c r="D39" s="629">
        <v>16</v>
      </c>
      <c r="E39" s="629">
        <v>16</v>
      </c>
      <c r="F39" s="629">
        <v>117580</v>
      </c>
      <c r="G39" s="629">
        <v>101343</v>
      </c>
      <c r="H39" s="516">
        <f t="shared" si="6"/>
        <v>117597</v>
      </c>
      <c r="I39" s="516">
        <f t="shared" si="6"/>
        <v>101360</v>
      </c>
    </row>
    <row r="40" spans="1:9" s="511" customFormat="1" ht="15.75">
      <c r="A40" s="628">
        <v>44713</v>
      </c>
      <c r="B40" s="629">
        <v>1</v>
      </c>
      <c r="C40" s="629">
        <v>1</v>
      </c>
      <c r="D40" s="629">
        <v>16</v>
      </c>
      <c r="E40" s="629">
        <v>16</v>
      </c>
      <c r="F40" s="629">
        <v>118083</v>
      </c>
      <c r="G40" s="629">
        <v>96179</v>
      </c>
      <c r="H40" s="516">
        <f t="shared" si="6"/>
        <v>118100</v>
      </c>
      <c r="I40" s="516">
        <f t="shared" si="6"/>
        <v>96196</v>
      </c>
    </row>
    <row r="41" spans="1:9" s="511" customFormat="1" ht="15.75">
      <c r="A41" s="628">
        <v>44743</v>
      </c>
      <c r="B41" s="629">
        <v>1</v>
      </c>
      <c r="C41" s="629">
        <v>1</v>
      </c>
      <c r="D41" s="629">
        <v>16</v>
      </c>
      <c r="E41" s="629">
        <v>16</v>
      </c>
      <c r="F41" s="629">
        <v>117581</v>
      </c>
      <c r="G41" s="629">
        <v>113097</v>
      </c>
      <c r="H41" s="516">
        <f t="shared" si="6"/>
        <v>117598</v>
      </c>
      <c r="I41" s="516">
        <f t="shared" si="6"/>
        <v>113114</v>
      </c>
    </row>
    <row r="42" spans="1:9" s="511" customFormat="1" ht="15.75">
      <c r="A42" s="628">
        <v>44774</v>
      </c>
      <c r="B42" s="629">
        <v>1</v>
      </c>
      <c r="C42" s="629">
        <v>1</v>
      </c>
      <c r="D42" s="629">
        <v>16</v>
      </c>
      <c r="E42" s="629">
        <v>16</v>
      </c>
      <c r="F42" s="629">
        <v>118138</v>
      </c>
      <c r="G42" s="629">
        <v>112630</v>
      </c>
      <c r="H42" s="516">
        <f t="shared" si="6"/>
        <v>118155</v>
      </c>
      <c r="I42" s="516">
        <f t="shared" si="6"/>
        <v>112647</v>
      </c>
    </row>
    <row r="43" spans="1:9" s="511" customFormat="1" ht="15.75">
      <c r="A43" s="628">
        <v>44805</v>
      </c>
      <c r="B43" s="629">
        <v>1</v>
      </c>
      <c r="C43" s="629">
        <v>1</v>
      </c>
      <c r="D43" s="629">
        <v>16</v>
      </c>
      <c r="E43" s="629">
        <v>16</v>
      </c>
      <c r="F43" s="629">
        <v>116970</v>
      </c>
      <c r="G43" s="629">
        <v>112792</v>
      </c>
      <c r="H43" s="516">
        <f t="shared" si="6"/>
        <v>116987</v>
      </c>
      <c r="I43" s="516">
        <f t="shared" si="6"/>
        <v>112809</v>
      </c>
    </row>
    <row r="44" spans="1:9" s="511" customFormat="1" ht="15.75">
      <c r="A44" s="628">
        <v>44835</v>
      </c>
      <c r="B44" s="629">
        <v>1</v>
      </c>
      <c r="C44" s="629">
        <v>1</v>
      </c>
      <c r="D44" s="629">
        <v>14</v>
      </c>
      <c r="E44" s="629">
        <v>14</v>
      </c>
      <c r="F44" s="629">
        <v>122130</v>
      </c>
      <c r="G44" s="629">
        <v>113092</v>
      </c>
      <c r="H44" s="516">
        <f t="shared" si="6"/>
        <v>122145</v>
      </c>
      <c r="I44" s="516">
        <f t="shared" si="6"/>
        <v>113107</v>
      </c>
    </row>
    <row r="45" spans="1:9" s="511" customFormat="1" ht="15.75">
      <c r="A45" s="628">
        <v>44866</v>
      </c>
      <c r="B45" s="629">
        <v>1</v>
      </c>
      <c r="C45" s="629">
        <v>1</v>
      </c>
      <c r="D45" s="629">
        <v>14</v>
      </c>
      <c r="E45" s="629">
        <v>14</v>
      </c>
      <c r="F45" s="629">
        <v>122430</v>
      </c>
      <c r="G45" s="629">
        <v>114004</v>
      </c>
      <c r="H45" s="516">
        <f t="shared" si="6"/>
        <v>122445</v>
      </c>
      <c r="I45" s="516">
        <f t="shared" si="6"/>
        <v>114019</v>
      </c>
    </row>
    <row r="46" spans="1:9" s="511" customFormat="1" ht="15.75">
      <c r="A46" s="628">
        <v>44896</v>
      </c>
      <c r="B46" s="629">
        <v>1</v>
      </c>
      <c r="C46" s="629">
        <v>1</v>
      </c>
      <c r="D46" s="629">
        <v>14</v>
      </c>
      <c r="E46" s="629">
        <v>14</v>
      </c>
      <c r="F46" s="629">
        <v>122447</v>
      </c>
      <c r="G46" s="629">
        <v>113173</v>
      </c>
      <c r="H46" s="516">
        <f t="shared" si="6"/>
        <v>122462</v>
      </c>
      <c r="I46" s="516">
        <f t="shared" si="6"/>
        <v>113188</v>
      </c>
    </row>
    <row r="47" spans="1:9" s="511" customFormat="1" ht="15.75">
      <c r="A47" s="628">
        <v>44927</v>
      </c>
      <c r="B47" s="629">
        <v>1</v>
      </c>
      <c r="C47" s="629">
        <v>1</v>
      </c>
      <c r="D47" s="629">
        <v>15</v>
      </c>
      <c r="E47" s="629">
        <v>15</v>
      </c>
      <c r="F47" s="629">
        <v>123174</v>
      </c>
      <c r="G47" s="629">
        <v>111869</v>
      </c>
      <c r="H47" s="516">
        <f t="shared" si="6"/>
        <v>123190</v>
      </c>
      <c r="I47" s="516">
        <f t="shared" si="6"/>
        <v>111885</v>
      </c>
    </row>
    <row r="48" spans="1:9" s="511" customFormat="1" ht="15.75">
      <c r="A48" s="628">
        <v>44958</v>
      </c>
      <c r="B48" s="629">
        <v>1</v>
      </c>
      <c r="C48" s="629">
        <v>1</v>
      </c>
      <c r="D48" s="629">
        <v>15</v>
      </c>
      <c r="E48" s="629">
        <v>15</v>
      </c>
      <c r="F48" s="629">
        <v>120593</v>
      </c>
      <c r="G48" s="629">
        <v>109921</v>
      </c>
      <c r="H48" s="516">
        <f t="shared" si="6"/>
        <v>120609</v>
      </c>
      <c r="I48" s="516">
        <f t="shared" si="6"/>
        <v>109937</v>
      </c>
    </row>
    <row r="49" spans="1:9" s="511" customFormat="1" ht="15.75">
      <c r="A49" s="628">
        <v>44986</v>
      </c>
      <c r="B49" s="629">
        <v>1</v>
      </c>
      <c r="C49" s="629">
        <v>1</v>
      </c>
      <c r="D49" s="629">
        <v>15</v>
      </c>
      <c r="E49" s="629">
        <v>15</v>
      </c>
      <c r="F49" s="629">
        <v>120683</v>
      </c>
      <c r="G49" s="629">
        <v>109929</v>
      </c>
      <c r="H49" s="516">
        <f t="shared" si="6"/>
        <v>120699</v>
      </c>
      <c r="I49" s="516">
        <f t="shared" si="6"/>
        <v>109945</v>
      </c>
    </row>
    <row r="50" spans="1:9" s="564" customFormat="1" ht="15.75">
      <c r="A50" s="516" t="s">
        <v>274</v>
      </c>
      <c r="B50" s="516">
        <f t="shared" ref="B50:F50" si="7">SUM(B38:B49)</f>
        <v>12</v>
      </c>
      <c r="C50" s="516">
        <f t="shared" si="7"/>
        <v>12</v>
      </c>
      <c r="D50" s="516">
        <f t="shared" si="7"/>
        <v>183</v>
      </c>
      <c r="E50" s="516">
        <f t="shared" si="7"/>
        <v>183</v>
      </c>
      <c r="F50" s="516">
        <f t="shared" si="7"/>
        <v>1436020</v>
      </c>
      <c r="G50" s="516">
        <f t="shared" ref="G50:I50" si="8">SUM(G38:G49)</f>
        <v>1289780</v>
      </c>
      <c r="H50" s="516">
        <f t="shared" si="8"/>
        <v>1436215</v>
      </c>
      <c r="I50" s="516">
        <f t="shared" si="8"/>
        <v>1289975</v>
      </c>
    </row>
    <row r="51" spans="1:9" s="511" customFormat="1" ht="15.75">
      <c r="A51" s="515"/>
      <c r="B51" s="515"/>
      <c r="C51" s="515"/>
      <c r="D51" s="515"/>
      <c r="E51" s="515"/>
      <c r="F51" s="515"/>
      <c r="G51" s="515"/>
      <c r="H51" s="516"/>
      <c r="I51" s="516"/>
    </row>
    <row r="52" spans="1:9" s="511" customFormat="1" ht="15.75">
      <c r="A52" s="589" t="s">
        <v>3923</v>
      </c>
      <c r="B52" s="588"/>
      <c r="C52" s="587"/>
      <c r="D52" s="514"/>
      <c r="E52" s="514"/>
      <c r="F52" s="514"/>
      <c r="G52" s="514"/>
      <c r="H52" s="512"/>
      <c r="I52" s="512"/>
    </row>
    <row r="53" spans="1:9" s="511" customFormat="1" ht="15.75">
      <c r="A53" s="628">
        <v>44652</v>
      </c>
      <c r="B53" s="629">
        <v>2</v>
      </c>
      <c r="C53" s="629">
        <v>2</v>
      </c>
      <c r="D53" s="629">
        <v>79</v>
      </c>
      <c r="E53" s="629">
        <v>79</v>
      </c>
      <c r="F53" s="629">
        <v>111351</v>
      </c>
      <c r="G53" s="629">
        <v>78194</v>
      </c>
      <c r="H53" s="516">
        <f t="shared" ref="H53:I64" si="9">+B53+D53+F53</f>
        <v>111432</v>
      </c>
      <c r="I53" s="516">
        <f t="shared" si="9"/>
        <v>78275</v>
      </c>
    </row>
    <row r="54" spans="1:9" s="511" customFormat="1" ht="15.75">
      <c r="A54" s="628">
        <v>44682</v>
      </c>
      <c r="B54" s="629">
        <v>2</v>
      </c>
      <c r="C54" s="629">
        <v>2</v>
      </c>
      <c r="D54" s="629">
        <v>80</v>
      </c>
      <c r="E54" s="629">
        <v>80</v>
      </c>
      <c r="F54" s="629">
        <v>111918</v>
      </c>
      <c r="G54" s="629">
        <v>78480</v>
      </c>
      <c r="H54" s="516">
        <f t="shared" si="9"/>
        <v>112000</v>
      </c>
      <c r="I54" s="516">
        <f t="shared" si="9"/>
        <v>78562</v>
      </c>
    </row>
    <row r="55" spans="1:9" s="511" customFormat="1" ht="15.75">
      <c r="A55" s="628">
        <v>44713</v>
      </c>
      <c r="B55" s="629">
        <v>2</v>
      </c>
      <c r="C55" s="629">
        <v>2</v>
      </c>
      <c r="D55" s="629">
        <v>82</v>
      </c>
      <c r="E55" s="629">
        <v>82</v>
      </c>
      <c r="F55" s="629">
        <v>112757</v>
      </c>
      <c r="G55" s="629">
        <v>87486</v>
      </c>
      <c r="H55" s="516">
        <f t="shared" si="9"/>
        <v>112841</v>
      </c>
      <c r="I55" s="516">
        <f t="shared" si="9"/>
        <v>87570</v>
      </c>
    </row>
    <row r="56" spans="1:9" s="511" customFormat="1" ht="15.75">
      <c r="A56" s="628">
        <v>44743</v>
      </c>
      <c r="B56" s="629">
        <v>2</v>
      </c>
      <c r="C56" s="629">
        <v>2</v>
      </c>
      <c r="D56" s="629">
        <v>83</v>
      </c>
      <c r="E56" s="629">
        <v>83</v>
      </c>
      <c r="F56" s="629">
        <v>120357</v>
      </c>
      <c r="G56" s="629">
        <v>106169</v>
      </c>
      <c r="H56" s="516">
        <f t="shared" si="9"/>
        <v>120442</v>
      </c>
      <c r="I56" s="516">
        <f t="shared" si="9"/>
        <v>106254</v>
      </c>
    </row>
    <row r="57" spans="1:9" s="511" customFormat="1" ht="15.75">
      <c r="A57" s="628">
        <v>44774</v>
      </c>
      <c r="B57" s="629">
        <v>2</v>
      </c>
      <c r="C57" s="629">
        <v>2</v>
      </c>
      <c r="D57" s="629">
        <v>83</v>
      </c>
      <c r="E57" s="629">
        <v>83</v>
      </c>
      <c r="F57" s="629">
        <v>120426</v>
      </c>
      <c r="G57" s="629">
        <v>105828</v>
      </c>
      <c r="H57" s="516">
        <f t="shared" si="9"/>
        <v>120511</v>
      </c>
      <c r="I57" s="516">
        <f t="shared" si="9"/>
        <v>105913</v>
      </c>
    </row>
    <row r="58" spans="1:9" s="511" customFormat="1" ht="15.75">
      <c r="A58" s="628">
        <v>44805</v>
      </c>
      <c r="B58" s="629">
        <v>3</v>
      </c>
      <c r="C58" s="629">
        <v>3</v>
      </c>
      <c r="D58" s="629">
        <v>83</v>
      </c>
      <c r="E58" s="629">
        <v>83</v>
      </c>
      <c r="F58" s="629">
        <v>119671</v>
      </c>
      <c r="G58" s="629">
        <v>104730</v>
      </c>
      <c r="H58" s="516">
        <f t="shared" si="9"/>
        <v>119757</v>
      </c>
      <c r="I58" s="516">
        <f t="shared" si="9"/>
        <v>104816</v>
      </c>
    </row>
    <row r="59" spans="1:9" s="511" customFormat="1" ht="15.75">
      <c r="A59" s="628">
        <v>44835</v>
      </c>
      <c r="B59" s="629">
        <v>3</v>
      </c>
      <c r="C59" s="629">
        <v>3</v>
      </c>
      <c r="D59" s="629">
        <v>83</v>
      </c>
      <c r="E59" s="629">
        <v>83</v>
      </c>
      <c r="F59" s="629">
        <v>121690</v>
      </c>
      <c r="G59" s="629">
        <v>108037</v>
      </c>
      <c r="H59" s="516">
        <f t="shared" si="9"/>
        <v>121776</v>
      </c>
      <c r="I59" s="516">
        <f t="shared" si="9"/>
        <v>108123</v>
      </c>
    </row>
    <row r="60" spans="1:9" s="511" customFormat="1" ht="15.75">
      <c r="A60" s="628">
        <v>44866</v>
      </c>
      <c r="B60" s="629">
        <v>3</v>
      </c>
      <c r="C60" s="629">
        <v>3</v>
      </c>
      <c r="D60" s="629">
        <v>83</v>
      </c>
      <c r="E60" s="629">
        <v>83</v>
      </c>
      <c r="F60" s="629">
        <v>121955</v>
      </c>
      <c r="G60" s="629">
        <v>108407</v>
      </c>
      <c r="H60" s="516">
        <f t="shared" si="9"/>
        <v>122041</v>
      </c>
      <c r="I60" s="516">
        <f t="shared" si="9"/>
        <v>108493</v>
      </c>
    </row>
    <row r="61" spans="1:9" s="511" customFormat="1" ht="15.75">
      <c r="A61" s="628">
        <v>44896</v>
      </c>
      <c r="B61" s="629">
        <v>4</v>
      </c>
      <c r="C61" s="629">
        <v>4</v>
      </c>
      <c r="D61" s="629">
        <v>83</v>
      </c>
      <c r="E61" s="629">
        <v>83</v>
      </c>
      <c r="F61" s="629">
        <v>121205</v>
      </c>
      <c r="G61" s="629">
        <v>108449</v>
      </c>
      <c r="H61" s="516">
        <f t="shared" si="9"/>
        <v>121292</v>
      </c>
      <c r="I61" s="516">
        <f t="shared" si="9"/>
        <v>108536</v>
      </c>
    </row>
    <row r="62" spans="1:9" s="511" customFormat="1" ht="15.75">
      <c r="A62" s="628">
        <v>44927</v>
      </c>
      <c r="B62" s="629">
        <v>4</v>
      </c>
      <c r="C62" s="629">
        <v>4</v>
      </c>
      <c r="D62" s="629">
        <v>85</v>
      </c>
      <c r="E62" s="629">
        <v>85</v>
      </c>
      <c r="F62" s="629">
        <v>116293</v>
      </c>
      <c r="G62" s="629">
        <v>106960</v>
      </c>
      <c r="H62" s="516">
        <f t="shared" si="9"/>
        <v>116382</v>
      </c>
      <c r="I62" s="516">
        <f t="shared" si="9"/>
        <v>107049</v>
      </c>
    </row>
    <row r="63" spans="1:9" s="511" customFormat="1" ht="15.75">
      <c r="A63" s="628">
        <v>44958</v>
      </c>
      <c r="B63" s="629">
        <v>4</v>
      </c>
      <c r="C63" s="629">
        <v>4</v>
      </c>
      <c r="D63" s="629">
        <v>86</v>
      </c>
      <c r="E63" s="629">
        <v>86</v>
      </c>
      <c r="F63" s="629">
        <v>116827</v>
      </c>
      <c r="G63" s="629">
        <v>106051</v>
      </c>
      <c r="H63" s="516">
        <f t="shared" si="9"/>
        <v>116917</v>
      </c>
      <c r="I63" s="516">
        <f t="shared" si="9"/>
        <v>106141</v>
      </c>
    </row>
    <row r="64" spans="1:9" s="511" customFormat="1" ht="15.75">
      <c r="A64" s="628">
        <v>44986</v>
      </c>
      <c r="B64" s="629">
        <v>4</v>
      </c>
      <c r="C64" s="629">
        <v>4</v>
      </c>
      <c r="D64" s="629">
        <v>86</v>
      </c>
      <c r="E64" s="629">
        <v>86</v>
      </c>
      <c r="F64" s="629">
        <v>116081</v>
      </c>
      <c r="G64" s="629">
        <v>107374</v>
      </c>
      <c r="H64" s="516">
        <f t="shared" si="9"/>
        <v>116171</v>
      </c>
      <c r="I64" s="516">
        <f t="shared" si="9"/>
        <v>107464</v>
      </c>
    </row>
    <row r="65" spans="1:9" s="564" customFormat="1" ht="15.75">
      <c r="A65" s="516" t="s">
        <v>274</v>
      </c>
      <c r="B65" s="516">
        <f t="shared" ref="B65:F65" si="10">SUM(B53:B64)</f>
        <v>35</v>
      </c>
      <c r="C65" s="516">
        <f t="shared" si="10"/>
        <v>35</v>
      </c>
      <c r="D65" s="516">
        <f t="shared" si="10"/>
        <v>996</v>
      </c>
      <c r="E65" s="516">
        <f t="shared" si="10"/>
        <v>996</v>
      </c>
      <c r="F65" s="516">
        <f t="shared" si="10"/>
        <v>1410531</v>
      </c>
      <c r="G65" s="516">
        <f t="shared" ref="G65:I65" si="11">SUM(G53:G64)</f>
        <v>1206165</v>
      </c>
      <c r="H65" s="516">
        <f t="shared" si="11"/>
        <v>1411562</v>
      </c>
      <c r="I65" s="516">
        <f t="shared" si="11"/>
        <v>1207196</v>
      </c>
    </row>
    <row r="66" spans="1:9" s="511" customFormat="1" ht="15.75">
      <c r="A66" s="515"/>
      <c r="B66" s="515"/>
      <c r="C66" s="515"/>
      <c r="D66" s="515"/>
      <c r="E66" s="515"/>
      <c r="F66" s="515"/>
      <c r="G66" s="515"/>
      <c r="H66" s="516"/>
      <c r="I66" s="516"/>
    </row>
    <row r="67" spans="1:9" s="511" customFormat="1" ht="15.75">
      <c r="A67" s="589" t="s">
        <v>3924</v>
      </c>
      <c r="B67" s="588"/>
      <c r="C67" s="587"/>
      <c r="D67" s="514"/>
      <c r="E67" s="514"/>
      <c r="F67" s="514"/>
      <c r="G67" s="514"/>
      <c r="H67" s="512"/>
      <c r="I67" s="512"/>
    </row>
    <row r="68" spans="1:9" s="511" customFormat="1" ht="15.75">
      <c r="A68" s="628">
        <v>44652</v>
      </c>
      <c r="B68" s="629">
        <v>0</v>
      </c>
      <c r="C68" s="629">
        <v>0</v>
      </c>
      <c r="D68" s="629">
        <v>44</v>
      </c>
      <c r="E68" s="629">
        <v>44</v>
      </c>
      <c r="F68" s="629">
        <v>147430</v>
      </c>
      <c r="G68" s="629">
        <v>120298</v>
      </c>
      <c r="H68" s="516">
        <f t="shared" ref="H68:I79" si="12">+B68+D68+F68</f>
        <v>147474</v>
      </c>
      <c r="I68" s="516">
        <f t="shared" si="12"/>
        <v>120342</v>
      </c>
    </row>
    <row r="69" spans="1:9" s="511" customFormat="1" ht="15.75">
      <c r="A69" s="628">
        <v>44682</v>
      </c>
      <c r="B69" s="629">
        <v>0</v>
      </c>
      <c r="C69" s="629">
        <v>0</v>
      </c>
      <c r="D69" s="629">
        <v>45</v>
      </c>
      <c r="E69" s="629">
        <v>45</v>
      </c>
      <c r="F69" s="629">
        <v>148914</v>
      </c>
      <c r="G69" s="629">
        <v>120349</v>
      </c>
      <c r="H69" s="516">
        <f t="shared" si="12"/>
        <v>148959</v>
      </c>
      <c r="I69" s="516">
        <f t="shared" si="12"/>
        <v>120394</v>
      </c>
    </row>
    <row r="70" spans="1:9" s="511" customFormat="1" ht="15.75">
      <c r="A70" s="628">
        <v>44713</v>
      </c>
      <c r="B70" s="629">
        <v>0</v>
      </c>
      <c r="C70" s="629">
        <v>0</v>
      </c>
      <c r="D70" s="629">
        <v>46</v>
      </c>
      <c r="E70" s="629">
        <v>46</v>
      </c>
      <c r="F70" s="629">
        <v>149472</v>
      </c>
      <c r="G70" s="629">
        <v>130033</v>
      </c>
      <c r="H70" s="516">
        <f t="shared" si="12"/>
        <v>149518</v>
      </c>
      <c r="I70" s="516">
        <f t="shared" si="12"/>
        <v>130079</v>
      </c>
    </row>
    <row r="71" spans="1:9" s="511" customFormat="1" ht="15.75">
      <c r="A71" s="628">
        <v>44743</v>
      </c>
      <c r="B71" s="629">
        <v>0</v>
      </c>
      <c r="C71" s="629">
        <v>0</v>
      </c>
      <c r="D71" s="629">
        <v>46</v>
      </c>
      <c r="E71" s="629">
        <v>46</v>
      </c>
      <c r="F71" s="629">
        <v>151404</v>
      </c>
      <c r="G71" s="629">
        <v>142923</v>
      </c>
      <c r="H71" s="516">
        <f t="shared" si="12"/>
        <v>151450</v>
      </c>
      <c r="I71" s="516">
        <f t="shared" si="12"/>
        <v>142969</v>
      </c>
    </row>
    <row r="72" spans="1:9" s="511" customFormat="1" ht="15.75">
      <c r="A72" s="628">
        <v>44774</v>
      </c>
      <c r="B72" s="629">
        <v>0</v>
      </c>
      <c r="C72" s="629">
        <v>0</v>
      </c>
      <c r="D72" s="629">
        <v>46</v>
      </c>
      <c r="E72" s="629">
        <v>46</v>
      </c>
      <c r="F72" s="629">
        <v>149570</v>
      </c>
      <c r="G72" s="629">
        <v>145777</v>
      </c>
      <c r="H72" s="516">
        <f t="shared" si="12"/>
        <v>149616</v>
      </c>
      <c r="I72" s="516">
        <f t="shared" si="12"/>
        <v>145823</v>
      </c>
    </row>
    <row r="73" spans="1:9" s="511" customFormat="1" ht="15.75">
      <c r="A73" s="628">
        <v>44805</v>
      </c>
      <c r="B73" s="629">
        <v>0</v>
      </c>
      <c r="C73" s="629">
        <v>0</v>
      </c>
      <c r="D73" s="629">
        <v>45</v>
      </c>
      <c r="E73" s="629">
        <v>45</v>
      </c>
      <c r="F73" s="629">
        <v>151418</v>
      </c>
      <c r="G73" s="629">
        <v>146576</v>
      </c>
      <c r="H73" s="516">
        <f t="shared" si="12"/>
        <v>151463</v>
      </c>
      <c r="I73" s="516">
        <f t="shared" si="12"/>
        <v>146621</v>
      </c>
    </row>
    <row r="74" spans="1:9" s="511" customFormat="1" ht="15.75">
      <c r="A74" s="628">
        <v>44835</v>
      </c>
      <c r="B74" s="629">
        <v>0</v>
      </c>
      <c r="C74" s="629">
        <v>0</v>
      </c>
      <c r="D74" s="629">
        <v>42</v>
      </c>
      <c r="E74" s="629">
        <v>42</v>
      </c>
      <c r="F74" s="629">
        <v>155184</v>
      </c>
      <c r="G74" s="629">
        <v>146798</v>
      </c>
      <c r="H74" s="516">
        <f t="shared" si="12"/>
        <v>155226</v>
      </c>
      <c r="I74" s="516">
        <f t="shared" si="12"/>
        <v>146840</v>
      </c>
    </row>
    <row r="75" spans="1:9" s="511" customFormat="1" ht="15.75">
      <c r="A75" s="628">
        <v>44866</v>
      </c>
      <c r="B75" s="629">
        <v>0</v>
      </c>
      <c r="C75" s="629">
        <v>0</v>
      </c>
      <c r="D75" s="629">
        <v>43</v>
      </c>
      <c r="E75" s="629">
        <v>43</v>
      </c>
      <c r="F75" s="629">
        <v>155548</v>
      </c>
      <c r="G75" s="629">
        <v>146434</v>
      </c>
      <c r="H75" s="516">
        <f t="shared" si="12"/>
        <v>155591</v>
      </c>
      <c r="I75" s="516">
        <f t="shared" si="12"/>
        <v>146477</v>
      </c>
    </row>
    <row r="76" spans="1:9" s="511" customFormat="1" ht="15.75">
      <c r="A76" s="628">
        <v>44896</v>
      </c>
      <c r="B76" s="629">
        <v>0</v>
      </c>
      <c r="C76" s="629">
        <v>0</v>
      </c>
      <c r="D76" s="629">
        <v>43</v>
      </c>
      <c r="E76" s="629">
        <v>43</v>
      </c>
      <c r="F76" s="629">
        <v>155658</v>
      </c>
      <c r="G76" s="629">
        <v>146289</v>
      </c>
      <c r="H76" s="516">
        <f t="shared" si="12"/>
        <v>155701</v>
      </c>
      <c r="I76" s="516">
        <f t="shared" si="12"/>
        <v>146332</v>
      </c>
    </row>
    <row r="77" spans="1:9" s="511" customFormat="1" ht="15.75">
      <c r="A77" s="628">
        <v>44927</v>
      </c>
      <c r="B77" s="629">
        <v>0</v>
      </c>
      <c r="C77" s="629">
        <v>0</v>
      </c>
      <c r="D77" s="629">
        <v>43</v>
      </c>
      <c r="E77" s="629">
        <v>43</v>
      </c>
      <c r="F77" s="629">
        <v>156065</v>
      </c>
      <c r="G77" s="629">
        <v>146142</v>
      </c>
      <c r="H77" s="516">
        <f t="shared" si="12"/>
        <v>156108</v>
      </c>
      <c r="I77" s="516">
        <f t="shared" si="12"/>
        <v>146185</v>
      </c>
    </row>
    <row r="78" spans="1:9" s="511" customFormat="1" ht="15.75">
      <c r="A78" s="628">
        <v>44958</v>
      </c>
      <c r="B78" s="629">
        <v>0</v>
      </c>
      <c r="C78" s="629">
        <v>0</v>
      </c>
      <c r="D78" s="629">
        <v>43</v>
      </c>
      <c r="E78" s="629">
        <v>43</v>
      </c>
      <c r="F78" s="629">
        <v>153508</v>
      </c>
      <c r="G78" s="629">
        <v>143974</v>
      </c>
      <c r="H78" s="516">
        <f t="shared" si="12"/>
        <v>153551</v>
      </c>
      <c r="I78" s="516">
        <f t="shared" si="12"/>
        <v>144017</v>
      </c>
    </row>
    <row r="79" spans="1:9" s="511" customFormat="1" ht="15.75">
      <c r="A79" s="628">
        <v>44986</v>
      </c>
      <c r="B79" s="629">
        <v>0</v>
      </c>
      <c r="C79" s="629">
        <v>0</v>
      </c>
      <c r="D79" s="629">
        <v>42</v>
      </c>
      <c r="E79" s="629">
        <v>42</v>
      </c>
      <c r="F79" s="629">
        <v>153666</v>
      </c>
      <c r="G79" s="629">
        <v>145145</v>
      </c>
      <c r="H79" s="516">
        <f t="shared" si="12"/>
        <v>153708</v>
      </c>
      <c r="I79" s="516">
        <f t="shared" si="12"/>
        <v>145187</v>
      </c>
    </row>
    <row r="80" spans="1:9" s="564" customFormat="1" ht="15.75">
      <c r="A80" s="516" t="s">
        <v>274</v>
      </c>
      <c r="B80" s="516">
        <f t="shared" ref="B80:F80" si="13">SUM(B68:B79)</f>
        <v>0</v>
      </c>
      <c r="C80" s="516">
        <f t="shared" si="13"/>
        <v>0</v>
      </c>
      <c r="D80" s="516">
        <f t="shared" si="13"/>
        <v>528</v>
      </c>
      <c r="E80" s="516">
        <f t="shared" si="13"/>
        <v>528</v>
      </c>
      <c r="F80" s="516">
        <f t="shared" si="13"/>
        <v>1827837</v>
      </c>
      <c r="G80" s="516">
        <f t="shared" ref="G80:I80" si="14">SUM(G68:G79)</f>
        <v>1680738</v>
      </c>
      <c r="H80" s="516">
        <f t="shared" si="14"/>
        <v>1828365</v>
      </c>
      <c r="I80" s="516">
        <f t="shared" si="14"/>
        <v>1681266</v>
      </c>
    </row>
    <row r="81" spans="1:9" s="511" customFormat="1" ht="15.75">
      <c r="A81" s="515"/>
      <c r="B81" s="515"/>
      <c r="C81" s="515"/>
      <c r="D81" s="515"/>
      <c r="E81" s="515"/>
      <c r="F81" s="515"/>
      <c r="G81" s="515"/>
      <c r="H81" s="516"/>
      <c r="I81" s="516"/>
    </row>
    <row r="82" spans="1:9" s="511" customFormat="1" ht="15.75">
      <c r="A82" s="589" t="s">
        <v>3925</v>
      </c>
      <c r="B82" s="588"/>
      <c r="C82" s="587"/>
      <c r="D82" s="514"/>
      <c r="E82" s="514"/>
      <c r="F82" s="514"/>
      <c r="G82" s="514"/>
      <c r="H82" s="512"/>
      <c r="I82" s="512"/>
    </row>
    <row r="83" spans="1:9" s="511" customFormat="1" ht="15.75">
      <c r="A83" s="628">
        <v>44652</v>
      </c>
      <c r="B83" s="629">
        <v>3</v>
      </c>
      <c r="C83" s="629">
        <v>3</v>
      </c>
      <c r="D83" s="629">
        <v>79</v>
      </c>
      <c r="E83" s="629">
        <v>79</v>
      </c>
      <c r="F83" s="629">
        <v>169725</v>
      </c>
      <c r="G83" s="629">
        <v>125761</v>
      </c>
      <c r="H83" s="516">
        <f t="shared" ref="H83:I94" si="15">+B83+D83+F83</f>
        <v>169807</v>
      </c>
      <c r="I83" s="516">
        <f t="shared" si="15"/>
        <v>125843</v>
      </c>
    </row>
    <row r="84" spans="1:9" s="511" customFormat="1" ht="15.75">
      <c r="A84" s="628">
        <v>44682</v>
      </c>
      <c r="B84" s="629">
        <v>3</v>
      </c>
      <c r="C84" s="629">
        <v>3</v>
      </c>
      <c r="D84" s="629">
        <v>81</v>
      </c>
      <c r="E84" s="629">
        <v>81</v>
      </c>
      <c r="F84" s="629">
        <v>176375</v>
      </c>
      <c r="G84" s="629">
        <v>127074</v>
      </c>
      <c r="H84" s="516">
        <f t="shared" si="15"/>
        <v>176459</v>
      </c>
      <c r="I84" s="516">
        <f t="shared" si="15"/>
        <v>127158</v>
      </c>
    </row>
    <row r="85" spans="1:9" s="511" customFormat="1" ht="15.75">
      <c r="A85" s="628">
        <v>44713</v>
      </c>
      <c r="B85" s="629">
        <v>3</v>
      </c>
      <c r="C85" s="629">
        <v>3</v>
      </c>
      <c r="D85" s="629">
        <v>81</v>
      </c>
      <c r="E85" s="629">
        <v>81</v>
      </c>
      <c r="F85" s="629">
        <v>178747</v>
      </c>
      <c r="G85" s="629">
        <v>134075</v>
      </c>
      <c r="H85" s="516">
        <f t="shared" si="15"/>
        <v>178831</v>
      </c>
      <c r="I85" s="516">
        <f t="shared" si="15"/>
        <v>134159</v>
      </c>
    </row>
    <row r="86" spans="1:9" s="511" customFormat="1" ht="15.75">
      <c r="A86" s="628">
        <v>44743</v>
      </c>
      <c r="B86" s="629">
        <v>3</v>
      </c>
      <c r="C86" s="629">
        <v>3</v>
      </c>
      <c r="D86" s="629">
        <v>81</v>
      </c>
      <c r="E86" s="629">
        <v>81</v>
      </c>
      <c r="F86" s="629">
        <v>179100</v>
      </c>
      <c r="G86" s="629">
        <v>151190</v>
      </c>
      <c r="H86" s="516">
        <f t="shared" si="15"/>
        <v>179184</v>
      </c>
      <c r="I86" s="516">
        <f t="shared" si="15"/>
        <v>151274</v>
      </c>
    </row>
    <row r="87" spans="1:9" s="511" customFormat="1" ht="15.75">
      <c r="A87" s="628">
        <v>44774</v>
      </c>
      <c r="B87" s="629">
        <v>3</v>
      </c>
      <c r="C87" s="629">
        <v>3</v>
      </c>
      <c r="D87" s="629">
        <v>81</v>
      </c>
      <c r="E87" s="629">
        <v>81</v>
      </c>
      <c r="F87" s="629">
        <v>178891</v>
      </c>
      <c r="G87" s="629">
        <v>151875</v>
      </c>
      <c r="H87" s="516">
        <f t="shared" si="15"/>
        <v>178975</v>
      </c>
      <c r="I87" s="516">
        <f t="shared" si="15"/>
        <v>151959</v>
      </c>
    </row>
    <row r="88" spans="1:9" s="511" customFormat="1" ht="15.75">
      <c r="A88" s="628">
        <v>44805</v>
      </c>
      <c r="B88" s="629">
        <v>3</v>
      </c>
      <c r="C88" s="629">
        <v>3</v>
      </c>
      <c r="D88" s="629">
        <v>81</v>
      </c>
      <c r="E88" s="629">
        <v>81</v>
      </c>
      <c r="F88" s="629">
        <v>178950</v>
      </c>
      <c r="G88" s="629">
        <v>168383</v>
      </c>
      <c r="H88" s="516">
        <f t="shared" si="15"/>
        <v>179034</v>
      </c>
      <c r="I88" s="516">
        <f t="shared" si="15"/>
        <v>168467</v>
      </c>
    </row>
    <row r="89" spans="1:9" s="511" customFormat="1" ht="15.75">
      <c r="A89" s="628">
        <v>44835</v>
      </c>
      <c r="B89" s="629">
        <v>3</v>
      </c>
      <c r="C89" s="629">
        <v>3</v>
      </c>
      <c r="D89" s="629">
        <v>80</v>
      </c>
      <c r="E89" s="629">
        <v>80</v>
      </c>
      <c r="F89" s="629">
        <v>189540</v>
      </c>
      <c r="G89" s="629">
        <v>173118</v>
      </c>
      <c r="H89" s="516">
        <f t="shared" si="15"/>
        <v>189623</v>
      </c>
      <c r="I89" s="516">
        <f t="shared" si="15"/>
        <v>173201</v>
      </c>
    </row>
    <row r="90" spans="1:9" s="511" customFormat="1" ht="15.75">
      <c r="A90" s="628">
        <v>44866</v>
      </c>
      <c r="B90" s="629">
        <v>3</v>
      </c>
      <c r="C90" s="629">
        <v>3</v>
      </c>
      <c r="D90" s="629">
        <v>80</v>
      </c>
      <c r="E90" s="629">
        <v>80</v>
      </c>
      <c r="F90" s="629">
        <v>190354</v>
      </c>
      <c r="G90" s="629">
        <v>170613</v>
      </c>
      <c r="H90" s="516">
        <f t="shared" si="15"/>
        <v>190437</v>
      </c>
      <c r="I90" s="516">
        <f t="shared" si="15"/>
        <v>170696</v>
      </c>
    </row>
    <row r="91" spans="1:9" s="511" customFormat="1" ht="15.75">
      <c r="A91" s="628">
        <v>44896</v>
      </c>
      <c r="B91" s="629">
        <v>3</v>
      </c>
      <c r="C91" s="629">
        <v>3</v>
      </c>
      <c r="D91" s="629">
        <v>80</v>
      </c>
      <c r="E91" s="629">
        <v>80</v>
      </c>
      <c r="F91" s="629">
        <v>190457</v>
      </c>
      <c r="G91" s="629">
        <v>170074</v>
      </c>
      <c r="H91" s="516">
        <f t="shared" si="15"/>
        <v>190540</v>
      </c>
      <c r="I91" s="516">
        <f t="shared" si="15"/>
        <v>170157</v>
      </c>
    </row>
    <row r="92" spans="1:9" s="511" customFormat="1" ht="15.75">
      <c r="A92" s="628">
        <v>44927</v>
      </c>
      <c r="B92" s="629">
        <v>3</v>
      </c>
      <c r="C92" s="629">
        <v>3</v>
      </c>
      <c r="D92" s="629">
        <v>80</v>
      </c>
      <c r="E92" s="629">
        <v>80</v>
      </c>
      <c r="F92" s="629">
        <v>191081</v>
      </c>
      <c r="G92" s="629">
        <v>169313</v>
      </c>
      <c r="H92" s="516">
        <f t="shared" si="15"/>
        <v>191164</v>
      </c>
      <c r="I92" s="516">
        <f t="shared" si="15"/>
        <v>169396</v>
      </c>
    </row>
    <row r="93" spans="1:9" s="511" customFormat="1" ht="15.75">
      <c r="A93" s="628">
        <v>44958</v>
      </c>
      <c r="B93" s="629">
        <v>3</v>
      </c>
      <c r="C93" s="629">
        <v>3</v>
      </c>
      <c r="D93" s="629">
        <v>80</v>
      </c>
      <c r="E93" s="629">
        <v>80</v>
      </c>
      <c r="F93" s="629">
        <v>182546</v>
      </c>
      <c r="G93" s="629">
        <v>168142</v>
      </c>
      <c r="H93" s="516">
        <f t="shared" si="15"/>
        <v>182629</v>
      </c>
      <c r="I93" s="516">
        <f t="shared" si="15"/>
        <v>168225</v>
      </c>
    </row>
    <row r="94" spans="1:9" s="511" customFormat="1" ht="15.75">
      <c r="A94" s="628">
        <v>44986</v>
      </c>
      <c r="B94" s="629">
        <v>3</v>
      </c>
      <c r="C94" s="629">
        <v>3</v>
      </c>
      <c r="D94" s="629">
        <v>80</v>
      </c>
      <c r="E94" s="629">
        <v>80</v>
      </c>
      <c r="F94" s="629">
        <v>182769</v>
      </c>
      <c r="G94" s="629">
        <v>171923</v>
      </c>
      <c r="H94" s="516">
        <f t="shared" si="15"/>
        <v>182852</v>
      </c>
      <c r="I94" s="516">
        <f t="shared" si="15"/>
        <v>172006</v>
      </c>
    </row>
    <row r="95" spans="1:9" s="564" customFormat="1" ht="15.75">
      <c r="A95" s="516" t="s">
        <v>274</v>
      </c>
      <c r="B95" s="516">
        <f t="shared" ref="B95:F95" si="16">SUM(B83:B94)</f>
        <v>36</v>
      </c>
      <c r="C95" s="516">
        <f t="shared" si="16"/>
        <v>36</v>
      </c>
      <c r="D95" s="516">
        <f t="shared" si="16"/>
        <v>964</v>
      </c>
      <c r="E95" s="516">
        <f t="shared" si="16"/>
        <v>964</v>
      </c>
      <c r="F95" s="516">
        <f t="shared" si="16"/>
        <v>2188535</v>
      </c>
      <c r="G95" s="516">
        <f t="shared" ref="G95:I95" si="17">SUM(G83:G94)</f>
        <v>1881541</v>
      </c>
      <c r="H95" s="516">
        <f t="shared" si="17"/>
        <v>2189535</v>
      </c>
      <c r="I95" s="516">
        <f t="shared" si="17"/>
        <v>1882541</v>
      </c>
    </row>
    <row r="96" spans="1:9" s="511" customFormat="1" ht="15.75">
      <c r="A96" s="515"/>
      <c r="B96" s="515"/>
      <c r="C96" s="515"/>
      <c r="D96" s="515"/>
      <c r="E96" s="515"/>
      <c r="F96" s="515"/>
      <c r="G96" s="515"/>
      <c r="H96" s="516"/>
      <c r="I96" s="516"/>
    </row>
    <row r="97" spans="1:9" s="511" customFormat="1" ht="15.75">
      <c r="A97" s="589" t="s">
        <v>3926</v>
      </c>
      <c r="B97" s="588"/>
      <c r="C97" s="587"/>
      <c r="D97" s="514"/>
      <c r="E97" s="514"/>
      <c r="F97" s="514"/>
      <c r="G97" s="514"/>
      <c r="H97" s="512"/>
      <c r="I97" s="512"/>
    </row>
    <row r="98" spans="1:9" s="511" customFormat="1" ht="15.75">
      <c r="A98" s="628">
        <v>44652</v>
      </c>
      <c r="B98" s="629">
        <v>1</v>
      </c>
      <c r="C98" s="629">
        <v>1</v>
      </c>
      <c r="D98" s="629">
        <v>13</v>
      </c>
      <c r="E98" s="629">
        <v>13</v>
      </c>
      <c r="F98" s="629">
        <v>108065</v>
      </c>
      <c r="G98" s="629">
        <v>91827</v>
      </c>
      <c r="H98" s="516">
        <f t="shared" ref="H98:I109" si="18">+B98+D98+F98</f>
        <v>108079</v>
      </c>
      <c r="I98" s="516">
        <f t="shared" si="18"/>
        <v>91841</v>
      </c>
    </row>
    <row r="99" spans="1:9" s="511" customFormat="1" ht="15.75">
      <c r="A99" s="628">
        <v>44682</v>
      </c>
      <c r="B99" s="629">
        <v>1</v>
      </c>
      <c r="C99" s="629">
        <v>1</v>
      </c>
      <c r="D99" s="629">
        <v>13</v>
      </c>
      <c r="E99" s="629">
        <v>13</v>
      </c>
      <c r="F99" s="629">
        <v>109242</v>
      </c>
      <c r="G99" s="629">
        <v>99124</v>
      </c>
      <c r="H99" s="516">
        <f t="shared" si="18"/>
        <v>109256</v>
      </c>
      <c r="I99" s="516">
        <f t="shared" si="18"/>
        <v>99138</v>
      </c>
    </row>
    <row r="100" spans="1:9" s="511" customFormat="1" ht="15.75">
      <c r="A100" s="628">
        <v>44713</v>
      </c>
      <c r="B100" s="629">
        <v>1</v>
      </c>
      <c r="C100" s="629">
        <v>1</v>
      </c>
      <c r="D100" s="629">
        <v>13</v>
      </c>
      <c r="E100" s="629">
        <v>13</v>
      </c>
      <c r="F100" s="629">
        <v>109964</v>
      </c>
      <c r="G100" s="629">
        <v>98693</v>
      </c>
      <c r="H100" s="516">
        <f t="shared" si="18"/>
        <v>109978</v>
      </c>
      <c r="I100" s="516">
        <f t="shared" si="18"/>
        <v>98707</v>
      </c>
    </row>
    <row r="101" spans="1:9" s="511" customFormat="1" ht="15.75">
      <c r="A101" s="628">
        <v>44743</v>
      </c>
      <c r="B101" s="629">
        <v>1</v>
      </c>
      <c r="C101" s="629">
        <v>1</v>
      </c>
      <c r="D101" s="629">
        <v>13</v>
      </c>
      <c r="E101" s="629">
        <v>13</v>
      </c>
      <c r="F101" s="629">
        <v>110402</v>
      </c>
      <c r="G101" s="629">
        <v>97421</v>
      </c>
      <c r="H101" s="516">
        <f t="shared" si="18"/>
        <v>110416</v>
      </c>
      <c r="I101" s="516">
        <f t="shared" si="18"/>
        <v>97435</v>
      </c>
    </row>
    <row r="102" spans="1:9" s="511" customFormat="1" ht="15.75">
      <c r="A102" s="628">
        <v>44774</v>
      </c>
      <c r="B102" s="629">
        <v>1</v>
      </c>
      <c r="C102" s="629">
        <v>1</v>
      </c>
      <c r="D102" s="629">
        <v>13</v>
      </c>
      <c r="E102" s="629">
        <v>13</v>
      </c>
      <c r="F102" s="629">
        <v>110065</v>
      </c>
      <c r="G102" s="629">
        <v>102940</v>
      </c>
      <c r="H102" s="516">
        <f t="shared" si="18"/>
        <v>110079</v>
      </c>
      <c r="I102" s="516">
        <f t="shared" si="18"/>
        <v>102954</v>
      </c>
    </row>
    <row r="103" spans="1:9" s="511" customFormat="1" ht="15.75">
      <c r="A103" s="628">
        <v>44805</v>
      </c>
      <c r="B103" s="629">
        <v>1</v>
      </c>
      <c r="C103" s="629">
        <v>1</v>
      </c>
      <c r="D103" s="629">
        <v>14</v>
      </c>
      <c r="E103" s="629">
        <v>14</v>
      </c>
      <c r="F103" s="629">
        <v>110031</v>
      </c>
      <c r="G103" s="629">
        <v>100390</v>
      </c>
      <c r="H103" s="516">
        <f t="shared" si="18"/>
        <v>110046</v>
      </c>
      <c r="I103" s="516">
        <f t="shared" si="18"/>
        <v>100405</v>
      </c>
    </row>
    <row r="104" spans="1:9" s="511" customFormat="1" ht="15.75">
      <c r="A104" s="628">
        <v>44835</v>
      </c>
      <c r="B104" s="629">
        <v>1</v>
      </c>
      <c r="C104" s="629">
        <v>1</v>
      </c>
      <c r="D104" s="629">
        <v>14</v>
      </c>
      <c r="E104" s="629">
        <v>14</v>
      </c>
      <c r="F104" s="629">
        <v>115891</v>
      </c>
      <c r="G104" s="629">
        <v>100169</v>
      </c>
      <c r="H104" s="516">
        <f t="shared" si="18"/>
        <v>115906</v>
      </c>
      <c r="I104" s="516">
        <f t="shared" si="18"/>
        <v>100184</v>
      </c>
    </row>
    <row r="105" spans="1:9" s="511" customFormat="1" ht="15.75">
      <c r="A105" s="628">
        <v>44866</v>
      </c>
      <c r="B105" s="629">
        <v>1</v>
      </c>
      <c r="C105" s="629">
        <v>1</v>
      </c>
      <c r="D105" s="629">
        <v>14</v>
      </c>
      <c r="E105" s="629">
        <v>14</v>
      </c>
      <c r="F105" s="629">
        <v>116108</v>
      </c>
      <c r="G105" s="629">
        <v>101280</v>
      </c>
      <c r="H105" s="516">
        <f t="shared" si="18"/>
        <v>116123</v>
      </c>
      <c r="I105" s="516">
        <f t="shared" si="18"/>
        <v>101295</v>
      </c>
    </row>
    <row r="106" spans="1:9" s="511" customFormat="1" ht="15.75">
      <c r="A106" s="628">
        <v>44896</v>
      </c>
      <c r="B106" s="629">
        <v>1</v>
      </c>
      <c r="C106" s="629">
        <v>1</v>
      </c>
      <c r="D106" s="629">
        <v>14</v>
      </c>
      <c r="E106" s="629">
        <v>14</v>
      </c>
      <c r="F106" s="629">
        <v>116284</v>
      </c>
      <c r="G106" s="629">
        <v>102093</v>
      </c>
      <c r="H106" s="516">
        <f t="shared" si="18"/>
        <v>116299</v>
      </c>
      <c r="I106" s="516">
        <f t="shared" si="18"/>
        <v>102108</v>
      </c>
    </row>
    <row r="107" spans="1:9" s="511" customFormat="1" ht="15.75">
      <c r="A107" s="628">
        <v>44927</v>
      </c>
      <c r="B107" s="629">
        <v>1</v>
      </c>
      <c r="C107" s="629">
        <v>1</v>
      </c>
      <c r="D107" s="629">
        <v>14</v>
      </c>
      <c r="E107" s="629">
        <v>14</v>
      </c>
      <c r="F107" s="629">
        <v>115210</v>
      </c>
      <c r="G107" s="629">
        <v>102594</v>
      </c>
      <c r="H107" s="516">
        <f t="shared" si="18"/>
        <v>115225</v>
      </c>
      <c r="I107" s="516">
        <f t="shared" si="18"/>
        <v>102609</v>
      </c>
    </row>
    <row r="108" spans="1:9" s="511" customFormat="1" ht="15.75">
      <c r="A108" s="628">
        <v>44958</v>
      </c>
      <c r="B108" s="629">
        <v>1</v>
      </c>
      <c r="C108" s="629">
        <v>1</v>
      </c>
      <c r="D108" s="629">
        <v>14</v>
      </c>
      <c r="E108" s="629">
        <v>14</v>
      </c>
      <c r="F108" s="629">
        <v>111828</v>
      </c>
      <c r="G108" s="629">
        <v>102916</v>
      </c>
      <c r="H108" s="516">
        <f t="shared" si="18"/>
        <v>111843</v>
      </c>
      <c r="I108" s="516">
        <f t="shared" si="18"/>
        <v>102931</v>
      </c>
    </row>
    <row r="109" spans="1:9" s="511" customFormat="1" ht="15.75">
      <c r="A109" s="628">
        <v>44986</v>
      </c>
      <c r="B109" s="629">
        <v>1</v>
      </c>
      <c r="C109" s="629">
        <v>1</v>
      </c>
      <c r="D109" s="629">
        <v>14</v>
      </c>
      <c r="E109" s="629">
        <v>14</v>
      </c>
      <c r="F109" s="629">
        <v>111983</v>
      </c>
      <c r="G109" s="629">
        <v>103515</v>
      </c>
      <c r="H109" s="516">
        <f t="shared" si="18"/>
        <v>111998</v>
      </c>
      <c r="I109" s="516">
        <f t="shared" si="18"/>
        <v>103530</v>
      </c>
    </row>
    <row r="110" spans="1:9" s="564" customFormat="1" ht="15.75">
      <c r="A110" s="516" t="s">
        <v>274</v>
      </c>
      <c r="B110" s="516">
        <f t="shared" ref="B110:F110" si="19">SUM(B98:B109)</f>
        <v>12</v>
      </c>
      <c r="C110" s="516">
        <f t="shared" si="19"/>
        <v>12</v>
      </c>
      <c r="D110" s="516">
        <f t="shared" si="19"/>
        <v>163</v>
      </c>
      <c r="E110" s="516">
        <f t="shared" si="19"/>
        <v>163</v>
      </c>
      <c r="F110" s="516">
        <f t="shared" si="19"/>
        <v>1345073</v>
      </c>
      <c r="G110" s="516">
        <f t="shared" ref="G110:I110" si="20">SUM(G98:G109)</f>
        <v>1202962</v>
      </c>
      <c r="H110" s="516">
        <f t="shared" si="20"/>
        <v>1345248</v>
      </c>
      <c r="I110" s="516">
        <f t="shared" si="20"/>
        <v>1203137</v>
      </c>
    </row>
    <row r="111" spans="1:9" s="511" customFormat="1" ht="15.75">
      <c r="A111" s="515"/>
      <c r="B111" s="515"/>
      <c r="C111" s="515"/>
      <c r="D111" s="515"/>
      <c r="E111" s="515"/>
      <c r="F111" s="515"/>
      <c r="G111" s="515"/>
      <c r="H111" s="516"/>
      <c r="I111" s="516"/>
    </row>
    <row r="112" spans="1:9" s="511" customFormat="1" ht="15.75">
      <c r="A112" s="589" t="s">
        <v>3927</v>
      </c>
      <c r="B112" s="588"/>
      <c r="C112" s="587"/>
      <c r="D112" s="514"/>
      <c r="E112" s="514"/>
      <c r="F112" s="514"/>
      <c r="G112" s="514"/>
      <c r="H112" s="512"/>
      <c r="I112" s="512"/>
    </row>
    <row r="113" spans="1:9" s="511" customFormat="1" ht="15.75">
      <c r="A113" s="628">
        <v>44652</v>
      </c>
      <c r="B113" s="629">
        <v>0</v>
      </c>
      <c r="C113" s="629">
        <v>0</v>
      </c>
      <c r="D113" s="629">
        <v>55</v>
      </c>
      <c r="E113" s="629">
        <v>55</v>
      </c>
      <c r="F113" s="629">
        <v>217647</v>
      </c>
      <c r="G113" s="629">
        <v>161252</v>
      </c>
      <c r="H113" s="516">
        <f t="shared" ref="H113:I124" si="21">+B113+D113+F113</f>
        <v>217702</v>
      </c>
      <c r="I113" s="516">
        <f t="shared" si="21"/>
        <v>161307</v>
      </c>
    </row>
    <row r="114" spans="1:9" s="511" customFormat="1" ht="15.75">
      <c r="A114" s="628">
        <v>44682</v>
      </c>
      <c r="B114" s="629">
        <v>0</v>
      </c>
      <c r="C114" s="629">
        <v>0</v>
      </c>
      <c r="D114" s="629">
        <v>55</v>
      </c>
      <c r="E114" s="629">
        <v>55</v>
      </c>
      <c r="F114" s="629">
        <v>220240</v>
      </c>
      <c r="G114" s="629">
        <v>174464</v>
      </c>
      <c r="H114" s="516">
        <f t="shared" si="21"/>
        <v>220295</v>
      </c>
      <c r="I114" s="516">
        <f t="shared" si="21"/>
        <v>174519</v>
      </c>
    </row>
    <row r="115" spans="1:9" s="511" customFormat="1" ht="15.75">
      <c r="A115" s="628">
        <v>44713</v>
      </c>
      <c r="B115" s="629">
        <v>0</v>
      </c>
      <c r="C115" s="629">
        <v>0</v>
      </c>
      <c r="D115" s="629">
        <v>55</v>
      </c>
      <c r="E115" s="629">
        <v>55</v>
      </c>
      <c r="F115" s="629">
        <v>221698</v>
      </c>
      <c r="G115" s="629">
        <v>179249</v>
      </c>
      <c r="H115" s="516">
        <f t="shared" si="21"/>
        <v>221753</v>
      </c>
      <c r="I115" s="516">
        <f t="shared" si="21"/>
        <v>179304</v>
      </c>
    </row>
    <row r="116" spans="1:9" s="511" customFormat="1" ht="15.75">
      <c r="A116" s="628">
        <v>44743</v>
      </c>
      <c r="B116" s="629">
        <v>0</v>
      </c>
      <c r="C116" s="629">
        <v>0</v>
      </c>
      <c r="D116" s="629">
        <v>55</v>
      </c>
      <c r="E116" s="629">
        <v>55</v>
      </c>
      <c r="F116" s="629">
        <v>224059</v>
      </c>
      <c r="G116" s="629">
        <v>183326</v>
      </c>
      <c r="H116" s="516">
        <f t="shared" si="21"/>
        <v>224114</v>
      </c>
      <c r="I116" s="516">
        <f t="shared" si="21"/>
        <v>183381</v>
      </c>
    </row>
    <row r="117" spans="1:9" s="511" customFormat="1" ht="15.75">
      <c r="A117" s="628">
        <v>44774</v>
      </c>
      <c r="B117" s="629">
        <v>0</v>
      </c>
      <c r="C117" s="629">
        <v>0</v>
      </c>
      <c r="D117" s="629">
        <v>55</v>
      </c>
      <c r="E117" s="629">
        <v>55</v>
      </c>
      <c r="F117" s="629">
        <v>221810</v>
      </c>
      <c r="G117" s="629">
        <v>152704</v>
      </c>
      <c r="H117" s="516">
        <f t="shared" si="21"/>
        <v>221865</v>
      </c>
      <c r="I117" s="516">
        <f t="shared" si="21"/>
        <v>152759</v>
      </c>
    </row>
    <row r="118" spans="1:9" s="511" customFormat="1" ht="15.75">
      <c r="A118" s="628">
        <v>44805</v>
      </c>
      <c r="B118" s="629">
        <v>0</v>
      </c>
      <c r="C118" s="629">
        <v>0</v>
      </c>
      <c r="D118" s="629">
        <v>56</v>
      </c>
      <c r="E118" s="629">
        <v>56</v>
      </c>
      <c r="F118" s="629">
        <v>224362</v>
      </c>
      <c r="G118" s="629">
        <v>186950</v>
      </c>
      <c r="H118" s="516">
        <f t="shared" si="21"/>
        <v>224418</v>
      </c>
      <c r="I118" s="516">
        <f t="shared" si="21"/>
        <v>187006</v>
      </c>
    </row>
    <row r="119" spans="1:9" s="511" customFormat="1" ht="15.75">
      <c r="A119" s="628">
        <v>44835</v>
      </c>
      <c r="B119" s="629">
        <v>0</v>
      </c>
      <c r="C119" s="629">
        <v>0</v>
      </c>
      <c r="D119" s="629">
        <v>54</v>
      </c>
      <c r="E119" s="629">
        <v>54</v>
      </c>
      <c r="F119" s="629">
        <v>231582</v>
      </c>
      <c r="G119" s="629">
        <v>195314</v>
      </c>
      <c r="H119" s="516">
        <f t="shared" si="21"/>
        <v>231636</v>
      </c>
      <c r="I119" s="516">
        <f t="shared" si="21"/>
        <v>195368</v>
      </c>
    </row>
    <row r="120" spans="1:9" s="511" customFormat="1" ht="15.75">
      <c r="A120" s="628">
        <v>44866</v>
      </c>
      <c r="B120" s="629">
        <v>0</v>
      </c>
      <c r="C120" s="629">
        <v>0</v>
      </c>
      <c r="D120" s="629">
        <v>54</v>
      </c>
      <c r="E120" s="629">
        <v>54</v>
      </c>
      <c r="F120" s="629">
        <v>232060</v>
      </c>
      <c r="G120" s="629">
        <v>202653</v>
      </c>
      <c r="H120" s="516">
        <f t="shared" si="21"/>
        <v>232114</v>
      </c>
      <c r="I120" s="516">
        <f t="shared" si="21"/>
        <v>202707</v>
      </c>
    </row>
    <row r="121" spans="1:9" s="511" customFormat="1" ht="15.75">
      <c r="A121" s="628">
        <v>44896</v>
      </c>
      <c r="B121" s="629">
        <v>0</v>
      </c>
      <c r="C121" s="629">
        <v>0</v>
      </c>
      <c r="D121" s="629">
        <v>54</v>
      </c>
      <c r="E121" s="629">
        <v>54</v>
      </c>
      <c r="F121" s="629">
        <v>230996</v>
      </c>
      <c r="G121" s="629">
        <v>201711</v>
      </c>
      <c r="H121" s="516">
        <f t="shared" si="21"/>
        <v>231050</v>
      </c>
      <c r="I121" s="516">
        <f t="shared" si="21"/>
        <v>201765</v>
      </c>
    </row>
    <row r="122" spans="1:9" s="511" customFormat="1" ht="15.75">
      <c r="A122" s="628">
        <v>44927</v>
      </c>
      <c r="B122" s="629">
        <v>0</v>
      </c>
      <c r="C122" s="629">
        <v>0</v>
      </c>
      <c r="D122" s="629">
        <v>55</v>
      </c>
      <c r="E122" s="629">
        <v>55</v>
      </c>
      <c r="F122" s="629">
        <v>230170</v>
      </c>
      <c r="G122" s="629">
        <v>199093</v>
      </c>
      <c r="H122" s="516">
        <f t="shared" si="21"/>
        <v>230225</v>
      </c>
      <c r="I122" s="516">
        <f t="shared" si="21"/>
        <v>199148</v>
      </c>
    </row>
    <row r="123" spans="1:9" s="511" customFormat="1" ht="15.75">
      <c r="A123" s="628">
        <v>44958</v>
      </c>
      <c r="B123" s="629">
        <v>0</v>
      </c>
      <c r="C123" s="629">
        <v>0</v>
      </c>
      <c r="D123" s="629">
        <v>56</v>
      </c>
      <c r="E123" s="629">
        <v>56</v>
      </c>
      <c r="F123" s="629">
        <v>225587</v>
      </c>
      <c r="G123" s="629">
        <v>196236</v>
      </c>
      <c r="H123" s="516">
        <f t="shared" si="21"/>
        <v>225643</v>
      </c>
      <c r="I123" s="516">
        <f t="shared" si="21"/>
        <v>196292</v>
      </c>
    </row>
    <row r="124" spans="1:9" s="511" customFormat="1" ht="15.75">
      <c r="A124" s="628">
        <v>44986</v>
      </c>
      <c r="B124" s="629">
        <v>0</v>
      </c>
      <c r="C124" s="629">
        <v>0</v>
      </c>
      <c r="D124" s="629">
        <v>55</v>
      </c>
      <c r="E124" s="629">
        <v>55</v>
      </c>
      <c r="F124" s="629">
        <v>224330</v>
      </c>
      <c r="G124" s="629">
        <v>199596</v>
      </c>
      <c r="H124" s="516">
        <f t="shared" si="21"/>
        <v>224385</v>
      </c>
      <c r="I124" s="516">
        <f t="shared" si="21"/>
        <v>199651</v>
      </c>
    </row>
    <row r="125" spans="1:9" s="564" customFormat="1" ht="15.75">
      <c r="A125" s="516" t="s">
        <v>274</v>
      </c>
      <c r="B125" s="516">
        <f t="shared" ref="B125:F125" si="22">SUM(B113:B124)</f>
        <v>0</v>
      </c>
      <c r="C125" s="516">
        <f t="shared" si="22"/>
        <v>0</v>
      </c>
      <c r="D125" s="516">
        <f t="shared" si="22"/>
        <v>659</v>
      </c>
      <c r="E125" s="516">
        <f t="shared" si="22"/>
        <v>659</v>
      </c>
      <c r="F125" s="516">
        <f t="shared" si="22"/>
        <v>2704541</v>
      </c>
      <c r="G125" s="516">
        <f t="shared" ref="G125:I125" si="23">SUM(G113:G124)</f>
        <v>2232548</v>
      </c>
      <c r="H125" s="516">
        <f t="shared" si="23"/>
        <v>2705200</v>
      </c>
      <c r="I125" s="516">
        <f t="shared" si="23"/>
        <v>2233207</v>
      </c>
    </row>
    <row r="126" spans="1:9" s="511" customFormat="1" ht="15.75">
      <c r="A126" s="515"/>
      <c r="B126" s="515"/>
      <c r="C126" s="515"/>
      <c r="D126" s="515"/>
      <c r="E126" s="515"/>
      <c r="F126" s="515"/>
      <c r="G126" s="515"/>
      <c r="H126" s="516"/>
      <c r="I126" s="516"/>
    </row>
    <row r="127" spans="1:9" s="511" customFormat="1" ht="15.75">
      <c r="A127" s="589" t="s">
        <v>3928</v>
      </c>
      <c r="B127" s="588"/>
      <c r="C127" s="587"/>
      <c r="D127" s="514"/>
      <c r="E127" s="514"/>
      <c r="F127" s="514"/>
      <c r="G127" s="514"/>
      <c r="H127" s="512"/>
      <c r="I127" s="512"/>
    </row>
    <row r="128" spans="1:9" s="511" customFormat="1" ht="15.75">
      <c r="A128" s="628">
        <v>44652</v>
      </c>
      <c r="B128" s="629">
        <v>0</v>
      </c>
      <c r="C128" s="629">
        <v>0</v>
      </c>
      <c r="D128" s="629">
        <v>4</v>
      </c>
      <c r="E128" s="629">
        <v>4</v>
      </c>
      <c r="F128" s="629">
        <v>103305</v>
      </c>
      <c r="G128" s="629">
        <v>73100</v>
      </c>
      <c r="H128" s="516">
        <f t="shared" ref="H128:I139" si="24">+B128+D128+F128</f>
        <v>103309</v>
      </c>
      <c r="I128" s="516">
        <f t="shared" si="24"/>
        <v>73104</v>
      </c>
    </row>
    <row r="129" spans="1:9" s="511" customFormat="1" ht="15.75">
      <c r="A129" s="628">
        <v>44682</v>
      </c>
      <c r="B129" s="629">
        <v>0</v>
      </c>
      <c r="C129" s="629">
        <v>0</v>
      </c>
      <c r="D129" s="629">
        <v>4</v>
      </c>
      <c r="E129" s="629">
        <v>4</v>
      </c>
      <c r="F129" s="629">
        <v>104617</v>
      </c>
      <c r="G129" s="629">
        <v>82212</v>
      </c>
      <c r="H129" s="516">
        <f t="shared" si="24"/>
        <v>104621</v>
      </c>
      <c r="I129" s="516">
        <f t="shared" si="24"/>
        <v>82216</v>
      </c>
    </row>
    <row r="130" spans="1:9" s="511" customFormat="1" ht="15.75">
      <c r="A130" s="628">
        <v>44713</v>
      </c>
      <c r="B130" s="629">
        <v>0</v>
      </c>
      <c r="C130" s="629">
        <v>0</v>
      </c>
      <c r="D130" s="629">
        <v>4</v>
      </c>
      <c r="E130" s="629">
        <v>4</v>
      </c>
      <c r="F130" s="629">
        <v>105402</v>
      </c>
      <c r="G130" s="629">
        <v>79816</v>
      </c>
      <c r="H130" s="516">
        <f t="shared" si="24"/>
        <v>105406</v>
      </c>
      <c r="I130" s="516">
        <f t="shared" si="24"/>
        <v>79820</v>
      </c>
    </row>
    <row r="131" spans="1:9" s="511" customFormat="1" ht="15.75">
      <c r="A131" s="628">
        <v>44743</v>
      </c>
      <c r="B131" s="629">
        <v>0</v>
      </c>
      <c r="C131" s="629">
        <v>0</v>
      </c>
      <c r="D131" s="629">
        <v>4</v>
      </c>
      <c r="E131" s="629">
        <v>4</v>
      </c>
      <c r="F131" s="629">
        <v>105351</v>
      </c>
      <c r="G131" s="629">
        <v>82672</v>
      </c>
      <c r="H131" s="516">
        <f t="shared" si="24"/>
        <v>105355</v>
      </c>
      <c r="I131" s="516">
        <f t="shared" si="24"/>
        <v>82676</v>
      </c>
    </row>
    <row r="132" spans="1:9" s="511" customFormat="1" ht="15.75">
      <c r="A132" s="628">
        <v>44774</v>
      </c>
      <c r="B132" s="629">
        <v>0</v>
      </c>
      <c r="C132" s="629">
        <v>0</v>
      </c>
      <c r="D132" s="629">
        <v>4</v>
      </c>
      <c r="E132" s="629">
        <v>4</v>
      </c>
      <c r="F132" s="629">
        <v>105516</v>
      </c>
      <c r="G132" s="629">
        <v>80801</v>
      </c>
      <c r="H132" s="516">
        <f t="shared" si="24"/>
        <v>105520</v>
      </c>
      <c r="I132" s="516">
        <f t="shared" si="24"/>
        <v>80805</v>
      </c>
    </row>
    <row r="133" spans="1:9" s="511" customFormat="1" ht="15.75">
      <c r="A133" s="628">
        <v>44805</v>
      </c>
      <c r="B133" s="629">
        <v>0</v>
      </c>
      <c r="C133" s="629">
        <v>0</v>
      </c>
      <c r="D133" s="629">
        <v>5</v>
      </c>
      <c r="E133" s="629">
        <v>5</v>
      </c>
      <c r="F133" s="629">
        <v>105046</v>
      </c>
      <c r="G133" s="629">
        <v>86947</v>
      </c>
      <c r="H133" s="516">
        <f t="shared" si="24"/>
        <v>105051</v>
      </c>
      <c r="I133" s="516">
        <f t="shared" si="24"/>
        <v>86952</v>
      </c>
    </row>
    <row r="134" spans="1:9" s="511" customFormat="1" ht="15.75">
      <c r="A134" s="628">
        <v>44835</v>
      </c>
      <c r="B134" s="629">
        <v>0</v>
      </c>
      <c r="C134" s="629">
        <v>0</v>
      </c>
      <c r="D134" s="629">
        <v>5</v>
      </c>
      <c r="E134" s="629">
        <v>5</v>
      </c>
      <c r="F134" s="629">
        <v>112027</v>
      </c>
      <c r="G134" s="629">
        <v>90853</v>
      </c>
      <c r="H134" s="516">
        <f t="shared" si="24"/>
        <v>112032</v>
      </c>
      <c r="I134" s="516">
        <f t="shared" si="24"/>
        <v>90858</v>
      </c>
    </row>
    <row r="135" spans="1:9" s="511" customFormat="1" ht="15.75">
      <c r="A135" s="628">
        <v>44866</v>
      </c>
      <c r="B135" s="629">
        <v>0</v>
      </c>
      <c r="C135" s="629">
        <v>0</v>
      </c>
      <c r="D135" s="629">
        <v>6</v>
      </c>
      <c r="E135" s="629">
        <v>6</v>
      </c>
      <c r="F135" s="629">
        <v>112203</v>
      </c>
      <c r="G135" s="629">
        <v>91652</v>
      </c>
      <c r="H135" s="516">
        <f t="shared" si="24"/>
        <v>112209</v>
      </c>
      <c r="I135" s="516">
        <f t="shared" si="24"/>
        <v>91658</v>
      </c>
    </row>
    <row r="136" spans="1:9" s="511" customFormat="1" ht="15.75">
      <c r="A136" s="628">
        <v>44896</v>
      </c>
      <c r="B136" s="629">
        <v>0</v>
      </c>
      <c r="C136" s="629">
        <v>0</v>
      </c>
      <c r="D136" s="629">
        <v>6</v>
      </c>
      <c r="E136" s="629">
        <v>6</v>
      </c>
      <c r="F136" s="629">
        <v>111639</v>
      </c>
      <c r="G136" s="629">
        <v>89934</v>
      </c>
      <c r="H136" s="516">
        <f t="shared" si="24"/>
        <v>111645</v>
      </c>
      <c r="I136" s="516">
        <f t="shared" si="24"/>
        <v>89940</v>
      </c>
    </row>
    <row r="137" spans="1:9" s="511" customFormat="1" ht="15.75">
      <c r="A137" s="628">
        <v>44927</v>
      </c>
      <c r="B137" s="629">
        <v>0</v>
      </c>
      <c r="C137" s="629">
        <v>0</v>
      </c>
      <c r="D137" s="629">
        <v>6</v>
      </c>
      <c r="E137" s="629">
        <v>6</v>
      </c>
      <c r="F137" s="629">
        <v>112209</v>
      </c>
      <c r="G137" s="629">
        <v>88096</v>
      </c>
      <c r="H137" s="516">
        <f t="shared" si="24"/>
        <v>112215</v>
      </c>
      <c r="I137" s="516">
        <f t="shared" si="24"/>
        <v>88102</v>
      </c>
    </row>
    <row r="138" spans="1:9" s="511" customFormat="1" ht="15.75">
      <c r="A138" s="628">
        <v>44958</v>
      </c>
      <c r="B138" s="629">
        <v>0</v>
      </c>
      <c r="C138" s="629">
        <v>0</v>
      </c>
      <c r="D138" s="629">
        <v>6</v>
      </c>
      <c r="E138" s="629">
        <v>6</v>
      </c>
      <c r="F138" s="629">
        <v>106433</v>
      </c>
      <c r="G138" s="629">
        <v>85659</v>
      </c>
      <c r="H138" s="516">
        <f t="shared" si="24"/>
        <v>106439</v>
      </c>
      <c r="I138" s="516">
        <f t="shared" si="24"/>
        <v>85665</v>
      </c>
    </row>
    <row r="139" spans="1:9" s="511" customFormat="1" ht="15.75">
      <c r="A139" s="628">
        <v>44986</v>
      </c>
      <c r="B139" s="629">
        <v>0</v>
      </c>
      <c r="C139" s="629">
        <v>0</v>
      </c>
      <c r="D139" s="629">
        <v>6</v>
      </c>
      <c r="E139" s="629">
        <v>6</v>
      </c>
      <c r="F139" s="629">
        <v>106695</v>
      </c>
      <c r="G139" s="629">
        <v>93245</v>
      </c>
      <c r="H139" s="516">
        <f t="shared" si="24"/>
        <v>106701</v>
      </c>
      <c r="I139" s="516">
        <f t="shared" si="24"/>
        <v>93251</v>
      </c>
    </row>
    <row r="140" spans="1:9" s="564" customFormat="1" ht="15.75">
      <c r="A140" s="516" t="s">
        <v>274</v>
      </c>
      <c r="B140" s="516">
        <f t="shared" ref="B140:F140" si="25">SUM(B128:B139)</f>
        <v>0</v>
      </c>
      <c r="C140" s="516">
        <f t="shared" si="25"/>
        <v>0</v>
      </c>
      <c r="D140" s="516">
        <f t="shared" si="25"/>
        <v>60</v>
      </c>
      <c r="E140" s="516">
        <f t="shared" si="25"/>
        <v>60</v>
      </c>
      <c r="F140" s="516">
        <f t="shared" si="25"/>
        <v>1290443</v>
      </c>
      <c r="G140" s="516">
        <f t="shared" ref="G140:I140" si="26">SUM(G128:G139)</f>
        <v>1024987</v>
      </c>
      <c r="H140" s="516">
        <f t="shared" si="26"/>
        <v>1290503</v>
      </c>
      <c r="I140" s="516">
        <f t="shared" si="26"/>
        <v>1025047</v>
      </c>
    </row>
    <row r="141" spans="1:9" s="511" customFormat="1" ht="15.75">
      <c r="A141" s="515"/>
      <c r="B141" s="515"/>
      <c r="C141" s="515"/>
      <c r="D141" s="515"/>
      <c r="E141" s="515"/>
      <c r="F141" s="515"/>
      <c r="G141" s="515"/>
      <c r="H141" s="516"/>
      <c r="I141" s="516"/>
    </row>
    <row r="142" spans="1:9" s="511" customFormat="1" ht="15.75">
      <c r="A142" s="589" t="s">
        <v>3929</v>
      </c>
      <c r="B142" s="588"/>
      <c r="C142" s="587"/>
      <c r="D142" s="514"/>
      <c r="E142" s="514"/>
      <c r="F142" s="514"/>
      <c r="G142" s="514"/>
      <c r="H142" s="512"/>
      <c r="I142" s="512"/>
    </row>
    <row r="143" spans="1:9" s="511" customFormat="1" ht="15.75">
      <c r="A143" s="628">
        <v>44652</v>
      </c>
      <c r="B143" s="629">
        <v>0</v>
      </c>
      <c r="C143" s="629">
        <v>0</v>
      </c>
      <c r="D143" s="629">
        <v>27</v>
      </c>
      <c r="E143" s="629">
        <v>27</v>
      </c>
      <c r="F143" s="629">
        <v>202795</v>
      </c>
      <c r="G143" s="629">
        <v>132045</v>
      </c>
      <c r="H143" s="516">
        <f t="shared" ref="H143:I154" si="27">+B143+D143+F143</f>
        <v>202822</v>
      </c>
      <c r="I143" s="516">
        <f t="shared" si="27"/>
        <v>132072</v>
      </c>
    </row>
    <row r="144" spans="1:9" s="511" customFormat="1" ht="15.75">
      <c r="A144" s="628">
        <v>44682</v>
      </c>
      <c r="B144" s="629">
        <v>0</v>
      </c>
      <c r="C144" s="629">
        <v>0</v>
      </c>
      <c r="D144" s="629">
        <v>27</v>
      </c>
      <c r="E144" s="629">
        <v>27</v>
      </c>
      <c r="F144" s="629">
        <v>204511</v>
      </c>
      <c r="G144" s="629">
        <v>158825</v>
      </c>
      <c r="H144" s="516">
        <f t="shared" si="27"/>
        <v>204538</v>
      </c>
      <c r="I144" s="516">
        <f t="shared" si="27"/>
        <v>158852</v>
      </c>
    </row>
    <row r="145" spans="1:9" s="511" customFormat="1" ht="15.75">
      <c r="A145" s="628">
        <v>44713</v>
      </c>
      <c r="B145" s="629">
        <v>0</v>
      </c>
      <c r="C145" s="629">
        <v>0</v>
      </c>
      <c r="D145" s="629">
        <v>27</v>
      </c>
      <c r="E145" s="629">
        <v>27</v>
      </c>
      <c r="F145" s="629">
        <v>204887</v>
      </c>
      <c r="G145" s="629">
        <v>157812</v>
      </c>
      <c r="H145" s="516">
        <f t="shared" si="27"/>
        <v>204914</v>
      </c>
      <c r="I145" s="516">
        <f t="shared" si="27"/>
        <v>157839</v>
      </c>
    </row>
    <row r="146" spans="1:9" s="511" customFormat="1" ht="15.75">
      <c r="A146" s="628">
        <v>44743</v>
      </c>
      <c r="B146" s="629">
        <v>0</v>
      </c>
      <c r="C146" s="629">
        <v>0</v>
      </c>
      <c r="D146" s="629">
        <v>27</v>
      </c>
      <c r="E146" s="629">
        <v>27</v>
      </c>
      <c r="F146" s="629">
        <v>207200</v>
      </c>
      <c r="G146" s="629">
        <v>168957</v>
      </c>
      <c r="H146" s="516">
        <f t="shared" si="27"/>
        <v>207227</v>
      </c>
      <c r="I146" s="516">
        <f t="shared" si="27"/>
        <v>168984</v>
      </c>
    </row>
    <row r="147" spans="1:9" s="511" customFormat="1" ht="15.75">
      <c r="A147" s="628">
        <v>44774</v>
      </c>
      <c r="B147" s="629">
        <v>0</v>
      </c>
      <c r="C147" s="629">
        <v>0</v>
      </c>
      <c r="D147" s="629">
        <v>28</v>
      </c>
      <c r="E147" s="629">
        <v>28</v>
      </c>
      <c r="F147" s="629">
        <v>205316</v>
      </c>
      <c r="G147" s="629">
        <v>143235</v>
      </c>
      <c r="H147" s="516">
        <f t="shared" si="27"/>
        <v>205344</v>
      </c>
      <c r="I147" s="516">
        <f t="shared" si="27"/>
        <v>143263</v>
      </c>
    </row>
    <row r="148" spans="1:9" s="511" customFormat="1" ht="15.75">
      <c r="A148" s="628">
        <v>44805</v>
      </c>
      <c r="B148" s="629">
        <v>0</v>
      </c>
      <c r="C148" s="629">
        <v>0</v>
      </c>
      <c r="D148" s="629">
        <v>28</v>
      </c>
      <c r="E148" s="629">
        <v>28</v>
      </c>
      <c r="F148" s="629">
        <v>207642</v>
      </c>
      <c r="G148" s="629">
        <v>179632</v>
      </c>
      <c r="H148" s="516">
        <f t="shared" si="27"/>
        <v>207670</v>
      </c>
      <c r="I148" s="516">
        <f t="shared" si="27"/>
        <v>179660</v>
      </c>
    </row>
    <row r="149" spans="1:9" s="511" customFormat="1" ht="15.75">
      <c r="A149" s="628">
        <v>44835</v>
      </c>
      <c r="B149" s="629">
        <v>0</v>
      </c>
      <c r="C149" s="629">
        <v>0</v>
      </c>
      <c r="D149" s="629">
        <v>29</v>
      </c>
      <c r="E149" s="629">
        <v>29</v>
      </c>
      <c r="F149" s="629">
        <v>210175</v>
      </c>
      <c r="G149" s="629">
        <v>189045</v>
      </c>
      <c r="H149" s="516">
        <f t="shared" si="27"/>
        <v>210204</v>
      </c>
      <c r="I149" s="516">
        <f t="shared" si="27"/>
        <v>189074</v>
      </c>
    </row>
    <row r="150" spans="1:9" s="511" customFormat="1" ht="15.75">
      <c r="A150" s="628">
        <v>44866</v>
      </c>
      <c r="B150" s="629">
        <v>0</v>
      </c>
      <c r="C150" s="629">
        <v>0</v>
      </c>
      <c r="D150" s="629">
        <v>29</v>
      </c>
      <c r="E150" s="629">
        <v>29</v>
      </c>
      <c r="F150" s="629">
        <v>210244</v>
      </c>
      <c r="G150" s="629">
        <v>192651</v>
      </c>
      <c r="H150" s="516">
        <f t="shared" si="27"/>
        <v>210273</v>
      </c>
      <c r="I150" s="516">
        <f t="shared" si="27"/>
        <v>192680</v>
      </c>
    </row>
    <row r="151" spans="1:9" s="511" customFormat="1" ht="15.75">
      <c r="A151" s="628">
        <v>44896</v>
      </c>
      <c r="B151" s="629">
        <v>0</v>
      </c>
      <c r="C151" s="629">
        <v>0</v>
      </c>
      <c r="D151" s="629">
        <v>29</v>
      </c>
      <c r="E151" s="629">
        <v>29</v>
      </c>
      <c r="F151" s="629">
        <v>209391</v>
      </c>
      <c r="G151" s="629">
        <v>193129</v>
      </c>
      <c r="H151" s="516">
        <f t="shared" si="27"/>
        <v>209420</v>
      </c>
      <c r="I151" s="516">
        <f t="shared" si="27"/>
        <v>193158</v>
      </c>
    </row>
    <row r="152" spans="1:9" s="511" customFormat="1" ht="15.75">
      <c r="A152" s="628">
        <v>44927</v>
      </c>
      <c r="B152" s="629">
        <v>0</v>
      </c>
      <c r="C152" s="629">
        <v>0</v>
      </c>
      <c r="D152" s="629">
        <v>30</v>
      </c>
      <c r="E152" s="629">
        <v>30</v>
      </c>
      <c r="F152" s="629">
        <v>210265</v>
      </c>
      <c r="G152" s="629">
        <v>186973</v>
      </c>
      <c r="H152" s="516">
        <f t="shared" si="27"/>
        <v>210295</v>
      </c>
      <c r="I152" s="516">
        <f t="shared" si="27"/>
        <v>187003</v>
      </c>
    </row>
    <row r="153" spans="1:9" s="511" customFormat="1" ht="15.75">
      <c r="A153" s="628">
        <v>44958</v>
      </c>
      <c r="B153" s="629">
        <v>0</v>
      </c>
      <c r="C153" s="629">
        <v>0</v>
      </c>
      <c r="D153" s="629">
        <v>30</v>
      </c>
      <c r="E153" s="629">
        <v>30</v>
      </c>
      <c r="F153" s="629">
        <v>208409</v>
      </c>
      <c r="G153" s="629">
        <v>179607</v>
      </c>
      <c r="H153" s="516">
        <f t="shared" si="27"/>
        <v>208439</v>
      </c>
      <c r="I153" s="516">
        <f t="shared" si="27"/>
        <v>179637</v>
      </c>
    </row>
    <row r="154" spans="1:9" s="511" customFormat="1" ht="15.75">
      <c r="A154" s="628">
        <v>44986</v>
      </c>
      <c r="B154" s="629">
        <v>0</v>
      </c>
      <c r="C154" s="629">
        <v>0</v>
      </c>
      <c r="D154" s="629">
        <v>30</v>
      </c>
      <c r="E154" s="629">
        <v>30</v>
      </c>
      <c r="F154" s="629">
        <v>207536</v>
      </c>
      <c r="G154" s="629">
        <v>185921</v>
      </c>
      <c r="H154" s="516">
        <f t="shared" si="27"/>
        <v>207566</v>
      </c>
      <c r="I154" s="516">
        <f t="shared" si="27"/>
        <v>185951</v>
      </c>
    </row>
    <row r="155" spans="1:9" s="564" customFormat="1" ht="15.75">
      <c r="A155" s="516" t="s">
        <v>274</v>
      </c>
      <c r="B155" s="516">
        <f t="shared" ref="B155:F155" si="28">SUM(B143:B154)</f>
        <v>0</v>
      </c>
      <c r="C155" s="516">
        <f t="shared" si="28"/>
        <v>0</v>
      </c>
      <c r="D155" s="516">
        <f t="shared" si="28"/>
        <v>341</v>
      </c>
      <c r="E155" s="516">
        <f t="shared" si="28"/>
        <v>341</v>
      </c>
      <c r="F155" s="516">
        <f t="shared" si="28"/>
        <v>2488371</v>
      </c>
      <c r="G155" s="516">
        <f t="shared" ref="G155:I155" si="29">SUM(G143:G154)</f>
        <v>2067832</v>
      </c>
      <c r="H155" s="516">
        <f t="shared" si="29"/>
        <v>2488712</v>
      </c>
      <c r="I155" s="516">
        <f t="shared" si="29"/>
        <v>2068173</v>
      </c>
    </row>
    <row r="156" spans="1:9" s="511" customFormat="1" ht="15.75">
      <c r="A156" s="515"/>
      <c r="B156" s="515"/>
      <c r="C156" s="515"/>
      <c r="D156" s="515"/>
      <c r="E156" s="515"/>
      <c r="F156" s="515"/>
      <c r="G156" s="515"/>
      <c r="H156" s="516"/>
      <c r="I156" s="516"/>
    </row>
    <row r="157" spans="1:9" s="511" customFormat="1" ht="15.75">
      <c r="A157" s="589" t="s">
        <v>3930</v>
      </c>
      <c r="B157" s="588"/>
      <c r="C157" s="587"/>
      <c r="D157" s="514"/>
      <c r="E157" s="514"/>
      <c r="F157" s="514"/>
      <c r="G157" s="514"/>
      <c r="H157" s="512"/>
      <c r="I157" s="512"/>
    </row>
    <row r="158" spans="1:9" s="511" customFormat="1" ht="15.75">
      <c r="A158" s="628">
        <v>44652</v>
      </c>
      <c r="B158" s="629">
        <v>13</v>
      </c>
      <c r="C158" s="629">
        <v>13</v>
      </c>
      <c r="D158" s="629">
        <v>57</v>
      </c>
      <c r="E158" s="629">
        <v>57</v>
      </c>
      <c r="F158" s="629">
        <v>94558</v>
      </c>
      <c r="G158" s="629">
        <v>73715</v>
      </c>
      <c r="H158" s="516">
        <f t="shared" ref="H158:I169" si="30">+B158+D158+F158</f>
        <v>94628</v>
      </c>
      <c r="I158" s="516">
        <f t="shared" si="30"/>
        <v>73785</v>
      </c>
    </row>
    <row r="159" spans="1:9" s="511" customFormat="1" ht="15.75">
      <c r="A159" s="628">
        <v>44682</v>
      </c>
      <c r="B159" s="629">
        <v>13</v>
      </c>
      <c r="C159" s="629">
        <v>13</v>
      </c>
      <c r="D159" s="629">
        <v>60</v>
      </c>
      <c r="E159" s="629">
        <v>60</v>
      </c>
      <c r="F159" s="629">
        <v>96122</v>
      </c>
      <c r="G159" s="629">
        <v>84224</v>
      </c>
      <c r="H159" s="516">
        <f t="shared" si="30"/>
        <v>96195</v>
      </c>
      <c r="I159" s="516">
        <f t="shared" si="30"/>
        <v>84297</v>
      </c>
    </row>
    <row r="160" spans="1:9" s="511" customFormat="1" ht="15.75">
      <c r="A160" s="628">
        <v>44713</v>
      </c>
      <c r="B160" s="629">
        <v>14</v>
      </c>
      <c r="C160" s="629">
        <v>14</v>
      </c>
      <c r="D160" s="629">
        <v>60</v>
      </c>
      <c r="E160" s="629">
        <v>60</v>
      </c>
      <c r="F160" s="629">
        <v>97486</v>
      </c>
      <c r="G160" s="629">
        <v>83329</v>
      </c>
      <c r="H160" s="516">
        <f t="shared" si="30"/>
        <v>97560</v>
      </c>
      <c r="I160" s="516">
        <f t="shared" si="30"/>
        <v>83403</v>
      </c>
    </row>
    <row r="161" spans="1:9" s="511" customFormat="1" ht="15.75">
      <c r="A161" s="628">
        <v>44743</v>
      </c>
      <c r="B161" s="629">
        <v>14</v>
      </c>
      <c r="C161" s="629">
        <v>14</v>
      </c>
      <c r="D161" s="629">
        <v>61</v>
      </c>
      <c r="E161" s="629">
        <v>61</v>
      </c>
      <c r="F161" s="629">
        <v>97867</v>
      </c>
      <c r="G161" s="629">
        <v>82792</v>
      </c>
      <c r="H161" s="516">
        <f t="shared" si="30"/>
        <v>97942</v>
      </c>
      <c r="I161" s="516">
        <f t="shared" si="30"/>
        <v>82867</v>
      </c>
    </row>
    <row r="162" spans="1:9" s="511" customFormat="1" ht="15.75">
      <c r="A162" s="628">
        <v>44774</v>
      </c>
      <c r="B162" s="629">
        <v>14</v>
      </c>
      <c r="C162" s="629">
        <v>14</v>
      </c>
      <c r="D162" s="629">
        <v>61</v>
      </c>
      <c r="E162" s="629">
        <v>61</v>
      </c>
      <c r="F162" s="629">
        <v>97597</v>
      </c>
      <c r="G162" s="629">
        <v>82432</v>
      </c>
      <c r="H162" s="516">
        <f t="shared" si="30"/>
        <v>97672</v>
      </c>
      <c r="I162" s="516">
        <f t="shared" si="30"/>
        <v>82507</v>
      </c>
    </row>
    <row r="163" spans="1:9" s="511" customFormat="1" ht="15.75">
      <c r="A163" s="628">
        <v>44805</v>
      </c>
      <c r="B163" s="629">
        <v>15</v>
      </c>
      <c r="C163" s="629">
        <v>15</v>
      </c>
      <c r="D163" s="629">
        <v>61</v>
      </c>
      <c r="E163" s="629">
        <v>61</v>
      </c>
      <c r="F163" s="629">
        <v>98469</v>
      </c>
      <c r="G163" s="629">
        <v>94056</v>
      </c>
      <c r="H163" s="516">
        <f t="shared" si="30"/>
        <v>98545</v>
      </c>
      <c r="I163" s="516">
        <f t="shared" si="30"/>
        <v>94132</v>
      </c>
    </row>
    <row r="164" spans="1:9" s="511" customFormat="1" ht="15.75">
      <c r="A164" s="628">
        <v>44835</v>
      </c>
      <c r="B164" s="629">
        <v>15</v>
      </c>
      <c r="C164" s="629">
        <v>15</v>
      </c>
      <c r="D164" s="629">
        <v>60</v>
      </c>
      <c r="E164" s="629">
        <v>60</v>
      </c>
      <c r="F164" s="629">
        <v>102481</v>
      </c>
      <c r="G164" s="629">
        <v>95060</v>
      </c>
      <c r="H164" s="516">
        <f t="shared" si="30"/>
        <v>102556</v>
      </c>
      <c r="I164" s="516">
        <f t="shared" si="30"/>
        <v>95135</v>
      </c>
    </row>
    <row r="165" spans="1:9" s="511" customFormat="1" ht="15.75">
      <c r="A165" s="628">
        <v>44866</v>
      </c>
      <c r="B165" s="629">
        <v>15</v>
      </c>
      <c r="C165" s="629">
        <v>15</v>
      </c>
      <c r="D165" s="629">
        <v>58</v>
      </c>
      <c r="E165" s="629">
        <v>58</v>
      </c>
      <c r="F165" s="629">
        <v>102738</v>
      </c>
      <c r="G165" s="629">
        <v>96120</v>
      </c>
      <c r="H165" s="516">
        <f t="shared" si="30"/>
        <v>102811</v>
      </c>
      <c r="I165" s="516">
        <f t="shared" si="30"/>
        <v>96193</v>
      </c>
    </row>
    <row r="166" spans="1:9" s="511" customFormat="1" ht="15.75">
      <c r="A166" s="628">
        <v>44896</v>
      </c>
      <c r="B166" s="629">
        <v>15</v>
      </c>
      <c r="C166" s="629">
        <v>15</v>
      </c>
      <c r="D166" s="629">
        <v>58</v>
      </c>
      <c r="E166" s="629">
        <v>58</v>
      </c>
      <c r="F166" s="629">
        <v>102163</v>
      </c>
      <c r="G166" s="629">
        <v>94965</v>
      </c>
      <c r="H166" s="516">
        <f t="shared" si="30"/>
        <v>102236</v>
      </c>
      <c r="I166" s="516">
        <f t="shared" si="30"/>
        <v>95038</v>
      </c>
    </row>
    <row r="167" spans="1:9" s="511" customFormat="1" ht="15.75">
      <c r="A167" s="628">
        <v>44927</v>
      </c>
      <c r="B167" s="629">
        <v>15</v>
      </c>
      <c r="C167" s="629">
        <v>15</v>
      </c>
      <c r="D167" s="629">
        <v>60</v>
      </c>
      <c r="E167" s="629">
        <v>60</v>
      </c>
      <c r="F167" s="629">
        <v>102443</v>
      </c>
      <c r="G167" s="629">
        <v>94692</v>
      </c>
      <c r="H167" s="516">
        <f t="shared" si="30"/>
        <v>102518</v>
      </c>
      <c r="I167" s="516">
        <f t="shared" si="30"/>
        <v>94767</v>
      </c>
    </row>
    <row r="168" spans="1:9" s="511" customFormat="1" ht="15.75">
      <c r="A168" s="628">
        <v>44958</v>
      </c>
      <c r="B168" s="629">
        <v>15</v>
      </c>
      <c r="C168" s="629">
        <v>15</v>
      </c>
      <c r="D168" s="629">
        <v>62</v>
      </c>
      <c r="E168" s="629">
        <v>62</v>
      </c>
      <c r="F168" s="629">
        <v>98656</v>
      </c>
      <c r="G168" s="629">
        <v>93601</v>
      </c>
      <c r="H168" s="516">
        <f t="shared" si="30"/>
        <v>98733</v>
      </c>
      <c r="I168" s="516">
        <f t="shared" si="30"/>
        <v>93678</v>
      </c>
    </row>
    <row r="169" spans="1:9" s="511" customFormat="1" ht="15.75">
      <c r="A169" s="628">
        <v>44986</v>
      </c>
      <c r="B169" s="629">
        <v>15</v>
      </c>
      <c r="C169" s="629">
        <v>15</v>
      </c>
      <c r="D169" s="629">
        <v>60</v>
      </c>
      <c r="E169" s="629">
        <v>60</v>
      </c>
      <c r="F169" s="629">
        <v>98856</v>
      </c>
      <c r="G169" s="629">
        <v>93408</v>
      </c>
      <c r="H169" s="516">
        <f t="shared" si="30"/>
        <v>98931</v>
      </c>
      <c r="I169" s="516">
        <f t="shared" si="30"/>
        <v>93483</v>
      </c>
    </row>
    <row r="170" spans="1:9" s="564" customFormat="1" ht="15.75">
      <c r="A170" s="516" t="s">
        <v>274</v>
      </c>
      <c r="B170" s="516">
        <f t="shared" ref="B170:F170" si="31">SUM(B158:B169)</f>
        <v>173</v>
      </c>
      <c r="C170" s="516">
        <f t="shared" si="31"/>
        <v>173</v>
      </c>
      <c r="D170" s="516">
        <f t="shared" si="31"/>
        <v>718</v>
      </c>
      <c r="E170" s="516">
        <f t="shared" si="31"/>
        <v>718</v>
      </c>
      <c r="F170" s="516">
        <f t="shared" si="31"/>
        <v>1189436</v>
      </c>
      <c r="G170" s="516">
        <f t="shared" ref="G170:I170" si="32">SUM(G158:G169)</f>
        <v>1068394</v>
      </c>
      <c r="H170" s="516">
        <f t="shared" si="32"/>
        <v>1190327</v>
      </c>
      <c r="I170" s="516">
        <f t="shared" si="32"/>
        <v>1069285</v>
      </c>
    </row>
    <row r="171" spans="1:9" s="511" customFormat="1" ht="15.75">
      <c r="A171" s="515"/>
      <c r="B171" s="515"/>
      <c r="C171" s="515"/>
      <c r="D171" s="515"/>
      <c r="E171" s="515"/>
      <c r="F171" s="515"/>
      <c r="G171" s="515"/>
      <c r="H171" s="516"/>
      <c r="I171" s="516"/>
    </row>
    <row r="172" spans="1:9" s="511" customFormat="1" ht="15.75">
      <c r="A172" s="589" t="s">
        <v>3931</v>
      </c>
      <c r="B172" s="588"/>
      <c r="C172" s="587"/>
      <c r="D172" s="514"/>
      <c r="E172" s="514"/>
      <c r="F172" s="514"/>
      <c r="G172" s="514"/>
      <c r="H172" s="512"/>
      <c r="I172" s="512"/>
    </row>
    <row r="173" spans="1:9" s="511" customFormat="1" ht="15.75">
      <c r="A173" s="628">
        <v>44652</v>
      </c>
      <c r="B173" s="629">
        <v>0</v>
      </c>
      <c r="C173" s="629">
        <v>0</v>
      </c>
      <c r="D173" s="629">
        <v>2</v>
      </c>
      <c r="E173" s="629">
        <v>2</v>
      </c>
      <c r="F173" s="629">
        <v>97294</v>
      </c>
      <c r="G173" s="629">
        <v>90465</v>
      </c>
      <c r="H173" s="516">
        <f t="shared" ref="H173:I184" si="33">+B173+D173+F173</f>
        <v>97296</v>
      </c>
      <c r="I173" s="516">
        <f t="shared" si="33"/>
        <v>90467</v>
      </c>
    </row>
    <row r="174" spans="1:9" s="511" customFormat="1" ht="15.75">
      <c r="A174" s="628">
        <v>44682</v>
      </c>
      <c r="B174" s="629">
        <v>0</v>
      </c>
      <c r="C174" s="629">
        <v>0</v>
      </c>
      <c r="D174" s="629">
        <v>3</v>
      </c>
      <c r="E174" s="629">
        <v>3</v>
      </c>
      <c r="F174" s="629">
        <v>98196</v>
      </c>
      <c r="G174" s="629">
        <v>92952</v>
      </c>
      <c r="H174" s="516">
        <f t="shared" si="33"/>
        <v>98199</v>
      </c>
      <c r="I174" s="516">
        <f t="shared" si="33"/>
        <v>92955</v>
      </c>
    </row>
    <row r="175" spans="1:9" s="511" customFormat="1" ht="15.75">
      <c r="A175" s="628">
        <v>44713</v>
      </c>
      <c r="B175" s="629">
        <v>0</v>
      </c>
      <c r="C175" s="629">
        <v>0</v>
      </c>
      <c r="D175" s="629">
        <v>3</v>
      </c>
      <c r="E175" s="629">
        <v>3</v>
      </c>
      <c r="F175" s="629">
        <v>98873</v>
      </c>
      <c r="G175" s="629">
        <v>92163</v>
      </c>
      <c r="H175" s="516">
        <f t="shared" si="33"/>
        <v>98876</v>
      </c>
      <c r="I175" s="516">
        <f t="shared" si="33"/>
        <v>92166</v>
      </c>
    </row>
    <row r="176" spans="1:9" s="511" customFormat="1" ht="15.75">
      <c r="A176" s="628">
        <v>44743</v>
      </c>
      <c r="B176" s="629">
        <v>0</v>
      </c>
      <c r="C176" s="629">
        <v>0</v>
      </c>
      <c r="D176" s="629">
        <v>3</v>
      </c>
      <c r="E176" s="629">
        <v>3</v>
      </c>
      <c r="F176" s="629">
        <v>99692</v>
      </c>
      <c r="G176" s="629">
        <v>93677</v>
      </c>
      <c r="H176" s="516">
        <f t="shared" si="33"/>
        <v>99695</v>
      </c>
      <c r="I176" s="516">
        <f t="shared" si="33"/>
        <v>93680</v>
      </c>
    </row>
    <row r="177" spans="1:9" s="511" customFormat="1" ht="15.75">
      <c r="A177" s="628">
        <v>44774</v>
      </c>
      <c r="B177" s="629">
        <v>0</v>
      </c>
      <c r="C177" s="629">
        <v>0</v>
      </c>
      <c r="D177" s="629">
        <v>3</v>
      </c>
      <c r="E177" s="629">
        <v>3</v>
      </c>
      <c r="F177" s="629">
        <v>99025</v>
      </c>
      <c r="G177" s="629">
        <v>84655</v>
      </c>
      <c r="H177" s="516">
        <f t="shared" si="33"/>
        <v>99028</v>
      </c>
      <c r="I177" s="516">
        <f t="shared" si="33"/>
        <v>84658</v>
      </c>
    </row>
    <row r="178" spans="1:9" s="511" customFormat="1" ht="15.75">
      <c r="A178" s="628">
        <v>44805</v>
      </c>
      <c r="B178" s="629">
        <v>0</v>
      </c>
      <c r="C178" s="629">
        <v>0</v>
      </c>
      <c r="D178" s="629">
        <v>3</v>
      </c>
      <c r="E178" s="629">
        <v>3</v>
      </c>
      <c r="F178" s="629">
        <v>99908</v>
      </c>
      <c r="G178" s="629">
        <v>91160</v>
      </c>
      <c r="H178" s="516">
        <f t="shared" si="33"/>
        <v>99911</v>
      </c>
      <c r="I178" s="516">
        <f t="shared" si="33"/>
        <v>91163</v>
      </c>
    </row>
    <row r="179" spans="1:9" s="511" customFormat="1" ht="15.75">
      <c r="A179" s="628">
        <v>44835</v>
      </c>
      <c r="B179" s="629">
        <v>0</v>
      </c>
      <c r="C179" s="629">
        <v>0</v>
      </c>
      <c r="D179" s="629">
        <v>3</v>
      </c>
      <c r="E179" s="629">
        <v>3</v>
      </c>
      <c r="F179" s="629">
        <v>103853</v>
      </c>
      <c r="G179" s="629">
        <v>91510</v>
      </c>
      <c r="H179" s="516">
        <f t="shared" si="33"/>
        <v>103856</v>
      </c>
      <c r="I179" s="516">
        <f t="shared" si="33"/>
        <v>91513</v>
      </c>
    </row>
    <row r="180" spans="1:9" s="511" customFormat="1" ht="15.75">
      <c r="A180" s="628">
        <v>44866</v>
      </c>
      <c r="B180" s="629">
        <v>0</v>
      </c>
      <c r="C180" s="629">
        <v>0</v>
      </c>
      <c r="D180" s="629">
        <v>4</v>
      </c>
      <c r="E180" s="629">
        <v>4</v>
      </c>
      <c r="F180" s="629">
        <v>104196</v>
      </c>
      <c r="G180" s="629">
        <v>98567</v>
      </c>
      <c r="H180" s="516">
        <f t="shared" si="33"/>
        <v>104200</v>
      </c>
      <c r="I180" s="516">
        <f t="shared" si="33"/>
        <v>98571</v>
      </c>
    </row>
    <row r="181" spans="1:9" s="511" customFormat="1" ht="15.75">
      <c r="A181" s="628">
        <v>44896</v>
      </c>
      <c r="B181" s="629">
        <v>0</v>
      </c>
      <c r="C181" s="629">
        <v>0</v>
      </c>
      <c r="D181" s="629">
        <v>5</v>
      </c>
      <c r="E181" s="629">
        <v>5</v>
      </c>
      <c r="F181" s="629">
        <v>104140</v>
      </c>
      <c r="G181" s="629">
        <v>94288</v>
      </c>
      <c r="H181" s="516">
        <f t="shared" si="33"/>
        <v>104145</v>
      </c>
      <c r="I181" s="516">
        <f t="shared" si="33"/>
        <v>94293</v>
      </c>
    </row>
    <row r="182" spans="1:9" s="511" customFormat="1" ht="15.75">
      <c r="A182" s="628">
        <v>44927</v>
      </c>
      <c r="B182" s="629">
        <v>0</v>
      </c>
      <c r="C182" s="629">
        <v>0</v>
      </c>
      <c r="D182" s="629">
        <v>6</v>
      </c>
      <c r="E182" s="629">
        <v>6</v>
      </c>
      <c r="F182" s="629">
        <v>104390</v>
      </c>
      <c r="G182" s="629">
        <v>94985</v>
      </c>
      <c r="H182" s="516">
        <f t="shared" si="33"/>
        <v>104396</v>
      </c>
      <c r="I182" s="516">
        <f t="shared" si="33"/>
        <v>94991</v>
      </c>
    </row>
    <row r="183" spans="1:9" s="511" customFormat="1" ht="15.75">
      <c r="A183" s="628">
        <v>44958</v>
      </c>
      <c r="B183" s="629">
        <v>0</v>
      </c>
      <c r="C183" s="629">
        <v>0</v>
      </c>
      <c r="D183" s="629">
        <v>6</v>
      </c>
      <c r="E183" s="629">
        <v>6</v>
      </c>
      <c r="F183" s="629">
        <v>100907</v>
      </c>
      <c r="G183" s="629">
        <v>94181</v>
      </c>
      <c r="H183" s="516">
        <f t="shared" si="33"/>
        <v>100913</v>
      </c>
      <c r="I183" s="516">
        <f t="shared" si="33"/>
        <v>94187</v>
      </c>
    </row>
    <row r="184" spans="1:9" s="511" customFormat="1" ht="15.75">
      <c r="A184" s="628">
        <v>44986</v>
      </c>
      <c r="B184" s="629">
        <v>0</v>
      </c>
      <c r="C184" s="629">
        <v>0</v>
      </c>
      <c r="D184" s="629">
        <v>6</v>
      </c>
      <c r="E184" s="629">
        <v>6</v>
      </c>
      <c r="F184" s="629">
        <v>100316</v>
      </c>
      <c r="G184" s="629">
        <v>94630</v>
      </c>
      <c r="H184" s="516">
        <f t="shared" si="33"/>
        <v>100322</v>
      </c>
      <c r="I184" s="516">
        <f t="shared" si="33"/>
        <v>94636</v>
      </c>
    </row>
    <row r="185" spans="1:9" s="564" customFormat="1" ht="15.75">
      <c r="A185" s="516" t="s">
        <v>274</v>
      </c>
      <c r="B185" s="516">
        <f t="shared" ref="B185:F185" si="34">SUM(B173:B184)</f>
        <v>0</v>
      </c>
      <c r="C185" s="516">
        <f t="shared" si="34"/>
        <v>0</v>
      </c>
      <c r="D185" s="516">
        <f t="shared" si="34"/>
        <v>47</v>
      </c>
      <c r="E185" s="516">
        <f t="shared" si="34"/>
        <v>47</v>
      </c>
      <c r="F185" s="516">
        <f t="shared" si="34"/>
        <v>1210790</v>
      </c>
      <c r="G185" s="516">
        <f t="shared" ref="G185:I185" si="35">SUM(G173:G184)</f>
        <v>1113233</v>
      </c>
      <c r="H185" s="516">
        <f t="shared" si="35"/>
        <v>1210837</v>
      </c>
      <c r="I185" s="516">
        <f t="shared" si="35"/>
        <v>1113280</v>
      </c>
    </row>
    <row r="186" spans="1:9" s="511" customFormat="1" ht="15.75">
      <c r="A186" s="515"/>
      <c r="B186" s="515"/>
      <c r="C186" s="515"/>
      <c r="D186" s="515"/>
      <c r="E186" s="515"/>
      <c r="F186" s="515"/>
      <c r="G186" s="515"/>
      <c r="H186" s="516"/>
      <c r="I186" s="516"/>
    </row>
    <row r="187" spans="1:9" s="511" customFormat="1" ht="15.75">
      <c r="A187" s="589" t="s">
        <v>3932</v>
      </c>
      <c r="B187" s="588"/>
      <c r="C187" s="587"/>
      <c r="D187" s="514"/>
      <c r="E187" s="514"/>
      <c r="F187" s="514"/>
      <c r="G187" s="514"/>
      <c r="H187" s="512"/>
      <c r="I187" s="512"/>
    </row>
    <row r="188" spans="1:9" s="511" customFormat="1" ht="15.75">
      <c r="A188" s="628">
        <v>44652</v>
      </c>
      <c r="B188" s="629">
        <v>1</v>
      </c>
      <c r="C188" s="629">
        <v>1</v>
      </c>
      <c r="D188" s="629">
        <v>38</v>
      </c>
      <c r="E188" s="629">
        <v>38</v>
      </c>
      <c r="F188" s="629">
        <v>112120</v>
      </c>
      <c r="G188" s="629">
        <v>89317</v>
      </c>
      <c r="H188" s="516">
        <f t="shared" ref="H188:I199" si="36">+B188+D188+F188</f>
        <v>112159</v>
      </c>
      <c r="I188" s="516">
        <f t="shared" si="36"/>
        <v>89356</v>
      </c>
    </row>
    <row r="189" spans="1:9" s="511" customFormat="1" ht="15.75">
      <c r="A189" s="628">
        <v>44682</v>
      </c>
      <c r="B189" s="629">
        <v>1</v>
      </c>
      <c r="C189" s="629">
        <v>1</v>
      </c>
      <c r="D189" s="629">
        <v>38</v>
      </c>
      <c r="E189" s="629">
        <v>38</v>
      </c>
      <c r="F189" s="629">
        <v>113925</v>
      </c>
      <c r="G189" s="629">
        <v>100566</v>
      </c>
      <c r="H189" s="516">
        <f t="shared" si="36"/>
        <v>113964</v>
      </c>
      <c r="I189" s="516">
        <f t="shared" si="36"/>
        <v>100605</v>
      </c>
    </row>
    <row r="190" spans="1:9" s="511" customFormat="1" ht="15.75">
      <c r="A190" s="628">
        <v>44713</v>
      </c>
      <c r="B190" s="629">
        <v>1</v>
      </c>
      <c r="C190" s="629">
        <v>1</v>
      </c>
      <c r="D190" s="629">
        <v>38</v>
      </c>
      <c r="E190" s="629">
        <v>38</v>
      </c>
      <c r="F190" s="629">
        <v>114979</v>
      </c>
      <c r="G190" s="629">
        <v>102737</v>
      </c>
      <c r="H190" s="516">
        <f t="shared" si="36"/>
        <v>115018</v>
      </c>
      <c r="I190" s="516">
        <f t="shared" si="36"/>
        <v>102776</v>
      </c>
    </row>
    <row r="191" spans="1:9" s="511" customFormat="1" ht="15.75">
      <c r="A191" s="628">
        <v>44743</v>
      </c>
      <c r="B191" s="629">
        <v>1</v>
      </c>
      <c r="C191" s="629">
        <v>1</v>
      </c>
      <c r="D191" s="629">
        <v>41</v>
      </c>
      <c r="E191" s="629">
        <v>41</v>
      </c>
      <c r="F191" s="629">
        <v>115427</v>
      </c>
      <c r="G191" s="629">
        <v>105645</v>
      </c>
      <c r="H191" s="516">
        <f t="shared" si="36"/>
        <v>115469</v>
      </c>
      <c r="I191" s="516">
        <f t="shared" si="36"/>
        <v>105687</v>
      </c>
    </row>
    <row r="192" spans="1:9" s="511" customFormat="1" ht="15.75">
      <c r="A192" s="628">
        <v>44774</v>
      </c>
      <c r="B192" s="629">
        <v>1</v>
      </c>
      <c r="C192" s="629">
        <v>1</v>
      </c>
      <c r="D192" s="629">
        <v>41</v>
      </c>
      <c r="E192" s="629">
        <v>41</v>
      </c>
      <c r="F192" s="629">
        <v>115079</v>
      </c>
      <c r="G192" s="629">
        <v>110164</v>
      </c>
      <c r="H192" s="516">
        <f t="shared" si="36"/>
        <v>115121</v>
      </c>
      <c r="I192" s="516">
        <f t="shared" si="36"/>
        <v>110206</v>
      </c>
    </row>
    <row r="193" spans="1:9" s="511" customFormat="1" ht="15.75">
      <c r="A193" s="628">
        <v>44805</v>
      </c>
      <c r="B193" s="629">
        <v>1</v>
      </c>
      <c r="C193" s="629">
        <v>1</v>
      </c>
      <c r="D193" s="629">
        <v>41</v>
      </c>
      <c r="E193" s="629">
        <v>41</v>
      </c>
      <c r="F193" s="629">
        <v>115302</v>
      </c>
      <c r="G193" s="629">
        <v>112166</v>
      </c>
      <c r="H193" s="516">
        <f t="shared" si="36"/>
        <v>115344</v>
      </c>
      <c r="I193" s="516">
        <f t="shared" si="36"/>
        <v>112208</v>
      </c>
    </row>
    <row r="194" spans="1:9" s="511" customFormat="1" ht="15.75">
      <c r="A194" s="628">
        <v>44835</v>
      </c>
      <c r="B194" s="629">
        <v>1</v>
      </c>
      <c r="C194" s="629">
        <v>1</v>
      </c>
      <c r="D194" s="629">
        <v>41</v>
      </c>
      <c r="E194" s="629">
        <v>41</v>
      </c>
      <c r="F194" s="629">
        <v>119594</v>
      </c>
      <c r="G194" s="629">
        <v>114311</v>
      </c>
      <c r="H194" s="516">
        <f t="shared" si="36"/>
        <v>119636</v>
      </c>
      <c r="I194" s="516">
        <f t="shared" si="36"/>
        <v>114353</v>
      </c>
    </row>
    <row r="195" spans="1:9" s="511" customFormat="1" ht="15.75">
      <c r="A195" s="628">
        <v>44866</v>
      </c>
      <c r="B195" s="629">
        <v>1</v>
      </c>
      <c r="C195" s="629">
        <v>1</v>
      </c>
      <c r="D195" s="629">
        <v>43</v>
      </c>
      <c r="E195" s="629">
        <v>43</v>
      </c>
      <c r="F195" s="629">
        <v>119672</v>
      </c>
      <c r="G195" s="629">
        <v>111707</v>
      </c>
      <c r="H195" s="516">
        <f t="shared" si="36"/>
        <v>119716</v>
      </c>
      <c r="I195" s="516">
        <f t="shared" si="36"/>
        <v>111751</v>
      </c>
    </row>
    <row r="196" spans="1:9" s="511" customFormat="1" ht="15.75">
      <c r="A196" s="628">
        <v>44896</v>
      </c>
      <c r="B196" s="629">
        <v>1</v>
      </c>
      <c r="C196" s="629">
        <v>1</v>
      </c>
      <c r="D196" s="629">
        <v>43</v>
      </c>
      <c r="E196" s="629">
        <v>43</v>
      </c>
      <c r="F196" s="629">
        <v>118833</v>
      </c>
      <c r="G196" s="629">
        <v>109850</v>
      </c>
      <c r="H196" s="516">
        <f t="shared" si="36"/>
        <v>118877</v>
      </c>
      <c r="I196" s="516">
        <f t="shared" si="36"/>
        <v>109894</v>
      </c>
    </row>
    <row r="197" spans="1:9" s="511" customFormat="1" ht="15.75">
      <c r="A197" s="628">
        <v>44927</v>
      </c>
      <c r="B197" s="629">
        <v>1</v>
      </c>
      <c r="C197" s="629">
        <v>1</v>
      </c>
      <c r="D197" s="629">
        <v>42</v>
      </c>
      <c r="E197" s="629">
        <v>42</v>
      </c>
      <c r="F197" s="629">
        <v>119352</v>
      </c>
      <c r="G197" s="629">
        <v>109494</v>
      </c>
      <c r="H197" s="516">
        <f t="shared" si="36"/>
        <v>119395</v>
      </c>
      <c r="I197" s="516">
        <f t="shared" si="36"/>
        <v>109537</v>
      </c>
    </row>
    <row r="198" spans="1:9" s="511" customFormat="1" ht="15.75">
      <c r="A198" s="628">
        <v>44958</v>
      </c>
      <c r="B198" s="629">
        <v>1</v>
      </c>
      <c r="C198" s="629">
        <v>1</v>
      </c>
      <c r="D198" s="629">
        <v>43</v>
      </c>
      <c r="E198" s="629">
        <v>43</v>
      </c>
      <c r="F198" s="629">
        <v>114064</v>
      </c>
      <c r="G198" s="629">
        <v>108906</v>
      </c>
      <c r="H198" s="516">
        <f t="shared" si="36"/>
        <v>114108</v>
      </c>
      <c r="I198" s="516">
        <f t="shared" si="36"/>
        <v>108950</v>
      </c>
    </row>
    <row r="199" spans="1:9" s="511" customFormat="1" ht="15.75">
      <c r="A199" s="628">
        <v>44986</v>
      </c>
      <c r="B199" s="629">
        <v>1</v>
      </c>
      <c r="C199" s="629">
        <v>1</v>
      </c>
      <c r="D199" s="629">
        <v>43</v>
      </c>
      <c r="E199" s="629">
        <v>43</v>
      </c>
      <c r="F199" s="629">
        <v>113767</v>
      </c>
      <c r="G199" s="629">
        <v>108002</v>
      </c>
      <c r="H199" s="516">
        <f t="shared" si="36"/>
        <v>113811</v>
      </c>
      <c r="I199" s="516">
        <f t="shared" si="36"/>
        <v>108046</v>
      </c>
    </row>
    <row r="200" spans="1:9" s="564" customFormat="1" ht="15.75">
      <c r="A200" s="516" t="s">
        <v>274</v>
      </c>
      <c r="B200" s="516">
        <f t="shared" ref="B200:F200" si="37">SUM(B188:B199)</f>
        <v>12</v>
      </c>
      <c r="C200" s="516">
        <f t="shared" si="37"/>
        <v>12</v>
      </c>
      <c r="D200" s="516">
        <f t="shared" si="37"/>
        <v>492</v>
      </c>
      <c r="E200" s="516">
        <f t="shared" si="37"/>
        <v>492</v>
      </c>
      <c r="F200" s="516">
        <f t="shared" si="37"/>
        <v>1392114</v>
      </c>
      <c r="G200" s="516">
        <f t="shared" ref="G200:I200" si="38">SUM(G188:G199)</f>
        <v>1282865</v>
      </c>
      <c r="H200" s="516">
        <f t="shared" si="38"/>
        <v>1392618</v>
      </c>
      <c r="I200" s="516">
        <f t="shared" si="38"/>
        <v>1283369</v>
      </c>
    </row>
    <row r="201" spans="1:9" s="511" customFormat="1" ht="15.75">
      <c r="A201" s="515"/>
      <c r="B201" s="515"/>
      <c r="C201" s="515"/>
      <c r="D201" s="515"/>
      <c r="E201" s="515"/>
      <c r="F201" s="515"/>
      <c r="G201" s="515"/>
      <c r="H201" s="516"/>
      <c r="I201" s="516"/>
    </row>
    <row r="202" spans="1:9" s="511" customFormat="1" ht="15.75">
      <c r="A202" s="589" t="s">
        <v>3933</v>
      </c>
      <c r="B202" s="588"/>
      <c r="C202" s="587"/>
      <c r="D202" s="514"/>
      <c r="E202" s="514"/>
      <c r="F202" s="514"/>
      <c r="G202" s="514"/>
      <c r="H202" s="512"/>
      <c r="I202" s="512"/>
    </row>
    <row r="203" spans="1:9" s="511" customFormat="1" ht="15.75">
      <c r="A203" s="628">
        <v>44652</v>
      </c>
      <c r="B203" s="629">
        <v>2</v>
      </c>
      <c r="C203" s="629">
        <v>2</v>
      </c>
      <c r="D203" s="629">
        <v>39</v>
      </c>
      <c r="E203" s="629">
        <v>39</v>
      </c>
      <c r="F203" s="629">
        <v>118182</v>
      </c>
      <c r="G203" s="629">
        <v>82602</v>
      </c>
      <c r="H203" s="516">
        <f t="shared" ref="H203:I214" si="39">+B203+D203+F203</f>
        <v>118223</v>
      </c>
      <c r="I203" s="516">
        <f t="shared" si="39"/>
        <v>82643</v>
      </c>
    </row>
    <row r="204" spans="1:9" s="511" customFormat="1" ht="15.75">
      <c r="A204" s="628">
        <v>44682</v>
      </c>
      <c r="B204" s="629">
        <v>2</v>
      </c>
      <c r="C204" s="629">
        <v>2</v>
      </c>
      <c r="D204" s="629">
        <v>40</v>
      </c>
      <c r="E204" s="629">
        <v>40</v>
      </c>
      <c r="F204" s="629">
        <v>118886</v>
      </c>
      <c r="G204" s="629">
        <v>94732</v>
      </c>
      <c r="H204" s="516">
        <f t="shared" si="39"/>
        <v>118928</v>
      </c>
      <c r="I204" s="516">
        <f t="shared" si="39"/>
        <v>94774</v>
      </c>
    </row>
    <row r="205" spans="1:9" s="511" customFormat="1" ht="15.75">
      <c r="A205" s="628">
        <v>44713</v>
      </c>
      <c r="B205" s="629">
        <v>2</v>
      </c>
      <c r="C205" s="629">
        <v>2</v>
      </c>
      <c r="D205" s="629">
        <v>40</v>
      </c>
      <c r="E205" s="629">
        <v>40</v>
      </c>
      <c r="F205" s="629">
        <v>119497</v>
      </c>
      <c r="G205" s="629">
        <v>97700</v>
      </c>
      <c r="H205" s="516">
        <f t="shared" si="39"/>
        <v>119539</v>
      </c>
      <c r="I205" s="516">
        <f t="shared" si="39"/>
        <v>97742</v>
      </c>
    </row>
    <row r="206" spans="1:9" s="511" customFormat="1" ht="15.75">
      <c r="A206" s="628">
        <v>44743</v>
      </c>
      <c r="B206" s="629">
        <v>2</v>
      </c>
      <c r="C206" s="629">
        <v>2</v>
      </c>
      <c r="D206" s="629">
        <v>41</v>
      </c>
      <c r="E206" s="629">
        <v>41</v>
      </c>
      <c r="F206" s="629">
        <v>125231</v>
      </c>
      <c r="G206" s="629">
        <v>107500</v>
      </c>
      <c r="H206" s="516">
        <f t="shared" si="39"/>
        <v>125274</v>
      </c>
      <c r="I206" s="516">
        <f t="shared" si="39"/>
        <v>107543</v>
      </c>
    </row>
    <row r="207" spans="1:9" s="511" customFormat="1" ht="15.75">
      <c r="A207" s="628">
        <v>44774</v>
      </c>
      <c r="B207" s="629">
        <v>2</v>
      </c>
      <c r="C207" s="629">
        <v>2</v>
      </c>
      <c r="D207" s="629">
        <v>41</v>
      </c>
      <c r="E207" s="629">
        <v>41</v>
      </c>
      <c r="F207" s="629">
        <v>121452</v>
      </c>
      <c r="G207" s="629">
        <v>104744</v>
      </c>
      <c r="H207" s="516">
        <f t="shared" si="39"/>
        <v>121495</v>
      </c>
      <c r="I207" s="516">
        <f t="shared" si="39"/>
        <v>104787</v>
      </c>
    </row>
    <row r="208" spans="1:9" s="511" customFormat="1" ht="15.75">
      <c r="A208" s="628">
        <v>44805</v>
      </c>
      <c r="B208" s="629">
        <v>2</v>
      </c>
      <c r="C208" s="629">
        <v>2</v>
      </c>
      <c r="D208" s="629">
        <v>41</v>
      </c>
      <c r="E208" s="629">
        <v>41</v>
      </c>
      <c r="F208" s="629">
        <v>124283</v>
      </c>
      <c r="G208" s="629">
        <v>105577</v>
      </c>
      <c r="H208" s="516">
        <f t="shared" si="39"/>
        <v>124326</v>
      </c>
      <c r="I208" s="516">
        <f t="shared" si="39"/>
        <v>105620</v>
      </c>
    </row>
    <row r="209" spans="1:9" s="511" customFormat="1" ht="15.75">
      <c r="A209" s="628">
        <v>44835</v>
      </c>
      <c r="B209" s="629">
        <v>2</v>
      </c>
      <c r="C209" s="629">
        <v>2</v>
      </c>
      <c r="D209" s="629">
        <v>42</v>
      </c>
      <c r="E209" s="629">
        <v>42</v>
      </c>
      <c r="F209" s="629">
        <v>124627</v>
      </c>
      <c r="G209" s="629">
        <v>105246</v>
      </c>
      <c r="H209" s="516">
        <f t="shared" si="39"/>
        <v>124671</v>
      </c>
      <c r="I209" s="516">
        <f t="shared" si="39"/>
        <v>105290</v>
      </c>
    </row>
    <row r="210" spans="1:9" s="511" customFormat="1" ht="15.75">
      <c r="A210" s="628">
        <v>44866</v>
      </c>
      <c r="B210" s="629">
        <v>2</v>
      </c>
      <c r="C210" s="629">
        <v>2</v>
      </c>
      <c r="D210" s="629">
        <v>42</v>
      </c>
      <c r="E210" s="629">
        <v>42</v>
      </c>
      <c r="F210" s="629">
        <v>123446</v>
      </c>
      <c r="G210" s="629">
        <v>106610</v>
      </c>
      <c r="H210" s="516">
        <f t="shared" si="39"/>
        <v>123490</v>
      </c>
      <c r="I210" s="516">
        <f t="shared" si="39"/>
        <v>106654</v>
      </c>
    </row>
    <row r="211" spans="1:9" s="511" customFormat="1" ht="15.75">
      <c r="A211" s="628">
        <v>44896</v>
      </c>
      <c r="B211" s="629">
        <v>2</v>
      </c>
      <c r="C211" s="629">
        <v>2</v>
      </c>
      <c r="D211" s="629">
        <v>42</v>
      </c>
      <c r="E211" s="629">
        <v>42</v>
      </c>
      <c r="F211" s="629">
        <v>122039</v>
      </c>
      <c r="G211" s="629">
        <v>115130</v>
      </c>
      <c r="H211" s="516">
        <f t="shared" si="39"/>
        <v>122083</v>
      </c>
      <c r="I211" s="516">
        <f t="shared" si="39"/>
        <v>115174</v>
      </c>
    </row>
    <row r="212" spans="1:9" s="511" customFormat="1" ht="15.75">
      <c r="A212" s="628">
        <v>44927</v>
      </c>
      <c r="B212" s="629">
        <v>2</v>
      </c>
      <c r="C212" s="629">
        <v>2</v>
      </c>
      <c r="D212" s="629">
        <v>43</v>
      </c>
      <c r="E212" s="629">
        <v>43</v>
      </c>
      <c r="F212" s="629">
        <v>119400</v>
      </c>
      <c r="G212" s="629">
        <v>110063</v>
      </c>
      <c r="H212" s="516">
        <f t="shared" si="39"/>
        <v>119445</v>
      </c>
      <c r="I212" s="516">
        <f t="shared" si="39"/>
        <v>110108</v>
      </c>
    </row>
    <row r="213" spans="1:9" s="511" customFormat="1" ht="15.75">
      <c r="A213" s="628">
        <v>44958</v>
      </c>
      <c r="B213" s="629">
        <v>2</v>
      </c>
      <c r="C213" s="629">
        <v>2</v>
      </c>
      <c r="D213" s="629">
        <v>44</v>
      </c>
      <c r="E213" s="629">
        <v>44</v>
      </c>
      <c r="F213" s="629">
        <v>120295</v>
      </c>
      <c r="G213" s="629">
        <v>109083</v>
      </c>
      <c r="H213" s="516">
        <f t="shared" si="39"/>
        <v>120341</v>
      </c>
      <c r="I213" s="516">
        <f t="shared" si="39"/>
        <v>109129</v>
      </c>
    </row>
    <row r="214" spans="1:9" s="511" customFormat="1" ht="15.75">
      <c r="A214" s="628">
        <v>44986</v>
      </c>
      <c r="B214" s="629">
        <v>2</v>
      </c>
      <c r="C214" s="629">
        <v>2</v>
      </c>
      <c r="D214" s="629">
        <v>44</v>
      </c>
      <c r="E214" s="629">
        <v>44</v>
      </c>
      <c r="F214" s="629">
        <v>120303</v>
      </c>
      <c r="G214" s="629">
        <v>111279</v>
      </c>
      <c r="H214" s="516">
        <f t="shared" si="39"/>
        <v>120349</v>
      </c>
      <c r="I214" s="516">
        <f t="shared" si="39"/>
        <v>111325</v>
      </c>
    </row>
    <row r="215" spans="1:9" s="564" customFormat="1" ht="15.75">
      <c r="A215" s="516" t="s">
        <v>274</v>
      </c>
      <c r="B215" s="516">
        <f t="shared" ref="B215:F215" si="40">SUM(B203:B214)</f>
        <v>24</v>
      </c>
      <c r="C215" s="516">
        <f t="shared" si="40"/>
        <v>24</v>
      </c>
      <c r="D215" s="516">
        <f t="shared" si="40"/>
        <v>499</v>
      </c>
      <c r="E215" s="516">
        <f t="shared" si="40"/>
        <v>499</v>
      </c>
      <c r="F215" s="516">
        <f t="shared" si="40"/>
        <v>1457641</v>
      </c>
      <c r="G215" s="516">
        <f t="shared" ref="G215:I215" si="41">SUM(G203:G214)</f>
        <v>1250266</v>
      </c>
      <c r="H215" s="516">
        <f t="shared" si="41"/>
        <v>1458164</v>
      </c>
      <c r="I215" s="516">
        <f t="shared" si="41"/>
        <v>1250789</v>
      </c>
    </row>
    <row r="216" spans="1:9" s="511" customFormat="1" ht="15.75">
      <c r="A216" s="515"/>
      <c r="B216" s="515"/>
      <c r="C216" s="515"/>
      <c r="D216" s="515"/>
      <c r="E216" s="515"/>
      <c r="F216" s="515"/>
      <c r="G216" s="515"/>
      <c r="H216" s="516"/>
      <c r="I216" s="516"/>
    </row>
    <row r="217" spans="1:9" s="511" customFormat="1" ht="15.75">
      <c r="A217" s="589" t="s">
        <v>3934</v>
      </c>
      <c r="B217" s="588"/>
      <c r="C217" s="587"/>
      <c r="D217" s="514"/>
      <c r="E217" s="514"/>
      <c r="F217" s="514"/>
      <c r="G217" s="514"/>
      <c r="H217" s="512"/>
      <c r="I217" s="512"/>
    </row>
    <row r="218" spans="1:9" s="511" customFormat="1" ht="15.75">
      <c r="A218" s="628">
        <v>44652</v>
      </c>
      <c r="B218" s="629">
        <v>13</v>
      </c>
      <c r="C218" s="629">
        <v>13</v>
      </c>
      <c r="D218" s="629">
        <v>75</v>
      </c>
      <c r="E218" s="629">
        <v>75</v>
      </c>
      <c r="F218" s="629">
        <v>88223</v>
      </c>
      <c r="G218" s="629">
        <v>64203</v>
      </c>
      <c r="H218" s="516">
        <f t="shared" ref="H218:I229" si="42">+B218+D218+F218</f>
        <v>88311</v>
      </c>
      <c r="I218" s="516">
        <f t="shared" si="42"/>
        <v>64291</v>
      </c>
    </row>
    <row r="219" spans="1:9" s="511" customFormat="1" ht="15.75">
      <c r="A219" s="628">
        <v>44682</v>
      </c>
      <c r="B219" s="629">
        <v>13</v>
      </c>
      <c r="C219" s="629">
        <v>13</v>
      </c>
      <c r="D219" s="629">
        <v>76</v>
      </c>
      <c r="E219" s="629">
        <v>76</v>
      </c>
      <c r="F219" s="629">
        <v>89728</v>
      </c>
      <c r="G219" s="629">
        <v>73678</v>
      </c>
      <c r="H219" s="516">
        <f t="shared" si="42"/>
        <v>89817</v>
      </c>
      <c r="I219" s="516">
        <f t="shared" si="42"/>
        <v>73767</v>
      </c>
    </row>
    <row r="220" spans="1:9" s="511" customFormat="1" ht="15.75">
      <c r="A220" s="628">
        <v>44713</v>
      </c>
      <c r="B220" s="629">
        <v>13</v>
      </c>
      <c r="C220" s="629">
        <v>13</v>
      </c>
      <c r="D220" s="629">
        <v>77</v>
      </c>
      <c r="E220" s="629">
        <v>77</v>
      </c>
      <c r="F220" s="629">
        <v>89908</v>
      </c>
      <c r="G220" s="629">
        <v>69239</v>
      </c>
      <c r="H220" s="516">
        <f t="shared" si="42"/>
        <v>89998</v>
      </c>
      <c r="I220" s="516">
        <f t="shared" si="42"/>
        <v>69329</v>
      </c>
    </row>
    <row r="221" spans="1:9" s="511" customFormat="1" ht="15.75">
      <c r="A221" s="628">
        <v>44743</v>
      </c>
      <c r="B221" s="629">
        <v>13</v>
      </c>
      <c r="C221" s="629">
        <v>13</v>
      </c>
      <c r="D221" s="629">
        <v>77</v>
      </c>
      <c r="E221" s="629">
        <v>77</v>
      </c>
      <c r="F221" s="629">
        <v>94709</v>
      </c>
      <c r="G221" s="629">
        <v>77542</v>
      </c>
      <c r="H221" s="516">
        <f t="shared" si="42"/>
        <v>94799</v>
      </c>
      <c r="I221" s="516">
        <f t="shared" si="42"/>
        <v>77632</v>
      </c>
    </row>
    <row r="222" spans="1:9" s="511" customFormat="1" ht="15.75">
      <c r="A222" s="628">
        <v>44774</v>
      </c>
      <c r="B222" s="629">
        <v>13</v>
      </c>
      <c r="C222" s="629">
        <v>13</v>
      </c>
      <c r="D222" s="629">
        <v>77</v>
      </c>
      <c r="E222" s="629">
        <v>77</v>
      </c>
      <c r="F222" s="629">
        <v>90899</v>
      </c>
      <c r="G222" s="629">
        <v>78811</v>
      </c>
      <c r="H222" s="516">
        <f t="shared" si="42"/>
        <v>90989</v>
      </c>
      <c r="I222" s="516">
        <f t="shared" si="42"/>
        <v>78901</v>
      </c>
    </row>
    <row r="223" spans="1:9" s="511" customFormat="1" ht="15.75">
      <c r="A223" s="628">
        <v>44805</v>
      </c>
      <c r="B223" s="629">
        <v>13</v>
      </c>
      <c r="C223" s="629">
        <v>13</v>
      </c>
      <c r="D223" s="629">
        <v>78</v>
      </c>
      <c r="E223" s="629">
        <v>78</v>
      </c>
      <c r="F223" s="629">
        <v>95715</v>
      </c>
      <c r="G223" s="629">
        <v>81380</v>
      </c>
      <c r="H223" s="516">
        <f t="shared" si="42"/>
        <v>95806</v>
      </c>
      <c r="I223" s="516">
        <f t="shared" si="42"/>
        <v>81471</v>
      </c>
    </row>
    <row r="224" spans="1:9" s="511" customFormat="1" ht="15.75">
      <c r="A224" s="628">
        <v>44835</v>
      </c>
      <c r="B224" s="629">
        <v>13</v>
      </c>
      <c r="C224" s="629">
        <v>13</v>
      </c>
      <c r="D224" s="629">
        <v>78</v>
      </c>
      <c r="E224" s="629">
        <v>78</v>
      </c>
      <c r="F224" s="629">
        <v>96295</v>
      </c>
      <c r="G224" s="629">
        <v>82681</v>
      </c>
      <c r="H224" s="516">
        <f t="shared" si="42"/>
        <v>96386</v>
      </c>
      <c r="I224" s="516">
        <f t="shared" si="42"/>
        <v>82772</v>
      </c>
    </row>
    <row r="225" spans="1:9" s="511" customFormat="1" ht="15.75">
      <c r="A225" s="628">
        <v>44866</v>
      </c>
      <c r="B225" s="629">
        <v>13</v>
      </c>
      <c r="C225" s="629">
        <v>13</v>
      </c>
      <c r="D225" s="629">
        <v>78</v>
      </c>
      <c r="E225" s="629">
        <v>78</v>
      </c>
      <c r="F225" s="629">
        <v>96429</v>
      </c>
      <c r="G225" s="629">
        <v>85369</v>
      </c>
      <c r="H225" s="516">
        <f t="shared" si="42"/>
        <v>96520</v>
      </c>
      <c r="I225" s="516">
        <f t="shared" si="42"/>
        <v>85460</v>
      </c>
    </row>
    <row r="226" spans="1:9" s="511" customFormat="1" ht="15.75">
      <c r="A226" s="628">
        <v>44896</v>
      </c>
      <c r="B226" s="629">
        <v>13</v>
      </c>
      <c r="C226" s="629">
        <v>13</v>
      </c>
      <c r="D226" s="629">
        <v>78</v>
      </c>
      <c r="E226" s="629">
        <v>78</v>
      </c>
      <c r="F226" s="629">
        <v>96935</v>
      </c>
      <c r="G226" s="629">
        <v>86382</v>
      </c>
      <c r="H226" s="516">
        <f t="shared" si="42"/>
        <v>97026</v>
      </c>
      <c r="I226" s="516">
        <f t="shared" si="42"/>
        <v>86473</v>
      </c>
    </row>
    <row r="227" spans="1:9" s="511" customFormat="1" ht="15.75">
      <c r="A227" s="628">
        <v>44927</v>
      </c>
      <c r="B227" s="629">
        <v>13</v>
      </c>
      <c r="C227" s="629">
        <v>13</v>
      </c>
      <c r="D227" s="629">
        <v>80</v>
      </c>
      <c r="E227" s="629">
        <v>80</v>
      </c>
      <c r="F227" s="629">
        <v>96539</v>
      </c>
      <c r="G227" s="629">
        <v>85440</v>
      </c>
      <c r="H227" s="516">
        <f t="shared" si="42"/>
        <v>96632</v>
      </c>
      <c r="I227" s="516">
        <f t="shared" si="42"/>
        <v>85533</v>
      </c>
    </row>
    <row r="228" spans="1:9" s="511" customFormat="1" ht="15.75">
      <c r="A228" s="628">
        <v>44958</v>
      </c>
      <c r="B228" s="629">
        <v>13</v>
      </c>
      <c r="C228" s="629">
        <v>13</v>
      </c>
      <c r="D228" s="629">
        <v>80</v>
      </c>
      <c r="E228" s="629">
        <v>80</v>
      </c>
      <c r="F228" s="629">
        <v>95484</v>
      </c>
      <c r="G228" s="629">
        <v>84159</v>
      </c>
      <c r="H228" s="516">
        <f t="shared" si="42"/>
        <v>95577</v>
      </c>
      <c r="I228" s="516">
        <f t="shared" si="42"/>
        <v>84252</v>
      </c>
    </row>
    <row r="229" spans="1:9" s="511" customFormat="1" ht="15.75">
      <c r="A229" s="628">
        <v>44986</v>
      </c>
      <c r="B229" s="629">
        <v>13</v>
      </c>
      <c r="C229" s="629">
        <v>13</v>
      </c>
      <c r="D229" s="629">
        <v>81</v>
      </c>
      <c r="E229" s="629">
        <v>81</v>
      </c>
      <c r="F229" s="629">
        <v>95059</v>
      </c>
      <c r="G229" s="629">
        <v>85796</v>
      </c>
      <c r="H229" s="516">
        <f t="shared" si="42"/>
        <v>95153</v>
      </c>
      <c r="I229" s="516">
        <f t="shared" si="42"/>
        <v>85890</v>
      </c>
    </row>
    <row r="230" spans="1:9" s="564" customFormat="1" ht="15.75">
      <c r="A230" s="516" t="s">
        <v>274</v>
      </c>
      <c r="B230" s="516">
        <f t="shared" ref="B230:F230" si="43">SUM(B218:B229)</f>
        <v>156</v>
      </c>
      <c r="C230" s="516">
        <f t="shared" si="43"/>
        <v>156</v>
      </c>
      <c r="D230" s="516">
        <f t="shared" si="43"/>
        <v>935</v>
      </c>
      <c r="E230" s="516">
        <f t="shared" si="43"/>
        <v>935</v>
      </c>
      <c r="F230" s="516">
        <f t="shared" si="43"/>
        <v>1125923</v>
      </c>
      <c r="G230" s="516">
        <f t="shared" ref="G230:I230" si="44">SUM(G218:G229)</f>
        <v>954680</v>
      </c>
      <c r="H230" s="516">
        <f t="shared" si="44"/>
        <v>1127014</v>
      </c>
      <c r="I230" s="516">
        <f t="shared" si="44"/>
        <v>955771</v>
      </c>
    </row>
    <row r="231" spans="1:9" s="511" customFormat="1" ht="15.75">
      <c r="A231" s="515"/>
      <c r="B231" s="515"/>
      <c r="C231" s="515"/>
      <c r="D231" s="515"/>
      <c r="E231" s="515"/>
      <c r="F231" s="515"/>
      <c r="G231" s="515"/>
      <c r="H231" s="516"/>
      <c r="I231" s="516"/>
    </row>
    <row r="232" spans="1:9" s="511" customFormat="1" ht="15.75">
      <c r="A232" s="589" t="s">
        <v>3935</v>
      </c>
      <c r="B232" s="588"/>
      <c r="C232" s="587"/>
      <c r="D232" s="514"/>
      <c r="E232" s="514"/>
      <c r="F232" s="514"/>
      <c r="G232" s="514"/>
      <c r="H232" s="512"/>
      <c r="I232" s="512"/>
    </row>
    <row r="233" spans="1:9" s="511" customFormat="1" ht="15.75">
      <c r="A233" s="628">
        <v>44652</v>
      </c>
      <c r="B233" s="629">
        <v>0</v>
      </c>
      <c r="C233" s="629">
        <v>0</v>
      </c>
      <c r="D233" s="629">
        <v>22</v>
      </c>
      <c r="E233" s="629">
        <v>22</v>
      </c>
      <c r="F233" s="629">
        <v>133019</v>
      </c>
      <c r="G233" s="629">
        <v>100675</v>
      </c>
      <c r="H233" s="516">
        <f t="shared" ref="H233:I244" si="45">+B233+D233+F233</f>
        <v>133041</v>
      </c>
      <c r="I233" s="516">
        <f t="shared" si="45"/>
        <v>100697</v>
      </c>
    </row>
    <row r="234" spans="1:9" s="511" customFormat="1" ht="15.75">
      <c r="A234" s="628">
        <v>44682</v>
      </c>
      <c r="B234" s="629">
        <v>0</v>
      </c>
      <c r="C234" s="629">
        <v>0</v>
      </c>
      <c r="D234" s="629">
        <v>22</v>
      </c>
      <c r="E234" s="629">
        <v>22</v>
      </c>
      <c r="F234" s="629">
        <v>134078</v>
      </c>
      <c r="G234" s="629">
        <v>116264</v>
      </c>
      <c r="H234" s="516">
        <f t="shared" si="45"/>
        <v>134100</v>
      </c>
      <c r="I234" s="516">
        <f t="shared" si="45"/>
        <v>116286</v>
      </c>
    </row>
    <row r="235" spans="1:9" s="511" customFormat="1" ht="15.75">
      <c r="A235" s="628">
        <v>44713</v>
      </c>
      <c r="B235" s="629">
        <v>0</v>
      </c>
      <c r="C235" s="629">
        <v>0</v>
      </c>
      <c r="D235" s="629">
        <v>22</v>
      </c>
      <c r="E235" s="629">
        <v>22</v>
      </c>
      <c r="F235" s="629">
        <v>134817</v>
      </c>
      <c r="G235" s="629">
        <v>116858</v>
      </c>
      <c r="H235" s="516">
        <f t="shared" si="45"/>
        <v>134839</v>
      </c>
      <c r="I235" s="516">
        <f t="shared" si="45"/>
        <v>116880</v>
      </c>
    </row>
    <row r="236" spans="1:9" s="511" customFormat="1" ht="15.75">
      <c r="A236" s="628">
        <v>44743</v>
      </c>
      <c r="B236" s="629">
        <v>0</v>
      </c>
      <c r="C236" s="629">
        <v>0</v>
      </c>
      <c r="D236" s="629">
        <v>23</v>
      </c>
      <c r="E236" s="629">
        <v>23</v>
      </c>
      <c r="F236" s="629">
        <v>141743</v>
      </c>
      <c r="G236" s="629">
        <v>121997</v>
      </c>
      <c r="H236" s="516">
        <f t="shared" si="45"/>
        <v>141766</v>
      </c>
      <c r="I236" s="516">
        <f t="shared" si="45"/>
        <v>122020</v>
      </c>
    </row>
    <row r="237" spans="1:9" s="511" customFormat="1" ht="15.75">
      <c r="A237" s="628">
        <v>44774</v>
      </c>
      <c r="B237" s="629">
        <v>0</v>
      </c>
      <c r="C237" s="629">
        <v>0</v>
      </c>
      <c r="D237" s="629">
        <v>23</v>
      </c>
      <c r="E237" s="629">
        <v>23</v>
      </c>
      <c r="F237" s="629">
        <v>135329</v>
      </c>
      <c r="G237" s="629">
        <v>119806</v>
      </c>
      <c r="H237" s="516">
        <f t="shared" si="45"/>
        <v>135352</v>
      </c>
      <c r="I237" s="516">
        <f t="shared" si="45"/>
        <v>119829</v>
      </c>
    </row>
    <row r="238" spans="1:9" s="511" customFormat="1" ht="15.75">
      <c r="A238" s="628">
        <v>44805</v>
      </c>
      <c r="B238" s="629">
        <v>0</v>
      </c>
      <c r="C238" s="629">
        <v>0</v>
      </c>
      <c r="D238" s="629">
        <v>23</v>
      </c>
      <c r="E238" s="629">
        <v>23</v>
      </c>
      <c r="F238" s="629">
        <v>139065</v>
      </c>
      <c r="G238" s="629">
        <v>124671</v>
      </c>
      <c r="H238" s="516">
        <f t="shared" si="45"/>
        <v>139088</v>
      </c>
      <c r="I238" s="516">
        <f t="shared" si="45"/>
        <v>124694</v>
      </c>
    </row>
    <row r="239" spans="1:9" s="511" customFormat="1" ht="15.75">
      <c r="A239" s="628">
        <v>44835</v>
      </c>
      <c r="B239" s="629">
        <v>0</v>
      </c>
      <c r="C239" s="629">
        <v>0</v>
      </c>
      <c r="D239" s="629">
        <v>23</v>
      </c>
      <c r="E239" s="629">
        <v>23</v>
      </c>
      <c r="F239" s="629">
        <v>142904</v>
      </c>
      <c r="G239" s="629">
        <v>125567</v>
      </c>
      <c r="H239" s="516">
        <f t="shared" si="45"/>
        <v>142927</v>
      </c>
      <c r="I239" s="516">
        <f t="shared" si="45"/>
        <v>125590</v>
      </c>
    </row>
    <row r="240" spans="1:9" s="511" customFormat="1" ht="15.75">
      <c r="A240" s="628">
        <v>44866</v>
      </c>
      <c r="B240" s="629">
        <v>0</v>
      </c>
      <c r="C240" s="629">
        <v>0</v>
      </c>
      <c r="D240" s="629">
        <v>23</v>
      </c>
      <c r="E240" s="629">
        <v>23</v>
      </c>
      <c r="F240" s="629">
        <v>143173</v>
      </c>
      <c r="G240" s="629">
        <v>124994</v>
      </c>
      <c r="H240" s="516">
        <f t="shared" si="45"/>
        <v>143196</v>
      </c>
      <c r="I240" s="516">
        <f t="shared" si="45"/>
        <v>125017</v>
      </c>
    </row>
    <row r="241" spans="1:9" s="511" customFormat="1" ht="15.75">
      <c r="A241" s="628">
        <v>44896</v>
      </c>
      <c r="B241" s="629">
        <v>0</v>
      </c>
      <c r="C241" s="629">
        <v>0</v>
      </c>
      <c r="D241" s="629">
        <v>25</v>
      </c>
      <c r="E241" s="629">
        <v>25</v>
      </c>
      <c r="F241" s="629">
        <v>143132</v>
      </c>
      <c r="G241" s="629">
        <v>126708</v>
      </c>
      <c r="H241" s="516">
        <f t="shared" si="45"/>
        <v>143157</v>
      </c>
      <c r="I241" s="516">
        <f t="shared" si="45"/>
        <v>126733</v>
      </c>
    </row>
    <row r="242" spans="1:9" s="511" customFormat="1" ht="15.75">
      <c r="A242" s="628">
        <v>44927</v>
      </c>
      <c r="B242" s="629">
        <v>0</v>
      </c>
      <c r="C242" s="629">
        <v>0</v>
      </c>
      <c r="D242" s="629">
        <v>25</v>
      </c>
      <c r="E242" s="629">
        <v>25</v>
      </c>
      <c r="F242" s="629">
        <v>141205</v>
      </c>
      <c r="G242" s="629">
        <v>124682</v>
      </c>
      <c r="H242" s="516">
        <f t="shared" si="45"/>
        <v>141230</v>
      </c>
      <c r="I242" s="516">
        <f t="shared" si="45"/>
        <v>124707</v>
      </c>
    </row>
    <row r="243" spans="1:9" s="511" customFormat="1" ht="15.75">
      <c r="A243" s="628">
        <v>44958</v>
      </c>
      <c r="B243" s="629">
        <v>0</v>
      </c>
      <c r="C243" s="629">
        <v>0</v>
      </c>
      <c r="D243" s="629">
        <v>25</v>
      </c>
      <c r="E243" s="629">
        <v>25</v>
      </c>
      <c r="F243" s="629">
        <v>139489</v>
      </c>
      <c r="G243" s="629">
        <v>122677</v>
      </c>
      <c r="H243" s="516">
        <f t="shared" si="45"/>
        <v>139514</v>
      </c>
      <c r="I243" s="516">
        <f t="shared" si="45"/>
        <v>122702</v>
      </c>
    </row>
    <row r="244" spans="1:9" s="511" customFormat="1" ht="15.75">
      <c r="A244" s="628">
        <v>44986</v>
      </c>
      <c r="B244" s="629">
        <v>0</v>
      </c>
      <c r="C244" s="629">
        <v>0</v>
      </c>
      <c r="D244" s="629">
        <v>26</v>
      </c>
      <c r="E244" s="629">
        <v>26</v>
      </c>
      <c r="F244" s="629">
        <v>139109</v>
      </c>
      <c r="G244" s="629">
        <v>128091</v>
      </c>
      <c r="H244" s="516">
        <f t="shared" si="45"/>
        <v>139135</v>
      </c>
      <c r="I244" s="516">
        <f t="shared" si="45"/>
        <v>128117</v>
      </c>
    </row>
    <row r="245" spans="1:9" s="564" customFormat="1" ht="15.75">
      <c r="A245" s="516" t="s">
        <v>274</v>
      </c>
      <c r="B245" s="516">
        <f t="shared" ref="B245:F245" si="46">SUM(B233:B244)</f>
        <v>0</v>
      </c>
      <c r="C245" s="516">
        <f t="shared" si="46"/>
        <v>0</v>
      </c>
      <c r="D245" s="516">
        <f t="shared" si="46"/>
        <v>282</v>
      </c>
      <c r="E245" s="516">
        <f t="shared" si="46"/>
        <v>282</v>
      </c>
      <c r="F245" s="516">
        <f t="shared" si="46"/>
        <v>1667063</v>
      </c>
      <c r="G245" s="516">
        <f t="shared" ref="G245:I245" si="47">SUM(G233:G244)</f>
        <v>1452990</v>
      </c>
      <c r="H245" s="516">
        <f t="shared" si="47"/>
        <v>1667345</v>
      </c>
      <c r="I245" s="516">
        <f t="shared" si="47"/>
        <v>1453272</v>
      </c>
    </row>
    <row r="246" spans="1:9" s="511" customFormat="1" ht="15.75">
      <c r="A246" s="515"/>
      <c r="B246" s="515"/>
      <c r="C246" s="515"/>
      <c r="D246" s="515"/>
      <c r="E246" s="515"/>
      <c r="F246" s="515"/>
      <c r="G246" s="515"/>
      <c r="H246" s="516"/>
      <c r="I246" s="516"/>
    </row>
    <row r="247" spans="1:9" s="511" customFormat="1" ht="15.75">
      <c r="A247" s="589" t="s">
        <v>3936</v>
      </c>
      <c r="B247" s="588"/>
      <c r="C247" s="587"/>
      <c r="D247" s="514"/>
      <c r="E247" s="514"/>
      <c r="F247" s="514"/>
      <c r="G247" s="514"/>
      <c r="H247" s="512"/>
      <c r="I247" s="512"/>
    </row>
    <row r="248" spans="1:9" s="511" customFormat="1" ht="15.75">
      <c r="A248" s="628">
        <v>44652</v>
      </c>
      <c r="B248" s="515">
        <f t="shared" ref="B248:G259" si="48">+B8+B23+B38+B53+B68+B83+B98+B113+B128+B143+B158+B173+B188+B203+B218+B233</f>
        <v>37</v>
      </c>
      <c r="C248" s="515">
        <f t="shared" si="48"/>
        <v>37</v>
      </c>
      <c r="D248" s="515">
        <f t="shared" si="48"/>
        <v>622</v>
      </c>
      <c r="E248" s="515">
        <f t="shared" si="48"/>
        <v>622</v>
      </c>
      <c r="F248" s="515">
        <f t="shared" si="48"/>
        <v>1964084</v>
      </c>
      <c r="G248" s="515">
        <f t="shared" si="48"/>
        <v>1488945</v>
      </c>
      <c r="H248" s="516">
        <f t="shared" ref="H248:I259" si="49">+B248+D248+F248</f>
        <v>1964743</v>
      </c>
      <c r="I248" s="516">
        <f t="shared" si="49"/>
        <v>1489604</v>
      </c>
    </row>
    <row r="249" spans="1:9" s="511" customFormat="1" ht="15.75">
      <c r="A249" s="628">
        <v>44682</v>
      </c>
      <c r="B249" s="515">
        <f t="shared" si="48"/>
        <v>37</v>
      </c>
      <c r="C249" s="515">
        <f t="shared" si="48"/>
        <v>37</v>
      </c>
      <c r="D249" s="515">
        <f t="shared" si="48"/>
        <v>632</v>
      </c>
      <c r="E249" s="515">
        <f t="shared" si="48"/>
        <v>632</v>
      </c>
      <c r="F249" s="515">
        <f t="shared" si="48"/>
        <v>1989588</v>
      </c>
      <c r="G249" s="515">
        <f t="shared" si="48"/>
        <v>1635086</v>
      </c>
      <c r="H249" s="516">
        <f t="shared" si="49"/>
        <v>1990257</v>
      </c>
      <c r="I249" s="516">
        <f t="shared" si="49"/>
        <v>1635755</v>
      </c>
    </row>
    <row r="250" spans="1:9" s="511" customFormat="1" ht="15.75">
      <c r="A250" s="628">
        <v>44713</v>
      </c>
      <c r="B250" s="515">
        <f t="shared" si="48"/>
        <v>38</v>
      </c>
      <c r="C250" s="515">
        <f t="shared" si="48"/>
        <v>38</v>
      </c>
      <c r="D250" s="515">
        <f t="shared" si="48"/>
        <v>635</v>
      </c>
      <c r="E250" s="515">
        <f t="shared" si="48"/>
        <v>635</v>
      </c>
      <c r="F250" s="515">
        <f t="shared" si="48"/>
        <v>2002767</v>
      </c>
      <c r="G250" s="515">
        <f t="shared" si="48"/>
        <v>1662346</v>
      </c>
      <c r="H250" s="516">
        <f t="shared" si="49"/>
        <v>2003440</v>
      </c>
      <c r="I250" s="516">
        <f t="shared" si="49"/>
        <v>1663019</v>
      </c>
    </row>
    <row r="251" spans="1:9" s="511" customFormat="1" ht="15.75">
      <c r="A251" s="628">
        <v>44743</v>
      </c>
      <c r="B251" s="515">
        <f t="shared" si="48"/>
        <v>38</v>
      </c>
      <c r="C251" s="515">
        <f t="shared" si="48"/>
        <v>38</v>
      </c>
      <c r="D251" s="515">
        <f t="shared" si="48"/>
        <v>642</v>
      </c>
      <c r="E251" s="515">
        <f t="shared" si="48"/>
        <v>642</v>
      </c>
      <c r="F251" s="515">
        <f t="shared" si="48"/>
        <v>2038784</v>
      </c>
      <c r="G251" s="515">
        <f t="shared" si="48"/>
        <v>1772687</v>
      </c>
      <c r="H251" s="516">
        <f t="shared" si="49"/>
        <v>2039464</v>
      </c>
      <c r="I251" s="516">
        <f t="shared" si="49"/>
        <v>1773367</v>
      </c>
    </row>
    <row r="252" spans="1:9" s="511" customFormat="1" ht="15.75">
      <c r="A252" s="628">
        <v>44774</v>
      </c>
      <c r="B252" s="515">
        <f t="shared" si="48"/>
        <v>38</v>
      </c>
      <c r="C252" s="515">
        <f t="shared" si="48"/>
        <v>38</v>
      </c>
      <c r="D252" s="515">
        <f t="shared" si="48"/>
        <v>642</v>
      </c>
      <c r="E252" s="515">
        <f t="shared" si="48"/>
        <v>642</v>
      </c>
      <c r="F252" s="515">
        <f t="shared" si="48"/>
        <v>2015469</v>
      </c>
      <c r="G252" s="515">
        <f t="shared" si="48"/>
        <v>1714690</v>
      </c>
      <c r="H252" s="516">
        <f t="shared" si="49"/>
        <v>2016149</v>
      </c>
      <c r="I252" s="516">
        <f t="shared" si="49"/>
        <v>1715370</v>
      </c>
    </row>
    <row r="253" spans="1:9" s="511" customFormat="1" ht="15.75">
      <c r="A253" s="628">
        <v>44805</v>
      </c>
      <c r="B253" s="515">
        <f t="shared" si="48"/>
        <v>40</v>
      </c>
      <c r="C253" s="515">
        <f t="shared" si="48"/>
        <v>40</v>
      </c>
      <c r="D253" s="515">
        <f t="shared" si="48"/>
        <v>645</v>
      </c>
      <c r="E253" s="515">
        <f t="shared" si="48"/>
        <v>645</v>
      </c>
      <c r="F253" s="515">
        <f t="shared" si="48"/>
        <v>2035604</v>
      </c>
      <c r="G253" s="515">
        <f t="shared" si="48"/>
        <v>1831524</v>
      </c>
      <c r="H253" s="516">
        <f t="shared" si="49"/>
        <v>2036289</v>
      </c>
      <c r="I253" s="516">
        <f t="shared" si="49"/>
        <v>1832209</v>
      </c>
    </row>
    <row r="254" spans="1:9" s="511" customFormat="1" ht="15.75">
      <c r="A254" s="628">
        <v>44835</v>
      </c>
      <c r="B254" s="515">
        <f t="shared" si="48"/>
        <v>40</v>
      </c>
      <c r="C254" s="515">
        <f t="shared" si="48"/>
        <v>40</v>
      </c>
      <c r="D254" s="515">
        <f t="shared" si="48"/>
        <v>638</v>
      </c>
      <c r="E254" s="515">
        <f t="shared" si="48"/>
        <v>638</v>
      </c>
      <c r="F254" s="515">
        <f t="shared" si="48"/>
        <v>2099173</v>
      </c>
      <c r="G254" s="515">
        <f t="shared" si="48"/>
        <v>1868633</v>
      </c>
      <c r="H254" s="516">
        <f t="shared" si="49"/>
        <v>2099851</v>
      </c>
      <c r="I254" s="516">
        <f t="shared" si="49"/>
        <v>1869311</v>
      </c>
    </row>
    <row r="255" spans="1:9" s="511" customFormat="1" ht="15.75">
      <c r="A255" s="628">
        <v>44866</v>
      </c>
      <c r="B255" s="515">
        <f t="shared" si="48"/>
        <v>40</v>
      </c>
      <c r="C255" s="515">
        <f t="shared" si="48"/>
        <v>40</v>
      </c>
      <c r="D255" s="515">
        <f t="shared" si="48"/>
        <v>642</v>
      </c>
      <c r="E255" s="515">
        <f t="shared" si="48"/>
        <v>642</v>
      </c>
      <c r="F255" s="515">
        <f t="shared" si="48"/>
        <v>2102097</v>
      </c>
      <c r="G255" s="515">
        <f t="shared" si="48"/>
        <v>1889942</v>
      </c>
      <c r="H255" s="516">
        <f t="shared" si="49"/>
        <v>2102779</v>
      </c>
      <c r="I255" s="516">
        <f t="shared" si="49"/>
        <v>1890624</v>
      </c>
    </row>
    <row r="256" spans="1:9" s="511" customFormat="1" ht="15.75">
      <c r="A256" s="628">
        <v>44896</v>
      </c>
      <c r="B256" s="515">
        <f t="shared" si="48"/>
        <v>41</v>
      </c>
      <c r="C256" s="515">
        <f t="shared" si="48"/>
        <v>41</v>
      </c>
      <c r="D256" s="515">
        <f t="shared" si="48"/>
        <v>644</v>
      </c>
      <c r="E256" s="515">
        <f t="shared" si="48"/>
        <v>644</v>
      </c>
      <c r="F256" s="515">
        <f t="shared" si="48"/>
        <v>2095819</v>
      </c>
      <c r="G256" s="515">
        <f t="shared" si="48"/>
        <v>1890495</v>
      </c>
      <c r="H256" s="516">
        <f t="shared" si="49"/>
        <v>2096504</v>
      </c>
      <c r="I256" s="516">
        <f t="shared" si="49"/>
        <v>1891180</v>
      </c>
    </row>
    <row r="257" spans="1:9" s="511" customFormat="1" ht="15.75">
      <c r="A257" s="628">
        <v>44927</v>
      </c>
      <c r="B257" s="515">
        <f t="shared" si="48"/>
        <v>41</v>
      </c>
      <c r="C257" s="515">
        <f t="shared" si="48"/>
        <v>41</v>
      </c>
      <c r="D257" s="515">
        <f t="shared" si="48"/>
        <v>655</v>
      </c>
      <c r="E257" s="515">
        <f t="shared" si="48"/>
        <v>655</v>
      </c>
      <c r="F257" s="515">
        <f t="shared" si="48"/>
        <v>2088464</v>
      </c>
      <c r="G257" s="515">
        <f t="shared" si="48"/>
        <v>1868471</v>
      </c>
      <c r="H257" s="516">
        <f t="shared" si="49"/>
        <v>2089160</v>
      </c>
      <c r="I257" s="516">
        <f t="shared" si="49"/>
        <v>1869167</v>
      </c>
    </row>
    <row r="258" spans="1:9" s="511" customFormat="1" ht="15.75">
      <c r="A258" s="628">
        <v>44958</v>
      </c>
      <c r="B258" s="515">
        <f t="shared" si="48"/>
        <v>41</v>
      </c>
      <c r="C258" s="515">
        <f t="shared" si="48"/>
        <v>41</v>
      </c>
      <c r="D258" s="515">
        <f t="shared" si="48"/>
        <v>661</v>
      </c>
      <c r="E258" s="515">
        <f t="shared" si="48"/>
        <v>661</v>
      </c>
      <c r="F258" s="515">
        <f t="shared" si="48"/>
        <v>2044532</v>
      </c>
      <c r="G258" s="515">
        <f t="shared" si="48"/>
        <v>1841800</v>
      </c>
      <c r="H258" s="516">
        <f t="shared" si="49"/>
        <v>2045234</v>
      </c>
      <c r="I258" s="516">
        <f t="shared" si="49"/>
        <v>1842502</v>
      </c>
    </row>
    <row r="259" spans="1:9" s="511" customFormat="1" ht="15.75">
      <c r="A259" s="628">
        <v>44986</v>
      </c>
      <c r="B259" s="515">
        <f t="shared" si="48"/>
        <v>41</v>
      </c>
      <c r="C259" s="515">
        <f t="shared" si="48"/>
        <v>41</v>
      </c>
      <c r="D259" s="515">
        <f t="shared" si="48"/>
        <v>659</v>
      </c>
      <c r="E259" s="515">
        <f t="shared" si="48"/>
        <v>659</v>
      </c>
      <c r="F259" s="515">
        <f t="shared" si="48"/>
        <v>2040888</v>
      </c>
      <c r="G259" s="515">
        <f t="shared" si="48"/>
        <v>1877419</v>
      </c>
      <c r="H259" s="516">
        <f t="shared" si="49"/>
        <v>2041588</v>
      </c>
      <c r="I259" s="516">
        <f t="shared" si="49"/>
        <v>1878119</v>
      </c>
    </row>
    <row r="260" spans="1:9" s="564" customFormat="1" ht="15.75">
      <c r="A260" s="516" t="s">
        <v>274</v>
      </c>
      <c r="B260" s="516">
        <f t="shared" ref="B260:I260" si="50">SUM(B248:B259)</f>
        <v>472</v>
      </c>
      <c r="C260" s="516">
        <f t="shared" si="50"/>
        <v>472</v>
      </c>
      <c r="D260" s="516">
        <f t="shared" si="50"/>
        <v>7717</v>
      </c>
      <c r="E260" s="516">
        <f t="shared" si="50"/>
        <v>7717</v>
      </c>
      <c r="F260" s="516">
        <f t="shared" si="50"/>
        <v>24517269</v>
      </c>
      <c r="G260" s="516">
        <f t="shared" si="50"/>
        <v>21342038</v>
      </c>
      <c r="H260" s="516">
        <f t="shared" si="50"/>
        <v>24525458</v>
      </c>
      <c r="I260" s="516">
        <f t="shared" si="50"/>
        <v>21350227</v>
      </c>
    </row>
  </sheetData>
  <mergeCells count="6">
    <mergeCell ref="A1:B1"/>
    <mergeCell ref="G1:I1"/>
    <mergeCell ref="B4:C4"/>
    <mergeCell ref="D4:E4"/>
    <mergeCell ref="F4:G4"/>
    <mergeCell ref="H4:I4"/>
  </mergeCells>
  <printOptions horizontalCentered="1"/>
  <pageMargins left="0.15748031496062992" right="0.23622047244094491" top="0.43307086614173229" bottom="0.39370078740157483"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8000"/>
  </sheetPr>
  <dimension ref="A1:I160"/>
  <sheetViews>
    <sheetView view="pageBreakPreview" zoomScaleSheetLayoutView="100" workbookViewId="0">
      <pane xSplit="1" ySplit="5" topLeftCell="B6" activePane="bottomRight" state="frozen"/>
      <selection pane="bottomRight" activeCell="N10" sqref="N10"/>
      <selection pane="bottomLeft" activeCell="H21" sqref="H21"/>
      <selection pane="topRight" activeCell="H21" sqref="H21"/>
    </sheetView>
  </sheetViews>
  <sheetFormatPr defaultColWidth="9.140625" defaultRowHeight="12.75"/>
  <cols>
    <col min="1" max="1" width="9.140625" style="185"/>
    <col min="2" max="2" width="12" style="185" customWidth="1"/>
    <col min="3" max="3" width="9.140625" style="185"/>
    <col min="4" max="4" width="11.5703125" style="185" customWidth="1"/>
    <col min="5" max="5" width="9.140625" style="185"/>
    <col min="6" max="6" width="11.5703125" style="185" customWidth="1"/>
    <col min="7" max="7" width="9.140625" style="185"/>
    <col min="8" max="8" width="11.42578125" style="185" customWidth="1"/>
    <col min="9" max="16384" width="9.140625" style="185"/>
  </cols>
  <sheetData>
    <row r="1" spans="1:9" ht="25.5" customHeight="1">
      <c r="A1" s="2820" t="s">
        <v>3915</v>
      </c>
      <c r="B1" s="2820"/>
      <c r="C1" s="510"/>
      <c r="D1" s="510"/>
      <c r="E1" s="510"/>
      <c r="F1" s="510"/>
      <c r="G1" s="2820" t="s">
        <v>3916</v>
      </c>
      <c r="H1" s="2820"/>
      <c r="I1" s="2820"/>
    </row>
    <row r="2" spans="1:9" ht="15.75">
      <c r="A2" s="626" t="s">
        <v>3917</v>
      </c>
      <c r="B2" s="627"/>
      <c r="C2" s="627"/>
      <c r="D2" s="627"/>
      <c r="E2" s="627"/>
      <c r="F2" s="627"/>
      <c r="G2" s="627"/>
      <c r="H2" s="626"/>
      <c r="I2" s="626"/>
    </row>
    <row r="3" spans="1:9" ht="15.75">
      <c r="A3" s="627"/>
      <c r="B3" s="627"/>
      <c r="C3" s="627"/>
      <c r="D3" s="627"/>
      <c r="E3" s="627"/>
      <c r="F3" s="627"/>
      <c r="G3" s="627"/>
      <c r="H3" s="626"/>
      <c r="I3" s="626"/>
    </row>
    <row r="4" spans="1:9" s="626" customFormat="1" ht="18" customHeight="1">
      <c r="A4" s="513"/>
      <c r="B4" s="2822" t="s">
        <v>271</v>
      </c>
      <c r="C4" s="2822"/>
      <c r="D4" s="2822" t="s">
        <v>259</v>
      </c>
      <c r="E4" s="2822"/>
      <c r="F4" s="2822" t="s">
        <v>232</v>
      </c>
      <c r="G4" s="2822"/>
      <c r="H4" s="2822" t="s">
        <v>274</v>
      </c>
      <c r="I4" s="2822"/>
    </row>
    <row r="5" spans="1:9" s="565" customFormat="1" ht="47.25">
      <c r="A5" s="512" t="s">
        <v>2879</v>
      </c>
      <c r="B5" s="512" t="s">
        <v>3918</v>
      </c>
      <c r="C5" s="512" t="s">
        <v>3919</v>
      </c>
      <c r="D5" s="512" t="s">
        <v>3918</v>
      </c>
      <c r="E5" s="512" t="s">
        <v>3919</v>
      </c>
      <c r="F5" s="512" t="s">
        <v>3918</v>
      </c>
      <c r="G5" s="512" t="s">
        <v>3919</v>
      </c>
      <c r="H5" s="512" t="s">
        <v>3918</v>
      </c>
      <c r="I5" s="512" t="s">
        <v>3919</v>
      </c>
    </row>
    <row r="6" spans="1:9" s="565" customFormat="1" ht="18" customHeight="1">
      <c r="A6" s="514"/>
      <c r="B6" s="513"/>
      <c r="C6" s="513"/>
      <c r="D6" s="513"/>
      <c r="E6" s="513"/>
      <c r="F6" s="514"/>
      <c r="G6" s="514"/>
      <c r="H6" s="512"/>
      <c r="I6" s="512"/>
    </row>
    <row r="7" spans="1:9" s="565" customFormat="1" ht="18" customHeight="1">
      <c r="A7" s="589" t="s">
        <v>3920</v>
      </c>
      <c r="B7" s="588"/>
      <c r="C7" s="587"/>
      <c r="D7" s="514"/>
      <c r="E7" s="514"/>
      <c r="F7" s="514"/>
      <c r="G7" s="514"/>
      <c r="H7" s="512"/>
      <c r="I7" s="512"/>
    </row>
    <row r="8" spans="1:9" s="627" customFormat="1" ht="18" customHeight="1">
      <c r="A8" s="628">
        <v>45017</v>
      </c>
      <c r="B8" s="629">
        <v>1</v>
      </c>
      <c r="C8" s="629">
        <v>1</v>
      </c>
      <c r="D8" s="629">
        <v>69</v>
      </c>
      <c r="E8" s="629">
        <v>69</v>
      </c>
      <c r="F8" s="629">
        <v>65668</v>
      </c>
      <c r="G8" s="629">
        <v>60765</v>
      </c>
      <c r="H8" s="513">
        <f t="shared" ref="H8:I13" si="0">+B8+D8+F8</f>
        <v>65738</v>
      </c>
      <c r="I8" s="513">
        <f t="shared" si="0"/>
        <v>60835</v>
      </c>
    </row>
    <row r="9" spans="1:9" s="627" customFormat="1" ht="18" customHeight="1">
      <c r="A9" s="628">
        <v>45047</v>
      </c>
      <c r="B9" s="629">
        <v>1</v>
      </c>
      <c r="C9" s="629">
        <v>1</v>
      </c>
      <c r="D9" s="629">
        <v>69</v>
      </c>
      <c r="E9" s="629">
        <v>69</v>
      </c>
      <c r="F9" s="629">
        <v>64126</v>
      </c>
      <c r="G9" s="629">
        <v>61841</v>
      </c>
      <c r="H9" s="513">
        <f t="shared" si="0"/>
        <v>64196</v>
      </c>
      <c r="I9" s="513">
        <f t="shared" si="0"/>
        <v>61911</v>
      </c>
    </row>
    <row r="10" spans="1:9" s="627" customFormat="1" ht="18" customHeight="1">
      <c r="A10" s="628">
        <v>45078</v>
      </c>
      <c r="B10" s="629">
        <v>1</v>
      </c>
      <c r="C10" s="629">
        <v>1</v>
      </c>
      <c r="D10" s="629">
        <v>69</v>
      </c>
      <c r="E10" s="629">
        <v>69</v>
      </c>
      <c r="F10" s="629">
        <v>64314</v>
      </c>
      <c r="G10" s="629">
        <v>62062</v>
      </c>
      <c r="H10" s="513">
        <f t="shared" si="0"/>
        <v>64384</v>
      </c>
      <c r="I10" s="513">
        <f t="shared" si="0"/>
        <v>62132</v>
      </c>
    </row>
    <row r="11" spans="1:9" s="627" customFormat="1" ht="18" customHeight="1">
      <c r="A11" s="628">
        <v>45108</v>
      </c>
      <c r="B11" s="629">
        <v>1</v>
      </c>
      <c r="C11" s="629">
        <v>1</v>
      </c>
      <c r="D11" s="629">
        <v>70</v>
      </c>
      <c r="E11" s="629">
        <v>70</v>
      </c>
      <c r="F11" s="629">
        <v>64336</v>
      </c>
      <c r="G11" s="629">
        <v>62649</v>
      </c>
      <c r="H11" s="513">
        <f t="shared" si="0"/>
        <v>64407</v>
      </c>
      <c r="I11" s="513">
        <f t="shared" si="0"/>
        <v>62720</v>
      </c>
    </row>
    <row r="12" spans="1:9" s="627" customFormat="1" ht="18" customHeight="1">
      <c r="A12" s="628">
        <v>45139</v>
      </c>
      <c r="B12" s="629">
        <v>1</v>
      </c>
      <c r="C12" s="629">
        <v>1</v>
      </c>
      <c r="D12" s="629">
        <v>71</v>
      </c>
      <c r="E12" s="629">
        <v>71</v>
      </c>
      <c r="F12" s="629">
        <v>63938</v>
      </c>
      <c r="G12" s="629">
        <v>62896</v>
      </c>
      <c r="H12" s="513">
        <f t="shared" si="0"/>
        <v>64010</v>
      </c>
      <c r="I12" s="513">
        <f t="shared" si="0"/>
        <v>62968</v>
      </c>
    </row>
    <row r="13" spans="1:9" s="627" customFormat="1" ht="18" customHeight="1">
      <c r="A13" s="628">
        <v>45170</v>
      </c>
      <c r="B13" s="629">
        <v>1</v>
      </c>
      <c r="C13" s="629">
        <v>1</v>
      </c>
      <c r="D13" s="629">
        <v>70</v>
      </c>
      <c r="E13" s="629">
        <v>70</v>
      </c>
      <c r="F13" s="629">
        <v>63900</v>
      </c>
      <c r="G13" s="629">
        <v>63130</v>
      </c>
      <c r="H13" s="513">
        <f t="shared" si="0"/>
        <v>63971</v>
      </c>
      <c r="I13" s="513">
        <f t="shared" si="0"/>
        <v>63201</v>
      </c>
    </row>
    <row r="14" spans="1:9" s="626" customFormat="1" ht="18" customHeight="1">
      <c r="A14" s="513" t="s">
        <v>274</v>
      </c>
      <c r="B14" s="513">
        <f t="shared" ref="B14:I14" si="1">SUM(B8:B13)</f>
        <v>6</v>
      </c>
      <c r="C14" s="513">
        <f t="shared" si="1"/>
        <v>6</v>
      </c>
      <c r="D14" s="513">
        <f t="shared" si="1"/>
        <v>418</v>
      </c>
      <c r="E14" s="513">
        <f t="shared" si="1"/>
        <v>418</v>
      </c>
      <c r="F14" s="513">
        <f t="shared" si="1"/>
        <v>386282</v>
      </c>
      <c r="G14" s="513">
        <f t="shared" si="1"/>
        <v>373343</v>
      </c>
      <c r="H14" s="513">
        <f t="shared" si="1"/>
        <v>386706</v>
      </c>
      <c r="I14" s="513">
        <f t="shared" si="1"/>
        <v>373767</v>
      </c>
    </row>
    <row r="15" spans="1:9" s="627" customFormat="1" ht="15.75">
      <c r="A15" s="629"/>
      <c r="B15" s="629"/>
      <c r="C15" s="629"/>
      <c r="D15" s="629"/>
      <c r="E15" s="629"/>
      <c r="F15" s="629"/>
      <c r="G15" s="629"/>
      <c r="H15" s="513"/>
      <c r="I15" s="513"/>
    </row>
    <row r="16" spans="1:9" s="627" customFormat="1" ht="15.75">
      <c r="A16" s="589" t="s">
        <v>3921</v>
      </c>
      <c r="B16" s="588"/>
      <c r="C16" s="587"/>
      <c r="D16" s="514"/>
      <c r="E16" s="514"/>
      <c r="F16" s="514"/>
      <c r="G16" s="514"/>
      <c r="H16" s="512"/>
      <c r="I16" s="512"/>
    </row>
    <row r="17" spans="1:9" s="627" customFormat="1" ht="15.75">
      <c r="A17" s="628">
        <v>45017</v>
      </c>
      <c r="B17" s="629">
        <v>0</v>
      </c>
      <c r="C17" s="629">
        <v>0</v>
      </c>
      <c r="D17" s="629">
        <v>2</v>
      </c>
      <c r="E17" s="629">
        <v>2</v>
      </c>
      <c r="F17" s="629">
        <v>84067</v>
      </c>
      <c r="G17" s="629">
        <v>77386</v>
      </c>
      <c r="H17" s="513">
        <f t="shared" ref="H17:I22" si="2">+B17+D17+F17</f>
        <v>84069</v>
      </c>
      <c r="I17" s="513">
        <f t="shared" si="2"/>
        <v>77388</v>
      </c>
    </row>
    <row r="18" spans="1:9" s="627" customFormat="1" ht="15.75">
      <c r="A18" s="628">
        <v>45047</v>
      </c>
      <c r="B18" s="629">
        <v>0</v>
      </c>
      <c r="C18" s="629">
        <v>0</v>
      </c>
      <c r="D18" s="629">
        <v>4</v>
      </c>
      <c r="E18" s="629">
        <v>4</v>
      </c>
      <c r="F18" s="629">
        <v>83291</v>
      </c>
      <c r="G18" s="629">
        <v>78106</v>
      </c>
      <c r="H18" s="513">
        <f t="shared" si="2"/>
        <v>83295</v>
      </c>
      <c r="I18" s="513">
        <f t="shared" si="2"/>
        <v>78110</v>
      </c>
    </row>
    <row r="19" spans="1:9" s="627" customFormat="1" ht="15.75">
      <c r="A19" s="628">
        <v>45078</v>
      </c>
      <c r="B19" s="629">
        <v>0</v>
      </c>
      <c r="C19" s="629">
        <v>0</v>
      </c>
      <c r="D19" s="629">
        <v>4</v>
      </c>
      <c r="E19" s="629">
        <v>4</v>
      </c>
      <c r="F19" s="629">
        <v>83210</v>
      </c>
      <c r="G19" s="629">
        <v>77938</v>
      </c>
      <c r="H19" s="513">
        <f t="shared" si="2"/>
        <v>83214</v>
      </c>
      <c r="I19" s="513">
        <f t="shared" si="2"/>
        <v>77942</v>
      </c>
    </row>
    <row r="20" spans="1:9" s="627" customFormat="1" ht="15.75">
      <c r="A20" s="628">
        <v>45108</v>
      </c>
      <c r="B20" s="629">
        <v>0</v>
      </c>
      <c r="C20" s="629">
        <v>0</v>
      </c>
      <c r="D20" s="629">
        <v>4</v>
      </c>
      <c r="E20" s="629">
        <v>4</v>
      </c>
      <c r="F20" s="629">
        <v>81711</v>
      </c>
      <c r="G20" s="629">
        <v>77961</v>
      </c>
      <c r="H20" s="513">
        <f t="shared" si="2"/>
        <v>81715</v>
      </c>
      <c r="I20" s="513">
        <f t="shared" si="2"/>
        <v>77965</v>
      </c>
    </row>
    <row r="21" spans="1:9" s="627" customFormat="1" ht="15.75">
      <c r="A21" s="628">
        <v>45139</v>
      </c>
      <c r="B21" s="629">
        <v>0</v>
      </c>
      <c r="C21" s="629">
        <v>0</v>
      </c>
      <c r="D21" s="629">
        <v>4</v>
      </c>
      <c r="E21" s="629">
        <v>4</v>
      </c>
      <c r="F21" s="629">
        <v>80290</v>
      </c>
      <c r="G21" s="629">
        <v>78040</v>
      </c>
      <c r="H21" s="513">
        <f t="shared" si="2"/>
        <v>80294</v>
      </c>
      <c r="I21" s="513">
        <f t="shared" si="2"/>
        <v>78044</v>
      </c>
    </row>
    <row r="22" spans="1:9" s="627" customFormat="1" ht="15.75">
      <c r="A22" s="628">
        <v>45170</v>
      </c>
      <c r="B22" s="629">
        <v>0</v>
      </c>
      <c r="C22" s="629">
        <v>0</v>
      </c>
      <c r="D22" s="629">
        <v>4</v>
      </c>
      <c r="E22" s="629">
        <v>4</v>
      </c>
      <c r="F22" s="629">
        <v>80719</v>
      </c>
      <c r="G22" s="629">
        <v>78812</v>
      </c>
      <c r="H22" s="513">
        <f t="shared" si="2"/>
        <v>80723</v>
      </c>
      <c r="I22" s="513">
        <f t="shared" si="2"/>
        <v>78816</v>
      </c>
    </row>
    <row r="23" spans="1:9" s="626" customFormat="1" ht="15.75">
      <c r="A23" s="513" t="s">
        <v>274</v>
      </c>
      <c r="B23" s="513">
        <f t="shared" ref="B23:I23" si="3">SUM(B17:B22)</f>
        <v>0</v>
      </c>
      <c r="C23" s="513">
        <f t="shared" si="3"/>
        <v>0</v>
      </c>
      <c r="D23" s="513">
        <f t="shared" si="3"/>
        <v>22</v>
      </c>
      <c r="E23" s="513">
        <f t="shared" si="3"/>
        <v>22</v>
      </c>
      <c r="F23" s="513">
        <f t="shared" si="3"/>
        <v>493288</v>
      </c>
      <c r="G23" s="513">
        <f t="shared" si="3"/>
        <v>468243</v>
      </c>
      <c r="H23" s="513">
        <f t="shared" si="3"/>
        <v>493310</v>
      </c>
      <c r="I23" s="513">
        <f t="shared" si="3"/>
        <v>468265</v>
      </c>
    </row>
    <row r="24" spans="1:9" s="627" customFormat="1" ht="15.75">
      <c r="A24" s="629"/>
      <c r="B24" s="629"/>
      <c r="C24" s="629"/>
      <c r="D24" s="629"/>
      <c r="E24" s="629"/>
      <c r="F24" s="629"/>
      <c r="G24" s="629"/>
      <c r="H24" s="513"/>
      <c r="I24" s="513"/>
    </row>
    <row r="25" spans="1:9" s="627" customFormat="1" ht="15.75">
      <c r="A25" s="589" t="s">
        <v>3922</v>
      </c>
      <c r="B25" s="588"/>
      <c r="C25" s="587"/>
      <c r="D25" s="514"/>
      <c r="E25" s="514"/>
      <c r="F25" s="514"/>
      <c r="G25" s="514"/>
      <c r="H25" s="512"/>
      <c r="I25" s="512"/>
    </row>
    <row r="26" spans="1:9" s="627" customFormat="1" ht="15.75">
      <c r="A26" s="628">
        <v>45017</v>
      </c>
      <c r="B26" s="629">
        <v>1</v>
      </c>
      <c r="C26" s="629">
        <v>1</v>
      </c>
      <c r="D26" s="629">
        <v>15</v>
      </c>
      <c r="E26" s="629">
        <v>15</v>
      </c>
      <c r="F26" s="629">
        <v>120380</v>
      </c>
      <c r="G26" s="629">
        <v>110880</v>
      </c>
      <c r="H26" s="513">
        <f t="shared" ref="H26:I31" si="4">+B26+D26+F26</f>
        <v>120396</v>
      </c>
      <c r="I26" s="513">
        <f t="shared" si="4"/>
        <v>110896</v>
      </c>
    </row>
    <row r="27" spans="1:9" s="627" customFormat="1" ht="15.75">
      <c r="A27" s="628">
        <v>45047</v>
      </c>
      <c r="B27" s="629">
        <v>1</v>
      </c>
      <c r="C27" s="629">
        <v>1</v>
      </c>
      <c r="D27" s="629">
        <v>15</v>
      </c>
      <c r="E27" s="629">
        <v>15</v>
      </c>
      <c r="F27" s="629">
        <v>117842</v>
      </c>
      <c r="G27" s="629">
        <v>111604</v>
      </c>
      <c r="H27" s="513">
        <f t="shared" si="4"/>
        <v>117858</v>
      </c>
      <c r="I27" s="513">
        <f t="shared" si="4"/>
        <v>111620</v>
      </c>
    </row>
    <row r="28" spans="1:9" s="627" customFormat="1" ht="15.75">
      <c r="A28" s="628">
        <v>45078</v>
      </c>
      <c r="B28" s="629">
        <v>1</v>
      </c>
      <c r="C28" s="629">
        <v>1</v>
      </c>
      <c r="D28" s="629">
        <v>15</v>
      </c>
      <c r="E28" s="629">
        <v>15</v>
      </c>
      <c r="F28" s="629">
        <v>117429</v>
      </c>
      <c r="G28" s="629">
        <v>110288</v>
      </c>
      <c r="H28" s="513">
        <f t="shared" si="4"/>
        <v>117445</v>
      </c>
      <c r="I28" s="513">
        <f t="shared" si="4"/>
        <v>110304</v>
      </c>
    </row>
    <row r="29" spans="1:9" s="627" customFormat="1" ht="15.75">
      <c r="A29" s="628">
        <v>45108</v>
      </c>
      <c r="B29" s="629">
        <v>1</v>
      </c>
      <c r="C29" s="629">
        <v>1</v>
      </c>
      <c r="D29" s="629">
        <v>15</v>
      </c>
      <c r="E29" s="629">
        <v>15</v>
      </c>
      <c r="F29" s="629">
        <v>116666</v>
      </c>
      <c r="G29" s="629">
        <v>110679</v>
      </c>
      <c r="H29" s="513">
        <f t="shared" si="4"/>
        <v>116682</v>
      </c>
      <c r="I29" s="513">
        <f t="shared" si="4"/>
        <v>110695</v>
      </c>
    </row>
    <row r="30" spans="1:9" s="627" customFormat="1" ht="15.75">
      <c r="A30" s="628">
        <v>45139</v>
      </c>
      <c r="B30" s="629">
        <v>1</v>
      </c>
      <c r="C30" s="629">
        <v>1</v>
      </c>
      <c r="D30" s="629">
        <v>15</v>
      </c>
      <c r="E30" s="629">
        <v>15</v>
      </c>
      <c r="F30" s="629">
        <v>111626</v>
      </c>
      <c r="G30" s="629">
        <v>110080</v>
      </c>
      <c r="H30" s="513">
        <f t="shared" si="4"/>
        <v>111642</v>
      </c>
      <c r="I30" s="513">
        <f t="shared" si="4"/>
        <v>110096</v>
      </c>
    </row>
    <row r="31" spans="1:9" s="627" customFormat="1" ht="15.75">
      <c r="A31" s="628">
        <v>45170</v>
      </c>
      <c r="B31" s="629">
        <v>1</v>
      </c>
      <c r="C31" s="629">
        <v>1</v>
      </c>
      <c r="D31" s="629">
        <v>15</v>
      </c>
      <c r="E31" s="629">
        <v>15</v>
      </c>
      <c r="F31" s="629">
        <v>112025</v>
      </c>
      <c r="G31" s="629">
        <v>109874</v>
      </c>
      <c r="H31" s="513">
        <f t="shared" si="4"/>
        <v>112041</v>
      </c>
      <c r="I31" s="513">
        <f t="shared" si="4"/>
        <v>109890</v>
      </c>
    </row>
    <row r="32" spans="1:9" s="626" customFormat="1" ht="15.75">
      <c r="A32" s="513" t="s">
        <v>274</v>
      </c>
      <c r="B32" s="513">
        <f t="shared" ref="B32:I32" si="5">SUM(B26:B31)</f>
        <v>6</v>
      </c>
      <c r="C32" s="513">
        <f t="shared" si="5"/>
        <v>6</v>
      </c>
      <c r="D32" s="513">
        <f t="shared" si="5"/>
        <v>90</v>
      </c>
      <c r="E32" s="513">
        <f t="shared" si="5"/>
        <v>90</v>
      </c>
      <c r="F32" s="513">
        <f t="shared" si="5"/>
        <v>695968</v>
      </c>
      <c r="G32" s="513">
        <f t="shared" si="5"/>
        <v>663405</v>
      </c>
      <c r="H32" s="513">
        <f t="shared" si="5"/>
        <v>696064</v>
      </c>
      <c r="I32" s="513">
        <f t="shared" si="5"/>
        <v>663501</v>
      </c>
    </row>
    <row r="33" spans="1:9" s="627" customFormat="1" ht="15.75">
      <c r="A33" s="629"/>
      <c r="B33" s="629"/>
      <c r="C33" s="629"/>
      <c r="D33" s="629"/>
      <c r="E33" s="629"/>
      <c r="F33" s="629"/>
      <c r="G33" s="629"/>
      <c r="H33" s="513"/>
      <c r="I33" s="513"/>
    </row>
    <row r="34" spans="1:9" s="627" customFormat="1" ht="15.75">
      <c r="A34" s="589" t="s">
        <v>3923</v>
      </c>
      <c r="B34" s="588"/>
      <c r="C34" s="587"/>
      <c r="D34" s="514"/>
      <c r="E34" s="514"/>
      <c r="F34" s="514"/>
      <c r="G34" s="514"/>
      <c r="H34" s="512"/>
      <c r="I34" s="512"/>
    </row>
    <row r="35" spans="1:9" s="627" customFormat="1" ht="15.75">
      <c r="A35" s="628">
        <v>45017</v>
      </c>
      <c r="B35" s="629">
        <v>4</v>
      </c>
      <c r="C35" s="629">
        <v>4</v>
      </c>
      <c r="D35" s="629">
        <v>100</v>
      </c>
      <c r="E35" s="629">
        <v>100</v>
      </c>
      <c r="F35" s="629">
        <v>115615</v>
      </c>
      <c r="G35" s="629">
        <v>106137</v>
      </c>
      <c r="H35" s="513">
        <f t="shared" ref="H35:I40" si="6">+B35+D35+F35</f>
        <v>115719</v>
      </c>
      <c r="I35" s="513">
        <f t="shared" si="6"/>
        <v>106241</v>
      </c>
    </row>
    <row r="36" spans="1:9" s="627" customFormat="1" ht="15.75">
      <c r="A36" s="628">
        <v>45047</v>
      </c>
      <c r="B36" s="629">
        <v>4</v>
      </c>
      <c r="C36" s="629">
        <v>4</v>
      </c>
      <c r="D36" s="629">
        <v>92</v>
      </c>
      <c r="E36" s="629">
        <v>92</v>
      </c>
      <c r="F36" s="629">
        <v>114267</v>
      </c>
      <c r="G36" s="629">
        <v>107864</v>
      </c>
      <c r="H36" s="513">
        <f t="shared" si="6"/>
        <v>114363</v>
      </c>
      <c r="I36" s="513">
        <f t="shared" si="6"/>
        <v>107960</v>
      </c>
    </row>
    <row r="37" spans="1:9" s="627" customFormat="1" ht="15.75">
      <c r="A37" s="628">
        <v>45078</v>
      </c>
      <c r="B37" s="629">
        <v>4</v>
      </c>
      <c r="C37" s="629">
        <v>4</v>
      </c>
      <c r="D37" s="629">
        <v>92</v>
      </c>
      <c r="E37" s="629">
        <v>92</v>
      </c>
      <c r="F37" s="629">
        <v>114394</v>
      </c>
      <c r="G37" s="629">
        <v>108284</v>
      </c>
      <c r="H37" s="513">
        <f t="shared" si="6"/>
        <v>114490</v>
      </c>
      <c r="I37" s="513">
        <f t="shared" si="6"/>
        <v>108380</v>
      </c>
    </row>
    <row r="38" spans="1:9" s="627" customFormat="1" ht="15.75">
      <c r="A38" s="628">
        <v>45108</v>
      </c>
      <c r="B38" s="629">
        <v>4</v>
      </c>
      <c r="C38" s="629">
        <v>4</v>
      </c>
      <c r="D38" s="629">
        <v>92</v>
      </c>
      <c r="E38" s="629">
        <v>92</v>
      </c>
      <c r="F38" s="629">
        <v>111406</v>
      </c>
      <c r="G38" s="629">
        <v>107916</v>
      </c>
      <c r="H38" s="513">
        <f t="shared" si="6"/>
        <v>111502</v>
      </c>
      <c r="I38" s="513">
        <f t="shared" si="6"/>
        <v>108012</v>
      </c>
    </row>
    <row r="39" spans="1:9" s="627" customFormat="1" ht="15.75">
      <c r="A39" s="628">
        <v>45139</v>
      </c>
      <c r="B39" s="629">
        <v>4</v>
      </c>
      <c r="C39" s="629">
        <v>4</v>
      </c>
      <c r="D39" s="629">
        <v>94</v>
      </c>
      <c r="E39" s="629">
        <v>94</v>
      </c>
      <c r="F39" s="629">
        <v>110945</v>
      </c>
      <c r="G39" s="629">
        <v>107955</v>
      </c>
      <c r="H39" s="513">
        <f t="shared" si="6"/>
        <v>111043</v>
      </c>
      <c r="I39" s="513">
        <f t="shared" si="6"/>
        <v>108053</v>
      </c>
    </row>
    <row r="40" spans="1:9" s="627" customFormat="1" ht="15.75">
      <c r="A40" s="628">
        <v>45170</v>
      </c>
      <c r="B40" s="629">
        <v>4</v>
      </c>
      <c r="C40" s="629">
        <v>4</v>
      </c>
      <c r="D40" s="629">
        <v>93</v>
      </c>
      <c r="E40" s="629">
        <v>93</v>
      </c>
      <c r="F40" s="629">
        <v>111372</v>
      </c>
      <c r="G40" s="629">
        <v>108449</v>
      </c>
      <c r="H40" s="513">
        <f t="shared" si="6"/>
        <v>111469</v>
      </c>
      <c r="I40" s="513">
        <f t="shared" si="6"/>
        <v>108546</v>
      </c>
    </row>
    <row r="41" spans="1:9" s="626" customFormat="1" ht="15.75">
      <c r="A41" s="513" t="s">
        <v>274</v>
      </c>
      <c r="B41" s="513">
        <f t="shared" ref="B41:I41" si="7">SUM(B35:B40)</f>
        <v>24</v>
      </c>
      <c r="C41" s="513">
        <f t="shared" si="7"/>
        <v>24</v>
      </c>
      <c r="D41" s="513">
        <f t="shared" si="7"/>
        <v>563</v>
      </c>
      <c r="E41" s="513">
        <f t="shared" si="7"/>
        <v>563</v>
      </c>
      <c r="F41" s="513">
        <f t="shared" si="7"/>
        <v>677999</v>
      </c>
      <c r="G41" s="513">
        <f t="shared" si="7"/>
        <v>646605</v>
      </c>
      <c r="H41" s="513">
        <f t="shared" si="7"/>
        <v>678586</v>
      </c>
      <c r="I41" s="513">
        <f t="shared" si="7"/>
        <v>647192</v>
      </c>
    </row>
    <row r="42" spans="1:9" s="627" customFormat="1" ht="15.75">
      <c r="A42" s="629"/>
      <c r="B42" s="629"/>
      <c r="C42" s="629"/>
      <c r="D42" s="629"/>
      <c r="E42" s="629"/>
      <c r="F42" s="629"/>
      <c r="G42" s="629"/>
      <c r="H42" s="513"/>
      <c r="I42" s="513"/>
    </row>
    <row r="43" spans="1:9" s="627" customFormat="1" ht="15.75">
      <c r="A43" s="589" t="s">
        <v>3924</v>
      </c>
      <c r="B43" s="588"/>
      <c r="C43" s="587"/>
      <c r="D43" s="514"/>
      <c r="E43" s="514"/>
      <c r="F43" s="514"/>
      <c r="G43" s="514"/>
      <c r="H43" s="512"/>
      <c r="I43" s="512"/>
    </row>
    <row r="44" spans="1:9" s="627" customFormat="1" ht="15.75">
      <c r="A44" s="628">
        <v>45017</v>
      </c>
      <c r="B44" s="629">
        <v>0</v>
      </c>
      <c r="C44" s="629">
        <v>0</v>
      </c>
      <c r="D44" s="629">
        <v>43</v>
      </c>
      <c r="E44" s="629">
        <v>43</v>
      </c>
      <c r="F44" s="629">
        <v>154282</v>
      </c>
      <c r="G44" s="629">
        <v>146064</v>
      </c>
      <c r="H44" s="513">
        <f t="shared" ref="H44:I49" si="8">+B44+D44+F44</f>
        <v>154325</v>
      </c>
      <c r="I44" s="513">
        <f t="shared" si="8"/>
        <v>146107</v>
      </c>
    </row>
    <row r="45" spans="1:9" s="627" customFormat="1" ht="15.75">
      <c r="A45" s="628">
        <v>45047</v>
      </c>
      <c r="B45" s="629">
        <v>0</v>
      </c>
      <c r="C45" s="629">
        <v>0</v>
      </c>
      <c r="D45" s="629">
        <v>43</v>
      </c>
      <c r="E45" s="629">
        <v>43</v>
      </c>
      <c r="F45" s="629">
        <v>152126</v>
      </c>
      <c r="G45" s="629">
        <v>147179</v>
      </c>
      <c r="H45" s="513">
        <f t="shared" si="8"/>
        <v>152169</v>
      </c>
      <c r="I45" s="513">
        <f t="shared" si="8"/>
        <v>147222</v>
      </c>
    </row>
    <row r="46" spans="1:9" s="627" customFormat="1" ht="15.75">
      <c r="A46" s="628">
        <v>45078</v>
      </c>
      <c r="B46" s="629">
        <v>0</v>
      </c>
      <c r="C46" s="629">
        <v>0</v>
      </c>
      <c r="D46" s="629">
        <v>43</v>
      </c>
      <c r="E46" s="629">
        <v>43</v>
      </c>
      <c r="F46" s="629">
        <v>152182</v>
      </c>
      <c r="G46" s="629">
        <v>146896</v>
      </c>
      <c r="H46" s="513">
        <f t="shared" si="8"/>
        <v>152225</v>
      </c>
      <c r="I46" s="513">
        <f t="shared" si="8"/>
        <v>146939</v>
      </c>
    </row>
    <row r="47" spans="1:9" s="627" customFormat="1" ht="15.75">
      <c r="A47" s="628">
        <v>45108</v>
      </c>
      <c r="B47" s="629">
        <v>0</v>
      </c>
      <c r="C47" s="629">
        <v>0</v>
      </c>
      <c r="D47" s="629">
        <v>43</v>
      </c>
      <c r="E47" s="629">
        <v>43</v>
      </c>
      <c r="F47" s="629">
        <v>152497</v>
      </c>
      <c r="G47" s="629">
        <v>147645</v>
      </c>
      <c r="H47" s="513">
        <f t="shared" si="8"/>
        <v>152540</v>
      </c>
      <c r="I47" s="513">
        <f t="shared" si="8"/>
        <v>147688</v>
      </c>
    </row>
    <row r="48" spans="1:9" s="627" customFormat="1" ht="15.75">
      <c r="A48" s="628">
        <v>45139</v>
      </c>
      <c r="B48" s="629">
        <v>0</v>
      </c>
      <c r="C48" s="629">
        <v>0</v>
      </c>
      <c r="D48" s="629">
        <v>43</v>
      </c>
      <c r="E48" s="629">
        <v>43</v>
      </c>
      <c r="F48" s="629">
        <v>151621</v>
      </c>
      <c r="G48" s="629">
        <v>148551</v>
      </c>
      <c r="H48" s="513">
        <f t="shared" si="8"/>
        <v>151664</v>
      </c>
      <c r="I48" s="513">
        <f t="shared" si="8"/>
        <v>148594</v>
      </c>
    </row>
    <row r="49" spans="1:9" s="627" customFormat="1" ht="15.75">
      <c r="A49" s="628">
        <v>45170</v>
      </c>
      <c r="B49" s="629">
        <v>0</v>
      </c>
      <c r="C49" s="629">
        <v>0</v>
      </c>
      <c r="D49" s="629">
        <v>44</v>
      </c>
      <c r="E49" s="629">
        <v>44</v>
      </c>
      <c r="F49" s="629">
        <v>152137</v>
      </c>
      <c r="G49" s="629">
        <v>149023</v>
      </c>
      <c r="H49" s="513">
        <f t="shared" si="8"/>
        <v>152181</v>
      </c>
      <c r="I49" s="513">
        <f t="shared" si="8"/>
        <v>149067</v>
      </c>
    </row>
    <row r="50" spans="1:9" s="626" customFormat="1" ht="15.75">
      <c r="A50" s="513" t="s">
        <v>274</v>
      </c>
      <c r="B50" s="513">
        <f t="shared" ref="B50:I50" si="9">SUM(B44:B49)</f>
        <v>0</v>
      </c>
      <c r="C50" s="513">
        <f t="shared" si="9"/>
        <v>0</v>
      </c>
      <c r="D50" s="513">
        <f t="shared" si="9"/>
        <v>259</v>
      </c>
      <c r="E50" s="513">
        <f t="shared" si="9"/>
        <v>259</v>
      </c>
      <c r="F50" s="513">
        <f t="shared" si="9"/>
        <v>914845</v>
      </c>
      <c r="G50" s="513">
        <f t="shared" si="9"/>
        <v>885358</v>
      </c>
      <c r="H50" s="513">
        <f t="shared" si="9"/>
        <v>915104</v>
      </c>
      <c r="I50" s="513">
        <f t="shared" si="9"/>
        <v>885617</v>
      </c>
    </row>
    <row r="51" spans="1:9" s="627" customFormat="1" ht="15.75">
      <c r="A51" s="629"/>
      <c r="B51" s="629"/>
      <c r="C51" s="629"/>
      <c r="D51" s="629"/>
      <c r="E51" s="629"/>
      <c r="F51" s="629"/>
      <c r="G51" s="629"/>
      <c r="H51" s="513"/>
      <c r="I51" s="513"/>
    </row>
    <row r="52" spans="1:9" s="627" customFormat="1" ht="15.75">
      <c r="A52" s="589" t="s">
        <v>3925</v>
      </c>
      <c r="B52" s="588"/>
      <c r="C52" s="587"/>
      <c r="D52" s="514"/>
      <c r="E52" s="514"/>
      <c r="F52" s="514"/>
      <c r="G52" s="514"/>
      <c r="H52" s="512"/>
      <c r="I52" s="512"/>
    </row>
    <row r="53" spans="1:9" s="627" customFormat="1" ht="15.75">
      <c r="A53" s="628">
        <v>45017</v>
      </c>
      <c r="B53" s="629">
        <v>3</v>
      </c>
      <c r="C53" s="629">
        <v>3</v>
      </c>
      <c r="D53" s="629">
        <v>81</v>
      </c>
      <c r="E53" s="629">
        <v>81</v>
      </c>
      <c r="F53" s="629">
        <v>183934</v>
      </c>
      <c r="G53" s="629">
        <v>171172</v>
      </c>
      <c r="H53" s="513">
        <f t="shared" ref="H53:I58" si="10">+B53+D53+F53</f>
        <v>184018</v>
      </c>
      <c r="I53" s="513">
        <f t="shared" si="10"/>
        <v>171256</v>
      </c>
    </row>
    <row r="54" spans="1:9" s="627" customFormat="1" ht="15.75">
      <c r="A54" s="628">
        <v>45047</v>
      </c>
      <c r="B54" s="629">
        <v>3</v>
      </c>
      <c r="C54" s="629">
        <v>3</v>
      </c>
      <c r="D54" s="629">
        <v>81</v>
      </c>
      <c r="E54" s="629">
        <v>81</v>
      </c>
      <c r="F54" s="629">
        <v>182554</v>
      </c>
      <c r="G54" s="629">
        <v>171063</v>
      </c>
      <c r="H54" s="513">
        <f t="shared" si="10"/>
        <v>182638</v>
      </c>
      <c r="I54" s="513">
        <f t="shared" si="10"/>
        <v>171147</v>
      </c>
    </row>
    <row r="55" spans="1:9" s="627" customFormat="1" ht="15.75">
      <c r="A55" s="628">
        <v>45078</v>
      </c>
      <c r="B55" s="629">
        <v>3</v>
      </c>
      <c r="C55" s="629">
        <v>3</v>
      </c>
      <c r="D55" s="629">
        <v>81</v>
      </c>
      <c r="E55" s="629">
        <v>81</v>
      </c>
      <c r="F55" s="629">
        <v>181301</v>
      </c>
      <c r="G55" s="629">
        <v>168079</v>
      </c>
      <c r="H55" s="513">
        <f t="shared" si="10"/>
        <v>181385</v>
      </c>
      <c r="I55" s="513">
        <f t="shared" si="10"/>
        <v>168163</v>
      </c>
    </row>
    <row r="56" spans="1:9" s="627" customFormat="1" ht="15.75">
      <c r="A56" s="628">
        <v>45108</v>
      </c>
      <c r="B56" s="629">
        <v>3</v>
      </c>
      <c r="C56" s="629">
        <v>3</v>
      </c>
      <c r="D56" s="629">
        <v>81</v>
      </c>
      <c r="E56" s="629">
        <v>81</v>
      </c>
      <c r="F56" s="629">
        <v>178501</v>
      </c>
      <c r="G56" s="629">
        <v>170835</v>
      </c>
      <c r="H56" s="513">
        <f t="shared" si="10"/>
        <v>178585</v>
      </c>
      <c r="I56" s="513">
        <f t="shared" si="10"/>
        <v>170919</v>
      </c>
    </row>
    <row r="57" spans="1:9" s="627" customFormat="1" ht="15.75">
      <c r="A57" s="628">
        <v>45139</v>
      </c>
      <c r="B57" s="629">
        <v>3</v>
      </c>
      <c r="C57" s="629">
        <v>3</v>
      </c>
      <c r="D57" s="629">
        <v>82</v>
      </c>
      <c r="E57" s="629">
        <v>82</v>
      </c>
      <c r="F57" s="629">
        <v>176158</v>
      </c>
      <c r="G57" s="629">
        <v>170246</v>
      </c>
      <c r="H57" s="513">
        <f t="shared" si="10"/>
        <v>176243</v>
      </c>
      <c r="I57" s="513">
        <f t="shared" si="10"/>
        <v>170331</v>
      </c>
    </row>
    <row r="58" spans="1:9" s="627" customFormat="1" ht="15.75">
      <c r="A58" s="628">
        <v>45170</v>
      </c>
      <c r="B58" s="629">
        <v>3</v>
      </c>
      <c r="C58" s="629">
        <v>3</v>
      </c>
      <c r="D58" s="629">
        <v>82</v>
      </c>
      <c r="E58" s="629">
        <v>82</v>
      </c>
      <c r="F58" s="629">
        <v>176707</v>
      </c>
      <c r="G58" s="629">
        <v>171960</v>
      </c>
      <c r="H58" s="513">
        <f t="shared" si="10"/>
        <v>176792</v>
      </c>
      <c r="I58" s="513">
        <f t="shared" si="10"/>
        <v>172045</v>
      </c>
    </row>
    <row r="59" spans="1:9" s="626" customFormat="1" ht="15.75">
      <c r="A59" s="513" t="s">
        <v>274</v>
      </c>
      <c r="B59" s="513">
        <f t="shared" ref="B59:I59" si="11">SUM(B53:B58)</f>
        <v>18</v>
      </c>
      <c r="C59" s="513">
        <f t="shared" si="11"/>
        <v>18</v>
      </c>
      <c r="D59" s="513">
        <f t="shared" si="11"/>
        <v>488</v>
      </c>
      <c r="E59" s="513">
        <f t="shared" si="11"/>
        <v>488</v>
      </c>
      <c r="F59" s="513">
        <f t="shared" si="11"/>
        <v>1079155</v>
      </c>
      <c r="G59" s="513">
        <f t="shared" si="11"/>
        <v>1023355</v>
      </c>
      <c r="H59" s="513">
        <f t="shared" si="11"/>
        <v>1079661</v>
      </c>
      <c r="I59" s="513">
        <f t="shared" si="11"/>
        <v>1023861</v>
      </c>
    </row>
    <row r="60" spans="1:9" s="627" customFormat="1" ht="15.75">
      <c r="A60" s="629"/>
      <c r="B60" s="629"/>
      <c r="C60" s="629"/>
      <c r="D60" s="629"/>
      <c r="E60" s="629"/>
      <c r="F60" s="629"/>
      <c r="G60" s="629"/>
      <c r="H60" s="513"/>
      <c r="I60" s="513"/>
    </row>
    <row r="61" spans="1:9" s="627" customFormat="1" ht="15.75">
      <c r="A61" s="589" t="s">
        <v>3926</v>
      </c>
      <c r="B61" s="588"/>
      <c r="C61" s="587"/>
      <c r="D61" s="514"/>
      <c r="E61" s="514"/>
      <c r="F61" s="514"/>
      <c r="G61" s="514"/>
      <c r="H61" s="512"/>
      <c r="I61" s="512"/>
    </row>
    <row r="62" spans="1:9" s="627" customFormat="1" ht="15.75">
      <c r="A62" s="628">
        <v>45017</v>
      </c>
      <c r="B62" s="629">
        <v>1</v>
      </c>
      <c r="C62" s="629">
        <v>1</v>
      </c>
      <c r="D62" s="629">
        <v>16</v>
      </c>
      <c r="E62" s="629">
        <v>16</v>
      </c>
      <c r="F62" s="629">
        <v>112417</v>
      </c>
      <c r="G62" s="629">
        <v>103903</v>
      </c>
      <c r="H62" s="513">
        <f t="shared" ref="H62:I67" si="12">+B62+D62+F62</f>
        <v>112434</v>
      </c>
      <c r="I62" s="513">
        <f t="shared" si="12"/>
        <v>103920</v>
      </c>
    </row>
    <row r="63" spans="1:9" s="627" customFormat="1" ht="15.75">
      <c r="A63" s="628">
        <v>45047</v>
      </c>
      <c r="B63" s="629">
        <v>1</v>
      </c>
      <c r="C63" s="629">
        <v>1</v>
      </c>
      <c r="D63" s="629">
        <v>14</v>
      </c>
      <c r="E63" s="629">
        <v>14</v>
      </c>
      <c r="F63" s="629">
        <v>109539</v>
      </c>
      <c r="G63" s="629">
        <v>105084</v>
      </c>
      <c r="H63" s="513">
        <f t="shared" si="12"/>
        <v>109554</v>
      </c>
      <c r="I63" s="513">
        <f t="shared" si="12"/>
        <v>105099</v>
      </c>
    </row>
    <row r="64" spans="1:9" s="627" customFormat="1" ht="15.75">
      <c r="A64" s="628">
        <v>45078</v>
      </c>
      <c r="B64" s="629">
        <v>1</v>
      </c>
      <c r="C64" s="629">
        <v>1</v>
      </c>
      <c r="D64" s="629">
        <v>15</v>
      </c>
      <c r="E64" s="629">
        <v>15</v>
      </c>
      <c r="F64" s="629">
        <v>109270</v>
      </c>
      <c r="G64" s="629">
        <v>105641</v>
      </c>
      <c r="H64" s="513">
        <f t="shared" si="12"/>
        <v>109286</v>
      </c>
      <c r="I64" s="513">
        <f t="shared" si="12"/>
        <v>105657</v>
      </c>
    </row>
    <row r="65" spans="1:9" s="627" customFormat="1" ht="15.75">
      <c r="A65" s="628">
        <v>45108</v>
      </c>
      <c r="B65" s="629">
        <v>1</v>
      </c>
      <c r="C65" s="629">
        <v>1</v>
      </c>
      <c r="D65" s="629">
        <v>15</v>
      </c>
      <c r="E65" s="629">
        <v>15</v>
      </c>
      <c r="F65" s="629">
        <v>109752</v>
      </c>
      <c r="G65" s="629">
        <v>106210</v>
      </c>
      <c r="H65" s="513">
        <f t="shared" si="12"/>
        <v>109768</v>
      </c>
      <c r="I65" s="513">
        <f t="shared" si="12"/>
        <v>106226</v>
      </c>
    </row>
    <row r="66" spans="1:9" s="627" customFormat="1" ht="15.75">
      <c r="A66" s="628">
        <v>45139</v>
      </c>
      <c r="B66" s="629">
        <v>1</v>
      </c>
      <c r="C66" s="629">
        <v>1</v>
      </c>
      <c r="D66" s="629">
        <v>15</v>
      </c>
      <c r="E66" s="629">
        <v>15</v>
      </c>
      <c r="F66" s="629">
        <v>107487</v>
      </c>
      <c r="G66" s="629">
        <v>106712</v>
      </c>
      <c r="H66" s="513">
        <f t="shared" si="12"/>
        <v>107503</v>
      </c>
      <c r="I66" s="513">
        <f t="shared" si="12"/>
        <v>106728</v>
      </c>
    </row>
    <row r="67" spans="1:9" s="627" customFormat="1" ht="15.75">
      <c r="A67" s="628">
        <v>45170</v>
      </c>
      <c r="B67" s="629">
        <v>1</v>
      </c>
      <c r="C67" s="629">
        <v>1</v>
      </c>
      <c r="D67" s="629">
        <v>15</v>
      </c>
      <c r="E67" s="629">
        <v>15</v>
      </c>
      <c r="F67" s="629">
        <v>107508</v>
      </c>
      <c r="G67" s="629">
        <v>106803</v>
      </c>
      <c r="H67" s="513">
        <f t="shared" si="12"/>
        <v>107524</v>
      </c>
      <c r="I67" s="513">
        <f t="shared" si="12"/>
        <v>106819</v>
      </c>
    </row>
    <row r="68" spans="1:9" s="626" customFormat="1" ht="15.75">
      <c r="A68" s="513" t="s">
        <v>274</v>
      </c>
      <c r="B68" s="513">
        <f t="shared" ref="B68:I68" si="13">SUM(B62:B67)</f>
        <v>6</v>
      </c>
      <c r="C68" s="513">
        <f t="shared" si="13"/>
        <v>6</v>
      </c>
      <c r="D68" s="513">
        <f t="shared" si="13"/>
        <v>90</v>
      </c>
      <c r="E68" s="513">
        <f t="shared" si="13"/>
        <v>90</v>
      </c>
      <c r="F68" s="513">
        <f t="shared" si="13"/>
        <v>655973</v>
      </c>
      <c r="G68" s="513">
        <f t="shared" si="13"/>
        <v>634353</v>
      </c>
      <c r="H68" s="513">
        <f t="shared" si="13"/>
        <v>656069</v>
      </c>
      <c r="I68" s="513">
        <f t="shared" si="13"/>
        <v>634449</v>
      </c>
    </row>
    <row r="69" spans="1:9" s="627" customFormat="1" ht="15.75">
      <c r="A69" s="629"/>
      <c r="B69" s="629"/>
      <c r="C69" s="629"/>
      <c r="D69" s="629"/>
      <c r="E69" s="629"/>
      <c r="F69" s="629"/>
      <c r="G69" s="629"/>
      <c r="H69" s="513"/>
      <c r="I69" s="513"/>
    </row>
    <row r="70" spans="1:9" s="627" customFormat="1" ht="15.75">
      <c r="A70" s="589" t="s">
        <v>3927</v>
      </c>
      <c r="B70" s="588"/>
      <c r="C70" s="587"/>
      <c r="D70" s="514"/>
      <c r="E70" s="514"/>
      <c r="F70" s="514"/>
      <c r="G70" s="514"/>
      <c r="H70" s="512"/>
      <c r="I70" s="512"/>
    </row>
    <row r="71" spans="1:9" s="627" customFormat="1" ht="15.75">
      <c r="A71" s="628">
        <v>45017</v>
      </c>
      <c r="B71" s="629">
        <v>0</v>
      </c>
      <c r="C71" s="629">
        <v>0</v>
      </c>
      <c r="D71" s="629">
        <v>57</v>
      </c>
      <c r="E71" s="629">
        <v>57</v>
      </c>
      <c r="F71" s="629">
        <v>221715</v>
      </c>
      <c r="G71" s="629">
        <v>194852</v>
      </c>
      <c r="H71" s="513">
        <f t="shared" ref="H71:I76" si="14">+B71+D71+F71</f>
        <v>221772</v>
      </c>
      <c r="I71" s="513">
        <f t="shared" si="14"/>
        <v>194909</v>
      </c>
    </row>
    <row r="72" spans="1:9" s="627" customFormat="1" ht="15.75">
      <c r="A72" s="628">
        <v>45047</v>
      </c>
      <c r="B72" s="629">
        <v>0</v>
      </c>
      <c r="C72" s="629">
        <v>0</v>
      </c>
      <c r="D72" s="629">
        <v>58</v>
      </c>
      <c r="E72" s="629">
        <v>58</v>
      </c>
      <c r="F72" s="629">
        <v>220123</v>
      </c>
      <c r="G72" s="629">
        <v>198314</v>
      </c>
      <c r="H72" s="513">
        <f t="shared" si="14"/>
        <v>220181</v>
      </c>
      <c r="I72" s="513">
        <f t="shared" si="14"/>
        <v>198372</v>
      </c>
    </row>
    <row r="73" spans="1:9" s="627" customFormat="1" ht="15.75">
      <c r="A73" s="628">
        <v>45078</v>
      </c>
      <c r="B73" s="629">
        <v>0</v>
      </c>
      <c r="C73" s="629">
        <v>0</v>
      </c>
      <c r="D73" s="629">
        <v>58</v>
      </c>
      <c r="E73" s="629">
        <v>58</v>
      </c>
      <c r="F73" s="629">
        <v>218620</v>
      </c>
      <c r="G73" s="629">
        <v>195925</v>
      </c>
      <c r="H73" s="513">
        <f t="shared" si="14"/>
        <v>218678</v>
      </c>
      <c r="I73" s="513">
        <f t="shared" si="14"/>
        <v>195983</v>
      </c>
    </row>
    <row r="74" spans="1:9" s="627" customFormat="1" ht="15.75">
      <c r="A74" s="628">
        <v>45108</v>
      </c>
      <c r="B74" s="629">
        <v>0</v>
      </c>
      <c r="C74" s="629">
        <v>0</v>
      </c>
      <c r="D74" s="629">
        <v>58</v>
      </c>
      <c r="E74" s="629">
        <v>58</v>
      </c>
      <c r="F74" s="629">
        <v>216829</v>
      </c>
      <c r="G74" s="629">
        <v>201374</v>
      </c>
      <c r="H74" s="513">
        <f t="shared" si="14"/>
        <v>216887</v>
      </c>
      <c r="I74" s="513">
        <f t="shared" si="14"/>
        <v>201432</v>
      </c>
    </row>
    <row r="75" spans="1:9" s="627" customFormat="1" ht="15.75">
      <c r="A75" s="628">
        <v>45139</v>
      </c>
      <c r="B75" s="629">
        <v>0</v>
      </c>
      <c r="C75" s="629">
        <v>0</v>
      </c>
      <c r="D75" s="629">
        <v>58</v>
      </c>
      <c r="E75" s="629">
        <v>58</v>
      </c>
      <c r="F75" s="629">
        <v>214738</v>
      </c>
      <c r="G75" s="629">
        <v>202787</v>
      </c>
      <c r="H75" s="513">
        <f t="shared" si="14"/>
        <v>214796</v>
      </c>
      <c r="I75" s="513">
        <f t="shared" si="14"/>
        <v>202845</v>
      </c>
    </row>
    <row r="76" spans="1:9" s="627" customFormat="1" ht="15.75">
      <c r="A76" s="628">
        <v>45170</v>
      </c>
      <c r="B76" s="629">
        <v>0</v>
      </c>
      <c r="C76" s="629">
        <v>0</v>
      </c>
      <c r="D76" s="629">
        <v>60</v>
      </c>
      <c r="E76" s="629">
        <v>60</v>
      </c>
      <c r="F76" s="629">
        <v>211268</v>
      </c>
      <c r="G76" s="629">
        <v>201884</v>
      </c>
      <c r="H76" s="513">
        <f t="shared" si="14"/>
        <v>211328</v>
      </c>
      <c r="I76" s="513">
        <f t="shared" si="14"/>
        <v>201944</v>
      </c>
    </row>
    <row r="77" spans="1:9" s="626" customFormat="1" ht="15.75">
      <c r="A77" s="513" t="s">
        <v>274</v>
      </c>
      <c r="B77" s="513">
        <f t="shared" ref="B77:I77" si="15">SUM(B71:B76)</f>
        <v>0</v>
      </c>
      <c r="C77" s="513">
        <f t="shared" si="15"/>
        <v>0</v>
      </c>
      <c r="D77" s="513">
        <f t="shared" si="15"/>
        <v>349</v>
      </c>
      <c r="E77" s="513">
        <f t="shared" si="15"/>
        <v>349</v>
      </c>
      <c r="F77" s="513">
        <f t="shared" si="15"/>
        <v>1303293</v>
      </c>
      <c r="G77" s="513">
        <f t="shared" si="15"/>
        <v>1195136</v>
      </c>
      <c r="H77" s="513">
        <f t="shared" si="15"/>
        <v>1303642</v>
      </c>
      <c r="I77" s="513">
        <f t="shared" si="15"/>
        <v>1195485</v>
      </c>
    </row>
    <row r="78" spans="1:9" s="627" customFormat="1" ht="15.75">
      <c r="A78" s="629"/>
      <c r="B78" s="629"/>
      <c r="C78" s="629"/>
      <c r="D78" s="629"/>
      <c r="E78" s="629"/>
      <c r="F78" s="629"/>
      <c r="G78" s="629"/>
      <c r="H78" s="513"/>
      <c r="I78" s="513"/>
    </row>
    <row r="79" spans="1:9" s="627" customFormat="1" ht="15.75">
      <c r="A79" s="589" t="s">
        <v>3928</v>
      </c>
      <c r="B79" s="588"/>
      <c r="C79" s="587"/>
      <c r="D79" s="514"/>
      <c r="E79" s="514"/>
      <c r="F79" s="514"/>
      <c r="G79" s="514"/>
      <c r="H79" s="512"/>
      <c r="I79" s="512"/>
    </row>
    <row r="80" spans="1:9" s="627" customFormat="1" ht="15.75">
      <c r="A80" s="628">
        <v>45017</v>
      </c>
      <c r="B80" s="629">
        <v>0</v>
      </c>
      <c r="C80" s="629">
        <v>0</v>
      </c>
      <c r="D80" s="629">
        <v>6</v>
      </c>
      <c r="E80" s="629">
        <v>6</v>
      </c>
      <c r="F80" s="629">
        <v>106705</v>
      </c>
      <c r="G80" s="629">
        <v>89543</v>
      </c>
      <c r="H80" s="513">
        <f t="shared" ref="H80:I85" si="16">+B80+D80+F80</f>
        <v>106711</v>
      </c>
      <c r="I80" s="513">
        <f t="shared" si="16"/>
        <v>89549</v>
      </c>
    </row>
    <row r="81" spans="1:9" s="627" customFormat="1" ht="15.75">
      <c r="A81" s="628">
        <v>45047</v>
      </c>
      <c r="B81" s="629">
        <v>0</v>
      </c>
      <c r="C81" s="629">
        <v>0</v>
      </c>
      <c r="D81" s="629">
        <v>6</v>
      </c>
      <c r="E81" s="629">
        <v>6</v>
      </c>
      <c r="F81" s="629">
        <v>98930</v>
      </c>
      <c r="G81" s="629">
        <v>87584</v>
      </c>
      <c r="H81" s="513">
        <f t="shared" si="16"/>
        <v>98936</v>
      </c>
      <c r="I81" s="513">
        <f t="shared" si="16"/>
        <v>87590</v>
      </c>
    </row>
    <row r="82" spans="1:9" s="627" customFormat="1" ht="15.75">
      <c r="A82" s="628">
        <v>45078</v>
      </c>
      <c r="B82" s="629">
        <v>0</v>
      </c>
      <c r="C82" s="629">
        <v>0</v>
      </c>
      <c r="D82" s="629">
        <v>6</v>
      </c>
      <c r="E82" s="629">
        <v>6</v>
      </c>
      <c r="F82" s="629">
        <v>99251</v>
      </c>
      <c r="G82" s="629">
        <v>87041</v>
      </c>
      <c r="H82" s="513">
        <f t="shared" si="16"/>
        <v>99257</v>
      </c>
      <c r="I82" s="513">
        <f t="shared" si="16"/>
        <v>87047</v>
      </c>
    </row>
    <row r="83" spans="1:9" s="627" customFormat="1" ht="15.75">
      <c r="A83" s="628">
        <v>45108</v>
      </c>
      <c r="B83" s="629">
        <v>0</v>
      </c>
      <c r="C83" s="629">
        <v>0</v>
      </c>
      <c r="D83" s="629">
        <v>6</v>
      </c>
      <c r="E83" s="629">
        <v>6</v>
      </c>
      <c r="F83" s="629">
        <v>98424</v>
      </c>
      <c r="G83" s="629">
        <v>90803</v>
      </c>
      <c r="H83" s="513">
        <f t="shared" si="16"/>
        <v>98430</v>
      </c>
      <c r="I83" s="513">
        <f t="shared" si="16"/>
        <v>90809</v>
      </c>
    </row>
    <row r="84" spans="1:9" s="627" customFormat="1" ht="15.75">
      <c r="A84" s="628">
        <v>45139</v>
      </c>
      <c r="B84" s="629">
        <v>0</v>
      </c>
      <c r="C84" s="629">
        <v>0</v>
      </c>
      <c r="D84" s="629">
        <v>6</v>
      </c>
      <c r="E84" s="629">
        <v>6</v>
      </c>
      <c r="F84" s="629">
        <v>96736</v>
      </c>
      <c r="G84" s="629">
        <v>92898</v>
      </c>
      <c r="H84" s="513">
        <f t="shared" si="16"/>
        <v>96742</v>
      </c>
      <c r="I84" s="513">
        <f t="shared" si="16"/>
        <v>92904</v>
      </c>
    </row>
    <row r="85" spans="1:9" s="627" customFormat="1" ht="15.75">
      <c r="A85" s="628">
        <v>45170</v>
      </c>
      <c r="B85" s="629">
        <v>0</v>
      </c>
      <c r="C85" s="629">
        <v>0</v>
      </c>
      <c r="D85" s="629">
        <v>6</v>
      </c>
      <c r="E85" s="629">
        <v>6</v>
      </c>
      <c r="F85" s="629">
        <v>93275</v>
      </c>
      <c r="G85" s="629">
        <v>92560</v>
      </c>
      <c r="H85" s="513">
        <f t="shared" si="16"/>
        <v>93281</v>
      </c>
      <c r="I85" s="513">
        <f t="shared" si="16"/>
        <v>92566</v>
      </c>
    </row>
    <row r="86" spans="1:9" s="626" customFormat="1" ht="15.75">
      <c r="A86" s="513" t="s">
        <v>274</v>
      </c>
      <c r="B86" s="513">
        <f t="shared" ref="B86:I86" si="17">SUM(B80:B85)</f>
        <v>0</v>
      </c>
      <c r="C86" s="513">
        <f t="shared" si="17"/>
        <v>0</v>
      </c>
      <c r="D86" s="513">
        <f t="shared" si="17"/>
        <v>36</v>
      </c>
      <c r="E86" s="513">
        <f t="shared" si="17"/>
        <v>36</v>
      </c>
      <c r="F86" s="513">
        <f t="shared" si="17"/>
        <v>593321</v>
      </c>
      <c r="G86" s="513">
        <f t="shared" si="17"/>
        <v>540429</v>
      </c>
      <c r="H86" s="513">
        <f t="shared" si="17"/>
        <v>593357</v>
      </c>
      <c r="I86" s="513">
        <f t="shared" si="17"/>
        <v>540465</v>
      </c>
    </row>
    <row r="87" spans="1:9" s="627" customFormat="1" ht="15.75">
      <c r="A87" s="629"/>
      <c r="B87" s="629"/>
      <c r="C87" s="629"/>
      <c r="D87" s="629"/>
      <c r="E87" s="629"/>
      <c r="F87" s="629"/>
      <c r="G87" s="629"/>
      <c r="H87" s="513"/>
      <c r="I87" s="513"/>
    </row>
    <row r="88" spans="1:9" s="627" customFormat="1" ht="15.75">
      <c r="A88" s="589" t="s">
        <v>3929</v>
      </c>
      <c r="B88" s="588"/>
      <c r="C88" s="587"/>
      <c r="D88" s="514"/>
      <c r="E88" s="514"/>
      <c r="F88" s="514"/>
      <c r="G88" s="514"/>
      <c r="H88" s="512"/>
      <c r="I88" s="512"/>
    </row>
    <row r="89" spans="1:9" s="627" customFormat="1" ht="15.75">
      <c r="A89" s="628">
        <v>45017</v>
      </c>
      <c r="B89" s="629">
        <v>0</v>
      </c>
      <c r="C89" s="629">
        <v>0</v>
      </c>
      <c r="D89" s="629">
        <v>30</v>
      </c>
      <c r="E89" s="629">
        <v>30</v>
      </c>
      <c r="F89" s="629">
        <v>206323</v>
      </c>
      <c r="G89" s="629">
        <v>182735</v>
      </c>
      <c r="H89" s="513">
        <f t="shared" ref="H89:I94" si="18">+B89+D89+F89</f>
        <v>206353</v>
      </c>
      <c r="I89" s="513">
        <f t="shared" si="18"/>
        <v>182765</v>
      </c>
    </row>
    <row r="90" spans="1:9" s="627" customFormat="1" ht="15.75">
      <c r="A90" s="628">
        <v>45047</v>
      </c>
      <c r="B90" s="629">
        <v>0</v>
      </c>
      <c r="C90" s="629">
        <v>0</v>
      </c>
      <c r="D90" s="629">
        <v>30</v>
      </c>
      <c r="E90" s="629">
        <v>30</v>
      </c>
      <c r="F90" s="629">
        <v>201811</v>
      </c>
      <c r="G90" s="629">
        <v>187348</v>
      </c>
      <c r="H90" s="513">
        <f t="shared" si="18"/>
        <v>201841</v>
      </c>
      <c r="I90" s="513">
        <f t="shared" si="18"/>
        <v>187378</v>
      </c>
    </row>
    <row r="91" spans="1:9" s="627" customFormat="1" ht="15.75">
      <c r="A91" s="628">
        <v>45078</v>
      </c>
      <c r="B91" s="629">
        <v>0</v>
      </c>
      <c r="C91" s="629">
        <v>0</v>
      </c>
      <c r="D91" s="629">
        <v>30</v>
      </c>
      <c r="E91" s="629">
        <v>30</v>
      </c>
      <c r="F91" s="629">
        <v>198370</v>
      </c>
      <c r="G91" s="629">
        <v>177408</v>
      </c>
      <c r="H91" s="513">
        <f t="shared" si="18"/>
        <v>198400</v>
      </c>
      <c r="I91" s="513">
        <f t="shared" si="18"/>
        <v>177438</v>
      </c>
    </row>
    <row r="92" spans="1:9" s="627" customFormat="1" ht="15.75">
      <c r="A92" s="628">
        <v>45108</v>
      </c>
      <c r="B92" s="629">
        <v>0</v>
      </c>
      <c r="C92" s="629">
        <v>0</v>
      </c>
      <c r="D92" s="629">
        <v>33</v>
      </c>
      <c r="E92" s="629">
        <v>33</v>
      </c>
      <c r="F92" s="629">
        <v>195796</v>
      </c>
      <c r="G92" s="629">
        <v>180820</v>
      </c>
      <c r="H92" s="513">
        <f t="shared" si="18"/>
        <v>195829</v>
      </c>
      <c r="I92" s="513">
        <f t="shared" si="18"/>
        <v>180853</v>
      </c>
    </row>
    <row r="93" spans="1:9" s="627" customFormat="1" ht="15.75">
      <c r="A93" s="628">
        <v>45139</v>
      </c>
      <c r="B93" s="629">
        <v>0</v>
      </c>
      <c r="C93" s="629">
        <v>0</v>
      </c>
      <c r="D93" s="629">
        <v>34</v>
      </c>
      <c r="E93" s="629">
        <v>34</v>
      </c>
      <c r="F93" s="629">
        <v>193293</v>
      </c>
      <c r="G93" s="629">
        <v>179572</v>
      </c>
      <c r="H93" s="513">
        <f t="shared" si="18"/>
        <v>193327</v>
      </c>
      <c r="I93" s="513">
        <f t="shared" si="18"/>
        <v>179606</v>
      </c>
    </row>
    <row r="94" spans="1:9" s="627" customFormat="1" ht="15.75">
      <c r="A94" s="628">
        <v>45170</v>
      </c>
      <c r="B94" s="629">
        <v>0</v>
      </c>
      <c r="C94" s="629">
        <v>0</v>
      </c>
      <c r="D94" s="629">
        <v>35</v>
      </c>
      <c r="E94" s="629">
        <v>35</v>
      </c>
      <c r="F94" s="629">
        <v>193396</v>
      </c>
      <c r="G94" s="629">
        <v>183356</v>
      </c>
      <c r="H94" s="513">
        <f t="shared" si="18"/>
        <v>193431</v>
      </c>
      <c r="I94" s="513">
        <f t="shared" si="18"/>
        <v>183391</v>
      </c>
    </row>
    <row r="95" spans="1:9" s="626" customFormat="1" ht="15.75">
      <c r="A95" s="513" t="s">
        <v>274</v>
      </c>
      <c r="B95" s="513">
        <f t="shared" ref="B95:I95" si="19">SUM(B89:B94)</f>
        <v>0</v>
      </c>
      <c r="C95" s="513">
        <f t="shared" si="19"/>
        <v>0</v>
      </c>
      <c r="D95" s="513">
        <f t="shared" si="19"/>
        <v>192</v>
      </c>
      <c r="E95" s="513">
        <f t="shared" si="19"/>
        <v>192</v>
      </c>
      <c r="F95" s="513">
        <f t="shared" si="19"/>
        <v>1188989</v>
      </c>
      <c r="G95" s="513">
        <f t="shared" si="19"/>
        <v>1091239</v>
      </c>
      <c r="H95" s="513">
        <f t="shared" si="19"/>
        <v>1189181</v>
      </c>
      <c r="I95" s="513">
        <f t="shared" si="19"/>
        <v>1091431</v>
      </c>
    </row>
    <row r="96" spans="1:9" s="627" customFormat="1" ht="15.75">
      <c r="A96" s="629"/>
      <c r="B96" s="629"/>
      <c r="C96" s="629"/>
      <c r="D96" s="629"/>
      <c r="E96" s="629"/>
      <c r="F96" s="629"/>
      <c r="G96" s="629"/>
      <c r="H96" s="513"/>
      <c r="I96" s="513"/>
    </row>
    <row r="97" spans="1:9" s="627" customFormat="1" ht="15.75">
      <c r="A97" s="589" t="s">
        <v>3930</v>
      </c>
      <c r="B97" s="588"/>
      <c r="C97" s="587"/>
      <c r="D97" s="514"/>
      <c r="E97" s="514"/>
      <c r="F97" s="514"/>
      <c r="G97" s="514"/>
      <c r="H97" s="512"/>
      <c r="I97" s="512"/>
    </row>
    <row r="98" spans="1:9" s="627" customFormat="1" ht="15.75">
      <c r="A98" s="628">
        <v>45017</v>
      </c>
      <c r="B98" s="629">
        <v>15</v>
      </c>
      <c r="C98" s="629">
        <v>15</v>
      </c>
      <c r="D98" s="629">
        <v>60</v>
      </c>
      <c r="E98" s="629">
        <v>60</v>
      </c>
      <c r="F98" s="629">
        <v>99258</v>
      </c>
      <c r="G98" s="629">
        <v>93312</v>
      </c>
      <c r="H98" s="513">
        <f t="shared" ref="H98:I103" si="20">+B98+D98+F98</f>
        <v>99333</v>
      </c>
      <c r="I98" s="513">
        <f t="shared" si="20"/>
        <v>93387</v>
      </c>
    </row>
    <row r="99" spans="1:9" s="627" customFormat="1" ht="15.75">
      <c r="A99" s="628">
        <v>45047</v>
      </c>
      <c r="B99" s="629">
        <v>15</v>
      </c>
      <c r="C99" s="629">
        <v>15</v>
      </c>
      <c r="D99" s="629">
        <v>61</v>
      </c>
      <c r="E99" s="629">
        <v>61</v>
      </c>
      <c r="F99" s="629">
        <v>96065</v>
      </c>
      <c r="G99" s="629">
        <v>94649</v>
      </c>
      <c r="H99" s="513">
        <f t="shared" si="20"/>
        <v>96141</v>
      </c>
      <c r="I99" s="513">
        <f t="shared" si="20"/>
        <v>94725</v>
      </c>
    </row>
    <row r="100" spans="1:9" s="627" customFormat="1" ht="15.75">
      <c r="A100" s="628">
        <v>45078</v>
      </c>
      <c r="B100" s="629">
        <v>15</v>
      </c>
      <c r="C100" s="629">
        <v>15</v>
      </c>
      <c r="D100" s="629">
        <v>62</v>
      </c>
      <c r="E100" s="629">
        <v>62</v>
      </c>
      <c r="F100" s="629">
        <v>95826</v>
      </c>
      <c r="G100" s="629">
        <v>94193</v>
      </c>
      <c r="H100" s="513">
        <f t="shared" si="20"/>
        <v>95903</v>
      </c>
      <c r="I100" s="513">
        <f t="shared" si="20"/>
        <v>94270</v>
      </c>
    </row>
    <row r="101" spans="1:9" s="627" customFormat="1" ht="15.75">
      <c r="A101" s="628">
        <v>45108</v>
      </c>
      <c r="B101" s="629">
        <v>15</v>
      </c>
      <c r="C101" s="629">
        <v>15</v>
      </c>
      <c r="D101" s="629">
        <v>63</v>
      </c>
      <c r="E101" s="629">
        <v>63</v>
      </c>
      <c r="F101" s="629">
        <v>93784</v>
      </c>
      <c r="G101" s="629">
        <v>93916</v>
      </c>
      <c r="H101" s="513">
        <f t="shared" si="20"/>
        <v>93862</v>
      </c>
      <c r="I101" s="513">
        <f t="shared" si="20"/>
        <v>93994</v>
      </c>
    </row>
    <row r="102" spans="1:9" s="627" customFormat="1" ht="15.75">
      <c r="A102" s="628">
        <v>45139</v>
      </c>
      <c r="B102" s="629">
        <v>15</v>
      </c>
      <c r="C102" s="629">
        <v>15</v>
      </c>
      <c r="D102" s="629">
        <v>62</v>
      </c>
      <c r="E102" s="629">
        <v>62</v>
      </c>
      <c r="F102" s="629">
        <v>93106</v>
      </c>
      <c r="G102" s="629">
        <v>92166</v>
      </c>
      <c r="H102" s="513">
        <f t="shared" si="20"/>
        <v>93183</v>
      </c>
      <c r="I102" s="513">
        <f t="shared" si="20"/>
        <v>92243</v>
      </c>
    </row>
    <row r="103" spans="1:9" s="627" customFormat="1" ht="15.75">
      <c r="A103" s="628">
        <v>45170</v>
      </c>
      <c r="B103" s="629">
        <v>15</v>
      </c>
      <c r="C103" s="629">
        <v>15</v>
      </c>
      <c r="D103" s="629">
        <v>64</v>
      </c>
      <c r="E103" s="629">
        <v>64</v>
      </c>
      <c r="F103" s="629">
        <v>93509</v>
      </c>
      <c r="G103" s="629">
        <v>92667</v>
      </c>
      <c r="H103" s="513">
        <f t="shared" si="20"/>
        <v>93588</v>
      </c>
      <c r="I103" s="513">
        <f t="shared" si="20"/>
        <v>92746</v>
      </c>
    </row>
    <row r="104" spans="1:9" s="626" customFormat="1" ht="15.75">
      <c r="A104" s="513" t="s">
        <v>274</v>
      </c>
      <c r="B104" s="513">
        <f t="shared" ref="B104:I104" si="21">SUM(B98:B103)</f>
        <v>90</v>
      </c>
      <c r="C104" s="513">
        <f t="shared" si="21"/>
        <v>90</v>
      </c>
      <c r="D104" s="513">
        <f t="shared" si="21"/>
        <v>372</v>
      </c>
      <c r="E104" s="513">
        <f t="shared" si="21"/>
        <v>372</v>
      </c>
      <c r="F104" s="513">
        <f t="shared" si="21"/>
        <v>571548</v>
      </c>
      <c r="G104" s="513">
        <f t="shared" si="21"/>
        <v>560903</v>
      </c>
      <c r="H104" s="513">
        <f t="shared" si="21"/>
        <v>572010</v>
      </c>
      <c r="I104" s="513">
        <f t="shared" si="21"/>
        <v>561365</v>
      </c>
    </row>
    <row r="105" spans="1:9" s="627" customFormat="1" ht="15.75">
      <c r="A105" s="629"/>
      <c r="B105" s="629"/>
      <c r="C105" s="629"/>
      <c r="D105" s="629"/>
      <c r="E105" s="629"/>
      <c r="F105" s="629"/>
      <c r="G105" s="629"/>
      <c r="H105" s="513"/>
      <c r="I105" s="513"/>
    </row>
    <row r="106" spans="1:9" s="627" customFormat="1" ht="15.75">
      <c r="A106" s="589" t="s">
        <v>3931</v>
      </c>
      <c r="B106" s="588"/>
      <c r="C106" s="587"/>
      <c r="D106" s="514"/>
      <c r="E106" s="514"/>
      <c r="F106" s="514"/>
      <c r="G106" s="514"/>
      <c r="H106" s="512"/>
      <c r="I106" s="512"/>
    </row>
    <row r="107" spans="1:9" s="627" customFormat="1" ht="15.75">
      <c r="A107" s="628">
        <v>45017</v>
      </c>
      <c r="B107" s="629">
        <v>0</v>
      </c>
      <c r="C107" s="629">
        <v>0</v>
      </c>
      <c r="D107" s="629">
        <v>6</v>
      </c>
      <c r="E107" s="629">
        <v>6</v>
      </c>
      <c r="F107" s="629">
        <v>100750</v>
      </c>
      <c r="G107" s="629">
        <v>93484</v>
      </c>
      <c r="H107" s="513">
        <f t="shared" ref="H107:I112" si="22">+B107+D107+F107</f>
        <v>100756</v>
      </c>
      <c r="I107" s="513">
        <f t="shared" si="22"/>
        <v>93490</v>
      </c>
    </row>
    <row r="108" spans="1:9" s="627" customFormat="1" ht="15.75">
      <c r="A108" s="628">
        <v>45047</v>
      </c>
      <c r="B108" s="629">
        <v>0</v>
      </c>
      <c r="C108" s="629">
        <v>0</v>
      </c>
      <c r="D108" s="629">
        <v>6</v>
      </c>
      <c r="E108" s="629">
        <v>6</v>
      </c>
      <c r="F108" s="629">
        <v>99708</v>
      </c>
      <c r="G108" s="629">
        <v>94357</v>
      </c>
      <c r="H108" s="513">
        <f t="shared" si="22"/>
        <v>99714</v>
      </c>
      <c r="I108" s="513">
        <f t="shared" si="22"/>
        <v>94363</v>
      </c>
    </row>
    <row r="109" spans="1:9" s="627" customFormat="1" ht="15.75">
      <c r="A109" s="628">
        <v>45078</v>
      </c>
      <c r="B109" s="629">
        <v>0</v>
      </c>
      <c r="C109" s="629">
        <v>0</v>
      </c>
      <c r="D109" s="629">
        <v>6</v>
      </c>
      <c r="E109" s="629">
        <v>6</v>
      </c>
      <c r="F109" s="629">
        <v>99594</v>
      </c>
      <c r="G109" s="629">
        <v>95985</v>
      </c>
      <c r="H109" s="513">
        <f t="shared" si="22"/>
        <v>99600</v>
      </c>
      <c r="I109" s="513">
        <f t="shared" si="22"/>
        <v>95991</v>
      </c>
    </row>
    <row r="110" spans="1:9" s="627" customFormat="1" ht="15.75">
      <c r="A110" s="628">
        <v>45108</v>
      </c>
      <c r="B110" s="629">
        <v>0</v>
      </c>
      <c r="C110" s="629">
        <v>0</v>
      </c>
      <c r="D110" s="629">
        <v>6</v>
      </c>
      <c r="E110" s="629">
        <v>6</v>
      </c>
      <c r="F110" s="629">
        <v>99189</v>
      </c>
      <c r="G110" s="629">
        <v>96668</v>
      </c>
      <c r="H110" s="513">
        <f t="shared" si="22"/>
        <v>99195</v>
      </c>
      <c r="I110" s="513">
        <f t="shared" si="22"/>
        <v>96674</v>
      </c>
    </row>
    <row r="111" spans="1:9" s="627" customFormat="1" ht="15.75">
      <c r="A111" s="628">
        <v>45139</v>
      </c>
      <c r="B111" s="629">
        <v>0</v>
      </c>
      <c r="C111" s="629">
        <v>0</v>
      </c>
      <c r="D111" s="629">
        <v>8</v>
      </c>
      <c r="E111" s="629">
        <v>8</v>
      </c>
      <c r="F111" s="629">
        <v>98663</v>
      </c>
      <c r="G111" s="629">
        <v>95939</v>
      </c>
      <c r="H111" s="513">
        <f t="shared" si="22"/>
        <v>98671</v>
      </c>
      <c r="I111" s="513">
        <f t="shared" si="22"/>
        <v>95947</v>
      </c>
    </row>
    <row r="112" spans="1:9" s="627" customFormat="1" ht="15.75">
      <c r="A112" s="628">
        <v>45170</v>
      </c>
      <c r="B112" s="629">
        <v>0</v>
      </c>
      <c r="C112" s="629">
        <v>0</v>
      </c>
      <c r="D112" s="629">
        <v>8</v>
      </c>
      <c r="E112" s="629">
        <v>8</v>
      </c>
      <c r="F112" s="629">
        <v>98791</v>
      </c>
      <c r="G112" s="629">
        <v>96347</v>
      </c>
      <c r="H112" s="513">
        <f t="shared" si="22"/>
        <v>98799</v>
      </c>
      <c r="I112" s="513">
        <f t="shared" si="22"/>
        <v>96355</v>
      </c>
    </row>
    <row r="113" spans="1:9" s="626" customFormat="1" ht="15.75">
      <c r="A113" s="513" t="s">
        <v>274</v>
      </c>
      <c r="B113" s="513">
        <f t="shared" ref="B113:I113" si="23">SUM(B107:B112)</f>
        <v>0</v>
      </c>
      <c r="C113" s="513">
        <f t="shared" si="23"/>
        <v>0</v>
      </c>
      <c r="D113" s="513">
        <f t="shared" si="23"/>
        <v>40</v>
      </c>
      <c r="E113" s="513">
        <f t="shared" si="23"/>
        <v>40</v>
      </c>
      <c r="F113" s="513">
        <f t="shared" si="23"/>
        <v>596695</v>
      </c>
      <c r="G113" s="513">
        <f t="shared" si="23"/>
        <v>572780</v>
      </c>
      <c r="H113" s="513">
        <f t="shared" si="23"/>
        <v>596735</v>
      </c>
      <c r="I113" s="513">
        <f t="shared" si="23"/>
        <v>572820</v>
      </c>
    </row>
    <row r="114" spans="1:9" s="627" customFormat="1" ht="15.75">
      <c r="A114" s="629"/>
      <c r="B114" s="629"/>
      <c r="C114" s="629"/>
      <c r="D114" s="629"/>
      <c r="E114" s="629"/>
      <c r="F114" s="629"/>
      <c r="G114" s="629"/>
      <c r="H114" s="513"/>
      <c r="I114" s="513"/>
    </row>
    <row r="115" spans="1:9" s="627" customFormat="1" ht="15.75">
      <c r="A115" s="589" t="s">
        <v>3932</v>
      </c>
      <c r="B115" s="588"/>
      <c r="C115" s="587"/>
      <c r="D115" s="514"/>
      <c r="E115" s="514"/>
      <c r="F115" s="514"/>
      <c r="G115" s="514"/>
      <c r="H115" s="512"/>
      <c r="I115" s="512"/>
    </row>
    <row r="116" spans="1:9" s="627" customFormat="1" ht="15.75">
      <c r="A116" s="628">
        <v>45017</v>
      </c>
      <c r="B116" s="629">
        <v>1</v>
      </c>
      <c r="C116" s="629">
        <v>1</v>
      </c>
      <c r="D116" s="629">
        <v>50</v>
      </c>
      <c r="E116" s="629">
        <v>50</v>
      </c>
      <c r="F116" s="629">
        <v>113849</v>
      </c>
      <c r="G116" s="629">
        <v>106576</v>
      </c>
      <c r="H116" s="513">
        <f t="shared" ref="H116:I121" si="24">+B116+D116+F116</f>
        <v>113900</v>
      </c>
      <c r="I116" s="513">
        <f t="shared" si="24"/>
        <v>106627</v>
      </c>
    </row>
    <row r="117" spans="1:9" s="627" customFormat="1" ht="15.75">
      <c r="A117" s="628">
        <v>45047</v>
      </c>
      <c r="B117" s="629">
        <v>1</v>
      </c>
      <c r="C117" s="629">
        <v>1</v>
      </c>
      <c r="D117" s="629">
        <v>50</v>
      </c>
      <c r="E117" s="629">
        <v>50</v>
      </c>
      <c r="F117" s="629">
        <v>110906</v>
      </c>
      <c r="G117" s="629">
        <v>107486</v>
      </c>
      <c r="H117" s="513">
        <f t="shared" si="24"/>
        <v>110957</v>
      </c>
      <c r="I117" s="513">
        <f t="shared" si="24"/>
        <v>107537</v>
      </c>
    </row>
    <row r="118" spans="1:9" s="627" customFormat="1" ht="15.75">
      <c r="A118" s="628">
        <v>45078</v>
      </c>
      <c r="B118" s="629">
        <v>1</v>
      </c>
      <c r="C118" s="629">
        <v>1</v>
      </c>
      <c r="D118" s="629">
        <v>53</v>
      </c>
      <c r="E118" s="629">
        <v>53</v>
      </c>
      <c r="F118" s="629">
        <v>110593</v>
      </c>
      <c r="G118" s="629">
        <v>107229</v>
      </c>
      <c r="H118" s="513">
        <f t="shared" si="24"/>
        <v>110647</v>
      </c>
      <c r="I118" s="513">
        <f t="shared" si="24"/>
        <v>107283</v>
      </c>
    </row>
    <row r="119" spans="1:9" s="627" customFormat="1" ht="15.75">
      <c r="A119" s="628">
        <v>45108</v>
      </c>
      <c r="B119" s="629">
        <v>1</v>
      </c>
      <c r="C119" s="629">
        <v>1</v>
      </c>
      <c r="D119" s="629">
        <v>54</v>
      </c>
      <c r="E119" s="629">
        <v>54</v>
      </c>
      <c r="F119" s="629">
        <v>109931</v>
      </c>
      <c r="G119" s="629">
        <v>107532</v>
      </c>
      <c r="H119" s="513">
        <f t="shared" si="24"/>
        <v>109986</v>
      </c>
      <c r="I119" s="513">
        <f t="shared" si="24"/>
        <v>107587</v>
      </c>
    </row>
    <row r="120" spans="1:9" s="627" customFormat="1" ht="15.75">
      <c r="A120" s="628">
        <v>45139</v>
      </c>
      <c r="B120" s="629">
        <v>1</v>
      </c>
      <c r="C120" s="629">
        <v>1</v>
      </c>
      <c r="D120" s="629">
        <v>54</v>
      </c>
      <c r="E120" s="629">
        <v>54</v>
      </c>
      <c r="F120" s="629">
        <v>108497</v>
      </c>
      <c r="G120" s="629">
        <v>106526</v>
      </c>
      <c r="H120" s="513">
        <f t="shared" si="24"/>
        <v>108552</v>
      </c>
      <c r="I120" s="513">
        <f t="shared" si="24"/>
        <v>106581</v>
      </c>
    </row>
    <row r="121" spans="1:9" s="627" customFormat="1" ht="15.75">
      <c r="A121" s="628">
        <v>45170</v>
      </c>
      <c r="B121" s="629">
        <v>1</v>
      </c>
      <c r="C121" s="629">
        <v>1</v>
      </c>
      <c r="D121" s="629">
        <v>55</v>
      </c>
      <c r="E121" s="629">
        <v>55</v>
      </c>
      <c r="F121" s="629">
        <v>108555</v>
      </c>
      <c r="G121" s="629">
        <v>106854</v>
      </c>
      <c r="H121" s="513">
        <f t="shared" si="24"/>
        <v>108611</v>
      </c>
      <c r="I121" s="513">
        <f t="shared" si="24"/>
        <v>106910</v>
      </c>
    </row>
    <row r="122" spans="1:9" s="626" customFormat="1" ht="15.75">
      <c r="A122" s="513" t="s">
        <v>274</v>
      </c>
      <c r="B122" s="513">
        <f t="shared" ref="B122:I122" si="25">SUM(B116:B121)</f>
        <v>6</v>
      </c>
      <c r="C122" s="513">
        <f t="shared" si="25"/>
        <v>6</v>
      </c>
      <c r="D122" s="513">
        <f t="shared" si="25"/>
        <v>316</v>
      </c>
      <c r="E122" s="513">
        <f t="shared" si="25"/>
        <v>316</v>
      </c>
      <c r="F122" s="513">
        <f t="shared" si="25"/>
        <v>662331</v>
      </c>
      <c r="G122" s="513">
        <f t="shared" si="25"/>
        <v>642203</v>
      </c>
      <c r="H122" s="513">
        <f t="shared" si="25"/>
        <v>662653</v>
      </c>
      <c r="I122" s="513">
        <f t="shared" si="25"/>
        <v>642525</v>
      </c>
    </row>
    <row r="123" spans="1:9" s="627" customFormat="1" ht="15.75">
      <c r="A123" s="629"/>
      <c r="B123" s="629"/>
      <c r="C123" s="629"/>
      <c r="D123" s="629"/>
      <c r="E123" s="629"/>
      <c r="F123" s="629"/>
      <c r="G123" s="629"/>
      <c r="H123" s="513"/>
      <c r="I123" s="513"/>
    </row>
    <row r="124" spans="1:9" s="627" customFormat="1" ht="15.75">
      <c r="A124" s="589" t="s">
        <v>3933</v>
      </c>
      <c r="B124" s="588"/>
      <c r="C124" s="587"/>
      <c r="D124" s="514"/>
      <c r="E124" s="514"/>
      <c r="F124" s="514"/>
      <c r="G124" s="514"/>
      <c r="H124" s="512"/>
      <c r="I124" s="512"/>
    </row>
    <row r="125" spans="1:9" s="627" customFormat="1" ht="15.75">
      <c r="A125" s="628">
        <v>45017</v>
      </c>
      <c r="B125" s="629">
        <v>2</v>
      </c>
      <c r="C125" s="629">
        <v>2</v>
      </c>
      <c r="D125" s="629">
        <v>46</v>
      </c>
      <c r="E125" s="629">
        <v>46</v>
      </c>
      <c r="F125" s="629">
        <v>120712</v>
      </c>
      <c r="G125" s="629">
        <v>110762</v>
      </c>
      <c r="H125" s="513">
        <f t="shared" ref="H125:I130" si="26">+B125+D125+F125</f>
        <v>120760</v>
      </c>
      <c r="I125" s="513">
        <f t="shared" si="26"/>
        <v>110810</v>
      </c>
    </row>
    <row r="126" spans="1:9" s="627" customFormat="1" ht="15.75">
      <c r="A126" s="628">
        <v>45047</v>
      </c>
      <c r="B126" s="629">
        <v>2</v>
      </c>
      <c r="C126" s="629">
        <v>2</v>
      </c>
      <c r="D126" s="629">
        <v>43</v>
      </c>
      <c r="E126" s="629">
        <v>43</v>
      </c>
      <c r="F126" s="629">
        <v>117761</v>
      </c>
      <c r="G126" s="629">
        <v>111211</v>
      </c>
      <c r="H126" s="513">
        <f t="shared" si="26"/>
        <v>117806</v>
      </c>
      <c r="I126" s="513">
        <f t="shared" si="26"/>
        <v>111256</v>
      </c>
    </row>
    <row r="127" spans="1:9" s="627" customFormat="1" ht="15.75">
      <c r="A127" s="628">
        <v>45078</v>
      </c>
      <c r="B127" s="629">
        <v>2</v>
      </c>
      <c r="C127" s="629">
        <v>2</v>
      </c>
      <c r="D127" s="629">
        <v>43</v>
      </c>
      <c r="E127" s="629">
        <v>43</v>
      </c>
      <c r="F127" s="629">
        <v>118070</v>
      </c>
      <c r="G127" s="629">
        <v>110581</v>
      </c>
      <c r="H127" s="513">
        <f t="shared" si="26"/>
        <v>118115</v>
      </c>
      <c r="I127" s="513">
        <f t="shared" si="26"/>
        <v>110626</v>
      </c>
    </row>
    <row r="128" spans="1:9" s="627" customFormat="1" ht="15.75">
      <c r="A128" s="628">
        <v>45108</v>
      </c>
      <c r="B128" s="629">
        <v>2</v>
      </c>
      <c r="C128" s="629">
        <v>2</v>
      </c>
      <c r="D128" s="629">
        <v>43</v>
      </c>
      <c r="E128" s="629">
        <v>43</v>
      </c>
      <c r="F128" s="629">
        <v>118016</v>
      </c>
      <c r="G128" s="629">
        <v>113297</v>
      </c>
      <c r="H128" s="513">
        <f t="shared" si="26"/>
        <v>118061</v>
      </c>
      <c r="I128" s="513">
        <f t="shared" si="26"/>
        <v>113342</v>
      </c>
    </row>
    <row r="129" spans="1:9" s="627" customFormat="1" ht="15.75">
      <c r="A129" s="628">
        <v>45139</v>
      </c>
      <c r="B129" s="629">
        <v>2</v>
      </c>
      <c r="C129" s="629">
        <v>2</v>
      </c>
      <c r="D129" s="629">
        <v>43</v>
      </c>
      <c r="E129" s="629">
        <v>43</v>
      </c>
      <c r="F129" s="629">
        <v>118586</v>
      </c>
      <c r="G129" s="629">
        <v>114558</v>
      </c>
      <c r="H129" s="513">
        <f t="shared" si="26"/>
        <v>118631</v>
      </c>
      <c r="I129" s="513">
        <f t="shared" si="26"/>
        <v>114603</v>
      </c>
    </row>
    <row r="130" spans="1:9" s="627" customFormat="1" ht="15.75">
      <c r="A130" s="628">
        <v>45170</v>
      </c>
      <c r="B130" s="629">
        <v>2</v>
      </c>
      <c r="C130" s="629">
        <v>2</v>
      </c>
      <c r="D130" s="629">
        <v>45</v>
      </c>
      <c r="E130" s="629">
        <v>45</v>
      </c>
      <c r="F130" s="629">
        <v>118170</v>
      </c>
      <c r="G130" s="629">
        <v>115080</v>
      </c>
      <c r="H130" s="513">
        <f t="shared" si="26"/>
        <v>118217</v>
      </c>
      <c r="I130" s="513">
        <f t="shared" si="26"/>
        <v>115127</v>
      </c>
    </row>
    <row r="131" spans="1:9" s="626" customFormat="1" ht="15.75">
      <c r="A131" s="513" t="s">
        <v>274</v>
      </c>
      <c r="B131" s="513">
        <f t="shared" ref="B131:I131" si="27">SUM(B125:B130)</f>
        <v>12</v>
      </c>
      <c r="C131" s="513">
        <f t="shared" si="27"/>
        <v>12</v>
      </c>
      <c r="D131" s="513">
        <f t="shared" si="27"/>
        <v>263</v>
      </c>
      <c r="E131" s="513">
        <f t="shared" si="27"/>
        <v>263</v>
      </c>
      <c r="F131" s="513">
        <f t="shared" si="27"/>
        <v>711315</v>
      </c>
      <c r="G131" s="513">
        <f t="shared" si="27"/>
        <v>675489</v>
      </c>
      <c r="H131" s="513">
        <f t="shared" si="27"/>
        <v>711590</v>
      </c>
      <c r="I131" s="513">
        <f t="shared" si="27"/>
        <v>675764</v>
      </c>
    </row>
    <row r="132" spans="1:9" s="627" customFormat="1" ht="15.75">
      <c r="A132" s="629"/>
      <c r="B132" s="629"/>
      <c r="C132" s="629"/>
      <c r="D132" s="629"/>
      <c r="E132" s="629"/>
      <c r="F132" s="629"/>
      <c r="G132" s="629"/>
      <c r="H132" s="513"/>
      <c r="I132" s="513"/>
    </row>
    <row r="133" spans="1:9" s="627" customFormat="1" ht="15.75">
      <c r="A133" s="589" t="s">
        <v>3934</v>
      </c>
      <c r="B133" s="588"/>
      <c r="C133" s="587"/>
      <c r="D133" s="514"/>
      <c r="E133" s="514"/>
      <c r="F133" s="514"/>
      <c r="G133" s="514"/>
      <c r="H133" s="512"/>
      <c r="I133" s="512"/>
    </row>
    <row r="134" spans="1:9" s="627" customFormat="1" ht="15.75">
      <c r="A134" s="628">
        <v>45017</v>
      </c>
      <c r="B134" s="629">
        <v>13</v>
      </c>
      <c r="C134" s="629">
        <v>13</v>
      </c>
      <c r="D134" s="629">
        <v>84</v>
      </c>
      <c r="E134" s="629">
        <v>84</v>
      </c>
      <c r="F134" s="629">
        <v>95882</v>
      </c>
      <c r="G134" s="629">
        <v>83042</v>
      </c>
      <c r="H134" s="513">
        <f t="shared" ref="H134:I139" si="28">+B134+D134+F134</f>
        <v>95979</v>
      </c>
      <c r="I134" s="513">
        <f t="shared" si="28"/>
        <v>83139</v>
      </c>
    </row>
    <row r="135" spans="1:9" s="627" customFormat="1" ht="15.75">
      <c r="A135" s="628">
        <v>45047</v>
      </c>
      <c r="B135" s="629">
        <v>13</v>
      </c>
      <c r="C135" s="629">
        <v>13</v>
      </c>
      <c r="D135" s="629">
        <v>82</v>
      </c>
      <c r="E135" s="629">
        <v>82</v>
      </c>
      <c r="F135" s="629">
        <v>92288</v>
      </c>
      <c r="G135" s="629">
        <v>83706</v>
      </c>
      <c r="H135" s="513">
        <f t="shared" si="28"/>
        <v>92383</v>
      </c>
      <c r="I135" s="513">
        <f t="shared" si="28"/>
        <v>83801</v>
      </c>
    </row>
    <row r="136" spans="1:9" s="627" customFormat="1" ht="15.75">
      <c r="A136" s="628">
        <v>45078</v>
      </c>
      <c r="B136" s="629">
        <v>13</v>
      </c>
      <c r="C136" s="629">
        <v>13</v>
      </c>
      <c r="D136" s="629">
        <v>85</v>
      </c>
      <c r="E136" s="629">
        <v>85</v>
      </c>
      <c r="F136" s="629">
        <v>92263</v>
      </c>
      <c r="G136" s="629">
        <v>84269</v>
      </c>
      <c r="H136" s="513">
        <f t="shared" si="28"/>
        <v>92361</v>
      </c>
      <c r="I136" s="513">
        <f t="shared" si="28"/>
        <v>84367</v>
      </c>
    </row>
    <row r="137" spans="1:9" s="627" customFormat="1" ht="15.75">
      <c r="A137" s="628">
        <v>45108</v>
      </c>
      <c r="B137" s="629">
        <v>13</v>
      </c>
      <c r="C137" s="629">
        <v>13</v>
      </c>
      <c r="D137" s="629">
        <v>85</v>
      </c>
      <c r="E137" s="629">
        <v>85</v>
      </c>
      <c r="F137" s="629">
        <v>91817</v>
      </c>
      <c r="G137" s="629">
        <v>85868</v>
      </c>
      <c r="H137" s="513">
        <f t="shared" si="28"/>
        <v>91915</v>
      </c>
      <c r="I137" s="513">
        <f t="shared" si="28"/>
        <v>85966</v>
      </c>
    </row>
    <row r="138" spans="1:9" s="627" customFormat="1" ht="15.75">
      <c r="A138" s="628">
        <v>45139</v>
      </c>
      <c r="B138" s="629">
        <v>13</v>
      </c>
      <c r="C138" s="629">
        <v>13</v>
      </c>
      <c r="D138" s="629">
        <v>87</v>
      </c>
      <c r="E138" s="629">
        <v>87</v>
      </c>
      <c r="F138" s="629">
        <v>91963</v>
      </c>
      <c r="G138" s="629">
        <v>87314</v>
      </c>
      <c r="H138" s="513">
        <f t="shared" si="28"/>
        <v>92063</v>
      </c>
      <c r="I138" s="513">
        <f t="shared" si="28"/>
        <v>87414</v>
      </c>
    </row>
    <row r="139" spans="1:9" s="627" customFormat="1" ht="15.75">
      <c r="A139" s="628">
        <v>45170</v>
      </c>
      <c r="B139" s="629">
        <v>13</v>
      </c>
      <c r="C139" s="629">
        <v>13</v>
      </c>
      <c r="D139" s="629">
        <v>87</v>
      </c>
      <c r="E139" s="629">
        <v>87</v>
      </c>
      <c r="F139" s="629">
        <v>90020</v>
      </c>
      <c r="G139" s="629">
        <v>87389</v>
      </c>
      <c r="H139" s="513">
        <f t="shared" si="28"/>
        <v>90120</v>
      </c>
      <c r="I139" s="513">
        <f t="shared" si="28"/>
        <v>87489</v>
      </c>
    </row>
    <row r="140" spans="1:9" s="626" customFormat="1" ht="15.75">
      <c r="A140" s="513" t="s">
        <v>274</v>
      </c>
      <c r="B140" s="513">
        <f t="shared" ref="B140:I140" si="29">SUM(B134:B139)</f>
        <v>78</v>
      </c>
      <c r="C140" s="513">
        <f t="shared" si="29"/>
        <v>78</v>
      </c>
      <c r="D140" s="513">
        <f t="shared" si="29"/>
        <v>510</v>
      </c>
      <c r="E140" s="513">
        <f t="shared" si="29"/>
        <v>510</v>
      </c>
      <c r="F140" s="513">
        <f t="shared" si="29"/>
        <v>554233</v>
      </c>
      <c r="G140" s="513">
        <f t="shared" si="29"/>
        <v>511588</v>
      </c>
      <c r="H140" s="513">
        <f t="shared" si="29"/>
        <v>554821</v>
      </c>
      <c r="I140" s="513">
        <f t="shared" si="29"/>
        <v>512176</v>
      </c>
    </row>
    <row r="141" spans="1:9" s="627" customFormat="1" ht="15.75">
      <c r="A141" s="629"/>
      <c r="B141" s="629"/>
      <c r="C141" s="629"/>
      <c r="D141" s="629"/>
      <c r="E141" s="629"/>
      <c r="F141" s="629"/>
      <c r="G141" s="629"/>
      <c r="H141" s="513"/>
      <c r="I141" s="513"/>
    </row>
    <row r="142" spans="1:9" s="627" customFormat="1" ht="15.75">
      <c r="A142" s="589" t="s">
        <v>3935</v>
      </c>
      <c r="B142" s="588"/>
      <c r="C142" s="587"/>
      <c r="D142" s="514"/>
      <c r="E142" s="514"/>
      <c r="F142" s="514"/>
      <c r="G142" s="514"/>
      <c r="H142" s="512"/>
      <c r="I142" s="512"/>
    </row>
    <row r="143" spans="1:9" s="627" customFormat="1" ht="15.75">
      <c r="A143" s="628">
        <v>45017</v>
      </c>
      <c r="B143" s="629">
        <v>0</v>
      </c>
      <c r="C143" s="629">
        <v>0</v>
      </c>
      <c r="D143" s="629">
        <v>28</v>
      </c>
      <c r="E143" s="629">
        <v>28</v>
      </c>
      <c r="F143" s="629">
        <v>139706</v>
      </c>
      <c r="G143" s="629">
        <v>125808</v>
      </c>
      <c r="H143" s="513">
        <f t="shared" ref="H143:I148" si="30">+B143+D143+F143</f>
        <v>139734</v>
      </c>
      <c r="I143" s="513">
        <f t="shared" si="30"/>
        <v>125836</v>
      </c>
    </row>
    <row r="144" spans="1:9" s="627" customFormat="1" ht="15.75">
      <c r="A144" s="628">
        <v>45047</v>
      </c>
      <c r="B144" s="629">
        <v>0</v>
      </c>
      <c r="C144" s="629">
        <v>0</v>
      </c>
      <c r="D144" s="629">
        <v>28</v>
      </c>
      <c r="E144" s="629">
        <v>28</v>
      </c>
      <c r="F144" s="629">
        <v>135941</v>
      </c>
      <c r="G144" s="629">
        <v>125624</v>
      </c>
      <c r="H144" s="513">
        <f t="shared" si="30"/>
        <v>135969</v>
      </c>
      <c r="I144" s="513">
        <f t="shared" si="30"/>
        <v>125652</v>
      </c>
    </row>
    <row r="145" spans="1:9" s="627" customFormat="1" ht="15.75">
      <c r="A145" s="628">
        <v>45078</v>
      </c>
      <c r="B145" s="629">
        <v>0</v>
      </c>
      <c r="C145" s="629">
        <v>0</v>
      </c>
      <c r="D145" s="629">
        <v>29</v>
      </c>
      <c r="E145" s="629">
        <v>29</v>
      </c>
      <c r="F145" s="629">
        <v>134998</v>
      </c>
      <c r="G145" s="629">
        <v>118908</v>
      </c>
      <c r="H145" s="513">
        <f t="shared" si="30"/>
        <v>135027</v>
      </c>
      <c r="I145" s="513">
        <f t="shared" si="30"/>
        <v>118937</v>
      </c>
    </row>
    <row r="146" spans="1:9" s="627" customFormat="1" ht="15.75">
      <c r="A146" s="628">
        <v>45108</v>
      </c>
      <c r="B146" s="629">
        <v>0</v>
      </c>
      <c r="C146" s="629">
        <v>0</v>
      </c>
      <c r="D146" s="629">
        <v>30</v>
      </c>
      <c r="E146" s="629">
        <v>30</v>
      </c>
      <c r="F146" s="629">
        <v>132765</v>
      </c>
      <c r="G146" s="629">
        <v>119149</v>
      </c>
      <c r="H146" s="513">
        <f t="shared" si="30"/>
        <v>132795</v>
      </c>
      <c r="I146" s="513">
        <f t="shared" si="30"/>
        <v>119179</v>
      </c>
    </row>
    <row r="147" spans="1:9" s="627" customFormat="1" ht="15.75">
      <c r="A147" s="628">
        <v>45139</v>
      </c>
      <c r="B147" s="629">
        <v>0</v>
      </c>
      <c r="C147" s="629">
        <v>0</v>
      </c>
      <c r="D147" s="629">
        <v>30</v>
      </c>
      <c r="E147" s="629">
        <v>30</v>
      </c>
      <c r="F147" s="629">
        <v>131556</v>
      </c>
      <c r="G147" s="629">
        <v>118436</v>
      </c>
      <c r="H147" s="513">
        <f t="shared" si="30"/>
        <v>131586</v>
      </c>
      <c r="I147" s="513">
        <f t="shared" si="30"/>
        <v>118466</v>
      </c>
    </row>
    <row r="148" spans="1:9" s="627" customFormat="1" ht="15.75">
      <c r="A148" s="628">
        <v>45170</v>
      </c>
      <c r="B148" s="629">
        <v>0</v>
      </c>
      <c r="C148" s="629">
        <v>0</v>
      </c>
      <c r="D148" s="629">
        <v>30</v>
      </c>
      <c r="E148" s="629">
        <v>30</v>
      </c>
      <c r="F148" s="629">
        <v>131467</v>
      </c>
      <c r="G148" s="629">
        <v>120597</v>
      </c>
      <c r="H148" s="513">
        <f t="shared" si="30"/>
        <v>131497</v>
      </c>
      <c r="I148" s="513">
        <f t="shared" si="30"/>
        <v>120627</v>
      </c>
    </row>
    <row r="149" spans="1:9" s="626" customFormat="1" ht="15.75">
      <c r="A149" s="513" t="s">
        <v>274</v>
      </c>
      <c r="B149" s="513">
        <f t="shared" ref="B149:I149" si="31">SUM(B143:B148)</f>
        <v>0</v>
      </c>
      <c r="C149" s="513">
        <f t="shared" si="31"/>
        <v>0</v>
      </c>
      <c r="D149" s="513">
        <f t="shared" si="31"/>
        <v>175</v>
      </c>
      <c r="E149" s="513">
        <f t="shared" si="31"/>
        <v>175</v>
      </c>
      <c r="F149" s="513">
        <f t="shared" si="31"/>
        <v>806433</v>
      </c>
      <c r="G149" s="513">
        <f t="shared" si="31"/>
        <v>728522</v>
      </c>
      <c r="H149" s="513">
        <f t="shared" si="31"/>
        <v>806608</v>
      </c>
      <c r="I149" s="513">
        <f t="shared" si="31"/>
        <v>728697</v>
      </c>
    </row>
    <row r="150" spans="1:9" s="627" customFormat="1" ht="15.75">
      <c r="A150" s="629"/>
      <c r="B150" s="629"/>
      <c r="C150" s="629"/>
      <c r="D150" s="629"/>
      <c r="E150" s="629"/>
      <c r="F150" s="629"/>
      <c r="G150" s="629"/>
      <c r="H150" s="513"/>
      <c r="I150" s="513"/>
    </row>
    <row r="151" spans="1:9" s="627" customFormat="1" ht="15.75">
      <c r="A151" s="589" t="s">
        <v>3936</v>
      </c>
      <c r="B151" s="588"/>
      <c r="C151" s="587"/>
      <c r="D151" s="514"/>
      <c r="E151" s="514"/>
      <c r="F151" s="514"/>
      <c r="G151" s="514"/>
      <c r="H151" s="512"/>
      <c r="I151" s="512"/>
    </row>
    <row r="152" spans="1:9" s="627" customFormat="1" ht="15.75">
      <c r="A152" s="628">
        <v>45017</v>
      </c>
      <c r="B152" s="629">
        <f t="shared" ref="B152:G157" si="32">+B8+B17+B26+B35+B44+B53+B62+B71+B80+B89+B98+B107+B116+B125+B134+B143</f>
        <v>41</v>
      </c>
      <c r="C152" s="629">
        <f t="shared" si="32"/>
        <v>41</v>
      </c>
      <c r="D152" s="629">
        <f t="shared" si="32"/>
        <v>693</v>
      </c>
      <c r="E152" s="629">
        <f>+E8+E17+E26+E35+E44+E53+E62+E71+E80+E89+E98+E107+E116+E125+E134+E143</f>
        <v>693</v>
      </c>
      <c r="F152" s="629">
        <f t="shared" si="32"/>
        <v>2041263</v>
      </c>
      <c r="G152" s="629">
        <f t="shared" si="32"/>
        <v>1856421</v>
      </c>
      <c r="H152" s="513">
        <f t="shared" ref="H152:I157" si="33">+B152+D152+F152</f>
        <v>2041997</v>
      </c>
      <c r="I152" s="513">
        <f t="shared" si="33"/>
        <v>1857155</v>
      </c>
    </row>
    <row r="153" spans="1:9" s="627" customFormat="1" ht="15.75">
      <c r="A153" s="628">
        <v>45047</v>
      </c>
      <c r="B153" s="629">
        <f t="shared" si="32"/>
        <v>41</v>
      </c>
      <c r="C153" s="629">
        <f t="shared" si="32"/>
        <v>41</v>
      </c>
      <c r="D153" s="629">
        <f t="shared" si="32"/>
        <v>682</v>
      </c>
      <c r="E153" s="629">
        <f t="shared" si="32"/>
        <v>682</v>
      </c>
      <c r="F153" s="629">
        <f t="shared" si="32"/>
        <v>1997278</v>
      </c>
      <c r="G153" s="629">
        <f t="shared" si="32"/>
        <v>1873020</v>
      </c>
      <c r="H153" s="513">
        <f t="shared" si="33"/>
        <v>1998001</v>
      </c>
      <c r="I153" s="513">
        <f t="shared" si="33"/>
        <v>1873743</v>
      </c>
    </row>
    <row r="154" spans="1:9" s="627" customFormat="1" ht="15.75">
      <c r="A154" s="628">
        <v>45078</v>
      </c>
      <c r="B154" s="629">
        <f t="shared" si="32"/>
        <v>41</v>
      </c>
      <c r="C154" s="629">
        <f t="shared" si="32"/>
        <v>41</v>
      </c>
      <c r="D154" s="629">
        <f t="shared" si="32"/>
        <v>691</v>
      </c>
      <c r="E154" s="629">
        <f t="shared" si="32"/>
        <v>691</v>
      </c>
      <c r="F154" s="629">
        <f t="shared" si="32"/>
        <v>1989685</v>
      </c>
      <c r="G154" s="629">
        <f t="shared" si="32"/>
        <v>1850727</v>
      </c>
      <c r="H154" s="513">
        <f t="shared" si="33"/>
        <v>1990417</v>
      </c>
      <c r="I154" s="513">
        <f t="shared" si="33"/>
        <v>1851459</v>
      </c>
    </row>
    <row r="155" spans="1:9" s="627" customFormat="1" ht="15.75">
      <c r="A155" s="628">
        <v>45108</v>
      </c>
      <c r="B155" s="629">
        <f t="shared" si="32"/>
        <v>41</v>
      </c>
      <c r="C155" s="629">
        <f t="shared" si="32"/>
        <v>41</v>
      </c>
      <c r="D155" s="629">
        <f t="shared" si="32"/>
        <v>698</v>
      </c>
      <c r="E155" s="629">
        <f t="shared" si="32"/>
        <v>698</v>
      </c>
      <c r="F155" s="629">
        <f t="shared" si="32"/>
        <v>1971420</v>
      </c>
      <c r="G155" s="629">
        <f t="shared" si="32"/>
        <v>1873322</v>
      </c>
      <c r="H155" s="513">
        <f t="shared" si="33"/>
        <v>1972159</v>
      </c>
      <c r="I155" s="513">
        <f t="shared" si="33"/>
        <v>1874061</v>
      </c>
    </row>
    <row r="156" spans="1:9" s="627" customFormat="1" ht="15.75">
      <c r="A156" s="628">
        <v>45139</v>
      </c>
      <c r="B156" s="629">
        <f t="shared" si="32"/>
        <v>41</v>
      </c>
      <c r="C156" s="629">
        <f t="shared" si="32"/>
        <v>41</v>
      </c>
      <c r="D156" s="629">
        <f t="shared" si="32"/>
        <v>706</v>
      </c>
      <c r="E156" s="629">
        <f t="shared" si="32"/>
        <v>706</v>
      </c>
      <c r="F156" s="629">
        <f t="shared" si="32"/>
        <v>1949203</v>
      </c>
      <c r="G156" s="629">
        <f t="shared" si="32"/>
        <v>1874676</v>
      </c>
      <c r="H156" s="513">
        <f t="shared" si="33"/>
        <v>1949950</v>
      </c>
      <c r="I156" s="513">
        <f t="shared" si="33"/>
        <v>1875423</v>
      </c>
    </row>
    <row r="157" spans="1:9" s="627" customFormat="1" ht="15.75">
      <c r="A157" s="628">
        <v>45170</v>
      </c>
      <c r="B157" s="629">
        <f t="shared" si="32"/>
        <v>41</v>
      </c>
      <c r="C157" s="629">
        <f t="shared" si="32"/>
        <v>41</v>
      </c>
      <c r="D157" s="629">
        <f t="shared" si="32"/>
        <v>713</v>
      </c>
      <c r="E157" s="629">
        <f t="shared" si="32"/>
        <v>713</v>
      </c>
      <c r="F157" s="629">
        <f t="shared" si="32"/>
        <v>1942819</v>
      </c>
      <c r="G157" s="629">
        <f t="shared" si="32"/>
        <v>1884785</v>
      </c>
      <c r="H157" s="513">
        <f t="shared" si="33"/>
        <v>1943573</v>
      </c>
      <c r="I157" s="513">
        <f t="shared" si="33"/>
        <v>1885539</v>
      </c>
    </row>
    <row r="158" spans="1:9" s="626" customFormat="1" ht="15.75">
      <c r="A158" s="513" t="s">
        <v>274</v>
      </c>
      <c r="B158" s="513">
        <f t="shared" ref="B158:I158" si="34">SUM(B152:B157)</f>
        <v>246</v>
      </c>
      <c r="C158" s="513">
        <f t="shared" si="34"/>
        <v>246</v>
      </c>
      <c r="D158" s="513">
        <f t="shared" si="34"/>
        <v>4183</v>
      </c>
      <c r="E158" s="513">
        <f t="shared" si="34"/>
        <v>4183</v>
      </c>
      <c r="F158" s="513">
        <f t="shared" si="34"/>
        <v>11891668</v>
      </c>
      <c r="G158" s="513">
        <f t="shared" si="34"/>
        <v>11212951</v>
      </c>
      <c r="H158" s="513">
        <f t="shared" si="34"/>
        <v>11896097</v>
      </c>
      <c r="I158" s="513">
        <f t="shared" si="34"/>
        <v>11217380</v>
      </c>
    </row>
    <row r="160" spans="1:9" ht="15.75">
      <c r="A160" s="627"/>
      <c r="B160" s="627"/>
      <c r="C160" s="627"/>
      <c r="D160" s="627"/>
      <c r="E160" s="627"/>
      <c r="F160" s="627"/>
      <c r="G160" s="627"/>
      <c r="H160" s="627"/>
      <c r="I160" s="627"/>
    </row>
  </sheetData>
  <mergeCells count="6">
    <mergeCell ref="A1:B1"/>
    <mergeCell ref="G1:I1"/>
    <mergeCell ref="B4:C4"/>
    <mergeCell ref="D4:E4"/>
    <mergeCell ref="F4:G4"/>
    <mergeCell ref="H4:I4"/>
  </mergeCells>
  <printOptions horizontalCentered="1"/>
  <pageMargins left="0.15748031496062992" right="0.23622047244094491" top="0.43307086614173229" bottom="0.39370078740157483"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00"/>
  </sheetPr>
  <dimension ref="A1:I85"/>
  <sheetViews>
    <sheetView view="pageBreakPreview" zoomScaleSheetLayoutView="85" workbookViewId="0">
      <pane ySplit="2" topLeftCell="A12" activePane="bottomLeft" state="frozen"/>
      <selection pane="bottomLeft" activeCell="E31" sqref="E31:E39"/>
    </sheetView>
  </sheetViews>
  <sheetFormatPr defaultColWidth="9.140625" defaultRowHeight="12.75"/>
  <cols>
    <col min="1" max="1" width="6.140625" style="1039" customWidth="1"/>
    <col min="2" max="2" width="44" style="1039" customWidth="1"/>
    <col min="3" max="8" width="9.140625" style="1039"/>
    <col min="9" max="9" width="12.28515625" style="1039" customWidth="1"/>
    <col min="10" max="16384" width="9.140625" style="1039"/>
  </cols>
  <sheetData>
    <row r="1" spans="1:9" ht="19.5" thickBot="1">
      <c r="A1" s="2827" t="s">
        <v>3937</v>
      </c>
      <c r="B1" s="2828"/>
      <c r="C1" s="2828"/>
      <c r="D1" s="2828"/>
      <c r="E1" s="2828"/>
      <c r="F1" s="2828"/>
      <c r="G1" s="2828"/>
      <c r="H1" s="2828"/>
      <c r="I1" s="2829"/>
    </row>
    <row r="2" spans="1:9" ht="89.25">
      <c r="A2" s="1040" t="s">
        <v>509</v>
      </c>
      <c r="B2" s="1041" t="s">
        <v>2513</v>
      </c>
      <c r="C2" s="1041" t="s">
        <v>2514</v>
      </c>
      <c r="D2" s="1041" t="s">
        <v>2515</v>
      </c>
      <c r="E2" s="1041" t="s">
        <v>2516</v>
      </c>
      <c r="F2" s="1041" t="s">
        <v>2517</v>
      </c>
      <c r="G2" s="1041" t="s">
        <v>2518</v>
      </c>
      <c r="H2" s="1041" t="s">
        <v>2519</v>
      </c>
      <c r="I2" s="1042" t="s">
        <v>2520</v>
      </c>
    </row>
    <row r="3" spans="1:9">
      <c r="A3" s="1043"/>
      <c r="B3" s="2830" t="s">
        <v>2521</v>
      </c>
      <c r="C3" s="2830"/>
      <c r="D3" s="2830"/>
      <c r="E3" s="2830"/>
      <c r="F3" s="2830"/>
      <c r="G3" s="2830"/>
      <c r="H3" s="2830"/>
      <c r="I3" s="2831"/>
    </row>
    <row r="4" spans="1:9">
      <c r="A4" s="1044">
        <v>1</v>
      </c>
      <c r="B4" s="1055" t="s">
        <v>771</v>
      </c>
      <c r="C4" s="1056"/>
      <c r="D4" s="1038"/>
      <c r="E4" s="1038"/>
      <c r="F4" s="1038"/>
      <c r="G4" s="1038"/>
      <c r="H4" s="1038"/>
      <c r="I4" s="1045"/>
    </row>
    <row r="5" spans="1:9">
      <c r="A5" s="1044" t="s">
        <v>2522</v>
      </c>
      <c r="B5" s="1055" t="s">
        <v>2523</v>
      </c>
      <c r="C5" s="1038" t="s">
        <v>232</v>
      </c>
      <c r="D5" s="2832" t="s">
        <v>3938</v>
      </c>
      <c r="E5" s="2832"/>
      <c r="F5" s="2832"/>
      <c r="G5" s="1038">
        <v>80</v>
      </c>
      <c r="H5" s="1038"/>
      <c r="I5" s="1045"/>
    </row>
    <row r="6" spans="1:9">
      <c r="A6" s="1044" t="s">
        <v>2525</v>
      </c>
      <c r="B6" s="1055" t="s">
        <v>234</v>
      </c>
      <c r="C6" s="1038"/>
      <c r="D6" s="1038"/>
      <c r="E6" s="1038"/>
      <c r="F6" s="1038"/>
      <c r="G6" s="1038"/>
      <c r="H6" s="1038"/>
      <c r="I6" s="1045">
        <v>10</v>
      </c>
    </row>
    <row r="7" spans="1:9">
      <c r="A7" s="1044"/>
      <c r="B7" s="1055" t="s">
        <v>3939</v>
      </c>
      <c r="C7" s="1038" t="s">
        <v>232</v>
      </c>
      <c r="D7" s="1038"/>
      <c r="E7" s="1038">
        <v>300</v>
      </c>
      <c r="F7" s="1038"/>
      <c r="G7" s="1038">
        <v>20</v>
      </c>
      <c r="H7" s="1038">
        <v>20</v>
      </c>
      <c r="I7" s="1045"/>
    </row>
    <row r="8" spans="1:9">
      <c r="A8" s="1044"/>
      <c r="B8" s="1055" t="s">
        <v>3940</v>
      </c>
      <c r="C8" s="1038" t="s">
        <v>232</v>
      </c>
      <c r="D8" s="1038"/>
      <c r="E8" s="1038">
        <v>480</v>
      </c>
      <c r="F8" s="1038"/>
      <c r="G8" s="1038">
        <v>20</v>
      </c>
      <c r="H8" s="1038">
        <v>20</v>
      </c>
      <c r="I8" s="1045"/>
    </row>
    <row r="9" spans="1:9">
      <c r="A9" s="1044"/>
      <c r="B9" s="1055" t="s">
        <v>3941</v>
      </c>
      <c r="C9" s="1038" t="s">
        <v>232</v>
      </c>
      <c r="D9" s="1038"/>
      <c r="E9" s="1038">
        <v>580</v>
      </c>
      <c r="F9" s="1038"/>
      <c r="G9" s="1038">
        <v>20</v>
      </c>
      <c r="H9" s="1038">
        <v>20</v>
      </c>
      <c r="I9" s="1045"/>
    </row>
    <row r="10" spans="1:9">
      <c r="A10" s="1044"/>
      <c r="B10" s="1055" t="s">
        <v>3942</v>
      </c>
      <c r="C10" s="1038" t="s">
        <v>232</v>
      </c>
      <c r="D10" s="1038"/>
      <c r="E10" s="1038">
        <v>620</v>
      </c>
      <c r="F10" s="1038"/>
      <c r="G10" s="1038">
        <v>20</v>
      </c>
      <c r="H10" s="1038">
        <v>20</v>
      </c>
      <c r="I10" s="1045"/>
    </row>
    <row r="11" spans="1:9">
      <c r="A11" s="1044">
        <v>2</v>
      </c>
      <c r="B11" s="1055" t="s">
        <v>2529</v>
      </c>
      <c r="C11" s="1038"/>
      <c r="D11" s="1038"/>
      <c r="E11" s="1038"/>
      <c r="F11" s="1038"/>
      <c r="G11" s="1038"/>
      <c r="H11" s="1038"/>
      <c r="I11" s="1045">
        <v>10</v>
      </c>
    </row>
    <row r="12" spans="1:9">
      <c r="A12" s="1044"/>
      <c r="B12" s="1055" t="s">
        <v>2531</v>
      </c>
      <c r="C12" s="1038" t="s">
        <v>232</v>
      </c>
      <c r="D12" s="1038"/>
      <c r="E12" s="1038">
        <v>590</v>
      </c>
      <c r="F12" s="1038"/>
      <c r="G12" s="1038">
        <v>30</v>
      </c>
      <c r="H12" s="1038">
        <v>30</v>
      </c>
      <c r="I12" s="1045"/>
    </row>
    <row r="13" spans="1:9">
      <c r="A13" s="1044"/>
      <c r="B13" s="1055" t="s">
        <v>2532</v>
      </c>
      <c r="C13" s="1038" t="s">
        <v>232</v>
      </c>
      <c r="D13" s="1038"/>
      <c r="E13" s="1038">
        <v>700</v>
      </c>
      <c r="F13" s="1038"/>
      <c r="G13" s="1038">
        <v>30</v>
      </c>
      <c r="H13" s="1038">
        <v>30</v>
      </c>
      <c r="I13" s="1045"/>
    </row>
    <row r="14" spans="1:9">
      <c r="A14" s="1044"/>
      <c r="B14" s="1055" t="s">
        <v>2533</v>
      </c>
      <c r="C14" s="1038" t="s">
        <v>232</v>
      </c>
      <c r="D14" s="1038"/>
      <c r="E14" s="1038">
        <v>760</v>
      </c>
      <c r="F14" s="1038"/>
      <c r="G14" s="1038">
        <v>30</v>
      </c>
      <c r="H14" s="1038">
        <v>30</v>
      </c>
      <c r="I14" s="1045"/>
    </row>
    <row r="15" spans="1:9">
      <c r="A15" s="1044">
        <v>3</v>
      </c>
      <c r="B15" s="1055" t="s">
        <v>1596</v>
      </c>
      <c r="C15" s="1038" t="s">
        <v>232</v>
      </c>
      <c r="D15" s="1038"/>
      <c r="E15" s="1038">
        <v>150</v>
      </c>
      <c r="F15" s="1038"/>
      <c r="G15" s="1038">
        <v>20</v>
      </c>
      <c r="H15" s="1038">
        <v>10</v>
      </c>
      <c r="I15" s="1045">
        <v>10</v>
      </c>
    </row>
    <row r="16" spans="1:9">
      <c r="A16" s="1044">
        <v>4</v>
      </c>
      <c r="B16" s="1055" t="s">
        <v>3943</v>
      </c>
      <c r="C16" s="1038" t="s">
        <v>232</v>
      </c>
      <c r="D16" s="1057"/>
      <c r="E16" s="1038">
        <v>160</v>
      </c>
      <c r="F16" s="1038"/>
      <c r="G16" s="1038">
        <v>20</v>
      </c>
      <c r="H16" s="1038">
        <v>10</v>
      </c>
      <c r="I16" s="1045" t="s">
        <v>3868</v>
      </c>
    </row>
    <row r="17" spans="1:9">
      <c r="A17" s="1044">
        <v>5</v>
      </c>
      <c r="B17" s="1055" t="s">
        <v>3944</v>
      </c>
      <c r="C17" s="1038" t="s">
        <v>232</v>
      </c>
      <c r="D17" s="1056"/>
      <c r="E17" s="1038">
        <v>310</v>
      </c>
      <c r="F17" s="1038"/>
      <c r="G17" s="1038">
        <v>80</v>
      </c>
      <c r="H17" s="1038">
        <v>50</v>
      </c>
      <c r="I17" s="1045" t="s">
        <v>2535</v>
      </c>
    </row>
    <row r="18" spans="1:9">
      <c r="A18" s="1044">
        <v>6</v>
      </c>
      <c r="B18" s="1055" t="s">
        <v>2534</v>
      </c>
      <c r="C18" s="1038" t="s">
        <v>232</v>
      </c>
      <c r="D18" s="1038"/>
      <c r="E18" s="1038">
        <v>620</v>
      </c>
      <c r="F18" s="1038"/>
      <c r="G18" s="1038">
        <v>20</v>
      </c>
      <c r="H18" s="1038">
        <v>15</v>
      </c>
      <c r="I18" s="1045" t="s">
        <v>2535</v>
      </c>
    </row>
    <row r="19" spans="1:9">
      <c r="A19" s="1044">
        <v>7</v>
      </c>
      <c r="B19" s="1055" t="s">
        <v>3945</v>
      </c>
      <c r="C19" s="1038" t="s">
        <v>232</v>
      </c>
      <c r="D19" s="1038"/>
      <c r="E19" s="1038">
        <v>620</v>
      </c>
      <c r="F19" s="1038"/>
      <c r="G19" s="1038">
        <v>80</v>
      </c>
      <c r="H19" s="1038">
        <v>35</v>
      </c>
      <c r="I19" s="1045">
        <v>10</v>
      </c>
    </row>
    <row r="20" spans="1:9">
      <c r="A20" s="1044">
        <v>8</v>
      </c>
      <c r="B20" s="1055" t="s">
        <v>3946</v>
      </c>
      <c r="C20" s="1038" t="s">
        <v>232</v>
      </c>
      <c r="D20" s="1038"/>
      <c r="E20" s="1038">
        <v>620</v>
      </c>
      <c r="F20" s="1038"/>
      <c r="G20" s="1038">
        <v>100</v>
      </c>
      <c r="H20" s="1038">
        <v>80</v>
      </c>
      <c r="I20" s="1045" t="s">
        <v>2535</v>
      </c>
    </row>
    <row r="21" spans="1:9">
      <c r="A21" s="1044">
        <v>9</v>
      </c>
      <c r="B21" s="1055" t="s">
        <v>2538</v>
      </c>
      <c r="C21" s="1038" t="s">
        <v>232</v>
      </c>
      <c r="D21" s="1038"/>
      <c r="E21" s="1038">
        <v>620</v>
      </c>
      <c r="F21" s="1038"/>
      <c r="G21" s="1038">
        <v>50</v>
      </c>
      <c r="H21" s="1038">
        <v>50</v>
      </c>
      <c r="I21" s="1045" t="s">
        <v>2535</v>
      </c>
    </row>
    <row r="22" spans="1:9">
      <c r="A22" s="1044">
        <v>10</v>
      </c>
      <c r="B22" s="1055" t="s">
        <v>2539</v>
      </c>
      <c r="C22" s="1038" t="s">
        <v>232</v>
      </c>
      <c r="D22" s="1038"/>
      <c r="E22" s="1038">
        <v>620</v>
      </c>
      <c r="F22" s="1038"/>
      <c r="G22" s="1038">
        <v>50</v>
      </c>
      <c r="H22" s="1038">
        <v>50</v>
      </c>
      <c r="I22" s="1045">
        <v>10</v>
      </c>
    </row>
    <row r="23" spans="1:9" ht="15.75" customHeight="1">
      <c r="A23" s="1044">
        <v>11</v>
      </c>
      <c r="B23" s="1055" t="s">
        <v>2540</v>
      </c>
      <c r="C23" s="1038" t="s">
        <v>232</v>
      </c>
      <c r="D23" s="1038">
        <v>200</v>
      </c>
      <c r="E23" s="1038">
        <v>620</v>
      </c>
      <c r="F23" s="1038">
        <v>30</v>
      </c>
      <c r="G23" s="1038"/>
      <c r="H23" s="1038"/>
      <c r="I23" s="1045">
        <v>10</v>
      </c>
    </row>
    <row r="24" spans="1:9">
      <c r="A24" s="1044">
        <v>12</v>
      </c>
      <c r="B24" s="1055" t="s">
        <v>2541</v>
      </c>
      <c r="C24" s="1038" t="s">
        <v>232</v>
      </c>
      <c r="D24" s="1038">
        <v>200</v>
      </c>
      <c r="E24" s="1038">
        <v>620</v>
      </c>
      <c r="F24" s="1038">
        <v>30</v>
      </c>
      <c r="G24" s="1038"/>
      <c r="H24" s="1038"/>
      <c r="I24" s="1045" t="s">
        <v>2535</v>
      </c>
    </row>
    <row r="25" spans="1:9">
      <c r="A25" s="1044">
        <v>13</v>
      </c>
      <c r="B25" s="1055" t="s">
        <v>255</v>
      </c>
      <c r="C25" s="1038" t="s">
        <v>232</v>
      </c>
      <c r="D25" s="1038">
        <v>200</v>
      </c>
      <c r="E25" s="1038">
        <v>620</v>
      </c>
      <c r="F25" s="1038">
        <v>30</v>
      </c>
      <c r="G25" s="1038"/>
      <c r="H25" s="1038"/>
      <c r="I25" s="1045" t="s">
        <v>2535</v>
      </c>
    </row>
    <row r="26" spans="1:9" ht="27">
      <c r="A26" s="1044"/>
      <c r="B26" s="1058" t="s">
        <v>2542</v>
      </c>
      <c r="C26" s="1058"/>
      <c r="D26" s="1058"/>
      <c r="E26" s="1059" t="s">
        <v>3947</v>
      </c>
      <c r="F26" s="1058"/>
      <c r="G26" s="1058"/>
      <c r="H26" s="1058"/>
      <c r="I26" s="1046"/>
    </row>
    <row r="27" spans="1:9">
      <c r="A27" s="1044">
        <v>14</v>
      </c>
      <c r="B27" s="1055" t="s">
        <v>258</v>
      </c>
      <c r="C27" s="1060" t="s">
        <v>259</v>
      </c>
      <c r="D27" s="1038">
        <v>20</v>
      </c>
      <c r="E27" s="1038">
        <v>490</v>
      </c>
      <c r="F27" s="1038">
        <v>250</v>
      </c>
      <c r="G27" s="1038"/>
      <c r="H27" s="1038"/>
      <c r="I27" s="1045">
        <v>10</v>
      </c>
    </row>
    <row r="28" spans="1:9">
      <c r="A28" s="1044">
        <v>15</v>
      </c>
      <c r="B28" s="1055" t="s">
        <v>1596</v>
      </c>
      <c r="C28" s="1060" t="s">
        <v>259</v>
      </c>
      <c r="D28" s="1038">
        <v>30</v>
      </c>
      <c r="E28" s="1038">
        <v>140</v>
      </c>
      <c r="F28" s="1038">
        <v>250</v>
      </c>
      <c r="G28" s="1038"/>
      <c r="H28" s="1038"/>
      <c r="I28" s="1045">
        <v>10</v>
      </c>
    </row>
    <row r="29" spans="1:9">
      <c r="A29" s="1044">
        <v>16</v>
      </c>
      <c r="B29" s="1055" t="s">
        <v>3943</v>
      </c>
      <c r="C29" s="1060" t="s">
        <v>259</v>
      </c>
      <c r="D29" s="1038">
        <v>30</v>
      </c>
      <c r="E29" s="1038">
        <v>150</v>
      </c>
      <c r="F29" s="1038">
        <v>250</v>
      </c>
      <c r="G29" s="1056"/>
      <c r="H29" s="1056"/>
      <c r="I29" s="1045">
        <v>10</v>
      </c>
    </row>
    <row r="30" spans="1:9" ht="12.75" customHeight="1">
      <c r="A30" s="1044">
        <v>17</v>
      </c>
      <c r="B30" s="1055" t="s">
        <v>3944</v>
      </c>
      <c r="C30" s="1060" t="s">
        <v>259</v>
      </c>
      <c r="D30" s="1038">
        <v>50</v>
      </c>
      <c r="E30" s="2069">
        <v>300</v>
      </c>
      <c r="F30" s="1038">
        <v>250</v>
      </c>
      <c r="G30" s="1056"/>
      <c r="H30" s="1056"/>
      <c r="I30" s="1045" t="s">
        <v>2535</v>
      </c>
    </row>
    <row r="31" spans="1:9" ht="12.75" customHeight="1">
      <c r="A31" s="1044">
        <v>18</v>
      </c>
      <c r="B31" s="1055" t="s">
        <v>2538</v>
      </c>
      <c r="C31" s="1060" t="s">
        <v>259</v>
      </c>
      <c r="D31" s="1038">
        <v>250</v>
      </c>
      <c r="E31" s="2833" t="s">
        <v>3948</v>
      </c>
      <c r="F31" s="1038">
        <v>250</v>
      </c>
      <c r="G31" s="1038"/>
      <c r="H31" s="1038"/>
      <c r="I31" s="1045" t="s">
        <v>2535</v>
      </c>
    </row>
    <row r="32" spans="1:9">
      <c r="A32" s="1044">
        <v>19</v>
      </c>
      <c r="B32" s="1055" t="s">
        <v>3949</v>
      </c>
      <c r="C32" s="1060" t="s">
        <v>259</v>
      </c>
      <c r="D32" s="1038">
        <v>250</v>
      </c>
      <c r="E32" s="2833"/>
      <c r="F32" s="1038">
        <v>250</v>
      </c>
      <c r="G32" s="1038"/>
      <c r="H32" s="1038"/>
      <c r="I32" s="1045">
        <v>10</v>
      </c>
    </row>
    <row r="33" spans="1:9">
      <c r="A33" s="1044">
        <v>20</v>
      </c>
      <c r="B33" s="1055" t="s">
        <v>3950</v>
      </c>
      <c r="C33" s="1060" t="s">
        <v>259</v>
      </c>
      <c r="D33" s="1038">
        <v>150</v>
      </c>
      <c r="E33" s="2833"/>
      <c r="F33" s="1038">
        <v>250</v>
      </c>
      <c r="G33" s="1038"/>
      <c r="H33" s="1038"/>
      <c r="I33" s="1045" t="s">
        <v>2535</v>
      </c>
    </row>
    <row r="34" spans="1:9">
      <c r="A34" s="1044">
        <v>21</v>
      </c>
      <c r="B34" s="1055" t="s">
        <v>2541</v>
      </c>
      <c r="C34" s="1060" t="s">
        <v>259</v>
      </c>
      <c r="D34" s="1038">
        <v>250</v>
      </c>
      <c r="E34" s="2833"/>
      <c r="F34" s="1038">
        <v>250</v>
      </c>
      <c r="G34" s="1038"/>
      <c r="H34" s="1038"/>
      <c r="I34" s="1045" t="s">
        <v>2535</v>
      </c>
    </row>
    <row r="35" spans="1:9">
      <c r="A35" s="1044">
        <v>22</v>
      </c>
      <c r="B35" s="1055" t="s">
        <v>3951</v>
      </c>
      <c r="C35" s="1060" t="s">
        <v>259</v>
      </c>
      <c r="D35" s="1038">
        <v>250</v>
      </c>
      <c r="E35" s="2833"/>
      <c r="F35" s="1038">
        <v>250</v>
      </c>
      <c r="G35" s="1038"/>
      <c r="H35" s="1038"/>
      <c r="I35" s="1045">
        <v>10</v>
      </c>
    </row>
    <row r="36" spans="1:9">
      <c r="A36" s="1044">
        <v>23</v>
      </c>
      <c r="B36" s="1055" t="s">
        <v>255</v>
      </c>
      <c r="C36" s="1060" t="s">
        <v>259</v>
      </c>
      <c r="D36" s="1038">
        <v>250</v>
      </c>
      <c r="E36" s="2833"/>
      <c r="F36" s="1038">
        <v>250</v>
      </c>
      <c r="G36" s="1038"/>
      <c r="H36" s="1038"/>
      <c r="I36" s="1045" t="s">
        <v>2535</v>
      </c>
    </row>
    <row r="37" spans="1:9">
      <c r="A37" s="1044">
        <v>24</v>
      </c>
      <c r="B37" s="1055" t="s">
        <v>263</v>
      </c>
      <c r="C37" s="1060" t="s">
        <v>259</v>
      </c>
      <c r="D37" s="1038">
        <v>250</v>
      </c>
      <c r="E37" s="2833"/>
      <c r="F37" s="1038">
        <v>250</v>
      </c>
      <c r="G37" s="1038"/>
      <c r="H37" s="1038"/>
      <c r="I37" s="1045" t="s">
        <v>2535</v>
      </c>
    </row>
    <row r="38" spans="1:9">
      <c r="A38" s="1044">
        <v>25</v>
      </c>
      <c r="B38" s="1055" t="s">
        <v>1604</v>
      </c>
      <c r="C38" s="1060" t="s">
        <v>259</v>
      </c>
      <c r="D38" s="1038">
        <v>250</v>
      </c>
      <c r="E38" s="2833"/>
      <c r="F38" s="1038">
        <v>250</v>
      </c>
      <c r="G38" s="1038"/>
      <c r="H38" s="1038"/>
      <c r="I38" s="1045" t="s">
        <v>2535</v>
      </c>
    </row>
    <row r="39" spans="1:9">
      <c r="A39" s="1044">
        <v>26</v>
      </c>
      <c r="B39" s="1055" t="s">
        <v>265</v>
      </c>
      <c r="C39" s="1060" t="s">
        <v>259</v>
      </c>
      <c r="D39" s="1038">
        <v>250</v>
      </c>
      <c r="E39" s="2833"/>
      <c r="F39" s="1038">
        <v>250</v>
      </c>
      <c r="G39" s="1038"/>
      <c r="H39" s="1038"/>
      <c r="I39" s="1045" t="s">
        <v>2535</v>
      </c>
    </row>
    <row r="40" spans="1:9">
      <c r="A40" s="1044">
        <v>27</v>
      </c>
      <c r="B40" s="1055" t="s">
        <v>3952</v>
      </c>
      <c r="C40" s="1060" t="s">
        <v>259</v>
      </c>
      <c r="D40" s="1038">
        <v>0</v>
      </c>
      <c r="E40" s="2069">
        <v>780</v>
      </c>
      <c r="F40" s="1038">
        <v>250</v>
      </c>
      <c r="G40" s="1038"/>
      <c r="H40" s="1038"/>
      <c r="I40" s="1045" t="s">
        <v>2535</v>
      </c>
    </row>
    <row r="41" spans="1:9">
      <c r="A41" s="1044">
        <v>28</v>
      </c>
      <c r="B41" s="1055" t="s">
        <v>2546</v>
      </c>
      <c r="C41" s="1060" t="s">
        <v>259</v>
      </c>
      <c r="D41" s="1038">
        <v>0</v>
      </c>
      <c r="E41" s="1038">
        <v>490</v>
      </c>
      <c r="F41" s="1038">
        <v>0</v>
      </c>
      <c r="G41" s="1038"/>
      <c r="H41" s="1038"/>
      <c r="I41" s="1045" t="s">
        <v>2535</v>
      </c>
    </row>
    <row r="42" spans="1:9" ht="27">
      <c r="A42" s="1044"/>
      <c r="B42" s="1061" t="s">
        <v>2547</v>
      </c>
      <c r="C42" s="1061"/>
      <c r="D42" s="1061"/>
      <c r="E42" s="1059" t="s">
        <v>3947</v>
      </c>
      <c r="F42" s="1061"/>
      <c r="G42" s="1061"/>
      <c r="H42" s="1061"/>
      <c r="I42" s="1047"/>
    </row>
    <row r="43" spans="1:9" ht="12.75" customHeight="1">
      <c r="A43" s="1044">
        <v>29</v>
      </c>
      <c r="B43" s="1055" t="s">
        <v>270</v>
      </c>
      <c r="C43" s="1060" t="s">
        <v>271</v>
      </c>
      <c r="D43" s="1038">
        <v>250</v>
      </c>
      <c r="E43" s="2833" t="s">
        <v>3948</v>
      </c>
      <c r="F43" s="1038">
        <v>700</v>
      </c>
      <c r="G43" s="1038"/>
      <c r="H43" s="1038"/>
      <c r="I43" s="1045" t="s">
        <v>2535</v>
      </c>
    </row>
    <row r="44" spans="1:9">
      <c r="A44" s="1044">
        <v>30</v>
      </c>
      <c r="B44" s="1055" t="s">
        <v>255</v>
      </c>
      <c r="C44" s="1060" t="s">
        <v>271</v>
      </c>
      <c r="D44" s="1038">
        <v>250</v>
      </c>
      <c r="E44" s="2833"/>
      <c r="F44" s="1038">
        <v>700</v>
      </c>
      <c r="G44" s="1038"/>
      <c r="H44" s="1038"/>
      <c r="I44" s="1045" t="s">
        <v>2535</v>
      </c>
    </row>
    <row r="45" spans="1:9">
      <c r="A45" s="1044">
        <v>31</v>
      </c>
      <c r="B45" s="1055" t="s">
        <v>265</v>
      </c>
      <c r="C45" s="1060" t="s">
        <v>271</v>
      </c>
      <c r="D45" s="1038">
        <v>250</v>
      </c>
      <c r="E45" s="2833"/>
      <c r="F45" s="1038">
        <v>700</v>
      </c>
      <c r="G45" s="1038"/>
      <c r="H45" s="1038"/>
      <c r="I45" s="1045" t="s">
        <v>2535</v>
      </c>
    </row>
    <row r="46" spans="1:9">
      <c r="A46" s="1044">
        <v>32</v>
      </c>
      <c r="B46" s="1055" t="s">
        <v>276</v>
      </c>
      <c r="C46" s="1060" t="s">
        <v>271</v>
      </c>
      <c r="D46" s="1038">
        <v>250</v>
      </c>
      <c r="E46" s="2833"/>
      <c r="F46" s="1038">
        <v>700</v>
      </c>
      <c r="G46" s="1038"/>
      <c r="H46" s="1038"/>
      <c r="I46" s="1045" t="s">
        <v>2535</v>
      </c>
    </row>
    <row r="47" spans="1:9">
      <c r="A47" s="1044">
        <v>33</v>
      </c>
      <c r="B47" s="1055" t="s">
        <v>263</v>
      </c>
      <c r="C47" s="1060" t="s">
        <v>271</v>
      </c>
      <c r="D47" s="1038">
        <v>250</v>
      </c>
      <c r="E47" s="2833"/>
      <c r="F47" s="1038">
        <v>700</v>
      </c>
      <c r="G47" s="1038"/>
      <c r="H47" s="1038"/>
      <c r="I47" s="1045" t="s">
        <v>2535</v>
      </c>
    </row>
    <row r="48" spans="1:9">
      <c r="A48" s="1044">
        <v>34</v>
      </c>
      <c r="B48" s="1055" t="s">
        <v>1604</v>
      </c>
      <c r="C48" s="1060" t="s">
        <v>271</v>
      </c>
      <c r="D48" s="1038">
        <v>250</v>
      </c>
      <c r="E48" s="2833"/>
      <c r="F48" s="1038">
        <v>700</v>
      </c>
      <c r="G48" s="1038"/>
      <c r="H48" s="1038"/>
      <c r="I48" s="1045" t="s">
        <v>2535</v>
      </c>
    </row>
    <row r="49" spans="1:9">
      <c r="A49" s="1044">
        <v>35</v>
      </c>
      <c r="B49" s="1055" t="s">
        <v>3952</v>
      </c>
      <c r="C49" s="1060" t="s">
        <v>271</v>
      </c>
      <c r="D49" s="1038">
        <v>0</v>
      </c>
      <c r="E49" s="2069">
        <v>770</v>
      </c>
      <c r="F49" s="1038">
        <v>700</v>
      </c>
      <c r="G49" s="1038"/>
      <c r="H49" s="1038"/>
      <c r="I49" s="1045" t="s">
        <v>2535</v>
      </c>
    </row>
    <row r="50" spans="1:9">
      <c r="A50" s="1044">
        <v>36</v>
      </c>
      <c r="B50" s="1055" t="s">
        <v>267</v>
      </c>
      <c r="C50" s="1060" t="s">
        <v>271</v>
      </c>
      <c r="D50" s="1038">
        <v>0</v>
      </c>
      <c r="E50" s="1038">
        <v>485</v>
      </c>
      <c r="F50" s="1038">
        <v>0</v>
      </c>
      <c r="G50" s="1038"/>
      <c r="H50" s="1038"/>
      <c r="I50" s="1045" t="s">
        <v>2535</v>
      </c>
    </row>
    <row r="51" spans="1:9">
      <c r="A51" s="1048" t="s">
        <v>3953</v>
      </c>
      <c r="B51" s="1057" t="s">
        <v>3954</v>
      </c>
      <c r="I51" s="1049"/>
    </row>
    <row r="52" spans="1:9">
      <c r="A52" s="1050"/>
      <c r="B52" s="1062" t="s">
        <v>3955</v>
      </c>
      <c r="C52" s="1063" t="s">
        <v>259</v>
      </c>
      <c r="D52" s="1063" t="s">
        <v>271</v>
      </c>
      <c r="I52" s="1049"/>
    </row>
    <row r="53" spans="1:9">
      <c r="A53" s="1050"/>
      <c r="B53" s="1062" t="s">
        <v>3956</v>
      </c>
      <c r="C53" s="2069" t="s">
        <v>3957</v>
      </c>
      <c r="D53" s="2069" t="s">
        <v>3958</v>
      </c>
      <c r="I53" s="1049"/>
    </row>
    <row r="54" spans="1:9">
      <c r="A54" s="1050"/>
      <c r="B54" s="1062" t="s">
        <v>3959</v>
      </c>
      <c r="C54" s="2069" t="s">
        <v>3960</v>
      </c>
      <c r="D54" s="2069" t="s">
        <v>3961</v>
      </c>
      <c r="I54" s="1049"/>
    </row>
    <row r="55" spans="1:9">
      <c r="A55" s="1050"/>
      <c r="C55" s="2069"/>
      <c r="D55" s="2069"/>
      <c r="I55" s="1049"/>
    </row>
    <row r="56" spans="1:9" ht="68.25" customHeight="1">
      <c r="A56" s="1051" t="s">
        <v>3962</v>
      </c>
      <c r="B56" s="2825" t="s">
        <v>3963</v>
      </c>
      <c r="C56" s="2825"/>
      <c r="D56" s="2825"/>
      <c r="E56" s="2825"/>
      <c r="F56" s="2825"/>
      <c r="G56" s="2825"/>
      <c r="H56" s="2825"/>
      <c r="I56" s="2826"/>
    </row>
    <row r="57" spans="1:9" ht="18.75" customHeight="1">
      <c r="A57" s="1051" t="s">
        <v>3964</v>
      </c>
      <c r="B57" s="2825" t="s">
        <v>3965</v>
      </c>
      <c r="C57" s="2825"/>
      <c r="D57" s="2825"/>
      <c r="E57" s="2825"/>
      <c r="F57" s="2825"/>
      <c r="G57" s="2825"/>
      <c r="H57" s="2825"/>
      <c r="I57" s="2826"/>
    </row>
    <row r="58" spans="1:9" ht="18.75" customHeight="1">
      <c r="A58" s="1051" t="s">
        <v>3966</v>
      </c>
      <c r="B58" s="2825" t="s">
        <v>3967</v>
      </c>
      <c r="C58" s="2825"/>
      <c r="D58" s="2825"/>
      <c r="E58" s="2825"/>
      <c r="F58" s="2825"/>
      <c r="G58" s="2825"/>
      <c r="H58" s="2825"/>
      <c r="I58" s="2826"/>
    </row>
    <row r="59" spans="1:9" ht="24.75" customHeight="1">
      <c r="A59" s="1051" t="s">
        <v>3968</v>
      </c>
      <c r="B59" s="2825" t="s">
        <v>3969</v>
      </c>
      <c r="C59" s="2825"/>
      <c r="D59" s="2825"/>
      <c r="E59" s="2825"/>
      <c r="F59" s="2825"/>
      <c r="G59" s="2825"/>
      <c r="H59" s="2825"/>
      <c r="I59" s="2826"/>
    </row>
    <row r="60" spans="1:9" ht="49.5" customHeight="1">
      <c r="A60" s="1051" t="s">
        <v>3970</v>
      </c>
      <c r="B60" s="2825" t="s">
        <v>3971</v>
      </c>
      <c r="C60" s="2825"/>
      <c r="D60" s="2825"/>
      <c r="E60" s="2825"/>
      <c r="F60" s="2825"/>
      <c r="G60" s="2825"/>
      <c r="H60" s="2825"/>
      <c r="I60" s="2826"/>
    </row>
    <row r="61" spans="1:9" ht="86.25" customHeight="1" thickBot="1">
      <c r="A61" s="1052" t="s">
        <v>3972</v>
      </c>
      <c r="B61" s="2823" t="s">
        <v>3973</v>
      </c>
      <c r="C61" s="2823"/>
      <c r="D61" s="2823"/>
      <c r="E61" s="2823"/>
      <c r="F61" s="2823"/>
      <c r="G61" s="2823"/>
      <c r="H61" s="2823"/>
      <c r="I61" s="2824"/>
    </row>
    <row r="62" spans="1:9" ht="69.75" customHeight="1">
      <c r="A62" s="1051" t="s">
        <v>3974</v>
      </c>
      <c r="B62" s="2825" t="s">
        <v>3975</v>
      </c>
      <c r="C62" s="2825"/>
      <c r="D62" s="2825"/>
      <c r="E62" s="2825"/>
      <c r="F62" s="2825"/>
      <c r="G62" s="2825"/>
      <c r="H62" s="2825"/>
      <c r="I62" s="2826"/>
    </row>
    <row r="63" spans="1:9" ht="18" customHeight="1">
      <c r="A63" s="1051" t="s">
        <v>3976</v>
      </c>
      <c r="B63" s="2825" t="s">
        <v>3977</v>
      </c>
      <c r="C63" s="2825"/>
      <c r="D63" s="2825"/>
      <c r="E63" s="2825"/>
      <c r="F63" s="2825"/>
      <c r="G63" s="2825"/>
      <c r="H63" s="2825"/>
      <c r="I63" s="2826"/>
    </row>
    <row r="64" spans="1:9" ht="54.75" customHeight="1">
      <c r="A64" s="1051" t="s">
        <v>3978</v>
      </c>
      <c r="B64" s="2825" t="s">
        <v>3979</v>
      </c>
      <c r="C64" s="2825"/>
      <c r="D64" s="2825"/>
      <c r="E64" s="2825"/>
      <c r="F64" s="2825"/>
      <c r="G64" s="2825"/>
      <c r="H64" s="2825"/>
      <c r="I64" s="2826"/>
    </row>
    <row r="65" spans="1:9" ht="51" customHeight="1">
      <c r="A65" s="1051" t="s">
        <v>3980</v>
      </c>
      <c r="B65" s="2825" t="s">
        <v>3981</v>
      </c>
      <c r="C65" s="2825"/>
      <c r="D65" s="2825"/>
      <c r="E65" s="2825"/>
      <c r="F65" s="2825"/>
      <c r="G65" s="2825"/>
      <c r="H65" s="2825"/>
      <c r="I65" s="2826"/>
    </row>
    <row r="66" spans="1:9" ht="33" customHeight="1">
      <c r="A66" s="1051" t="s">
        <v>3982</v>
      </c>
      <c r="B66" s="2825" t="s">
        <v>3983</v>
      </c>
      <c r="C66" s="2825"/>
      <c r="D66" s="2825"/>
      <c r="E66" s="2825"/>
      <c r="F66" s="2825"/>
      <c r="G66" s="2825"/>
      <c r="H66" s="2825"/>
      <c r="I66" s="2826"/>
    </row>
    <row r="67" spans="1:9" ht="39" customHeight="1">
      <c r="A67" s="1051" t="s">
        <v>3984</v>
      </c>
      <c r="B67" s="2825" t="s">
        <v>3985</v>
      </c>
      <c r="C67" s="2825"/>
      <c r="D67" s="2825"/>
      <c r="E67" s="2825"/>
      <c r="F67" s="2825"/>
      <c r="G67" s="2825"/>
      <c r="H67" s="2825"/>
      <c r="I67" s="2826"/>
    </row>
    <row r="68" spans="1:9" ht="39" customHeight="1">
      <c r="A68" s="1051" t="s">
        <v>3986</v>
      </c>
      <c r="B68" s="2825" t="s">
        <v>3987</v>
      </c>
      <c r="C68" s="2825"/>
      <c r="D68" s="2825"/>
      <c r="E68" s="2825"/>
      <c r="F68" s="2825"/>
      <c r="G68" s="2825"/>
      <c r="H68" s="2825"/>
      <c r="I68" s="2826"/>
    </row>
    <row r="69" spans="1:9" ht="27.75" customHeight="1">
      <c r="A69" s="1051" t="s">
        <v>3988</v>
      </c>
      <c r="B69" s="2825" t="s">
        <v>3989</v>
      </c>
      <c r="C69" s="2825"/>
      <c r="D69" s="2825"/>
      <c r="E69" s="2825"/>
      <c r="F69" s="2825"/>
      <c r="G69" s="2825"/>
      <c r="H69" s="2825"/>
      <c r="I69" s="2826"/>
    </row>
    <row r="70" spans="1:9" ht="42" customHeight="1">
      <c r="A70" s="1051" t="s">
        <v>3990</v>
      </c>
      <c r="B70" s="2825" t="s">
        <v>3991</v>
      </c>
      <c r="C70" s="2825"/>
      <c r="D70" s="2825"/>
      <c r="E70" s="2825"/>
      <c r="F70" s="2825"/>
      <c r="G70" s="2825"/>
      <c r="H70" s="2825"/>
      <c r="I70" s="2826"/>
    </row>
    <row r="71" spans="1:9" ht="60" customHeight="1">
      <c r="A71" s="1051" t="s">
        <v>3992</v>
      </c>
      <c r="B71" s="2825" t="s">
        <v>3993</v>
      </c>
      <c r="C71" s="2825"/>
      <c r="D71" s="2825"/>
      <c r="E71" s="2825"/>
      <c r="F71" s="2825"/>
      <c r="G71" s="2825"/>
      <c r="H71" s="2825"/>
      <c r="I71" s="2826"/>
    </row>
    <row r="72" spans="1:9" ht="60.75" customHeight="1">
      <c r="A72" s="1051" t="s">
        <v>3994</v>
      </c>
      <c r="B72" s="2825" t="s">
        <v>3995</v>
      </c>
      <c r="C72" s="2825"/>
      <c r="D72" s="2825"/>
      <c r="E72" s="2825"/>
      <c r="F72" s="2825"/>
      <c r="G72" s="2825"/>
      <c r="H72" s="2825"/>
      <c r="I72" s="2826"/>
    </row>
    <row r="73" spans="1:9" ht="81" customHeight="1">
      <c r="A73" s="1051" t="s">
        <v>3996</v>
      </c>
      <c r="B73" s="2825" t="s">
        <v>3997</v>
      </c>
      <c r="C73" s="2825"/>
      <c r="D73" s="2825"/>
      <c r="E73" s="2825"/>
      <c r="F73" s="2825"/>
      <c r="G73" s="2825"/>
      <c r="H73" s="2825"/>
      <c r="I73" s="2826"/>
    </row>
    <row r="74" spans="1:9" ht="42" customHeight="1">
      <c r="A74" s="1051" t="s">
        <v>3998</v>
      </c>
      <c r="B74" s="2825" t="s">
        <v>3999</v>
      </c>
      <c r="C74" s="2825"/>
      <c r="D74" s="2825"/>
      <c r="E74" s="2825"/>
      <c r="F74" s="2825"/>
      <c r="G74" s="2825"/>
      <c r="H74" s="2825"/>
      <c r="I74" s="2826"/>
    </row>
    <row r="75" spans="1:9" ht="81" customHeight="1">
      <c r="A75" s="1051" t="s">
        <v>4000</v>
      </c>
      <c r="B75" s="2825" t="s">
        <v>4001</v>
      </c>
      <c r="C75" s="2825"/>
      <c r="D75" s="2825"/>
      <c r="E75" s="2825"/>
      <c r="F75" s="2825"/>
      <c r="G75" s="2825"/>
      <c r="H75" s="2825"/>
      <c r="I75" s="2826"/>
    </row>
    <row r="76" spans="1:9" ht="36.75" customHeight="1">
      <c r="A76" s="1051" t="s">
        <v>4002</v>
      </c>
      <c r="B76" s="2825" t="s">
        <v>4003</v>
      </c>
      <c r="C76" s="2825"/>
      <c r="D76" s="2825"/>
      <c r="E76" s="2825"/>
      <c r="F76" s="2825"/>
      <c r="G76" s="2825"/>
      <c r="H76" s="2825"/>
      <c r="I76" s="2826"/>
    </row>
    <row r="77" spans="1:9" ht="44.25" customHeight="1">
      <c r="A77" s="1051" t="s">
        <v>4004</v>
      </c>
      <c r="B77" s="2825" t="s">
        <v>4005</v>
      </c>
      <c r="C77" s="2825"/>
      <c r="D77" s="2825"/>
      <c r="E77" s="2825"/>
      <c r="F77" s="2825"/>
      <c r="G77" s="2825"/>
      <c r="H77" s="2825"/>
      <c r="I77" s="2826"/>
    </row>
    <row r="78" spans="1:9" ht="26.25" customHeight="1">
      <c r="A78" s="1051" t="s">
        <v>4006</v>
      </c>
      <c r="B78" s="2825" t="s">
        <v>4007</v>
      </c>
      <c r="C78" s="2825"/>
      <c r="D78" s="2825"/>
      <c r="E78" s="2825"/>
      <c r="F78" s="2825"/>
      <c r="G78" s="2825"/>
      <c r="H78" s="2825"/>
      <c r="I78" s="2826"/>
    </row>
    <row r="79" spans="1:9" ht="45.75" customHeight="1">
      <c r="A79" s="1051" t="s">
        <v>4008</v>
      </c>
      <c r="B79" s="2825" t="s">
        <v>4009</v>
      </c>
      <c r="C79" s="2825"/>
      <c r="D79" s="2825"/>
      <c r="E79" s="2825"/>
      <c r="F79" s="2825"/>
      <c r="G79" s="2825"/>
      <c r="H79" s="2825"/>
      <c r="I79" s="2826"/>
    </row>
    <row r="80" spans="1:9" ht="18.75" customHeight="1">
      <c r="A80" s="1051" t="s">
        <v>4010</v>
      </c>
      <c r="B80" s="2825" t="s">
        <v>4007</v>
      </c>
      <c r="C80" s="2825"/>
      <c r="D80" s="2825"/>
      <c r="E80" s="2825"/>
      <c r="F80" s="2825"/>
      <c r="G80" s="2825"/>
      <c r="H80" s="2825"/>
      <c r="I80" s="2826"/>
    </row>
    <row r="81" spans="1:9" ht="52.5" customHeight="1">
      <c r="A81" s="1051" t="s">
        <v>4010</v>
      </c>
      <c r="B81" s="2825" t="s">
        <v>4011</v>
      </c>
      <c r="C81" s="2825"/>
      <c r="D81" s="2825"/>
      <c r="E81" s="2825"/>
      <c r="F81" s="2825"/>
      <c r="G81" s="2825"/>
      <c r="H81" s="2825"/>
      <c r="I81" s="2826"/>
    </row>
    <row r="82" spans="1:9" ht="30" customHeight="1">
      <c r="A82" s="1051" t="s">
        <v>4012</v>
      </c>
      <c r="B82" s="2825" t="s">
        <v>4013</v>
      </c>
      <c r="C82" s="2825"/>
      <c r="D82" s="2825"/>
      <c r="E82" s="2825"/>
      <c r="F82" s="2825"/>
      <c r="G82" s="2825"/>
      <c r="H82" s="2825"/>
      <c r="I82" s="2826"/>
    </row>
    <row r="83" spans="1:9" ht="28.5" customHeight="1" thickBot="1">
      <c r="A83" s="1052" t="s">
        <v>4014</v>
      </c>
      <c r="B83" s="2825" t="s">
        <v>4015</v>
      </c>
      <c r="C83" s="2825"/>
      <c r="D83" s="2825"/>
      <c r="E83" s="2825"/>
      <c r="F83" s="2825"/>
      <c r="G83" s="2825"/>
      <c r="H83" s="2825"/>
      <c r="I83" s="2826"/>
    </row>
    <row r="84" spans="1:9" ht="13.5" customHeight="1" thickBot="1">
      <c r="A84" s="1052" t="s">
        <v>4016</v>
      </c>
      <c r="B84" s="2823" t="s">
        <v>4017</v>
      </c>
      <c r="C84" s="2823"/>
      <c r="D84" s="2823"/>
      <c r="E84" s="2823"/>
      <c r="F84" s="2823"/>
      <c r="G84" s="2823"/>
      <c r="H84" s="2823"/>
      <c r="I84" s="2824"/>
    </row>
    <row r="85" spans="1:9">
      <c r="A85" s="1053"/>
    </row>
  </sheetData>
  <mergeCells count="34">
    <mergeCell ref="B60:I60"/>
    <mergeCell ref="A1:I1"/>
    <mergeCell ref="B3:I3"/>
    <mergeCell ref="D5:F5"/>
    <mergeCell ref="E31:E39"/>
    <mergeCell ref="E43:E48"/>
    <mergeCell ref="B56:I56"/>
    <mergeCell ref="B57:I57"/>
    <mergeCell ref="B58:I58"/>
    <mergeCell ref="B59:I59"/>
    <mergeCell ref="B72:I72"/>
    <mergeCell ref="B61:I61"/>
    <mergeCell ref="B62:I62"/>
    <mergeCell ref="B63:I63"/>
    <mergeCell ref="B64:I64"/>
    <mergeCell ref="B65:I65"/>
    <mergeCell ref="B66:I66"/>
    <mergeCell ref="B67:I67"/>
    <mergeCell ref="B68:I68"/>
    <mergeCell ref="B69:I69"/>
    <mergeCell ref="B70:I70"/>
    <mergeCell ref="B71:I71"/>
    <mergeCell ref="B84:I84"/>
    <mergeCell ref="B73:I73"/>
    <mergeCell ref="B74:I74"/>
    <mergeCell ref="B75:I75"/>
    <mergeCell ref="B76:I76"/>
    <mergeCell ref="B77:I77"/>
    <mergeCell ref="B78:I78"/>
    <mergeCell ref="B79:I79"/>
    <mergeCell ref="B80:I80"/>
    <mergeCell ref="B81:I81"/>
    <mergeCell ref="B82:I82"/>
    <mergeCell ref="B83:I83"/>
  </mergeCells>
  <printOptions horizontalCentered="1"/>
  <pageMargins left="0" right="0" top="0" bottom="0" header="0.31496062992125984" footer="0.51181102362204722"/>
  <pageSetup paperSize="9" scale="7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D497E3F08DB841B7C9E3A5FE325CA4" ma:contentTypeVersion="11" ma:contentTypeDescription="Create a new document." ma:contentTypeScope="" ma:versionID="c229a0ae7df3b3ed36b809a70bac9be0">
  <xsd:schema xmlns:xsd="http://www.w3.org/2001/XMLSchema" xmlns:xs="http://www.w3.org/2001/XMLSchema" xmlns:p="http://schemas.microsoft.com/office/2006/metadata/properties" xmlns:ns3="1d414c0a-9373-474d-902f-e63e60c5e07b" targetNamespace="http://schemas.microsoft.com/office/2006/metadata/properties" ma:root="true" ma:fieldsID="b01831124642e6d0cad47086c07f431d" ns3:_="">
    <xsd:import namespace="1d414c0a-9373-474d-902f-e63e60c5e07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14c0a-9373-474d-902f-e63e60c5e0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E27EFA-7059-43B3-9E1D-796B4B06D435}"/>
</file>

<file path=customXml/itemProps2.xml><?xml version="1.0" encoding="utf-8"?>
<ds:datastoreItem xmlns:ds="http://schemas.openxmlformats.org/officeDocument/2006/customXml" ds:itemID="{13F20B7D-44AE-4DA8-9A43-41430CA52B76}"/>
</file>

<file path=customXml/itemProps3.xml><?xml version="1.0" encoding="utf-8"?>
<ds:datastoreItem xmlns:ds="http://schemas.openxmlformats.org/officeDocument/2006/customXml" ds:itemID="{E285D373-B81C-4580-9FE7-13F7BB922833}"/>
</file>

<file path=docProps/app.xml><?xml version="1.0" encoding="utf-8"?>
<Properties xmlns="http://schemas.openxmlformats.org/officeDocument/2006/extended-properties" xmlns:vt="http://schemas.openxmlformats.org/officeDocument/2006/docPropsVTypes">
  <Application>Microsoft Excel Online</Application>
  <Manager/>
  <Company>WESCO ;  Burla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Managing  Director</dc:creator>
  <cp:keywords/>
  <dc:description/>
  <cp:lastModifiedBy>Guest User</cp:lastModifiedBy>
  <cp:revision/>
  <dcterms:created xsi:type="dcterms:W3CDTF">2000-07-08T10:40:12Z</dcterms:created>
  <dcterms:modified xsi:type="dcterms:W3CDTF">2023-12-16T05:33:06Z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0x01010054D497E3F08DB841B7C9E3A5FE325CA4</vt:lpwstr>
  </property>
</Properties>
</file>